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mathematica-my.sharepoint.com/personal/aswaney_mathematica-mpr_com/Documents/Desktop/"/>
    </mc:Choice>
  </mc:AlternateContent>
  <xr:revisionPtr revIDLastSave="2" documentId="8_{6EA4A0B3-03F8-47A0-95EE-CD937348D0B3}" xr6:coauthVersionLast="47" xr6:coauthVersionMax="47" xr10:uidLastSave="{6EA03E19-6885-41DC-9BE8-08CDA0BD3A31}"/>
  <bookViews>
    <workbookView minimized="1" xWindow="-6870" yWindow="1950" windowWidth="28770" windowHeight="15615" tabRatio="874" firstSheet="1" activeTab="1" xr2:uid="{01816E7F-7762-4536-8EDC-A4195A7A82EF}"/>
  </bookViews>
  <sheets>
    <sheet name="Validation Report" sheetId="24" state="hidden" r:id="rId1"/>
    <sheet name="Contents" sheetId="1" r:id="rId2"/>
    <sheet name="Reference Tables" sheetId="9" r:id="rId3"/>
    <sheet name="1. Cover Page" sheetId="21" r:id="rId4"/>
    <sheet name="2. Total Medical Expenses" sheetId="3" r:id="rId5"/>
    <sheet name="3. Age and Sex Factors " sheetId="22" r:id="rId6"/>
    <sheet name="4. Standard Deviation" sheetId="10" r:id="rId7"/>
    <sheet name="5. Line of Business Enrollment" sheetId="20" r:id="rId8"/>
    <sheet name="6. Pharmacy Rebates" sheetId="7" r:id="rId9"/>
    <sheet name="7. Mandatory Questions" sheetId="19" r:id="rId10"/>
    <sheet name="Data Validation Checks 2021-22" sheetId="11" r:id="rId11"/>
    <sheet name="Data Validation Checks 2022-23" sheetId="25" r:id="rId12"/>
    <sheet name="CMSPubliclyAvailData" sheetId="23" state="hidden" r:id="rId13"/>
    <sheet name="Validation by Market 2021-22" sheetId="12" r:id="rId14"/>
    <sheet name="Validation by Market 2022-23" sheetId="26" r:id="rId15"/>
    <sheet name="Validation by Provider 2021-22" sheetId="13" r:id="rId16"/>
    <sheet name="Validation by Provider 2022-23" sheetId="27" r:id="rId17"/>
  </sheets>
  <definedNames>
    <definedName name="_xlnm._FilterDatabase" localSheetId="0" hidden="1">'Validation Report'!$A$44:$C$46</definedName>
    <definedName name="_ftn1" localSheetId="2">'Reference Tables'!$B$5</definedName>
    <definedName name="_ftn2" localSheetId="2">'Reference Tables'!$B$6</definedName>
    <definedName name="_ftn3" localSheetId="2">'Reference Tables'!$B$7</definedName>
    <definedName name="_ftnref3" localSheetId="2">'Reference Tables'!$B$46</definedName>
    <definedName name="Commercial_MemberMonths_2021">'Validation by Market 2021-22'!$B$25</definedName>
    <definedName name="Commercial_MemberMonths_2022">'Validation by Market 2021-22'!$C$25</definedName>
    <definedName name="Commercial_MemberMonths_2023" localSheetId="14">'Validation by Market 2022-23'!$C$25</definedName>
    <definedName name="ICC1_MemberMonths_2021">'Validation by Market 2021-22'!$G$54</definedName>
    <definedName name="ICC1_MemberMonths_2022">'Validation by Market 2021-22'!$H$54</definedName>
    <definedName name="ICC1_MemberMonths_2023" localSheetId="14">'Validation by Market 2022-23'!$H$54</definedName>
    <definedName name="ICC2_MemberMonths_2021">'Validation by Market 2021-22'!$G$83</definedName>
    <definedName name="ICC2_MemberMonths_2022">'Validation by Market 2021-22'!$H$83</definedName>
    <definedName name="ICC2_MemberMonths_2023" localSheetId="14">'Validation by Market 2022-23'!$H$83</definedName>
    <definedName name="ICC3_MemberMonths_2021">'Validation by Market 2021-22'!$G$25</definedName>
    <definedName name="ICC3_MemberMonths_2022">'Validation by Market 2021-22'!$H$25</definedName>
    <definedName name="ICC3_MemberMonths_2023" localSheetId="14">'Validation by Market 2022-23'!$H$25</definedName>
    <definedName name="ICC4_MemberMonths_2021">'Validation by Market 2021-22'!$L$25</definedName>
    <definedName name="ICC4_MemberMonths_2022">'Validation by Market 2021-22'!$M$25</definedName>
    <definedName name="ICC4_MemberMonths_2023" localSheetId="14">'Validation by Market 2022-23'!$M$25</definedName>
    <definedName name="ICC5_MemberMonths_2021">'Validation by Market 2021-22'!$L$54</definedName>
    <definedName name="ICC5_MemberMonths_2022">'Validation by Market 2021-22'!$M$54</definedName>
    <definedName name="ICC5_MemberMonths_2023" localSheetId="14">'Validation by Market 2022-23'!$M$54</definedName>
    <definedName name="ICC6_MemberMonths_2021">'Validation by Market 2021-22'!$L$83</definedName>
    <definedName name="ICC6_MemberMonths_2022">'Validation by Market 2021-22'!$M$83</definedName>
    <definedName name="ICC6_MemberMonths_2023" localSheetId="14">'Validation by Market 2022-23'!$M$83</definedName>
    <definedName name="ICC7_MemberMonths_2021">'Validation by Market 2021-22'!$Q$25</definedName>
    <definedName name="ICC7_MemberMonths_2022">'Validation by Market 2021-22'!$R$25</definedName>
    <definedName name="ICC7_MemberMonths_2023" localSheetId="14">'Validation by Market 2022-23'!$R$25</definedName>
    <definedName name="ICC8_MemberMonths_2021">'Validation by Market 2021-22'!$Q$54</definedName>
    <definedName name="ICC8_MemberMonths_2022">'Validation by Market 2021-22'!$R$54</definedName>
    <definedName name="ICC8_MemberMonths_2023" localSheetId="14">'Validation by Market 2022-23'!$R$54</definedName>
    <definedName name="Insurer_Code" localSheetId="11">'Data Validation Checks 2022-23'!$B$7</definedName>
    <definedName name="Insurer_Code">'Data Validation Checks 2021-22'!$B$7</definedName>
    <definedName name="Medicaid_MemberMonths_2021">'Validation by Market 2021-22'!$B$83</definedName>
    <definedName name="Medicaid_MemberMonths_2022">'Validation by Market 2021-22'!$C$83</definedName>
    <definedName name="Medicaid_MemberMonths_2023" localSheetId="14">'Validation by Market 2022-23'!$C$83</definedName>
    <definedName name="Medicare_MemberMonths_2021">'Validation by Market 2021-22'!$B$54</definedName>
    <definedName name="Medicare_MemberMonths_2022">'Validation by Market 2021-22'!$C$54</definedName>
    <definedName name="Medicare_MemberMonths_2023" localSheetId="14">'Validation by Market 2022-23'!$C$54</definedName>
    <definedName name="_xlnm.Print_Area" localSheetId="3">'1. Cover Page'!$A$1:$E$21</definedName>
    <definedName name="_xlnm.Print_Area" localSheetId="4">'2. Total Medical Expenses'!$A$1:$AC$515</definedName>
    <definedName name="_xlnm.Print_Area" localSheetId="5">'3. Age and Sex Factors '!$A$1:$K$8075</definedName>
    <definedName name="_xlnm.Print_Area" localSheetId="6">'4. Standard Deviation'!$A$1:$H$200</definedName>
    <definedName name="_xlnm.Print_Area" localSheetId="7">'5. Line of Business Enrollment'!$A$1:$D$44</definedName>
    <definedName name="_xlnm.Print_Area" localSheetId="8">'6. Pharmacy Rebates'!$A$1:$G$35</definedName>
    <definedName name="_xlnm.Print_Area" localSheetId="9">'7. Mandatory Questions'!$A$1:$E$61</definedName>
    <definedName name="_xlnm.Print_Area" localSheetId="1">'Contents'!$A$1:$B$28</definedName>
    <definedName name="_xlnm.Print_Area" localSheetId="10">'Data Validation Checks 2021-22'!$A$1:$AC$202</definedName>
    <definedName name="_xlnm.Print_Area" localSheetId="11">'Data Validation Checks 2022-23'!$A$1:$AC$202</definedName>
    <definedName name="_xlnm.Print_Area" localSheetId="2">'Reference Tables'!$A$1:$C$92</definedName>
    <definedName name="_xlnm.Print_Area" localSheetId="13">'Validation by Market 2021-22'!$A$1:$S$106</definedName>
    <definedName name="_xlnm.Print_Area" localSheetId="14">'Validation by Market 2022-23'!$A$1:$S$106</definedName>
    <definedName name="_xlnm.Print_Area" localSheetId="15">'Validation by Provider 2021-22'!$A$1:$U$335</definedName>
    <definedName name="_xlnm.Print_Area" localSheetId="16">'Validation by Provider 2022-23'!$A$1:$U$335</definedName>
    <definedName name="_xlnm.Print_Area" localSheetId="0">'Validation Report'!$A$1:$D$46</definedName>
    <definedName name="_xlnm.Print_Titles" localSheetId="4">'2. Total Medical Expenses'!$1:$11</definedName>
    <definedName name="_xlnm.Print_Titles" localSheetId="2">'Reference Tables'!$1:$2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 i="7" l="1"/>
  <c r="J200" i="10"/>
  <c r="J199" i="10"/>
  <c r="J198" i="10"/>
  <c r="J197" i="10"/>
  <c r="J196" i="10"/>
  <c r="J195" i="10"/>
  <c r="J194" i="10"/>
  <c r="J193" i="10"/>
  <c r="J192" i="10"/>
  <c r="M5376" i="22"/>
  <c r="M8075" i="22"/>
  <c r="M8074" i="22"/>
  <c r="M8073" i="22"/>
  <c r="M8072" i="22"/>
  <c r="M8071" i="22"/>
  <c r="M8070" i="22"/>
  <c r="M8069" i="22"/>
  <c r="M8068" i="22"/>
  <c r="M8067" i="22"/>
  <c r="M8066" i="22"/>
  <c r="M8065" i="22"/>
  <c r="M8064" i="22"/>
  <c r="M8063" i="22"/>
  <c r="M8062" i="22"/>
  <c r="M8061" i="22"/>
  <c r="M8060" i="22"/>
  <c r="M8059" i="22"/>
  <c r="M8058" i="22"/>
  <c r="M8057" i="22"/>
  <c r="M8056" i="22"/>
  <c r="M8055" i="22"/>
  <c r="M8054" i="22"/>
  <c r="M8053" i="22"/>
  <c r="M8052" i="22"/>
  <c r="M8051" i="22"/>
  <c r="M8050" i="22"/>
  <c r="M8049" i="22"/>
  <c r="M8048" i="22"/>
  <c r="M8047" i="22"/>
  <c r="M8046" i="22"/>
  <c r="M8045" i="22"/>
  <c r="M8044" i="22"/>
  <c r="M8043" i="22"/>
  <c r="M8042" i="22"/>
  <c r="M8041" i="22"/>
  <c r="M8040" i="22"/>
  <c r="M8039" i="22"/>
  <c r="M8038" i="22"/>
  <c r="M8037" i="22"/>
  <c r="M8036" i="22"/>
  <c r="M8035" i="22"/>
  <c r="M8034" i="22"/>
  <c r="M8033" i="22"/>
  <c r="M8032" i="22"/>
  <c r="M8031" i="22"/>
  <c r="M8030" i="22"/>
  <c r="M8029" i="22"/>
  <c r="M8028" i="22"/>
  <c r="M8027" i="22"/>
  <c r="M8026" i="22"/>
  <c r="M8025" i="22"/>
  <c r="M8024" i="22"/>
  <c r="M8023" i="22"/>
  <c r="M8022" i="22"/>
  <c r="M8021" i="22"/>
  <c r="M8020" i="22"/>
  <c r="M8019" i="22"/>
  <c r="M8018" i="22"/>
  <c r="M8017" i="22"/>
  <c r="M8016" i="22"/>
  <c r="M8015" i="22"/>
  <c r="M8014" i="22"/>
  <c r="M8013" i="22"/>
  <c r="M8012" i="22"/>
  <c r="M8011" i="22"/>
  <c r="M8010" i="22"/>
  <c r="M8009" i="22"/>
  <c r="M8008" i="22"/>
  <c r="M8007" i="22"/>
  <c r="M8006" i="22"/>
  <c r="M8005" i="22"/>
  <c r="M8004" i="22"/>
  <c r="M8003" i="22"/>
  <c r="M8002" i="22"/>
  <c r="M8001" i="22"/>
  <c r="M8000" i="22"/>
  <c r="M7999" i="22"/>
  <c r="M7998" i="22"/>
  <c r="M7997" i="22"/>
  <c r="M7996" i="22"/>
  <c r="M7995" i="22"/>
  <c r="M7994" i="22"/>
  <c r="M7993" i="22"/>
  <c r="M7992" i="22"/>
  <c r="M7991" i="22"/>
  <c r="M7990" i="22"/>
  <c r="M7989" i="22"/>
  <c r="M7988" i="22"/>
  <c r="M7987" i="22"/>
  <c r="M7986" i="22"/>
  <c r="M7985" i="22"/>
  <c r="M7984" i="22"/>
  <c r="M7983" i="22"/>
  <c r="M7982" i="22"/>
  <c r="M7981" i="22"/>
  <c r="M7980" i="22"/>
  <c r="M7979" i="22"/>
  <c r="M7978" i="22"/>
  <c r="M7977" i="22"/>
  <c r="M7976" i="22"/>
  <c r="M7975" i="22"/>
  <c r="M7974" i="22"/>
  <c r="M7973" i="22"/>
  <c r="M7972" i="22"/>
  <c r="M7971" i="22"/>
  <c r="M7970" i="22"/>
  <c r="M7969" i="22"/>
  <c r="M7968" i="22"/>
  <c r="M7967" i="22"/>
  <c r="M7966" i="22"/>
  <c r="M7965" i="22"/>
  <c r="M7964" i="22"/>
  <c r="M7963" i="22"/>
  <c r="M7962" i="22"/>
  <c r="M7961" i="22"/>
  <c r="M7960" i="22"/>
  <c r="M7959" i="22"/>
  <c r="M7958" i="22"/>
  <c r="M7957" i="22"/>
  <c r="M7956" i="22"/>
  <c r="M7955" i="22"/>
  <c r="M7954" i="22"/>
  <c r="M7953" i="22"/>
  <c r="M7952" i="22"/>
  <c r="M7951" i="22"/>
  <c r="M7950" i="22"/>
  <c r="M7949" i="22"/>
  <c r="M7948" i="22"/>
  <c r="M7947" i="22"/>
  <c r="M7946" i="22"/>
  <c r="M7945" i="22"/>
  <c r="M7944" i="22"/>
  <c r="M7943" i="22"/>
  <c r="M7942" i="22"/>
  <c r="M7941" i="22"/>
  <c r="M7940" i="22"/>
  <c r="M7939" i="22"/>
  <c r="M7938" i="22"/>
  <c r="M7937" i="22"/>
  <c r="M7936" i="22"/>
  <c r="M7935" i="22"/>
  <c r="M7934" i="22"/>
  <c r="M7933" i="22"/>
  <c r="M7932" i="22"/>
  <c r="M7931" i="22"/>
  <c r="M7930" i="22"/>
  <c r="M7929" i="22"/>
  <c r="M7928" i="22"/>
  <c r="M7927" i="22"/>
  <c r="M7926" i="22"/>
  <c r="M7925" i="22"/>
  <c r="M7924" i="22"/>
  <c r="M7923" i="22"/>
  <c r="M7922" i="22"/>
  <c r="M7921" i="22"/>
  <c r="M7920" i="22"/>
  <c r="M7919" i="22"/>
  <c r="M7918" i="22"/>
  <c r="M7917" i="22"/>
  <c r="M7916" i="22"/>
  <c r="M7915" i="22"/>
  <c r="M7914" i="22"/>
  <c r="M7913" i="22"/>
  <c r="M7912" i="22"/>
  <c r="M7911" i="22"/>
  <c r="M7910" i="22"/>
  <c r="M7909" i="22"/>
  <c r="M7908" i="22"/>
  <c r="M7907" i="22"/>
  <c r="M7906" i="22"/>
  <c r="M7905" i="22"/>
  <c r="M7904" i="22"/>
  <c r="M7903" i="22"/>
  <c r="M7902" i="22"/>
  <c r="M7901" i="22"/>
  <c r="M7900" i="22"/>
  <c r="M7899" i="22"/>
  <c r="M7898" i="22"/>
  <c r="M7897" i="22"/>
  <c r="M7896" i="22"/>
  <c r="M7895" i="22"/>
  <c r="M7894" i="22"/>
  <c r="M7893" i="22"/>
  <c r="M7892" i="22"/>
  <c r="M7891" i="22"/>
  <c r="M7890" i="22"/>
  <c r="M7889" i="22"/>
  <c r="M7888" i="22"/>
  <c r="M7887" i="22"/>
  <c r="M7886" i="22"/>
  <c r="M7885" i="22"/>
  <c r="M7884" i="22"/>
  <c r="M7883" i="22"/>
  <c r="M7882" i="22"/>
  <c r="M7881" i="22"/>
  <c r="M7880" i="22"/>
  <c r="M7879" i="22"/>
  <c r="M7878" i="22"/>
  <c r="M7877" i="22"/>
  <c r="M7876" i="22"/>
  <c r="M7875" i="22"/>
  <c r="M7874" i="22"/>
  <c r="M7873" i="22"/>
  <c r="M7872" i="22"/>
  <c r="M7871" i="22"/>
  <c r="M7870" i="22"/>
  <c r="M7869" i="22"/>
  <c r="M7868" i="22"/>
  <c r="M7867" i="22"/>
  <c r="M7866" i="22"/>
  <c r="M7865" i="22"/>
  <c r="M7864" i="22"/>
  <c r="M7863" i="22"/>
  <c r="M7862" i="22"/>
  <c r="M7861" i="22"/>
  <c r="M7860" i="22"/>
  <c r="M7859" i="22"/>
  <c r="M7858" i="22"/>
  <c r="M7857" i="22"/>
  <c r="M7856" i="22"/>
  <c r="M7855" i="22"/>
  <c r="M7854" i="22"/>
  <c r="M7853" i="22"/>
  <c r="M7852" i="22"/>
  <c r="M7851" i="22"/>
  <c r="M7850" i="22"/>
  <c r="M7849" i="22"/>
  <c r="M7848" i="22"/>
  <c r="M7847" i="22"/>
  <c r="M7846" i="22"/>
  <c r="M7845" i="22"/>
  <c r="M7844" i="22"/>
  <c r="M7843" i="22"/>
  <c r="M7842" i="22"/>
  <c r="M7841" i="22"/>
  <c r="M7840" i="22"/>
  <c r="M7839" i="22"/>
  <c r="M7838" i="22"/>
  <c r="M7837" i="22"/>
  <c r="M7836" i="22"/>
  <c r="M7835" i="22"/>
  <c r="M7834" i="22"/>
  <c r="M7833" i="22"/>
  <c r="M7832" i="22"/>
  <c r="M7831" i="22"/>
  <c r="M7830" i="22"/>
  <c r="M7829" i="22"/>
  <c r="M7828" i="22"/>
  <c r="M7827" i="22"/>
  <c r="M7826" i="22"/>
  <c r="M7825" i="22"/>
  <c r="M7824" i="22"/>
  <c r="M7823" i="22"/>
  <c r="M7822" i="22"/>
  <c r="M7821" i="22"/>
  <c r="M7820" i="22"/>
  <c r="M7819" i="22"/>
  <c r="M7818" i="22"/>
  <c r="M7817" i="22"/>
  <c r="M7816" i="22"/>
  <c r="M7815" i="22"/>
  <c r="M7814" i="22"/>
  <c r="M7813" i="22"/>
  <c r="M7812" i="22"/>
  <c r="M7811" i="22"/>
  <c r="M7810" i="22"/>
  <c r="M7809" i="22"/>
  <c r="M7808" i="22"/>
  <c r="M7807" i="22"/>
  <c r="M7806" i="22"/>
  <c r="M7805" i="22"/>
  <c r="M7804" i="22"/>
  <c r="M7803" i="22"/>
  <c r="M7802" i="22"/>
  <c r="M7801" i="22"/>
  <c r="M7800" i="22"/>
  <c r="M7799" i="22"/>
  <c r="M7798" i="22"/>
  <c r="M7797" i="22"/>
  <c r="M7796" i="22"/>
  <c r="M7795" i="22"/>
  <c r="M7794" i="22"/>
  <c r="M7793" i="22"/>
  <c r="M7792" i="22"/>
  <c r="M7791" i="22"/>
  <c r="M7790" i="22"/>
  <c r="M7789" i="22"/>
  <c r="M7788" i="22"/>
  <c r="M7787" i="22"/>
  <c r="M7786" i="22"/>
  <c r="M7785" i="22"/>
  <c r="M7784" i="22"/>
  <c r="M7783" i="22"/>
  <c r="M7782" i="22"/>
  <c r="M7781" i="22"/>
  <c r="M7780" i="22"/>
  <c r="M7779" i="22"/>
  <c r="M7778" i="22"/>
  <c r="M7777" i="22"/>
  <c r="M7776" i="22"/>
  <c r="M7775" i="22"/>
  <c r="M7774" i="22"/>
  <c r="M7773" i="22"/>
  <c r="M7772" i="22"/>
  <c r="M7771" i="22"/>
  <c r="M7770" i="22"/>
  <c r="M7769" i="22"/>
  <c r="M7768" i="22"/>
  <c r="M7767" i="22"/>
  <c r="M7766" i="22"/>
  <c r="M7765" i="22"/>
  <c r="M7764" i="22"/>
  <c r="M7763" i="22"/>
  <c r="M7762" i="22"/>
  <c r="M7761" i="22"/>
  <c r="M7760" i="22"/>
  <c r="M7759" i="22"/>
  <c r="M7758" i="22"/>
  <c r="M7757" i="22"/>
  <c r="M7756" i="22"/>
  <c r="M7755" i="22"/>
  <c r="M7754" i="22"/>
  <c r="M7753" i="22"/>
  <c r="M7752" i="22"/>
  <c r="M7751" i="22"/>
  <c r="M7750" i="22"/>
  <c r="M7749" i="22"/>
  <c r="M7748" i="22"/>
  <c r="M7747" i="22"/>
  <c r="M7746" i="22"/>
  <c r="M7745" i="22"/>
  <c r="M7744" i="22"/>
  <c r="M7743" i="22"/>
  <c r="M7742" i="22"/>
  <c r="M7741" i="22"/>
  <c r="M7740" i="22"/>
  <c r="M7739" i="22"/>
  <c r="M7738" i="22"/>
  <c r="M7737" i="22"/>
  <c r="M7736" i="22"/>
  <c r="M7735" i="22"/>
  <c r="M7734" i="22"/>
  <c r="M7733" i="22"/>
  <c r="M7732" i="22"/>
  <c r="M7731" i="22"/>
  <c r="M7730" i="22"/>
  <c r="M7729" i="22"/>
  <c r="M7728" i="22"/>
  <c r="M7727" i="22"/>
  <c r="M7726" i="22"/>
  <c r="M7725" i="22"/>
  <c r="M7724" i="22"/>
  <c r="M7723" i="22"/>
  <c r="M7722" i="22"/>
  <c r="M7721" i="22"/>
  <c r="M7720" i="22"/>
  <c r="M7719" i="22"/>
  <c r="M7718" i="22"/>
  <c r="M7717" i="22"/>
  <c r="M7716" i="22"/>
  <c r="M7715" i="22"/>
  <c r="M7714" i="22"/>
  <c r="M7713" i="22"/>
  <c r="M7712" i="22"/>
  <c r="M7711" i="22"/>
  <c r="M7710" i="22"/>
  <c r="M7709" i="22"/>
  <c r="M7708" i="22"/>
  <c r="M7707" i="22"/>
  <c r="M7706" i="22"/>
  <c r="M7705" i="22"/>
  <c r="M7704" i="22"/>
  <c r="M7703" i="22"/>
  <c r="M7702" i="22"/>
  <c r="M7701" i="22"/>
  <c r="M7700" i="22"/>
  <c r="M7699" i="22"/>
  <c r="M7698" i="22"/>
  <c r="M7697" i="22"/>
  <c r="M7696" i="22"/>
  <c r="M7695" i="22"/>
  <c r="M7694" i="22"/>
  <c r="M7693" i="22"/>
  <c r="M7692" i="22"/>
  <c r="M7691" i="22"/>
  <c r="M7690" i="22"/>
  <c r="M7689" i="22"/>
  <c r="M7688" i="22"/>
  <c r="M7687" i="22"/>
  <c r="M7686" i="22"/>
  <c r="M7685" i="22"/>
  <c r="M7684" i="22"/>
  <c r="M7683" i="22"/>
  <c r="M7682" i="22"/>
  <c r="M7681" i="22"/>
  <c r="M7680" i="22"/>
  <c r="M7679" i="22"/>
  <c r="M7678" i="22"/>
  <c r="M7677" i="22"/>
  <c r="M7676" i="22"/>
  <c r="M7675" i="22"/>
  <c r="M7674" i="22"/>
  <c r="M7673" i="22"/>
  <c r="M7672" i="22"/>
  <c r="M7671" i="22"/>
  <c r="M7670" i="22"/>
  <c r="M7669" i="22"/>
  <c r="M7668" i="22"/>
  <c r="M7667" i="22"/>
  <c r="M7666" i="22"/>
  <c r="M7665" i="22"/>
  <c r="M7664" i="22"/>
  <c r="M7663" i="22"/>
  <c r="M7662" i="22"/>
  <c r="M7661" i="22"/>
  <c r="M7660" i="22"/>
  <c r="M7659" i="22"/>
  <c r="M7658" i="22"/>
  <c r="M7657" i="22"/>
  <c r="M7656" i="22"/>
  <c r="M7655" i="22"/>
  <c r="M7654" i="22"/>
  <c r="M7653" i="22"/>
  <c r="M7652" i="22"/>
  <c r="M7651" i="22"/>
  <c r="M7650" i="22"/>
  <c r="M7649" i="22"/>
  <c r="M7648" i="22"/>
  <c r="M7647" i="22"/>
  <c r="M7646" i="22"/>
  <c r="M7645" i="22"/>
  <c r="M7644" i="22"/>
  <c r="M7643" i="22"/>
  <c r="M7642" i="22"/>
  <c r="M7641" i="22"/>
  <c r="M7640" i="22"/>
  <c r="M7639" i="22"/>
  <c r="M7638" i="22"/>
  <c r="M7637" i="22"/>
  <c r="M7636" i="22"/>
  <c r="M7635" i="22"/>
  <c r="M7634" i="22"/>
  <c r="M7633" i="22"/>
  <c r="M7632" i="22"/>
  <c r="M7631" i="22"/>
  <c r="M7630" i="22"/>
  <c r="M7629" i="22"/>
  <c r="M7628" i="22"/>
  <c r="M7627" i="22"/>
  <c r="M7626" i="22"/>
  <c r="M7625" i="22"/>
  <c r="M7624" i="22"/>
  <c r="M7623" i="22"/>
  <c r="M7622" i="22"/>
  <c r="M7621" i="22"/>
  <c r="M7620" i="22"/>
  <c r="M7619" i="22"/>
  <c r="M7618" i="22"/>
  <c r="M7617" i="22"/>
  <c r="M7616" i="22"/>
  <c r="M7615" i="22"/>
  <c r="M7614" i="22"/>
  <c r="M7613" i="22"/>
  <c r="M7612" i="22"/>
  <c r="M7611" i="22"/>
  <c r="M7610" i="22"/>
  <c r="M7609" i="22"/>
  <c r="M7608" i="22"/>
  <c r="M7607" i="22"/>
  <c r="M7606" i="22"/>
  <c r="M7605" i="22"/>
  <c r="M7604" i="22"/>
  <c r="M7603" i="22"/>
  <c r="M7602" i="22"/>
  <c r="M7601" i="22"/>
  <c r="M7600" i="22"/>
  <c r="M7599" i="22"/>
  <c r="M7598" i="22"/>
  <c r="M7597" i="22"/>
  <c r="M7596" i="22"/>
  <c r="M7595" i="22"/>
  <c r="M7594" i="22"/>
  <c r="M7593" i="22"/>
  <c r="M7592" i="22"/>
  <c r="M7591" i="22"/>
  <c r="M7590" i="22"/>
  <c r="M7589" i="22"/>
  <c r="M7588" i="22"/>
  <c r="M7587" i="22"/>
  <c r="M7586" i="22"/>
  <c r="M7585" i="22"/>
  <c r="M7584" i="22"/>
  <c r="M7583" i="22"/>
  <c r="M7582" i="22"/>
  <c r="M7581" i="22"/>
  <c r="M7580" i="22"/>
  <c r="M7579" i="22"/>
  <c r="M7578" i="22"/>
  <c r="M7577" i="22"/>
  <c r="M7576" i="22"/>
  <c r="M7575" i="22"/>
  <c r="M7574" i="22"/>
  <c r="M7573" i="22"/>
  <c r="M7572" i="22"/>
  <c r="M7571" i="22"/>
  <c r="M7570" i="22"/>
  <c r="M7569" i="22"/>
  <c r="M7568" i="22"/>
  <c r="M7567" i="22"/>
  <c r="M7566" i="22"/>
  <c r="M7565" i="22"/>
  <c r="M7564" i="22"/>
  <c r="M7563" i="22"/>
  <c r="M7562" i="22"/>
  <c r="M7561" i="22"/>
  <c r="M7560" i="22"/>
  <c r="M7559" i="22"/>
  <c r="M7558" i="22"/>
  <c r="M7557" i="22"/>
  <c r="M7556" i="22"/>
  <c r="M7555" i="22"/>
  <c r="M7554" i="22"/>
  <c r="M7553" i="22"/>
  <c r="M7552" i="22"/>
  <c r="M7551" i="22"/>
  <c r="M7550" i="22"/>
  <c r="M7549" i="22"/>
  <c r="M7548" i="22"/>
  <c r="M7547" i="22"/>
  <c r="M7546" i="22"/>
  <c r="M7545" i="22"/>
  <c r="M7544" i="22"/>
  <c r="M7543" i="22"/>
  <c r="M7542" i="22"/>
  <c r="M7541" i="22"/>
  <c r="M7540" i="22"/>
  <c r="M7539" i="22"/>
  <c r="M7538" i="22"/>
  <c r="M7537" i="22"/>
  <c r="M7536" i="22"/>
  <c r="M7535" i="22"/>
  <c r="M7534" i="22"/>
  <c r="M7533" i="22"/>
  <c r="M7532" i="22"/>
  <c r="M7531" i="22"/>
  <c r="M7530" i="22"/>
  <c r="M7529" i="22"/>
  <c r="M7528" i="22"/>
  <c r="M7527" i="22"/>
  <c r="M7526" i="22"/>
  <c r="M7525" i="22"/>
  <c r="M7524" i="22"/>
  <c r="M7523" i="22"/>
  <c r="M7522" i="22"/>
  <c r="M7521" i="22"/>
  <c r="M7520" i="22"/>
  <c r="M7519" i="22"/>
  <c r="M7518" i="22"/>
  <c r="M7517" i="22"/>
  <c r="M7516" i="22"/>
  <c r="M7515" i="22"/>
  <c r="M7514" i="22"/>
  <c r="M7513" i="22"/>
  <c r="M7512" i="22"/>
  <c r="M7511" i="22"/>
  <c r="M7510" i="22"/>
  <c r="M7509" i="22"/>
  <c r="M7508" i="22"/>
  <c r="M7507" i="22"/>
  <c r="M7506" i="22"/>
  <c r="M7505" i="22"/>
  <c r="M7504" i="22"/>
  <c r="M7503" i="22"/>
  <c r="M7502" i="22"/>
  <c r="M7501" i="22"/>
  <c r="M7500" i="22"/>
  <c r="M7499" i="22"/>
  <c r="M7498" i="22"/>
  <c r="M7497" i="22"/>
  <c r="M7496" i="22"/>
  <c r="M7495" i="22"/>
  <c r="M7494" i="22"/>
  <c r="M7493" i="22"/>
  <c r="M7492" i="22"/>
  <c r="M7491" i="22"/>
  <c r="M7490" i="22"/>
  <c r="M7489" i="22"/>
  <c r="M7488" i="22"/>
  <c r="M7487" i="22"/>
  <c r="M7486" i="22"/>
  <c r="M7485" i="22"/>
  <c r="M7484" i="22"/>
  <c r="M7483" i="22"/>
  <c r="M7482" i="22"/>
  <c r="M7481" i="22"/>
  <c r="M7480" i="22"/>
  <c r="M7479" i="22"/>
  <c r="M7478" i="22"/>
  <c r="M7477" i="22"/>
  <c r="M7476" i="22"/>
  <c r="M7475" i="22"/>
  <c r="M7474" i="22"/>
  <c r="M7473" i="22"/>
  <c r="M7472" i="22"/>
  <c r="M7471" i="22"/>
  <c r="M7470" i="22"/>
  <c r="M7469" i="22"/>
  <c r="M7468" i="22"/>
  <c r="M7467" i="22"/>
  <c r="M7466" i="22"/>
  <c r="M7465" i="22"/>
  <c r="M7464" i="22"/>
  <c r="M7463" i="22"/>
  <c r="M7462" i="22"/>
  <c r="M7461" i="22"/>
  <c r="M7460" i="22"/>
  <c r="M7459" i="22"/>
  <c r="M7458" i="22"/>
  <c r="M7457" i="22"/>
  <c r="M7456" i="22"/>
  <c r="M7455" i="22"/>
  <c r="M7454" i="22"/>
  <c r="M7453" i="22"/>
  <c r="M7452" i="22"/>
  <c r="M7451" i="22"/>
  <c r="M7450" i="22"/>
  <c r="M7449" i="22"/>
  <c r="M7448" i="22"/>
  <c r="M7447" i="22"/>
  <c r="M7446" i="22"/>
  <c r="M7445" i="22"/>
  <c r="M7444" i="22"/>
  <c r="M7443" i="22"/>
  <c r="M7442" i="22"/>
  <c r="M7441" i="22"/>
  <c r="M7440" i="22"/>
  <c r="M7439" i="22"/>
  <c r="M7438" i="22"/>
  <c r="M7437" i="22"/>
  <c r="M7436" i="22"/>
  <c r="M7435" i="22"/>
  <c r="M7434" i="22"/>
  <c r="M7433" i="22"/>
  <c r="M7432" i="22"/>
  <c r="M7431" i="22"/>
  <c r="M7430" i="22"/>
  <c r="M7429" i="22"/>
  <c r="M7428" i="22"/>
  <c r="M7427" i="22"/>
  <c r="M7426" i="22"/>
  <c r="M7425" i="22"/>
  <c r="M7424" i="22"/>
  <c r="M7423" i="22"/>
  <c r="M7422" i="22"/>
  <c r="M7421" i="22"/>
  <c r="M7420" i="22"/>
  <c r="M7419" i="22"/>
  <c r="M7418" i="22"/>
  <c r="M7417" i="22"/>
  <c r="M7416" i="22"/>
  <c r="M7415" i="22"/>
  <c r="M7414" i="22"/>
  <c r="M7413" i="22"/>
  <c r="M7412" i="22"/>
  <c r="M7411" i="22"/>
  <c r="M7410" i="22"/>
  <c r="M7409" i="22"/>
  <c r="M7408" i="22"/>
  <c r="M7407" i="22"/>
  <c r="M7406" i="22"/>
  <c r="M7405" i="22"/>
  <c r="M7404" i="22"/>
  <c r="M7403" i="22"/>
  <c r="M7402" i="22"/>
  <c r="M7401" i="22"/>
  <c r="M7400" i="22"/>
  <c r="M7399" i="22"/>
  <c r="M7398" i="22"/>
  <c r="M7397" i="22"/>
  <c r="M7396" i="22"/>
  <c r="M7395" i="22"/>
  <c r="M7394" i="22"/>
  <c r="M7393" i="22"/>
  <c r="M7392" i="22"/>
  <c r="M7391" i="22"/>
  <c r="M7390" i="22"/>
  <c r="M7389" i="22"/>
  <c r="M7388" i="22"/>
  <c r="M7387" i="22"/>
  <c r="M7386" i="22"/>
  <c r="M7385" i="22"/>
  <c r="M7384" i="22"/>
  <c r="M7383" i="22"/>
  <c r="M7382" i="22"/>
  <c r="M7381" i="22"/>
  <c r="M7380" i="22"/>
  <c r="M7379" i="22"/>
  <c r="M7378" i="22"/>
  <c r="M7377" i="22"/>
  <c r="M7376" i="22"/>
  <c r="M7375" i="22"/>
  <c r="M7374" i="22"/>
  <c r="M7373" i="22"/>
  <c r="M7372" i="22"/>
  <c r="M7371" i="22"/>
  <c r="M7370" i="22"/>
  <c r="M7369" i="22"/>
  <c r="M7368" i="22"/>
  <c r="M7367" i="22"/>
  <c r="M7366" i="22"/>
  <c r="M7365" i="22"/>
  <c r="M7364" i="22"/>
  <c r="M7363" i="22"/>
  <c r="M7362" i="22"/>
  <c r="M7361" i="22"/>
  <c r="M7360" i="22"/>
  <c r="M7359" i="22"/>
  <c r="M7358" i="22"/>
  <c r="M7357" i="22"/>
  <c r="M7356" i="22"/>
  <c r="M7355" i="22"/>
  <c r="M7354" i="22"/>
  <c r="M7353" i="22"/>
  <c r="M7352" i="22"/>
  <c r="M7351" i="22"/>
  <c r="M7350" i="22"/>
  <c r="M7349" i="22"/>
  <c r="M7348" i="22"/>
  <c r="M7347" i="22"/>
  <c r="M7346" i="22"/>
  <c r="M7345" i="22"/>
  <c r="M7344" i="22"/>
  <c r="M7343" i="22"/>
  <c r="M7342" i="22"/>
  <c r="M7341" i="22"/>
  <c r="M7340" i="22"/>
  <c r="M7339" i="22"/>
  <c r="M7338" i="22"/>
  <c r="M7337" i="22"/>
  <c r="M7336" i="22"/>
  <c r="M7335" i="22"/>
  <c r="M7334" i="22"/>
  <c r="M7333" i="22"/>
  <c r="M7332" i="22"/>
  <c r="M7331" i="22"/>
  <c r="M7330" i="22"/>
  <c r="M7329" i="22"/>
  <c r="M7328" i="22"/>
  <c r="M7327" i="22"/>
  <c r="M7326" i="22"/>
  <c r="M7325" i="22"/>
  <c r="M7324" i="22"/>
  <c r="M7323" i="22"/>
  <c r="M7322" i="22"/>
  <c r="M7321" i="22"/>
  <c r="M7320" i="22"/>
  <c r="M7319" i="22"/>
  <c r="M7318" i="22"/>
  <c r="M7317" i="22"/>
  <c r="M7316" i="22"/>
  <c r="M7315" i="22"/>
  <c r="M7314" i="22"/>
  <c r="M7313" i="22"/>
  <c r="M7312" i="22"/>
  <c r="M7311" i="22"/>
  <c r="M7310" i="22"/>
  <c r="M7309" i="22"/>
  <c r="M7308" i="22"/>
  <c r="M7307" i="22"/>
  <c r="M7306" i="22"/>
  <c r="M7305" i="22"/>
  <c r="M7304" i="22"/>
  <c r="M7303" i="22"/>
  <c r="M7302" i="22"/>
  <c r="M7301" i="22"/>
  <c r="M7300" i="22"/>
  <c r="M7299" i="22"/>
  <c r="M7298" i="22"/>
  <c r="M7297" i="22"/>
  <c r="M7296" i="22"/>
  <c r="M7295" i="22"/>
  <c r="M7294" i="22"/>
  <c r="M7293" i="22"/>
  <c r="M7292" i="22"/>
  <c r="M7291" i="22"/>
  <c r="M7290" i="22"/>
  <c r="M7289" i="22"/>
  <c r="M7288" i="22"/>
  <c r="M7287" i="22"/>
  <c r="M7286" i="22"/>
  <c r="M7285" i="22"/>
  <c r="M7284" i="22"/>
  <c r="M7283" i="22"/>
  <c r="M7282" i="22"/>
  <c r="M7281" i="22"/>
  <c r="M7280" i="22"/>
  <c r="M7279" i="22"/>
  <c r="M7278" i="22"/>
  <c r="M7277" i="22"/>
  <c r="M7276" i="22"/>
  <c r="M7275" i="22"/>
  <c r="M7274" i="22"/>
  <c r="M7273" i="22"/>
  <c r="M7272" i="22"/>
  <c r="M7271" i="22"/>
  <c r="M7270" i="22"/>
  <c r="M7269" i="22"/>
  <c r="M7268" i="22"/>
  <c r="M7267" i="22"/>
  <c r="M7266" i="22"/>
  <c r="M7265" i="22"/>
  <c r="M7264" i="22"/>
  <c r="M7263" i="22"/>
  <c r="M7262" i="22"/>
  <c r="M7261" i="22"/>
  <c r="M7260" i="22"/>
  <c r="M7259" i="22"/>
  <c r="M7258" i="22"/>
  <c r="M7257" i="22"/>
  <c r="M7256" i="22"/>
  <c r="M7255" i="22"/>
  <c r="M7254" i="22"/>
  <c r="M7253" i="22"/>
  <c r="M7252" i="22"/>
  <c r="M7251" i="22"/>
  <c r="M7250" i="22"/>
  <c r="M7249" i="22"/>
  <c r="M7248" i="22"/>
  <c r="M7247" i="22"/>
  <c r="M7246" i="22"/>
  <c r="M7245" i="22"/>
  <c r="M7244" i="22"/>
  <c r="M7243" i="22"/>
  <c r="M7242" i="22"/>
  <c r="M7241" i="22"/>
  <c r="M7240" i="22"/>
  <c r="M7239" i="22"/>
  <c r="M7238" i="22"/>
  <c r="M7237" i="22"/>
  <c r="M7236" i="22"/>
  <c r="M7235" i="22"/>
  <c r="M7234" i="22"/>
  <c r="M7233" i="22"/>
  <c r="M7232" i="22"/>
  <c r="M7231" i="22"/>
  <c r="M7230" i="22"/>
  <c r="M7229" i="22"/>
  <c r="M7228" i="22"/>
  <c r="M7227" i="22"/>
  <c r="M7226" i="22"/>
  <c r="M7225" i="22"/>
  <c r="M7224" i="22"/>
  <c r="M7223" i="22"/>
  <c r="M7222" i="22"/>
  <c r="M7221" i="22"/>
  <c r="M7220" i="22"/>
  <c r="M7219" i="22"/>
  <c r="M7218" i="22"/>
  <c r="M7217" i="22"/>
  <c r="M7216" i="22"/>
  <c r="M7215" i="22"/>
  <c r="M7214" i="22"/>
  <c r="M7213" i="22"/>
  <c r="M7212" i="22"/>
  <c r="M7211" i="22"/>
  <c r="M7210" i="22"/>
  <c r="M7209" i="22"/>
  <c r="M7208" i="22"/>
  <c r="M7207" i="22"/>
  <c r="M7206" i="22"/>
  <c r="M7205" i="22"/>
  <c r="M7204" i="22"/>
  <c r="M7203" i="22"/>
  <c r="M7202" i="22"/>
  <c r="M7201" i="22"/>
  <c r="M7200" i="22"/>
  <c r="M7199" i="22"/>
  <c r="M7198" i="22"/>
  <c r="M7197" i="22"/>
  <c r="M7196" i="22"/>
  <c r="M7195" i="22"/>
  <c r="M7194" i="22"/>
  <c r="M7193" i="22"/>
  <c r="M7192" i="22"/>
  <c r="M7191" i="22"/>
  <c r="M7190" i="22"/>
  <c r="M7189" i="22"/>
  <c r="M7188" i="22"/>
  <c r="M7187" i="22"/>
  <c r="M7186" i="22"/>
  <c r="M7185" i="22"/>
  <c r="M7184" i="22"/>
  <c r="M7183" i="22"/>
  <c r="M7182" i="22"/>
  <c r="M7181" i="22"/>
  <c r="M7180" i="22"/>
  <c r="M7179" i="22"/>
  <c r="M7178" i="22"/>
  <c r="M7177" i="22"/>
  <c r="M7176" i="22"/>
  <c r="M7175" i="22"/>
  <c r="M7174" i="22"/>
  <c r="M7173" i="22"/>
  <c r="M7172" i="22"/>
  <c r="M7171" i="22"/>
  <c r="M7170" i="22"/>
  <c r="M7169" i="22"/>
  <c r="M7168" i="22"/>
  <c r="M7167" i="22"/>
  <c r="M7166" i="22"/>
  <c r="M7165" i="22"/>
  <c r="M7164" i="22"/>
  <c r="M7163" i="22"/>
  <c r="M7162" i="22"/>
  <c r="M7161" i="22"/>
  <c r="M7160" i="22"/>
  <c r="M7159" i="22"/>
  <c r="M7158" i="22"/>
  <c r="M7157" i="22"/>
  <c r="M7156" i="22"/>
  <c r="M7155" i="22"/>
  <c r="M7154" i="22"/>
  <c r="M7153" i="22"/>
  <c r="M7152" i="22"/>
  <c r="M7151" i="22"/>
  <c r="M7150" i="22"/>
  <c r="M7149" i="22"/>
  <c r="M7148" i="22"/>
  <c r="M7147" i="22"/>
  <c r="M7146" i="22"/>
  <c r="M7145" i="22"/>
  <c r="M7144" i="22"/>
  <c r="M7143" i="22"/>
  <c r="M7142" i="22"/>
  <c r="M7141" i="22"/>
  <c r="M7140" i="22"/>
  <c r="M7139" i="22"/>
  <c r="M7138" i="22"/>
  <c r="M7137" i="22"/>
  <c r="M7136" i="22"/>
  <c r="M7135" i="22"/>
  <c r="M7134" i="22"/>
  <c r="M7133" i="22"/>
  <c r="M7132" i="22"/>
  <c r="M7131" i="22"/>
  <c r="M7130" i="22"/>
  <c r="M7129" i="22"/>
  <c r="M7128" i="22"/>
  <c r="M7127" i="22"/>
  <c r="M7126" i="22"/>
  <c r="M7125" i="22"/>
  <c r="M7124" i="22"/>
  <c r="M7123" i="22"/>
  <c r="M7122" i="22"/>
  <c r="M7121" i="22"/>
  <c r="M7120" i="22"/>
  <c r="M7119" i="22"/>
  <c r="M7118" i="22"/>
  <c r="M7117" i="22"/>
  <c r="M7116" i="22"/>
  <c r="M7115" i="22"/>
  <c r="M7114" i="22"/>
  <c r="M7113" i="22"/>
  <c r="M7112" i="22"/>
  <c r="M7111" i="22"/>
  <c r="M7110" i="22"/>
  <c r="M7109" i="22"/>
  <c r="M7108" i="22"/>
  <c r="M7107" i="22"/>
  <c r="M7106" i="22"/>
  <c r="M7105" i="22"/>
  <c r="M7104" i="22"/>
  <c r="M7103" i="22"/>
  <c r="M7102" i="22"/>
  <c r="M7101" i="22"/>
  <c r="M7100" i="22"/>
  <c r="M7099" i="22"/>
  <c r="M7098" i="22"/>
  <c r="M7097" i="22"/>
  <c r="M7096" i="22"/>
  <c r="M7095" i="22"/>
  <c r="M7094" i="22"/>
  <c r="M7093" i="22"/>
  <c r="M7092" i="22"/>
  <c r="M7091" i="22"/>
  <c r="M7090" i="22"/>
  <c r="M7089" i="22"/>
  <c r="M7088" i="22"/>
  <c r="M7087" i="22"/>
  <c r="M7086" i="22"/>
  <c r="M7085" i="22"/>
  <c r="M7084" i="22"/>
  <c r="M7083" i="22"/>
  <c r="M7082" i="22"/>
  <c r="M7081" i="22"/>
  <c r="M7080" i="22"/>
  <c r="M7079" i="22"/>
  <c r="M7078" i="22"/>
  <c r="M7077" i="22"/>
  <c r="M7076" i="22"/>
  <c r="M7075" i="22"/>
  <c r="M7074" i="22"/>
  <c r="M7073" i="22"/>
  <c r="M7072" i="22"/>
  <c r="M7071" i="22"/>
  <c r="M7070" i="22"/>
  <c r="M7069" i="22"/>
  <c r="M7068" i="22"/>
  <c r="M7067" i="22"/>
  <c r="M7066" i="22"/>
  <c r="M7065" i="22"/>
  <c r="M7064" i="22"/>
  <c r="M7063" i="22"/>
  <c r="M7062" i="22"/>
  <c r="M7061" i="22"/>
  <c r="M7060" i="22"/>
  <c r="M7059" i="22"/>
  <c r="M7058" i="22"/>
  <c r="M7057" i="22"/>
  <c r="M7056" i="22"/>
  <c r="M7055" i="22"/>
  <c r="M7054" i="22"/>
  <c r="M7053" i="22"/>
  <c r="M7052" i="22"/>
  <c r="M7051" i="22"/>
  <c r="M7050" i="22"/>
  <c r="M7049" i="22"/>
  <c r="M7048" i="22"/>
  <c r="M7047" i="22"/>
  <c r="M7046" i="22"/>
  <c r="M7045" i="22"/>
  <c r="M7044" i="22"/>
  <c r="M7043" i="22"/>
  <c r="M7042" i="22"/>
  <c r="M7041" i="22"/>
  <c r="M7040" i="22"/>
  <c r="M7039" i="22"/>
  <c r="M7038" i="22"/>
  <c r="M7037" i="22"/>
  <c r="M7036" i="22"/>
  <c r="M7035" i="22"/>
  <c r="M7034" i="22"/>
  <c r="M7033" i="22"/>
  <c r="M7032" i="22"/>
  <c r="M7031" i="22"/>
  <c r="M7030" i="22"/>
  <c r="M7029" i="22"/>
  <c r="M7028" i="22"/>
  <c r="M7027" i="22"/>
  <c r="M7026" i="22"/>
  <c r="M7025" i="22"/>
  <c r="M7024" i="22"/>
  <c r="M7023" i="22"/>
  <c r="M7022" i="22"/>
  <c r="M7021" i="22"/>
  <c r="M7020" i="22"/>
  <c r="M7019" i="22"/>
  <c r="M7018" i="22"/>
  <c r="M7017" i="22"/>
  <c r="M7016" i="22"/>
  <c r="M7015" i="22"/>
  <c r="M7014" i="22"/>
  <c r="M7013" i="22"/>
  <c r="M7012" i="22"/>
  <c r="M7011" i="22"/>
  <c r="M7010" i="22"/>
  <c r="M7009" i="22"/>
  <c r="M7008" i="22"/>
  <c r="M7007" i="22"/>
  <c r="M7006" i="22"/>
  <c r="M7005" i="22"/>
  <c r="M7004" i="22"/>
  <c r="M7003" i="22"/>
  <c r="M7002" i="22"/>
  <c r="M7001" i="22"/>
  <c r="M7000" i="22"/>
  <c r="M6999" i="22"/>
  <c r="M6998" i="22"/>
  <c r="M6997" i="22"/>
  <c r="M6996" i="22"/>
  <c r="M6995" i="22"/>
  <c r="M6994" i="22"/>
  <c r="M6993" i="22"/>
  <c r="M6992" i="22"/>
  <c r="M6991" i="22"/>
  <c r="M6990" i="22"/>
  <c r="M6989" i="22"/>
  <c r="M6988" i="22"/>
  <c r="M6987" i="22"/>
  <c r="M6986" i="22"/>
  <c r="M6985" i="22"/>
  <c r="M6984" i="22"/>
  <c r="M6983" i="22"/>
  <c r="M6982" i="22"/>
  <c r="M6981" i="22"/>
  <c r="M6980" i="22"/>
  <c r="M6979" i="22"/>
  <c r="M6978" i="22"/>
  <c r="M6977" i="22"/>
  <c r="M6976" i="22"/>
  <c r="M6975" i="22"/>
  <c r="M6974" i="22"/>
  <c r="M6973" i="22"/>
  <c r="M6972" i="22"/>
  <c r="M6971" i="22"/>
  <c r="M6970" i="22"/>
  <c r="M6969" i="22"/>
  <c r="M6968" i="22"/>
  <c r="M6967" i="22"/>
  <c r="M6966" i="22"/>
  <c r="M6965" i="22"/>
  <c r="M6964" i="22"/>
  <c r="M6963" i="22"/>
  <c r="M6962" i="22"/>
  <c r="M6961" i="22"/>
  <c r="M6960" i="22"/>
  <c r="M6959" i="22"/>
  <c r="M6958" i="22"/>
  <c r="M6957" i="22"/>
  <c r="M6956" i="22"/>
  <c r="M6955" i="22"/>
  <c r="M6954" i="22"/>
  <c r="M6953" i="22"/>
  <c r="M6952" i="22"/>
  <c r="M6951" i="22"/>
  <c r="M6950" i="22"/>
  <c r="M6949" i="22"/>
  <c r="M6948" i="22"/>
  <c r="M6947" i="22"/>
  <c r="M6946" i="22"/>
  <c r="M6945" i="22"/>
  <c r="M6944" i="22"/>
  <c r="M6943" i="22"/>
  <c r="M6942" i="22"/>
  <c r="M6941" i="22"/>
  <c r="M6940" i="22"/>
  <c r="M6939" i="22"/>
  <c r="M6938" i="22"/>
  <c r="M6937" i="22"/>
  <c r="M6936" i="22"/>
  <c r="M6935" i="22"/>
  <c r="M6934" i="22"/>
  <c r="M6933" i="22"/>
  <c r="M6932" i="22"/>
  <c r="M6931" i="22"/>
  <c r="M6930" i="22"/>
  <c r="M6929" i="22"/>
  <c r="M6928" i="22"/>
  <c r="M6927" i="22"/>
  <c r="M6926" i="22"/>
  <c r="M6925" i="22"/>
  <c r="M6924" i="22"/>
  <c r="M6923" i="22"/>
  <c r="M6922" i="22"/>
  <c r="M6921" i="22"/>
  <c r="M6920" i="22"/>
  <c r="M6919" i="22"/>
  <c r="M6918" i="22"/>
  <c r="M6917" i="22"/>
  <c r="M6916" i="22"/>
  <c r="M6915" i="22"/>
  <c r="M6914" i="22"/>
  <c r="M6913" i="22"/>
  <c r="M6912" i="22"/>
  <c r="M6911" i="22"/>
  <c r="M6910" i="22"/>
  <c r="M6909" i="22"/>
  <c r="M6908" i="22"/>
  <c r="M6907" i="22"/>
  <c r="M6906" i="22"/>
  <c r="M6905" i="22"/>
  <c r="M6904" i="22"/>
  <c r="M6903" i="22"/>
  <c r="M6902" i="22"/>
  <c r="M6901" i="22"/>
  <c r="M6900" i="22"/>
  <c r="M6899" i="22"/>
  <c r="M6898" i="22"/>
  <c r="M6897" i="22"/>
  <c r="M6896" i="22"/>
  <c r="M6895" i="22"/>
  <c r="M6894" i="22"/>
  <c r="M6893" i="22"/>
  <c r="M6892" i="22"/>
  <c r="M6891" i="22"/>
  <c r="M6890" i="22"/>
  <c r="M6889" i="22"/>
  <c r="M6888" i="22"/>
  <c r="M6887" i="22"/>
  <c r="M6886" i="22"/>
  <c r="M6885" i="22"/>
  <c r="M6884" i="22"/>
  <c r="M6883" i="22"/>
  <c r="M6882" i="22"/>
  <c r="M6881" i="22"/>
  <c r="M6880" i="22"/>
  <c r="M6879" i="22"/>
  <c r="M6878" i="22"/>
  <c r="M6877" i="22"/>
  <c r="M6876" i="22"/>
  <c r="M6875" i="22"/>
  <c r="M6874" i="22"/>
  <c r="M6873" i="22"/>
  <c r="M6872" i="22"/>
  <c r="M6871" i="22"/>
  <c r="M6870" i="22"/>
  <c r="M6869" i="22"/>
  <c r="M6868" i="22"/>
  <c r="M6867" i="22"/>
  <c r="M6866" i="22"/>
  <c r="M6865" i="22"/>
  <c r="M6864" i="22"/>
  <c r="M6863" i="22"/>
  <c r="M6862" i="22"/>
  <c r="M6861" i="22"/>
  <c r="M6860" i="22"/>
  <c r="M6859" i="22"/>
  <c r="M6858" i="22"/>
  <c r="M6857" i="22"/>
  <c r="M6856" i="22"/>
  <c r="M6855" i="22"/>
  <c r="M6854" i="22"/>
  <c r="M6853" i="22"/>
  <c r="M6852" i="22"/>
  <c r="M6851" i="22"/>
  <c r="M6850" i="22"/>
  <c r="M6849" i="22"/>
  <c r="M6848" i="22"/>
  <c r="M6847" i="22"/>
  <c r="M6846" i="22"/>
  <c r="M6845" i="22"/>
  <c r="M6844" i="22"/>
  <c r="M6843" i="22"/>
  <c r="M6842" i="22"/>
  <c r="M6841" i="22"/>
  <c r="M6840" i="22"/>
  <c r="M6839" i="22"/>
  <c r="M6838" i="22"/>
  <c r="M6837" i="22"/>
  <c r="M6836" i="22"/>
  <c r="M6835" i="22"/>
  <c r="M6834" i="22"/>
  <c r="M6833" i="22"/>
  <c r="M6832" i="22"/>
  <c r="M6831" i="22"/>
  <c r="M6830" i="22"/>
  <c r="M6829" i="22"/>
  <c r="M6828" i="22"/>
  <c r="M6827" i="22"/>
  <c r="M6826" i="22"/>
  <c r="M6825" i="22"/>
  <c r="M6824" i="22"/>
  <c r="M6823" i="22"/>
  <c r="M6822" i="22"/>
  <c r="M6821" i="22"/>
  <c r="M6820" i="22"/>
  <c r="M6819" i="22"/>
  <c r="M6818" i="22"/>
  <c r="M6817" i="22"/>
  <c r="M6816" i="22"/>
  <c r="M6815" i="22"/>
  <c r="M6814" i="22"/>
  <c r="M6813" i="22"/>
  <c r="M6812" i="22"/>
  <c r="M6811" i="22"/>
  <c r="M6810" i="22"/>
  <c r="M6809" i="22"/>
  <c r="M6808" i="22"/>
  <c r="M6807" i="22"/>
  <c r="M6806" i="22"/>
  <c r="M6805" i="22"/>
  <c r="M6804" i="22"/>
  <c r="M6803" i="22"/>
  <c r="M6802" i="22"/>
  <c r="M6801" i="22"/>
  <c r="M6800" i="22"/>
  <c r="M6799" i="22"/>
  <c r="M6798" i="22"/>
  <c r="M6797" i="22"/>
  <c r="M6796" i="22"/>
  <c r="M6795" i="22"/>
  <c r="M6794" i="22"/>
  <c r="M6793" i="22"/>
  <c r="M6792" i="22"/>
  <c r="M6791" i="22"/>
  <c r="M6790" i="22"/>
  <c r="M6789" i="22"/>
  <c r="M6788" i="22"/>
  <c r="M6787" i="22"/>
  <c r="M6786" i="22"/>
  <c r="M6785" i="22"/>
  <c r="M6784" i="22"/>
  <c r="M6783" i="22"/>
  <c r="M6782" i="22"/>
  <c r="M6781" i="22"/>
  <c r="M6780" i="22"/>
  <c r="M6779" i="22"/>
  <c r="M6778" i="22"/>
  <c r="M6777" i="22"/>
  <c r="M6776" i="22"/>
  <c r="M6775" i="22"/>
  <c r="M6774" i="22"/>
  <c r="M6773" i="22"/>
  <c r="M6772" i="22"/>
  <c r="M6771" i="22"/>
  <c r="M6770" i="22"/>
  <c r="M6769" i="22"/>
  <c r="M6768" i="22"/>
  <c r="M6767" i="22"/>
  <c r="M6766" i="22"/>
  <c r="M6765" i="22"/>
  <c r="M6764" i="22"/>
  <c r="M6763" i="22"/>
  <c r="M6762" i="22"/>
  <c r="M6761" i="22"/>
  <c r="M6760" i="22"/>
  <c r="M6759" i="22"/>
  <c r="M6758" i="22"/>
  <c r="M6757" i="22"/>
  <c r="M6756" i="22"/>
  <c r="M6755" i="22"/>
  <c r="M6754" i="22"/>
  <c r="M6753" i="22"/>
  <c r="M6752" i="22"/>
  <c r="M6751" i="22"/>
  <c r="M6750" i="22"/>
  <c r="M6749" i="22"/>
  <c r="M6748" i="22"/>
  <c r="M6747" i="22"/>
  <c r="M6746" i="22"/>
  <c r="M6745" i="22"/>
  <c r="M6744" i="22"/>
  <c r="M6743" i="22"/>
  <c r="M6742" i="22"/>
  <c r="M6741" i="22"/>
  <c r="M6740" i="22"/>
  <c r="M6739" i="22"/>
  <c r="M6738" i="22"/>
  <c r="M6737" i="22"/>
  <c r="M6736" i="22"/>
  <c r="M6735" i="22"/>
  <c r="M6734" i="22"/>
  <c r="M6733" i="22"/>
  <c r="M6732" i="22"/>
  <c r="M6731" i="22"/>
  <c r="M6730" i="22"/>
  <c r="M6729" i="22"/>
  <c r="M6728" i="22"/>
  <c r="M6727" i="22"/>
  <c r="M6726" i="22"/>
  <c r="M6725" i="22"/>
  <c r="M6724" i="22"/>
  <c r="M6723" i="22"/>
  <c r="M6722" i="22"/>
  <c r="M6721" i="22"/>
  <c r="M6720" i="22"/>
  <c r="M6719" i="22"/>
  <c r="M6718" i="22"/>
  <c r="M6717" i="22"/>
  <c r="M6716" i="22"/>
  <c r="M6715" i="22"/>
  <c r="M6714" i="22"/>
  <c r="M6713" i="22"/>
  <c r="M6712" i="22"/>
  <c r="M6711" i="22"/>
  <c r="M6710" i="22"/>
  <c r="M6709" i="22"/>
  <c r="M6708" i="22"/>
  <c r="M6707" i="22"/>
  <c r="M6706" i="22"/>
  <c r="M6705" i="22"/>
  <c r="M6704" i="22"/>
  <c r="M6703" i="22"/>
  <c r="M6702" i="22"/>
  <c r="M6701" i="22"/>
  <c r="M6700" i="22"/>
  <c r="M6699" i="22"/>
  <c r="M6698" i="22"/>
  <c r="M6697" i="22"/>
  <c r="M6696" i="22"/>
  <c r="M6695" i="22"/>
  <c r="M6694" i="22"/>
  <c r="M6693" i="22"/>
  <c r="M6692" i="22"/>
  <c r="M6691" i="22"/>
  <c r="M6690" i="22"/>
  <c r="M6689" i="22"/>
  <c r="M6688" i="22"/>
  <c r="M6687" i="22"/>
  <c r="M6686" i="22"/>
  <c r="M6685" i="22"/>
  <c r="M6684" i="22"/>
  <c r="M6683" i="22"/>
  <c r="M6682" i="22"/>
  <c r="M6681" i="22"/>
  <c r="M6680" i="22"/>
  <c r="M6679" i="22"/>
  <c r="M6678" i="22"/>
  <c r="M6677" i="22"/>
  <c r="M6676" i="22"/>
  <c r="M6675" i="22"/>
  <c r="M6674" i="22"/>
  <c r="M6673" i="22"/>
  <c r="M6672" i="22"/>
  <c r="M6671" i="22"/>
  <c r="M6670" i="22"/>
  <c r="M6669" i="22"/>
  <c r="M6668" i="22"/>
  <c r="M6667" i="22"/>
  <c r="M6666" i="22"/>
  <c r="M6665" i="22"/>
  <c r="M6664" i="22"/>
  <c r="M6663" i="22"/>
  <c r="M6662" i="22"/>
  <c r="M6661" i="22"/>
  <c r="M6660" i="22"/>
  <c r="M6659" i="22"/>
  <c r="M6658" i="22"/>
  <c r="M6657" i="22"/>
  <c r="M6656" i="22"/>
  <c r="M6655" i="22"/>
  <c r="M6654" i="22"/>
  <c r="M6653" i="22"/>
  <c r="M6652" i="22"/>
  <c r="M6651" i="22"/>
  <c r="M6650" i="22"/>
  <c r="M6649" i="22"/>
  <c r="M6648" i="22"/>
  <c r="M6647" i="22"/>
  <c r="M6646" i="22"/>
  <c r="M6645" i="22"/>
  <c r="M6644" i="22"/>
  <c r="M6643" i="22"/>
  <c r="M6642" i="22"/>
  <c r="M6641" i="22"/>
  <c r="M6640" i="22"/>
  <c r="M6639" i="22"/>
  <c r="M6638" i="22"/>
  <c r="M6637" i="22"/>
  <c r="M6636" i="22"/>
  <c r="M6635" i="22"/>
  <c r="M6634" i="22"/>
  <c r="M6633" i="22"/>
  <c r="M6632" i="22"/>
  <c r="M6631" i="22"/>
  <c r="M6630" i="22"/>
  <c r="M6629" i="22"/>
  <c r="M6628" i="22"/>
  <c r="M6627" i="22"/>
  <c r="M6626" i="22"/>
  <c r="M6625" i="22"/>
  <c r="M6624" i="22"/>
  <c r="M6623" i="22"/>
  <c r="M6622" i="22"/>
  <c r="M6621" i="22"/>
  <c r="M6620" i="22"/>
  <c r="M6619" i="22"/>
  <c r="M6618" i="22"/>
  <c r="M6617" i="22"/>
  <c r="M6616" i="22"/>
  <c r="M6615" i="22"/>
  <c r="M6614" i="22"/>
  <c r="M6613" i="22"/>
  <c r="M6612" i="22"/>
  <c r="M6611" i="22"/>
  <c r="M6610" i="22"/>
  <c r="M6609" i="22"/>
  <c r="M6608" i="22"/>
  <c r="M6607" i="22"/>
  <c r="M6606" i="22"/>
  <c r="M6605" i="22"/>
  <c r="M6604" i="22"/>
  <c r="M6603" i="22"/>
  <c r="M6602" i="22"/>
  <c r="M6601" i="22"/>
  <c r="M6600" i="22"/>
  <c r="M6599" i="22"/>
  <c r="M6598" i="22"/>
  <c r="M6597" i="22"/>
  <c r="M6596" i="22"/>
  <c r="M6595" i="22"/>
  <c r="M6594" i="22"/>
  <c r="M6593" i="22"/>
  <c r="M6592" i="22"/>
  <c r="M6591" i="22"/>
  <c r="M6590" i="22"/>
  <c r="M6589" i="22"/>
  <c r="M6588" i="22"/>
  <c r="M6587" i="22"/>
  <c r="M6586" i="22"/>
  <c r="M6585" i="22"/>
  <c r="M6584" i="22"/>
  <c r="M6583" i="22"/>
  <c r="M6582" i="22"/>
  <c r="M6581" i="22"/>
  <c r="M6580" i="22"/>
  <c r="M6579" i="22"/>
  <c r="M6578" i="22"/>
  <c r="M6577" i="22"/>
  <c r="M6576" i="22"/>
  <c r="M6575" i="22"/>
  <c r="M6574" i="22"/>
  <c r="M6573" i="22"/>
  <c r="M6572" i="22"/>
  <c r="M6571" i="22"/>
  <c r="M6570" i="22"/>
  <c r="M6569" i="22"/>
  <c r="M6568" i="22"/>
  <c r="M6567" i="22"/>
  <c r="M6566" i="22"/>
  <c r="M6565" i="22"/>
  <c r="M6564" i="22"/>
  <c r="M6563" i="22"/>
  <c r="M6562" i="22"/>
  <c r="M6561" i="22"/>
  <c r="M6560" i="22"/>
  <c r="M6559" i="22"/>
  <c r="M6558" i="22"/>
  <c r="M6557" i="22"/>
  <c r="M6556" i="22"/>
  <c r="M6555" i="22"/>
  <c r="M6554" i="22"/>
  <c r="M6553" i="22"/>
  <c r="M6552" i="22"/>
  <c r="M6551" i="22"/>
  <c r="M6550" i="22"/>
  <c r="M6549" i="22"/>
  <c r="M6548" i="22"/>
  <c r="M6547" i="22"/>
  <c r="M6546" i="22"/>
  <c r="M6545" i="22"/>
  <c r="M6544" i="22"/>
  <c r="M6543" i="22"/>
  <c r="M6542" i="22"/>
  <c r="M6541" i="22"/>
  <c r="M6540" i="22"/>
  <c r="M6539" i="22"/>
  <c r="M6538" i="22"/>
  <c r="M6537" i="22"/>
  <c r="M6536" i="22"/>
  <c r="M6535" i="22"/>
  <c r="M6534" i="22"/>
  <c r="M6533" i="22"/>
  <c r="M6532" i="22"/>
  <c r="M6531" i="22"/>
  <c r="M6530" i="22"/>
  <c r="M6529" i="22"/>
  <c r="M6528" i="22"/>
  <c r="M6527" i="22"/>
  <c r="M6526" i="22"/>
  <c r="M6525" i="22"/>
  <c r="M6524" i="22"/>
  <c r="M6523" i="22"/>
  <c r="M6522" i="22"/>
  <c r="M6521" i="22"/>
  <c r="M6520" i="22"/>
  <c r="M6519" i="22"/>
  <c r="M6518" i="22"/>
  <c r="M6517" i="22"/>
  <c r="M6516" i="22"/>
  <c r="M6515" i="22"/>
  <c r="M6514" i="22"/>
  <c r="M6513" i="22"/>
  <c r="M6512" i="22"/>
  <c r="M6511" i="22"/>
  <c r="M6510" i="22"/>
  <c r="M6509" i="22"/>
  <c r="M6508" i="22"/>
  <c r="M6507" i="22"/>
  <c r="M6506" i="22"/>
  <c r="M6505" i="22"/>
  <c r="M6504" i="22"/>
  <c r="M6503" i="22"/>
  <c r="M6502" i="22"/>
  <c r="M6501" i="22"/>
  <c r="M6500" i="22"/>
  <c r="M6499" i="22"/>
  <c r="M6498" i="22"/>
  <c r="M6497" i="22"/>
  <c r="M6496" i="22"/>
  <c r="M6495" i="22"/>
  <c r="M6494" i="22"/>
  <c r="M6493" i="22"/>
  <c r="M6492" i="22"/>
  <c r="M6491" i="22"/>
  <c r="M6490" i="22"/>
  <c r="M6489" i="22"/>
  <c r="M6488" i="22"/>
  <c r="M6487" i="22"/>
  <c r="M6486" i="22"/>
  <c r="M6485" i="22"/>
  <c r="M6484" i="22"/>
  <c r="M6483" i="22"/>
  <c r="M6482" i="22"/>
  <c r="M6481" i="22"/>
  <c r="M6480" i="22"/>
  <c r="M6479" i="22"/>
  <c r="M6478" i="22"/>
  <c r="M6477" i="22"/>
  <c r="M6476" i="22"/>
  <c r="M6475" i="22"/>
  <c r="M6474" i="22"/>
  <c r="M6473" i="22"/>
  <c r="M6472" i="22"/>
  <c r="M6471" i="22"/>
  <c r="M6470" i="22"/>
  <c r="M6469" i="22"/>
  <c r="M6468" i="22"/>
  <c r="M6467" i="22"/>
  <c r="M6466" i="22"/>
  <c r="M6465" i="22"/>
  <c r="M6464" i="22"/>
  <c r="M6463" i="22"/>
  <c r="M6462" i="22"/>
  <c r="M6461" i="22"/>
  <c r="M6460" i="22"/>
  <c r="M6459" i="22"/>
  <c r="M6458" i="22"/>
  <c r="M6457" i="22"/>
  <c r="M6456" i="22"/>
  <c r="M6455" i="22"/>
  <c r="M6454" i="22"/>
  <c r="M6453" i="22"/>
  <c r="M6452" i="22"/>
  <c r="M6451" i="22"/>
  <c r="M6450" i="22"/>
  <c r="M6449" i="22"/>
  <c r="M6448" i="22"/>
  <c r="M6447" i="22"/>
  <c r="M6446" i="22"/>
  <c r="M6445" i="22"/>
  <c r="M6444" i="22"/>
  <c r="M6443" i="22"/>
  <c r="M6442" i="22"/>
  <c r="M6441" i="22"/>
  <c r="M6440" i="22"/>
  <c r="M6439" i="22"/>
  <c r="M6438" i="22"/>
  <c r="M6437" i="22"/>
  <c r="M6436" i="22"/>
  <c r="M6435" i="22"/>
  <c r="M6434" i="22"/>
  <c r="M6433" i="22"/>
  <c r="M6432" i="22"/>
  <c r="M6431" i="22"/>
  <c r="M6430" i="22"/>
  <c r="M6429" i="22"/>
  <c r="M6428" i="22"/>
  <c r="M6427" i="22"/>
  <c r="M6426" i="22"/>
  <c r="M6425" i="22"/>
  <c r="M6424" i="22"/>
  <c r="M6423" i="22"/>
  <c r="M6422" i="22"/>
  <c r="M6421" i="22"/>
  <c r="M6420" i="22"/>
  <c r="M6419" i="22"/>
  <c r="M6418" i="22"/>
  <c r="M6417" i="22"/>
  <c r="M6416" i="22"/>
  <c r="M6415" i="22"/>
  <c r="M6414" i="22"/>
  <c r="M6413" i="22"/>
  <c r="M6412" i="22"/>
  <c r="M6411" i="22"/>
  <c r="M6410" i="22"/>
  <c r="M6409" i="22"/>
  <c r="M6408" i="22"/>
  <c r="M6407" i="22"/>
  <c r="M6406" i="22"/>
  <c r="M6405" i="22"/>
  <c r="M6404" i="22"/>
  <c r="M6403" i="22"/>
  <c r="M6402" i="22"/>
  <c r="M6401" i="22"/>
  <c r="M6400" i="22"/>
  <c r="M6399" i="22"/>
  <c r="M6398" i="22"/>
  <c r="M6397" i="22"/>
  <c r="M6396" i="22"/>
  <c r="M6395" i="22"/>
  <c r="M6394" i="22"/>
  <c r="M6393" i="22"/>
  <c r="M6392" i="22"/>
  <c r="M6391" i="22"/>
  <c r="M6390" i="22"/>
  <c r="M6389" i="22"/>
  <c r="M6388" i="22"/>
  <c r="M6387" i="22"/>
  <c r="M6386" i="22"/>
  <c r="M6385" i="22"/>
  <c r="M6384" i="22"/>
  <c r="M6383" i="22"/>
  <c r="M6382" i="22"/>
  <c r="M6381" i="22"/>
  <c r="M6380" i="22"/>
  <c r="M6379" i="22"/>
  <c r="M6378" i="22"/>
  <c r="M6377" i="22"/>
  <c r="M6376" i="22"/>
  <c r="M6375" i="22"/>
  <c r="M6374" i="22"/>
  <c r="M6373" i="22"/>
  <c r="M6372" i="22"/>
  <c r="M6371" i="22"/>
  <c r="M6370" i="22"/>
  <c r="M6369" i="22"/>
  <c r="M6368" i="22"/>
  <c r="M6367" i="22"/>
  <c r="M6366" i="22"/>
  <c r="M6365" i="22"/>
  <c r="M6364" i="22"/>
  <c r="M6363" i="22"/>
  <c r="M6362" i="22"/>
  <c r="M6361" i="22"/>
  <c r="M6360" i="22"/>
  <c r="M6359" i="22"/>
  <c r="M6358" i="22"/>
  <c r="M6357" i="22"/>
  <c r="M6356" i="22"/>
  <c r="M6355" i="22"/>
  <c r="M6354" i="22"/>
  <c r="M6353" i="22"/>
  <c r="M6352" i="22"/>
  <c r="M6351" i="22"/>
  <c r="M6350" i="22"/>
  <c r="M6349" i="22"/>
  <c r="M6348" i="22"/>
  <c r="M6347" i="22"/>
  <c r="M6346" i="22"/>
  <c r="M6345" i="22"/>
  <c r="M6344" i="22"/>
  <c r="M6343" i="22"/>
  <c r="M6342" i="22"/>
  <c r="M6341" i="22"/>
  <c r="M6340" i="22"/>
  <c r="M6339" i="22"/>
  <c r="M6338" i="22"/>
  <c r="M6337" i="22"/>
  <c r="M6336" i="22"/>
  <c r="M6335" i="22"/>
  <c r="M6334" i="22"/>
  <c r="M6333" i="22"/>
  <c r="M6332" i="22"/>
  <c r="M6331" i="22"/>
  <c r="M6330" i="22"/>
  <c r="M6329" i="22"/>
  <c r="M6328" i="22"/>
  <c r="M6327" i="22"/>
  <c r="M6326" i="22"/>
  <c r="M6325" i="22"/>
  <c r="M6324" i="22"/>
  <c r="M6323" i="22"/>
  <c r="M6322" i="22"/>
  <c r="M6321" i="22"/>
  <c r="M6320" i="22"/>
  <c r="M6319" i="22"/>
  <c r="M6318" i="22"/>
  <c r="M6317" i="22"/>
  <c r="M6316" i="22"/>
  <c r="M6315" i="22"/>
  <c r="M6314" i="22"/>
  <c r="M6313" i="22"/>
  <c r="M6312" i="22"/>
  <c r="M6311" i="22"/>
  <c r="M6310" i="22"/>
  <c r="M6309" i="22"/>
  <c r="M6308" i="22"/>
  <c r="M6307" i="22"/>
  <c r="M6306" i="22"/>
  <c r="M6305" i="22"/>
  <c r="M6304" i="22"/>
  <c r="M6303" i="22"/>
  <c r="M6302" i="22"/>
  <c r="M6301" i="22"/>
  <c r="M6300" i="22"/>
  <c r="M6299" i="22"/>
  <c r="M6298" i="22"/>
  <c r="M6297" i="22"/>
  <c r="M6296" i="22"/>
  <c r="M6295" i="22"/>
  <c r="M6294" i="22"/>
  <c r="M6293" i="22"/>
  <c r="M6292" i="22"/>
  <c r="M6291" i="22"/>
  <c r="M6290" i="22"/>
  <c r="M6289" i="22"/>
  <c r="M6288" i="22"/>
  <c r="M6287" i="22"/>
  <c r="M6286" i="22"/>
  <c r="M6285" i="22"/>
  <c r="M6284" i="22"/>
  <c r="M6283" i="22"/>
  <c r="M6282" i="22"/>
  <c r="M6281" i="22"/>
  <c r="M6280" i="22"/>
  <c r="M6279" i="22"/>
  <c r="M6278" i="22"/>
  <c r="M6277" i="22"/>
  <c r="M6276" i="22"/>
  <c r="M6275" i="22"/>
  <c r="M6274" i="22"/>
  <c r="M6273" i="22"/>
  <c r="M6272" i="22"/>
  <c r="M6271" i="22"/>
  <c r="M6270" i="22"/>
  <c r="M6269" i="22"/>
  <c r="M6268" i="22"/>
  <c r="M6267" i="22"/>
  <c r="M6266" i="22"/>
  <c r="M6265" i="22"/>
  <c r="M6264" i="22"/>
  <c r="M6263" i="22"/>
  <c r="M6262" i="22"/>
  <c r="M6261" i="22"/>
  <c r="M6260" i="22"/>
  <c r="M6259" i="22"/>
  <c r="M6258" i="22"/>
  <c r="M6257" i="22"/>
  <c r="M6256" i="22"/>
  <c r="M6255" i="22"/>
  <c r="M6254" i="22"/>
  <c r="M6253" i="22"/>
  <c r="M6252" i="22"/>
  <c r="M6251" i="22"/>
  <c r="M6250" i="22"/>
  <c r="M6249" i="22"/>
  <c r="M6248" i="22"/>
  <c r="M6247" i="22"/>
  <c r="M6246" i="22"/>
  <c r="M6245" i="22"/>
  <c r="M6244" i="22"/>
  <c r="M6243" i="22"/>
  <c r="M6242" i="22"/>
  <c r="M6241" i="22"/>
  <c r="M6240" i="22"/>
  <c r="M6239" i="22"/>
  <c r="M6238" i="22"/>
  <c r="M6237" i="22"/>
  <c r="M6236" i="22"/>
  <c r="M6235" i="22"/>
  <c r="M6234" i="22"/>
  <c r="M6233" i="22"/>
  <c r="M6232" i="22"/>
  <c r="M6231" i="22"/>
  <c r="M6230" i="22"/>
  <c r="M6229" i="22"/>
  <c r="M6228" i="22"/>
  <c r="M6227" i="22"/>
  <c r="M6226" i="22"/>
  <c r="M6225" i="22"/>
  <c r="M6224" i="22"/>
  <c r="M6223" i="22"/>
  <c r="M6222" i="22"/>
  <c r="M6221" i="22"/>
  <c r="M6220" i="22"/>
  <c r="M6219" i="22"/>
  <c r="M6218" i="22"/>
  <c r="M6217" i="22"/>
  <c r="M6216" i="22"/>
  <c r="M6215" i="22"/>
  <c r="M6214" i="22"/>
  <c r="M6213" i="22"/>
  <c r="M6212" i="22"/>
  <c r="M6211" i="22"/>
  <c r="M6210" i="22"/>
  <c r="M6209" i="22"/>
  <c r="M6208" i="22"/>
  <c r="M6207" i="22"/>
  <c r="M6206" i="22"/>
  <c r="M6205" i="22"/>
  <c r="M6204" i="22"/>
  <c r="M6203" i="22"/>
  <c r="M6202" i="22"/>
  <c r="M6201" i="22"/>
  <c r="M6200" i="22"/>
  <c r="M6199" i="22"/>
  <c r="M6198" i="22"/>
  <c r="M6197" i="22"/>
  <c r="M6196" i="22"/>
  <c r="M6195" i="22"/>
  <c r="M6194" i="22"/>
  <c r="M6193" i="22"/>
  <c r="M6192" i="22"/>
  <c r="M6191" i="22"/>
  <c r="M6190" i="22"/>
  <c r="M6189" i="22"/>
  <c r="M6188" i="22"/>
  <c r="M6187" i="22"/>
  <c r="M6186" i="22"/>
  <c r="M6185" i="22"/>
  <c r="M6184" i="22"/>
  <c r="M6183" i="22"/>
  <c r="M6182" i="22"/>
  <c r="M6181" i="22"/>
  <c r="M6180" i="22"/>
  <c r="M6179" i="22"/>
  <c r="M6178" i="22"/>
  <c r="M6177" i="22"/>
  <c r="M6176" i="22"/>
  <c r="M6175" i="22"/>
  <c r="M6174" i="22"/>
  <c r="M6173" i="22"/>
  <c r="M6172" i="22"/>
  <c r="M6171" i="22"/>
  <c r="M6170" i="22"/>
  <c r="M6169" i="22"/>
  <c r="M6168" i="22"/>
  <c r="M6167" i="22"/>
  <c r="M6166" i="22"/>
  <c r="M6165" i="22"/>
  <c r="M6164" i="22"/>
  <c r="M6163" i="22"/>
  <c r="M6162" i="22"/>
  <c r="M6161" i="22"/>
  <c r="M6160" i="22"/>
  <c r="M6159" i="22"/>
  <c r="M6158" i="22"/>
  <c r="M6157" i="22"/>
  <c r="M6156" i="22"/>
  <c r="M6155" i="22"/>
  <c r="M6154" i="22"/>
  <c r="M6153" i="22"/>
  <c r="M6152" i="22"/>
  <c r="M6151" i="22"/>
  <c r="M6150" i="22"/>
  <c r="M6149" i="22"/>
  <c r="M6148" i="22"/>
  <c r="M6147" i="22"/>
  <c r="M6146" i="22"/>
  <c r="M6145" i="22"/>
  <c r="M6144" i="22"/>
  <c r="M6143" i="22"/>
  <c r="M6142" i="22"/>
  <c r="M6141" i="22"/>
  <c r="M6140" i="22"/>
  <c r="M6139" i="22"/>
  <c r="M6138" i="22"/>
  <c r="M6137" i="22"/>
  <c r="M6136" i="22"/>
  <c r="M6135" i="22"/>
  <c r="M6134" i="22"/>
  <c r="M6133" i="22"/>
  <c r="M6132" i="22"/>
  <c r="M6131" i="22"/>
  <c r="M6130" i="22"/>
  <c r="M6129" i="22"/>
  <c r="M6128" i="22"/>
  <c r="M6127" i="22"/>
  <c r="M6126" i="22"/>
  <c r="M6125" i="22"/>
  <c r="M6124" i="22"/>
  <c r="M6123" i="22"/>
  <c r="M6122" i="22"/>
  <c r="M6121" i="22"/>
  <c r="M6120" i="22"/>
  <c r="M6119" i="22"/>
  <c r="M6118" i="22"/>
  <c r="M6117" i="22"/>
  <c r="M6116" i="22"/>
  <c r="M6115" i="22"/>
  <c r="M6114" i="22"/>
  <c r="M6113" i="22"/>
  <c r="M6112" i="22"/>
  <c r="M6111" i="22"/>
  <c r="M6110" i="22"/>
  <c r="M6109" i="22"/>
  <c r="M6108" i="22"/>
  <c r="M6107" i="22"/>
  <c r="M6106" i="22"/>
  <c r="M6105" i="22"/>
  <c r="M6104" i="22"/>
  <c r="M6103" i="22"/>
  <c r="M6102" i="22"/>
  <c r="M6101" i="22"/>
  <c r="M6100" i="22"/>
  <c r="M6099" i="22"/>
  <c r="M6098" i="22"/>
  <c r="M6097" i="22"/>
  <c r="M6096" i="22"/>
  <c r="M6095" i="22"/>
  <c r="M6094" i="22"/>
  <c r="M6093" i="22"/>
  <c r="M6092" i="22"/>
  <c r="M6091" i="22"/>
  <c r="M6090" i="22"/>
  <c r="M6089" i="22"/>
  <c r="M6088" i="22"/>
  <c r="M6087" i="22"/>
  <c r="M6086" i="22"/>
  <c r="M6085" i="22"/>
  <c r="M6084" i="22"/>
  <c r="M6083" i="22"/>
  <c r="M6082" i="22"/>
  <c r="M6081" i="22"/>
  <c r="M6080" i="22"/>
  <c r="M6079" i="22"/>
  <c r="M6078" i="22"/>
  <c r="M6077" i="22"/>
  <c r="M6076" i="22"/>
  <c r="M6075" i="22"/>
  <c r="M6074" i="22"/>
  <c r="M6073" i="22"/>
  <c r="M6072" i="22"/>
  <c r="M6071" i="22"/>
  <c r="M6070" i="22"/>
  <c r="M6069" i="22"/>
  <c r="M6068" i="22"/>
  <c r="M6067" i="22"/>
  <c r="M6066" i="22"/>
  <c r="M6065" i="22"/>
  <c r="M6064" i="22"/>
  <c r="M6063" i="22"/>
  <c r="M6062" i="22"/>
  <c r="M6061" i="22"/>
  <c r="M6060" i="22"/>
  <c r="M6059" i="22"/>
  <c r="M6058" i="22"/>
  <c r="M6057" i="22"/>
  <c r="M6056" i="22"/>
  <c r="M6055" i="22"/>
  <c r="M6054" i="22"/>
  <c r="M6053" i="22"/>
  <c r="M6052" i="22"/>
  <c r="M6051" i="22"/>
  <c r="M6050" i="22"/>
  <c r="M6049" i="22"/>
  <c r="M6048" i="22"/>
  <c r="M6047" i="22"/>
  <c r="M6046" i="22"/>
  <c r="M6045" i="22"/>
  <c r="M6044" i="22"/>
  <c r="M6043" i="22"/>
  <c r="M6042" i="22"/>
  <c r="M6041" i="22"/>
  <c r="M6040" i="22"/>
  <c r="M6039" i="22"/>
  <c r="M6038" i="22"/>
  <c r="M6037" i="22"/>
  <c r="M6036" i="22"/>
  <c r="M6035" i="22"/>
  <c r="M6034" i="22"/>
  <c r="M6033" i="22"/>
  <c r="M6032" i="22"/>
  <c r="M6031" i="22"/>
  <c r="M6030" i="22"/>
  <c r="M6029" i="22"/>
  <c r="M6028" i="22"/>
  <c r="M6027" i="22"/>
  <c r="M6026" i="22"/>
  <c r="M6025" i="22"/>
  <c r="M6024" i="22"/>
  <c r="M6023" i="22"/>
  <c r="M6022" i="22"/>
  <c r="M6021" i="22"/>
  <c r="M6020" i="22"/>
  <c r="M6019" i="22"/>
  <c r="M6018" i="22"/>
  <c r="M6017" i="22"/>
  <c r="M6016" i="22"/>
  <c r="M6015" i="22"/>
  <c r="M6014" i="22"/>
  <c r="M6013" i="22"/>
  <c r="M6012" i="22"/>
  <c r="M6011" i="22"/>
  <c r="M6010" i="22"/>
  <c r="M6009" i="22"/>
  <c r="M6008" i="22"/>
  <c r="M6007" i="22"/>
  <c r="M6006" i="22"/>
  <c r="M6005" i="22"/>
  <c r="M6004" i="22"/>
  <c r="M6003" i="22"/>
  <c r="M6002" i="22"/>
  <c r="M6001" i="22"/>
  <c r="M6000" i="22"/>
  <c r="M5999" i="22"/>
  <c r="M5998" i="22"/>
  <c r="M5997" i="22"/>
  <c r="M5996" i="22"/>
  <c r="M5995" i="22"/>
  <c r="M5994" i="22"/>
  <c r="M5993" i="22"/>
  <c r="M5992" i="22"/>
  <c r="M5991" i="22"/>
  <c r="M5990" i="22"/>
  <c r="M5989" i="22"/>
  <c r="M5988" i="22"/>
  <c r="M5987" i="22"/>
  <c r="M5986" i="22"/>
  <c r="M5985" i="22"/>
  <c r="M5984" i="22"/>
  <c r="M5983" i="22"/>
  <c r="M5982" i="22"/>
  <c r="M5981" i="22"/>
  <c r="M5980" i="22"/>
  <c r="M5979" i="22"/>
  <c r="M5978" i="22"/>
  <c r="M5977" i="22"/>
  <c r="M5976" i="22"/>
  <c r="M5975" i="22"/>
  <c r="M5974" i="22"/>
  <c r="M5973" i="22"/>
  <c r="M5972" i="22"/>
  <c r="M5971" i="22"/>
  <c r="M5970" i="22"/>
  <c r="M5969" i="22"/>
  <c r="M5968" i="22"/>
  <c r="M5967" i="22"/>
  <c r="M5966" i="22"/>
  <c r="M5965" i="22"/>
  <c r="M5964" i="22"/>
  <c r="M5963" i="22"/>
  <c r="M5962" i="22"/>
  <c r="M5961" i="22"/>
  <c r="M5960" i="22"/>
  <c r="M5959" i="22"/>
  <c r="M5958" i="22"/>
  <c r="M5957" i="22"/>
  <c r="M5956" i="22"/>
  <c r="M5955" i="22"/>
  <c r="M5954" i="22"/>
  <c r="M5953" i="22"/>
  <c r="M5952" i="22"/>
  <c r="M5951" i="22"/>
  <c r="M5950" i="22"/>
  <c r="M5949" i="22"/>
  <c r="M5948" i="22"/>
  <c r="M5947" i="22"/>
  <c r="M5946" i="22"/>
  <c r="M5945" i="22"/>
  <c r="M5944" i="22"/>
  <c r="M5943" i="22"/>
  <c r="M5942" i="22"/>
  <c r="M5941" i="22"/>
  <c r="M5940" i="22"/>
  <c r="M5939" i="22"/>
  <c r="M5938" i="22"/>
  <c r="M5937" i="22"/>
  <c r="M5936" i="22"/>
  <c r="M5935" i="22"/>
  <c r="M5934" i="22"/>
  <c r="M5933" i="22"/>
  <c r="M5932" i="22"/>
  <c r="M5931" i="22"/>
  <c r="M5930" i="22"/>
  <c r="M5929" i="22"/>
  <c r="M5928" i="22"/>
  <c r="M5927" i="22"/>
  <c r="M5926" i="22"/>
  <c r="M5925" i="22"/>
  <c r="M5924" i="22"/>
  <c r="M5923" i="22"/>
  <c r="M5922" i="22"/>
  <c r="M5921" i="22"/>
  <c r="M5920" i="22"/>
  <c r="M5919" i="22"/>
  <c r="M5918" i="22"/>
  <c r="M5917" i="22"/>
  <c r="M5916" i="22"/>
  <c r="M5915" i="22"/>
  <c r="M5914" i="22"/>
  <c r="M5913" i="22"/>
  <c r="M5912" i="22"/>
  <c r="M5911" i="22"/>
  <c r="M5910" i="22"/>
  <c r="M5909" i="22"/>
  <c r="M5908" i="22"/>
  <c r="M5907" i="22"/>
  <c r="M5906" i="22"/>
  <c r="M5905" i="22"/>
  <c r="M5904" i="22"/>
  <c r="M5903" i="22"/>
  <c r="M5902" i="22"/>
  <c r="M5901" i="22"/>
  <c r="M5900" i="22"/>
  <c r="M5899" i="22"/>
  <c r="M5898" i="22"/>
  <c r="M5897" i="22"/>
  <c r="M5896" i="22"/>
  <c r="M5895" i="22"/>
  <c r="M5894" i="22"/>
  <c r="M5893" i="22"/>
  <c r="M5892" i="22"/>
  <c r="M5891" i="22"/>
  <c r="M5890" i="22"/>
  <c r="M5889" i="22"/>
  <c r="M5888" i="22"/>
  <c r="M5887" i="22"/>
  <c r="M5886" i="22"/>
  <c r="M5885" i="22"/>
  <c r="M5884" i="22"/>
  <c r="M5883" i="22"/>
  <c r="M5882" i="22"/>
  <c r="M5881" i="22"/>
  <c r="M5880" i="22"/>
  <c r="M5879" i="22"/>
  <c r="M5878" i="22"/>
  <c r="M5877" i="22"/>
  <c r="M5876" i="22"/>
  <c r="M5875" i="22"/>
  <c r="M5874" i="22"/>
  <c r="M5873" i="22"/>
  <c r="M5872" i="22"/>
  <c r="M5871" i="22"/>
  <c r="M5870" i="22"/>
  <c r="M5869" i="22"/>
  <c r="M5868" i="22"/>
  <c r="M5867" i="22"/>
  <c r="M5866" i="22"/>
  <c r="M5865" i="22"/>
  <c r="M5864" i="22"/>
  <c r="M5863" i="22"/>
  <c r="M5862" i="22"/>
  <c r="M5861" i="22"/>
  <c r="M5860" i="22"/>
  <c r="M5859" i="22"/>
  <c r="M5858" i="22"/>
  <c r="M5857" i="22"/>
  <c r="M5856" i="22"/>
  <c r="M5855" i="22"/>
  <c r="M5854" i="22"/>
  <c r="M5853" i="22"/>
  <c r="M5852" i="22"/>
  <c r="M5851" i="22"/>
  <c r="M5850" i="22"/>
  <c r="M5849" i="22"/>
  <c r="M5848" i="22"/>
  <c r="M5847" i="22"/>
  <c r="M5846" i="22"/>
  <c r="M5845" i="22"/>
  <c r="M5844" i="22"/>
  <c r="M5843" i="22"/>
  <c r="M5842" i="22"/>
  <c r="M5841" i="22"/>
  <c r="M5840" i="22"/>
  <c r="M5839" i="22"/>
  <c r="M5838" i="22"/>
  <c r="M5837" i="22"/>
  <c r="M5836" i="22"/>
  <c r="M5835" i="22"/>
  <c r="M5834" i="22"/>
  <c r="M5833" i="22"/>
  <c r="M5832" i="22"/>
  <c r="M5831" i="22"/>
  <c r="M5830" i="22"/>
  <c r="M5829" i="22"/>
  <c r="M5828" i="22"/>
  <c r="M5827" i="22"/>
  <c r="M5826" i="22"/>
  <c r="M5825" i="22"/>
  <c r="M5824" i="22"/>
  <c r="M5823" i="22"/>
  <c r="M5822" i="22"/>
  <c r="M5821" i="22"/>
  <c r="M5820" i="22"/>
  <c r="M5819" i="22"/>
  <c r="M5818" i="22"/>
  <c r="M5817" i="22"/>
  <c r="M5816" i="22"/>
  <c r="M5815" i="22"/>
  <c r="M5814" i="22"/>
  <c r="M5813" i="22"/>
  <c r="M5812" i="22"/>
  <c r="M5811" i="22"/>
  <c r="M5810" i="22"/>
  <c r="M5809" i="22"/>
  <c r="M5808" i="22"/>
  <c r="M5807" i="22"/>
  <c r="M5806" i="22"/>
  <c r="M5805" i="22"/>
  <c r="M5804" i="22"/>
  <c r="M5803" i="22"/>
  <c r="M5802" i="22"/>
  <c r="M5801" i="22"/>
  <c r="M5800" i="22"/>
  <c r="M5799" i="22"/>
  <c r="M5798" i="22"/>
  <c r="M5797" i="22"/>
  <c r="M5796" i="22"/>
  <c r="M5795" i="22"/>
  <c r="M5794" i="22"/>
  <c r="M5793" i="22"/>
  <c r="M5792" i="22"/>
  <c r="M5791" i="22"/>
  <c r="M5790" i="22"/>
  <c r="M5789" i="22"/>
  <c r="M5788" i="22"/>
  <c r="M5787" i="22"/>
  <c r="M5786" i="22"/>
  <c r="M5785" i="22"/>
  <c r="M5784" i="22"/>
  <c r="M5783" i="22"/>
  <c r="M5782" i="22"/>
  <c r="M5781" i="22"/>
  <c r="M5780" i="22"/>
  <c r="M5779" i="22"/>
  <c r="M5778" i="22"/>
  <c r="M5777" i="22"/>
  <c r="M5776" i="22"/>
  <c r="M5775" i="22"/>
  <c r="M5774" i="22"/>
  <c r="M5773" i="22"/>
  <c r="M5772" i="22"/>
  <c r="M5771" i="22"/>
  <c r="M5770" i="22"/>
  <c r="M5769" i="22"/>
  <c r="M5768" i="22"/>
  <c r="M5767" i="22"/>
  <c r="M5766" i="22"/>
  <c r="M5765" i="22"/>
  <c r="M5764" i="22"/>
  <c r="M5763" i="22"/>
  <c r="M5762" i="22"/>
  <c r="M5761" i="22"/>
  <c r="M5760" i="22"/>
  <c r="M5759" i="22"/>
  <c r="M5758" i="22"/>
  <c r="M5757" i="22"/>
  <c r="M5756" i="22"/>
  <c r="M5755" i="22"/>
  <c r="M5754" i="22"/>
  <c r="M5753" i="22"/>
  <c r="M5752" i="22"/>
  <c r="M5751" i="22"/>
  <c r="M5750" i="22"/>
  <c r="M5749" i="22"/>
  <c r="M5748" i="22"/>
  <c r="M5747" i="22"/>
  <c r="M5746" i="22"/>
  <c r="M5745" i="22"/>
  <c r="M5744" i="22"/>
  <c r="M5743" i="22"/>
  <c r="M5742" i="22"/>
  <c r="M5741" i="22"/>
  <c r="M5740" i="22"/>
  <c r="M5739" i="22"/>
  <c r="M5738" i="22"/>
  <c r="M5737" i="22"/>
  <c r="M5736" i="22"/>
  <c r="M5735" i="22"/>
  <c r="M5734" i="22"/>
  <c r="M5733" i="22"/>
  <c r="M5732" i="22"/>
  <c r="M5731" i="22"/>
  <c r="M5730" i="22"/>
  <c r="M5729" i="22"/>
  <c r="M5728" i="22"/>
  <c r="M5727" i="22"/>
  <c r="M5726" i="22"/>
  <c r="M5725" i="22"/>
  <c r="M5724" i="22"/>
  <c r="M5723" i="22"/>
  <c r="M5722" i="22"/>
  <c r="M5721" i="22"/>
  <c r="M5720" i="22"/>
  <c r="M5719" i="22"/>
  <c r="M5718" i="22"/>
  <c r="M5717" i="22"/>
  <c r="M5716" i="22"/>
  <c r="M5715" i="22"/>
  <c r="M5714" i="22"/>
  <c r="M5713" i="22"/>
  <c r="M5712" i="22"/>
  <c r="M5711" i="22"/>
  <c r="M5710" i="22"/>
  <c r="M5709" i="22"/>
  <c r="M5708" i="22"/>
  <c r="M5707" i="22"/>
  <c r="M5706" i="22"/>
  <c r="M5705" i="22"/>
  <c r="M5704" i="22"/>
  <c r="M5703" i="22"/>
  <c r="M5702" i="22"/>
  <c r="M5701" i="22"/>
  <c r="M5700" i="22"/>
  <c r="M5699" i="22"/>
  <c r="M5698" i="22"/>
  <c r="M5697" i="22"/>
  <c r="M5696" i="22"/>
  <c r="M5695" i="22"/>
  <c r="M5694" i="22"/>
  <c r="M5693" i="22"/>
  <c r="M5692" i="22"/>
  <c r="M5691" i="22"/>
  <c r="M5690" i="22"/>
  <c r="M5689" i="22"/>
  <c r="M5688" i="22"/>
  <c r="M5687" i="22"/>
  <c r="M5686" i="22"/>
  <c r="M5685" i="22"/>
  <c r="M5684" i="22"/>
  <c r="M5683" i="22"/>
  <c r="M5682" i="22"/>
  <c r="M5681" i="22"/>
  <c r="M5680" i="22"/>
  <c r="M5679" i="22"/>
  <c r="M5678" i="22"/>
  <c r="M5677" i="22"/>
  <c r="M5676" i="22"/>
  <c r="M5675" i="22"/>
  <c r="M5674" i="22"/>
  <c r="M5673" i="22"/>
  <c r="M5672" i="22"/>
  <c r="M5671" i="22"/>
  <c r="M5670" i="22"/>
  <c r="M5669" i="22"/>
  <c r="M5668" i="22"/>
  <c r="M5667" i="22"/>
  <c r="M5666" i="22"/>
  <c r="M5665" i="22"/>
  <c r="M5664" i="22"/>
  <c r="M5663" i="22"/>
  <c r="M5662" i="22"/>
  <c r="M5661" i="22"/>
  <c r="M5660" i="22"/>
  <c r="M5659" i="22"/>
  <c r="M5658" i="22"/>
  <c r="M5657" i="22"/>
  <c r="M5656" i="22"/>
  <c r="M5655" i="22"/>
  <c r="M5654" i="22"/>
  <c r="M5653" i="22"/>
  <c r="M5652" i="22"/>
  <c r="M5651" i="22"/>
  <c r="M5650" i="22"/>
  <c r="M5649" i="22"/>
  <c r="M5648" i="22"/>
  <c r="M5647" i="22"/>
  <c r="M5646" i="22"/>
  <c r="M5645" i="22"/>
  <c r="M5644" i="22"/>
  <c r="M5643" i="22"/>
  <c r="M5642" i="22"/>
  <c r="M5641" i="22"/>
  <c r="M5640" i="22"/>
  <c r="M5639" i="22"/>
  <c r="M5638" i="22"/>
  <c r="M5637" i="22"/>
  <c r="M5636" i="22"/>
  <c r="M5635" i="22"/>
  <c r="M5634" i="22"/>
  <c r="M5633" i="22"/>
  <c r="M5632" i="22"/>
  <c r="M5631" i="22"/>
  <c r="M5630" i="22"/>
  <c r="M5629" i="22"/>
  <c r="M5628" i="22"/>
  <c r="M5627" i="22"/>
  <c r="M5626" i="22"/>
  <c r="M5625" i="22"/>
  <c r="M5624" i="22"/>
  <c r="M5623" i="22"/>
  <c r="M5622" i="22"/>
  <c r="M5621" i="22"/>
  <c r="M5620" i="22"/>
  <c r="M5619" i="22"/>
  <c r="M5618" i="22"/>
  <c r="M5617" i="22"/>
  <c r="M5616" i="22"/>
  <c r="M5615" i="22"/>
  <c r="M5614" i="22"/>
  <c r="M5613" i="22"/>
  <c r="M5612" i="22"/>
  <c r="M5611" i="22"/>
  <c r="M5610" i="22"/>
  <c r="M5609" i="22"/>
  <c r="M5608" i="22"/>
  <c r="M5607" i="22"/>
  <c r="M5606" i="22"/>
  <c r="M5605" i="22"/>
  <c r="M5604" i="22"/>
  <c r="M5603" i="22"/>
  <c r="M5602" i="22"/>
  <c r="M5601" i="22"/>
  <c r="M5600" i="22"/>
  <c r="M5599" i="22"/>
  <c r="M5598" i="22"/>
  <c r="M5597" i="22"/>
  <c r="M5596" i="22"/>
  <c r="M5595" i="22"/>
  <c r="M5594" i="22"/>
  <c r="M5593" i="22"/>
  <c r="M5592" i="22"/>
  <c r="M5591" i="22"/>
  <c r="M5590" i="22"/>
  <c r="M5589" i="22"/>
  <c r="M5588" i="22"/>
  <c r="M5587" i="22"/>
  <c r="M5586" i="22"/>
  <c r="M5585" i="22"/>
  <c r="M5584" i="22"/>
  <c r="M5583" i="22"/>
  <c r="M5582" i="22"/>
  <c r="M5581" i="22"/>
  <c r="M5580" i="22"/>
  <c r="M5579" i="22"/>
  <c r="M5578" i="22"/>
  <c r="M5577" i="22"/>
  <c r="M5576" i="22"/>
  <c r="M5575" i="22"/>
  <c r="M5574" i="22"/>
  <c r="M5573" i="22"/>
  <c r="M5572" i="22"/>
  <c r="M5571" i="22"/>
  <c r="M5570" i="22"/>
  <c r="M5569" i="22"/>
  <c r="M5568" i="22"/>
  <c r="M5567" i="22"/>
  <c r="M5566" i="22"/>
  <c r="M5565" i="22"/>
  <c r="M5564" i="22"/>
  <c r="M5563" i="22"/>
  <c r="M5562" i="22"/>
  <c r="M5561" i="22"/>
  <c r="M5560" i="22"/>
  <c r="M5559" i="22"/>
  <c r="M5558" i="22"/>
  <c r="M5557" i="22"/>
  <c r="M5556" i="22"/>
  <c r="M5555" i="22"/>
  <c r="M5554" i="22"/>
  <c r="M5553" i="22"/>
  <c r="M5552" i="22"/>
  <c r="M5551" i="22"/>
  <c r="M5550" i="22"/>
  <c r="M5549" i="22"/>
  <c r="M5548" i="22"/>
  <c r="M5547" i="22"/>
  <c r="M5546" i="22"/>
  <c r="M5545" i="22"/>
  <c r="M5544" i="22"/>
  <c r="M5543" i="22"/>
  <c r="M5542" i="22"/>
  <c r="M5541" i="22"/>
  <c r="M5540" i="22"/>
  <c r="M5539" i="22"/>
  <c r="M5538" i="22"/>
  <c r="M5537" i="22"/>
  <c r="M5536" i="22"/>
  <c r="M5535" i="22"/>
  <c r="M5534" i="22"/>
  <c r="M5533" i="22"/>
  <c r="M5532" i="22"/>
  <c r="M5531" i="22"/>
  <c r="M5530" i="22"/>
  <c r="M5529" i="22"/>
  <c r="M5528" i="22"/>
  <c r="M5527" i="22"/>
  <c r="M5526" i="22"/>
  <c r="M5525" i="22"/>
  <c r="M5524" i="22"/>
  <c r="M5523" i="22"/>
  <c r="M5522" i="22"/>
  <c r="M5521" i="22"/>
  <c r="M5520" i="22"/>
  <c r="M5519" i="22"/>
  <c r="M5518" i="22"/>
  <c r="M5517" i="22"/>
  <c r="M5516" i="22"/>
  <c r="M5515" i="22"/>
  <c r="M5514" i="22"/>
  <c r="M5513" i="22"/>
  <c r="M5512" i="22"/>
  <c r="M5511" i="22"/>
  <c r="M5510" i="22"/>
  <c r="M5509" i="22"/>
  <c r="M5508" i="22"/>
  <c r="M5507" i="22"/>
  <c r="M5506" i="22"/>
  <c r="M5505" i="22"/>
  <c r="M5504" i="22"/>
  <c r="M5503" i="22"/>
  <c r="M5502" i="22"/>
  <c r="M5501" i="22"/>
  <c r="M5500" i="22"/>
  <c r="M5499" i="22"/>
  <c r="M5498" i="22"/>
  <c r="M5497" i="22"/>
  <c r="M5496" i="22"/>
  <c r="M5495" i="22"/>
  <c r="M5494" i="22"/>
  <c r="M5493" i="22"/>
  <c r="M5492" i="22"/>
  <c r="M5491" i="22"/>
  <c r="M5490" i="22"/>
  <c r="M5489" i="22"/>
  <c r="M5488" i="22"/>
  <c r="M5487" i="22"/>
  <c r="M5486" i="22"/>
  <c r="M5485" i="22"/>
  <c r="M5484" i="22"/>
  <c r="M5483" i="22"/>
  <c r="M5482" i="22"/>
  <c r="M5481" i="22"/>
  <c r="M5480" i="22"/>
  <c r="M5479" i="22"/>
  <c r="M5478" i="22"/>
  <c r="M5477" i="22"/>
  <c r="M5476" i="22"/>
  <c r="M5475" i="22"/>
  <c r="M5474" i="22"/>
  <c r="M5473" i="22"/>
  <c r="M5472" i="22"/>
  <c r="M5471" i="22"/>
  <c r="M5470" i="22"/>
  <c r="M5469" i="22"/>
  <c r="M5468" i="22"/>
  <c r="M5467" i="22"/>
  <c r="M5466" i="22"/>
  <c r="M5465" i="22"/>
  <c r="M5464" i="22"/>
  <c r="M5463" i="22"/>
  <c r="M5462" i="22"/>
  <c r="M5461" i="22"/>
  <c r="M5460" i="22"/>
  <c r="M5459" i="22"/>
  <c r="M5458" i="22"/>
  <c r="M5457" i="22"/>
  <c r="M5456" i="22"/>
  <c r="M5455" i="22"/>
  <c r="M5454" i="22"/>
  <c r="M5453" i="22"/>
  <c r="M5452" i="22"/>
  <c r="M5451" i="22"/>
  <c r="M5450" i="22"/>
  <c r="M5449" i="22"/>
  <c r="M5448" i="22"/>
  <c r="M5447" i="22"/>
  <c r="M5446" i="22"/>
  <c r="M5445" i="22"/>
  <c r="M5444" i="22"/>
  <c r="M5443" i="22"/>
  <c r="M5442" i="22"/>
  <c r="M5441" i="22"/>
  <c r="M5440" i="22"/>
  <c r="M5439" i="22"/>
  <c r="M5438" i="22"/>
  <c r="M5437" i="22"/>
  <c r="M5436" i="22"/>
  <c r="M5435" i="22"/>
  <c r="M5434" i="22"/>
  <c r="M5433" i="22"/>
  <c r="M5432" i="22"/>
  <c r="M5431" i="22"/>
  <c r="M5430" i="22"/>
  <c r="M5429" i="22"/>
  <c r="M5428" i="22"/>
  <c r="M5427" i="22"/>
  <c r="M5426" i="22"/>
  <c r="M5425" i="22"/>
  <c r="M5424" i="22"/>
  <c r="M5423" i="22"/>
  <c r="M5422" i="22"/>
  <c r="M5421" i="22"/>
  <c r="M5420" i="22"/>
  <c r="M5419" i="22"/>
  <c r="M5418" i="22"/>
  <c r="M5417" i="22"/>
  <c r="M5416" i="22"/>
  <c r="M5415" i="22"/>
  <c r="M5414" i="22"/>
  <c r="M5413" i="22"/>
  <c r="M5412" i="22"/>
  <c r="M5411" i="22"/>
  <c r="M5410" i="22"/>
  <c r="M5409" i="22"/>
  <c r="M5408" i="22"/>
  <c r="M5407" i="22"/>
  <c r="M5406" i="22"/>
  <c r="M5405" i="22"/>
  <c r="M5404" i="22"/>
  <c r="M5403" i="22"/>
  <c r="M5402" i="22"/>
  <c r="M5401" i="22"/>
  <c r="M5400" i="22"/>
  <c r="M5399" i="22"/>
  <c r="M5398" i="22"/>
  <c r="M5397" i="22"/>
  <c r="M5396" i="22"/>
  <c r="M5395" i="22"/>
  <c r="M5394" i="22"/>
  <c r="M5393" i="22"/>
  <c r="M5392" i="22"/>
  <c r="M5391" i="22"/>
  <c r="M5390" i="22"/>
  <c r="M5389" i="22"/>
  <c r="M5388" i="22"/>
  <c r="M5387" i="22"/>
  <c r="M5386" i="22"/>
  <c r="M5385" i="22"/>
  <c r="M5384" i="22"/>
  <c r="M5383" i="22"/>
  <c r="M5382" i="22"/>
  <c r="M5381" i="22"/>
  <c r="M5380" i="22"/>
  <c r="M5379" i="22"/>
  <c r="M5378" i="22"/>
  <c r="M5377" i="22"/>
  <c r="M5375" i="22"/>
  <c r="M5374" i="22"/>
  <c r="M5373" i="22"/>
  <c r="M5372" i="22"/>
  <c r="M5371" i="22"/>
  <c r="M5370" i="22"/>
  <c r="M5369" i="22"/>
  <c r="M5368" i="22"/>
  <c r="M5367" i="22"/>
  <c r="M5366" i="22"/>
  <c r="M5365" i="22"/>
  <c r="M5364" i="22"/>
  <c r="M5363" i="22"/>
  <c r="M5362" i="22"/>
  <c r="M5361" i="22"/>
  <c r="M5360" i="22"/>
  <c r="M5359" i="22"/>
  <c r="M5358" i="22"/>
  <c r="M5357" i="22"/>
  <c r="M5356" i="22"/>
  <c r="M5355" i="22"/>
  <c r="M5354" i="22"/>
  <c r="M5353" i="22"/>
  <c r="M5352" i="22"/>
  <c r="M5351" i="22"/>
  <c r="M5350" i="22"/>
  <c r="M5349" i="22"/>
  <c r="M5348" i="22"/>
  <c r="M5347" i="22"/>
  <c r="M5346" i="22"/>
  <c r="M5345" i="22"/>
  <c r="M5344" i="22"/>
  <c r="M5343" i="22"/>
  <c r="M5342" i="22"/>
  <c r="M5341" i="22"/>
  <c r="M5340" i="22"/>
  <c r="M5339" i="22"/>
  <c r="M5338" i="22"/>
  <c r="M5337" i="22"/>
  <c r="M5336" i="22"/>
  <c r="M5335" i="22"/>
  <c r="M5334" i="22"/>
  <c r="M5333" i="22"/>
  <c r="M5332" i="22"/>
  <c r="M5331" i="22"/>
  <c r="M5330" i="22"/>
  <c r="M5329" i="22"/>
  <c r="M5328" i="22"/>
  <c r="M5327" i="22"/>
  <c r="M5326" i="22"/>
  <c r="M5325" i="22"/>
  <c r="M5324" i="22"/>
  <c r="M5323" i="22"/>
  <c r="M5322" i="22"/>
  <c r="M5321" i="22"/>
  <c r="M5320" i="22"/>
  <c r="M5319" i="22"/>
  <c r="M5318" i="22"/>
  <c r="M5317" i="22"/>
  <c r="M5316" i="22"/>
  <c r="M5315" i="22"/>
  <c r="M5314" i="22"/>
  <c r="M5313" i="22"/>
  <c r="M5312" i="22"/>
  <c r="M5311" i="22"/>
  <c r="M5310" i="22"/>
  <c r="M5309" i="22"/>
  <c r="M5308" i="22"/>
  <c r="M5307" i="22"/>
  <c r="M5306" i="22"/>
  <c r="M5305" i="22"/>
  <c r="M5304" i="22"/>
  <c r="M5303" i="22"/>
  <c r="M5302" i="22"/>
  <c r="M5301" i="22"/>
  <c r="M5300" i="22"/>
  <c r="M5299" i="22"/>
  <c r="M5298" i="22"/>
  <c r="M5297" i="22"/>
  <c r="M5296" i="22"/>
  <c r="M5295" i="22"/>
  <c r="M5294" i="22"/>
  <c r="M5293" i="22"/>
  <c r="M5292" i="22"/>
  <c r="M5291" i="22"/>
  <c r="M5290" i="22"/>
  <c r="M5289" i="22"/>
  <c r="M5288" i="22"/>
  <c r="M5287" i="22"/>
  <c r="M5286" i="22"/>
  <c r="M5285" i="22"/>
  <c r="M5284" i="22"/>
  <c r="M5283" i="22"/>
  <c r="M5282" i="22"/>
  <c r="M5281" i="22"/>
  <c r="M5280" i="22"/>
  <c r="M5279" i="22"/>
  <c r="M5278" i="22"/>
  <c r="M5277" i="22"/>
  <c r="M5276" i="22"/>
  <c r="M5275" i="22"/>
  <c r="M5274" i="22"/>
  <c r="M5273" i="22"/>
  <c r="M5272" i="22"/>
  <c r="M5271" i="22"/>
  <c r="M5270" i="22"/>
  <c r="M5269" i="22"/>
  <c r="M5268" i="22"/>
  <c r="M5267" i="22"/>
  <c r="M5266" i="22"/>
  <c r="M5265" i="22"/>
  <c r="M5264" i="22"/>
  <c r="M5263" i="22"/>
  <c r="M5262" i="22"/>
  <c r="M5261" i="22"/>
  <c r="M5260" i="22"/>
  <c r="M5259" i="22"/>
  <c r="M5258" i="22"/>
  <c r="M5257" i="22"/>
  <c r="M5256" i="22"/>
  <c r="M5255" i="22"/>
  <c r="M5254" i="22"/>
  <c r="G12" i="7"/>
  <c r="G13" i="7"/>
  <c r="G14" i="7"/>
  <c r="G15" i="7"/>
  <c r="G16" i="7"/>
  <c r="G17" i="7"/>
  <c r="G18" i="7"/>
  <c r="G19" i="7"/>
  <c r="G20" i="7"/>
  <c r="G21" i="7"/>
  <c r="G22" i="7"/>
  <c r="G23" i="7"/>
  <c r="G24" i="7"/>
  <c r="G25" i="7"/>
  <c r="G26" i="7"/>
  <c r="G27" i="7"/>
  <c r="G28" i="7"/>
  <c r="G29" i="7"/>
  <c r="G30" i="7"/>
  <c r="G31" i="7"/>
  <c r="G32" i="7"/>
  <c r="G33" i="7"/>
  <c r="G35" i="7"/>
  <c r="B111" i="11"/>
  <c r="B56" i="11" s="1"/>
  <c r="D111" i="11"/>
  <c r="P111" i="11"/>
  <c r="B112" i="11"/>
  <c r="D57" i="11" s="1"/>
  <c r="D112" i="11"/>
  <c r="P112" i="11"/>
  <c r="B113" i="11"/>
  <c r="F58" i="11" s="1"/>
  <c r="D113" i="11"/>
  <c r="P113" i="11"/>
  <c r="B114" i="11"/>
  <c r="H59" i="11" s="1"/>
  <c r="D114" i="11"/>
  <c r="P114" i="11"/>
  <c r="B115" i="11"/>
  <c r="C60" i="11" s="1"/>
  <c r="D115" i="11"/>
  <c r="P115" i="11"/>
  <c r="B116" i="11"/>
  <c r="D61" i="11" s="1"/>
  <c r="D116" i="11"/>
  <c r="P116" i="11"/>
  <c r="B117" i="11"/>
  <c r="B62" i="11" s="1"/>
  <c r="D117" i="11"/>
  <c r="P117" i="11"/>
  <c r="B118" i="11"/>
  <c r="D63" i="11" s="1"/>
  <c r="D118" i="11"/>
  <c r="P118" i="11"/>
  <c r="B124" i="11"/>
  <c r="D124" i="11"/>
  <c r="F124" i="11"/>
  <c r="H124" i="11"/>
  <c r="J124" i="11"/>
  <c r="L124" i="11"/>
  <c r="N124" i="11"/>
  <c r="B125" i="11"/>
  <c r="D125" i="11"/>
  <c r="F125" i="11"/>
  <c r="H125" i="11"/>
  <c r="J125" i="11"/>
  <c r="L125" i="11"/>
  <c r="N125" i="11"/>
  <c r="B126" i="11"/>
  <c r="D126" i="11"/>
  <c r="F126" i="11"/>
  <c r="H126" i="11"/>
  <c r="J126" i="11"/>
  <c r="L126" i="11"/>
  <c r="N126" i="11"/>
  <c r="B127" i="11"/>
  <c r="D127" i="11"/>
  <c r="F127" i="11"/>
  <c r="H127" i="11"/>
  <c r="J127" i="11"/>
  <c r="L127" i="11"/>
  <c r="N127" i="11"/>
  <c r="B128" i="11"/>
  <c r="D128" i="11"/>
  <c r="F128" i="11"/>
  <c r="H128" i="11"/>
  <c r="J128" i="11"/>
  <c r="L128" i="11"/>
  <c r="N128" i="11"/>
  <c r="B129" i="11"/>
  <c r="D129" i="11"/>
  <c r="F129" i="11"/>
  <c r="H129" i="11"/>
  <c r="J129" i="11"/>
  <c r="L129" i="11"/>
  <c r="N129" i="11"/>
  <c r="B130" i="11"/>
  <c r="D130" i="11"/>
  <c r="F130" i="11"/>
  <c r="H130" i="11"/>
  <c r="J130" i="11"/>
  <c r="L130" i="11"/>
  <c r="N130" i="11"/>
  <c r="B131" i="11"/>
  <c r="D131" i="11"/>
  <c r="F131" i="11"/>
  <c r="H131" i="11"/>
  <c r="J131" i="11"/>
  <c r="L131" i="11"/>
  <c r="N131" i="11"/>
  <c r="B137" i="11"/>
  <c r="D137" i="11"/>
  <c r="F137" i="11"/>
  <c r="H137" i="11"/>
  <c r="J137" i="11"/>
  <c r="L137" i="11"/>
  <c r="N137" i="11"/>
  <c r="P137" i="11"/>
  <c r="R137" i="11"/>
  <c r="T137" i="11"/>
  <c r="B138" i="11"/>
  <c r="D138" i="11"/>
  <c r="F138" i="11"/>
  <c r="H138" i="11"/>
  <c r="J138" i="11"/>
  <c r="L138" i="11"/>
  <c r="N138" i="11"/>
  <c r="P138" i="11"/>
  <c r="R138" i="11"/>
  <c r="T138" i="11"/>
  <c r="B139" i="11"/>
  <c r="D139" i="11"/>
  <c r="F139" i="11"/>
  <c r="H139" i="11"/>
  <c r="J139" i="11"/>
  <c r="L139" i="11"/>
  <c r="N139" i="11"/>
  <c r="P139" i="11"/>
  <c r="R139" i="11"/>
  <c r="T139" i="11"/>
  <c r="B140" i="11"/>
  <c r="D140" i="11"/>
  <c r="F140" i="11"/>
  <c r="H140" i="11"/>
  <c r="J140" i="11"/>
  <c r="L140" i="11"/>
  <c r="N140" i="11"/>
  <c r="P140" i="11"/>
  <c r="R140" i="11"/>
  <c r="T140" i="11"/>
  <c r="B141" i="11"/>
  <c r="D141" i="11"/>
  <c r="F141" i="11"/>
  <c r="H141" i="11"/>
  <c r="J141" i="11"/>
  <c r="L141" i="11"/>
  <c r="N141" i="11"/>
  <c r="P141" i="11"/>
  <c r="R141" i="11"/>
  <c r="T141" i="11"/>
  <c r="B142" i="11"/>
  <c r="D142" i="11"/>
  <c r="F142" i="11"/>
  <c r="H142" i="11"/>
  <c r="J142" i="11"/>
  <c r="L142" i="11"/>
  <c r="N142" i="11"/>
  <c r="P142" i="11"/>
  <c r="R142" i="11"/>
  <c r="T142" i="11"/>
  <c r="B143" i="11"/>
  <c r="D143" i="11"/>
  <c r="F143" i="11"/>
  <c r="H143" i="11"/>
  <c r="J143" i="11"/>
  <c r="L143" i="11"/>
  <c r="N143" i="11"/>
  <c r="P143" i="11"/>
  <c r="R143" i="11"/>
  <c r="T143" i="11"/>
  <c r="B144" i="11"/>
  <c r="D144" i="11"/>
  <c r="F144" i="11"/>
  <c r="H144" i="11"/>
  <c r="J144" i="11"/>
  <c r="L144" i="11"/>
  <c r="N144" i="11"/>
  <c r="P144" i="11"/>
  <c r="R144" i="11"/>
  <c r="T144" i="11"/>
  <c r="B150" i="11"/>
  <c r="D150" i="11"/>
  <c r="F150" i="11"/>
  <c r="H150" i="11"/>
  <c r="J150" i="11"/>
  <c r="L150" i="11"/>
  <c r="N150" i="11"/>
  <c r="P150" i="11"/>
  <c r="R150" i="11"/>
  <c r="T150" i="11"/>
  <c r="B151" i="11"/>
  <c r="D151" i="11"/>
  <c r="F151" i="11"/>
  <c r="H151" i="11"/>
  <c r="J151" i="11"/>
  <c r="L151" i="11"/>
  <c r="N151" i="11"/>
  <c r="P151" i="11"/>
  <c r="R151" i="11"/>
  <c r="T151" i="11"/>
  <c r="B152" i="11"/>
  <c r="D152" i="11"/>
  <c r="F152" i="11"/>
  <c r="H152" i="11"/>
  <c r="J152" i="11"/>
  <c r="L152" i="11"/>
  <c r="N152" i="11"/>
  <c r="P152" i="11"/>
  <c r="R152" i="11"/>
  <c r="T152" i="11"/>
  <c r="B153" i="11"/>
  <c r="D153" i="11"/>
  <c r="F153" i="11"/>
  <c r="H153" i="11"/>
  <c r="J153" i="11"/>
  <c r="L153" i="11"/>
  <c r="N153" i="11"/>
  <c r="P153" i="11"/>
  <c r="R153" i="11"/>
  <c r="T153" i="11"/>
  <c r="B154" i="11"/>
  <c r="D154" i="11"/>
  <c r="F154" i="11"/>
  <c r="H154" i="11"/>
  <c r="J154" i="11"/>
  <c r="L154" i="11"/>
  <c r="N154" i="11"/>
  <c r="P154" i="11"/>
  <c r="R154" i="11"/>
  <c r="T154" i="11"/>
  <c r="B155" i="11"/>
  <c r="D155" i="11"/>
  <c r="F155" i="11"/>
  <c r="H155" i="11"/>
  <c r="J155" i="11"/>
  <c r="L155" i="11"/>
  <c r="N155" i="11"/>
  <c r="P155" i="11"/>
  <c r="R155" i="11"/>
  <c r="T155" i="11"/>
  <c r="B156" i="11"/>
  <c r="D156" i="11"/>
  <c r="F156" i="11"/>
  <c r="H156" i="11"/>
  <c r="J156" i="11"/>
  <c r="L156" i="11"/>
  <c r="N156" i="11"/>
  <c r="P156" i="11"/>
  <c r="R156" i="11"/>
  <c r="T156" i="11"/>
  <c r="B157" i="11"/>
  <c r="D157" i="11"/>
  <c r="F157" i="11"/>
  <c r="H157" i="11"/>
  <c r="J157" i="11"/>
  <c r="L157" i="11"/>
  <c r="N157" i="11"/>
  <c r="P157" i="11"/>
  <c r="R157" i="11"/>
  <c r="T157" i="11"/>
  <c r="B163" i="11"/>
  <c r="D163" i="11"/>
  <c r="B164" i="11"/>
  <c r="D164" i="11"/>
  <c r="B165" i="11"/>
  <c r="D165" i="11"/>
  <c r="B171" i="11"/>
  <c r="B172" i="11"/>
  <c r="B173" i="11"/>
  <c r="B174" i="11"/>
  <c r="B175" i="11"/>
  <c r="B176" i="11"/>
  <c r="B177" i="11"/>
  <c r="B178" i="11"/>
  <c r="B179" i="11"/>
  <c r="B180" i="11"/>
  <c r="B181" i="11"/>
  <c r="F63" i="11" l="1"/>
  <c r="C63" i="11"/>
  <c r="C57" i="11"/>
  <c r="B57" i="11"/>
  <c r="B63" i="11"/>
  <c r="B61" i="11"/>
  <c r="I60" i="11"/>
  <c r="H60" i="11"/>
  <c r="C61" i="11"/>
  <c r="G60" i="11"/>
  <c r="I58" i="11"/>
  <c r="G57" i="11"/>
  <c r="F57" i="11"/>
  <c r="I61" i="11"/>
  <c r="E60" i="11"/>
  <c r="D58" i="11"/>
  <c r="G58" i="11"/>
  <c r="H61" i="11"/>
  <c r="D60" i="11"/>
  <c r="C58" i="11"/>
  <c r="F60" i="11"/>
  <c r="E58" i="11"/>
  <c r="G61" i="11"/>
  <c r="B58" i="11"/>
  <c r="H58" i="11"/>
  <c r="F61" i="11"/>
  <c r="G59" i="11"/>
  <c r="I63" i="11"/>
  <c r="E61" i="11"/>
  <c r="F59" i="11"/>
  <c r="G63" i="11"/>
  <c r="E59" i="11"/>
  <c r="I57" i="11"/>
  <c r="I56" i="11"/>
  <c r="G62" i="11"/>
  <c r="G56" i="11"/>
  <c r="H63" i="11"/>
  <c r="F62" i="11"/>
  <c r="B60" i="11"/>
  <c r="H57" i="11"/>
  <c r="F56" i="11"/>
  <c r="D59" i="11"/>
  <c r="I62" i="11"/>
  <c r="C59" i="11"/>
  <c r="H56" i="11"/>
  <c r="D62" i="11"/>
  <c r="D56" i="11"/>
  <c r="E63" i="11"/>
  <c r="C62" i="11"/>
  <c r="I59" i="11"/>
  <c r="E57" i="11"/>
  <c r="C56" i="11"/>
  <c r="H62" i="11"/>
  <c r="B59" i="11"/>
  <c r="E62" i="11"/>
  <c r="E56" i="11"/>
  <c r="C331" i="27"/>
  <c r="C330" i="27"/>
  <c r="F330" i="27" s="1"/>
  <c r="C329" i="27"/>
  <c r="C328" i="27"/>
  <c r="C327" i="27"/>
  <c r="G327" i="27" s="1"/>
  <c r="C326" i="27"/>
  <c r="C325" i="27"/>
  <c r="C324" i="27"/>
  <c r="D324" i="27" s="1"/>
  <c r="C323" i="27"/>
  <c r="D323" i="27" s="1"/>
  <c r="C322" i="27"/>
  <c r="C321" i="27"/>
  <c r="E321" i="27" s="1"/>
  <c r="C320" i="27"/>
  <c r="F320" i="27" s="1"/>
  <c r="C319" i="27"/>
  <c r="H319" i="27" s="1"/>
  <c r="C318" i="27"/>
  <c r="G318" i="27" s="1"/>
  <c r="C317" i="27"/>
  <c r="H317" i="27" s="1"/>
  <c r="C316" i="27"/>
  <c r="C315" i="27"/>
  <c r="C314" i="27"/>
  <c r="C313" i="27"/>
  <c r="C312" i="27"/>
  <c r="C311" i="27"/>
  <c r="C301" i="27"/>
  <c r="C300" i="27"/>
  <c r="C299" i="27"/>
  <c r="E299" i="27" s="1"/>
  <c r="C298" i="27"/>
  <c r="C297" i="27"/>
  <c r="C296" i="27"/>
  <c r="C295" i="27"/>
  <c r="C294" i="27"/>
  <c r="C293" i="27"/>
  <c r="C292" i="27"/>
  <c r="C291" i="27"/>
  <c r="C290" i="27"/>
  <c r="C289" i="27"/>
  <c r="G289" i="27" s="1"/>
  <c r="C288" i="27"/>
  <c r="G288" i="27" s="1"/>
  <c r="C287" i="27"/>
  <c r="C286" i="27"/>
  <c r="C285" i="27"/>
  <c r="C284" i="27"/>
  <c r="C283" i="27"/>
  <c r="C282" i="27"/>
  <c r="C281" i="27"/>
  <c r="C241" i="27"/>
  <c r="D241" i="27" s="1"/>
  <c r="C240" i="27"/>
  <c r="C239" i="27"/>
  <c r="F239" i="27" s="1"/>
  <c r="C238" i="27"/>
  <c r="C237" i="27"/>
  <c r="C236" i="27"/>
  <c r="C235" i="27"/>
  <c r="G235" i="27" s="1"/>
  <c r="C234" i="27"/>
  <c r="H234" i="27" s="1"/>
  <c r="C233" i="27"/>
  <c r="D233" i="27" s="1"/>
  <c r="C232" i="27"/>
  <c r="G232" i="27" s="1"/>
  <c r="C231" i="27"/>
  <c r="C230" i="27"/>
  <c r="C229" i="27"/>
  <c r="G229" i="27" s="1"/>
  <c r="C228" i="27"/>
  <c r="G228" i="27" s="1"/>
  <c r="C227" i="27"/>
  <c r="G227" i="27" s="1"/>
  <c r="C226" i="27"/>
  <c r="C225" i="27"/>
  <c r="C224" i="27"/>
  <c r="F224" i="27" s="1"/>
  <c r="C223" i="27"/>
  <c r="H223" i="27" s="1"/>
  <c r="C222" i="27"/>
  <c r="C221" i="27"/>
  <c r="F221" i="27" s="1"/>
  <c r="C211" i="27"/>
  <c r="C210" i="27"/>
  <c r="G210" i="27" s="1"/>
  <c r="C209" i="27"/>
  <c r="C208" i="27"/>
  <c r="C207" i="27"/>
  <c r="C206" i="27"/>
  <c r="C205" i="27"/>
  <c r="C204" i="27"/>
  <c r="C203" i="27"/>
  <c r="G203" i="27" s="1"/>
  <c r="C202" i="27"/>
  <c r="C201" i="27"/>
  <c r="C200" i="27"/>
  <c r="C199" i="27"/>
  <c r="C198" i="27"/>
  <c r="C197" i="27"/>
  <c r="D197" i="27" s="1"/>
  <c r="C196" i="27"/>
  <c r="C195" i="27"/>
  <c r="C194" i="27"/>
  <c r="C193" i="27"/>
  <c r="C192" i="27"/>
  <c r="C191" i="27"/>
  <c r="C181" i="27"/>
  <c r="C180" i="27"/>
  <c r="E180" i="27" s="1"/>
  <c r="C179" i="27"/>
  <c r="C178" i="27"/>
  <c r="C177" i="27"/>
  <c r="C176" i="27"/>
  <c r="C175" i="27"/>
  <c r="C174" i="27"/>
  <c r="C173" i="27"/>
  <c r="F173" i="27" s="1"/>
  <c r="C172" i="27"/>
  <c r="C171" i="27"/>
  <c r="C170" i="27"/>
  <c r="C169" i="27"/>
  <c r="C168" i="27"/>
  <c r="C167" i="27"/>
  <c r="C166" i="27"/>
  <c r="C165" i="27"/>
  <c r="C164" i="27"/>
  <c r="C163" i="27"/>
  <c r="C162" i="27"/>
  <c r="C161" i="27"/>
  <c r="C121" i="27"/>
  <c r="C120" i="27"/>
  <c r="H120" i="27" s="1"/>
  <c r="C119" i="27"/>
  <c r="C118" i="27"/>
  <c r="C117" i="27"/>
  <c r="C116" i="27"/>
  <c r="C115" i="27"/>
  <c r="C114" i="27"/>
  <c r="C113" i="27"/>
  <c r="C112" i="27"/>
  <c r="C111" i="27"/>
  <c r="C110" i="27"/>
  <c r="C109" i="27"/>
  <c r="C108" i="27"/>
  <c r="C107" i="27"/>
  <c r="C106" i="27"/>
  <c r="C105" i="27"/>
  <c r="C104" i="27"/>
  <c r="C103" i="27"/>
  <c r="C102" i="27"/>
  <c r="C101" i="27"/>
  <c r="C91" i="27"/>
  <c r="C90" i="27"/>
  <c r="C89" i="27"/>
  <c r="C88" i="27"/>
  <c r="C87" i="27"/>
  <c r="C86" i="27"/>
  <c r="C85" i="27"/>
  <c r="C84" i="27"/>
  <c r="C83" i="27"/>
  <c r="D83" i="27" s="1"/>
  <c r="C82" i="27"/>
  <c r="C81" i="27"/>
  <c r="C80" i="27"/>
  <c r="C79" i="27"/>
  <c r="C78" i="27"/>
  <c r="C77" i="27"/>
  <c r="C76" i="27"/>
  <c r="C75" i="27"/>
  <c r="C74" i="27"/>
  <c r="C73" i="27"/>
  <c r="C72" i="27"/>
  <c r="C71" i="27"/>
  <c r="C61" i="27"/>
  <c r="C60" i="27"/>
  <c r="C59" i="27"/>
  <c r="C58" i="27"/>
  <c r="C57" i="27"/>
  <c r="C56" i="27"/>
  <c r="C55" i="27"/>
  <c r="C54" i="27"/>
  <c r="C53" i="27"/>
  <c r="D53" i="27" s="1"/>
  <c r="C52" i="27"/>
  <c r="C51" i="27"/>
  <c r="C50" i="27"/>
  <c r="C49" i="27"/>
  <c r="C48" i="27"/>
  <c r="C47" i="27"/>
  <c r="C46" i="27"/>
  <c r="C45" i="27"/>
  <c r="C44" i="27"/>
  <c r="C43" i="27"/>
  <c r="C42" i="27"/>
  <c r="C41" i="27"/>
  <c r="I331" i="27"/>
  <c r="I330" i="27"/>
  <c r="I329" i="27"/>
  <c r="I328" i="27"/>
  <c r="I327" i="27"/>
  <c r="L327" i="27" s="1"/>
  <c r="I326" i="27"/>
  <c r="I325" i="27"/>
  <c r="I324" i="27"/>
  <c r="P324" i="27" s="1"/>
  <c r="I323" i="27"/>
  <c r="P323" i="27" s="1"/>
  <c r="I322" i="27"/>
  <c r="I321" i="27"/>
  <c r="N321" i="27" s="1"/>
  <c r="I320" i="27"/>
  <c r="I319" i="27"/>
  <c r="J319" i="27" s="1"/>
  <c r="I318" i="27"/>
  <c r="I317" i="27"/>
  <c r="I316" i="27"/>
  <c r="N316" i="27" s="1"/>
  <c r="I315" i="27"/>
  <c r="I314" i="27"/>
  <c r="I313" i="27"/>
  <c r="I312" i="27"/>
  <c r="I311" i="27"/>
  <c r="I301" i="27"/>
  <c r="I300" i="27"/>
  <c r="M300" i="27" s="1"/>
  <c r="I299" i="27"/>
  <c r="I298" i="27"/>
  <c r="I297" i="27"/>
  <c r="L297" i="27" s="1"/>
  <c r="I296" i="27"/>
  <c r="I295" i="27"/>
  <c r="I294" i="27"/>
  <c r="I293" i="27"/>
  <c r="O293" i="27" s="1"/>
  <c r="I292" i="27"/>
  <c r="I291" i="27"/>
  <c r="I290" i="27"/>
  <c r="I289" i="27"/>
  <c r="I288" i="27"/>
  <c r="N288" i="27" s="1"/>
  <c r="I287" i="27"/>
  <c r="J287" i="27" s="1"/>
  <c r="I286" i="27"/>
  <c r="M286" i="27" s="1"/>
  <c r="I285" i="27"/>
  <c r="I284" i="27"/>
  <c r="P284" i="27" s="1"/>
  <c r="I283" i="27"/>
  <c r="I282" i="27"/>
  <c r="I281" i="27"/>
  <c r="I241" i="27"/>
  <c r="I240" i="27"/>
  <c r="N240" i="27" s="1"/>
  <c r="I239" i="27"/>
  <c r="I238" i="27"/>
  <c r="P238" i="27" s="1"/>
  <c r="I237" i="27"/>
  <c r="I236" i="27"/>
  <c r="I235" i="27"/>
  <c r="I234" i="27"/>
  <c r="I233" i="27"/>
  <c r="I232" i="27"/>
  <c r="I231" i="27"/>
  <c r="I230" i="27"/>
  <c r="I229" i="27"/>
  <c r="I228" i="27"/>
  <c r="I227" i="27"/>
  <c r="I226" i="27"/>
  <c r="I225" i="27"/>
  <c r="I224" i="27"/>
  <c r="I223" i="27"/>
  <c r="I222" i="27"/>
  <c r="I221" i="27"/>
  <c r="I211" i="27"/>
  <c r="I210" i="27"/>
  <c r="M210" i="27" s="1"/>
  <c r="I209" i="27"/>
  <c r="I208" i="27"/>
  <c r="I207" i="27"/>
  <c r="I206" i="27"/>
  <c r="I205" i="27"/>
  <c r="I204" i="27"/>
  <c r="I203" i="27"/>
  <c r="I202" i="27"/>
  <c r="I201" i="27"/>
  <c r="I200" i="27"/>
  <c r="I199" i="27"/>
  <c r="I198" i="27"/>
  <c r="I197" i="27"/>
  <c r="P197" i="27" s="1"/>
  <c r="I196" i="27"/>
  <c r="I195" i="27"/>
  <c r="I194" i="27"/>
  <c r="I193" i="27"/>
  <c r="I192" i="27"/>
  <c r="I191" i="27"/>
  <c r="I181" i="27"/>
  <c r="I180" i="27"/>
  <c r="I179" i="27"/>
  <c r="I178" i="27"/>
  <c r="I177" i="27"/>
  <c r="I176" i="27"/>
  <c r="I175" i="27"/>
  <c r="I174" i="27"/>
  <c r="I173" i="27"/>
  <c r="I172" i="27"/>
  <c r="I171" i="27"/>
  <c r="I170" i="27"/>
  <c r="I169" i="27"/>
  <c r="I168" i="27"/>
  <c r="I167" i="27"/>
  <c r="I166" i="27"/>
  <c r="I165" i="27"/>
  <c r="I164" i="27"/>
  <c r="I163" i="27"/>
  <c r="I162" i="27"/>
  <c r="I161" i="27"/>
  <c r="I121" i="27"/>
  <c r="I120" i="27"/>
  <c r="I119" i="27"/>
  <c r="I118" i="27"/>
  <c r="I117" i="27"/>
  <c r="I116" i="27"/>
  <c r="I115" i="27"/>
  <c r="I114" i="27"/>
  <c r="I113" i="27"/>
  <c r="I112" i="27"/>
  <c r="I111" i="27"/>
  <c r="I110" i="27"/>
  <c r="I109" i="27"/>
  <c r="I108" i="27"/>
  <c r="I107" i="27"/>
  <c r="I106" i="27"/>
  <c r="I105" i="27"/>
  <c r="I104" i="27"/>
  <c r="I103" i="27"/>
  <c r="I102" i="27"/>
  <c r="I101" i="27"/>
  <c r="I91" i="27"/>
  <c r="I90" i="27"/>
  <c r="I89" i="27"/>
  <c r="I88" i="27"/>
  <c r="I87" i="27"/>
  <c r="I86" i="27"/>
  <c r="I85" i="27"/>
  <c r="I84" i="27"/>
  <c r="I83" i="27"/>
  <c r="I82" i="27"/>
  <c r="I81" i="27"/>
  <c r="P81" i="27" s="1"/>
  <c r="I80" i="27"/>
  <c r="I79" i="27"/>
  <c r="I78" i="27"/>
  <c r="I77" i="27"/>
  <c r="P77" i="27" s="1"/>
  <c r="I76" i="27"/>
  <c r="I75" i="27"/>
  <c r="I74" i="27"/>
  <c r="I73" i="27"/>
  <c r="I72" i="27"/>
  <c r="I71" i="27"/>
  <c r="I61" i="27"/>
  <c r="I60" i="27"/>
  <c r="J60" i="27" s="1"/>
  <c r="I59" i="27"/>
  <c r="I58" i="27"/>
  <c r="I57" i="27"/>
  <c r="I56" i="27"/>
  <c r="P56" i="27" s="1"/>
  <c r="I55" i="27"/>
  <c r="I54" i="27"/>
  <c r="I53" i="27"/>
  <c r="I52" i="27"/>
  <c r="I51" i="27"/>
  <c r="I50" i="27"/>
  <c r="I49" i="27"/>
  <c r="I48" i="27"/>
  <c r="I47" i="27"/>
  <c r="I46" i="27"/>
  <c r="I45" i="27"/>
  <c r="I44" i="27"/>
  <c r="I43" i="27"/>
  <c r="I42" i="27"/>
  <c r="I41" i="27"/>
  <c r="O327" i="27"/>
  <c r="C264" i="27"/>
  <c r="I328" i="13"/>
  <c r="C328" i="13"/>
  <c r="I298" i="13"/>
  <c r="C298" i="13"/>
  <c r="I238" i="13"/>
  <c r="M238" i="13" s="1"/>
  <c r="C238" i="13"/>
  <c r="I208" i="13"/>
  <c r="C208" i="13"/>
  <c r="I178" i="13"/>
  <c r="C178" i="13"/>
  <c r="I119" i="13"/>
  <c r="C119" i="13"/>
  <c r="I87" i="13"/>
  <c r="C87" i="13"/>
  <c r="I57" i="13"/>
  <c r="C57" i="13"/>
  <c r="X12" i="3"/>
  <c r="H111" i="11" s="1"/>
  <c r="X13" i="3"/>
  <c r="H112" i="11" s="1"/>
  <c r="X14" i="3"/>
  <c r="X15" i="3"/>
  <c r="H114" i="11" s="1"/>
  <c r="X16" i="3"/>
  <c r="H115" i="11" s="1"/>
  <c r="X17" i="3"/>
  <c r="H116" i="11" s="1"/>
  <c r="X18" i="3"/>
  <c r="H117" i="11" s="1"/>
  <c r="X19" i="3"/>
  <c r="H118" i="11" s="1"/>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W12" i="3"/>
  <c r="F111" i="11" s="1"/>
  <c r="W13" i="3"/>
  <c r="F112" i="11" s="1"/>
  <c r="W14" i="3"/>
  <c r="F113" i="11" s="1"/>
  <c r="W15" i="3"/>
  <c r="F114" i="11" s="1"/>
  <c r="W16" i="3"/>
  <c r="F115" i="11" s="1"/>
  <c r="W17" i="3"/>
  <c r="F116" i="11" s="1"/>
  <c r="W18" i="3"/>
  <c r="F117" i="11" s="1"/>
  <c r="W19" i="3"/>
  <c r="F118" i="11" s="1"/>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J112" i="27" s="1"/>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M83" i="26"/>
  <c r="M101" i="26" s="1" a="1"/>
  <c r="M101" i="26" s="1"/>
  <c r="L83" i="26"/>
  <c r="H83" i="26"/>
  <c r="G83" i="26"/>
  <c r="Q54" i="26"/>
  <c r="M54" i="26"/>
  <c r="M68" i="26" s="1" a="1"/>
  <c r="M68" i="26" s="1"/>
  <c r="L54" i="26"/>
  <c r="H54" i="26"/>
  <c r="H70" i="26" s="1" a="1"/>
  <c r="H70" i="26" s="1"/>
  <c r="G54" i="26"/>
  <c r="Q25" i="26"/>
  <c r="L25" i="26"/>
  <c r="H25" i="26"/>
  <c r="H40" i="26" s="1"/>
  <c r="G25" i="26"/>
  <c r="C16" i="26"/>
  <c r="B10" i="26"/>
  <c r="C16" i="12"/>
  <c r="B9" i="12"/>
  <c r="R54" i="26"/>
  <c r="R69" i="26" s="1"/>
  <c r="R25" i="26"/>
  <c r="R41" i="26" s="1"/>
  <c r="M25" i="26"/>
  <c r="M44" i="26" s="1"/>
  <c r="S76" i="26"/>
  <c r="C18" i="26"/>
  <c r="B18" i="26"/>
  <c r="C17" i="26"/>
  <c r="B17" i="26"/>
  <c r="B16" i="26"/>
  <c r="C14" i="26"/>
  <c r="B14" i="26"/>
  <c r="C13" i="26"/>
  <c r="B13" i="26"/>
  <c r="G11" i="26"/>
  <c r="C11" i="26"/>
  <c r="B11" i="26"/>
  <c r="C10" i="26"/>
  <c r="C9" i="26"/>
  <c r="B9" i="26"/>
  <c r="J52" i="27" l="1"/>
  <c r="E57" i="13"/>
  <c r="E285" i="27"/>
  <c r="H75" i="26" a="1"/>
  <c r="H75" i="26" s="1"/>
  <c r="D312" i="27"/>
  <c r="H73" i="26" a="1"/>
  <c r="H73" i="26" s="1"/>
  <c r="J59" i="11"/>
  <c r="K202" i="27"/>
  <c r="H104" i="26" a="1"/>
  <c r="H104" i="26" s="1"/>
  <c r="O316" i="27"/>
  <c r="E85" i="27"/>
  <c r="K74" i="27"/>
  <c r="K170" i="27"/>
  <c r="K191" i="27"/>
  <c r="D41" i="27"/>
  <c r="D74" i="27"/>
  <c r="I141" i="27"/>
  <c r="K192" i="27"/>
  <c r="J223" i="27"/>
  <c r="O73" i="27"/>
  <c r="E238" i="13"/>
  <c r="J172" i="27"/>
  <c r="E76" i="27"/>
  <c r="K161" i="27"/>
  <c r="K194" i="27"/>
  <c r="K206" i="27"/>
  <c r="J239" i="27"/>
  <c r="E44" i="27"/>
  <c r="M94" i="26" a="1"/>
  <c r="M94" i="26" s="1"/>
  <c r="H103" i="26" a="1"/>
  <c r="H103" i="26" s="1"/>
  <c r="M103" i="26" a="1"/>
  <c r="M103" i="26" s="1"/>
  <c r="D328" i="27"/>
  <c r="J211" i="27"/>
  <c r="K52" i="27"/>
  <c r="E178" i="27"/>
  <c r="E208" i="13"/>
  <c r="J72" i="27"/>
  <c r="K84" i="27"/>
  <c r="K168" i="27"/>
  <c r="D71" i="27"/>
  <c r="D104" i="27"/>
  <c r="E298" i="13"/>
  <c r="J204" i="27"/>
  <c r="D322" i="27"/>
  <c r="J58" i="11"/>
  <c r="H113" i="11"/>
  <c r="K73" i="27"/>
  <c r="J169" i="27"/>
  <c r="E105" i="27"/>
  <c r="J41" i="27"/>
  <c r="O191" i="27"/>
  <c r="E170" i="27"/>
  <c r="K174" i="27"/>
  <c r="D56" i="27"/>
  <c r="D77" i="27"/>
  <c r="J63" i="11"/>
  <c r="J295" i="27"/>
  <c r="K102" i="27"/>
  <c r="K311" i="27"/>
  <c r="K112" i="27"/>
  <c r="E162" i="27"/>
  <c r="D174" i="27"/>
  <c r="O240" i="27"/>
  <c r="J56" i="11"/>
  <c r="J61" i="11"/>
  <c r="E193" i="27"/>
  <c r="J55" i="27"/>
  <c r="D86" i="27"/>
  <c r="K59" i="27"/>
  <c r="D79" i="27"/>
  <c r="O112" i="27"/>
  <c r="C145" i="27"/>
  <c r="E196" i="27"/>
  <c r="E313" i="27"/>
  <c r="J62" i="11"/>
  <c r="C262" i="27"/>
  <c r="K48" i="27"/>
  <c r="J102" i="27"/>
  <c r="D164" i="27"/>
  <c r="E326" i="27"/>
  <c r="K50" i="27"/>
  <c r="E178" i="13"/>
  <c r="J82" i="27"/>
  <c r="K166" i="27"/>
  <c r="J231" i="27"/>
  <c r="E81" i="27"/>
  <c r="E102" i="27"/>
  <c r="J60" i="11"/>
  <c r="K237" i="27"/>
  <c r="C271" i="27"/>
  <c r="K211" i="27"/>
  <c r="J283" i="27"/>
  <c r="O178" i="27"/>
  <c r="O211" i="27"/>
  <c r="J57" i="11"/>
  <c r="J174" i="27"/>
  <c r="I267" i="27"/>
  <c r="N267" i="27" s="1"/>
  <c r="H88" i="26" a="1"/>
  <c r="H88" i="26" s="1"/>
  <c r="O83" i="27"/>
  <c r="I261" i="27"/>
  <c r="J261" i="27" s="1"/>
  <c r="H180" i="27"/>
  <c r="M88" i="26" a="1"/>
  <c r="M88" i="26" s="1"/>
  <c r="O202" i="27"/>
  <c r="P292" i="27"/>
  <c r="M56" i="26" a="1"/>
  <c r="M56" i="26" s="1"/>
  <c r="E83" i="27"/>
  <c r="D239" i="27"/>
  <c r="C260" i="27"/>
  <c r="D260" i="27" s="1"/>
  <c r="D167" i="27"/>
  <c r="O223" i="27"/>
  <c r="M95" i="26" a="1"/>
  <c r="M95" i="26" s="1"/>
  <c r="O48" i="27"/>
  <c r="H224" i="27"/>
  <c r="G83" i="27"/>
  <c r="H239" i="27"/>
  <c r="O297" i="27"/>
  <c r="H83" i="27"/>
  <c r="E164" i="27"/>
  <c r="P211" i="27"/>
  <c r="H95" i="26" a="1"/>
  <c r="H95" i="26" s="1"/>
  <c r="G224" i="27"/>
  <c r="P108" i="27"/>
  <c r="M97" i="26" a="1"/>
  <c r="M97" i="26" s="1"/>
  <c r="O239" i="27"/>
  <c r="I254" i="27"/>
  <c r="O328" i="27"/>
  <c r="C30" i="27"/>
  <c r="F30" i="27" s="1"/>
  <c r="O225" i="27"/>
  <c r="C256" i="27"/>
  <c r="F256" i="27" s="1"/>
  <c r="O298" i="27"/>
  <c r="M60" i="26" a="1"/>
  <c r="M60" i="26" s="1"/>
  <c r="J48" i="27"/>
  <c r="J108" i="27"/>
  <c r="D48" i="27"/>
  <c r="D162" i="27"/>
  <c r="K108" i="27"/>
  <c r="C268" i="27"/>
  <c r="F299" i="27"/>
  <c r="E323" i="27"/>
  <c r="D211" i="27"/>
  <c r="F318" i="27"/>
  <c r="K91" i="27"/>
  <c r="D227" i="27"/>
  <c r="H318" i="27"/>
  <c r="H85" i="26" a="1"/>
  <c r="H85" i="26" s="1"/>
  <c r="K82" i="27"/>
  <c r="H203" i="27"/>
  <c r="E227" i="27"/>
  <c r="G234" i="27"/>
  <c r="O292" i="27"/>
  <c r="H323" i="27"/>
  <c r="M98" i="26" a="1"/>
  <c r="M98" i="26" s="1"/>
  <c r="O323" i="27"/>
  <c r="F227" i="27"/>
  <c r="O284" i="27"/>
  <c r="D330" i="27"/>
  <c r="H86" i="26" a="1"/>
  <c r="H86" i="26" s="1"/>
  <c r="E59" i="27"/>
  <c r="O162" i="27"/>
  <c r="K287" i="27"/>
  <c r="H227" i="27"/>
  <c r="E330" i="27"/>
  <c r="M99" i="26" a="1"/>
  <c r="M99" i="26" s="1"/>
  <c r="I257" i="27"/>
  <c r="L257" i="27" s="1"/>
  <c r="J191" i="27"/>
  <c r="L287" i="27"/>
  <c r="E120" i="27"/>
  <c r="E324" i="27"/>
  <c r="H87" i="26" a="1"/>
  <c r="H87" i="26" s="1"/>
  <c r="K295" i="27"/>
  <c r="E312" i="27"/>
  <c r="M297" i="27"/>
  <c r="F321" i="27"/>
  <c r="F324" i="27"/>
  <c r="M87" i="26" a="1"/>
  <c r="M87" i="26" s="1"/>
  <c r="M102" i="26" a="1"/>
  <c r="M102" i="26" s="1"/>
  <c r="E211" i="27"/>
  <c r="R211" i="27" s="1"/>
  <c r="E86" i="27"/>
  <c r="K239" i="27"/>
  <c r="E48" i="27"/>
  <c r="E192" i="27"/>
  <c r="E71" i="27"/>
  <c r="P316" i="27"/>
  <c r="N287" i="27"/>
  <c r="N297" i="27"/>
  <c r="H321" i="27"/>
  <c r="E77" i="27"/>
  <c r="P327" i="27"/>
  <c r="M319" i="27"/>
  <c r="K87" i="27"/>
  <c r="D318" i="27"/>
  <c r="N300" i="27"/>
  <c r="G290" i="27"/>
  <c r="E318" i="27"/>
  <c r="H290" i="27"/>
  <c r="F323" i="27"/>
  <c r="H97" i="26" a="1"/>
  <c r="H97" i="26" s="1"/>
  <c r="D85" i="27"/>
  <c r="F234" i="27"/>
  <c r="G323" i="27"/>
  <c r="J161" i="27"/>
  <c r="M85" i="26" a="1"/>
  <c r="M85" i="26" s="1"/>
  <c r="H99" i="26" a="1"/>
  <c r="H99" i="26" s="1"/>
  <c r="K283" i="27"/>
  <c r="D81" i="27"/>
  <c r="O108" i="27"/>
  <c r="M86" i="26" a="1"/>
  <c r="M86" i="26" s="1"/>
  <c r="O174" i="27"/>
  <c r="P300" i="27"/>
  <c r="D11" i="26"/>
  <c r="L210" i="27"/>
  <c r="M287" i="27"/>
  <c r="K71" i="27"/>
  <c r="J71" i="27"/>
  <c r="O173" i="27"/>
  <c r="K173" i="27"/>
  <c r="J196" i="27"/>
  <c r="K196" i="27"/>
  <c r="O312" i="27"/>
  <c r="I252" i="27"/>
  <c r="I262" i="27"/>
  <c r="D42" i="27"/>
  <c r="E42" i="27"/>
  <c r="E50" i="27"/>
  <c r="D50" i="27"/>
  <c r="J173" i="27"/>
  <c r="K240" i="27"/>
  <c r="M240" i="27"/>
  <c r="L240" i="27"/>
  <c r="E168" i="27"/>
  <c r="D168" i="27"/>
  <c r="J229" i="27"/>
  <c r="E91" i="27"/>
  <c r="D91" i="27"/>
  <c r="D206" i="27"/>
  <c r="E206" i="27"/>
  <c r="R206" i="27" s="1"/>
  <c r="P206" i="27"/>
  <c r="J208" i="27"/>
  <c r="K325" i="27"/>
  <c r="I265" i="27"/>
  <c r="G230" i="27"/>
  <c r="F230" i="27"/>
  <c r="P228" i="27"/>
  <c r="O228" i="27"/>
  <c r="D75" i="27"/>
  <c r="E75" i="27"/>
  <c r="O75" i="27"/>
  <c r="P75" i="27"/>
  <c r="P180" i="27"/>
  <c r="M180" i="27"/>
  <c r="N180" i="27"/>
  <c r="L180" i="27"/>
  <c r="J180" i="27"/>
  <c r="P166" i="27"/>
  <c r="J166" i="27"/>
  <c r="K180" i="27"/>
  <c r="R180" i="27" s="1"/>
  <c r="P83" i="27"/>
  <c r="K83" i="27"/>
  <c r="K208" i="27"/>
  <c r="F287" i="27"/>
  <c r="C257" i="27"/>
  <c r="D116" i="27"/>
  <c r="E116" i="27"/>
  <c r="D200" i="27"/>
  <c r="E200" i="27"/>
  <c r="C140" i="27"/>
  <c r="M73" i="26" a="1"/>
  <c r="M73" i="26" s="1"/>
  <c r="M74" i="26" a="1"/>
  <c r="M74" i="26" s="1"/>
  <c r="M65" i="26" a="1"/>
  <c r="M65" i="26" s="1"/>
  <c r="M61" i="26" a="1"/>
  <c r="M61" i="26" s="1"/>
  <c r="M71" i="26" a="1"/>
  <c r="M71" i="26" s="1"/>
  <c r="M58" i="26" a="1"/>
  <c r="M58" i="26" s="1"/>
  <c r="M59" i="26" a="1"/>
  <c r="M59" i="26" s="1"/>
  <c r="M57" i="26" a="1"/>
  <c r="M57" i="26" s="1"/>
  <c r="M72" i="26" a="1"/>
  <c r="M72" i="26" s="1"/>
  <c r="M70" i="26" a="1"/>
  <c r="M70" i="26" s="1"/>
  <c r="M69" i="26" a="1"/>
  <c r="M69" i="26" s="1"/>
  <c r="M66" i="26" a="1"/>
  <c r="M66" i="26" s="1"/>
  <c r="K43" i="27"/>
  <c r="K163" i="27"/>
  <c r="Z12" i="3"/>
  <c r="Y12" i="3"/>
  <c r="K178" i="27"/>
  <c r="J178" i="27"/>
  <c r="P178" i="27"/>
  <c r="I148" i="27"/>
  <c r="K203" i="27"/>
  <c r="E240" i="27"/>
  <c r="H240" i="27"/>
  <c r="U240" i="27" s="1"/>
  <c r="G240" i="27"/>
  <c r="F240" i="27"/>
  <c r="J51" i="27"/>
  <c r="E87" i="27"/>
  <c r="D87" i="27"/>
  <c r="J80" i="27"/>
  <c r="K103" i="27"/>
  <c r="K80" i="27"/>
  <c r="C146" i="27"/>
  <c r="I150" i="27"/>
  <c r="J150" i="27" s="1"/>
  <c r="J175" i="27"/>
  <c r="O172" i="27"/>
  <c r="E172" i="27"/>
  <c r="D172" i="27"/>
  <c r="K113" i="27"/>
  <c r="D180" i="27"/>
  <c r="O180" i="27"/>
  <c r="G180" i="27"/>
  <c r="F180" i="27"/>
  <c r="G221" i="27"/>
  <c r="H221" i="27"/>
  <c r="E221" i="27"/>
  <c r="D221" i="27"/>
  <c r="E207" i="27"/>
  <c r="E314" i="27"/>
  <c r="J114" i="27"/>
  <c r="K114" i="27"/>
  <c r="J200" i="27"/>
  <c r="K301" i="27"/>
  <c r="I271" i="27"/>
  <c r="O271" i="27" s="1"/>
  <c r="D314" i="27"/>
  <c r="K44" i="27"/>
  <c r="R44" i="27" s="1"/>
  <c r="J49" i="27"/>
  <c r="J54" i="27"/>
  <c r="I24" i="27"/>
  <c r="K104" i="27"/>
  <c r="J110" i="27"/>
  <c r="J176" i="27"/>
  <c r="K200" i="27"/>
  <c r="K238" i="27"/>
  <c r="J301" i="27"/>
  <c r="E201" i="27"/>
  <c r="D201" i="27"/>
  <c r="D208" i="27"/>
  <c r="E208" i="27"/>
  <c r="G236" i="27"/>
  <c r="O236" i="27"/>
  <c r="H57" i="26"/>
  <c r="H69" i="26" a="1"/>
  <c r="H69" i="26" s="1"/>
  <c r="H74" i="26" a="1"/>
  <c r="H74" i="26" s="1"/>
  <c r="H68" i="26" a="1"/>
  <c r="H68" i="26" s="1"/>
  <c r="K54" i="27"/>
  <c r="K110" i="27"/>
  <c r="K176" i="27"/>
  <c r="L289" i="27"/>
  <c r="M289" i="27"/>
  <c r="T289" i="27" s="1"/>
  <c r="E52" i="27"/>
  <c r="R52" i="27" s="1"/>
  <c r="D52" i="27"/>
  <c r="E73" i="27"/>
  <c r="R73" i="27" s="1"/>
  <c r="D202" i="27"/>
  <c r="E202" i="27"/>
  <c r="G237" i="27"/>
  <c r="F237" i="27"/>
  <c r="E237" i="27"/>
  <c r="R237" i="27" s="1"/>
  <c r="H71" i="26" a="1"/>
  <c r="H71" i="26" s="1"/>
  <c r="H90" i="26" a="1"/>
  <c r="H90" i="26" s="1"/>
  <c r="H58" i="26"/>
  <c r="I256" i="27"/>
  <c r="J256" i="27" s="1"/>
  <c r="P286" i="27"/>
  <c r="J76" i="27"/>
  <c r="J101" i="27"/>
  <c r="N289" i="27"/>
  <c r="E45" i="27"/>
  <c r="D73" i="27"/>
  <c r="F203" i="27"/>
  <c r="D203" i="27"/>
  <c r="D237" i="27"/>
  <c r="G329" i="27"/>
  <c r="H329" i="27"/>
  <c r="O78" i="27"/>
  <c r="K76" i="27"/>
  <c r="K101" i="27"/>
  <c r="J111" i="27"/>
  <c r="J162" i="27"/>
  <c r="K234" i="27"/>
  <c r="E79" i="27"/>
  <c r="E176" i="27"/>
  <c r="D176" i="27"/>
  <c r="E203" i="27"/>
  <c r="H237" i="27"/>
  <c r="E322" i="27"/>
  <c r="D231" i="27"/>
  <c r="H231" i="27"/>
  <c r="F231" i="27"/>
  <c r="D301" i="27"/>
  <c r="O301" i="27"/>
  <c r="P231" i="27"/>
  <c r="P170" i="27"/>
  <c r="D61" i="27"/>
  <c r="D198" i="27"/>
  <c r="E198" i="27"/>
  <c r="O286" i="27"/>
  <c r="H293" i="27"/>
  <c r="C263" i="27"/>
  <c r="H263" i="27" s="1"/>
  <c r="E311" i="27"/>
  <c r="D311" i="27"/>
  <c r="H100" i="26" a="1"/>
  <c r="H100" i="26" s="1"/>
  <c r="H89" i="26" a="1"/>
  <c r="H89" i="26" s="1"/>
  <c r="H98" i="26" a="1"/>
  <c r="H98" i="26" s="1"/>
  <c r="H94" i="26" a="1"/>
  <c r="H94" i="26" s="1"/>
  <c r="H84" i="26" a="1"/>
  <c r="H84" i="26" s="1"/>
  <c r="E87" i="13"/>
  <c r="E328" i="13"/>
  <c r="O238" i="27"/>
  <c r="O300" i="27"/>
  <c r="K42" i="27"/>
  <c r="K119" i="27"/>
  <c r="J170" i="27"/>
  <c r="J192" i="27"/>
  <c r="O192" i="27"/>
  <c r="K231" i="27"/>
  <c r="E61" i="27"/>
  <c r="D90" i="27"/>
  <c r="O90" i="27"/>
  <c r="E205" i="27"/>
  <c r="H286" i="27"/>
  <c r="G293" i="27"/>
  <c r="H299" i="27"/>
  <c r="G299" i="27"/>
  <c r="J164" i="27"/>
  <c r="N319" i="27"/>
  <c r="U319" i="27" s="1"/>
  <c r="E53" i="27"/>
  <c r="F53" i="27"/>
  <c r="D59" i="27"/>
  <c r="D120" i="27"/>
  <c r="G120" i="27"/>
  <c r="F120" i="27"/>
  <c r="D299" i="27"/>
  <c r="G321" i="27"/>
  <c r="E328" i="27"/>
  <c r="D194" i="27"/>
  <c r="G226" i="27"/>
  <c r="F226" i="27"/>
  <c r="P298" i="27"/>
  <c r="K41" i="27"/>
  <c r="K45" i="27"/>
  <c r="K61" i="27"/>
  <c r="J202" i="27"/>
  <c r="I251" i="27"/>
  <c r="J311" i="27"/>
  <c r="E51" i="27"/>
  <c r="E194" i="27"/>
  <c r="H226" i="27"/>
  <c r="H289" i="27"/>
  <c r="F289" i="27"/>
  <c r="D289" i="27"/>
  <c r="G320" i="27"/>
  <c r="E320" i="27"/>
  <c r="D320" i="27"/>
  <c r="H320" i="27"/>
  <c r="D326" i="27"/>
  <c r="G330" i="27"/>
  <c r="H330" i="27"/>
  <c r="J198" i="27"/>
  <c r="E88" i="27"/>
  <c r="E238" i="27"/>
  <c r="H238" i="27"/>
  <c r="M100" i="26" a="1"/>
  <c r="M100" i="26" s="1"/>
  <c r="M90" i="26" a="1"/>
  <c r="M90" i="26" s="1"/>
  <c r="M84" i="26" a="1"/>
  <c r="M84" i="26" s="1"/>
  <c r="E119" i="13"/>
  <c r="J46" i="27"/>
  <c r="K198" i="27"/>
  <c r="R198" i="27" s="1"/>
  <c r="J210" i="27"/>
  <c r="N210" i="27"/>
  <c r="K227" i="27"/>
  <c r="K319" i="27"/>
  <c r="J327" i="27"/>
  <c r="N327" i="27"/>
  <c r="M327" i="27"/>
  <c r="T327" i="27" s="1"/>
  <c r="E43" i="27"/>
  <c r="D43" i="27"/>
  <c r="E74" i="27"/>
  <c r="D89" i="27"/>
  <c r="D102" i="27"/>
  <c r="D166" i="27"/>
  <c r="D170" i="27"/>
  <c r="E174" i="27"/>
  <c r="G223" i="27"/>
  <c r="D223" i="27"/>
  <c r="F238" i="27"/>
  <c r="G316" i="27"/>
  <c r="E316" i="27"/>
  <c r="D316" i="27"/>
  <c r="H316" i="27"/>
  <c r="U316" i="27" s="1"/>
  <c r="D321" i="27"/>
  <c r="M89" i="26" a="1"/>
  <c r="M89" i="26" s="1"/>
  <c r="O46" i="27"/>
  <c r="K46" i="27"/>
  <c r="J50" i="27"/>
  <c r="J168" i="27"/>
  <c r="K172" i="27"/>
  <c r="R172" i="27" s="1"/>
  <c r="J194" i="27"/>
  <c r="J206" i="27"/>
  <c r="K210" i="27"/>
  <c r="J227" i="27"/>
  <c r="L319" i="27"/>
  <c r="K327" i="27"/>
  <c r="E58" i="27"/>
  <c r="E89" i="27"/>
  <c r="C28" i="27"/>
  <c r="E166" i="27"/>
  <c r="D178" i="27"/>
  <c r="D192" i="27"/>
  <c r="D210" i="27"/>
  <c r="F210" i="27"/>
  <c r="E210" i="27"/>
  <c r="H210" i="27"/>
  <c r="F223" i="27"/>
  <c r="G238" i="27"/>
  <c r="F316" i="27"/>
  <c r="G324" i="27"/>
  <c r="H324" i="27"/>
  <c r="F327" i="27"/>
  <c r="S327" i="27" s="1"/>
  <c r="H327" i="27"/>
  <c r="F83" i="27"/>
  <c r="D196" i="27"/>
  <c r="D204" i="27"/>
  <c r="J84" i="27"/>
  <c r="J109" i="27"/>
  <c r="K204" i="27"/>
  <c r="K232" i="27"/>
  <c r="K236" i="27"/>
  <c r="E195" i="27"/>
  <c r="E204" i="27"/>
  <c r="D283" i="27"/>
  <c r="Q283" i="27" s="1"/>
  <c r="D295" i="27"/>
  <c r="E325" i="27"/>
  <c r="E106" i="27"/>
  <c r="D106" i="27"/>
  <c r="H113" i="27"/>
  <c r="G113" i="27"/>
  <c r="D113" i="27"/>
  <c r="E282" i="27"/>
  <c r="D282" i="27"/>
  <c r="D72" i="27"/>
  <c r="D84" i="27"/>
  <c r="D110" i="27"/>
  <c r="E113" i="27"/>
  <c r="D117" i="27"/>
  <c r="E117" i="27"/>
  <c r="E224" i="27"/>
  <c r="D224" i="27"/>
  <c r="P224" i="27"/>
  <c r="F290" i="27"/>
  <c r="E290" i="27"/>
  <c r="D290" i="27"/>
  <c r="F294" i="27"/>
  <c r="E294" i="27"/>
  <c r="D294" i="27"/>
  <c r="G294" i="27"/>
  <c r="H294" i="27"/>
  <c r="E84" i="27"/>
  <c r="R84" i="27" s="1"/>
  <c r="E209" i="27"/>
  <c r="D51" i="27"/>
  <c r="D103" i="27"/>
  <c r="E103" i="27"/>
  <c r="D121" i="27"/>
  <c r="D181" i="27"/>
  <c r="D287" i="27"/>
  <c r="Q287" i="27" s="1"/>
  <c r="E54" i="27"/>
  <c r="O80" i="27"/>
  <c r="E82" i="27"/>
  <c r="H291" i="27"/>
  <c r="C261" i="27"/>
  <c r="G291" i="27"/>
  <c r="E291" i="27"/>
  <c r="F291" i="27"/>
  <c r="D319" i="27"/>
  <c r="Q319" i="27" s="1"/>
  <c r="D199" i="27"/>
  <c r="D317" i="27"/>
  <c r="E319" i="27"/>
  <c r="O54" i="27"/>
  <c r="C19" i="27"/>
  <c r="E49" i="27"/>
  <c r="E57" i="27"/>
  <c r="E163" i="27"/>
  <c r="D163" i="27"/>
  <c r="D171" i="27"/>
  <c r="G173" i="27"/>
  <c r="E179" i="27"/>
  <c r="C149" i="27"/>
  <c r="E235" i="27"/>
  <c r="E284" i="27"/>
  <c r="D284" i="27"/>
  <c r="G287" i="27"/>
  <c r="E317" i="27"/>
  <c r="F319" i="27"/>
  <c r="E46" i="27"/>
  <c r="D49" i="27"/>
  <c r="H60" i="27"/>
  <c r="G60" i="27"/>
  <c r="E60" i="27"/>
  <c r="D60" i="27"/>
  <c r="Q60" i="27" s="1"/>
  <c r="D78" i="27"/>
  <c r="D112" i="27"/>
  <c r="Q112" i="27" s="1"/>
  <c r="P112" i="27"/>
  <c r="E115" i="27"/>
  <c r="E169" i="27"/>
  <c r="P169" i="27"/>
  <c r="C139" i="27"/>
  <c r="D315" i="27"/>
  <c r="F317" i="27"/>
  <c r="G319" i="27"/>
  <c r="P114" i="27"/>
  <c r="O232" i="27"/>
  <c r="C258" i="27"/>
  <c r="H258" i="27" s="1"/>
  <c r="D55" i="27"/>
  <c r="Q55" i="27" s="1"/>
  <c r="F60" i="27"/>
  <c r="E161" i="27"/>
  <c r="E229" i="27"/>
  <c r="H235" i="27"/>
  <c r="D281" i="27"/>
  <c r="E315" i="27"/>
  <c r="G317" i="27"/>
  <c r="C21" i="27"/>
  <c r="D54" i="27"/>
  <c r="D82" i="27"/>
  <c r="E107" i="27"/>
  <c r="G241" i="27"/>
  <c r="H241" i="27"/>
  <c r="F241" i="27"/>
  <c r="E241" i="27"/>
  <c r="D57" i="27"/>
  <c r="E104" i="27"/>
  <c r="E118" i="27"/>
  <c r="E171" i="27"/>
  <c r="G225" i="27"/>
  <c r="H225" i="27"/>
  <c r="F225" i="27"/>
  <c r="E225" i="27"/>
  <c r="D235" i="27"/>
  <c r="D291" i="27"/>
  <c r="C11" i="27"/>
  <c r="P90" i="27"/>
  <c r="G90" i="27"/>
  <c r="F90" i="27"/>
  <c r="D111" i="27"/>
  <c r="E111" i="27"/>
  <c r="P191" i="27"/>
  <c r="E199" i="27"/>
  <c r="E222" i="27"/>
  <c r="D222" i="27"/>
  <c r="H222" i="27"/>
  <c r="D225" i="27"/>
  <c r="E232" i="27"/>
  <c r="D232" i="27"/>
  <c r="C142" i="27"/>
  <c r="E296" i="27"/>
  <c r="D296" i="27"/>
  <c r="C266" i="27"/>
  <c r="F300" i="27"/>
  <c r="E300" i="27"/>
  <c r="D300" i="27"/>
  <c r="G300" i="27"/>
  <c r="T300" i="27" s="1"/>
  <c r="H300" i="27"/>
  <c r="C16" i="27"/>
  <c r="P54" i="27"/>
  <c r="O113" i="27"/>
  <c r="O317" i="27"/>
  <c r="D101" i="27"/>
  <c r="Q101" i="27" s="1"/>
  <c r="E101" i="27"/>
  <c r="D108" i="27"/>
  <c r="D179" i="27"/>
  <c r="D191" i="27"/>
  <c r="F222" i="27"/>
  <c r="D229" i="27"/>
  <c r="F232" i="27"/>
  <c r="F235" i="27"/>
  <c r="F288" i="27"/>
  <c r="E288" i="27"/>
  <c r="D288" i="27"/>
  <c r="H288" i="27"/>
  <c r="U288" i="27" s="1"/>
  <c r="E78" i="27"/>
  <c r="E90" i="27"/>
  <c r="E108" i="27"/>
  <c r="E112" i="27"/>
  <c r="D169" i="27"/>
  <c r="E191" i="27"/>
  <c r="G222" i="27"/>
  <c r="C27" i="27"/>
  <c r="P203" i="27"/>
  <c r="P232" i="27"/>
  <c r="C254" i="27"/>
  <c r="D44" i="27"/>
  <c r="C20" i="27"/>
  <c r="E55" i="27"/>
  <c r="D76" i="27"/>
  <c r="D88" i="27"/>
  <c r="H90" i="27"/>
  <c r="D105" i="27"/>
  <c r="D119" i="27"/>
  <c r="E119" i="27"/>
  <c r="D161" i="27"/>
  <c r="F197" i="27"/>
  <c r="H197" i="27"/>
  <c r="G197" i="27"/>
  <c r="E197" i="27"/>
  <c r="F229" i="27"/>
  <c r="H232" i="27"/>
  <c r="E281" i="27"/>
  <c r="D293" i="27"/>
  <c r="H297" i="27"/>
  <c r="G297" i="27"/>
  <c r="E297" i="27"/>
  <c r="F297" i="27"/>
  <c r="S297" i="27" s="1"/>
  <c r="E181" i="27"/>
  <c r="H287" i="27"/>
  <c r="U287" i="27" s="1"/>
  <c r="P287" i="27"/>
  <c r="E114" i="27"/>
  <c r="D114" i="27"/>
  <c r="H173" i="27"/>
  <c r="E173" i="27"/>
  <c r="D209" i="27"/>
  <c r="D118" i="27"/>
  <c r="E121" i="27"/>
  <c r="E287" i="27"/>
  <c r="C24" i="27"/>
  <c r="H264" i="27"/>
  <c r="E264" i="27"/>
  <c r="D80" i="27"/>
  <c r="D264" i="27"/>
  <c r="E41" i="27"/>
  <c r="D46" i="27"/>
  <c r="E80" i="27"/>
  <c r="D115" i="27"/>
  <c r="C131" i="27"/>
  <c r="E47" i="27"/>
  <c r="D47" i="27"/>
  <c r="C26" i="27"/>
  <c r="D109" i="27"/>
  <c r="E109" i="27"/>
  <c r="H229" i="27"/>
  <c r="G233" i="27"/>
  <c r="H233" i="27"/>
  <c r="F233" i="27"/>
  <c r="E233" i="27"/>
  <c r="D285" i="27"/>
  <c r="E293" i="27"/>
  <c r="D297" i="27"/>
  <c r="D313" i="27"/>
  <c r="E72" i="27"/>
  <c r="E110" i="27"/>
  <c r="F113" i="27"/>
  <c r="D107" i="27"/>
  <c r="D173" i="27"/>
  <c r="C23" i="27"/>
  <c r="H53" i="27"/>
  <c r="O53" i="27"/>
  <c r="G53" i="27"/>
  <c r="E167" i="27"/>
  <c r="E230" i="27"/>
  <c r="D230" i="27"/>
  <c r="H230" i="27"/>
  <c r="F293" i="27"/>
  <c r="D331" i="27"/>
  <c r="E331" i="27"/>
  <c r="E165" i="27"/>
  <c r="E177" i="27"/>
  <c r="E228" i="27"/>
  <c r="D228" i="27"/>
  <c r="E236" i="27"/>
  <c r="D236" i="27"/>
  <c r="D329" i="27"/>
  <c r="P48" i="27"/>
  <c r="D45" i="27"/>
  <c r="D58" i="27"/>
  <c r="D165" i="27"/>
  <c r="D177" i="27"/>
  <c r="D195" i="27"/>
  <c r="D207" i="27"/>
  <c r="F228" i="27"/>
  <c r="G231" i="27"/>
  <c r="O231" i="27"/>
  <c r="F236" i="27"/>
  <c r="G239" i="27"/>
  <c r="P239" i="27"/>
  <c r="D327" i="27"/>
  <c r="E329" i="27"/>
  <c r="E175" i="27"/>
  <c r="F286" i="27"/>
  <c r="E286" i="27"/>
  <c r="D286" i="27"/>
  <c r="E292" i="27"/>
  <c r="D292" i="27"/>
  <c r="E298" i="27"/>
  <c r="D298" i="27"/>
  <c r="D325" i="27"/>
  <c r="E327" i="27"/>
  <c r="F329" i="27"/>
  <c r="E56" i="27"/>
  <c r="D175" i="27"/>
  <c r="D193" i="27"/>
  <c r="D205" i="27"/>
  <c r="E223" i="27"/>
  <c r="E226" i="27"/>
  <c r="D226" i="27"/>
  <c r="H228" i="27"/>
  <c r="E231" i="27"/>
  <c r="E234" i="27"/>
  <c r="D234" i="27"/>
  <c r="H236" i="27"/>
  <c r="E239" i="27"/>
  <c r="E283" i="27"/>
  <c r="G286" i="27"/>
  <c r="T286" i="27" s="1"/>
  <c r="E289" i="27"/>
  <c r="E295" i="27"/>
  <c r="R295" i="27" s="1"/>
  <c r="E301" i="27"/>
  <c r="P317" i="27"/>
  <c r="D238" i="27"/>
  <c r="D240" i="27"/>
  <c r="K77" i="27"/>
  <c r="J77" i="27"/>
  <c r="Q77" i="27" s="1"/>
  <c r="O77" i="27"/>
  <c r="J167" i="27"/>
  <c r="K167" i="27"/>
  <c r="I137" i="27"/>
  <c r="N299" i="27"/>
  <c r="L299" i="27"/>
  <c r="M299" i="27"/>
  <c r="I269" i="27"/>
  <c r="J269" i="27" s="1"/>
  <c r="K299" i="27"/>
  <c r="R299" i="27" s="1"/>
  <c r="J299" i="27"/>
  <c r="O164" i="27"/>
  <c r="K164" i="27"/>
  <c r="O81" i="27"/>
  <c r="K81" i="27"/>
  <c r="R81" i="27" s="1"/>
  <c r="J81" i="27"/>
  <c r="P74" i="27"/>
  <c r="P315" i="27"/>
  <c r="K315" i="27"/>
  <c r="I255" i="27"/>
  <c r="J315" i="27"/>
  <c r="J74" i="27"/>
  <c r="K111" i="27"/>
  <c r="K209" i="27"/>
  <c r="P78" i="27"/>
  <c r="I18" i="27"/>
  <c r="N291" i="27"/>
  <c r="L291" i="27"/>
  <c r="P291" i="27"/>
  <c r="M291" i="27"/>
  <c r="J44" i="27"/>
  <c r="J291" i="27"/>
  <c r="K328" i="27"/>
  <c r="P328" i="27"/>
  <c r="P164" i="27"/>
  <c r="K57" i="27"/>
  <c r="I27" i="27"/>
  <c r="K115" i="27"/>
  <c r="J115" i="27"/>
  <c r="O235" i="27"/>
  <c r="K235" i="27"/>
  <c r="J235" i="27"/>
  <c r="K291" i="27"/>
  <c r="K320" i="27"/>
  <c r="K177" i="27"/>
  <c r="K285" i="27"/>
  <c r="I263" i="27"/>
  <c r="K293" i="27"/>
  <c r="J293" i="27"/>
  <c r="M317" i="27"/>
  <c r="M330" i="27"/>
  <c r="L330" i="27"/>
  <c r="S330" i="27" s="1"/>
  <c r="K330" i="27"/>
  <c r="N330" i="27"/>
  <c r="N60" i="27"/>
  <c r="M60" i="27"/>
  <c r="K60" i="27"/>
  <c r="R60" i="27" s="1"/>
  <c r="L60" i="27"/>
  <c r="J209" i="27"/>
  <c r="K241" i="27"/>
  <c r="J241" i="27"/>
  <c r="P225" i="27"/>
  <c r="J328" i="27"/>
  <c r="J57" i="27"/>
  <c r="J88" i="27"/>
  <c r="K88" i="27"/>
  <c r="J201" i="27"/>
  <c r="J225" i="27"/>
  <c r="J317" i="27"/>
  <c r="K79" i="27"/>
  <c r="J79" i="27"/>
  <c r="O85" i="27"/>
  <c r="K106" i="27"/>
  <c r="N120" i="27"/>
  <c r="U120" i="27" s="1"/>
  <c r="M120" i="27"/>
  <c r="L120" i="27"/>
  <c r="K120" i="27"/>
  <c r="K201" i="27"/>
  <c r="L288" i="27"/>
  <c r="K288" i="27"/>
  <c r="P288" i="27"/>
  <c r="J288" i="27"/>
  <c r="O288" i="27"/>
  <c r="K317" i="27"/>
  <c r="P209" i="27"/>
  <c r="J85" i="27"/>
  <c r="Q85" i="27" s="1"/>
  <c r="J120" i="27"/>
  <c r="K169" i="27"/>
  <c r="O175" i="27"/>
  <c r="J177" i="27"/>
  <c r="K179" i="27"/>
  <c r="J195" i="27"/>
  <c r="K195" i="27"/>
  <c r="K222" i="27"/>
  <c r="J222" i="27"/>
  <c r="J285" i="27"/>
  <c r="M288" i="27"/>
  <c r="T288" i="27" s="1"/>
  <c r="J313" i="27"/>
  <c r="K313" i="27"/>
  <c r="R313" i="27" s="1"/>
  <c r="L317" i="27"/>
  <c r="K85" i="27"/>
  <c r="J89" i="27"/>
  <c r="P121" i="27"/>
  <c r="O115" i="27"/>
  <c r="J58" i="27"/>
  <c r="K58" i="27"/>
  <c r="K89" i="27"/>
  <c r="J117" i="27"/>
  <c r="J121" i="27"/>
  <c r="K175" i="27"/>
  <c r="J199" i="27"/>
  <c r="K230" i="27"/>
  <c r="J230" i="27"/>
  <c r="K298" i="27"/>
  <c r="J298" i="27"/>
  <c r="K314" i="27"/>
  <c r="N317" i="27"/>
  <c r="U317" i="27" s="1"/>
  <c r="K322" i="27"/>
  <c r="O322" i="27"/>
  <c r="P322" i="27"/>
  <c r="J330" i="27"/>
  <c r="J78" i="27"/>
  <c r="K109" i="27"/>
  <c r="P109" i="27"/>
  <c r="K78" i="27"/>
  <c r="J325" i="27"/>
  <c r="J61" i="27"/>
  <c r="K72" i="27"/>
  <c r="J106" i="27"/>
  <c r="K162" i="27"/>
  <c r="J181" i="27"/>
  <c r="J320" i="27"/>
  <c r="P60" i="27"/>
  <c r="O179" i="27"/>
  <c r="O177" i="27"/>
  <c r="J179" i="27"/>
  <c r="K181" i="27"/>
  <c r="K207" i="27"/>
  <c r="J207" i="27"/>
  <c r="K225" i="27"/>
  <c r="M329" i="27"/>
  <c r="L329" i="27"/>
  <c r="J329" i="27"/>
  <c r="K329" i="27"/>
  <c r="O315" i="27"/>
  <c r="K229" i="27"/>
  <c r="M321" i="27"/>
  <c r="L321" i="27"/>
  <c r="J321" i="27"/>
  <c r="K321" i="27"/>
  <c r="N329" i="27"/>
  <c r="I16" i="27"/>
  <c r="I25" i="27"/>
  <c r="I149" i="27"/>
  <c r="P201" i="27"/>
  <c r="K49" i="27"/>
  <c r="K55" i="27"/>
  <c r="J83" i="27"/>
  <c r="Q83" i="27" s="1"/>
  <c r="K117" i="27"/>
  <c r="K121" i="27"/>
  <c r="I143" i="27"/>
  <c r="P173" i="27"/>
  <c r="K199" i="27"/>
  <c r="J237" i="27"/>
  <c r="K282" i="27"/>
  <c r="J282" i="27"/>
  <c r="I302" i="27"/>
  <c r="I304" i="27" s="1"/>
  <c r="J314" i="27"/>
  <c r="M318" i="27"/>
  <c r="T318" i="27" s="1"/>
  <c r="L318" i="27"/>
  <c r="K318" i="27"/>
  <c r="R318" i="27" s="1"/>
  <c r="J318" i="27"/>
  <c r="N318" i="27"/>
  <c r="J322" i="27"/>
  <c r="O291" i="27"/>
  <c r="I12" i="27"/>
  <c r="K47" i="27"/>
  <c r="O47" i="27"/>
  <c r="J47" i="27"/>
  <c r="K53" i="27"/>
  <c r="N90" i="27"/>
  <c r="M90" i="27"/>
  <c r="K90" i="27"/>
  <c r="R90" i="27" s="1"/>
  <c r="L90" i="27"/>
  <c r="K118" i="27"/>
  <c r="J118" i="27"/>
  <c r="P171" i="27"/>
  <c r="K296" i="27"/>
  <c r="J296" i="27"/>
  <c r="O171" i="27"/>
  <c r="P179" i="27"/>
  <c r="O205" i="27"/>
  <c r="J42" i="27"/>
  <c r="Q42" i="27" s="1"/>
  <c r="J53" i="27"/>
  <c r="Q53" i="27" s="1"/>
  <c r="J59" i="27"/>
  <c r="Q59" i="27" s="1"/>
  <c r="J87" i="27"/>
  <c r="J90" i="27"/>
  <c r="J104" i="27"/>
  <c r="J171" i="27"/>
  <c r="J205" i="27"/>
  <c r="K223" i="27"/>
  <c r="I253" i="27"/>
  <c r="J323" i="27"/>
  <c r="P91" i="27"/>
  <c r="K107" i="27"/>
  <c r="J107" i="27"/>
  <c r="P113" i="27"/>
  <c r="K171" i="27"/>
  <c r="K197" i="27"/>
  <c r="K205" i="27"/>
  <c r="K290" i="27"/>
  <c r="J290" i="27"/>
  <c r="K312" i="27"/>
  <c r="R312" i="27" s="1"/>
  <c r="K323" i="27"/>
  <c r="J331" i="27"/>
  <c r="K51" i="27"/>
  <c r="O51" i="27"/>
  <c r="P51" i="27"/>
  <c r="J91" i="27"/>
  <c r="Q91" i="27" s="1"/>
  <c r="J113" i="27"/>
  <c r="J119" i="27"/>
  <c r="J197" i="27"/>
  <c r="Q197" i="27" s="1"/>
  <c r="J203" i="27"/>
  <c r="K224" i="27"/>
  <c r="J224" i="27"/>
  <c r="O224" i="27"/>
  <c r="J312" i="27"/>
  <c r="K331" i="27"/>
  <c r="K228" i="27"/>
  <c r="J228" i="27"/>
  <c r="P326" i="27"/>
  <c r="J45" i="27"/>
  <c r="J56" i="27"/>
  <c r="Q56" i="27" s="1"/>
  <c r="J75" i="27"/>
  <c r="J86" i="27"/>
  <c r="J105" i="27"/>
  <c r="J116" i="27"/>
  <c r="J165" i="27"/>
  <c r="J193" i="27"/>
  <c r="J221" i="27"/>
  <c r="J233" i="27"/>
  <c r="Q233" i="27" s="1"/>
  <c r="J281" i="27"/>
  <c r="J289" i="27"/>
  <c r="J297" i="27"/>
  <c r="K326" i="27"/>
  <c r="P162" i="27"/>
  <c r="O326" i="27"/>
  <c r="L286" i="27"/>
  <c r="K286" i="27"/>
  <c r="J286" i="27"/>
  <c r="K294" i="27"/>
  <c r="J294" i="27"/>
  <c r="J326" i="27"/>
  <c r="I15" i="27"/>
  <c r="O203" i="27"/>
  <c r="J43" i="27"/>
  <c r="K56" i="27"/>
  <c r="J73" i="27"/>
  <c r="K75" i="27"/>
  <c r="K86" i="27"/>
  <c r="J103" i="27"/>
  <c r="K105" i="27"/>
  <c r="K116" i="27"/>
  <c r="J163" i="27"/>
  <c r="K165" i="27"/>
  <c r="K193" i="27"/>
  <c r="R193" i="27" s="1"/>
  <c r="K221" i="27"/>
  <c r="K226" i="27"/>
  <c r="J226" i="27"/>
  <c r="K233" i="27"/>
  <c r="K281" i="27"/>
  <c r="N286" i="27"/>
  <c r="K289" i="27"/>
  <c r="K297" i="27"/>
  <c r="M316" i="27"/>
  <c r="L316" i="27"/>
  <c r="K316" i="27"/>
  <c r="R316" i="27" s="1"/>
  <c r="K324" i="27"/>
  <c r="K284" i="27"/>
  <c r="J284" i="27"/>
  <c r="K292" i="27"/>
  <c r="J292" i="27"/>
  <c r="L300" i="27"/>
  <c r="K300" i="27"/>
  <c r="J300" i="27"/>
  <c r="J316" i="27"/>
  <c r="J324" i="27"/>
  <c r="Q324" i="27" s="1"/>
  <c r="P293" i="27"/>
  <c r="P314" i="27"/>
  <c r="O320" i="27"/>
  <c r="J232" i="27"/>
  <c r="J234" i="27"/>
  <c r="J236" i="27"/>
  <c r="J238" i="27"/>
  <c r="J240" i="27"/>
  <c r="O45" i="27"/>
  <c r="C15" i="27"/>
  <c r="P45" i="27"/>
  <c r="P79" i="27"/>
  <c r="O161" i="27"/>
  <c r="I131" i="27"/>
  <c r="P161" i="27"/>
  <c r="P230" i="27"/>
  <c r="O43" i="27"/>
  <c r="C13" i="27"/>
  <c r="O103" i="27"/>
  <c r="P165" i="27"/>
  <c r="I135" i="27"/>
  <c r="O165" i="27"/>
  <c r="I22" i="27"/>
  <c r="O82" i="27"/>
  <c r="P82" i="27"/>
  <c r="O241" i="27"/>
  <c r="C151" i="27"/>
  <c r="P330" i="27"/>
  <c r="I270" i="27"/>
  <c r="O194" i="27"/>
  <c r="P194" i="27"/>
  <c r="C134" i="27"/>
  <c r="C212" i="27"/>
  <c r="I28" i="27"/>
  <c r="P58" i="27"/>
  <c r="I92" i="27"/>
  <c r="P110" i="27"/>
  <c r="O117" i="27"/>
  <c r="O89" i="27"/>
  <c r="P89" i="27"/>
  <c r="O221" i="27"/>
  <c r="P221" i="27"/>
  <c r="O88" i="27"/>
  <c r="P88" i="27"/>
  <c r="P41" i="27"/>
  <c r="I11" i="27"/>
  <c r="P106" i="27"/>
  <c r="O106" i="27"/>
  <c r="P55" i="27"/>
  <c r="O55" i="27"/>
  <c r="C138" i="27"/>
  <c r="O168" i="27"/>
  <c r="O199" i="27"/>
  <c r="P199" i="27"/>
  <c r="P101" i="27"/>
  <c r="O101" i="27"/>
  <c r="C92" i="27"/>
  <c r="P237" i="27"/>
  <c r="O237" i="27"/>
  <c r="P104" i="27"/>
  <c r="O104" i="27"/>
  <c r="C144" i="27"/>
  <c r="O234" i="27"/>
  <c r="P234" i="27"/>
  <c r="P119" i="27"/>
  <c r="O119" i="27"/>
  <c r="O61" i="27"/>
  <c r="C31" i="27"/>
  <c r="R43" i="27"/>
  <c r="O50" i="27"/>
  <c r="I29" i="27"/>
  <c r="P59" i="27"/>
  <c r="O59" i="27"/>
  <c r="P84" i="27"/>
  <c r="O84" i="27"/>
  <c r="C122" i="27"/>
  <c r="O102" i="27"/>
  <c r="C12" i="27"/>
  <c r="P102" i="27"/>
  <c r="P47" i="27"/>
  <c r="I17" i="27"/>
  <c r="O52" i="27"/>
  <c r="C22" i="27"/>
  <c r="P61" i="27"/>
  <c r="P73" i="27"/>
  <c r="P80" i="27"/>
  <c r="O44" i="27"/>
  <c r="C14" i="27"/>
  <c r="P57" i="27"/>
  <c r="C62" i="27"/>
  <c r="P107" i="27"/>
  <c r="P118" i="27"/>
  <c r="O118" i="27"/>
  <c r="I151" i="27"/>
  <c r="P181" i="27"/>
  <c r="O181" i="27"/>
  <c r="I20" i="27"/>
  <c r="P117" i="27"/>
  <c r="P196" i="27"/>
  <c r="I136" i="27"/>
  <c r="O196" i="27"/>
  <c r="I19" i="27"/>
  <c r="O56" i="27"/>
  <c r="O111" i="27"/>
  <c r="P167" i="27"/>
  <c r="O167" i="27"/>
  <c r="I212" i="27"/>
  <c r="I132" i="27"/>
  <c r="P192" i="27"/>
  <c r="C252" i="27"/>
  <c r="C302" i="27"/>
  <c r="O282" i="27"/>
  <c r="O74" i="27"/>
  <c r="I138" i="27"/>
  <c r="P200" i="27"/>
  <c r="O200" i="27"/>
  <c r="I140" i="27"/>
  <c r="I62" i="27"/>
  <c r="I65" i="27" s="1"/>
  <c r="I14" i="27"/>
  <c r="P44" i="27"/>
  <c r="C135" i="27"/>
  <c r="P195" i="27"/>
  <c r="O195" i="27"/>
  <c r="O87" i="27"/>
  <c r="C143" i="27"/>
  <c r="O198" i="27"/>
  <c r="P198" i="27"/>
  <c r="I30" i="27"/>
  <c r="P52" i="27"/>
  <c r="O71" i="27"/>
  <c r="C18" i="27"/>
  <c r="O105" i="27"/>
  <c r="O107" i="27"/>
  <c r="P168" i="27"/>
  <c r="O170" i="27"/>
  <c r="O197" i="27"/>
  <c r="O210" i="27"/>
  <c r="P210" i="27"/>
  <c r="C150" i="27"/>
  <c r="T210" i="27"/>
  <c r="C242" i="27"/>
  <c r="P229" i="27"/>
  <c r="O229" i="27"/>
  <c r="I139" i="27"/>
  <c r="P296" i="27"/>
  <c r="I266" i="27"/>
  <c r="I21" i="27"/>
  <c r="C25" i="27"/>
  <c r="O42" i="27"/>
  <c r="P50" i="27"/>
  <c r="P71" i="27"/>
  <c r="P85" i="27"/>
  <c r="P87" i="27"/>
  <c r="P105" i="27"/>
  <c r="O109" i="27"/>
  <c r="O193" i="27"/>
  <c r="O285" i="27"/>
  <c r="C255" i="27"/>
  <c r="P285" i="27"/>
  <c r="P49" i="27"/>
  <c r="O49" i="27"/>
  <c r="P116" i="27"/>
  <c r="O116" i="27"/>
  <c r="I13" i="27"/>
  <c r="I31" i="27"/>
  <c r="P42" i="27"/>
  <c r="P43" i="27"/>
  <c r="C29" i="27"/>
  <c r="O86" i="27"/>
  <c r="P111" i="27"/>
  <c r="O114" i="27"/>
  <c r="P120" i="27"/>
  <c r="O120" i="27"/>
  <c r="C137" i="27"/>
  <c r="P175" i="27"/>
  <c r="I145" i="27"/>
  <c r="O57" i="27"/>
  <c r="O58" i="27"/>
  <c r="P76" i="27"/>
  <c r="O76" i="27"/>
  <c r="P86" i="27"/>
  <c r="P205" i="27"/>
  <c r="O227" i="27"/>
  <c r="O121" i="27"/>
  <c r="Q164" i="27"/>
  <c r="O169" i="27"/>
  <c r="P172" i="27"/>
  <c r="I142" i="27"/>
  <c r="O281" i="27"/>
  <c r="C251" i="27"/>
  <c r="C253" i="27"/>
  <c r="O283" i="27"/>
  <c r="P283" i="27"/>
  <c r="O110" i="27"/>
  <c r="O163" i="27"/>
  <c r="P204" i="27"/>
  <c r="O204" i="27"/>
  <c r="I144" i="27"/>
  <c r="P222" i="27"/>
  <c r="O222" i="27"/>
  <c r="I242" i="27"/>
  <c r="P226" i="27"/>
  <c r="O226" i="27"/>
  <c r="I26" i="27"/>
  <c r="P46" i="27"/>
  <c r="O60" i="27"/>
  <c r="P103" i="27"/>
  <c r="O201" i="27"/>
  <c r="C141" i="27"/>
  <c r="O41" i="27"/>
  <c r="P53" i="27"/>
  <c r="I23" i="27"/>
  <c r="O72" i="27"/>
  <c r="O79" i="27"/>
  <c r="C133" i="27"/>
  <c r="P163" i="27"/>
  <c r="I133" i="27"/>
  <c r="I182" i="27"/>
  <c r="I146" i="27"/>
  <c r="P176" i="27"/>
  <c r="P207" i="27"/>
  <c r="C17" i="27"/>
  <c r="P72" i="27"/>
  <c r="P115" i="27"/>
  <c r="I122" i="27"/>
  <c r="C147" i="27"/>
  <c r="I134" i="27"/>
  <c r="C132" i="27"/>
  <c r="C182" i="27"/>
  <c r="P193" i="27"/>
  <c r="I258" i="27"/>
  <c r="O230" i="27"/>
  <c r="P235" i="27"/>
  <c r="P236" i="27"/>
  <c r="P240" i="27"/>
  <c r="I259" i="27"/>
  <c r="P289" i="27"/>
  <c r="P295" i="27"/>
  <c r="O295" i="27"/>
  <c r="C265" i="27"/>
  <c r="O91" i="27"/>
  <c r="O206" i="27"/>
  <c r="O208" i="27"/>
  <c r="P223" i="27"/>
  <c r="P233" i="27"/>
  <c r="C136" i="27"/>
  <c r="O166" i="27"/>
  <c r="P294" i="27"/>
  <c r="I264" i="27"/>
  <c r="O294" i="27"/>
  <c r="O207" i="27"/>
  <c r="U321" i="27"/>
  <c r="O321" i="27"/>
  <c r="P321" i="27"/>
  <c r="C148" i="27"/>
  <c r="P174" i="27"/>
  <c r="O176" i="27"/>
  <c r="P202" i="27"/>
  <c r="P241" i="27"/>
  <c r="P290" i="27"/>
  <c r="I260" i="27"/>
  <c r="P329" i="27"/>
  <c r="I332" i="27"/>
  <c r="P177" i="27"/>
  <c r="I147" i="27"/>
  <c r="O233" i="27"/>
  <c r="O209" i="27"/>
  <c r="P227" i="27"/>
  <c r="P208" i="27"/>
  <c r="P297" i="27"/>
  <c r="P301" i="27"/>
  <c r="P299" i="27"/>
  <c r="G264" i="27"/>
  <c r="F264" i="27"/>
  <c r="I268" i="27"/>
  <c r="P311" i="27"/>
  <c r="O311" i="27"/>
  <c r="P281" i="27"/>
  <c r="P282" i="27"/>
  <c r="O290" i="27"/>
  <c r="O314" i="27"/>
  <c r="C269" i="27"/>
  <c r="O329" i="27"/>
  <c r="P325" i="27"/>
  <c r="P319" i="27"/>
  <c r="O319" i="27"/>
  <c r="C259" i="27"/>
  <c r="O296" i="27"/>
  <c r="P318" i="27"/>
  <c r="O289" i="27"/>
  <c r="C267" i="27"/>
  <c r="C270" i="27"/>
  <c r="P313" i="27"/>
  <c r="O324" i="27"/>
  <c r="O331" i="27"/>
  <c r="P331" i="27"/>
  <c r="P320" i="27"/>
  <c r="C332" i="27"/>
  <c r="P312" i="27"/>
  <c r="O287" i="27"/>
  <c r="O299" i="27"/>
  <c r="O318" i="27"/>
  <c r="O330" i="27"/>
  <c r="O313" i="27"/>
  <c r="O325" i="27"/>
  <c r="H56" i="26"/>
  <c r="D17" i="26"/>
  <c r="H61" i="26"/>
  <c r="H28" i="26"/>
  <c r="B12" i="26"/>
  <c r="C12" i="26"/>
  <c r="M31" i="26"/>
  <c r="R29" i="26"/>
  <c r="H46" i="26"/>
  <c r="M41" i="26"/>
  <c r="M45" i="26"/>
  <c r="R58" i="26"/>
  <c r="R70" i="26"/>
  <c r="B15" i="26"/>
  <c r="M32" i="26"/>
  <c r="R28" i="26"/>
  <c r="H26" i="26"/>
  <c r="R36" i="26"/>
  <c r="H59" i="26"/>
  <c r="M55" i="26"/>
  <c r="R59" i="26"/>
  <c r="R71" i="26"/>
  <c r="M36" i="26"/>
  <c r="R30" i="26"/>
  <c r="H27" i="26"/>
  <c r="R42" i="26"/>
  <c r="H60" i="26"/>
  <c r="R60" i="26"/>
  <c r="R72" i="26"/>
  <c r="M26" i="26"/>
  <c r="M37" i="26"/>
  <c r="R31" i="26"/>
  <c r="H42" i="26"/>
  <c r="R43" i="26"/>
  <c r="R61" i="26"/>
  <c r="R73" i="26"/>
  <c r="R75" i="26"/>
  <c r="M27" i="26"/>
  <c r="M39" i="26"/>
  <c r="R37" i="26"/>
  <c r="H29" i="26"/>
  <c r="H43" i="26"/>
  <c r="R44" i="26"/>
  <c r="H65" i="26"/>
  <c r="R65" i="26"/>
  <c r="R74" i="26"/>
  <c r="R46" i="26"/>
  <c r="M28" i="26"/>
  <c r="M40" i="26"/>
  <c r="R39" i="26"/>
  <c r="H30" i="26"/>
  <c r="R45" i="26"/>
  <c r="M42" i="26"/>
  <c r="H55" i="26"/>
  <c r="H66" i="26"/>
  <c r="R55" i="26"/>
  <c r="R66" i="26"/>
  <c r="S66" i="26" s="1"/>
  <c r="M104" i="26" a="1"/>
  <c r="M104" i="26" s="1"/>
  <c r="M29" i="26"/>
  <c r="R26" i="26"/>
  <c r="R40" i="26"/>
  <c r="H31" i="26"/>
  <c r="R32" i="26"/>
  <c r="M43" i="26"/>
  <c r="R56" i="26"/>
  <c r="R68" i="26"/>
  <c r="S54" i="26"/>
  <c r="M75" i="26" a="1"/>
  <c r="M75" i="26" s="1"/>
  <c r="M30" i="26"/>
  <c r="R27" i="26"/>
  <c r="R57" i="26"/>
  <c r="M46" i="26"/>
  <c r="I148" i="13"/>
  <c r="C148" i="13"/>
  <c r="I268" i="13"/>
  <c r="C268" i="13"/>
  <c r="O298" i="13"/>
  <c r="O119" i="13"/>
  <c r="J298" i="13"/>
  <c r="J328" i="13"/>
  <c r="K328" i="13"/>
  <c r="R328" i="13" s="1"/>
  <c r="O328" i="13"/>
  <c r="P328" i="13"/>
  <c r="D328" i="13"/>
  <c r="P298" i="13"/>
  <c r="K298" i="13"/>
  <c r="D298" i="13"/>
  <c r="N238" i="13"/>
  <c r="O238" i="13"/>
  <c r="P238" i="13"/>
  <c r="J238" i="13"/>
  <c r="K238" i="13"/>
  <c r="D238" i="13"/>
  <c r="L238" i="13"/>
  <c r="O208" i="13"/>
  <c r="J208" i="13"/>
  <c r="K208" i="13"/>
  <c r="D208" i="13"/>
  <c r="P208" i="13"/>
  <c r="O178" i="13"/>
  <c r="P178" i="13"/>
  <c r="J178" i="13"/>
  <c r="K178" i="13"/>
  <c r="D178" i="13"/>
  <c r="J119" i="13"/>
  <c r="K119" i="13"/>
  <c r="P119" i="13"/>
  <c r="D119" i="13"/>
  <c r="O87" i="13"/>
  <c r="P87" i="13"/>
  <c r="J87" i="13"/>
  <c r="K87" i="13"/>
  <c r="D87" i="13"/>
  <c r="P57" i="13"/>
  <c r="O57" i="13"/>
  <c r="J57" i="13"/>
  <c r="K57" i="13"/>
  <c r="R57" i="13" s="1"/>
  <c r="D57" i="13"/>
  <c r="B83" i="26"/>
  <c r="H101" i="26" a="1"/>
  <c r="H101" i="26" s="1"/>
  <c r="C83" i="26"/>
  <c r="H102" i="26" a="1"/>
  <c r="H102" i="26" s="1"/>
  <c r="B54" i="26"/>
  <c r="H72" i="26" a="1"/>
  <c r="H72" i="26" s="1"/>
  <c r="B25" i="26"/>
  <c r="H37" i="26"/>
  <c r="H39" i="26"/>
  <c r="H41" i="26"/>
  <c r="C25" i="26"/>
  <c r="H36" i="26"/>
  <c r="H44" i="26"/>
  <c r="D16" i="26"/>
  <c r="D10" i="26"/>
  <c r="B8" i="26"/>
  <c r="D14" i="26"/>
  <c r="D18" i="26"/>
  <c r="L11" i="26"/>
  <c r="S25" i="26"/>
  <c r="C54" i="26"/>
  <c r="H32" i="26"/>
  <c r="H45" i="26"/>
  <c r="C8" i="26"/>
  <c r="C15" i="26"/>
  <c r="I25" i="26"/>
  <c r="N25" i="26"/>
  <c r="D9" i="26"/>
  <c r="D13" i="26"/>
  <c r="I54" i="26"/>
  <c r="I83" i="26"/>
  <c r="N83" i="26"/>
  <c r="N54" i="26"/>
  <c r="H11" i="12"/>
  <c r="R54" i="12"/>
  <c r="S76" i="12"/>
  <c r="R236" i="27" l="1"/>
  <c r="P262" i="27"/>
  <c r="Q240" i="27"/>
  <c r="S299" i="27"/>
  <c r="Q290" i="27"/>
  <c r="R298" i="13"/>
  <c r="R192" i="27"/>
  <c r="R74" i="27"/>
  <c r="Q239" i="27"/>
  <c r="Q111" i="27"/>
  <c r="Q108" i="27"/>
  <c r="R196" i="27"/>
  <c r="R170" i="27"/>
  <c r="R283" i="27"/>
  <c r="R48" i="27"/>
  <c r="S300" i="27"/>
  <c r="S321" i="27"/>
  <c r="Q166" i="27"/>
  <c r="Q82" i="27"/>
  <c r="R174" i="27"/>
  <c r="R287" i="27"/>
  <c r="M261" i="27"/>
  <c r="K183" i="27"/>
  <c r="G260" i="27"/>
  <c r="P265" i="27"/>
  <c r="H260" i="27"/>
  <c r="K261" i="27"/>
  <c r="Q331" i="27"/>
  <c r="T297" i="27"/>
  <c r="R176" i="27"/>
  <c r="Q223" i="27"/>
  <c r="L261" i="27"/>
  <c r="Q316" i="27"/>
  <c r="R285" i="27"/>
  <c r="Q74" i="27"/>
  <c r="Q200" i="27"/>
  <c r="R200" i="27"/>
  <c r="O262" i="27"/>
  <c r="Q86" i="27"/>
  <c r="D63" i="27"/>
  <c r="R168" i="27"/>
  <c r="L267" i="27"/>
  <c r="Q81" i="27"/>
  <c r="R162" i="27"/>
  <c r="K267" i="27"/>
  <c r="Q167" i="27"/>
  <c r="Q106" i="27"/>
  <c r="R76" i="27"/>
  <c r="Q231" i="27"/>
  <c r="M150" i="27"/>
  <c r="O260" i="27"/>
  <c r="U318" i="27"/>
  <c r="R78" i="27"/>
  <c r="R85" i="27"/>
  <c r="R120" i="27"/>
  <c r="J267" i="27"/>
  <c r="R166" i="27"/>
  <c r="R194" i="27"/>
  <c r="N150" i="27"/>
  <c r="R208" i="13"/>
  <c r="K150" i="27"/>
  <c r="O145" i="27"/>
  <c r="R112" i="27"/>
  <c r="N261" i="27"/>
  <c r="R324" i="27"/>
  <c r="Q281" i="27"/>
  <c r="T90" i="27"/>
  <c r="M267" i="27"/>
  <c r="Q170" i="27"/>
  <c r="U300" i="27"/>
  <c r="Q72" i="27"/>
  <c r="R178" i="27"/>
  <c r="Q169" i="27"/>
  <c r="L150" i="27"/>
  <c r="O142" i="27"/>
  <c r="Q289" i="27"/>
  <c r="R173" i="27"/>
  <c r="P267" i="27"/>
  <c r="F260" i="27"/>
  <c r="E260" i="27"/>
  <c r="Q330" i="27"/>
  <c r="R106" i="27"/>
  <c r="Q51" i="27"/>
  <c r="T240" i="27"/>
  <c r="R315" i="27"/>
  <c r="Q48" i="27"/>
  <c r="K93" i="27"/>
  <c r="J213" i="27"/>
  <c r="O27" i="27"/>
  <c r="S289" i="27"/>
  <c r="R103" i="27"/>
  <c r="Q301" i="27"/>
  <c r="R110" i="27"/>
  <c r="Q211" i="27"/>
  <c r="R171" i="27"/>
  <c r="R169" i="27"/>
  <c r="Q202" i="27"/>
  <c r="Q180" i="27"/>
  <c r="Q328" i="27"/>
  <c r="E262" i="27"/>
  <c r="E303" i="27"/>
  <c r="Q172" i="27"/>
  <c r="Q295" i="27"/>
  <c r="R319" i="27"/>
  <c r="J257" i="27"/>
  <c r="R238" i="13"/>
  <c r="R178" i="13"/>
  <c r="D30" i="27"/>
  <c r="E30" i="27"/>
  <c r="K254" i="27"/>
  <c r="H30" i="27"/>
  <c r="Q79" i="27"/>
  <c r="T317" i="27"/>
  <c r="D303" i="27"/>
  <c r="R163" i="27"/>
  <c r="Q174" i="27"/>
  <c r="R296" i="27"/>
  <c r="U180" i="27"/>
  <c r="R240" i="27"/>
  <c r="D26" i="27"/>
  <c r="S287" i="27"/>
  <c r="R83" i="27"/>
  <c r="T287" i="27"/>
  <c r="J265" i="27"/>
  <c r="R89" i="27"/>
  <c r="R326" i="27"/>
  <c r="Q230" i="27"/>
  <c r="R205" i="27"/>
  <c r="AB12" i="3"/>
  <c r="K56" i="11"/>
  <c r="J111" i="11"/>
  <c r="Q322" i="27"/>
  <c r="S90" i="27"/>
  <c r="R230" i="27"/>
  <c r="R290" i="27"/>
  <c r="R232" i="27"/>
  <c r="Q203" i="27"/>
  <c r="AA12" i="3"/>
  <c r="L111" i="11"/>
  <c r="R61" i="27"/>
  <c r="N257" i="27"/>
  <c r="R177" i="27"/>
  <c r="S240" i="27"/>
  <c r="Q162" i="27"/>
  <c r="Q195" i="27"/>
  <c r="R59" i="27"/>
  <c r="D12" i="26"/>
  <c r="M257" i="27"/>
  <c r="Q204" i="27"/>
  <c r="U327" i="27"/>
  <c r="Q208" i="27"/>
  <c r="E263" i="27"/>
  <c r="D263" i="27"/>
  <c r="S318" i="27"/>
  <c r="R208" i="27"/>
  <c r="R228" i="27"/>
  <c r="U90" i="27"/>
  <c r="Q121" i="27"/>
  <c r="U299" i="27"/>
  <c r="G256" i="27"/>
  <c r="R301" i="27"/>
  <c r="R42" i="27"/>
  <c r="S210" i="27"/>
  <c r="T316" i="27"/>
  <c r="Q294" i="27"/>
  <c r="R51" i="27"/>
  <c r="Q314" i="27"/>
  <c r="Q115" i="27"/>
  <c r="S286" i="27"/>
  <c r="H256" i="27"/>
  <c r="E256" i="27"/>
  <c r="G258" i="27"/>
  <c r="J252" i="27"/>
  <c r="Q181" i="27"/>
  <c r="Q222" i="27"/>
  <c r="Q109" i="27"/>
  <c r="U210" i="27"/>
  <c r="Q227" i="27"/>
  <c r="Q43" i="27"/>
  <c r="R45" i="27"/>
  <c r="R107" i="27"/>
  <c r="F263" i="27"/>
  <c r="D256" i="27"/>
  <c r="Q300" i="27"/>
  <c r="K149" i="27"/>
  <c r="S329" i="27"/>
  <c r="R58" i="27"/>
  <c r="Q293" i="27"/>
  <c r="R239" i="27"/>
  <c r="Q49" i="27"/>
  <c r="R209" i="27"/>
  <c r="Q84" i="27"/>
  <c r="Q73" i="27"/>
  <c r="R227" i="27"/>
  <c r="Q291" i="27"/>
  <c r="Q318" i="27"/>
  <c r="T321" i="27"/>
  <c r="U330" i="27"/>
  <c r="R195" i="27"/>
  <c r="C70" i="26"/>
  <c r="R164" i="27"/>
  <c r="Q232" i="27"/>
  <c r="R325" i="27"/>
  <c r="D271" i="27"/>
  <c r="U286" i="27"/>
  <c r="Q116" i="27"/>
  <c r="R47" i="27"/>
  <c r="T329" i="27"/>
  <c r="Q317" i="27"/>
  <c r="D140" i="27"/>
  <c r="Q210" i="27"/>
  <c r="C28" i="26"/>
  <c r="G30" i="27"/>
  <c r="R179" i="27"/>
  <c r="Q299" i="27"/>
  <c r="D257" i="27"/>
  <c r="E257" i="27"/>
  <c r="F257" i="27"/>
  <c r="S257" i="27" s="1"/>
  <c r="H257" i="27"/>
  <c r="P271" i="27"/>
  <c r="O254" i="27"/>
  <c r="P254" i="27"/>
  <c r="D254" i="27"/>
  <c r="G257" i="27"/>
  <c r="O257" i="27"/>
  <c r="Q297" i="27"/>
  <c r="I215" i="27"/>
  <c r="K213" i="27"/>
  <c r="Q176" i="27"/>
  <c r="D146" i="27"/>
  <c r="Q44" i="27"/>
  <c r="J183" i="27"/>
  <c r="P257" i="27"/>
  <c r="D15" i="26"/>
  <c r="T120" i="27"/>
  <c r="T291" i="27"/>
  <c r="R210" i="27"/>
  <c r="Q320" i="27"/>
  <c r="Q206" i="27"/>
  <c r="E142" i="27"/>
  <c r="R202" i="27"/>
  <c r="R86" i="27"/>
  <c r="R323" i="27"/>
  <c r="R79" i="27"/>
  <c r="Q46" i="27"/>
  <c r="D139" i="27"/>
  <c r="R54" i="27"/>
  <c r="K257" i="27"/>
  <c r="I305" i="27"/>
  <c r="R233" i="27"/>
  <c r="R57" i="27"/>
  <c r="Q327" i="27"/>
  <c r="E63" i="27"/>
  <c r="Q78" i="27"/>
  <c r="T299" i="27"/>
  <c r="O131" i="27"/>
  <c r="R314" i="27"/>
  <c r="Q76" i="27"/>
  <c r="R108" i="27"/>
  <c r="Q54" i="27"/>
  <c r="R204" i="27"/>
  <c r="D28" i="27"/>
  <c r="R203" i="27"/>
  <c r="R119" i="13"/>
  <c r="C31" i="26"/>
  <c r="Q165" i="27"/>
  <c r="U297" i="27"/>
  <c r="E254" i="27"/>
  <c r="R254" i="27" s="1"/>
  <c r="Q192" i="27"/>
  <c r="R223" i="27"/>
  <c r="R224" i="27"/>
  <c r="Q225" i="27"/>
  <c r="Q198" i="27"/>
  <c r="R207" i="27"/>
  <c r="R88" i="27"/>
  <c r="R55" i="27"/>
  <c r="D21" i="27"/>
  <c r="T319" i="27"/>
  <c r="T330" i="27"/>
  <c r="E146" i="27"/>
  <c r="S180" i="27"/>
  <c r="K265" i="27"/>
  <c r="Q57" i="27"/>
  <c r="R87" i="27"/>
  <c r="R49" i="27"/>
  <c r="U291" i="27"/>
  <c r="R91" i="27"/>
  <c r="C29" i="26"/>
  <c r="K303" i="27"/>
  <c r="Q286" i="27"/>
  <c r="U289" i="27"/>
  <c r="R104" i="27"/>
  <c r="R75" i="27"/>
  <c r="Q173" i="27"/>
  <c r="R235" i="27"/>
  <c r="R119" i="27"/>
  <c r="Q178" i="13"/>
  <c r="Q105" i="27"/>
  <c r="Q234" i="27"/>
  <c r="K12" i="27"/>
  <c r="C72" i="26"/>
  <c r="C42" i="26"/>
  <c r="P253" i="27"/>
  <c r="R226" i="27"/>
  <c r="R77" i="27"/>
  <c r="R234" i="27"/>
  <c r="R87" i="13"/>
  <c r="Q75" i="27"/>
  <c r="D268" i="27"/>
  <c r="B19" i="26"/>
  <c r="Q119" i="27"/>
  <c r="Q90" i="27"/>
  <c r="R118" i="27"/>
  <c r="Q321" i="27"/>
  <c r="Q88" i="27"/>
  <c r="T60" i="27"/>
  <c r="R320" i="27"/>
  <c r="Q238" i="27"/>
  <c r="E268" i="27"/>
  <c r="Q282" i="27"/>
  <c r="S316" i="27"/>
  <c r="Q103" i="27"/>
  <c r="R109" i="27"/>
  <c r="S120" i="27"/>
  <c r="R101" i="27"/>
  <c r="K123" i="27"/>
  <c r="E28" i="27"/>
  <c r="Q196" i="27"/>
  <c r="U60" i="27"/>
  <c r="C98" i="26" a="1"/>
  <c r="C98" i="26" s="1"/>
  <c r="C26" i="26"/>
  <c r="K333" i="27"/>
  <c r="K143" i="27"/>
  <c r="F23" i="27"/>
  <c r="G23" i="27"/>
  <c r="H23" i="27"/>
  <c r="D23" i="27"/>
  <c r="N256" i="27"/>
  <c r="U256" i="27" s="1"/>
  <c r="L256" i="27"/>
  <c r="S256" i="27" s="1"/>
  <c r="O256" i="27"/>
  <c r="P256" i="27"/>
  <c r="E21" i="27"/>
  <c r="K256" i="27"/>
  <c r="Q61" i="27"/>
  <c r="Q177" i="27"/>
  <c r="Q228" i="27"/>
  <c r="J271" i="27"/>
  <c r="P15" i="27"/>
  <c r="R322" i="27"/>
  <c r="Q288" i="27"/>
  <c r="R175" i="27"/>
  <c r="Q256" i="27"/>
  <c r="Q89" i="27"/>
  <c r="M256" i="27"/>
  <c r="E213" i="27"/>
  <c r="G261" i="27"/>
  <c r="O261" i="27"/>
  <c r="C32" i="26"/>
  <c r="O26" i="27"/>
  <c r="K63" i="27"/>
  <c r="R181" i="27"/>
  <c r="D19" i="27"/>
  <c r="R197" i="27"/>
  <c r="R294" i="27"/>
  <c r="Q168" i="27"/>
  <c r="E140" i="27"/>
  <c r="T180" i="27"/>
  <c r="E271" i="27"/>
  <c r="Q285" i="27"/>
  <c r="Q87" i="27"/>
  <c r="Q120" i="27"/>
  <c r="R317" i="27"/>
  <c r="R288" i="27"/>
  <c r="Q45" i="27"/>
  <c r="R167" i="27"/>
  <c r="D213" i="27"/>
  <c r="C39" i="26"/>
  <c r="D333" i="27"/>
  <c r="O19" i="27"/>
  <c r="R121" i="27"/>
  <c r="S317" i="27"/>
  <c r="S288" i="27"/>
  <c r="C27" i="26"/>
  <c r="K252" i="27"/>
  <c r="U329" i="27"/>
  <c r="S291" i="27"/>
  <c r="Q237" i="27"/>
  <c r="R72" i="27"/>
  <c r="Q199" i="27"/>
  <c r="J253" i="27"/>
  <c r="R80" i="27"/>
  <c r="Q284" i="27"/>
  <c r="Q114" i="27"/>
  <c r="Q296" i="27"/>
  <c r="P24" i="27"/>
  <c r="R241" i="27"/>
  <c r="R113" i="27"/>
  <c r="J303" i="27"/>
  <c r="Q179" i="27"/>
  <c r="R327" i="27"/>
  <c r="D332" i="27"/>
  <c r="D334" i="27" s="1"/>
  <c r="Q47" i="27"/>
  <c r="R46" i="27"/>
  <c r="Q110" i="27"/>
  <c r="Q178" i="27"/>
  <c r="D142" i="27"/>
  <c r="S319" i="27"/>
  <c r="Q229" i="27"/>
  <c r="Q298" i="27"/>
  <c r="R191" i="27"/>
  <c r="D145" i="27"/>
  <c r="E333" i="27"/>
  <c r="E145" i="27"/>
  <c r="H243" i="27"/>
  <c r="F243" i="27"/>
  <c r="G243" i="27"/>
  <c r="E243" i="27"/>
  <c r="D243" i="27"/>
  <c r="E266" i="27"/>
  <c r="D20" i="27"/>
  <c r="D24" i="27"/>
  <c r="E24" i="27"/>
  <c r="O24" i="27"/>
  <c r="E20" i="27"/>
  <c r="Q191" i="27"/>
  <c r="R165" i="27"/>
  <c r="R225" i="27"/>
  <c r="D16" i="27"/>
  <c r="R289" i="27"/>
  <c r="R115" i="27"/>
  <c r="D27" i="27"/>
  <c r="Q175" i="27"/>
  <c r="R300" i="27"/>
  <c r="E27" i="27"/>
  <c r="P27" i="27"/>
  <c r="E11" i="27"/>
  <c r="E183" i="27"/>
  <c r="Q113" i="27"/>
  <c r="P261" i="27"/>
  <c r="H261" i="27"/>
  <c r="Q236" i="27"/>
  <c r="R292" i="27"/>
  <c r="S60" i="27"/>
  <c r="R293" i="27"/>
  <c r="Q205" i="27"/>
  <c r="D183" i="27"/>
  <c r="E123" i="27"/>
  <c r="E16" i="27"/>
  <c r="R329" i="27"/>
  <c r="D123" i="27"/>
  <c r="E131" i="27"/>
  <c r="E261" i="27"/>
  <c r="R331" i="27"/>
  <c r="F261" i="27"/>
  <c r="S261" i="27" s="1"/>
  <c r="E19" i="27"/>
  <c r="O11" i="27"/>
  <c r="R284" i="27"/>
  <c r="Q235" i="27"/>
  <c r="R111" i="27"/>
  <c r="D261" i="27"/>
  <c r="Q261" i="27" s="1"/>
  <c r="E149" i="27"/>
  <c r="D131" i="27"/>
  <c r="Q118" i="27"/>
  <c r="Q329" i="27"/>
  <c r="F258" i="27"/>
  <c r="E258" i="27"/>
  <c r="D258" i="27"/>
  <c r="K18" i="27"/>
  <c r="Q312" i="27"/>
  <c r="N269" i="27"/>
  <c r="Q171" i="27"/>
  <c r="R201" i="27"/>
  <c r="Q193" i="27"/>
  <c r="J93" i="27"/>
  <c r="Q241" i="27"/>
  <c r="K16" i="27"/>
  <c r="P149" i="27"/>
  <c r="O149" i="27"/>
  <c r="J63" i="27"/>
  <c r="J333" i="27"/>
  <c r="J262" i="27"/>
  <c r="K263" i="27"/>
  <c r="K269" i="27"/>
  <c r="R116" i="27"/>
  <c r="Q323" i="27"/>
  <c r="K302" i="27"/>
  <c r="K304" i="27" s="1"/>
  <c r="J263" i="27"/>
  <c r="L269" i="27"/>
  <c r="Q163" i="27"/>
  <c r="O16" i="27"/>
  <c r="J25" i="27"/>
  <c r="J18" i="27"/>
  <c r="R321" i="27"/>
  <c r="M269" i="27"/>
  <c r="K253" i="27"/>
  <c r="Q326" i="27"/>
  <c r="J254" i="27"/>
  <c r="R282" i="27"/>
  <c r="Q104" i="27"/>
  <c r="P16" i="27"/>
  <c r="J123" i="27"/>
  <c r="J143" i="27"/>
  <c r="K255" i="27"/>
  <c r="K137" i="27"/>
  <c r="Q224" i="27"/>
  <c r="Q209" i="27"/>
  <c r="J149" i="27"/>
  <c r="J12" i="27"/>
  <c r="K243" i="27"/>
  <c r="R53" i="27"/>
  <c r="R328" i="27"/>
  <c r="O263" i="27"/>
  <c r="R286" i="27"/>
  <c r="P263" i="27"/>
  <c r="I185" i="27"/>
  <c r="Q107" i="27"/>
  <c r="R199" i="27"/>
  <c r="J243" i="27"/>
  <c r="R298" i="27"/>
  <c r="I335" i="27"/>
  <c r="I334" i="27"/>
  <c r="K332" i="27"/>
  <c r="J332" i="27"/>
  <c r="I244" i="27"/>
  <c r="J242" i="27"/>
  <c r="J244" i="27" s="1"/>
  <c r="E251" i="27"/>
  <c r="D251" i="27"/>
  <c r="O251" i="27"/>
  <c r="P251" i="27"/>
  <c r="Q315" i="27"/>
  <c r="J255" i="27"/>
  <c r="O252" i="27"/>
  <c r="D252" i="27"/>
  <c r="C272" i="27"/>
  <c r="C275" i="27" s="1"/>
  <c r="E252" i="27"/>
  <c r="P252" i="27"/>
  <c r="D144" i="27"/>
  <c r="E144" i="27"/>
  <c r="O144" i="27"/>
  <c r="R161" i="27"/>
  <c r="J28" i="27"/>
  <c r="P28" i="27"/>
  <c r="K28" i="27"/>
  <c r="J24" i="27"/>
  <c r="E13" i="27"/>
  <c r="D13" i="27"/>
  <c r="O13" i="27"/>
  <c r="J268" i="27"/>
  <c r="P268" i="27"/>
  <c r="K268" i="27"/>
  <c r="O268" i="27"/>
  <c r="J31" i="27"/>
  <c r="P31" i="27"/>
  <c r="K31" i="27"/>
  <c r="O25" i="27"/>
  <c r="E25" i="27"/>
  <c r="D25" i="27"/>
  <c r="K139" i="27"/>
  <c r="P139" i="27"/>
  <c r="J139" i="27"/>
  <c r="D11" i="27"/>
  <c r="D269" i="27"/>
  <c r="Q269" i="27" s="1"/>
  <c r="O269" i="27"/>
  <c r="H269" i="27"/>
  <c r="G269" i="27"/>
  <c r="F269" i="27"/>
  <c r="E269" i="27"/>
  <c r="I184" i="27"/>
  <c r="J182" i="27"/>
  <c r="J184" i="27" s="1"/>
  <c r="K182" i="27"/>
  <c r="K184" i="27" s="1"/>
  <c r="C244" i="27"/>
  <c r="H242" i="27"/>
  <c r="G242" i="27"/>
  <c r="D242" i="27"/>
  <c r="D244" i="27" s="1"/>
  <c r="F242" i="27"/>
  <c r="E242" i="27"/>
  <c r="C245" i="27"/>
  <c r="E122" i="27"/>
  <c r="E124" i="27" s="1"/>
  <c r="J29" i="27"/>
  <c r="K29" i="27"/>
  <c r="P29" i="27"/>
  <c r="J302" i="27"/>
  <c r="R114" i="27"/>
  <c r="G150" i="27"/>
  <c r="E150" i="27"/>
  <c r="D150" i="27"/>
  <c r="Q150" i="27" s="1"/>
  <c r="H150" i="27"/>
  <c r="U150" i="27" s="1"/>
  <c r="P150" i="27"/>
  <c r="O150" i="27"/>
  <c r="F150" i="27"/>
  <c r="S150" i="27" s="1"/>
  <c r="C304" i="27"/>
  <c r="D302" i="27"/>
  <c r="C305" i="27"/>
  <c r="E302" i="27"/>
  <c r="I152" i="27"/>
  <c r="I155" i="27" s="1"/>
  <c r="J132" i="27"/>
  <c r="P132" i="27"/>
  <c r="K132" i="27"/>
  <c r="Q221" i="27"/>
  <c r="P151" i="27"/>
  <c r="K151" i="27"/>
  <c r="J151" i="27"/>
  <c r="E14" i="27"/>
  <c r="D14" i="27"/>
  <c r="O14" i="27"/>
  <c r="C185" i="27"/>
  <c r="P264" i="27"/>
  <c r="K264" i="27"/>
  <c r="R264" i="27" s="1"/>
  <c r="J264" i="27"/>
  <c r="Q264" i="27" s="1"/>
  <c r="O264" i="27"/>
  <c r="C64" i="27"/>
  <c r="C65" i="27"/>
  <c r="E62" i="27"/>
  <c r="D62" i="27"/>
  <c r="K21" i="27"/>
  <c r="J21" i="27"/>
  <c r="P21" i="27"/>
  <c r="O21" i="27"/>
  <c r="J14" i="27"/>
  <c r="P14" i="27"/>
  <c r="K14" i="27"/>
  <c r="R117" i="27"/>
  <c r="O139" i="27"/>
  <c r="P25" i="27"/>
  <c r="C43" i="26"/>
  <c r="O148" i="27"/>
  <c r="E148" i="27"/>
  <c r="D148" i="27"/>
  <c r="P148" i="27"/>
  <c r="J137" i="27"/>
  <c r="D149" i="27"/>
  <c r="K144" i="27"/>
  <c r="J144" i="27"/>
  <c r="P144" i="27"/>
  <c r="D137" i="27"/>
  <c r="E137" i="27"/>
  <c r="R137" i="27" s="1"/>
  <c r="P137" i="27"/>
  <c r="O137" i="27"/>
  <c r="R229" i="27"/>
  <c r="E18" i="27"/>
  <c r="D18" i="27"/>
  <c r="O18" i="27"/>
  <c r="R71" i="27"/>
  <c r="J20" i="27"/>
  <c r="K20" i="27"/>
  <c r="P20" i="27"/>
  <c r="D138" i="27"/>
  <c r="E138" i="27"/>
  <c r="O138" i="27"/>
  <c r="R41" i="27"/>
  <c r="K131" i="27"/>
  <c r="J131" i="27"/>
  <c r="P131" i="27"/>
  <c r="E212" i="27"/>
  <c r="O133" i="27"/>
  <c r="E133" i="27"/>
  <c r="D133" i="27"/>
  <c r="J23" i="27"/>
  <c r="P23" i="27"/>
  <c r="K23" i="27"/>
  <c r="O23" i="27"/>
  <c r="O141" i="27"/>
  <c r="E141" i="27"/>
  <c r="D141" i="27"/>
  <c r="P141" i="27"/>
  <c r="D92" i="27"/>
  <c r="J92" i="27"/>
  <c r="D135" i="27"/>
  <c r="O135" i="27"/>
  <c r="E135" i="27"/>
  <c r="Q50" i="27"/>
  <c r="C95" i="27"/>
  <c r="E92" i="27"/>
  <c r="C94" i="27"/>
  <c r="P18" i="27"/>
  <c r="D134" i="27"/>
  <c r="O134" i="27"/>
  <c r="E134" i="27"/>
  <c r="R330" i="27"/>
  <c r="J16" i="27"/>
  <c r="C184" i="27"/>
  <c r="R102" i="27"/>
  <c r="Q71" i="27"/>
  <c r="O136" i="27"/>
  <c r="E136" i="27"/>
  <c r="D136" i="27"/>
  <c r="D132" i="27"/>
  <c r="C152" i="27"/>
  <c r="O132" i="27"/>
  <c r="E132" i="27"/>
  <c r="E147" i="27"/>
  <c r="D147" i="27"/>
  <c r="O147" i="27"/>
  <c r="E182" i="27"/>
  <c r="C44" i="26"/>
  <c r="C66" i="26"/>
  <c r="Q325" i="27"/>
  <c r="R238" i="27"/>
  <c r="K148" i="27"/>
  <c r="D266" i="27"/>
  <c r="P260" i="27"/>
  <c r="J260" i="27"/>
  <c r="Q260" i="27" s="1"/>
  <c r="K260" i="27"/>
  <c r="N259" i="27"/>
  <c r="J259" i="27"/>
  <c r="P259" i="27"/>
  <c r="M259" i="27"/>
  <c r="L259" i="27"/>
  <c r="K259" i="27"/>
  <c r="K262" i="27"/>
  <c r="J148" i="27"/>
  <c r="I32" i="27"/>
  <c r="I64" i="27"/>
  <c r="J19" i="27"/>
  <c r="P19" i="27"/>
  <c r="K19" i="27"/>
  <c r="K25" i="27"/>
  <c r="R221" i="27"/>
  <c r="I95" i="27"/>
  <c r="K92" i="27"/>
  <c r="I94" i="27"/>
  <c r="P22" i="27"/>
  <c r="J22" i="27"/>
  <c r="K22" i="27"/>
  <c r="O28" i="27"/>
  <c r="C124" i="27"/>
  <c r="H143" i="27"/>
  <c r="G143" i="27"/>
  <c r="F143" i="27"/>
  <c r="E143" i="27"/>
  <c r="D143" i="27"/>
  <c r="O143" i="27"/>
  <c r="P143" i="27"/>
  <c r="R281" i="27"/>
  <c r="Q80" i="27"/>
  <c r="E31" i="27"/>
  <c r="O31" i="27"/>
  <c r="D31" i="27"/>
  <c r="E15" i="27"/>
  <c r="D15" i="27"/>
  <c r="O15" i="27"/>
  <c r="J140" i="27"/>
  <c r="P140" i="27"/>
  <c r="K140" i="27"/>
  <c r="E23" i="27"/>
  <c r="K24" i="27"/>
  <c r="K251" i="27"/>
  <c r="P269" i="27"/>
  <c r="J258" i="27"/>
  <c r="L258" i="27"/>
  <c r="N258" i="27"/>
  <c r="U258" i="27" s="1"/>
  <c r="K258" i="27"/>
  <c r="P258" i="27"/>
  <c r="M258" i="27"/>
  <c r="I272" i="27"/>
  <c r="J13" i="27"/>
  <c r="K13" i="27"/>
  <c r="P13" i="27"/>
  <c r="R50" i="27"/>
  <c r="J17" i="27"/>
  <c r="P17" i="27"/>
  <c r="K17" i="27"/>
  <c r="C215" i="27"/>
  <c r="C214" i="27"/>
  <c r="D212" i="27"/>
  <c r="C334" i="27"/>
  <c r="C335" i="27"/>
  <c r="E332" i="27"/>
  <c r="Q201" i="27"/>
  <c r="J141" i="27"/>
  <c r="O258" i="27"/>
  <c r="O17" i="27"/>
  <c r="E17" i="27"/>
  <c r="D17" i="27"/>
  <c r="E253" i="27"/>
  <c r="D253" i="27"/>
  <c r="O253" i="27"/>
  <c r="E26" i="27"/>
  <c r="O255" i="27"/>
  <c r="P255" i="27"/>
  <c r="D255" i="27"/>
  <c r="E255" i="27"/>
  <c r="K62" i="27"/>
  <c r="K64" i="27" s="1"/>
  <c r="D22" i="27"/>
  <c r="E22" i="27"/>
  <c r="O22" i="27"/>
  <c r="E12" i="27"/>
  <c r="D12" i="27"/>
  <c r="C32" i="27"/>
  <c r="O12" i="27"/>
  <c r="P12" i="27"/>
  <c r="Q41" i="27"/>
  <c r="K266" i="27"/>
  <c r="J266" i="27"/>
  <c r="O266" i="27"/>
  <c r="P266" i="27"/>
  <c r="K135" i="27"/>
  <c r="J135" i="27"/>
  <c r="P135" i="27"/>
  <c r="Q292" i="27"/>
  <c r="D262" i="27"/>
  <c r="I214" i="27"/>
  <c r="K212" i="27"/>
  <c r="J212" i="27"/>
  <c r="C125" i="27"/>
  <c r="K270" i="27"/>
  <c r="J270" i="27"/>
  <c r="M270" i="27"/>
  <c r="P270" i="27"/>
  <c r="N270" i="27"/>
  <c r="L270" i="27"/>
  <c r="C30" i="26"/>
  <c r="O259" i="27"/>
  <c r="G259" i="27"/>
  <c r="H259" i="27"/>
  <c r="F259" i="27"/>
  <c r="E259" i="27"/>
  <c r="D259" i="27"/>
  <c r="R311" i="27"/>
  <c r="R297" i="27"/>
  <c r="R231" i="27"/>
  <c r="K141" i="27"/>
  <c r="P147" i="27"/>
  <c r="K147" i="27"/>
  <c r="J147" i="27"/>
  <c r="Q226" i="27"/>
  <c r="O265" i="27"/>
  <c r="D265" i="27"/>
  <c r="E265" i="27"/>
  <c r="Q194" i="27"/>
  <c r="J122" i="27"/>
  <c r="I125" i="27"/>
  <c r="I124" i="27"/>
  <c r="K122" i="27"/>
  <c r="Q207" i="27"/>
  <c r="P146" i="27"/>
  <c r="J146" i="27"/>
  <c r="K146" i="27"/>
  <c r="O146" i="27"/>
  <c r="K242" i="27"/>
  <c r="K244" i="27" s="1"/>
  <c r="R222" i="27"/>
  <c r="O29" i="27"/>
  <c r="D29" i="27"/>
  <c r="E29" i="27"/>
  <c r="J62" i="27"/>
  <c r="J64" i="27" s="1"/>
  <c r="J15" i="27"/>
  <c r="J27" i="27"/>
  <c r="R82" i="27"/>
  <c r="J11" i="27"/>
  <c r="K11" i="27"/>
  <c r="P11" i="27"/>
  <c r="E139" i="27"/>
  <c r="O140" i="27"/>
  <c r="Q58" i="27"/>
  <c r="K145" i="27"/>
  <c r="P145" i="27"/>
  <c r="J145" i="27"/>
  <c r="K133" i="27"/>
  <c r="P133" i="27"/>
  <c r="J133" i="27"/>
  <c r="J26" i="27"/>
  <c r="P26" i="27"/>
  <c r="K26" i="27"/>
  <c r="Q161" i="27"/>
  <c r="O267" i="27"/>
  <c r="G267" i="27"/>
  <c r="H267" i="27"/>
  <c r="U267" i="27" s="1"/>
  <c r="F267" i="27"/>
  <c r="E267" i="27"/>
  <c r="D267" i="27"/>
  <c r="R291" i="27"/>
  <c r="Q311" i="27"/>
  <c r="J251" i="27"/>
  <c r="P142" i="27"/>
  <c r="K142" i="27"/>
  <c r="J142" i="27"/>
  <c r="G263" i="27"/>
  <c r="Q313" i="27"/>
  <c r="O270" i="27"/>
  <c r="E270" i="27"/>
  <c r="D270" i="27"/>
  <c r="G270" i="27"/>
  <c r="F270" i="27"/>
  <c r="H270" i="27"/>
  <c r="K271" i="27"/>
  <c r="P134" i="27"/>
  <c r="K134" i="27"/>
  <c r="J134" i="27"/>
  <c r="D182" i="27"/>
  <c r="Q52" i="27"/>
  <c r="K30" i="27"/>
  <c r="R30" i="27" s="1"/>
  <c r="M30" i="27"/>
  <c r="L30" i="27"/>
  <c r="S30" i="27" s="1"/>
  <c r="J30" i="27"/>
  <c r="P30" i="27"/>
  <c r="O30" i="27"/>
  <c r="N30" i="27"/>
  <c r="R105" i="27"/>
  <c r="K15" i="27"/>
  <c r="P138" i="27"/>
  <c r="K138" i="27"/>
  <c r="J138" i="27"/>
  <c r="Q117" i="27"/>
  <c r="P136" i="27"/>
  <c r="K136" i="27"/>
  <c r="J136" i="27"/>
  <c r="K27" i="27"/>
  <c r="D122" i="27"/>
  <c r="D124" i="27" s="1"/>
  <c r="Q102" i="27"/>
  <c r="O20" i="27"/>
  <c r="I245" i="27"/>
  <c r="E151" i="27"/>
  <c r="D151" i="27"/>
  <c r="O151" i="27"/>
  <c r="R56" i="27"/>
  <c r="C46" i="26"/>
  <c r="C71" i="26"/>
  <c r="C75" i="26"/>
  <c r="C65" i="26"/>
  <c r="C60" i="26"/>
  <c r="C94" i="26" a="1"/>
  <c r="C94" i="26" s="1"/>
  <c r="C40" i="26"/>
  <c r="C37" i="26"/>
  <c r="C45" i="26"/>
  <c r="C57" i="26"/>
  <c r="C36" i="26"/>
  <c r="Q73" i="26"/>
  <c r="S73" i="26" s="1"/>
  <c r="Q65" i="26"/>
  <c r="S65" i="26" s="1"/>
  <c r="Q72" i="26"/>
  <c r="S72" i="26" s="1"/>
  <c r="Q61" i="26"/>
  <c r="S61" i="26" s="1"/>
  <c r="Q56" i="26"/>
  <c r="S56" i="26" s="1"/>
  <c r="Q71" i="26"/>
  <c r="S71" i="26" s="1"/>
  <c r="Q60" i="26"/>
  <c r="S60" i="26" s="1"/>
  <c r="Q55" i="26"/>
  <c r="S55" i="26" s="1"/>
  <c r="Q70" i="26"/>
  <c r="S70" i="26" s="1"/>
  <c r="Q59" i="26"/>
  <c r="S59" i="26" s="1"/>
  <c r="Q77" i="26"/>
  <c r="Q69" i="26"/>
  <c r="S69" i="26" s="1"/>
  <c r="Q58" i="26"/>
  <c r="S58" i="26" s="1"/>
  <c r="Q76" i="26"/>
  <c r="Q68" i="26"/>
  <c r="S68" i="26" s="1"/>
  <c r="Q57" i="26"/>
  <c r="S57" i="26" s="1"/>
  <c r="R56" i="12"/>
  <c r="Q75" i="26"/>
  <c r="S75" i="26" s="1"/>
  <c r="Q67" i="26"/>
  <c r="R55" i="12"/>
  <c r="Q74" i="26"/>
  <c r="S74" i="26" s="1"/>
  <c r="Q66" i="26"/>
  <c r="R72" i="12"/>
  <c r="Q119" i="13"/>
  <c r="Q298" i="13"/>
  <c r="K268" i="13"/>
  <c r="P268" i="13"/>
  <c r="E148" i="13"/>
  <c r="D148" i="13"/>
  <c r="J268" i="13"/>
  <c r="K148" i="13"/>
  <c r="J148" i="13"/>
  <c r="O268" i="13"/>
  <c r="E268" i="13"/>
  <c r="D268" i="13"/>
  <c r="Q57" i="13"/>
  <c r="Q328" i="13"/>
  <c r="Q238" i="13"/>
  <c r="Q208" i="13"/>
  <c r="Q87" i="13"/>
  <c r="D83" i="26"/>
  <c r="C84" i="26"/>
  <c r="C101" i="26" a="1"/>
  <c r="C101" i="26" s="1"/>
  <c r="C100" i="26" a="1"/>
  <c r="C100" i="26" s="1"/>
  <c r="C102" i="26" a="1"/>
  <c r="C102" i="26" s="1"/>
  <c r="C89" i="26" a="1"/>
  <c r="C89" i="26" s="1"/>
  <c r="C87" i="26" a="1"/>
  <c r="C87" i="26" s="1"/>
  <c r="C103" i="26" a="1"/>
  <c r="C103" i="26" s="1"/>
  <c r="C95" i="26" a="1"/>
  <c r="C95" i="26" s="1"/>
  <c r="C86" i="26" a="1"/>
  <c r="C86" i="26" s="1"/>
  <c r="C90" i="26" a="1"/>
  <c r="C90" i="26" s="1"/>
  <c r="C104" i="26" a="1"/>
  <c r="C104" i="26" s="1"/>
  <c r="C99" i="26" a="1"/>
  <c r="C99" i="26" s="1"/>
  <c r="C88" i="26" a="1"/>
  <c r="C88" i="26" s="1"/>
  <c r="C85" i="26"/>
  <c r="C97" i="26" a="1"/>
  <c r="C97" i="26" s="1"/>
  <c r="C74" i="26"/>
  <c r="C73" i="26"/>
  <c r="C61" i="26"/>
  <c r="C59" i="26"/>
  <c r="D54" i="26"/>
  <c r="C69" i="26"/>
  <c r="C68" i="26"/>
  <c r="C55" i="26"/>
  <c r="C56" i="26"/>
  <c r="C58" i="26"/>
  <c r="C41" i="26"/>
  <c r="D8" i="26"/>
  <c r="D25" i="26"/>
  <c r="C19" i="26"/>
  <c r="R76" i="12"/>
  <c r="C240" i="13"/>
  <c r="I224" i="13"/>
  <c r="C224" i="13"/>
  <c r="I221" i="13"/>
  <c r="I330" i="13"/>
  <c r="L330" i="13" s="1"/>
  <c r="I329" i="13"/>
  <c r="I327" i="13"/>
  <c r="M327" i="13" s="1"/>
  <c r="I300" i="13"/>
  <c r="K300" i="13" s="1"/>
  <c r="I299" i="13"/>
  <c r="I297" i="13"/>
  <c r="M297" i="13" s="1"/>
  <c r="C329" i="13"/>
  <c r="C330" i="13"/>
  <c r="G330" i="13" s="1"/>
  <c r="C327" i="13"/>
  <c r="H327" i="13" s="1"/>
  <c r="C300" i="13"/>
  <c r="F300" i="13" s="1"/>
  <c r="C299" i="13"/>
  <c r="C297" i="13"/>
  <c r="H297" i="13" s="1"/>
  <c r="I240" i="13"/>
  <c r="M240" i="13" s="1"/>
  <c r="I239" i="13"/>
  <c r="K239" i="13" s="1"/>
  <c r="I237" i="13"/>
  <c r="N237" i="13" s="1"/>
  <c r="C239" i="13"/>
  <c r="C237" i="13"/>
  <c r="C71" i="13"/>
  <c r="I71" i="13"/>
  <c r="C72" i="13"/>
  <c r="I72" i="13"/>
  <c r="C73" i="13"/>
  <c r="I73" i="13"/>
  <c r="C74" i="13"/>
  <c r="I74" i="13"/>
  <c r="C75" i="13"/>
  <c r="I75" i="13"/>
  <c r="C76" i="13"/>
  <c r="I76" i="13"/>
  <c r="C77" i="13"/>
  <c r="I77" i="13"/>
  <c r="C78" i="13"/>
  <c r="I78" i="13"/>
  <c r="C79" i="13"/>
  <c r="I79" i="13"/>
  <c r="C80" i="13"/>
  <c r="I80" i="13"/>
  <c r="C81" i="13"/>
  <c r="I81" i="13"/>
  <c r="C82" i="13"/>
  <c r="I82" i="13"/>
  <c r="C83" i="13"/>
  <c r="I83" i="13"/>
  <c r="K83" i="13" s="1"/>
  <c r="C84" i="13"/>
  <c r="I84" i="13"/>
  <c r="C85" i="13"/>
  <c r="I85" i="13"/>
  <c r="C86" i="13"/>
  <c r="I86" i="13"/>
  <c r="C88" i="13"/>
  <c r="I88" i="13"/>
  <c r="C89" i="13"/>
  <c r="I89" i="13"/>
  <c r="C90" i="13"/>
  <c r="I90" i="13"/>
  <c r="C91" i="13"/>
  <c r="I91" i="13"/>
  <c r="C191" i="13"/>
  <c r="R261" i="27" l="1"/>
  <c r="T261" i="27"/>
  <c r="R267" i="27"/>
  <c r="T30" i="27"/>
  <c r="S267" i="27"/>
  <c r="R265" i="27"/>
  <c r="R140" i="27"/>
  <c r="T267" i="27"/>
  <c r="R26" i="27"/>
  <c r="Q143" i="27"/>
  <c r="U257" i="27"/>
  <c r="U261" i="27"/>
  <c r="R260" i="27"/>
  <c r="Q263" i="27"/>
  <c r="Q271" i="27"/>
  <c r="U30" i="27"/>
  <c r="Q26" i="27"/>
  <c r="R150" i="27"/>
  <c r="T150" i="27"/>
  <c r="Q30" i="27"/>
  <c r="Q267" i="27"/>
  <c r="Q257" i="27"/>
  <c r="J65" i="27"/>
  <c r="R262" i="27"/>
  <c r="R263" i="27"/>
  <c r="Q265" i="27"/>
  <c r="T269" i="27"/>
  <c r="D335" i="27"/>
  <c r="Q146" i="27"/>
  <c r="T258" i="27"/>
  <c r="AC12" i="3"/>
  <c r="N111" i="11"/>
  <c r="Q259" i="27"/>
  <c r="R269" i="27"/>
  <c r="Q20" i="27"/>
  <c r="R17" i="27"/>
  <c r="T257" i="27"/>
  <c r="Q252" i="27"/>
  <c r="R146" i="27"/>
  <c r="Q140" i="27"/>
  <c r="R257" i="27"/>
  <c r="D19" i="26"/>
  <c r="R256" i="27"/>
  <c r="R27" i="27"/>
  <c r="Q142" i="27"/>
  <c r="R266" i="27"/>
  <c r="R255" i="27"/>
  <c r="Q141" i="27"/>
  <c r="T256" i="27"/>
  <c r="R12" i="27"/>
  <c r="R149" i="27"/>
  <c r="R142" i="27"/>
  <c r="Q28" i="27"/>
  <c r="R143" i="27"/>
  <c r="R268" i="27"/>
  <c r="Q139" i="27"/>
  <c r="Q135" i="27"/>
  <c r="Q19" i="27"/>
  <c r="R16" i="27"/>
  <c r="Q18" i="27"/>
  <c r="Q21" i="27"/>
  <c r="R259" i="27"/>
  <c r="Q253" i="27"/>
  <c r="Q268" i="27"/>
  <c r="R133" i="27"/>
  <c r="R21" i="27"/>
  <c r="R28" i="27"/>
  <c r="Q254" i="27"/>
  <c r="R271" i="27"/>
  <c r="R25" i="27"/>
  <c r="R23" i="27"/>
  <c r="Q16" i="27"/>
  <c r="R135" i="27"/>
  <c r="Q25" i="27"/>
  <c r="Q12" i="27"/>
  <c r="R19" i="27"/>
  <c r="R15" i="27"/>
  <c r="R147" i="27"/>
  <c r="Q133" i="27"/>
  <c r="R145" i="27"/>
  <c r="R24" i="27"/>
  <c r="Q23" i="27"/>
  <c r="R18" i="27"/>
  <c r="U269" i="27"/>
  <c r="R141" i="27"/>
  <c r="Q137" i="27"/>
  <c r="Q149" i="27"/>
  <c r="R148" i="27"/>
  <c r="Q138" i="27"/>
  <c r="Q27" i="27"/>
  <c r="R138" i="27"/>
  <c r="Q15" i="27"/>
  <c r="S258" i="27"/>
  <c r="R139" i="27"/>
  <c r="R20" i="27"/>
  <c r="Q258" i="27"/>
  <c r="D245" i="27"/>
  <c r="Q145" i="27"/>
  <c r="R13" i="27"/>
  <c r="Q24" i="27"/>
  <c r="R258" i="27"/>
  <c r="R134" i="27"/>
  <c r="Q13" i="27"/>
  <c r="R253" i="27"/>
  <c r="K65" i="27"/>
  <c r="Q262" i="27"/>
  <c r="J245" i="27"/>
  <c r="K305" i="27"/>
  <c r="S269" i="27"/>
  <c r="K245" i="27"/>
  <c r="E304" i="27"/>
  <c r="E305" i="27"/>
  <c r="K33" i="27"/>
  <c r="J33" i="27"/>
  <c r="I34" i="27"/>
  <c r="J335" i="27"/>
  <c r="J334" i="27"/>
  <c r="D305" i="27"/>
  <c r="D304" i="27"/>
  <c r="D125" i="27"/>
  <c r="K95" i="27"/>
  <c r="K94" i="27"/>
  <c r="Q14" i="27"/>
  <c r="K214" i="27"/>
  <c r="K215" i="27"/>
  <c r="Q151" i="27"/>
  <c r="F244" i="27"/>
  <c r="F245" i="27"/>
  <c r="R11" i="27"/>
  <c r="E125" i="27"/>
  <c r="C34" i="27"/>
  <c r="C35" i="27"/>
  <c r="R22" i="27"/>
  <c r="Q131" i="27"/>
  <c r="R144" i="27"/>
  <c r="Q255" i="27"/>
  <c r="Q11" i="27"/>
  <c r="S259" i="27"/>
  <c r="J95" i="27"/>
  <c r="J94" i="27"/>
  <c r="K335" i="27"/>
  <c r="K334" i="27"/>
  <c r="D65" i="27"/>
  <c r="D64" i="27"/>
  <c r="D94" i="27"/>
  <c r="D95" i="27"/>
  <c r="J32" i="27"/>
  <c r="J34" i="27" s="1"/>
  <c r="R132" i="27"/>
  <c r="K152" i="27"/>
  <c r="K154" i="27" s="1"/>
  <c r="E244" i="27"/>
  <c r="E245" i="27"/>
  <c r="Q134" i="27"/>
  <c r="U270" i="27"/>
  <c r="E214" i="27"/>
  <c r="E215" i="27"/>
  <c r="Q136" i="27"/>
  <c r="T270" i="27"/>
  <c r="K273" i="27"/>
  <c r="J272" i="27"/>
  <c r="J274" i="27" s="1"/>
  <c r="I274" i="27"/>
  <c r="J273" i="27"/>
  <c r="I275" i="27"/>
  <c r="K272" i="27"/>
  <c r="K274" i="27" s="1"/>
  <c r="R151" i="27"/>
  <c r="T259" i="27"/>
  <c r="Q266" i="27"/>
  <c r="R14" i="27"/>
  <c r="Q148" i="27"/>
  <c r="Q144" i="27"/>
  <c r="R136" i="27"/>
  <c r="Q251" i="27"/>
  <c r="Q270" i="27"/>
  <c r="Q17" i="27"/>
  <c r="Q22" i="27"/>
  <c r="E184" i="27"/>
  <c r="E185" i="27"/>
  <c r="E153" i="27"/>
  <c r="D153" i="27"/>
  <c r="C155" i="27"/>
  <c r="C154" i="27"/>
  <c r="R131" i="27"/>
  <c r="J152" i="27"/>
  <c r="J154" i="27" s="1"/>
  <c r="Q132" i="27"/>
  <c r="R31" i="27"/>
  <c r="E272" i="27"/>
  <c r="E274" i="27" s="1"/>
  <c r="R252" i="27"/>
  <c r="J304" i="27"/>
  <c r="J305" i="27"/>
  <c r="K124" i="27"/>
  <c r="K125" i="27"/>
  <c r="E64" i="27"/>
  <c r="E65" i="27"/>
  <c r="S270" i="27"/>
  <c r="U259" i="27"/>
  <c r="D214" i="27"/>
  <c r="D215" i="27"/>
  <c r="K32" i="27"/>
  <c r="K34" i="27" s="1"/>
  <c r="R270" i="27"/>
  <c r="D32" i="27"/>
  <c r="D34" i="27" s="1"/>
  <c r="D152" i="27"/>
  <c r="K153" i="27"/>
  <c r="J153" i="27"/>
  <c r="I154" i="27"/>
  <c r="R29" i="27"/>
  <c r="E334" i="27"/>
  <c r="E335" i="27"/>
  <c r="E95" i="27"/>
  <c r="E94" i="27"/>
  <c r="D184" i="27"/>
  <c r="D185" i="27"/>
  <c r="Q29" i="27"/>
  <c r="J214" i="27"/>
  <c r="J215" i="27"/>
  <c r="R251" i="27"/>
  <c r="E152" i="27"/>
  <c r="J185" i="27"/>
  <c r="I35" i="27"/>
  <c r="J124" i="27"/>
  <c r="J125" i="27"/>
  <c r="Q147" i="27"/>
  <c r="E32" i="27"/>
  <c r="Q31" i="27"/>
  <c r="K185" i="27"/>
  <c r="C274" i="27"/>
  <c r="D273" i="27"/>
  <c r="D272" i="27"/>
  <c r="D274" i="27" s="1"/>
  <c r="E273" i="27"/>
  <c r="Q268" i="13"/>
  <c r="R268" i="13"/>
  <c r="D297" i="13"/>
  <c r="P299" i="13"/>
  <c r="P329" i="13"/>
  <c r="O330" i="13"/>
  <c r="N327" i="13"/>
  <c r="U327" i="13" s="1"/>
  <c r="P327" i="13"/>
  <c r="N330" i="13"/>
  <c r="J327" i="13"/>
  <c r="P330" i="13"/>
  <c r="O327" i="13"/>
  <c r="M330" i="13"/>
  <c r="T330" i="13" s="1"/>
  <c r="K327" i="13"/>
  <c r="L327" i="13"/>
  <c r="O329" i="13"/>
  <c r="J330" i="13"/>
  <c r="K330" i="13"/>
  <c r="O300" i="13"/>
  <c r="N297" i="13"/>
  <c r="U297" i="13" s="1"/>
  <c r="L300" i="13"/>
  <c r="S300" i="13" s="1"/>
  <c r="O297" i="13"/>
  <c r="M300" i="13"/>
  <c r="P297" i="13"/>
  <c r="N300" i="13"/>
  <c r="J297" i="13"/>
  <c r="P300" i="13"/>
  <c r="K297" i="13"/>
  <c r="L297" i="13"/>
  <c r="O299" i="13"/>
  <c r="J300" i="13"/>
  <c r="I269" i="13"/>
  <c r="I270" i="13"/>
  <c r="I267" i="13"/>
  <c r="E330" i="13"/>
  <c r="D327" i="13"/>
  <c r="H330" i="13"/>
  <c r="E327" i="13"/>
  <c r="F327" i="13"/>
  <c r="G327" i="13"/>
  <c r="T327" i="13" s="1"/>
  <c r="D330" i="13"/>
  <c r="F330" i="13"/>
  <c r="S330" i="13" s="1"/>
  <c r="G300" i="13"/>
  <c r="H300" i="13"/>
  <c r="E297" i="13"/>
  <c r="F297" i="13"/>
  <c r="G297" i="13"/>
  <c r="T297" i="13" s="1"/>
  <c r="D300" i="13"/>
  <c r="E300" i="13"/>
  <c r="R300" i="13" s="1"/>
  <c r="C267" i="13"/>
  <c r="C269" i="13"/>
  <c r="C270" i="13"/>
  <c r="H270" i="13" s="1"/>
  <c r="N240" i="13"/>
  <c r="K240" i="13"/>
  <c r="L239" i="13"/>
  <c r="L237" i="13"/>
  <c r="N239" i="13"/>
  <c r="O237" i="13"/>
  <c r="J237" i="13"/>
  <c r="L240" i="13"/>
  <c r="O239" i="13"/>
  <c r="J239" i="13"/>
  <c r="M237" i="13"/>
  <c r="O240" i="13"/>
  <c r="J240" i="13"/>
  <c r="M239" i="13"/>
  <c r="K237" i="13"/>
  <c r="P239" i="13"/>
  <c r="P240" i="13"/>
  <c r="P237" i="13"/>
  <c r="P76" i="13"/>
  <c r="O73" i="13"/>
  <c r="P82" i="13"/>
  <c r="O85" i="13"/>
  <c r="P78" i="13"/>
  <c r="P85" i="13"/>
  <c r="P90" i="13"/>
  <c r="P91" i="13"/>
  <c r="O88" i="13"/>
  <c r="J83" i="13"/>
  <c r="O82" i="13"/>
  <c r="O78" i="13"/>
  <c r="O91" i="13"/>
  <c r="O76" i="13"/>
  <c r="P89" i="13"/>
  <c r="P86" i="13"/>
  <c r="O89" i="13"/>
  <c r="O86" i="13"/>
  <c r="O81" i="13"/>
  <c r="P77" i="13"/>
  <c r="O74" i="13"/>
  <c r="O79" i="13"/>
  <c r="O77" i="13"/>
  <c r="P88" i="13"/>
  <c r="P75" i="13"/>
  <c r="O84" i="13"/>
  <c r="P83" i="13"/>
  <c r="O80" i="13"/>
  <c r="O75" i="13"/>
  <c r="O72" i="13"/>
  <c r="P71" i="13"/>
  <c r="O83" i="13"/>
  <c r="O71" i="13"/>
  <c r="N83" i="13"/>
  <c r="P80" i="13"/>
  <c r="P72" i="13"/>
  <c r="M83" i="13"/>
  <c r="P84" i="13"/>
  <c r="L83" i="13"/>
  <c r="P81" i="13"/>
  <c r="P79" i="13"/>
  <c r="P74" i="13"/>
  <c r="P73" i="13"/>
  <c r="I92" i="13"/>
  <c r="C92" i="13"/>
  <c r="C94" i="13" s="1"/>
  <c r="O90" i="13"/>
  <c r="E275" i="27" l="1"/>
  <c r="D275" i="27"/>
  <c r="J155" i="27"/>
  <c r="K155" i="27"/>
  <c r="J275" i="27"/>
  <c r="E154" i="27"/>
  <c r="E155" i="27"/>
  <c r="E34" i="27"/>
  <c r="E35" i="27"/>
  <c r="K35" i="27"/>
  <c r="D154" i="27"/>
  <c r="D155" i="27"/>
  <c r="J35" i="27"/>
  <c r="K275" i="27"/>
  <c r="D35" i="27"/>
  <c r="Q297" i="13"/>
  <c r="U330" i="13"/>
  <c r="T300" i="13"/>
  <c r="S327" i="13"/>
  <c r="P270" i="13"/>
  <c r="R327" i="13"/>
  <c r="Q300" i="13"/>
  <c r="U300" i="13"/>
  <c r="S297" i="13"/>
  <c r="R330" i="13"/>
  <c r="Q330" i="13"/>
  <c r="R297" i="13"/>
  <c r="Q327" i="13"/>
  <c r="O270" i="13"/>
  <c r="J270" i="13"/>
  <c r="L267" i="13"/>
  <c r="P267" i="13"/>
  <c r="O267" i="13"/>
  <c r="K267" i="13"/>
  <c r="N267" i="13"/>
  <c r="M267" i="13"/>
  <c r="J267" i="13"/>
  <c r="L270" i="13"/>
  <c r="N270" i="13"/>
  <c r="U270" i="13" s="1"/>
  <c r="M270" i="13"/>
  <c r="K270" i="13"/>
  <c r="O269" i="13"/>
  <c r="P269" i="13"/>
  <c r="E270" i="13"/>
  <c r="F270" i="13"/>
  <c r="G270" i="13"/>
  <c r="D270" i="13"/>
  <c r="F267" i="13"/>
  <c r="E267" i="13"/>
  <c r="D267" i="13"/>
  <c r="H267" i="13"/>
  <c r="G267" i="13"/>
  <c r="C95" i="13"/>
  <c r="I95" i="13"/>
  <c r="I94" i="13"/>
  <c r="B10" i="12"/>
  <c r="S270" i="13" l="1"/>
  <c r="R270" i="13"/>
  <c r="R267" i="13"/>
  <c r="Q267" i="13"/>
  <c r="T267" i="13"/>
  <c r="U267" i="13"/>
  <c r="T270" i="13"/>
  <c r="S267" i="13"/>
  <c r="Q270" i="13"/>
  <c r="I210" i="13"/>
  <c r="C210" i="13"/>
  <c r="I209" i="13"/>
  <c r="C209" i="13"/>
  <c r="I207" i="13"/>
  <c r="C207" i="13"/>
  <c r="I180" i="13"/>
  <c r="C180" i="13"/>
  <c r="I179" i="13"/>
  <c r="C179" i="13"/>
  <c r="I177" i="13"/>
  <c r="C177" i="13"/>
  <c r="I120" i="13"/>
  <c r="C120" i="13"/>
  <c r="I118" i="13"/>
  <c r="C118" i="13"/>
  <c r="I117" i="13"/>
  <c r="I27" i="13" s="1"/>
  <c r="C117" i="13"/>
  <c r="C27" i="13" s="1"/>
  <c r="I60" i="13"/>
  <c r="I59" i="13"/>
  <c r="I29" i="13" s="1"/>
  <c r="I58" i="13"/>
  <c r="C59" i="13"/>
  <c r="C29" i="13" s="1"/>
  <c r="C60" i="13"/>
  <c r="C58" i="13"/>
  <c r="C28" i="13" s="1"/>
  <c r="C181" i="13"/>
  <c r="I181" i="13"/>
  <c r="I331" i="13"/>
  <c r="I326" i="13"/>
  <c r="I325" i="13"/>
  <c r="I324" i="13"/>
  <c r="N324" i="13" s="1"/>
  <c r="I323" i="13"/>
  <c r="M323" i="13" s="1"/>
  <c r="I322" i="13"/>
  <c r="I321" i="13"/>
  <c r="M321" i="13" s="1"/>
  <c r="I320" i="13"/>
  <c r="I319" i="13"/>
  <c r="M319" i="13" s="1"/>
  <c r="I318" i="13"/>
  <c r="I317" i="13"/>
  <c r="M317" i="13" s="1"/>
  <c r="I316" i="13"/>
  <c r="J316" i="13" s="1"/>
  <c r="I315" i="13"/>
  <c r="I314" i="13"/>
  <c r="I313" i="13"/>
  <c r="I312" i="13"/>
  <c r="I311" i="13"/>
  <c r="I301" i="13"/>
  <c r="I296" i="13"/>
  <c r="I295" i="13"/>
  <c r="I294" i="13"/>
  <c r="J294" i="13" s="1"/>
  <c r="I293" i="13"/>
  <c r="N293" i="13" s="1"/>
  <c r="I292" i="13"/>
  <c r="I291" i="13"/>
  <c r="N291" i="13" s="1"/>
  <c r="I290" i="13"/>
  <c r="M290" i="13" s="1"/>
  <c r="I289" i="13"/>
  <c r="N289" i="13" s="1"/>
  <c r="I288" i="13"/>
  <c r="I287" i="13"/>
  <c r="L287" i="13" s="1"/>
  <c r="I286" i="13"/>
  <c r="K286" i="13" s="1"/>
  <c r="I285" i="13"/>
  <c r="I284" i="13"/>
  <c r="I283" i="13"/>
  <c r="I282" i="13"/>
  <c r="I281" i="13"/>
  <c r="I241" i="13"/>
  <c r="L241" i="13" s="1"/>
  <c r="I236" i="13"/>
  <c r="N236" i="13" s="1"/>
  <c r="I235" i="13"/>
  <c r="N235" i="13" s="1"/>
  <c r="I234" i="13"/>
  <c r="J234" i="13" s="1"/>
  <c r="I233" i="13"/>
  <c r="K233" i="13" s="1"/>
  <c r="I232" i="13"/>
  <c r="I231" i="13"/>
  <c r="K231" i="13" s="1"/>
  <c r="I230" i="13"/>
  <c r="N230" i="13" s="1"/>
  <c r="I229" i="13"/>
  <c r="I228" i="13"/>
  <c r="J228" i="13" s="1"/>
  <c r="I227" i="13"/>
  <c r="I226" i="13"/>
  <c r="L226" i="13" s="1"/>
  <c r="I225" i="13"/>
  <c r="I223" i="13"/>
  <c r="N223" i="13" s="1"/>
  <c r="I222" i="13"/>
  <c r="J222" i="13" s="1"/>
  <c r="I211" i="13"/>
  <c r="I206" i="13"/>
  <c r="I205" i="13"/>
  <c r="I204" i="13"/>
  <c r="I203" i="13"/>
  <c r="N203" i="13" s="1"/>
  <c r="I202" i="13"/>
  <c r="I201" i="13"/>
  <c r="I200" i="13"/>
  <c r="I199" i="13"/>
  <c r="I198" i="13"/>
  <c r="I197" i="13"/>
  <c r="K197" i="13" s="1"/>
  <c r="I196" i="13"/>
  <c r="I195" i="13"/>
  <c r="I194" i="13"/>
  <c r="I193" i="13"/>
  <c r="I192" i="13"/>
  <c r="I191" i="13"/>
  <c r="I176" i="13"/>
  <c r="I175" i="13"/>
  <c r="I174" i="13"/>
  <c r="I173" i="13"/>
  <c r="N173" i="13" s="1"/>
  <c r="I172" i="13"/>
  <c r="I171" i="13"/>
  <c r="I170" i="13"/>
  <c r="I169" i="13"/>
  <c r="I168" i="13"/>
  <c r="I167" i="13"/>
  <c r="I166" i="13"/>
  <c r="I165" i="13"/>
  <c r="I164" i="13"/>
  <c r="I163" i="13"/>
  <c r="I162" i="13"/>
  <c r="I161" i="13"/>
  <c r="I121" i="13"/>
  <c r="I116" i="13"/>
  <c r="I115" i="13"/>
  <c r="I114" i="13"/>
  <c r="I113" i="13"/>
  <c r="L113" i="13" s="1"/>
  <c r="I112" i="13"/>
  <c r="I111" i="13"/>
  <c r="I110" i="13"/>
  <c r="I109" i="13"/>
  <c r="I108" i="13"/>
  <c r="I107" i="13"/>
  <c r="I106" i="13"/>
  <c r="I105" i="13"/>
  <c r="I104" i="13"/>
  <c r="I103" i="13"/>
  <c r="I102" i="13"/>
  <c r="I101" i="13"/>
  <c r="I61" i="13"/>
  <c r="I56" i="13"/>
  <c r="I55" i="13"/>
  <c r="I54" i="13"/>
  <c r="I53" i="13"/>
  <c r="K53" i="13" s="1"/>
  <c r="I52" i="13"/>
  <c r="I51" i="13"/>
  <c r="I50" i="13"/>
  <c r="I49" i="13"/>
  <c r="I48" i="13"/>
  <c r="I47" i="13"/>
  <c r="I46" i="13"/>
  <c r="I45" i="13"/>
  <c r="I44" i="13"/>
  <c r="I43" i="13"/>
  <c r="I42" i="13"/>
  <c r="I41" i="13"/>
  <c r="C331" i="13"/>
  <c r="C326" i="13"/>
  <c r="C325" i="13"/>
  <c r="C324" i="13"/>
  <c r="C323" i="13"/>
  <c r="C322" i="13"/>
  <c r="C321" i="13"/>
  <c r="C320" i="13"/>
  <c r="C319" i="13"/>
  <c r="C318" i="13"/>
  <c r="C317" i="13"/>
  <c r="C316" i="13"/>
  <c r="C315" i="13"/>
  <c r="C314" i="13"/>
  <c r="C313" i="13"/>
  <c r="C312" i="13"/>
  <c r="C311" i="13"/>
  <c r="C301" i="13"/>
  <c r="C296" i="13"/>
  <c r="C295" i="13"/>
  <c r="C294" i="13"/>
  <c r="C293" i="13"/>
  <c r="C292" i="13"/>
  <c r="C291" i="13"/>
  <c r="C290" i="13"/>
  <c r="C289" i="13"/>
  <c r="C288" i="13"/>
  <c r="C287" i="13"/>
  <c r="C286" i="13"/>
  <c r="C285" i="13"/>
  <c r="C284" i="13"/>
  <c r="C283" i="13"/>
  <c r="C282" i="13"/>
  <c r="C281" i="13"/>
  <c r="C241" i="13"/>
  <c r="C236" i="13"/>
  <c r="C235" i="13"/>
  <c r="C234" i="13"/>
  <c r="C233" i="13"/>
  <c r="C232" i="13"/>
  <c r="C231" i="13"/>
  <c r="C230" i="13"/>
  <c r="C229" i="13"/>
  <c r="C228" i="13"/>
  <c r="C227" i="13"/>
  <c r="C226" i="13"/>
  <c r="C225" i="13"/>
  <c r="C223" i="13"/>
  <c r="C222" i="13"/>
  <c r="C221" i="13"/>
  <c r="C211" i="13"/>
  <c r="C206" i="13"/>
  <c r="C205" i="13"/>
  <c r="C204" i="13"/>
  <c r="C203" i="13"/>
  <c r="C202" i="13"/>
  <c r="C201" i="13"/>
  <c r="C200" i="13"/>
  <c r="C199" i="13"/>
  <c r="C198" i="13"/>
  <c r="C197" i="13"/>
  <c r="C196" i="13"/>
  <c r="C195" i="13"/>
  <c r="C194" i="13"/>
  <c r="C193" i="13"/>
  <c r="C192" i="13"/>
  <c r="C176" i="13"/>
  <c r="C175" i="13"/>
  <c r="C174" i="13"/>
  <c r="C173" i="13"/>
  <c r="C172" i="13"/>
  <c r="C171" i="13"/>
  <c r="C170" i="13"/>
  <c r="C169" i="13"/>
  <c r="C168" i="13"/>
  <c r="C167" i="13"/>
  <c r="C166" i="13"/>
  <c r="C165" i="13"/>
  <c r="C164" i="13"/>
  <c r="C163" i="13"/>
  <c r="C162" i="13"/>
  <c r="C161" i="13"/>
  <c r="C121" i="13"/>
  <c r="C116" i="13"/>
  <c r="C115" i="13"/>
  <c r="C114" i="13"/>
  <c r="C113" i="13"/>
  <c r="C112" i="13"/>
  <c r="C111" i="13"/>
  <c r="C110" i="13"/>
  <c r="C109" i="13"/>
  <c r="C108" i="13"/>
  <c r="C107" i="13"/>
  <c r="C106" i="13"/>
  <c r="C105" i="13"/>
  <c r="C104" i="13"/>
  <c r="C103" i="13"/>
  <c r="C102" i="13"/>
  <c r="C101" i="13"/>
  <c r="C61" i="13"/>
  <c r="C56" i="13"/>
  <c r="C55" i="13"/>
  <c r="C54" i="13"/>
  <c r="C53" i="13"/>
  <c r="C52" i="13"/>
  <c r="C51" i="13"/>
  <c r="C50" i="13"/>
  <c r="D50" i="13" s="1"/>
  <c r="C49" i="13"/>
  <c r="C48" i="13"/>
  <c r="C47" i="13"/>
  <c r="C46" i="13"/>
  <c r="C45" i="13"/>
  <c r="C44" i="13"/>
  <c r="C43" i="13"/>
  <c r="C42" i="13"/>
  <c r="C41" i="13"/>
  <c r="M83" i="12"/>
  <c r="H83" i="12"/>
  <c r="M54" i="12"/>
  <c r="H54" i="12"/>
  <c r="R25" i="12"/>
  <c r="M25" i="12"/>
  <c r="H25" i="12"/>
  <c r="L83" i="12"/>
  <c r="G83" i="12"/>
  <c r="G102" i="12" s="1"/>
  <c r="Q54" i="12"/>
  <c r="L54" i="12"/>
  <c r="G54" i="12"/>
  <c r="G73" i="12" s="1"/>
  <c r="Q25" i="12"/>
  <c r="Q32" i="12" s="1"/>
  <c r="L25" i="12"/>
  <c r="L30" i="12" s="1"/>
  <c r="G25" i="12"/>
  <c r="B181" i="25"/>
  <c r="F21" i="25" s="1"/>
  <c r="B180" i="25"/>
  <c r="F17" i="25" s="1"/>
  <c r="B179" i="25"/>
  <c r="F24" i="25" s="1"/>
  <c r="B178" i="25"/>
  <c r="F20" i="25" s="1"/>
  <c r="B177" i="25"/>
  <c r="F23" i="25" s="1"/>
  <c r="B176" i="25"/>
  <c r="F19" i="25" s="1"/>
  <c r="B175" i="25"/>
  <c r="B174" i="25"/>
  <c r="B173" i="25"/>
  <c r="B172" i="25"/>
  <c r="B171" i="25"/>
  <c r="D165" i="25"/>
  <c r="F33" i="25" s="1"/>
  <c r="B165" i="25"/>
  <c r="M33" i="25" s="1"/>
  <c r="D164" i="25"/>
  <c r="F32" i="25" s="1"/>
  <c r="B164" i="25"/>
  <c r="M32" i="25" s="1"/>
  <c r="D163" i="25"/>
  <c r="F31" i="25" s="1"/>
  <c r="B163" i="25"/>
  <c r="M31" i="25" s="1"/>
  <c r="T157" i="25"/>
  <c r="R157" i="25"/>
  <c r="P157" i="25"/>
  <c r="N157" i="25"/>
  <c r="L157" i="25"/>
  <c r="J157" i="25"/>
  <c r="H157" i="25"/>
  <c r="F157" i="25"/>
  <c r="D157" i="25"/>
  <c r="B157" i="25"/>
  <c r="T156" i="25"/>
  <c r="R156" i="25"/>
  <c r="P156" i="25"/>
  <c r="N156" i="25"/>
  <c r="L156" i="25"/>
  <c r="J156" i="25"/>
  <c r="H156" i="25"/>
  <c r="F156" i="25"/>
  <c r="D156" i="25"/>
  <c r="B156" i="25"/>
  <c r="T155" i="25"/>
  <c r="R155" i="25"/>
  <c r="P155" i="25"/>
  <c r="N155" i="25"/>
  <c r="L155" i="25"/>
  <c r="J155" i="25"/>
  <c r="H155" i="25"/>
  <c r="F155" i="25"/>
  <c r="D155" i="25"/>
  <c r="B155" i="25"/>
  <c r="T154" i="25"/>
  <c r="R154" i="25"/>
  <c r="P154" i="25"/>
  <c r="N154" i="25"/>
  <c r="L154" i="25"/>
  <c r="J154" i="25"/>
  <c r="H154" i="25"/>
  <c r="F154" i="25"/>
  <c r="D154" i="25"/>
  <c r="B154" i="25"/>
  <c r="T153" i="25"/>
  <c r="R153" i="25"/>
  <c r="P153" i="25"/>
  <c r="N153" i="25"/>
  <c r="L153" i="25"/>
  <c r="J153" i="25"/>
  <c r="H153" i="25"/>
  <c r="F153" i="25"/>
  <c r="D153" i="25"/>
  <c r="B153" i="25"/>
  <c r="T152" i="25"/>
  <c r="R152" i="25"/>
  <c r="P152" i="25"/>
  <c r="N152" i="25"/>
  <c r="L152" i="25"/>
  <c r="J152" i="25"/>
  <c r="H152" i="25"/>
  <c r="F152" i="25"/>
  <c r="D152" i="25"/>
  <c r="B152" i="25"/>
  <c r="T151" i="25"/>
  <c r="R151" i="25"/>
  <c r="P151" i="25"/>
  <c r="N151" i="25"/>
  <c r="L151" i="25"/>
  <c r="J151" i="25"/>
  <c r="H151" i="25"/>
  <c r="F151" i="25"/>
  <c r="D151" i="25"/>
  <c r="B151" i="25"/>
  <c r="T150" i="25"/>
  <c r="R150" i="25"/>
  <c r="P150" i="25"/>
  <c r="N150" i="25"/>
  <c r="L150" i="25"/>
  <c r="J150" i="25"/>
  <c r="H150" i="25"/>
  <c r="F150" i="25"/>
  <c r="D150" i="25"/>
  <c r="B150" i="25"/>
  <c r="T144" i="25"/>
  <c r="R144" i="25"/>
  <c r="P144" i="25"/>
  <c r="N144" i="25"/>
  <c r="L144" i="25"/>
  <c r="J144" i="25"/>
  <c r="H144" i="25"/>
  <c r="F144" i="25"/>
  <c r="D144" i="25"/>
  <c r="B144" i="25"/>
  <c r="T143" i="25"/>
  <c r="R143" i="25"/>
  <c r="P143" i="25"/>
  <c r="N143" i="25"/>
  <c r="L143" i="25"/>
  <c r="J143" i="25"/>
  <c r="H143" i="25"/>
  <c r="F143" i="25"/>
  <c r="D143" i="25"/>
  <c r="B143" i="25"/>
  <c r="T142" i="25"/>
  <c r="R142" i="25"/>
  <c r="P142" i="25"/>
  <c r="N142" i="25"/>
  <c r="L142" i="25"/>
  <c r="J142" i="25"/>
  <c r="H142" i="25"/>
  <c r="F142" i="25"/>
  <c r="D142" i="25"/>
  <c r="B142" i="25"/>
  <c r="T141" i="25"/>
  <c r="R141" i="25"/>
  <c r="P141" i="25"/>
  <c r="N141" i="25"/>
  <c r="L141" i="25"/>
  <c r="J141" i="25"/>
  <c r="H141" i="25"/>
  <c r="F141" i="25"/>
  <c r="D141" i="25"/>
  <c r="B141" i="25"/>
  <c r="T140" i="25"/>
  <c r="R140" i="25"/>
  <c r="P140" i="25"/>
  <c r="N140" i="25"/>
  <c r="L140" i="25"/>
  <c r="J140" i="25"/>
  <c r="H140" i="25"/>
  <c r="F140" i="25"/>
  <c r="D140" i="25"/>
  <c r="B140" i="25"/>
  <c r="T139" i="25"/>
  <c r="R139" i="25"/>
  <c r="P139" i="25"/>
  <c r="N139" i="25"/>
  <c r="L139" i="25"/>
  <c r="J139" i="25"/>
  <c r="H139" i="25"/>
  <c r="F139" i="25"/>
  <c r="D139" i="25"/>
  <c r="B139" i="25"/>
  <c r="T138" i="25"/>
  <c r="R138" i="25"/>
  <c r="P138" i="25"/>
  <c r="N138" i="25"/>
  <c r="L138" i="25"/>
  <c r="J138" i="25"/>
  <c r="H138" i="25"/>
  <c r="F138" i="25"/>
  <c r="D138" i="25"/>
  <c r="B138" i="25"/>
  <c r="T137" i="25"/>
  <c r="R137" i="25"/>
  <c r="P137" i="25"/>
  <c r="N137" i="25"/>
  <c r="L137" i="25"/>
  <c r="J137" i="25"/>
  <c r="H137" i="25"/>
  <c r="F137" i="25"/>
  <c r="D137" i="25"/>
  <c r="B137" i="25"/>
  <c r="N131" i="25"/>
  <c r="G195" i="25" s="1"/>
  <c r="L131" i="25"/>
  <c r="J131" i="25"/>
  <c r="H131" i="25"/>
  <c r="F131" i="25"/>
  <c r="G48" i="25" s="1"/>
  <c r="D131" i="25"/>
  <c r="K195" i="25" s="1"/>
  <c r="B131" i="25"/>
  <c r="C195" i="25" s="1"/>
  <c r="N130" i="25"/>
  <c r="G194" i="25" s="1"/>
  <c r="L130" i="25"/>
  <c r="J130" i="25"/>
  <c r="H130" i="25"/>
  <c r="F130" i="25"/>
  <c r="G47" i="25" s="1"/>
  <c r="D130" i="25"/>
  <c r="K194" i="25" s="1"/>
  <c r="B130" i="25"/>
  <c r="C194" i="25" s="1"/>
  <c r="N129" i="25"/>
  <c r="G193" i="25" s="1"/>
  <c r="L129" i="25"/>
  <c r="J129" i="25"/>
  <c r="H129" i="25"/>
  <c r="F129" i="25"/>
  <c r="G46" i="25" s="1"/>
  <c r="D129" i="25"/>
  <c r="K193" i="25" s="1"/>
  <c r="B129" i="25"/>
  <c r="N128" i="25"/>
  <c r="G192" i="25" s="1"/>
  <c r="L128" i="25"/>
  <c r="J128" i="25"/>
  <c r="H128" i="25"/>
  <c r="F128" i="25"/>
  <c r="G45" i="25" s="1"/>
  <c r="D128" i="25"/>
  <c r="K192" i="25" s="1"/>
  <c r="B128" i="25"/>
  <c r="C192" i="25" s="1"/>
  <c r="N127" i="25"/>
  <c r="G191" i="25" s="1"/>
  <c r="L127" i="25"/>
  <c r="J127" i="25"/>
  <c r="H127" i="25"/>
  <c r="F127" i="25"/>
  <c r="G44" i="25" s="1"/>
  <c r="D127" i="25"/>
  <c r="K191" i="25" s="1"/>
  <c r="B127" i="25"/>
  <c r="C191" i="25" s="1"/>
  <c r="N126" i="25"/>
  <c r="G190" i="25" s="1"/>
  <c r="L126" i="25"/>
  <c r="J126" i="25"/>
  <c r="H126" i="25"/>
  <c r="F126" i="25"/>
  <c r="G43" i="25" s="1"/>
  <c r="D126" i="25"/>
  <c r="K190" i="25" s="1"/>
  <c r="B126" i="25"/>
  <c r="N125" i="25"/>
  <c r="G189" i="25" s="1"/>
  <c r="L125" i="25"/>
  <c r="J125" i="25"/>
  <c r="H125" i="25"/>
  <c r="F125" i="25"/>
  <c r="G42" i="25" s="1"/>
  <c r="D125" i="25"/>
  <c r="K189" i="25" s="1"/>
  <c r="B125" i="25"/>
  <c r="C23" i="25" s="1"/>
  <c r="N124" i="25"/>
  <c r="G188" i="25" s="1"/>
  <c r="L124" i="25"/>
  <c r="J124" i="25"/>
  <c r="H124" i="25"/>
  <c r="F124" i="25"/>
  <c r="G41" i="25" s="1"/>
  <c r="D124" i="25"/>
  <c r="K188" i="25" s="1"/>
  <c r="B124" i="25"/>
  <c r="P118" i="25"/>
  <c r="F195" i="25" s="1"/>
  <c r="N118" i="25"/>
  <c r="L118" i="25"/>
  <c r="H48" i="25" s="1"/>
  <c r="J118" i="25"/>
  <c r="H118" i="25"/>
  <c r="F118" i="25"/>
  <c r="F48" i="25" s="1"/>
  <c r="D118" i="25"/>
  <c r="C48" i="25" s="1"/>
  <c r="B118" i="25"/>
  <c r="F63" i="25" s="1"/>
  <c r="P117" i="25"/>
  <c r="F194" i="25" s="1"/>
  <c r="D117" i="25"/>
  <c r="J194" i="25" s="1"/>
  <c r="B117" i="25"/>
  <c r="P116" i="25"/>
  <c r="F193" i="25" s="1"/>
  <c r="D116" i="25"/>
  <c r="B116" i="25"/>
  <c r="P115" i="25"/>
  <c r="F192" i="25" s="1"/>
  <c r="D115" i="25"/>
  <c r="J192" i="25" s="1"/>
  <c r="B115" i="25"/>
  <c r="P114" i="25"/>
  <c r="F191" i="25" s="1"/>
  <c r="D114" i="25"/>
  <c r="J191" i="25" s="1"/>
  <c r="B114" i="25"/>
  <c r="P113" i="25"/>
  <c r="F190" i="25" s="1"/>
  <c r="D113" i="25"/>
  <c r="J190" i="25" s="1"/>
  <c r="B113" i="25"/>
  <c r="F58" i="25" s="1"/>
  <c r="P112" i="25"/>
  <c r="F189" i="25" s="1"/>
  <c r="D112" i="25"/>
  <c r="J189" i="25" s="1"/>
  <c r="B112" i="25"/>
  <c r="P111" i="25"/>
  <c r="F188" i="25" s="1"/>
  <c r="D111" i="25"/>
  <c r="J188" i="25" s="1"/>
  <c r="B111" i="25"/>
  <c r="I56" i="25" s="1"/>
  <c r="C181" i="25"/>
  <c r="M21" i="25" s="1"/>
  <c r="C180" i="25"/>
  <c r="M17" i="25" s="1"/>
  <c r="C179" i="25"/>
  <c r="M24" i="25" s="1"/>
  <c r="C178" i="25"/>
  <c r="M20" i="25" s="1"/>
  <c r="C177" i="25"/>
  <c r="M23" i="25" s="1"/>
  <c r="C176" i="25"/>
  <c r="M19" i="25" s="1"/>
  <c r="C175" i="25"/>
  <c r="C174" i="25"/>
  <c r="C173" i="25"/>
  <c r="C172" i="25"/>
  <c r="C171" i="25"/>
  <c r="E165" i="25"/>
  <c r="T33" i="25" s="1"/>
  <c r="C165" i="25"/>
  <c r="AA33" i="25" s="1"/>
  <c r="E164" i="25"/>
  <c r="T32" i="25" s="1"/>
  <c r="C164" i="25"/>
  <c r="AA32" i="25" s="1"/>
  <c r="E163" i="25"/>
  <c r="T31" i="25" s="1"/>
  <c r="C163" i="25"/>
  <c r="AA31" i="25" s="1"/>
  <c r="U157" i="25"/>
  <c r="S157" i="25"/>
  <c r="Q157" i="25"/>
  <c r="O157" i="25"/>
  <c r="M157" i="25"/>
  <c r="K157" i="25"/>
  <c r="I157" i="25"/>
  <c r="G157" i="25"/>
  <c r="E157" i="25"/>
  <c r="C157" i="25"/>
  <c r="U156" i="25"/>
  <c r="S156" i="25"/>
  <c r="Q156" i="25"/>
  <c r="O156" i="25"/>
  <c r="M156" i="25"/>
  <c r="K156" i="25"/>
  <c r="I156" i="25"/>
  <c r="G156" i="25"/>
  <c r="E156" i="25"/>
  <c r="C156" i="25"/>
  <c r="U155" i="25"/>
  <c r="S155" i="25"/>
  <c r="Q155" i="25"/>
  <c r="O155" i="25"/>
  <c r="M155" i="25"/>
  <c r="K155" i="25"/>
  <c r="I155" i="25"/>
  <c r="G155" i="25"/>
  <c r="E155" i="25"/>
  <c r="C155" i="25"/>
  <c r="U154" i="25"/>
  <c r="S154" i="25"/>
  <c r="Q154" i="25"/>
  <c r="O154" i="25"/>
  <c r="M154" i="25"/>
  <c r="K154" i="25"/>
  <c r="I154" i="25"/>
  <c r="G154" i="25"/>
  <c r="E154" i="25"/>
  <c r="C154" i="25"/>
  <c r="U153" i="25"/>
  <c r="S153" i="25"/>
  <c r="Q153" i="25"/>
  <c r="O153" i="25"/>
  <c r="M153" i="25"/>
  <c r="K153" i="25"/>
  <c r="I153" i="25"/>
  <c r="G153" i="25"/>
  <c r="E153" i="25"/>
  <c r="C153" i="25"/>
  <c r="U152" i="25"/>
  <c r="S152" i="25"/>
  <c r="Q152" i="25"/>
  <c r="O152" i="25"/>
  <c r="M152" i="25"/>
  <c r="K152" i="25"/>
  <c r="I152" i="25"/>
  <c r="G152" i="25"/>
  <c r="E152" i="25"/>
  <c r="C152" i="25"/>
  <c r="U151" i="25"/>
  <c r="S151" i="25"/>
  <c r="Q151" i="25"/>
  <c r="O151" i="25"/>
  <c r="M151" i="25"/>
  <c r="K151" i="25"/>
  <c r="I151" i="25"/>
  <c r="G151" i="25"/>
  <c r="E151" i="25"/>
  <c r="C151" i="25"/>
  <c r="U150" i="25"/>
  <c r="S150" i="25"/>
  <c r="Q150" i="25"/>
  <c r="O150" i="25"/>
  <c r="M150" i="25"/>
  <c r="K150" i="25"/>
  <c r="I150" i="25"/>
  <c r="G150" i="25"/>
  <c r="E150" i="25"/>
  <c r="C150" i="25"/>
  <c r="U144" i="25"/>
  <c r="S144" i="25"/>
  <c r="Q144" i="25"/>
  <c r="O144" i="25"/>
  <c r="M144" i="25"/>
  <c r="K144" i="25"/>
  <c r="I144" i="25"/>
  <c r="G144" i="25"/>
  <c r="E144" i="25"/>
  <c r="C144" i="25"/>
  <c r="U143" i="25"/>
  <c r="S143" i="25"/>
  <c r="Q143" i="25"/>
  <c r="O143" i="25"/>
  <c r="M143" i="25"/>
  <c r="K143" i="25"/>
  <c r="I143" i="25"/>
  <c r="G143" i="25"/>
  <c r="E143" i="25"/>
  <c r="C143" i="25"/>
  <c r="U142" i="25"/>
  <c r="S142" i="25"/>
  <c r="Q142" i="25"/>
  <c r="O142" i="25"/>
  <c r="M142" i="25"/>
  <c r="K142" i="25"/>
  <c r="I142" i="25"/>
  <c r="G142" i="25"/>
  <c r="E142" i="25"/>
  <c r="C142" i="25"/>
  <c r="U141" i="25"/>
  <c r="S141" i="25"/>
  <c r="Q141" i="25"/>
  <c r="O141" i="25"/>
  <c r="M141" i="25"/>
  <c r="K141" i="25"/>
  <c r="I141" i="25"/>
  <c r="G141" i="25"/>
  <c r="E141" i="25"/>
  <c r="C141" i="25"/>
  <c r="U140" i="25"/>
  <c r="S140" i="25"/>
  <c r="Q140" i="25"/>
  <c r="O140" i="25"/>
  <c r="M140" i="25"/>
  <c r="K140" i="25"/>
  <c r="I140" i="25"/>
  <c r="G140" i="25"/>
  <c r="E140" i="25"/>
  <c r="C140" i="25"/>
  <c r="U139" i="25"/>
  <c r="S139" i="25"/>
  <c r="Q139" i="25"/>
  <c r="O139" i="25"/>
  <c r="M139" i="25"/>
  <c r="K139" i="25"/>
  <c r="I139" i="25"/>
  <c r="G139" i="25"/>
  <c r="E139" i="25"/>
  <c r="C139" i="25"/>
  <c r="U138" i="25"/>
  <c r="S138" i="25"/>
  <c r="Q138" i="25"/>
  <c r="O138" i="25"/>
  <c r="M138" i="25"/>
  <c r="K138" i="25"/>
  <c r="I138" i="25"/>
  <c r="G138" i="25"/>
  <c r="E138" i="25"/>
  <c r="C138" i="25"/>
  <c r="U137" i="25"/>
  <c r="S137" i="25"/>
  <c r="Q137" i="25"/>
  <c r="O137" i="25"/>
  <c r="M137" i="25"/>
  <c r="K137" i="25"/>
  <c r="I137" i="25"/>
  <c r="G137" i="25"/>
  <c r="E137" i="25"/>
  <c r="C137" i="25"/>
  <c r="O131" i="25"/>
  <c r="S195" i="25" s="1"/>
  <c r="M131" i="25"/>
  <c r="K131" i="25"/>
  <c r="I131" i="25"/>
  <c r="G131" i="25"/>
  <c r="P48" i="25" s="1"/>
  <c r="E131" i="25"/>
  <c r="W195" i="25" s="1"/>
  <c r="C131" i="25"/>
  <c r="J21" i="25" s="1"/>
  <c r="O130" i="25"/>
  <c r="S194" i="25" s="1"/>
  <c r="M130" i="25"/>
  <c r="K130" i="25"/>
  <c r="I130" i="25"/>
  <c r="G130" i="25"/>
  <c r="P47" i="25" s="1"/>
  <c r="E130" i="25"/>
  <c r="W194" i="25" s="1"/>
  <c r="C130" i="25"/>
  <c r="O194" i="25" s="1"/>
  <c r="O129" i="25"/>
  <c r="S193" i="25" s="1"/>
  <c r="M129" i="25"/>
  <c r="K129" i="25"/>
  <c r="I129" i="25"/>
  <c r="G129" i="25"/>
  <c r="P46" i="25" s="1"/>
  <c r="E129" i="25"/>
  <c r="W193" i="25" s="1"/>
  <c r="C129" i="25"/>
  <c r="O193" i="25" s="1"/>
  <c r="O128" i="25"/>
  <c r="S192" i="25" s="1"/>
  <c r="M128" i="25"/>
  <c r="K128" i="25"/>
  <c r="I128" i="25"/>
  <c r="G128" i="25"/>
  <c r="P45" i="25" s="1"/>
  <c r="E128" i="25"/>
  <c r="W192" i="25" s="1"/>
  <c r="C128" i="25"/>
  <c r="O192" i="25" s="1"/>
  <c r="O127" i="25"/>
  <c r="S191" i="25" s="1"/>
  <c r="M127" i="25"/>
  <c r="K127" i="25"/>
  <c r="I127" i="25"/>
  <c r="G127" i="25"/>
  <c r="P44" i="25" s="1"/>
  <c r="E127" i="25"/>
  <c r="W191" i="25" s="1"/>
  <c r="C127" i="25"/>
  <c r="O191" i="25" s="1"/>
  <c r="O126" i="25"/>
  <c r="S190" i="25" s="1"/>
  <c r="M126" i="25"/>
  <c r="K126" i="25"/>
  <c r="I126" i="25"/>
  <c r="G126" i="25"/>
  <c r="P43" i="25" s="1"/>
  <c r="E126" i="25"/>
  <c r="W190" i="25" s="1"/>
  <c r="C126" i="25"/>
  <c r="O190" i="25" s="1"/>
  <c r="O125" i="25"/>
  <c r="S189" i="25" s="1"/>
  <c r="M125" i="25"/>
  <c r="K125" i="25"/>
  <c r="I125" i="25"/>
  <c r="G125" i="25"/>
  <c r="P42" i="25" s="1"/>
  <c r="E125" i="25"/>
  <c r="W189" i="25" s="1"/>
  <c r="C125" i="25"/>
  <c r="D86" i="25" s="1"/>
  <c r="O124" i="25"/>
  <c r="S188" i="25" s="1"/>
  <c r="M124" i="25"/>
  <c r="K124" i="25"/>
  <c r="I124" i="25"/>
  <c r="G124" i="25"/>
  <c r="P41" i="25" s="1"/>
  <c r="E124" i="25"/>
  <c r="W188" i="25" s="1"/>
  <c r="C124" i="25"/>
  <c r="Q118" i="25"/>
  <c r="R195" i="25" s="1"/>
  <c r="E118" i="25"/>
  <c r="C118" i="25"/>
  <c r="Q117" i="25"/>
  <c r="R194" i="25" s="1"/>
  <c r="E117" i="25"/>
  <c r="V194" i="25" s="1"/>
  <c r="C117" i="25"/>
  <c r="Q116" i="25"/>
  <c r="R193" i="25" s="1"/>
  <c r="E116" i="25"/>
  <c r="L46" i="25" s="1"/>
  <c r="C116" i="25"/>
  <c r="Q115" i="25"/>
  <c r="R192" i="25" s="1"/>
  <c r="E115" i="25"/>
  <c r="L45" i="25" s="1"/>
  <c r="C115" i="25"/>
  <c r="Q60" i="25" s="1"/>
  <c r="Q114" i="25"/>
  <c r="R191" i="25" s="1"/>
  <c r="E114" i="25"/>
  <c r="V191" i="25" s="1"/>
  <c r="C114" i="25"/>
  <c r="M59" i="25" s="1"/>
  <c r="Q113" i="25"/>
  <c r="R190" i="25" s="1"/>
  <c r="E113" i="25"/>
  <c r="V190" i="25" s="1"/>
  <c r="C113" i="25"/>
  <c r="K43" i="25" s="1"/>
  <c r="Q112" i="25"/>
  <c r="R189" i="25" s="1"/>
  <c r="E112" i="25"/>
  <c r="V189" i="25" s="1"/>
  <c r="C112" i="25"/>
  <c r="R57" i="25" s="1"/>
  <c r="Q111" i="25"/>
  <c r="R188" i="25" s="1"/>
  <c r="E111" i="25"/>
  <c r="C111" i="25"/>
  <c r="P56" i="25" s="1"/>
  <c r="A201" i="25"/>
  <c r="B8" i="25"/>
  <c r="C8" i="25" s="1" a="1"/>
  <c r="C8" i="25" s="1"/>
  <c r="D8" i="25" s="1"/>
  <c r="A8" i="25"/>
  <c r="E60" i="19"/>
  <c r="C59" i="25" l="1"/>
  <c r="D59" i="25"/>
  <c r="H62" i="25"/>
  <c r="I24" i="25"/>
  <c r="S61" i="25"/>
  <c r="P62" i="25"/>
  <c r="E60" i="25"/>
  <c r="I60" i="25"/>
  <c r="D61" i="25"/>
  <c r="H61" i="25"/>
  <c r="F61" i="25"/>
  <c r="B61" i="25"/>
  <c r="Y151" i="25"/>
  <c r="B85" i="25"/>
  <c r="Y155" i="25"/>
  <c r="Y139" i="25"/>
  <c r="X144" i="25"/>
  <c r="I100" i="25"/>
  <c r="S100" i="25"/>
  <c r="C96" i="25"/>
  <c r="E98" i="25"/>
  <c r="U96" i="25"/>
  <c r="O99" i="25"/>
  <c r="Y157" i="25"/>
  <c r="C97" i="25"/>
  <c r="G99" i="25"/>
  <c r="K101" i="25"/>
  <c r="Q100" i="25"/>
  <c r="X155" i="25"/>
  <c r="E73" i="25"/>
  <c r="G73" i="25" s="1"/>
  <c r="L75" i="26"/>
  <c r="N75" i="26" s="1"/>
  <c r="L66" i="26"/>
  <c r="N66" i="26" s="1"/>
  <c r="L55" i="26"/>
  <c r="N55" i="26" s="1"/>
  <c r="L74" i="26"/>
  <c r="N74" i="26" s="1"/>
  <c r="L65" i="26"/>
  <c r="N65" i="26" s="1"/>
  <c r="L73" i="26"/>
  <c r="N73" i="26" s="1"/>
  <c r="L61" i="26"/>
  <c r="N61" i="26" s="1"/>
  <c r="L72" i="26"/>
  <c r="N72" i="26" s="1"/>
  <c r="L60" i="26"/>
  <c r="N60" i="26" s="1"/>
  <c r="L71" i="26"/>
  <c r="N71" i="26" s="1"/>
  <c r="L59" i="26"/>
  <c r="N59" i="26" s="1"/>
  <c r="L70" i="26"/>
  <c r="N70" i="26" s="1"/>
  <c r="L58" i="26"/>
  <c r="N58" i="26" s="1"/>
  <c r="L69" i="26"/>
  <c r="N69" i="26" s="1"/>
  <c r="L57" i="26"/>
  <c r="N57" i="26" s="1"/>
  <c r="M70" i="12"/>
  <c r="L68" i="26"/>
  <c r="N68" i="26" s="1"/>
  <c r="L56" i="26"/>
  <c r="N56" i="26" s="1"/>
  <c r="G70" i="26"/>
  <c r="I70" i="26" s="1"/>
  <c r="G58" i="26"/>
  <c r="I58" i="26" s="1"/>
  <c r="G69" i="26"/>
  <c r="I69" i="26" s="1"/>
  <c r="G57" i="26"/>
  <c r="I57" i="26" s="1"/>
  <c r="G68" i="26"/>
  <c r="I68" i="26" s="1"/>
  <c r="G56" i="26"/>
  <c r="I56" i="26" s="1"/>
  <c r="H65" i="12"/>
  <c r="G66" i="26"/>
  <c r="I66" i="26" s="1"/>
  <c r="G55" i="26"/>
  <c r="I55" i="26" s="1"/>
  <c r="G74" i="26"/>
  <c r="I74" i="26" s="1"/>
  <c r="G65" i="26"/>
  <c r="I65" i="26" s="1"/>
  <c r="G73" i="26"/>
  <c r="I73" i="26" s="1"/>
  <c r="G61" i="26"/>
  <c r="I61" i="26" s="1"/>
  <c r="G72" i="26"/>
  <c r="I72" i="26" s="1"/>
  <c r="G60" i="26"/>
  <c r="I60" i="26" s="1"/>
  <c r="G71" i="26"/>
  <c r="I71" i="26" s="1"/>
  <c r="G59" i="26"/>
  <c r="I59" i="26" s="1"/>
  <c r="G75" i="26"/>
  <c r="I75" i="26" s="1"/>
  <c r="S54" i="12"/>
  <c r="Q57" i="12"/>
  <c r="G97" i="26"/>
  <c r="I97" i="26" s="1"/>
  <c r="G85" i="26"/>
  <c r="I85" i="26" s="1"/>
  <c r="G95" i="26"/>
  <c r="I95" i="26" s="1"/>
  <c r="G84" i="26"/>
  <c r="I84" i="26" s="1"/>
  <c r="G103" i="26"/>
  <c r="I103" i="26" s="1"/>
  <c r="G94" i="26"/>
  <c r="I94" i="26" s="1"/>
  <c r="G102" i="26"/>
  <c r="I102" i="26" s="1"/>
  <c r="G90" i="26"/>
  <c r="I90" i="26" s="1"/>
  <c r="G101" i="26"/>
  <c r="I101" i="26" s="1"/>
  <c r="G89" i="26"/>
  <c r="I89" i="26" s="1"/>
  <c r="G100" i="26"/>
  <c r="I100" i="26" s="1"/>
  <c r="G88" i="26"/>
  <c r="I88" i="26" s="1"/>
  <c r="G99" i="26"/>
  <c r="I99" i="26" s="1"/>
  <c r="G87" i="26"/>
  <c r="I87" i="26" s="1"/>
  <c r="G98" i="26"/>
  <c r="I98" i="26" s="1"/>
  <c r="G86" i="26"/>
  <c r="I86" i="26" s="1"/>
  <c r="G104" i="26"/>
  <c r="I104" i="26" s="1"/>
  <c r="L103" i="26"/>
  <c r="N103" i="26" s="1"/>
  <c r="L94" i="26"/>
  <c r="N94" i="26" s="1"/>
  <c r="L102" i="26"/>
  <c r="N102" i="26" s="1"/>
  <c r="L90" i="26"/>
  <c r="N90" i="26" s="1"/>
  <c r="L101" i="26"/>
  <c r="N101" i="26" s="1"/>
  <c r="L89" i="26"/>
  <c r="N89" i="26" s="1"/>
  <c r="L100" i="26"/>
  <c r="N100" i="26" s="1"/>
  <c r="L88" i="26"/>
  <c r="N88" i="26" s="1"/>
  <c r="L99" i="26"/>
  <c r="N99" i="26" s="1"/>
  <c r="L87" i="26"/>
  <c r="N87" i="26" s="1"/>
  <c r="L98" i="26"/>
  <c r="N98" i="26" s="1"/>
  <c r="L86" i="26"/>
  <c r="N86" i="26" s="1"/>
  <c r="L97" i="26"/>
  <c r="N97" i="26" s="1"/>
  <c r="L85" i="26"/>
  <c r="N85" i="26" s="1"/>
  <c r="L104" i="26"/>
  <c r="N104" i="26" s="1"/>
  <c r="L95" i="26"/>
  <c r="N95" i="26" s="1"/>
  <c r="L84" i="26"/>
  <c r="N84" i="26" s="1"/>
  <c r="S25" i="12"/>
  <c r="Q41" i="26"/>
  <c r="S41" i="26" s="1"/>
  <c r="Q29" i="26"/>
  <c r="S29" i="26" s="1"/>
  <c r="Q40" i="26"/>
  <c r="S40" i="26" s="1"/>
  <c r="Q28" i="26"/>
  <c r="S28" i="26" s="1"/>
  <c r="R45" i="12"/>
  <c r="Q39" i="26"/>
  <c r="S39" i="26" s="1"/>
  <c r="Q27" i="26"/>
  <c r="S27" i="26" s="1"/>
  <c r="Q46" i="26"/>
  <c r="S46" i="26" s="1"/>
  <c r="Q37" i="26"/>
  <c r="S37" i="26" s="1"/>
  <c r="Q26" i="26"/>
  <c r="S26" i="26" s="1"/>
  <c r="Q45" i="26"/>
  <c r="S45" i="26" s="1"/>
  <c r="Q36" i="26"/>
  <c r="S36" i="26" s="1"/>
  <c r="Q44" i="26"/>
  <c r="S44" i="26" s="1"/>
  <c r="Q32" i="26"/>
  <c r="S32" i="26" s="1"/>
  <c r="Q43" i="26"/>
  <c r="S43" i="26" s="1"/>
  <c r="Q31" i="26"/>
  <c r="S31" i="26" s="1"/>
  <c r="Q42" i="26"/>
  <c r="S42" i="26" s="1"/>
  <c r="Q30" i="26"/>
  <c r="S30" i="26" s="1"/>
  <c r="G27" i="12"/>
  <c r="G43" i="12"/>
  <c r="G45" i="26"/>
  <c r="I45" i="26" s="1"/>
  <c r="G36" i="26"/>
  <c r="I36" i="26" s="1"/>
  <c r="G27" i="26"/>
  <c r="I27" i="26" s="1"/>
  <c r="G44" i="26"/>
  <c r="I44" i="26" s="1"/>
  <c r="G34" i="26"/>
  <c r="G26" i="26"/>
  <c r="I26" i="26" s="1"/>
  <c r="G43" i="26"/>
  <c r="I43" i="26" s="1"/>
  <c r="G33" i="26"/>
  <c r="G42" i="26"/>
  <c r="I42" i="26" s="1"/>
  <c r="G32" i="26"/>
  <c r="I32" i="26" s="1"/>
  <c r="G41" i="26"/>
  <c r="I41" i="26" s="1"/>
  <c r="G31" i="26"/>
  <c r="I31" i="26" s="1"/>
  <c r="H43" i="12"/>
  <c r="G40" i="26"/>
  <c r="I40" i="26" s="1"/>
  <c r="G30" i="26"/>
  <c r="I30" i="26" s="1"/>
  <c r="H42" i="12"/>
  <c r="G39" i="26"/>
  <c r="I39" i="26" s="1"/>
  <c r="G29" i="26"/>
  <c r="I29" i="26" s="1"/>
  <c r="H30" i="12"/>
  <c r="G37" i="26"/>
  <c r="I37" i="26" s="1"/>
  <c r="G28" i="26"/>
  <c r="I28" i="26" s="1"/>
  <c r="G46" i="26"/>
  <c r="I46" i="26" s="1"/>
  <c r="L43" i="26"/>
  <c r="N43" i="26" s="1"/>
  <c r="L31" i="26"/>
  <c r="N31" i="26" s="1"/>
  <c r="L42" i="26"/>
  <c r="N42" i="26" s="1"/>
  <c r="L30" i="26"/>
  <c r="N30" i="26" s="1"/>
  <c r="L41" i="26"/>
  <c r="N41" i="26" s="1"/>
  <c r="L29" i="26"/>
  <c r="N29" i="26" s="1"/>
  <c r="L40" i="26"/>
  <c r="N40" i="26" s="1"/>
  <c r="L28" i="26"/>
  <c r="N28" i="26" s="1"/>
  <c r="L39" i="26"/>
  <c r="N39" i="26" s="1"/>
  <c r="L27" i="26"/>
  <c r="N27" i="26" s="1"/>
  <c r="M44" i="12"/>
  <c r="L46" i="26"/>
  <c r="N46" i="26" s="1"/>
  <c r="L37" i="26"/>
  <c r="N37" i="26" s="1"/>
  <c r="L26" i="26"/>
  <c r="N26" i="26" s="1"/>
  <c r="L45" i="26"/>
  <c r="N45" i="26" s="1"/>
  <c r="L36" i="26"/>
  <c r="N36" i="26" s="1"/>
  <c r="L44" i="26"/>
  <c r="N44" i="26" s="1"/>
  <c r="L32" i="26"/>
  <c r="N32" i="26" s="1"/>
  <c r="C149" i="13"/>
  <c r="I149" i="13"/>
  <c r="I28" i="13"/>
  <c r="O29" i="13"/>
  <c r="P29" i="13"/>
  <c r="C26" i="13"/>
  <c r="Y156" i="25"/>
  <c r="R94" i="25"/>
  <c r="R100" i="25"/>
  <c r="T101" i="25"/>
  <c r="B84" i="25"/>
  <c r="J94" i="25"/>
  <c r="B96" i="25"/>
  <c r="D97" i="25"/>
  <c r="F98" i="25"/>
  <c r="H99" i="25"/>
  <c r="J100" i="25"/>
  <c r="O204" i="13"/>
  <c r="O230" i="13"/>
  <c r="O286" i="13"/>
  <c r="C147" i="13"/>
  <c r="M16" i="25"/>
  <c r="M15" i="25" s="1"/>
  <c r="F22" i="25"/>
  <c r="F16" i="25"/>
  <c r="F15" i="25" s="1"/>
  <c r="I25" i="12"/>
  <c r="I54" i="12"/>
  <c r="G34" i="12"/>
  <c r="N25" i="12"/>
  <c r="N83" i="12"/>
  <c r="N54" i="12"/>
  <c r="O222" i="13"/>
  <c r="O331" i="13"/>
  <c r="I147" i="13"/>
  <c r="O196" i="13"/>
  <c r="O326" i="13"/>
  <c r="O113" i="13"/>
  <c r="O105" i="13"/>
  <c r="O294" i="13"/>
  <c r="I150" i="13"/>
  <c r="O313" i="13"/>
  <c r="C150" i="13"/>
  <c r="O104" i="13"/>
  <c r="O112" i="13"/>
  <c r="O163" i="13"/>
  <c r="O171" i="13"/>
  <c r="O312" i="13"/>
  <c r="O320" i="13"/>
  <c r="H73" i="12" a="1"/>
  <c r="H73" i="12" s="1"/>
  <c r="L59" i="12" a="1"/>
  <c r="L59" i="12" s="1"/>
  <c r="G68" i="12" a="1"/>
  <c r="G68" i="12" s="1"/>
  <c r="Q55" i="12" a="1"/>
  <c r="Q55" i="12" s="1"/>
  <c r="O314" i="13"/>
  <c r="O322" i="13"/>
  <c r="Q45" i="12" a="1"/>
  <c r="Q45" i="12" s="1"/>
  <c r="L86" i="12" a="1"/>
  <c r="L86" i="12" s="1"/>
  <c r="H34" i="12"/>
  <c r="C266" i="13"/>
  <c r="O236" i="13"/>
  <c r="O287" i="13"/>
  <c r="O316" i="13"/>
  <c r="O51" i="13"/>
  <c r="O169" i="13"/>
  <c r="O43" i="13"/>
  <c r="O161" i="13"/>
  <c r="O288" i="13"/>
  <c r="O317" i="13"/>
  <c r="O223" i="13"/>
  <c r="O231" i="13"/>
  <c r="O282" i="13"/>
  <c r="O290" i="13"/>
  <c r="O241" i="13"/>
  <c r="O296" i="13"/>
  <c r="O224" i="13"/>
  <c r="O232" i="13"/>
  <c r="O283" i="13"/>
  <c r="O291" i="13"/>
  <c r="O197" i="13"/>
  <c r="O175" i="13"/>
  <c r="O198" i="13"/>
  <c r="O176" i="13"/>
  <c r="O162" i="13"/>
  <c r="O170" i="13"/>
  <c r="O106" i="13"/>
  <c r="O56" i="13"/>
  <c r="O107" i="13"/>
  <c r="O195" i="13"/>
  <c r="O203" i="13"/>
  <c r="O221" i="13"/>
  <c r="O229" i="13"/>
  <c r="O235" i="13"/>
  <c r="O285" i="13"/>
  <c r="O293" i="13"/>
  <c r="O311" i="13"/>
  <c r="O319" i="13"/>
  <c r="O325" i="13"/>
  <c r="O121" i="13"/>
  <c r="O168" i="13"/>
  <c r="O174" i="13"/>
  <c r="O61" i="13"/>
  <c r="O194" i="13"/>
  <c r="O202" i="13"/>
  <c r="O211" i="13"/>
  <c r="O228" i="13"/>
  <c r="O234" i="13"/>
  <c r="O284" i="13"/>
  <c r="O292" i="13"/>
  <c r="O301" i="13"/>
  <c r="O324" i="13"/>
  <c r="O44" i="13"/>
  <c r="O111" i="13"/>
  <c r="O116" i="13"/>
  <c r="O167" i="13"/>
  <c r="O103" i="13"/>
  <c r="O209" i="13"/>
  <c r="O118" i="13"/>
  <c r="O180" i="13"/>
  <c r="O45" i="13"/>
  <c r="O53" i="13"/>
  <c r="O46" i="13"/>
  <c r="I30" i="13"/>
  <c r="O315" i="13"/>
  <c r="O323" i="13"/>
  <c r="D318" i="13"/>
  <c r="O318" i="13"/>
  <c r="C20" i="13"/>
  <c r="H321" i="13"/>
  <c r="O321" i="13"/>
  <c r="O47" i="13"/>
  <c r="O52" i="13"/>
  <c r="C22" i="13"/>
  <c r="O281" i="13"/>
  <c r="O289" i="13"/>
  <c r="O295" i="13"/>
  <c r="O58" i="13"/>
  <c r="O59" i="13"/>
  <c r="O60" i="13"/>
  <c r="O50" i="13"/>
  <c r="O102" i="13"/>
  <c r="O110" i="13"/>
  <c r="O166" i="13"/>
  <c r="O193" i="13"/>
  <c r="O201" i="13"/>
  <c r="O206" i="13"/>
  <c r="O227" i="13"/>
  <c r="O42" i="13"/>
  <c r="O177" i="13"/>
  <c r="O117" i="13"/>
  <c r="O54" i="13"/>
  <c r="O114" i="13"/>
  <c r="O225" i="13"/>
  <c r="O55" i="13"/>
  <c r="O109" i="13"/>
  <c r="O115" i="13"/>
  <c r="O165" i="13"/>
  <c r="O173" i="13"/>
  <c r="O192" i="13"/>
  <c r="O200" i="13"/>
  <c r="O226" i="13"/>
  <c r="O120" i="13"/>
  <c r="O207" i="13"/>
  <c r="O172" i="13"/>
  <c r="O233" i="13"/>
  <c r="O49" i="13"/>
  <c r="O101" i="13"/>
  <c r="E291" i="13"/>
  <c r="O48" i="13"/>
  <c r="O108" i="13"/>
  <c r="O199" i="13"/>
  <c r="O181" i="13"/>
  <c r="O41" i="13"/>
  <c r="O164" i="13"/>
  <c r="O205" i="13"/>
  <c r="F289" i="13"/>
  <c r="O191" i="13"/>
  <c r="D286" i="13"/>
  <c r="O179" i="13"/>
  <c r="O210" i="13"/>
  <c r="F287" i="13"/>
  <c r="M22" i="25"/>
  <c r="L201" i="25" a="1"/>
  <c r="L201" i="25" s="1"/>
  <c r="I201" i="25" a="1"/>
  <c r="I201" i="25" s="1"/>
  <c r="F201" i="25" a="1"/>
  <c r="F201" i="25" s="1"/>
  <c r="C201" i="25" a="1"/>
  <c r="C201" i="25" s="1"/>
  <c r="N24" i="25"/>
  <c r="C20" i="25"/>
  <c r="M96" i="25"/>
  <c r="Q98" i="25"/>
  <c r="L95" i="25"/>
  <c r="P97" i="25"/>
  <c r="R98" i="25"/>
  <c r="U94" i="25"/>
  <c r="O97" i="25"/>
  <c r="U100" i="25"/>
  <c r="N96" i="25"/>
  <c r="T99" i="25"/>
  <c r="B94" i="25"/>
  <c r="D95" i="25"/>
  <c r="F96" i="25"/>
  <c r="H97" i="25"/>
  <c r="J98" i="25"/>
  <c r="D101" i="25"/>
  <c r="O195" i="25"/>
  <c r="M95" i="25"/>
  <c r="Q97" i="25"/>
  <c r="Y141" i="25"/>
  <c r="U99" i="25"/>
  <c r="M101" i="25"/>
  <c r="O94" i="25"/>
  <c r="Y152" i="25"/>
  <c r="M99" i="25"/>
  <c r="X140" i="25"/>
  <c r="X151" i="25"/>
  <c r="K96" i="25"/>
  <c r="P94" i="25"/>
  <c r="T96" i="25"/>
  <c r="W154" i="25"/>
  <c r="N99" i="25"/>
  <c r="C32" i="25"/>
  <c r="D98" i="25"/>
  <c r="C252" i="13"/>
  <c r="X156" i="25"/>
  <c r="Y150" i="25"/>
  <c r="X157" i="25"/>
  <c r="G39" i="12" a="1"/>
  <c r="G39" i="12" s="1"/>
  <c r="G26" i="12"/>
  <c r="P181" i="13"/>
  <c r="P117" i="13"/>
  <c r="P207" i="13"/>
  <c r="P120" i="13"/>
  <c r="P210" i="13"/>
  <c r="P209" i="13"/>
  <c r="P177" i="13"/>
  <c r="P180" i="13"/>
  <c r="P179" i="13"/>
  <c r="P118" i="13"/>
  <c r="P58" i="13"/>
  <c r="P59" i="13"/>
  <c r="P60" i="13"/>
  <c r="C30" i="13"/>
  <c r="M113" i="13"/>
  <c r="L228" i="13"/>
  <c r="G287" i="13"/>
  <c r="K173" i="13"/>
  <c r="H286" i="13"/>
  <c r="H318" i="13"/>
  <c r="L222" i="13"/>
  <c r="K230" i="13"/>
  <c r="N316" i="13"/>
  <c r="M197" i="13"/>
  <c r="J233" i="13"/>
  <c r="L233" i="13"/>
  <c r="M233" i="13"/>
  <c r="D287" i="13"/>
  <c r="E287" i="13"/>
  <c r="H287" i="13"/>
  <c r="M222" i="13"/>
  <c r="L230" i="13"/>
  <c r="M230" i="13"/>
  <c r="E289" i="13"/>
  <c r="D321" i="13"/>
  <c r="M294" i="13"/>
  <c r="G289" i="13"/>
  <c r="N294" i="13"/>
  <c r="H289" i="13"/>
  <c r="K228" i="13"/>
  <c r="N323" i="13"/>
  <c r="F291" i="13"/>
  <c r="J197" i="13"/>
  <c r="G291" i="13"/>
  <c r="F318" i="13"/>
  <c r="J173" i="13"/>
  <c r="L197" i="13"/>
  <c r="N317" i="13"/>
  <c r="J289" i="13"/>
  <c r="J319" i="13"/>
  <c r="H291" i="13"/>
  <c r="L173" i="13"/>
  <c r="N197" i="13"/>
  <c r="N222" i="13"/>
  <c r="M228" i="13"/>
  <c r="J241" i="13"/>
  <c r="K289" i="13"/>
  <c r="K319" i="13"/>
  <c r="D289" i="13"/>
  <c r="M173" i="13"/>
  <c r="N228" i="13"/>
  <c r="N233" i="13"/>
  <c r="K241" i="13"/>
  <c r="L289" i="13"/>
  <c r="K316" i="13"/>
  <c r="L319" i="13"/>
  <c r="J323" i="13"/>
  <c r="M289" i="13"/>
  <c r="L316" i="13"/>
  <c r="N319" i="13"/>
  <c r="K323" i="13"/>
  <c r="E318" i="13"/>
  <c r="M316" i="13"/>
  <c r="L323" i="13"/>
  <c r="G318" i="13"/>
  <c r="M226" i="13"/>
  <c r="J321" i="13"/>
  <c r="K324" i="13"/>
  <c r="N226" i="13"/>
  <c r="N234" i="13"/>
  <c r="J286" i="13"/>
  <c r="J317" i="13"/>
  <c r="K321" i="13"/>
  <c r="L324" i="13"/>
  <c r="K317" i="13"/>
  <c r="L321" i="13"/>
  <c r="M324" i="13"/>
  <c r="N321" i="13"/>
  <c r="K222" i="13"/>
  <c r="J223" i="13"/>
  <c r="J287" i="13"/>
  <c r="K224" i="13"/>
  <c r="N224" i="13"/>
  <c r="M224" i="13"/>
  <c r="L224" i="13"/>
  <c r="K287" i="13"/>
  <c r="J290" i="13"/>
  <c r="J224" i="13"/>
  <c r="J231" i="13"/>
  <c r="M287" i="13"/>
  <c r="L231" i="13"/>
  <c r="K235" i="13"/>
  <c r="L235" i="13"/>
  <c r="M293" i="13"/>
  <c r="L293" i="13"/>
  <c r="L53" i="13"/>
  <c r="M53" i="13"/>
  <c r="K227" i="13"/>
  <c r="N227" i="13"/>
  <c r="M227" i="13"/>
  <c r="L227" i="13"/>
  <c r="J227" i="13"/>
  <c r="J235" i="13"/>
  <c r="J293" i="13"/>
  <c r="K320" i="13"/>
  <c r="N320" i="13"/>
  <c r="M320" i="13"/>
  <c r="M235" i="13"/>
  <c r="L290" i="13"/>
  <c r="K290" i="13"/>
  <c r="K293" i="13"/>
  <c r="J320" i="13"/>
  <c r="L320" i="13"/>
  <c r="N53" i="13"/>
  <c r="K225" i="13"/>
  <c r="N225" i="13"/>
  <c r="M225" i="13"/>
  <c r="N287" i="13"/>
  <c r="K221" i="13"/>
  <c r="L221" i="13"/>
  <c r="J221" i="13"/>
  <c r="N221" i="13"/>
  <c r="M221" i="13"/>
  <c r="J225" i="13"/>
  <c r="M231" i="13"/>
  <c r="L288" i="13"/>
  <c r="N288" i="13"/>
  <c r="M288" i="13"/>
  <c r="K288" i="13"/>
  <c r="J318" i="13"/>
  <c r="M318" i="13"/>
  <c r="L318" i="13"/>
  <c r="K318" i="13"/>
  <c r="L225" i="13"/>
  <c r="N231" i="13"/>
  <c r="J236" i="13"/>
  <c r="J288" i="13"/>
  <c r="N318" i="13"/>
  <c r="L203" i="13"/>
  <c r="K203" i="13"/>
  <c r="K229" i="13"/>
  <c r="N229" i="13"/>
  <c r="M229" i="13"/>
  <c r="K232" i="13"/>
  <c r="J232" i="13"/>
  <c r="N232" i="13"/>
  <c r="M232" i="13"/>
  <c r="L232" i="13"/>
  <c r="N113" i="13"/>
  <c r="K113" i="13"/>
  <c r="J203" i="13"/>
  <c r="J226" i="13"/>
  <c r="J229" i="13"/>
  <c r="K223" i="13"/>
  <c r="M223" i="13"/>
  <c r="L223" i="13"/>
  <c r="J53" i="13"/>
  <c r="N290" i="13"/>
  <c r="K236" i="13"/>
  <c r="M236" i="13"/>
  <c r="M234" i="13"/>
  <c r="L234" i="13"/>
  <c r="L236" i="13"/>
  <c r="J113" i="13"/>
  <c r="M203" i="13"/>
  <c r="K226" i="13"/>
  <c r="L229" i="13"/>
  <c r="K234" i="13"/>
  <c r="N241" i="13"/>
  <c r="M241" i="13"/>
  <c r="K291" i="13"/>
  <c r="J291" i="13"/>
  <c r="L291" i="13"/>
  <c r="L286" i="13"/>
  <c r="N286" i="13"/>
  <c r="M286" i="13"/>
  <c r="M291" i="13"/>
  <c r="J230" i="13"/>
  <c r="L294" i="13"/>
  <c r="K294" i="13"/>
  <c r="J324" i="13"/>
  <c r="L317" i="13"/>
  <c r="H316" i="13"/>
  <c r="G316" i="13"/>
  <c r="F316" i="13"/>
  <c r="E316" i="13"/>
  <c r="D316" i="13"/>
  <c r="G317" i="13"/>
  <c r="F317" i="13"/>
  <c r="E317" i="13"/>
  <c r="H317" i="13"/>
  <c r="F288" i="13"/>
  <c r="E288" i="13"/>
  <c r="G288" i="13"/>
  <c r="H288" i="13"/>
  <c r="G319" i="13"/>
  <c r="F319" i="13"/>
  <c r="E319" i="13"/>
  <c r="D288" i="13"/>
  <c r="D319" i="13"/>
  <c r="H319" i="13"/>
  <c r="D317" i="13"/>
  <c r="G321" i="13"/>
  <c r="F321" i="13"/>
  <c r="E321" i="13"/>
  <c r="D291" i="13"/>
  <c r="F286" i="13"/>
  <c r="E286" i="13"/>
  <c r="G286" i="13"/>
  <c r="V140" i="25"/>
  <c r="C21" i="25"/>
  <c r="Y142" i="25"/>
  <c r="M94" i="25"/>
  <c r="O95" i="25"/>
  <c r="Q96" i="25"/>
  <c r="Y153" i="25"/>
  <c r="M100" i="25"/>
  <c r="O101" i="25"/>
  <c r="C31" i="25"/>
  <c r="C95" i="25"/>
  <c r="E96" i="25"/>
  <c r="G97" i="25"/>
  <c r="I98" i="25"/>
  <c r="K99" i="25"/>
  <c r="C101" i="25"/>
  <c r="E94" i="25"/>
  <c r="G95" i="25"/>
  <c r="K97" i="25"/>
  <c r="C99" i="25"/>
  <c r="E100" i="25"/>
  <c r="Q33" i="25"/>
  <c r="S94" i="25"/>
  <c r="C193" i="25"/>
  <c r="C188" i="25"/>
  <c r="T94" i="25"/>
  <c r="L96" i="25"/>
  <c r="N97" i="25"/>
  <c r="P98" i="25"/>
  <c r="R99" i="25"/>
  <c r="T100" i="25"/>
  <c r="W151" i="25"/>
  <c r="P96" i="25"/>
  <c r="T98" i="25"/>
  <c r="J48" i="25"/>
  <c r="D96" i="25"/>
  <c r="F97" i="25"/>
  <c r="H98" i="25"/>
  <c r="J99" i="25"/>
  <c r="C19" i="25"/>
  <c r="N95" i="25"/>
  <c r="Y154" i="25"/>
  <c r="W157" i="25"/>
  <c r="V156" i="25"/>
  <c r="W153" i="25"/>
  <c r="J19" i="25"/>
  <c r="U95" i="25"/>
  <c r="M97" i="25"/>
  <c r="O98" i="25"/>
  <c r="Q99" i="25"/>
  <c r="U101" i="25"/>
  <c r="X143" i="25"/>
  <c r="X152" i="25"/>
  <c r="W144" i="25"/>
  <c r="W155" i="25"/>
  <c r="L99" i="25"/>
  <c r="S101" i="25"/>
  <c r="C24" i="25"/>
  <c r="C22" i="25" s="1"/>
  <c r="V151" i="25"/>
  <c r="S96" i="25"/>
  <c r="Y138" i="25"/>
  <c r="Q32" i="25"/>
  <c r="T95" i="25"/>
  <c r="L97" i="25"/>
  <c r="P99" i="25"/>
  <c r="Q31" i="25"/>
  <c r="C33" i="25"/>
  <c r="K94" i="25"/>
  <c r="V139" i="25"/>
  <c r="E97" i="25"/>
  <c r="G98" i="25"/>
  <c r="I99" i="25"/>
  <c r="V150" i="25"/>
  <c r="N94" i="25"/>
  <c r="P95" i="25"/>
  <c r="R96" i="25"/>
  <c r="T97" i="25"/>
  <c r="N100" i="25"/>
  <c r="P101" i="25"/>
  <c r="V143" i="25"/>
  <c r="F94" i="25"/>
  <c r="H95" i="25"/>
  <c r="J96" i="25"/>
  <c r="V154" i="25"/>
  <c r="D99" i="25"/>
  <c r="F100" i="25"/>
  <c r="F104" i="25" s="1"/>
  <c r="H101" i="25"/>
  <c r="Q95" i="25"/>
  <c r="U97" i="25"/>
  <c r="O100" i="25"/>
  <c r="Q101" i="25"/>
  <c r="G94" i="25"/>
  <c r="I95" i="25"/>
  <c r="C98" i="25"/>
  <c r="E99" i="25"/>
  <c r="G100" i="25"/>
  <c r="O188" i="25"/>
  <c r="Y144" i="25"/>
  <c r="L94" i="25"/>
  <c r="R97" i="25"/>
  <c r="L100" i="25"/>
  <c r="N101" i="25"/>
  <c r="R95" i="25"/>
  <c r="L98" i="25"/>
  <c r="P100" i="25"/>
  <c r="R101" i="25"/>
  <c r="V142" i="25"/>
  <c r="H94" i="25"/>
  <c r="J95" i="25"/>
  <c r="V153" i="25"/>
  <c r="F99" i="25"/>
  <c r="H100" i="25"/>
  <c r="J101" i="25"/>
  <c r="X31" i="25"/>
  <c r="Q94" i="25"/>
  <c r="S95" i="25"/>
  <c r="M98" i="25"/>
  <c r="B74" i="25"/>
  <c r="C74" i="25" s="1"/>
  <c r="X139" i="25"/>
  <c r="X150" i="25"/>
  <c r="K95" i="25"/>
  <c r="N98" i="25"/>
  <c r="J20" i="25"/>
  <c r="D85" i="25"/>
  <c r="D84" i="25"/>
  <c r="O96" i="25"/>
  <c r="E95" i="25"/>
  <c r="G96" i="25"/>
  <c r="K98" i="25"/>
  <c r="C100" i="25"/>
  <c r="E101" i="25"/>
  <c r="D94" i="25"/>
  <c r="F95" i="25"/>
  <c r="H96" i="25"/>
  <c r="J97" i="25"/>
  <c r="V155" i="25"/>
  <c r="D100" i="25"/>
  <c r="F101" i="25"/>
  <c r="H56" i="25"/>
  <c r="M68" i="12" a="1"/>
  <c r="M68" i="12" s="1"/>
  <c r="G56" i="25"/>
  <c r="M72" i="12" a="1"/>
  <c r="M72" i="12" s="1"/>
  <c r="R60" i="12" a="1"/>
  <c r="R60" i="12" s="1"/>
  <c r="R61" i="12" a="1"/>
  <c r="R61" i="12" s="1"/>
  <c r="R70" i="12" a="1"/>
  <c r="R70" i="12" s="1"/>
  <c r="R73" i="12" a="1"/>
  <c r="R73" i="12" s="1"/>
  <c r="L58" i="25"/>
  <c r="B45" i="25"/>
  <c r="Q43" i="12" a="1"/>
  <c r="Q43" i="12" s="1"/>
  <c r="M60" i="12" a="1"/>
  <c r="M60" i="12" s="1"/>
  <c r="L55" i="12" a="1"/>
  <c r="L55" i="12" s="1"/>
  <c r="M58" i="25"/>
  <c r="M65" i="25" s="1"/>
  <c r="N58" i="25"/>
  <c r="L61" i="12" a="1"/>
  <c r="L61" i="12" s="1"/>
  <c r="L72" i="12" a="1"/>
  <c r="L72" i="12" s="1"/>
  <c r="L73" i="12" a="1"/>
  <c r="L73" i="12" s="1"/>
  <c r="L57" i="12" a="1"/>
  <c r="L57" i="12" s="1"/>
  <c r="O58" i="25"/>
  <c r="P58" i="25"/>
  <c r="M57" i="12" a="1"/>
  <c r="M57" i="12" s="1"/>
  <c r="H56" i="12" a="1"/>
  <c r="H56" i="12" s="1"/>
  <c r="R61" i="25"/>
  <c r="R58" i="12" a="1"/>
  <c r="R58" i="12" s="1"/>
  <c r="G61" i="25"/>
  <c r="M61" i="25"/>
  <c r="K46" i="25"/>
  <c r="M46" i="25" s="1" a="1"/>
  <c r="M46" i="25" s="1"/>
  <c r="O60" i="25"/>
  <c r="L61" i="25"/>
  <c r="G63" i="25"/>
  <c r="I61" i="25"/>
  <c r="H63" i="25"/>
  <c r="B193" i="25"/>
  <c r="Q57" i="25"/>
  <c r="P61" i="25"/>
  <c r="B58" i="25"/>
  <c r="L29" i="12" a="1"/>
  <c r="L29" i="12" s="1"/>
  <c r="E61" i="25"/>
  <c r="O57" i="25"/>
  <c r="N61" i="25"/>
  <c r="B24" i="25"/>
  <c r="P57" i="25"/>
  <c r="O61" i="25"/>
  <c r="V193" i="25"/>
  <c r="Q61" i="25"/>
  <c r="C58" i="25"/>
  <c r="C65" i="25" s="1"/>
  <c r="L69" i="12" a="1"/>
  <c r="L69" i="12" s="1"/>
  <c r="R65" i="12" a="1"/>
  <c r="R65" i="12" s="1"/>
  <c r="D58" i="25"/>
  <c r="R66" i="12" a="1"/>
  <c r="R66" i="12" s="1"/>
  <c r="S66" i="12" s="1"/>
  <c r="B46" i="25"/>
  <c r="R57" i="12" a="1"/>
  <c r="R57" i="12" s="1"/>
  <c r="M73" i="12" a="1"/>
  <c r="M73" i="12" s="1"/>
  <c r="B21" i="25"/>
  <c r="Q58" i="25"/>
  <c r="N62" i="25"/>
  <c r="E58" i="25"/>
  <c r="I63" i="25"/>
  <c r="L74" i="12" a="1"/>
  <c r="L74" i="12" s="1"/>
  <c r="M56" i="12" a="1"/>
  <c r="M56" i="12" s="1"/>
  <c r="M74" i="12" a="1"/>
  <c r="M74" i="12" s="1"/>
  <c r="R58" i="25"/>
  <c r="M26" i="12" a="1"/>
  <c r="M26" i="12" s="1"/>
  <c r="H57" i="12" a="1"/>
  <c r="H57" i="12" s="1"/>
  <c r="S58" i="25"/>
  <c r="M30" i="12" a="1"/>
  <c r="M30" i="12" s="1"/>
  <c r="C43" i="25"/>
  <c r="L85" i="12" a="1"/>
  <c r="L85" i="12" s="1"/>
  <c r="M41" i="12" a="1"/>
  <c r="M41" i="12" s="1"/>
  <c r="G31" i="12" a="1"/>
  <c r="G31" i="12" s="1"/>
  <c r="L97" i="12" a="1"/>
  <c r="L97" i="12" s="1"/>
  <c r="M45" i="12" a="1"/>
  <c r="M45" i="12" s="1"/>
  <c r="R67" i="12" a="1"/>
  <c r="R67" i="12" s="1"/>
  <c r="M84" i="12" a="1"/>
  <c r="M84" i="12" s="1"/>
  <c r="H60" i="12" a="1"/>
  <c r="H60" i="12" s="1"/>
  <c r="M88" i="12" a="1"/>
  <c r="M88" i="12" s="1"/>
  <c r="L102" i="12" a="1"/>
  <c r="L102" i="12" s="1"/>
  <c r="M89" i="12" a="1"/>
  <c r="M89" i="12" s="1"/>
  <c r="L103" i="12" a="1"/>
  <c r="L103" i="12" s="1"/>
  <c r="M71" i="12" a="1"/>
  <c r="M71" i="12" s="1"/>
  <c r="M90" i="12" a="1"/>
  <c r="M90" i="12" s="1"/>
  <c r="H61" i="12" a="1"/>
  <c r="H61" i="12" s="1"/>
  <c r="R71" i="12" a="1"/>
  <c r="R71" i="12" s="1"/>
  <c r="G42" i="12" a="1"/>
  <c r="G42" i="12" s="1"/>
  <c r="H55" i="12" a="1"/>
  <c r="H55" i="12" s="1"/>
  <c r="O24" i="25"/>
  <c r="B20" i="25"/>
  <c r="G20" i="25" s="1"/>
  <c r="G60" i="25"/>
  <c r="F60" i="25"/>
  <c r="H60" i="25"/>
  <c r="E63" i="25"/>
  <c r="D63" i="25"/>
  <c r="C63" i="25"/>
  <c r="B63" i="25"/>
  <c r="K63" i="25"/>
  <c r="J63" i="25"/>
  <c r="N60" i="25"/>
  <c r="M60" i="25"/>
  <c r="L60" i="25"/>
  <c r="S63" i="25"/>
  <c r="N63" i="25"/>
  <c r="Q63" i="25"/>
  <c r="P63" i="25"/>
  <c r="O63" i="25"/>
  <c r="L63" i="25"/>
  <c r="K48" i="25"/>
  <c r="R60" i="25"/>
  <c r="R63" i="25"/>
  <c r="I57" i="25"/>
  <c r="B57" i="25"/>
  <c r="H57" i="25"/>
  <c r="G57" i="25"/>
  <c r="F57" i="25"/>
  <c r="E57" i="25"/>
  <c r="C57" i="25"/>
  <c r="B23" i="25"/>
  <c r="G23" i="25" s="1"/>
  <c r="D57" i="25"/>
  <c r="B60" i="25"/>
  <c r="P60" i="25"/>
  <c r="K45" i="25"/>
  <c r="M45" i="25" s="1" a="1"/>
  <c r="M45" i="25" s="1"/>
  <c r="V192" i="25"/>
  <c r="Y192" i="25" s="1"/>
  <c r="N57" i="25"/>
  <c r="L57" i="25"/>
  <c r="S57" i="25"/>
  <c r="C60" i="25"/>
  <c r="D60" i="25"/>
  <c r="L59" i="25"/>
  <c r="R62" i="25"/>
  <c r="N56" i="25"/>
  <c r="Q56" i="25"/>
  <c r="R27" i="12" a="1"/>
  <c r="R27" i="12" s="1"/>
  <c r="R42" i="12" a="1"/>
  <c r="R42" i="12" s="1"/>
  <c r="R26" i="12" a="1"/>
  <c r="R26" i="12" s="1"/>
  <c r="R39" i="12" a="1"/>
  <c r="R39" i="12" s="1"/>
  <c r="R44" i="12" a="1"/>
  <c r="R44" i="12" s="1"/>
  <c r="R41" i="12" a="1"/>
  <c r="R41" i="12" s="1"/>
  <c r="R40" i="12" a="1"/>
  <c r="R40" i="12" s="1"/>
  <c r="R30" i="12" a="1"/>
  <c r="R30" i="12" s="1"/>
  <c r="G62" i="25"/>
  <c r="S62" i="25"/>
  <c r="G58" i="25"/>
  <c r="N59" i="25"/>
  <c r="H58" i="25"/>
  <c r="I62" i="25"/>
  <c r="B43" i="25"/>
  <c r="R56" i="25"/>
  <c r="W31" i="25"/>
  <c r="AC31" i="25" s="1"/>
  <c r="AB31" i="25" s="1"/>
  <c r="S56" i="25"/>
  <c r="B59" i="25"/>
  <c r="Q70" i="12" a="1"/>
  <c r="Q70" i="12" s="1"/>
  <c r="Q65" i="12" a="1"/>
  <c r="Q65" i="12" s="1"/>
  <c r="Q58" i="12" a="1"/>
  <c r="Q58" i="12" s="1"/>
  <c r="Q73" i="12" a="1"/>
  <c r="Q73" i="12" s="1"/>
  <c r="Q71" i="12" a="1"/>
  <c r="Q71" i="12" s="1"/>
  <c r="Q59" i="12" a="1"/>
  <c r="Q59" i="12" s="1"/>
  <c r="Q74" i="12" a="1"/>
  <c r="Q74" i="12" s="1"/>
  <c r="Q61" i="12" a="1"/>
  <c r="Q61" i="12" s="1"/>
  <c r="Q72" i="12" a="1"/>
  <c r="Q72" i="12" s="1"/>
  <c r="Q60" i="12" a="1"/>
  <c r="Q60" i="12" s="1"/>
  <c r="Q69" i="12" a="1"/>
  <c r="Q69" i="12" s="1"/>
  <c r="Q56" i="12" a="1"/>
  <c r="Q56" i="12" s="1"/>
  <c r="Q68" i="12" a="1"/>
  <c r="Q68" i="12" s="1"/>
  <c r="R29" i="12" a="1"/>
  <c r="R29" i="12" s="1"/>
  <c r="Q62" i="25"/>
  <c r="E59" i="25"/>
  <c r="L28" i="12" a="1"/>
  <c r="L28" i="12" s="1"/>
  <c r="L44" i="12" a="1"/>
  <c r="L44" i="12" s="1"/>
  <c r="L40" i="12" a="1"/>
  <c r="L40" i="12" s="1"/>
  <c r="L36" i="12" a="1"/>
  <c r="L36" i="12" s="1"/>
  <c r="L31" i="12" a="1"/>
  <c r="L31" i="12" s="1"/>
  <c r="L26" i="12" a="1"/>
  <c r="L26" i="12" s="1"/>
  <c r="L45" i="12" a="1"/>
  <c r="L45" i="12" s="1"/>
  <c r="L41" i="12" a="1"/>
  <c r="L41" i="12" s="1"/>
  <c r="L32" i="12" a="1"/>
  <c r="L32" i="12" s="1"/>
  <c r="L39" i="12" a="1"/>
  <c r="L39" i="12" s="1"/>
  <c r="Q44" i="12" a="1"/>
  <c r="Q44" i="12" s="1"/>
  <c r="Q40" i="12" a="1"/>
  <c r="Q40" i="12" s="1"/>
  <c r="Q36" i="12" a="1"/>
  <c r="Q36" i="12" s="1"/>
  <c r="Q31" i="12" a="1"/>
  <c r="Q31" i="12" s="1"/>
  <c r="Q27" i="12" a="1"/>
  <c r="Q27" i="12" s="1"/>
  <c r="Q42" i="12" a="1"/>
  <c r="Q42" i="12" s="1"/>
  <c r="Q28" i="12" a="1"/>
  <c r="Q28" i="12" s="1"/>
  <c r="Q41" i="12" a="1"/>
  <c r="Q41" i="12" s="1"/>
  <c r="Q39" i="12" a="1"/>
  <c r="Q39" i="12" s="1"/>
  <c r="Q30" i="12" a="1"/>
  <c r="Q30" i="12" s="1"/>
  <c r="Q29" i="12" a="1"/>
  <c r="Q29" i="12" s="1"/>
  <c r="Q26" i="12" a="1"/>
  <c r="Q26" i="12" s="1"/>
  <c r="L42" i="12" a="1"/>
  <c r="L42" i="12" s="1"/>
  <c r="G99" i="12" a="1"/>
  <c r="G99" i="12" s="1"/>
  <c r="G89" i="12" a="1"/>
  <c r="G89" i="12" s="1"/>
  <c r="L99" i="12" a="1"/>
  <c r="L99" i="12" s="1"/>
  <c r="L89" i="12" a="1"/>
  <c r="L89" i="12" s="1"/>
  <c r="L98" i="12" a="1"/>
  <c r="L98" i="12" s="1"/>
  <c r="L88" i="12" a="1"/>
  <c r="L88" i="12" s="1"/>
  <c r="L84" i="12" a="1"/>
  <c r="L84" i="12" s="1"/>
  <c r="L101" i="12" a="1"/>
  <c r="L101" i="12" s="1"/>
  <c r="L100" i="12" a="1"/>
  <c r="L100" i="12" s="1"/>
  <c r="L90" i="12" a="1"/>
  <c r="L90" i="12" s="1"/>
  <c r="L94" i="12" a="1"/>
  <c r="L94" i="12" s="1"/>
  <c r="L87" i="12" a="1"/>
  <c r="L87" i="12" s="1"/>
  <c r="L27" i="12" a="1"/>
  <c r="L27" i="12" s="1"/>
  <c r="L43" i="12" a="1"/>
  <c r="L43" i="12" s="1"/>
  <c r="G84" i="12" a="1"/>
  <c r="G84" i="12" s="1"/>
  <c r="M43" i="12" a="1"/>
  <c r="M43" i="12" s="1"/>
  <c r="M36" i="12" a="1"/>
  <c r="M36" i="12" s="1"/>
  <c r="M27" i="12" a="1"/>
  <c r="M27" i="12" s="1"/>
  <c r="M42" i="12" a="1"/>
  <c r="M42" i="12" s="1"/>
  <c r="M40" i="12" a="1"/>
  <c r="M40" i="12" s="1"/>
  <c r="M31" i="12" a="1"/>
  <c r="M31" i="12" s="1"/>
  <c r="M29" i="12" a="1"/>
  <c r="M29" i="12" s="1"/>
  <c r="M28" i="12" a="1"/>
  <c r="M28" i="12" s="1"/>
  <c r="M39" i="12" a="1"/>
  <c r="M39" i="12" s="1"/>
  <c r="M32" i="12" a="1"/>
  <c r="M32" i="12" s="1"/>
  <c r="M94" i="12" a="1"/>
  <c r="M94" i="12" s="1"/>
  <c r="M99" i="12" a="1"/>
  <c r="M99" i="12" s="1"/>
  <c r="M100" i="12" a="1"/>
  <c r="M100" i="12" s="1"/>
  <c r="M101" i="12" a="1"/>
  <c r="M101" i="12" s="1"/>
  <c r="H86" i="12" a="1"/>
  <c r="H86" i="12" s="1"/>
  <c r="H98" i="12" a="1"/>
  <c r="H98" i="12" s="1"/>
  <c r="H87" i="12" a="1"/>
  <c r="H87" i="12" s="1"/>
  <c r="H103" i="12" a="1"/>
  <c r="H103" i="12" s="1"/>
  <c r="G32" i="12" a="1"/>
  <c r="G32" i="12" s="1"/>
  <c r="G28" i="12" a="1"/>
  <c r="G28" i="12" s="1"/>
  <c r="G44" i="12" a="1"/>
  <c r="G44" i="12" s="1"/>
  <c r="G40" i="12" a="1"/>
  <c r="G40" i="12" s="1"/>
  <c r="G36" i="12" a="1"/>
  <c r="G36" i="12" s="1"/>
  <c r="G30" i="12" a="1"/>
  <c r="G30" i="12" s="1"/>
  <c r="G29" i="12" a="1"/>
  <c r="G29" i="12" s="1"/>
  <c r="G45" i="12" a="1"/>
  <c r="G45" i="12" s="1"/>
  <c r="G41" i="12" a="1"/>
  <c r="G41" i="12" s="1"/>
  <c r="M97" i="12" a="1"/>
  <c r="M97" i="12" s="1"/>
  <c r="M86" i="12" a="1"/>
  <c r="M86" i="12" s="1"/>
  <c r="M85" i="12" a="1"/>
  <c r="M85" i="12" s="1"/>
  <c r="M102" i="12" a="1"/>
  <c r="M102" i="12" s="1"/>
  <c r="M98" i="12" a="1"/>
  <c r="M98" i="12" s="1"/>
  <c r="M87" i="12" a="1"/>
  <c r="M87" i="12" s="1"/>
  <c r="M103" i="12" a="1"/>
  <c r="M103" i="12" s="1"/>
  <c r="L71" i="12" a="1"/>
  <c r="L71" i="12" s="1"/>
  <c r="R59" i="12" a="1"/>
  <c r="R59" i="12" s="1"/>
  <c r="M65" i="12" a="1"/>
  <c r="M65" i="12" s="1"/>
  <c r="L60" i="12" a="1"/>
  <c r="L60" i="12" s="1"/>
  <c r="M55" i="12" a="1"/>
  <c r="M55" i="12" s="1"/>
  <c r="L56" i="12" a="1"/>
  <c r="L56" i="12" s="1"/>
  <c r="L68" i="12" a="1"/>
  <c r="L68" i="12" s="1"/>
  <c r="M61" i="12" a="1"/>
  <c r="M61" i="12" s="1"/>
  <c r="R77" i="12" a="1"/>
  <c r="R77" i="12" s="1"/>
  <c r="L58" i="12" a="1"/>
  <c r="L58" i="12" s="1"/>
  <c r="L65" i="12" a="1"/>
  <c r="L65" i="12" s="1"/>
  <c r="L70" i="12" a="1"/>
  <c r="L70" i="12" s="1"/>
  <c r="M58" i="12" a="1"/>
  <c r="M58" i="12" s="1"/>
  <c r="R68" i="12" a="1"/>
  <c r="R68" i="12" s="1"/>
  <c r="R74" i="12" a="1"/>
  <c r="R74" i="12" s="1"/>
  <c r="M69" i="12" a="1"/>
  <c r="M69" i="12" s="1"/>
  <c r="G71" i="12" a="1"/>
  <c r="G71" i="12" s="1"/>
  <c r="M59" i="12" a="1"/>
  <c r="M59" i="12" s="1"/>
  <c r="R69" i="12" a="1"/>
  <c r="R69" i="12" s="1"/>
  <c r="R75" i="12" a="1"/>
  <c r="R75" i="12" s="1"/>
  <c r="G85" i="12" a="1"/>
  <c r="G85" i="12" s="1"/>
  <c r="G97" i="12" a="1"/>
  <c r="G97" i="12" s="1"/>
  <c r="G103" i="12" a="1"/>
  <c r="G103" i="12" s="1"/>
  <c r="H99" i="12" a="1"/>
  <c r="H99" i="12" s="1"/>
  <c r="H28" i="12"/>
  <c r="H36" i="12"/>
  <c r="H29" i="12"/>
  <c r="G56" i="12" a="1"/>
  <c r="G56" i="12" s="1"/>
  <c r="G60" i="12" a="1"/>
  <c r="G60" i="12" s="1"/>
  <c r="G72" i="12" a="1"/>
  <c r="G72" i="12" s="1"/>
  <c r="G98" i="12" a="1"/>
  <c r="G98" i="12" s="1"/>
  <c r="H58" i="12" a="1"/>
  <c r="H58" i="12" s="1"/>
  <c r="H70" i="12" a="1"/>
  <c r="H70" i="12" s="1"/>
  <c r="H94" i="12" a="1"/>
  <c r="H94" i="12" s="1"/>
  <c r="G65" i="12" a="1"/>
  <c r="G65" i="12" s="1"/>
  <c r="G86" i="12" a="1"/>
  <c r="G86" i="12" s="1"/>
  <c r="R28" i="12" a="1"/>
  <c r="R28" i="12" s="1"/>
  <c r="R32" i="12" a="1"/>
  <c r="R32" i="12" s="1"/>
  <c r="H74" i="12" a="1"/>
  <c r="H74" i="12" s="1"/>
  <c r="H88" i="12" a="1"/>
  <c r="H88" i="12" s="1"/>
  <c r="H100" i="12" a="1"/>
  <c r="H100" i="12" s="1"/>
  <c r="H44" i="12"/>
  <c r="G69" i="12" a="1"/>
  <c r="G69" i="12" s="1"/>
  <c r="G57" i="12" a="1"/>
  <c r="G57" i="12" s="1"/>
  <c r="G61" i="12" a="1"/>
  <c r="G61" i="12" s="1"/>
  <c r="G87" i="12" a="1"/>
  <c r="G87" i="12" s="1"/>
  <c r="G94" i="12" a="1"/>
  <c r="G94" i="12" s="1"/>
  <c r="H59" i="12" a="1"/>
  <c r="H59" i="12" s="1"/>
  <c r="H71" i="12" a="1"/>
  <c r="H71" i="12" s="1"/>
  <c r="H89" i="12" a="1"/>
  <c r="H89" i="12" s="1"/>
  <c r="H101" i="12" a="1"/>
  <c r="H101" i="12" s="1"/>
  <c r="H31" i="12"/>
  <c r="H45" i="12"/>
  <c r="G100" i="12" a="1"/>
  <c r="G100" i="12" s="1"/>
  <c r="H84" i="12" a="1"/>
  <c r="H84" i="12" s="1"/>
  <c r="H39" i="12"/>
  <c r="G70" i="12" a="1"/>
  <c r="G70" i="12" s="1"/>
  <c r="G88" i="12" a="1"/>
  <c r="G88" i="12" s="1"/>
  <c r="R43" i="12" a="1"/>
  <c r="R43" i="12" s="1"/>
  <c r="H90" i="12" a="1"/>
  <c r="H90" i="12" s="1"/>
  <c r="H102" i="12" a="1"/>
  <c r="H102" i="12" s="1"/>
  <c r="H32" i="12"/>
  <c r="G58" i="12" a="1"/>
  <c r="G58" i="12" s="1"/>
  <c r="G74" i="12" a="1"/>
  <c r="G74" i="12" s="1"/>
  <c r="G101" i="12" a="1"/>
  <c r="G101" i="12" s="1"/>
  <c r="H68" i="12" a="1"/>
  <c r="H68" i="12" s="1"/>
  <c r="H72" i="12" a="1"/>
  <c r="H72" i="12" s="1"/>
  <c r="H85" i="12" a="1"/>
  <c r="H85" i="12" s="1"/>
  <c r="H97" i="12" a="1"/>
  <c r="H97" i="12" s="1"/>
  <c r="H26" i="12"/>
  <c r="H40" i="12"/>
  <c r="H41" i="12"/>
  <c r="G55" i="12" a="1"/>
  <c r="G55" i="12" s="1"/>
  <c r="G59" i="12" a="1"/>
  <c r="G59" i="12" s="1"/>
  <c r="G90" i="12" a="1"/>
  <c r="G90" i="12" s="1"/>
  <c r="R31" i="12" a="1"/>
  <c r="R31" i="12" s="1"/>
  <c r="R36" i="12" a="1"/>
  <c r="R36" i="12" s="1"/>
  <c r="H69" i="12" a="1"/>
  <c r="H69" i="12" s="1"/>
  <c r="H27" i="12"/>
  <c r="I48" i="25" a="1"/>
  <c r="I48" i="25" s="1"/>
  <c r="F56" i="25"/>
  <c r="E56" i="25"/>
  <c r="D56" i="25"/>
  <c r="C56" i="25"/>
  <c r="B56" i="25"/>
  <c r="I59" i="25"/>
  <c r="H59" i="25"/>
  <c r="F62" i="25"/>
  <c r="B17" i="25"/>
  <c r="E62" i="25"/>
  <c r="D62" i="25"/>
  <c r="C62" i="25"/>
  <c r="B62" i="25"/>
  <c r="B76" i="25"/>
  <c r="D76" i="25" s="1"/>
  <c r="X141" i="25"/>
  <c r="V152" i="25"/>
  <c r="F59" i="25"/>
  <c r="F65" i="25" s="1"/>
  <c r="B16" i="25"/>
  <c r="I101" i="25"/>
  <c r="B99" i="25"/>
  <c r="C94" i="25"/>
  <c r="C17" i="25"/>
  <c r="C47" i="25"/>
  <c r="X137" i="25"/>
  <c r="J33" i="25"/>
  <c r="I97" i="25"/>
  <c r="X153" i="25"/>
  <c r="J195" i="25"/>
  <c r="G101" i="25"/>
  <c r="V157" i="25"/>
  <c r="G59" i="25"/>
  <c r="B100" i="25"/>
  <c r="X142" i="25"/>
  <c r="B86" i="25"/>
  <c r="X154" i="25"/>
  <c r="F18" i="25"/>
  <c r="C45" i="25"/>
  <c r="K100" i="25"/>
  <c r="B73" i="25"/>
  <c r="D73" i="25" s="1"/>
  <c r="I94" i="25"/>
  <c r="B190" i="25"/>
  <c r="I58" i="25"/>
  <c r="C61" i="25"/>
  <c r="U98" i="25"/>
  <c r="Y137" i="25"/>
  <c r="J23" i="25"/>
  <c r="K47" i="25"/>
  <c r="J17" i="25"/>
  <c r="S97" i="25"/>
  <c r="O189" i="25"/>
  <c r="M57" i="25"/>
  <c r="Q59" i="25"/>
  <c r="S60" i="25"/>
  <c r="M63" i="25"/>
  <c r="L101" i="25"/>
  <c r="W150" i="25"/>
  <c r="W152" i="25"/>
  <c r="W156" i="25"/>
  <c r="M18" i="25"/>
  <c r="P59" i="25"/>
  <c r="S99" i="25"/>
  <c r="L56" i="25"/>
  <c r="R59" i="25"/>
  <c r="L62" i="25"/>
  <c r="E75" i="25"/>
  <c r="O59" i="25"/>
  <c r="K41" i="25"/>
  <c r="M56" i="25"/>
  <c r="S59" i="25"/>
  <c r="M62" i="25"/>
  <c r="O62" i="25"/>
  <c r="K44" i="25"/>
  <c r="O56" i="25"/>
  <c r="V188" i="25"/>
  <c r="L41" i="25"/>
  <c r="U191" i="25"/>
  <c r="T191" i="25"/>
  <c r="Y194" i="25"/>
  <c r="X194" i="25"/>
  <c r="U194" i="25"/>
  <c r="T194" i="25"/>
  <c r="C16" i="25"/>
  <c r="C41" i="25"/>
  <c r="M189" i="25"/>
  <c r="L189" i="25"/>
  <c r="I189" i="25"/>
  <c r="H189" i="25"/>
  <c r="I192" i="25"/>
  <c r="H192" i="25"/>
  <c r="K42" i="25"/>
  <c r="L44" i="25"/>
  <c r="Y189" i="25"/>
  <c r="X189" i="25"/>
  <c r="M191" i="25"/>
  <c r="L191" i="25"/>
  <c r="U188" i="25"/>
  <c r="T188" i="25"/>
  <c r="B189" i="25"/>
  <c r="D87" i="25"/>
  <c r="M192" i="25"/>
  <c r="L192" i="25"/>
  <c r="I195" i="25"/>
  <c r="H195" i="25"/>
  <c r="U189" i="25"/>
  <c r="T189" i="25"/>
  <c r="V195" i="25"/>
  <c r="L48" i="25"/>
  <c r="I16" i="25"/>
  <c r="L42" i="25"/>
  <c r="L47" i="25"/>
  <c r="E74" i="25"/>
  <c r="G74" i="25" s="1"/>
  <c r="J16" i="25"/>
  <c r="I17" i="25"/>
  <c r="I19" i="25"/>
  <c r="I20" i="25"/>
  <c r="I21" i="25"/>
  <c r="I31" i="25"/>
  <c r="W32" i="25"/>
  <c r="B42" i="25"/>
  <c r="M194" i="25"/>
  <c r="L194" i="25"/>
  <c r="U192" i="25"/>
  <c r="T192" i="25"/>
  <c r="U195" i="25"/>
  <c r="T195" i="25"/>
  <c r="J24" i="25"/>
  <c r="J31" i="25"/>
  <c r="I32" i="25"/>
  <c r="X32" i="25"/>
  <c r="I33" i="25"/>
  <c r="W33" i="25"/>
  <c r="C42" i="25"/>
  <c r="C44" i="25"/>
  <c r="M190" i="25"/>
  <c r="L190" i="25"/>
  <c r="I190" i="25"/>
  <c r="H190" i="25"/>
  <c r="J193" i="25"/>
  <c r="C46" i="25"/>
  <c r="I193" i="25"/>
  <c r="H193" i="25"/>
  <c r="I188" i="25"/>
  <c r="H188" i="25"/>
  <c r="Y191" i="25"/>
  <c r="X191" i="25"/>
  <c r="X33" i="25"/>
  <c r="Y190" i="25"/>
  <c r="X190" i="25"/>
  <c r="U190" i="25"/>
  <c r="T190" i="25"/>
  <c r="U193" i="25"/>
  <c r="T193" i="25"/>
  <c r="B188" i="25"/>
  <c r="B41" i="25"/>
  <c r="B19" i="25"/>
  <c r="B191" i="25"/>
  <c r="B44" i="25"/>
  <c r="B194" i="25"/>
  <c r="B47" i="25"/>
  <c r="V137" i="25"/>
  <c r="C190" i="25"/>
  <c r="B87" i="25"/>
  <c r="L43" i="25"/>
  <c r="N188" i="25"/>
  <c r="N191" i="25"/>
  <c r="N194" i="25"/>
  <c r="Y140" i="25"/>
  <c r="M188" i="25"/>
  <c r="L188" i="25"/>
  <c r="I191" i="25"/>
  <c r="H191" i="25"/>
  <c r="I194" i="25"/>
  <c r="H194" i="25"/>
  <c r="B195" i="25"/>
  <c r="B48" i="25"/>
  <c r="D48" i="25" s="1" a="1"/>
  <c r="D48" i="25" s="1"/>
  <c r="E76" i="25"/>
  <c r="F76" i="25" s="1"/>
  <c r="N189" i="25"/>
  <c r="I23" i="25"/>
  <c r="N192" i="25"/>
  <c r="N195" i="25"/>
  <c r="B192" i="25"/>
  <c r="V138" i="25"/>
  <c r="B95" i="25"/>
  <c r="V141" i="25"/>
  <c r="B98" i="25"/>
  <c r="V144" i="25"/>
  <c r="B101" i="25"/>
  <c r="I96" i="25"/>
  <c r="B97" i="25"/>
  <c r="S98" i="25"/>
  <c r="N190" i="25"/>
  <c r="N193" i="25"/>
  <c r="W138" i="25"/>
  <c r="E86" i="25" s="1"/>
  <c r="W141" i="25"/>
  <c r="C189" i="25"/>
  <c r="B75" i="25"/>
  <c r="D75" i="25" s="1"/>
  <c r="J32" i="25"/>
  <c r="X138" i="25"/>
  <c r="W137" i="25"/>
  <c r="W140" i="25"/>
  <c r="W143" i="25"/>
  <c r="Y143" i="25"/>
  <c r="W139" i="25"/>
  <c r="W142" i="25"/>
  <c r="C181" i="11"/>
  <c r="C180" i="11"/>
  <c r="C179" i="11"/>
  <c r="C178" i="11"/>
  <c r="C177" i="11"/>
  <c r="C176" i="11"/>
  <c r="C175" i="11"/>
  <c r="C174" i="11"/>
  <c r="C173" i="11"/>
  <c r="C172" i="11"/>
  <c r="C171" i="11"/>
  <c r="E165" i="11"/>
  <c r="C165" i="11"/>
  <c r="E164" i="11"/>
  <c r="C164" i="11"/>
  <c r="E163" i="11"/>
  <c r="C163" i="11"/>
  <c r="U157" i="11"/>
  <c r="S157" i="11"/>
  <c r="Q157" i="11"/>
  <c r="O157" i="11"/>
  <c r="M157" i="11"/>
  <c r="K157" i="11"/>
  <c r="I157" i="11"/>
  <c r="G157" i="11"/>
  <c r="E157" i="11"/>
  <c r="C157" i="11"/>
  <c r="U156" i="11"/>
  <c r="S156" i="11"/>
  <c r="Q156" i="11"/>
  <c r="O156" i="11"/>
  <c r="M156" i="11"/>
  <c r="K156" i="11"/>
  <c r="I156" i="11"/>
  <c r="G156" i="11"/>
  <c r="E156" i="11"/>
  <c r="C156" i="11"/>
  <c r="U155" i="11"/>
  <c r="S155" i="11"/>
  <c r="Q155" i="11"/>
  <c r="O155" i="11"/>
  <c r="M155" i="11"/>
  <c r="K155" i="11"/>
  <c r="I155" i="11"/>
  <c r="G155" i="11"/>
  <c r="E155" i="11"/>
  <c r="C155" i="11"/>
  <c r="U154" i="11"/>
  <c r="S154" i="11"/>
  <c r="Q154" i="11"/>
  <c r="O154" i="11"/>
  <c r="M154" i="11"/>
  <c r="K154" i="11"/>
  <c r="I154" i="11"/>
  <c r="G154" i="11"/>
  <c r="E154" i="11"/>
  <c r="C154" i="11"/>
  <c r="U153" i="11"/>
  <c r="S153" i="11"/>
  <c r="Q153" i="11"/>
  <c r="O153" i="11"/>
  <c r="M153" i="11"/>
  <c r="K153" i="11"/>
  <c r="I153" i="11"/>
  <c r="G153" i="11"/>
  <c r="E153" i="11"/>
  <c r="C153" i="11"/>
  <c r="U152" i="11"/>
  <c r="S152" i="11"/>
  <c r="Q152" i="11"/>
  <c r="O152" i="11"/>
  <c r="M152" i="11"/>
  <c r="K152" i="11"/>
  <c r="I152" i="11"/>
  <c r="G152" i="11"/>
  <c r="E152" i="11"/>
  <c r="C152" i="11"/>
  <c r="U151" i="11"/>
  <c r="S151" i="11"/>
  <c r="Q151" i="11"/>
  <c r="O151" i="11"/>
  <c r="M151" i="11"/>
  <c r="K151" i="11"/>
  <c r="I151" i="11"/>
  <c r="G151" i="11"/>
  <c r="E151" i="11"/>
  <c r="C151" i="11"/>
  <c r="U150" i="11"/>
  <c r="S150" i="11"/>
  <c r="Q150" i="11"/>
  <c r="O150" i="11"/>
  <c r="M150" i="11"/>
  <c r="K150" i="11"/>
  <c r="I150" i="11"/>
  <c r="G150" i="11"/>
  <c r="E150" i="11"/>
  <c r="C150" i="11"/>
  <c r="U144" i="11"/>
  <c r="S144" i="11"/>
  <c r="Q144" i="11"/>
  <c r="O144" i="11"/>
  <c r="M144" i="11"/>
  <c r="K144" i="11"/>
  <c r="I144" i="11"/>
  <c r="G144" i="11"/>
  <c r="E144" i="11"/>
  <c r="C144" i="11"/>
  <c r="U143" i="11"/>
  <c r="S143" i="11"/>
  <c r="Q143" i="11"/>
  <c r="O143" i="11"/>
  <c r="M143" i="11"/>
  <c r="K143" i="11"/>
  <c r="I143" i="11"/>
  <c r="G143" i="11"/>
  <c r="E143" i="11"/>
  <c r="C143" i="11"/>
  <c r="U142" i="11"/>
  <c r="S142" i="11"/>
  <c r="Q142" i="11"/>
  <c r="O142" i="11"/>
  <c r="M142" i="11"/>
  <c r="K142" i="11"/>
  <c r="I142" i="11"/>
  <c r="G142" i="11"/>
  <c r="E142" i="11"/>
  <c r="C142" i="11"/>
  <c r="U141" i="11"/>
  <c r="S141" i="11"/>
  <c r="Q141" i="11"/>
  <c r="O141" i="11"/>
  <c r="M141" i="11"/>
  <c r="K141" i="11"/>
  <c r="I141" i="11"/>
  <c r="G141" i="11"/>
  <c r="E141" i="11"/>
  <c r="C141" i="11"/>
  <c r="U140" i="11"/>
  <c r="S140" i="11"/>
  <c r="Q140" i="11"/>
  <c r="O140" i="11"/>
  <c r="M140" i="11"/>
  <c r="K140" i="11"/>
  <c r="I140" i="11"/>
  <c r="G140" i="11"/>
  <c r="E140" i="11"/>
  <c r="C140" i="11"/>
  <c r="U139" i="11"/>
  <c r="S139" i="11"/>
  <c r="Q139" i="11"/>
  <c r="O139" i="11"/>
  <c r="M139" i="11"/>
  <c r="K139" i="11"/>
  <c r="I139" i="11"/>
  <c r="G139" i="11"/>
  <c r="E139" i="11"/>
  <c r="C139" i="11"/>
  <c r="U138" i="11"/>
  <c r="S138" i="11"/>
  <c r="Q138" i="11"/>
  <c r="O138" i="11"/>
  <c r="M138" i="11"/>
  <c r="K138" i="11"/>
  <c r="I138" i="11"/>
  <c r="G138" i="11"/>
  <c r="E138" i="11"/>
  <c r="C138" i="11"/>
  <c r="U137" i="11"/>
  <c r="S137" i="11"/>
  <c r="Q137" i="11"/>
  <c r="O137" i="11"/>
  <c r="M137" i="11"/>
  <c r="K137" i="11"/>
  <c r="I137" i="11"/>
  <c r="G137" i="11"/>
  <c r="E137" i="11"/>
  <c r="C137" i="11"/>
  <c r="O131" i="11"/>
  <c r="M131" i="11"/>
  <c r="K131" i="11"/>
  <c r="I131" i="11"/>
  <c r="G131" i="11"/>
  <c r="E131" i="11"/>
  <c r="C131" i="11"/>
  <c r="O130" i="11"/>
  <c r="M130" i="11"/>
  <c r="K130" i="11"/>
  <c r="I130" i="11"/>
  <c r="G130" i="11"/>
  <c r="E130" i="11"/>
  <c r="C130" i="11"/>
  <c r="O129" i="11"/>
  <c r="M129" i="11"/>
  <c r="K129" i="11"/>
  <c r="I129" i="11"/>
  <c r="G129" i="11"/>
  <c r="E129" i="11"/>
  <c r="C129" i="11"/>
  <c r="O128" i="11"/>
  <c r="M128" i="11"/>
  <c r="K128" i="11"/>
  <c r="I128" i="11"/>
  <c r="G128" i="11"/>
  <c r="E128" i="11"/>
  <c r="C128" i="11"/>
  <c r="O127" i="11"/>
  <c r="M127" i="11"/>
  <c r="K127" i="11"/>
  <c r="I127" i="11"/>
  <c r="G127" i="11"/>
  <c r="E127" i="11"/>
  <c r="C127" i="11"/>
  <c r="O126" i="11"/>
  <c r="M126" i="11"/>
  <c r="K126" i="11"/>
  <c r="I126" i="11"/>
  <c r="G126" i="11"/>
  <c r="E126" i="11"/>
  <c r="C126" i="11"/>
  <c r="O125" i="11"/>
  <c r="M125" i="11"/>
  <c r="K125" i="11"/>
  <c r="I125" i="11"/>
  <c r="G125" i="11"/>
  <c r="E125" i="11"/>
  <c r="C125" i="11"/>
  <c r="O124" i="11"/>
  <c r="M124" i="11"/>
  <c r="K124" i="11"/>
  <c r="I124" i="11"/>
  <c r="G124" i="11"/>
  <c r="E124" i="11"/>
  <c r="C124" i="11"/>
  <c r="Q118" i="11"/>
  <c r="O118" i="11"/>
  <c r="M118" i="11"/>
  <c r="K118" i="11"/>
  <c r="I118" i="11"/>
  <c r="G118" i="11"/>
  <c r="E118" i="11"/>
  <c r="C118" i="11"/>
  <c r="Q117" i="11"/>
  <c r="E117" i="11"/>
  <c r="C117" i="11"/>
  <c r="R62" i="11" s="1"/>
  <c r="Q116" i="11"/>
  <c r="E116" i="11"/>
  <c r="C116" i="11"/>
  <c r="Q115" i="11"/>
  <c r="E115" i="11"/>
  <c r="C115" i="11"/>
  <c r="Q60" i="11" s="1"/>
  <c r="Q114" i="11"/>
  <c r="E114" i="11"/>
  <c r="C114" i="11"/>
  <c r="Q113" i="11"/>
  <c r="E113" i="11"/>
  <c r="C113" i="11"/>
  <c r="Q112" i="11"/>
  <c r="E112" i="11"/>
  <c r="C112" i="11"/>
  <c r="P57" i="11" s="1"/>
  <c r="Q111" i="11"/>
  <c r="E111" i="11"/>
  <c r="C111" i="11"/>
  <c r="F17" i="11"/>
  <c r="E56" i="19"/>
  <c r="E55" i="19"/>
  <c r="I35" i="7"/>
  <c r="I34" i="7"/>
  <c r="I33" i="7"/>
  <c r="I32" i="7"/>
  <c r="I31" i="7"/>
  <c r="I30" i="7"/>
  <c r="I29" i="7"/>
  <c r="I28" i="7"/>
  <c r="F44" i="20"/>
  <c r="F43" i="20"/>
  <c r="F42" i="20"/>
  <c r="F41" i="20"/>
  <c r="F40" i="20"/>
  <c r="F39" i="20"/>
  <c r="F38" i="20"/>
  <c r="F37" i="20"/>
  <c r="F36" i="20"/>
  <c r="F35" i="20"/>
  <c r="F34" i="2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M5253" i="22"/>
  <c r="M5252" i="22"/>
  <c r="M5251" i="22"/>
  <c r="M5250" i="22"/>
  <c r="M5249" i="22"/>
  <c r="M5248" i="22"/>
  <c r="M5247" i="22"/>
  <c r="M5246" i="22"/>
  <c r="M5245" i="22"/>
  <c r="M5244" i="22"/>
  <c r="M5243" i="22"/>
  <c r="M5242" i="22"/>
  <c r="M5241" i="22"/>
  <c r="M5240" i="22"/>
  <c r="M5239" i="22"/>
  <c r="M5238" i="22"/>
  <c r="M5237" i="22"/>
  <c r="M5236" i="22"/>
  <c r="M5235" i="22"/>
  <c r="M5234" i="22"/>
  <c r="M5233" i="22"/>
  <c r="M5232" i="22"/>
  <c r="M5231" i="22"/>
  <c r="M5230" i="22"/>
  <c r="M5229" i="22"/>
  <c r="M5228" i="22"/>
  <c r="M5227" i="22"/>
  <c r="M5226" i="22"/>
  <c r="M5225" i="22"/>
  <c r="M5224" i="22"/>
  <c r="M5223" i="22"/>
  <c r="M5222" i="22"/>
  <c r="M5221" i="22"/>
  <c r="M5220" i="22"/>
  <c r="M5219" i="22"/>
  <c r="M5218" i="22"/>
  <c r="M5217" i="22"/>
  <c r="M5216" i="22"/>
  <c r="M5215" i="22"/>
  <c r="M5214" i="22"/>
  <c r="M5213" i="22"/>
  <c r="M5212" i="22"/>
  <c r="M5211" i="22"/>
  <c r="M5210" i="22"/>
  <c r="M5209" i="22"/>
  <c r="M5208" i="22"/>
  <c r="M5207" i="22"/>
  <c r="M5206" i="22"/>
  <c r="M5205" i="22"/>
  <c r="M5204" i="22"/>
  <c r="M5203" i="22"/>
  <c r="M5202" i="22"/>
  <c r="M5201" i="22"/>
  <c r="M5200" i="22"/>
  <c r="M5199" i="22"/>
  <c r="M5198" i="22"/>
  <c r="M5197" i="22"/>
  <c r="M5196" i="22"/>
  <c r="M5195" i="22"/>
  <c r="M5194" i="22"/>
  <c r="M5193" i="22"/>
  <c r="M5192" i="22"/>
  <c r="M5191" i="22"/>
  <c r="M5190" i="22"/>
  <c r="M5189" i="22"/>
  <c r="M5188" i="22"/>
  <c r="M5187" i="22"/>
  <c r="M5186" i="22"/>
  <c r="M5185" i="22"/>
  <c r="M5184" i="22"/>
  <c r="M5183" i="22"/>
  <c r="M5182" i="22"/>
  <c r="M5181" i="22"/>
  <c r="M5180" i="22"/>
  <c r="M5179" i="22"/>
  <c r="M5178" i="22"/>
  <c r="M5177" i="22"/>
  <c r="M5176" i="22"/>
  <c r="M5175" i="22"/>
  <c r="M5174" i="22"/>
  <c r="M5173" i="22"/>
  <c r="M5172" i="22"/>
  <c r="M5171" i="22"/>
  <c r="M5170" i="22"/>
  <c r="M5169" i="22"/>
  <c r="M5168" i="22"/>
  <c r="M5167" i="22"/>
  <c r="M5166" i="22"/>
  <c r="M5165" i="22"/>
  <c r="M5164" i="22"/>
  <c r="M5163" i="22"/>
  <c r="M5162" i="22"/>
  <c r="M5161" i="22"/>
  <c r="M5160" i="22"/>
  <c r="M5159" i="22"/>
  <c r="M5158" i="22"/>
  <c r="M5157" i="22"/>
  <c r="M5156" i="22"/>
  <c r="M5155" i="22"/>
  <c r="M5154" i="22"/>
  <c r="M5153" i="22"/>
  <c r="M5152" i="22"/>
  <c r="M5151" i="22"/>
  <c r="M5150" i="22"/>
  <c r="M5149" i="22"/>
  <c r="M5148" i="22"/>
  <c r="M5147" i="22"/>
  <c r="M5146" i="22"/>
  <c r="M5145" i="22"/>
  <c r="M5144" i="22"/>
  <c r="M5143" i="22"/>
  <c r="M5142" i="22"/>
  <c r="M5141" i="22"/>
  <c r="M5140" i="22"/>
  <c r="M5139" i="22"/>
  <c r="M5138" i="22"/>
  <c r="M5137" i="22"/>
  <c r="M5136" i="22"/>
  <c r="M5135" i="22"/>
  <c r="M5134" i="22"/>
  <c r="M5133" i="22"/>
  <c r="M5132" i="22"/>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Z173" i="3"/>
  <c r="M78" i="27" s="1"/>
  <c r="Z190" i="3"/>
  <c r="M79" i="27" s="1"/>
  <c r="Z210" i="3"/>
  <c r="M80" i="27" s="1"/>
  <c r="Z390" i="3"/>
  <c r="M86" i="27" s="1"/>
  <c r="Z54" i="3"/>
  <c r="M192" i="27" s="1"/>
  <c r="Z123" i="3"/>
  <c r="M195" i="27" s="1"/>
  <c r="Z141" i="3"/>
  <c r="M196" i="27" s="1"/>
  <c r="Z157" i="3"/>
  <c r="M197" i="27" s="1"/>
  <c r="T197" i="27" s="1"/>
  <c r="Z191" i="3"/>
  <c r="M199" i="27" s="1"/>
  <c r="Z229" i="3"/>
  <c r="M201" i="27" s="1"/>
  <c r="Z267" i="3"/>
  <c r="M203" i="27" s="1"/>
  <c r="T203" i="27" s="1"/>
  <c r="Z285" i="3"/>
  <c r="M207" i="27" s="1"/>
  <c r="Z369" i="3"/>
  <c r="M209" i="27" s="1"/>
  <c r="Z78" i="3"/>
  <c r="M313" i="27" s="1"/>
  <c r="Z124" i="3"/>
  <c r="M315" i="27" s="1"/>
  <c r="Z212" i="3"/>
  <c r="M320" i="27" s="1"/>
  <c r="T320" i="27" s="1"/>
  <c r="Z415" i="3"/>
  <c r="M331" i="27" s="1"/>
  <c r="Z56" i="3"/>
  <c r="M102" i="27" s="1"/>
  <c r="Z79" i="3"/>
  <c r="M103" i="27" s="1"/>
  <c r="Z125" i="3"/>
  <c r="M105" i="27" s="1"/>
  <c r="Z230" i="3"/>
  <c r="M111" i="27" s="1"/>
  <c r="Z253" i="3"/>
  <c r="M112" i="27" s="1"/>
  <c r="Z269" i="3"/>
  <c r="M113" i="27" s="1"/>
  <c r="T113" i="27" s="1"/>
  <c r="Z286" i="3"/>
  <c r="M117" i="27" s="1"/>
  <c r="Z309" i="3"/>
  <c r="M118" i="27" s="1"/>
  <c r="Z330" i="3"/>
  <c r="M114" i="27" s="1"/>
  <c r="Z353" i="3"/>
  <c r="M115" i="27" s="1"/>
  <c r="Z370" i="3"/>
  <c r="M119" i="27" s="1"/>
  <c r="Z393" i="3"/>
  <c r="M116" i="27" s="1"/>
  <c r="Z416" i="3"/>
  <c r="M121" i="27" s="1"/>
  <c r="Z34" i="3"/>
  <c r="Z57" i="3"/>
  <c r="M222" i="27" s="1"/>
  <c r="Z103" i="3"/>
  <c r="M224" i="27" s="1"/>
  <c r="T224" i="27" s="1"/>
  <c r="Z126" i="3"/>
  <c r="M225" i="27" s="1"/>
  <c r="T225" i="27" s="1"/>
  <c r="Z143" i="3"/>
  <c r="M226" i="27" s="1"/>
  <c r="T226" i="27" s="1"/>
  <c r="Z176" i="3"/>
  <c r="M228" i="27" s="1"/>
  <c r="T228" i="27" s="1"/>
  <c r="Z193" i="3"/>
  <c r="M229" i="27" s="1"/>
  <c r="T229" i="27" s="1"/>
  <c r="Z214" i="3"/>
  <c r="M230" i="27" s="1"/>
  <c r="T230" i="27" s="1"/>
  <c r="Z231" i="3"/>
  <c r="M231" i="27" s="1"/>
  <c r="T231" i="27" s="1"/>
  <c r="Z254" i="3"/>
  <c r="M232" i="27" s="1"/>
  <c r="T232" i="27" s="1"/>
  <c r="Z331" i="3"/>
  <c r="M234" i="27" s="1"/>
  <c r="T234" i="27" s="1"/>
  <c r="Z371" i="3"/>
  <c r="M239" i="27" s="1"/>
  <c r="T239" i="27" s="1"/>
  <c r="Z418" i="3"/>
  <c r="Z419" i="3"/>
  <c r="Z420" i="3"/>
  <c r="Z421" i="3"/>
  <c r="Z426" i="3"/>
  <c r="Z427" i="3"/>
  <c r="Z429" i="3"/>
  <c r="Z430" i="3"/>
  <c r="Z431" i="3"/>
  <c r="Z432" i="3"/>
  <c r="Z433" i="3"/>
  <c r="Z437" i="3"/>
  <c r="Z438" i="3"/>
  <c r="Z439" i="3"/>
  <c r="Z440" i="3"/>
  <c r="Z445" i="3"/>
  <c r="Z451" i="3"/>
  <c r="Z452" i="3"/>
  <c r="Z457" i="3"/>
  <c r="Z459" i="3"/>
  <c r="Z463" i="3"/>
  <c r="Z464" i="3"/>
  <c r="Z465" i="3"/>
  <c r="Z469" i="3"/>
  <c r="Z471" i="3"/>
  <c r="Z473" i="3"/>
  <c r="Z474" i="3"/>
  <c r="Z475" i="3"/>
  <c r="Z476" i="3"/>
  <c r="Z477" i="3"/>
  <c r="Z479" i="3"/>
  <c r="Z480" i="3"/>
  <c r="Z487" i="3"/>
  <c r="Z488" i="3"/>
  <c r="Z493" i="3"/>
  <c r="Z499" i="3"/>
  <c r="Z500" i="3"/>
  <c r="Z501" i="3"/>
  <c r="Z505" i="3"/>
  <c r="Z507" i="3"/>
  <c r="Z508" i="3"/>
  <c r="Y353" i="3"/>
  <c r="Y126" i="3"/>
  <c r="Y419" i="3"/>
  <c r="AB419" i="3" s="1"/>
  <c r="Y173" i="3"/>
  <c r="Y210" i="3"/>
  <c r="N70" i="12" l="1"/>
  <c r="O149" i="13"/>
  <c r="M61" i="11"/>
  <c r="P61" i="11"/>
  <c r="D64" i="25"/>
  <c r="G103" i="25"/>
  <c r="R104" i="25"/>
  <c r="E42" i="25"/>
  <c r="S65" i="25"/>
  <c r="E46" i="25"/>
  <c r="AB210" i="3"/>
  <c r="L80" i="27"/>
  <c r="T222" i="27"/>
  <c r="R67" i="26"/>
  <c r="S67" i="26" s="1"/>
  <c r="M221" i="27"/>
  <c r="I26" i="12"/>
  <c r="N28" i="12"/>
  <c r="D65" i="25"/>
  <c r="AB173" i="3"/>
  <c r="L78" i="27"/>
  <c r="AB126" i="3"/>
  <c r="L225" i="27"/>
  <c r="S225" i="27" s="1"/>
  <c r="AB353" i="3"/>
  <c r="L115" i="27"/>
  <c r="I84" i="12"/>
  <c r="O103" i="25"/>
  <c r="F73" i="25"/>
  <c r="C104" i="25"/>
  <c r="N59" i="12"/>
  <c r="S59" i="12"/>
  <c r="P149" i="13"/>
  <c r="N27" i="12"/>
  <c r="G35" i="26"/>
  <c r="N43" i="12"/>
  <c r="I43" i="12"/>
  <c r="N30" i="13"/>
  <c r="M30" i="13"/>
  <c r="L30" i="13"/>
  <c r="K30" i="13"/>
  <c r="J30" i="13"/>
  <c r="Q105" i="25"/>
  <c r="H102" i="25"/>
  <c r="C18" i="25"/>
  <c r="M102" i="25"/>
  <c r="D105" i="25"/>
  <c r="U103" i="25"/>
  <c r="H63" i="26"/>
  <c r="H62" i="26"/>
  <c r="R33" i="26"/>
  <c r="R34" i="26"/>
  <c r="M62" i="26" a="1"/>
  <c r="M62" i="26" s="1"/>
  <c r="M63" i="26" a="1"/>
  <c r="M63" i="26" s="1"/>
  <c r="M34" i="26"/>
  <c r="M33" i="26"/>
  <c r="R63" i="26"/>
  <c r="R62" i="26"/>
  <c r="M91" i="26" a="1"/>
  <c r="M91" i="26" s="1"/>
  <c r="M92" i="26" a="1"/>
  <c r="M92" i="26" s="1"/>
  <c r="H33" i="26"/>
  <c r="H34" i="26"/>
  <c r="H92" i="26" a="1"/>
  <c r="H92" i="26" s="1"/>
  <c r="H91" i="26" a="1"/>
  <c r="H91" i="26" s="1"/>
  <c r="N74" i="12"/>
  <c r="N40" i="12"/>
  <c r="N58" i="12"/>
  <c r="N71" i="12"/>
  <c r="N65" i="12"/>
  <c r="N36" i="12"/>
  <c r="S26" i="12"/>
  <c r="I41" i="12"/>
  <c r="N72" i="12"/>
  <c r="N84" i="12"/>
  <c r="N29" i="12"/>
  <c r="N45" i="12"/>
  <c r="N69" i="12"/>
  <c r="N31" i="12"/>
  <c r="R65" i="25"/>
  <c r="N55" i="12"/>
  <c r="N56" i="12"/>
  <c r="S55" i="12"/>
  <c r="N42" i="12"/>
  <c r="N41" i="12"/>
  <c r="N30" i="12"/>
  <c r="N32" i="12"/>
  <c r="S39" i="12"/>
  <c r="N60" i="12"/>
  <c r="N44" i="25"/>
  <c r="I45" i="12"/>
  <c r="N57" i="12"/>
  <c r="N61" i="12"/>
  <c r="N68" i="12"/>
  <c r="N39" i="12"/>
  <c r="N73" i="12"/>
  <c r="N44" i="12"/>
  <c r="S27" i="12"/>
  <c r="I55" i="12"/>
  <c r="N26" i="12"/>
  <c r="E65" i="25"/>
  <c r="N65" i="25"/>
  <c r="N47" i="25"/>
  <c r="N41" i="25"/>
  <c r="E45" i="25"/>
  <c r="N48" i="25"/>
  <c r="Y269" i="3"/>
  <c r="Y190" i="3"/>
  <c r="N42" i="25"/>
  <c r="N46" i="25"/>
  <c r="E41" i="25"/>
  <c r="H35" i="12"/>
  <c r="E48" i="25"/>
  <c r="N45" i="25"/>
  <c r="E47" i="25"/>
  <c r="E43" i="25"/>
  <c r="E44" i="25"/>
  <c r="P27" i="13"/>
  <c r="O28" i="13"/>
  <c r="O27" i="13"/>
  <c r="O30" i="13"/>
  <c r="P30" i="13"/>
  <c r="P28" i="13"/>
  <c r="G35" i="12"/>
  <c r="P150" i="13"/>
  <c r="O150" i="13"/>
  <c r="O147" i="13"/>
  <c r="M43" i="25" a="1"/>
  <c r="M43" i="25" s="1"/>
  <c r="N43" i="25"/>
  <c r="B65" i="25"/>
  <c r="C103" i="25"/>
  <c r="D102" i="25"/>
  <c r="M103" i="25"/>
  <c r="D103" i="25"/>
  <c r="P65" i="25"/>
  <c r="L65" i="25"/>
  <c r="G65" i="25"/>
  <c r="I65" i="25"/>
  <c r="O104" i="25"/>
  <c r="N104" i="25"/>
  <c r="R102" i="25"/>
  <c r="M105" i="25"/>
  <c r="P104" i="25"/>
  <c r="I103" i="25"/>
  <c r="J18" i="25"/>
  <c r="T102" i="25"/>
  <c r="L105" i="25"/>
  <c r="O65" i="25"/>
  <c r="H65" i="25"/>
  <c r="L103" i="25"/>
  <c r="Q65" i="25"/>
  <c r="J102" i="25"/>
  <c r="U104" i="25"/>
  <c r="Q104" i="25"/>
  <c r="AA78" i="3"/>
  <c r="AA54" i="3"/>
  <c r="AA451" i="3"/>
  <c r="AC451" i="3" s="1"/>
  <c r="AA229" i="3"/>
  <c r="Y500" i="3"/>
  <c r="AB500" i="3" s="1"/>
  <c r="Y440" i="3"/>
  <c r="AB440" i="3" s="1"/>
  <c r="AA427" i="3"/>
  <c r="AC427" i="3" s="1"/>
  <c r="AA286" i="3"/>
  <c r="AA473" i="3"/>
  <c r="AC473" i="3" s="1"/>
  <c r="Y488" i="3"/>
  <c r="AB488" i="3" s="1"/>
  <c r="Y464" i="3"/>
  <c r="AB464" i="3" s="1"/>
  <c r="Y433" i="3"/>
  <c r="AB433" i="3" s="1"/>
  <c r="Y309" i="3"/>
  <c r="AA439" i="3"/>
  <c r="AC439" i="3" s="1"/>
  <c r="AA212" i="3"/>
  <c r="Y502" i="3"/>
  <c r="AB502" i="3" s="1"/>
  <c r="AA430" i="3"/>
  <c r="AC430" i="3" s="1"/>
  <c r="Z502" i="3"/>
  <c r="AA502" i="3" s="1"/>
  <c r="AC502" i="3" s="1"/>
  <c r="Y418" i="3"/>
  <c r="AB418" i="3" s="1"/>
  <c r="Y212" i="3"/>
  <c r="Y490" i="3"/>
  <c r="AB490" i="3" s="1"/>
  <c r="AA508" i="3"/>
  <c r="AC508" i="3" s="1"/>
  <c r="Y424" i="3"/>
  <c r="AB424" i="3" s="1"/>
  <c r="Z424" i="3"/>
  <c r="AA424" i="3" s="1"/>
  <c r="AC424" i="3" s="1"/>
  <c r="AA507" i="3"/>
  <c r="AC507" i="3" s="1"/>
  <c r="AA493" i="3"/>
  <c r="AC493" i="3" s="1"/>
  <c r="AA433" i="3"/>
  <c r="AC433" i="3" s="1"/>
  <c r="Y230" i="3"/>
  <c r="Z436" i="3"/>
  <c r="AA436" i="3" s="1"/>
  <c r="AC436" i="3" s="1"/>
  <c r="Y436" i="3"/>
  <c r="AB436" i="3" s="1"/>
  <c r="AA505" i="3"/>
  <c r="AC505" i="3" s="1"/>
  <c r="Z481" i="3"/>
  <c r="AA481" i="3" s="1"/>
  <c r="AC481" i="3" s="1"/>
  <c r="Y481" i="3"/>
  <c r="AB481" i="3" s="1"/>
  <c r="AA123" i="3"/>
  <c r="Y478" i="3"/>
  <c r="AB478" i="3" s="1"/>
  <c r="Y454" i="3"/>
  <c r="AB454" i="3" s="1"/>
  <c r="Z442" i="3"/>
  <c r="AA442" i="3" s="1"/>
  <c r="AC442" i="3" s="1"/>
  <c r="Y442" i="3"/>
  <c r="AB442" i="3" s="1"/>
  <c r="AA418" i="3"/>
  <c r="AC418" i="3" s="1"/>
  <c r="AA353" i="3"/>
  <c r="Y54" i="3"/>
  <c r="Z454" i="3"/>
  <c r="AA454" i="3" s="1"/>
  <c r="AC454" i="3" s="1"/>
  <c r="AA474" i="3"/>
  <c r="AC474" i="3" s="1"/>
  <c r="Z466" i="3"/>
  <c r="AA466" i="3" s="1"/>
  <c r="AC466" i="3" s="1"/>
  <c r="Y466" i="3"/>
  <c r="AB466" i="3" s="1"/>
  <c r="Y430" i="3"/>
  <c r="AB430" i="3" s="1"/>
  <c r="AA125" i="3"/>
  <c r="Z490" i="3"/>
  <c r="AA490" i="3" s="1"/>
  <c r="AC490" i="3" s="1"/>
  <c r="AA477" i="3"/>
  <c r="AC477" i="3" s="1"/>
  <c r="AA487" i="3"/>
  <c r="AC487" i="3" s="1"/>
  <c r="AA475" i="3"/>
  <c r="AC475" i="3" s="1"/>
  <c r="U105" i="25"/>
  <c r="H104" i="25"/>
  <c r="I104" i="25"/>
  <c r="R105" i="25"/>
  <c r="P102" i="25"/>
  <c r="P147" i="13"/>
  <c r="M104" i="25"/>
  <c r="E193" i="25"/>
  <c r="K104" i="25"/>
  <c r="T104" i="25"/>
  <c r="K103" i="25"/>
  <c r="J103" i="25"/>
  <c r="C85" i="25"/>
  <c r="E102" i="25"/>
  <c r="G105" i="25"/>
  <c r="C105" i="25"/>
  <c r="H105" i="25"/>
  <c r="E104" i="25"/>
  <c r="Q103" i="25"/>
  <c r="L104" i="25"/>
  <c r="F105" i="25"/>
  <c r="Q102" i="25"/>
  <c r="C87" i="25"/>
  <c r="D104" i="25"/>
  <c r="P103" i="25"/>
  <c r="T105" i="25"/>
  <c r="N105" i="25"/>
  <c r="O105" i="25"/>
  <c r="K105" i="25"/>
  <c r="T103" i="25"/>
  <c r="E105" i="25"/>
  <c r="K102" i="25"/>
  <c r="F103" i="25"/>
  <c r="P105" i="25"/>
  <c r="N103" i="25"/>
  <c r="S102" i="25"/>
  <c r="J15" i="25"/>
  <c r="J105" i="25"/>
  <c r="J104" i="25"/>
  <c r="O102" i="25"/>
  <c r="G104" i="25"/>
  <c r="C15" i="25"/>
  <c r="S103" i="25"/>
  <c r="F102" i="25"/>
  <c r="E84" i="25"/>
  <c r="E103" i="25"/>
  <c r="S104" i="25"/>
  <c r="C76" i="25"/>
  <c r="E190" i="25"/>
  <c r="G102" i="25"/>
  <c r="C102" i="25"/>
  <c r="B104" i="25"/>
  <c r="D24" i="25"/>
  <c r="I105" i="25"/>
  <c r="H103" i="25"/>
  <c r="R103" i="25"/>
  <c r="L102" i="25"/>
  <c r="D74" i="25"/>
  <c r="B102" i="25"/>
  <c r="C75" i="25"/>
  <c r="C73" i="25"/>
  <c r="G76" i="25"/>
  <c r="I102" i="25"/>
  <c r="C86" i="25"/>
  <c r="N102" i="25"/>
  <c r="AA457" i="3"/>
  <c r="AC457" i="3" s="1"/>
  <c r="AA421" i="3"/>
  <c r="AC421" i="3" s="1"/>
  <c r="Z478" i="3"/>
  <c r="AA478" i="3" s="1"/>
  <c r="AC478" i="3" s="1"/>
  <c r="Y123" i="3"/>
  <c r="Y504" i="3"/>
  <c r="AB504" i="3" s="1"/>
  <c r="AA480" i="3"/>
  <c r="AC480" i="3" s="1"/>
  <c r="Y456" i="3"/>
  <c r="AB456" i="3" s="1"/>
  <c r="AA432" i="3"/>
  <c r="AC432" i="3" s="1"/>
  <c r="AA420" i="3"/>
  <c r="AC420" i="3" s="1"/>
  <c r="Y191" i="3"/>
  <c r="Y477" i="3"/>
  <c r="AB477" i="3" s="1"/>
  <c r="Y429" i="3"/>
  <c r="AB429" i="3" s="1"/>
  <c r="Y503" i="3"/>
  <c r="AB503" i="3" s="1"/>
  <c r="AA479" i="3"/>
  <c r="AC479" i="3" s="1"/>
  <c r="Y455" i="3"/>
  <c r="AB455" i="3" s="1"/>
  <c r="AA431" i="3"/>
  <c r="AC431" i="3" s="1"/>
  <c r="AA419" i="3"/>
  <c r="AC419" i="3" s="1"/>
  <c r="Y476" i="3"/>
  <c r="AB476" i="3" s="1"/>
  <c r="AA193" i="3"/>
  <c r="AA285" i="3"/>
  <c r="AA210" i="3"/>
  <c r="Y452" i="3"/>
  <c r="AB452" i="3" s="1"/>
  <c r="Y330" i="3"/>
  <c r="Y473" i="3"/>
  <c r="AB473" i="3" s="1"/>
  <c r="Y425" i="3"/>
  <c r="AB425" i="3" s="1"/>
  <c r="Y501" i="3"/>
  <c r="AB501" i="3" s="1"/>
  <c r="Z425" i="3"/>
  <c r="AA425" i="3" s="1"/>
  <c r="AC425" i="3" s="1"/>
  <c r="Y437" i="3"/>
  <c r="AB437" i="3" s="1"/>
  <c r="Y79" i="3"/>
  <c r="AA471" i="3"/>
  <c r="AC471" i="3" s="1"/>
  <c r="AA57" i="3"/>
  <c r="E65" i="11"/>
  <c r="R64" i="25"/>
  <c r="H24" i="25"/>
  <c r="D46" i="25" a="1"/>
  <c r="D46" i="25" s="1"/>
  <c r="E20" i="25"/>
  <c r="E21" i="25"/>
  <c r="H21" i="25"/>
  <c r="G21" i="25"/>
  <c r="D21" i="25"/>
  <c r="D193" i="25"/>
  <c r="D20" i="25"/>
  <c r="D45" i="25" a="1"/>
  <c r="D45" i="25" s="1"/>
  <c r="D23" i="25"/>
  <c r="Z31" i="25"/>
  <c r="Y31" i="25" s="1"/>
  <c r="H20" i="25"/>
  <c r="S64" i="25"/>
  <c r="B22" i="25"/>
  <c r="E201" i="25" s="1"/>
  <c r="G201" i="25" s="1"/>
  <c r="D43" i="25" a="1"/>
  <c r="D43" i="25" s="1"/>
  <c r="N64" i="25"/>
  <c r="Y193" i="25"/>
  <c r="X193" i="25"/>
  <c r="G24" i="25"/>
  <c r="E24" i="25"/>
  <c r="M64" i="25"/>
  <c r="M48" i="25" a="1"/>
  <c r="M48" i="25" s="1"/>
  <c r="Z504" i="3"/>
  <c r="AA504" i="3" s="1"/>
  <c r="AC504" i="3" s="1"/>
  <c r="Y480" i="3"/>
  <c r="AB480" i="3" s="1"/>
  <c r="Y393" i="3"/>
  <c r="Y443" i="3"/>
  <c r="AB443" i="3" s="1"/>
  <c r="Z443" i="3"/>
  <c r="AA443" i="3" s="1"/>
  <c r="AC443" i="3" s="1"/>
  <c r="Z252" i="3"/>
  <c r="Y252" i="3"/>
  <c r="Z503" i="3"/>
  <c r="AA503" i="3" s="1"/>
  <c r="AC503" i="3" s="1"/>
  <c r="Y479" i="3"/>
  <c r="AB479" i="3" s="1"/>
  <c r="Y370" i="3"/>
  <c r="AA465" i="3"/>
  <c r="AC465" i="3" s="1"/>
  <c r="Z453" i="3"/>
  <c r="AA453" i="3" s="1"/>
  <c r="AC453" i="3" s="1"/>
  <c r="Y453" i="3"/>
  <c r="AB453" i="3" s="1"/>
  <c r="Y31" i="3"/>
  <c r="L191" i="27" s="1"/>
  <c r="Y444" i="3"/>
  <c r="AB444" i="3" s="1"/>
  <c r="Y467" i="3"/>
  <c r="AB467" i="3" s="1"/>
  <c r="Z467" i="3"/>
  <c r="AA467" i="3" s="1"/>
  <c r="AC467" i="3" s="1"/>
  <c r="H16" i="25"/>
  <c r="G16" i="25"/>
  <c r="Y468" i="3"/>
  <c r="AB468" i="3" s="1"/>
  <c r="Z468" i="3"/>
  <c r="AA468" i="3" s="1"/>
  <c r="AC468" i="3" s="1"/>
  <c r="Z456" i="3"/>
  <c r="AA456" i="3" s="1"/>
  <c r="AC456" i="3" s="1"/>
  <c r="S61" i="11"/>
  <c r="R61" i="11"/>
  <c r="Z455" i="3"/>
  <c r="AA455" i="3" s="1"/>
  <c r="AC455" i="3" s="1"/>
  <c r="Y491" i="3"/>
  <c r="AB491" i="3" s="1"/>
  <c r="Z491" i="3"/>
  <c r="AA491" i="3" s="1"/>
  <c r="AC491" i="3" s="1"/>
  <c r="L58" i="11"/>
  <c r="S58" i="11"/>
  <c r="R58" i="11"/>
  <c r="Y492" i="3"/>
  <c r="AB492" i="3" s="1"/>
  <c r="Z492" i="3"/>
  <c r="AA492" i="3" s="1"/>
  <c r="AC492" i="3" s="1"/>
  <c r="Y432" i="3"/>
  <c r="AB432" i="3" s="1"/>
  <c r="Y431" i="3"/>
  <c r="AB431" i="3" s="1"/>
  <c r="Z444" i="3"/>
  <c r="AA444" i="3" s="1"/>
  <c r="AC444" i="3" s="1"/>
  <c r="Z142" i="3"/>
  <c r="Y142" i="3"/>
  <c r="Y471" i="3"/>
  <c r="AB471" i="3" s="1"/>
  <c r="AA459" i="3"/>
  <c r="AC459" i="3" s="1"/>
  <c r="Z423" i="3"/>
  <c r="AA423" i="3" s="1"/>
  <c r="AC423" i="3" s="1"/>
  <c r="Y423" i="3"/>
  <c r="AB423" i="3" s="1"/>
  <c r="M58" i="11"/>
  <c r="Z494" i="3"/>
  <c r="AA494" i="3" s="1"/>
  <c r="AC494" i="3" s="1"/>
  <c r="Y494" i="3"/>
  <c r="AB494" i="3" s="1"/>
  <c r="Z422" i="3"/>
  <c r="AA422" i="3" s="1"/>
  <c r="AC422" i="3" s="1"/>
  <c r="Y422" i="3"/>
  <c r="AB422" i="3" s="1"/>
  <c r="N58" i="11"/>
  <c r="D190" i="25"/>
  <c r="Y420" i="3"/>
  <c r="AB420" i="3" s="1"/>
  <c r="Y157" i="3"/>
  <c r="Y505" i="3"/>
  <c r="AB505" i="3" s="1"/>
  <c r="Y493" i="3"/>
  <c r="AB493" i="3" s="1"/>
  <c r="AA469" i="3"/>
  <c r="AC469" i="3" s="1"/>
  <c r="AA445" i="3"/>
  <c r="AC445" i="3" s="1"/>
  <c r="AA254" i="3"/>
  <c r="Q58" i="11"/>
  <c r="Y426" i="3"/>
  <c r="AB426" i="3" s="1"/>
  <c r="AA79" i="3"/>
  <c r="AA499" i="3"/>
  <c r="AC499" i="3" s="1"/>
  <c r="AA463" i="3"/>
  <c r="AC463" i="3" s="1"/>
  <c r="AA56" i="3"/>
  <c r="AA126" i="3"/>
  <c r="M47" i="25" a="1"/>
  <c r="M47" i="25" s="1"/>
  <c r="AA438" i="3"/>
  <c r="AC438" i="3" s="1"/>
  <c r="Y438" i="3"/>
  <c r="AB438" i="3" s="1"/>
  <c r="Y285" i="3"/>
  <c r="Q61" i="11"/>
  <c r="M41" i="25" a="1"/>
  <c r="M41" i="25" s="1"/>
  <c r="O58" i="11"/>
  <c r="P58" i="11"/>
  <c r="X192" i="25"/>
  <c r="L61" i="11"/>
  <c r="AA34" i="3"/>
  <c r="N221" i="27" s="1"/>
  <c r="M118" i="25"/>
  <c r="Q48" i="25" s="1"/>
  <c r="L63" i="11"/>
  <c r="R63" i="11"/>
  <c r="Y474" i="3"/>
  <c r="AB474" i="3" s="1"/>
  <c r="AA426" i="3"/>
  <c r="AC426" i="3" s="1"/>
  <c r="AA269" i="3"/>
  <c r="Y55" i="3"/>
  <c r="Z368" i="3"/>
  <c r="Y368" i="3"/>
  <c r="Z498" i="3"/>
  <c r="AA498" i="3" s="1"/>
  <c r="AC498" i="3" s="1"/>
  <c r="Y498" i="3"/>
  <c r="AB498" i="3" s="1"/>
  <c r="Z450" i="3"/>
  <c r="AA450" i="3" s="1"/>
  <c r="AC450" i="3" s="1"/>
  <c r="Y450" i="3"/>
  <c r="AB450" i="3" s="1"/>
  <c r="Z354" i="3"/>
  <c r="Y354" i="3"/>
  <c r="Y211" i="3"/>
  <c r="Y497" i="3"/>
  <c r="AB497" i="3" s="1"/>
  <c r="Z497" i="3"/>
  <c r="AA497" i="3" s="1"/>
  <c r="AC497" i="3" s="1"/>
  <c r="Z449" i="3"/>
  <c r="AA449" i="3" s="1"/>
  <c r="AC449" i="3" s="1"/>
  <c r="Y449" i="3"/>
  <c r="AB449" i="3" s="1"/>
  <c r="AA253" i="3"/>
  <c r="Z32" i="3"/>
  <c r="G116" i="25"/>
  <c r="O46" i="25" s="1"/>
  <c r="Z350" i="3"/>
  <c r="Y350" i="3"/>
  <c r="M59" i="11"/>
  <c r="L59" i="11"/>
  <c r="I117" i="25"/>
  <c r="T62" i="25"/>
  <c r="Z486" i="3"/>
  <c r="AA486" i="3" s="1"/>
  <c r="AC486" i="3" s="1"/>
  <c r="Y486" i="3"/>
  <c r="AB486" i="3" s="1"/>
  <c r="Y462" i="3"/>
  <c r="AB462" i="3" s="1"/>
  <c r="Z462" i="3"/>
  <c r="AA462" i="3" s="1"/>
  <c r="AC462" i="3" s="1"/>
  <c r="Y33" i="3"/>
  <c r="U62" i="25" s="1"/>
  <c r="G117" i="25"/>
  <c r="O47" i="25" s="1"/>
  <c r="Z33" i="3"/>
  <c r="Z55" i="3"/>
  <c r="I116" i="25"/>
  <c r="T61" i="25"/>
  <c r="Y509" i="3"/>
  <c r="AB509" i="3" s="1"/>
  <c r="Z509" i="3"/>
  <c r="AA509" i="3" s="1"/>
  <c r="AC509" i="3" s="1"/>
  <c r="Y485" i="3"/>
  <c r="AB485" i="3" s="1"/>
  <c r="Z485" i="3"/>
  <c r="AA485" i="3" s="1"/>
  <c r="AC485" i="3" s="1"/>
  <c r="Y461" i="3"/>
  <c r="AB461" i="3" s="1"/>
  <c r="Z461" i="3"/>
  <c r="AA461" i="3" s="1"/>
  <c r="AC461" i="3" s="1"/>
  <c r="AA437" i="3"/>
  <c r="AC437" i="3" s="1"/>
  <c r="AA331" i="3"/>
  <c r="Y103" i="3"/>
  <c r="AA415" i="3"/>
  <c r="AA191" i="3"/>
  <c r="Y369" i="3"/>
  <c r="Y508" i="3"/>
  <c r="AB508" i="3" s="1"/>
  <c r="Y496" i="3"/>
  <c r="AB496" i="3" s="1"/>
  <c r="Z496" i="3"/>
  <c r="AA496" i="3" s="1"/>
  <c r="AC496" i="3" s="1"/>
  <c r="Y484" i="3"/>
  <c r="AB484" i="3" s="1"/>
  <c r="Z484" i="3"/>
  <c r="AA484" i="3" s="1"/>
  <c r="AC484" i="3" s="1"/>
  <c r="Y472" i="3"/>
  <c r="AB472" i="3" s="1"/>
  <c r="Z472" i="3"/>
  <c r="AA472" i="3" s="1"/>
  <c r="AC472" i="3" s="1"/>
  <c r="Y460" i="3"/>
  <c r="AB460" i="3" s="1"/>
  <c r="Z460" i="3"/>
  <c r="AA460" i="3" s="1"/>
  <c r="AC460" i="3" s="1"/>
  <c r="Z448" i="3"/>
  <c r="AA448" i="3" s="1"/>
  <c r="AC448" i="3" s="1"/>
  <c r="Y448" i="3"/>
  <c r="AB448" i="3" s="1"/>
  <c r="O64" i="25"/>
  <c r="Y507" i="3"/>
  <c r="AB507" i="3" s="1"/>
  <c r="Y495" i="3"/>
  <c r="AB495" i="3" s="1"/>
  <c r="Z495" i="3"/>
  <c r="AA495" i="3" s="1"/>
  <c r="AC495" i="3" s="1"/>
  <c r="Y483" i="3"/>
  <c r="AB483" i="3" s="1"/>
  <c r="Z483" i="3"/>
  <c r="AA483" i="3" s="1"/>
  <c r="AC483" i="3" s="1"/>
  <c r="Y459" i="3"/>
  <c r="AB459" i="3" s="1"/>
  <c r="Z447" i="3"/>
  <c r="AA447" i="3" s="1"/>
  <c r="AC447" i="3" s="1"/>
  <c r="Y447" i="3"/>
  <c r="AB447" i="3" s="1"/>
  <c r="Y435" i="3"/>
  <c r="AB435" i="3" s="1"/>
  <c r="Z435" i="3"/>
  <c r="AA435" i="3" s="1"/>
  <c r="AC435" i="3" s="1"/>
  <c r="Y287" i="3"/>
  <c r="Z287" i="3"/>
  <c r="Y57" i="3"/>
  <c r="Z213" i="3"/>
  <c r="Y213" i="3"/>
  <c r="Z352" i="3"/>
  <c r="Y352" i="3"/>
  <c r="Z391" i="3"/>
  <c r="Y391" i="3"/>
  <c r="AA157" i="3"/>
  <c r="Y306" i="3"/>
  <c r="Z306" i="3"/>
  <c r="Y470" i="3"/>
  <c r="AB470" i="3" s="1"/>
  <c r="Z470" i="3"/>
  <c r="AA470" i="3" s="1"/>
  <c r="AC470" i="3" s="1"/>
  <c r="Z446" i="3"/>
  <c r="AA446" i="3" s="1"/>
  <c r="AC446" i="3" s="1"/>
  <c r="Y446" i="3"/>
  <c r="AB446" i="3" s="1"/>
  <c r="Z434" i="3"/>
  <c r="AA434" i="3" s="1"/>
  <c r="AC434" i="3" s="1"/>
  <c r="Y434" i="3"/>
  <c r="AB434" i="3" s="1"/>
  <c r="Z270" i="3"/>
  <c r="Y270" i="3"/>
  <c r="Y192" i="3"/>
  <c r="Z192" i="3"/>
  <c r="AA369" i="3"/>
  <c r="Y284" i="3"/>
  <c r="Z284" i="3"/>
  <c r="Z211" i="3"/>
  <c r="I118" i="25"/>
  <c r="T63" i="25"/>
  <c r="Y506" i="3"/>
  <c r="AB506" i="3" s="1"/>
  <c r="Y482" i="3"/>
  <c r="AB482" i="3" s="1"/>
  <c r="Z482" i="3"/>
  <c r="AA482" i="3" s="1"/>
  <c r="AC482" i="3" s="1"/>
  <c r="Y458" i="3"/>
  <c r="AB458" i="3" s="1"/>
  <c r="Z458" i="3"/>
  <c r="AA458" i="3" s="1"/>
  <c r="AC458" i="3" s="1"/>
  <c r="G118" i="25"/>
  <c r="O48" i="25" s="1"/>
  <c r="Y34" i="3"/>
  <c r="Z329" i="3"/>
  <c r="Y329" i="3"/>
  <c r="AA141" i="3"/>
  <c r="Z506" i="3"/>
  <c r="AA506" i="3" s="1"/>
  <c r="AC506" i="3" s="1"/>
  <c r="AA103" i="3"/>
  <c r="Y141" i="3"/>
  <c r="Y465" i="3"/>
  <c r="AB465" i="3" s="1"/>
  <c r="M44" i="25" a="1"/>
  <c r="M44" i="25" s="1"/>
  <c r="I115" i="25"/>
  <c r="T60" i="25"/>
  <c r="AA501" i="3"/>
  <c r="AC501" i="3" s="1"/>
  <c r="Z489" i="3"/>
  <c r="AA489" i="3" s="1"/>
  <c r="AC489" i="3" s="1"/>
  <c r="Y489" i="3"/>
  <c r="AB489" i="3" s="1"/>
  <c r="Z441" i="3"/>
  <c r="AA441" i="3" s="1"/>
  <c r="AC441" i="3" s="1"/>
  <c r="Y441" i="3"/>
  <c r="AB441" i="3" s="1"/>
  <c r="AA429" i="3"/>
  <c r="AC429" i="3" s="1"/>
  <c r="AA176" i="3"/>
  <c r="AA330" i="3"/>
  <c r="AA124" i="3"/>
  <c r="AA267" i="3"/>
  <c r="Z31" i="3"/>
  <c r="G115" i="25"/>
  <c r="O45" i="25" s="1"/>
  <c r="AA190" i="3"/>
  <c r="AA500" i="3"/>
  <c r="AC500" i="3" s="1"/>
  <c r="AA488" i="3"/>
  <c r="AC488" i="3" s="1"/>
  <c r="AA476" i="3"/>
  <c r="AC476" i="3" s="1"/>
  <c r="AA464" i="3"/>
  <c r="AC464" i="3" s="1"/>
  <c r="AA452" i="3"/>
  <c r="AC452" i="3" s="1"/>
  <c r="AA440" i="3"/>
  <c r="AC440" i="3" s="1"/>
  <c r="Z428" i="3"/>
  <c r="Y428" i="3"/>
  <c r="AB428" i="3" s="1"/>
  <c r="AA309" i="3"/>
  <c r="Z251" i="3"/>
  <c r="Y251" i="3"/>
  <c r="Z413" i="3"/>
  <c r="Y413" i="3"/>
  <c r="AA173" i="3"/>
  <c r="H17" i="25"/>
  <c r="G17" i="25"/>
  <c r="Y499" i="3"/>
  <c r="AB499" i="3" s="1"/>
  <c r="Y487" i="3"/>
  <c r="AB487" i="3" s="1"/>
  <c r="Y475" i="3"/>
  <c r="AB475" i="3" s="1"/>
  <c r="Y463" i="3"/>
  <c r="AB463" i="3" s="1"/>
  <c r="Y451" i="3"/>
  <c r="AB451" i="3" s="1"/>
  <c r="Y439" i="3"/>
  <c r="AB439" i="3" s="1"/>
  <c r="Y427" i="3"/>
  <c r="AB427" i="3" s="1"/>
  <c r="AA371" i="3"/>
  <c r="AA143" i="3"/>
  <c r="Y56" i="3"/>
  <c r="Y78" i="3"/>
  <c r="AA390" i="3"/>
  <c r="Y469" i="3"/>
  <c r="AB469" i="3" s="1"/>
  <c r="Y457" i="3"/>
  <c r="AB457" i="3" s="1"/>
  <c r="Y445" i="3"/>
  <c r="AB445" i="3" s="1"/>
  <c r="Y421" i="3"/>
  <c r="AB421" i="3" s="1"/>
  <c r="AA416" i="3"/>
  <c r="Z175" i="3"/>
  <c r="Y175" i="3"/>
  <c r="Y308" i="3"/>
  <c r="Z351" i="3"/>
  <c r="Y351" i="3"/>
  <c r="Z266" i="3"/>
  <c r="Y266" i="3"/>
  <c r="E64" i="25"/>
  <c r="P56" i="11"/>
  <c r="S56" i="11"/>
  <c r="O61" i="11"/>
  <c r="N61" i="11"/>
  <c r="M195" i="25"/>
  <c r="L195" i="25"/>
  <c r="P62" i="11"/>
  <c r="S62" i="11"/>
  <c r="Y193" i="3"/>
  <c r="Y125" i="3"/>
  <c r="E23" i="25"/>
  <c r="H23" i="25"/>
  <c r="AA393" i="3"/>
  <c r="AA214" i="3"/>
  <c r="AA370" i="3"/>
  <c r="Y307" i="3"/>
  <c r="Y77" i="3"/>
  <c r="D17" i="25"/>
  <c r="E16" i="25"/>
  <c r="D41" i="25" a="1"/>
  <c r="D41" i="25" s="1"/>
  <c r="E17" i="25"/>
  <c r="D47" i="25" a="1"/>
  <c r="D47" i="25" s="1"/>
  <c r="D44" i="25" a="1"/>
  <c r="D44" i="25" s="1"/>
  <c r="H64" i="25"/>
  <c r="G64" i="25"/>
  <c r="B15" i="25"/>
  <c r="M42" i="25" a="1"/>
  <c r="M42" i="25" s="1"/>
  <c r="S105" i="25"/>
  <c r="G75" i="25"/>
  <c r="F75" i="25"/>
  <c r="F74" i="25"/>
  <c r="U102" i="25"/>
  <c r="C64" i="25"/>
  <c r="I64" i="25"/>
  <c r="E192" i="25"/>
  <c r="D192" i="25"/>
  <c r="E191" i="25"/>
  <c r="D191" i="25"/>
  <c r="O31" i="25"/>
  <c r="N31" i="25" s="1"/>
  <c r="L31" i="25"/>
  <c r="K31" i="25" s="1"/>
  <c r="O16" i="25"/>
  <c r="N16" i="25"/>
  <c r="L16" i="25"/>
  <c r="K16" i="25"/>
  <c r="I15" i="25"/>
  <c r="Q194" i="25"/>
  <c r="P194" i="25"/>
  <c r="P64" i="25"/>
  <c r="E85" i="25"/>
  <c r="Q189" i="25"/>
  <c r="P189" i="25"/>
  <c r="L64" i="25"/>
  <c r="L21" i="25"/>
  <c r="N21" i="25"/>
  <c r="K21" i="25"/>
  <c r="O21" i="25"/>
  <c r="Y195" i="25"/>
  <c r="X195" i="25"/>
  <c r="AC32" i="25"/>
  <c r="AB32" i="25" s="1"/>
  <c r="Z32" i="25"/>
  <c r="Y32" i="25" s="1"/>
  <c r="Q191" i="25"/>
  <c r="P191" i="25"/>
  <c r="C84" i="25"/>
  <c r="B18" i="25"/>
  <c r="B201" i="25" s="1"/>
  <c r="D19" i="25"/>
  <c r="H19" i="25"/>
  <c r="E19" i="25"/>
  <c r="G19" i="25"/>
  <c r="M193" i="25"/>
  <c r="L193" i="25"/>
  <c r="Q64" i="25"/>
  <c r="L20" i="25"/>
  <c r="N20" i="25"/>
  <c r="O20" i="25"/>
  <c r="K20" i="25"/>
  <c r="Q192" i="25"/>
  <c r="P192" i="25"/>
  <c r="K24" i="25"/>
  <c r="J22" i="25"/>
  <c r="L24" i="25"/>
  <c r="B64" i="25"/>
  <c r="N19" i="25"/>
  <c r="O19" i="25"/>
  <c r="K19" i="25"/>
  <c r="I18" i="25"/>
  <c r="L19" i="25"/>
  <c r="Y188" i="25"/>
  <c r="X188" i="25"/>
  <c r="E87" i="25"/>
  <c r="Q193" i="25"/>
  <c r="P193" i="25"/>
  <c r="Q195" i="25"/>
  <c r="P195" i="25"/>
  <c r="Z33" i="25"/>
  <c r="Y33" i="25" s="1"/>
  <c r="AC33" i="25"/>
  <c r="AB33" i="25" s="1"/>
  <c r="N17" i="25"/>
  <c r="K17" i="25"/>
  <c r="O17" i="25"/>
  <c r="L17" i="25"/>
  <c r="Q188" i="25"/>
  <c r="P188" i="25"/>
  <c r="E188" i="25"/>
  <c r="D188" i="25"/>
  <c r="O33" i="25"/>
  <c r="N33" i="25" s="1"/>
  <c r="L33" i="25"/>
  <c r="K33" i="25" s="1"/>
  <c r="D16" i="25"/>
  <c r="N23" i="25"/>
  <c r="K23" i="25"/>
  <c r="I22" i="25"/>
  <c r="L23" i="25"/>
  <c r="O23" i="25"/>
  <c r="Q190" i="25"/>
  <c r="P190" i="25"/>
  <c r="B105" i="25"/>
  <c r="B103" i="25"/>
  <c r="E195" i="25"/>
  <c r="D195" i="25"/>
  <c r="F64" i="25"/>
  <c r="E194" i="25"/>
  <c r="D194" i="25"/>
  <c r="O32" i="25"/>
  <c r="N32" i="25" s="1"/>
  <c r="L32" i="25"/>
  <c r="K32" i="25" s="1"/>
  <c r="D42" i="25" a="1"/>
  <c r="D42" i="25" s="1"/>
  <c r="E189" i="25"/>
  <c r="D189" i="25"/>
  <c r="Y176" i="3"/>
  <c r="Y267" i="3"/>
  <c r="AA231" i="3"/>
  <c r="Y158" i="3"/>
  <c r="Z158" i="3"/>
  <c r="Y268" i="3"/>
  <c r="Z268" i="3"/>
  <c r="Y328" i="3"/>
  <c r="Z328" i="3"/>
  <c r="Y100" i="3"/>
  <c r="Z100" i="3"/>
  <c r="Y250" i="3"/>
  <c r="Z250" i="3"/>
  <c r="Z417" i="3"/>
  <c r="Y417" i="3"/>
  <c r="Z102" i="3"/>
  <c r="Y102" i="3"/>
  <c r="Y124" i="3"/>
  <c r="Z394" i="3"/>
  <c r="Y394" i="3"/>
  <c r="Z159" i="3"/>
  <c r="Y159" i="3"/>
  <c r="Z101" i="3"/>
  <c r="Y101" i="3"/>
  <c r="Y371" i="3"/>
  <c r="Y143" i="3"/>
  <c r="Y286" i="3"/>
  <c r="Y229" i="3"/>
  <c r="Y390" i="3"/>
  <c r="Y231" i="3"/>
  <c r="Y331" i="3"/>
  <c r="Y253" i="3"/>
  <c r="Y415" i="3"/>
  <c r="Y32" i="3"/>
  <c r="Y310" i="3"/>
  <c r="Z310" i="3"/>
  <c r="Y80" i="3"/>
  <c r="Z80" i="3"/>
  <c r="AA230" i="3"/>
  <c r="Y392" i="3"/>
  <c r="Z392" i="3"/>
  <c r="Y414" i="3"/>
  <c r="Z414" i="3"/>
  <c r="Y174" i="3"/>
  <c r="Z174" i="3"/>
  <c r="Y327" i="3"/>
  <c r="Z327" i="3"/>
  <c r="L60" i="11"/>
  <c r="M63" i="11"/>
  <c r="L57" i="11"/>
  <c r="M60" i="11"/>
  <c r="N63" i="11"/>
  <c r="M57" i="11"/>
  <c r="N60" i="11"/>
  <c r="O63" i="11"/>
  <c r="Y214" i="3"/>
  <c r="N57" i="11"/>
  <c r="O60" i="11"/>
  <c r="P63" i="11"/>
  <c r="O57" i="11"/>
  <c r="P60" i="11"/>
  <c r="Q63" i="11"/>
  <c r="Z308" i="3"/>
  <c r="Q57" i="11"/>
  <c r="R60" i="11"/>
  <c r="S63" i="11"/>
  <c r="B189" i="11"/>
  <c r="R57" i="11"/>
  <c r="S60" i="11"/>
  <c r="T63" i="11"/>
  <c r="B19" i="11"/>
  <c r="Z307" i="3"/>
  <c r="Z77" i="3"/>
  <c r="Y254" i="3"/>
  <c r="Y416" i="3"/>
  <c r="S57" i="11"/>
  <c r="U63" i="11"/>
  <c r="Y228" i="3"/>
  <c r="R56" i="11"/>
  <c r="N59" i="11"/>
  <c r="Q56" i="11"/>
  <c r="Q62" i="11"/>
  <c r="O59" i="11"/>
  <c r="O65" i="11" s="1"/>
  <c r="P59" i="11"/>
  <c r="Q59" i="11"/>
  <c r="L56" i="11"/>
  <c r="R59" i="11"/>
  <c r="L62" i="11"/>
  <c r="M56" i="11"/>
  <c r="S59" i="11"/>
  <c r="M62" i="11"/>
  <c r="N56" i="11"/>
  <c r="N62" i="11"/>
  <c r="O56" i="11"/>
  <c r="O62" i="11"/>
  <c r="D65" i="11"/>
  <c r="Z228" i="3"/>
  <c r="AA428" i="3" l="1"/>
  <c r="AC428" i="3" s="1"/>
  <c r="AB254" i="3"/>
  <c r="L232" i="27"/>
  <c r="S232" i="27" s="1"/>
  <c r="AB250" i="3"/>
  <c r="L82" i="27"/>
  <c r="AA77" i="3"/>
  <c r="M193" i="27"/>
  <c r="AA327" i="3"/>
  <c r="M84" i="27"/>
  <c r="AA101" i="3"/>
  <c r="M314" i="27"/>
  <c r="N243" i="27"/>
  <c r="U221" i="27"/>
  <c r="AC254" i="3"/>
  <c r="N232" i="27"/>
  <c r="U232" i="27" s="1"/>
  <c r="AB100" i="3"/>
  <c r="L194" i="27"/>
  <c r="AC370" i="3"/>
  <c r="N119" i="27"/>
  <c r="AA80" i="3"/>
  <c r="M223" i="27"/>
  <c r="AB143" i="3"/>
  <c r="L226" i="27"/>
  <c r="S226" i="27" s="1"/>
  <c r="AA417" i="3"/>
  <c r="M241" i="27"/>
  <c r="T241" i="27" s="1"/>
  <c r="AB267" i="3"/>
  <c r="L203" i="27"/>
  <c r="S203" i="27" s="1"/>
  <c r="AB351" i="3"/>
  <c r="L205" i="27"/>
  <c r="AB251" i="3"/>
  <c r="L202" i="27"/>
  <c r="AC124" i="3"/>
  <c r="N315" i="27"/>
  <c r="AA329" i="3"/>
  <c r="M324" i="27"/>
  <c r="T324" i="27" s="1"/>
  <c r="AB270" i="3"/>
  <c r="L233" i="27"/>
  <c r="S233" i="27" s="1"/>
  <c r="AA213" i="3"/>
  <c r="M110" i="27"/>
  <c r="AC191" i="3"/>
  <c r="N199" i="27"/>
  <c r="AA354" i="3"/>
  <c r="M235" i="27"/>
  <c r="T235" i="27" s="1"/>
  <c r="AB55" i="3"/>
  <c r="L312" i="27"/>
  <c r="AC79" i="3"/>
  <c r="N103" i="27"/>
  <c r="AB252" i="3"/>
  <c r="L322" i="27"/>
  <c r="AB79" i="3"/>
  <c r="L103" i="27"/>
  <c r="AC353" i="3"/>
  <c r="N115" i="27"/>
  <c r="AB416" i="3"/>
  <c r="L121" i="27"/>
  <c r="AB80" i="3"/>
  <c r="L223" i="27"/>
  <c r="S223" i="27" s="1"/>
  <c r="AB371" i="3"/>
  <c r="L239" i="27"/>
  <c r="S239" i="27" s="1"/>
  <c r="AA250" i="3"/>
  <c r="M82" i="27"/>
  <c r="AB176" i="3"/>
  <c r="L228" i="27"/>
  <c r="S228" i="27" s="1"/>
  <c r="AA351" i="3"/>
  <c r="M205" i="27"/>
  <c r="AA251" i="3"/>
  <c r="M202" i="27"/>
  <c r="AC330" i="3"/>
  <c r="N114" i="27"/>
  <c r="R76" i="26"/>
  <c r="L221" i="27"/>
  <c r="AA270" i="3"/>
  <c r="M233" i="27"/>
  <c r="T233" i="27" s="1"/>
  <c r="AB57" i="3"/>
  <c r="L222" i="27"/>
  <c r="AC415" i="3"/>
  <c r="N331" i="27"/>
  <c r="AC269" i="3"/>
  <c r="N113" i="27"/>
  <c r="U113" i="27" s="1"/>
  <c r="AC126" i="3"/>
  <c r="N225" i="27"/>
  <c r="U225" i="27" s="1"/>
  <c r="AA252" i="3"/>
  <c r="M322" i="27"/>
  <c r="AB191" i="3"/>
  <c r="L199" i="27"/>
  <c r="AB230" i="3"/>
  <c r="L111" i="27"/>
  <c r="AA310" i="3"/>
  <c r="M238" i="27"/>
  <c r="T238" i="27" s="1"/>
  <c r="AB77" i="3"/>
  <c r="L193" i="27"/>
  <c r="AC309" i="3"/>
  <c r="N118" i="27"/>
  <c r="AB310" i="3"/>
  <c r="L238" i="27"/>
  <c r="S238" i="27" s="1"/>
  <c r="AC229" i="3"/>
  <c r="N201" i="27"/>
  <c r="AB269" i="3"/>
  <c r="L113" i="27"/>
  <c r="S113" i="27" s="1"/>
  <c r="AB228" i="3"/>
  <c r="L81" i="27"/>
  <c r="AB78" i="3"/>
  <c r="L313" i="27"/>
  <c r="AA211" i="3"/>
  <c r="M200" i="27"/>
  <c r="AC157" i="3"/>
  <c r="N197" i="27"/>
  <c r="U197" i="27" s="1"/>
  <c r="AB142" i="3"/>
  <c r="L106" i="27"/>
  <c r="AA228" i="3"/>
  <c r="M81" i="27"/>
  <c r="AA414" i="3"/>
  <c r="M211" i="27"/>
  <c r="AB331" i="3"/>
  <c r="L234" i="27"/>
  <c r="S234" i="27" s="1"/>
  <c r="AA394" i="3"/>
  <c r="M236" i="27"/>
  <c r="T236" i="27" s="1"/>
  <c r="AA268" i="3"/>
  <c r="M323" i="27"/>
  <c r="T323" i="27" s="1"/>
  <c r="AC393" i="3"/>
  <c r="N116" i="27"/>
  <c r="AB56" i="3"/>
  <c r="L102" i="27"/>
  <c r="AC103" i="3"/>
  <c r="N224" i="27"/>
  <c r="U224" i="27" s="1"/>
  <c r="AA284" i="3"/>
  <c r="M87" i="27"/>
  <c r="AB391" i="3"/>
  <c r="L206" i="27"/>
  <c r="M96" i="26" a="1"/>
  <c r="M96" i="26" s="1"/>
  <c r="M311" i="27"/>
  <c r="AA142" i="3"/>
  <c r="M106" i="27"/>
  <c r="L213" i="27"/>
  <c r="AB370" i="3"/>
  <c r="L119" i="27"/>
  <c r="AC57" i="3"/>
  <c r="N222" i="27"/>
  <c r="AC212" i="3"/>
  <c r="N320" i="27"/>
  <c r="U320" i="27" s="1"/>
  <c r="T221" i="27"/>
  <c r="M243" i="27"/>
  <c r="AB101" i="3"/>
  <c r="L314" i="27"/>
  <c r="AB308" i="3"/>
  <c r="L328" i="27"/>
  <c r="AA287" i="3"/>
  <c r="M237" i="27"/>
  <c r="T237" i="27" s="1"/>
  <c r="AB103" i="3"/>
  <c r="L224" i="27"/>
  <c r="S224" i="27" s="1"/>
  <c r="AC56" i="3"/>
  <c r="N102" i="27"/>
  <c r="AB287" i="3"/>
  <c r="L237" i="27"/>
  <c r="S237" i="27" s="1"/>
  <c r="AC331" i="3"/>
  <c r="N234" i="27"/>
  <c r="U234" i="27" s="1"/>
  <c r="AB327" i="3"/>
  <c r="L84" i="27"/>
  <c r="M105" i="26" a="1"/>
  <c r="M105" i="26" s="1"/>
  <c r="L311" i="27"/>
  <c r="AB159" i="3"/>
  <c r="L227" i="27"/>
  <c r="S227" i="27" s="1"/>
  <c r="AA175" i="3"/>
  <c r="M108" i="27"/>
  <c r="AB141" i="3"/>
  <c r="L196" i="27"/>
  <c r="AA306" i="3"/>
  <c r="M88" i="27"/>
  <c r="AB350" i="3"/>
  <c r="L85" i="27"/>
  <c r="AB393" i="3"/>
  <c r="L116" i="27"/>
  <c r="AB123" i="3"/>
  <c r="L195" i="27"/>
  <c r="AB212" i="3"/>
  <c r="L320" i="27"/>
  <c r="S320" i="27" s="1"/>
  <c r="AA174" i="3"/>
  <c r="M198" i="27"/>
  <c r="AB415" i="3"/>
  <c r="L331" i="27"/>
  <c r="AA159" i="3"/>
  <c r="M227" i="27"/>
  <c r="T227" i="27" s="1"/>
  <c r="AA328" i="3"/>
  <c r="M204" i="27"/>
  <c r="AC214" i="3"/>
  <c r="N230" i="27"/>
  <c r="U230" i="27" s="1"/>
  <c r="AC416" i="3"/>
  <c r="N121" i="27"/>
  <c r="AC390" i="3"/>
  <c r="N86" i="27"/>
  <c r="AB306" i="3"/>
  <c r="L88" i="27"/>
  <c r="AA350" i="3"/>
  <c r="M85" i="27"/>
  <c r="AB285" i="3"/>
  <c r="L207" i="27"/>
  <c r="AC286" i="3"/>
  <c r="N117" i="27"/>
  <c r="AB214" i="3"/>
  <c r="L230" i="27"/>
  <c r="S230" i="27" s="1"/>
  <c r="AB174" i="3"/>
  <c r="L198" i="27"/>
  <c r="AB253" i="3"/>
  <c r="L112" i="27"/>
  <c r="AB328" i="3"/>
  <c r="L204" i="27"/>
  <c r="AB414" i="3"/>
  <c r="L211" i="27"/>
  <c r="AB231" i="3"/>
  <c r="L231" i="27"/>
  <c r="S231" i="27" s="1"/>
  <c r="AB268" i="3"/>
  <c r="L323" i="27"/>
  <c r="S323" i="27" s="1"/>
  <c r="AC143" i="3"/>
  <c r="N226" i="27"/>
  <c r="U226" i="27" s="1"/>
  <c r="AC190" i="3"/>
  <c r="N79" i="27"/>
  <c r="AB284" i="3"/>
  <c r="L87" i="27"/>
  <c r="AA55" i="3"/>
  <c r="M312" i="27"/>
  <c r="AC253" i="3"/>
  <c r="N112" i="27"/>
  <c r="AC210" i="3"/>
  <c r="N80" i="27"/>
  <c r="AC54" i="3"/>
  <c r="N192" i="27"/>
  <c r="AA392" i="3"/>
  <c r="M326" i="27"/>
  <c r="AB390" i="3"/>
  <c r="L86" i="27"/>
  <c r="AB102" i="3"/>
  <c r="L104" i="27"/>
  <c r="AC369" i="3"/>
  <c r="N209" i="27"/>
  <c r="AB352" i="3"/>
  <c r="L325" i="27"/>
  <c r="AB369" i="3"/>
  <c r="L209" i="27"/>
  <c r="R38" i="26"/>
  <c r="M101" i="27"/>
  <c r="AC285" i="3"/>
  <c r="N207" i="27"/>
  <c r="AB392" i="3"/>
  <c r="L326" i="27"/>
  <c r="AB229" i="3"/>
  <c r="L201" i="27"/>
  <c r="AA102" i="3"/>
  <c r="M104" i="27"/>
  <c r="AB158" i="3"/>
  <c r="L107" i="27"/>
  <c r="AB125" i="3"/>
  <c r="L105" i="27"/>
  <c r="AB266" i="3"/>
  <c r="L83" i="27"/>
  <c r="S83" i="27" s="1"/>
  <c r="AB413" i="3"/>
  <c r="L91" i="27"/>
  <c r="M67" i="26" a="1"/>
  <c r="M67" i="26" s="1"/>
  <c r="M191" i="27"/>
  <c r="AC141" i="3"/>
  <c r="N196" i="27"/>
  <c r="AA192" i="3"/>
  <c r="M109" i="27"/>
  <c r="AA352" i="3"/>
  <c r="M325" i="27"/>
  <c r="AB211" i="3"/>
  <c r="L200" i="27"/>
  <c r="AB368" i="3"/>
  <c r="L89" i="27"/>
  <c r="AB157" i="3"/>
  <c r="L197" i="27"/>
  <c r="S197" i="27" s="1"/>
  <c r="AB330" i="3"/>
  <c r="L114" i="27"/>
  <c r="AC193" i="3"/>
  <c r="N229" i="27"/>
  <c r="U229" i="27" s="1"/>
  <c r="AC123" i="3"/>
  <c r="N195" i="27"/>
  <c r="AC176" i="3"/>
  <c r="N228" i="27"/>
  <c r="U228" i="27" s="1"/>
  <c r="AB190" i="3"/>
  <c r="L79" i="27"/>
  <c r="AA100" i="3"/>
  <c r="M194" i="27"/>
  <c r="AB307" i="3"/>
  <c r="L208" i="27"/>
  <c r="AB175" i="3"/>
  <c r="L108" i="27"/>
  <c r="AA307" i="3"/>
  <c r="M208" i="27"/>
  <c r="AB394" i="3"/>
  <c r="L236" i="27"/>
  <c r="S236" i="27" s="1"/>
  <c r="AA308" i="3"/>
  <c r="M328" i="27"/>
  <c r="AB124" i="3"/>
  <c r="L315" i="27"/>
  <c r="AA391" i="3"/>
  <c r="M206" i="27"/>
  <c r="AA158" i="3"/>
  <c r="M107" i="27"/>
  <c r="AC371" i="3"/>
  <c r="N239" i="27"/>
  <c r="U239" i="27" s="1"/>
  <c r="AC173" i="3"/>
  <c r="N78" i="27"/>
  <c r="AC230" i="3"/>
  <c r="N111" i="27"/>
  <c r="AB286" i="3"/>
  <c r="L117" i="27"/>
  <c r="AB417" i="3"/>
  <c r="L241" i="27"/>
  <c r="S241" i="27" s="1"/>
  <c r="AC231" i="3"/>
  <c r="N231" i="27"/>
  <c r="U231" i="27" s="1"/>
  <c r="AB193" i="3"/>
  <c r="L229" i="27"/>
  <c r="S229" i="27" s="1"/>
  <c r="AA266" i="3"/>
  <c r="M83" i="27"/>
  <c r="T83" i="27" s="1"/>
  <c r="AA413" i="3"/>
  <c r="M91" i="27"/>
  <c r="AC267" i="3"/>
  <c r="N203" i="27"/>
  <c r="U203" i="27" s="1"/>
  <c r="AB329" i="3"/>
  <c r="L324" i="27"/>
  <c r="S324" i="27" s="1"/>
  <c r="AB192" i="3"/>
  <c r="L109" i="27"/>
  <c r="AB213" i="3"/>
  <c r="L110" i="27"/>
  <c r="R47" i="26"/>
  <c r="L101" i="27"/>
  <c r="AB354" i="3"/>
  <c r="L235" i="27"/>
  <c r="S235" i="27" s="1"/>
  <c r="AA368" i="3"/>
  <c r="M89" i="27"/>
  <c r="AC125" i="3"/>
  <c r="N105" i="27"/>
  <c r="AB54" i="3"/>
  <c r="L192" i="27"/>
  <c r="AB309" i="3"/>
  <c r="L118" i="27"/>
  <c r="AC78" i="3"/>
  <c r="N313" i="27"/>
  <c r="C91" i="26" a="1"/>
  <c r="C91" i="26" s="1"/>
  <c r="M64" i="26"/>
  <c r="C92" i="26" a="1"/>
  <c r="C92" i="26" s="1"/>
  <c r="H93" i="26"/>
  <c r="R64" i="26"/>
  <c r="M35" i="26"/>
  <c r="C33" i="26"/>
  <c r="I33" i="26"/>
  <c r="C34" i="26"/>
  <c r="H35" i="26"/>
  <c r="I34" i="26"/>
  <c r="C62" i="26"/>
  <c r="R35" i="26"/>
  <c r="M93" i="26"/>
  <c r="H64" i="26"/>
  <c r="C63" i="26"/>
  <c r="H11" i="26"/>
  <c r="R77" i="26"/>
  <c r="S77" i="26" s="1"/>
  <c r="AB31" i="3"/>
  <c r="M76" i="26" a="1"/>
  <c r="M76" i="26" s="1"/>
  <c r="N65" i="11"/>
  <c r="P65" i="11"/>
  <c r="R65" i="11"/>
  <c r="S65" i="11"/>
  <c r="Q65" i="11"/>
  <c r="B65" i="11"/>
  <c r="F65" i="11"/>
  <c r="M65" i="11"/>
  <c r="L65" i="11"/>
  <c r="G65" i="11"/>
  <c r="I65" i="11"/>
  <c r="H65" i="11"/>
  <c r="C65" i="11"/>
  <c r="B64" i="11"/>
  <c r="E15" i="25"/>
  <c r="U60" i="25"/>
  <c r="E22" i="25"/>
  <c r="H22" i="25"/>
  <c r="G22" i="25"/>
  <c r="D22" i="25"/>
  <c r="K115" i="25"/>
  <c r="K118" i="25"/>
  <c r="U63" i="25"/>
  <c r="AB34" i="3"/>
  <c r="R48" i="25" a="1"/>
  <c r="R48" i="25" s="1"/>
  <c r="S48" i="25"/>
  <c r="S45" i="25"/>
  <c r="AA32" i="3"/>
  <c r="N311" i="27" s="1"/>
  <c r="M116" i="25"/>
  <c r="Q46" i="25" s="1"/>
  <c r="R46" i="25" s="1" a="1"/>
  <c r="R46" i="25" s="1"/>
  <c r="AB32" i="3"/>
  <c r="K116" i="25"/>
  <c r="U61" i="25"/>
  <c r="S46" i="25"/>
  <c r="AA31" i="3"/>
  <c r="N191" i="27" s="1"/>
  <c r="M115" i="25"/>
  <c r="Q45" i="25" s="1"/>
  <c r="R45" i="25" s="1" a="1"/>
  <c r="R45" i="25" s="1"/>
  <c r="M117" i="25"/>
  <c r="Q47" i="25" s="1"/>
  <c r="R47" i="25" s="1" a="1"/>
  <c r="R47" i="25" s="1"/>
  <c r="AA33" i="3"/>
  <c r="N101" i="27" s="1"/>
  <c r="S47" i="25"/>
  <c r="AB33" i="3"/>
  <c r="K117" i="25"/>
  <c r="AC34" i="3"/>
  <c r="O118" i="25"/>
  <c r="H15" i="25"/>
  <c r="D15" i="25"/>
  <c r="G15" i="25"/>
  <c r="K201" i="25"/>
  <c r="M201" i="25" s="1"/>
  <c r="K22" i="25"/>
  <c r="O22" i="25"/>
  <c r="N22" i="25"/>
  <c r="L22" i="25"/>
  <c r="H201" i="25"/>
  <c r="J201" i="25" s="1"/>
  <c r="O18" i="25"/>
  <c r="K18" i="25"/>
  <c r="N18" i="25"/>
  <c r="L18" i="25"/>
  <c r="O15" i="25"/>
  <c r="N15" i="25"/>
  <c r="L15" i="25"/>
  <c r="K15" i="25"/>
  <c r="D201" i="25"/>
  <c r="D18" i="25"/>
  <c r="E18" i="25"/>
  <c r="H18" i="25"/>
  <c r="G18" i="25"/>
  <c r="AC158" i="3" l="1"/>
  <c r="N107" i="27"/>
  <c r="AC192" i="3"/>
  <c r="N109" i="27"/>
  <c r="AC142" i="3"/>
  <c r="N106" i="27"/>
  <c r="AC250" i="3"/>
  <c r="N82" i="27"/>
  <c r="AC174" i="3"/>
  <c r="N198" i="27"/>
  <c r="AC417" i="3"/>
  <c r="N241" i="27"/>
  <c r="U241" i="27" s="1"/>
  <c r="AC391" i="3"/>
  <c r="N206" i="27"/>
  <c r="AC102" i="3"/>
  <c r="N104" i="27"/>
  <c r="AC175" i="3"/>
  <c r="N108" i="27"/>
  <c r="U222" i="27"/>
  <c r="AC394" i="3"/>
  <c r="N236" i="27"/>
  <c r="U236" i="27" s="1"/>
  <c r="AC211" i="3"/>
  <c r="N200" i="27"/>
  <c r="AC80" i="3"/>
  <c r="N223" i="27"/>
  <c r="U223" i="27" s="1"/>
  <c r="AC327" i="3"/>
  <c r="N84" i="27"/>
  <c r="AC413" i="3"/>
  <c r="N91" i="27"/>
  <c r="AC308" i="3"/>
  <c r="N328" i="27"/>
  <c r="AC55" i="3"/>
  <c r="N312" i="27"/>
  <c r="L333" i="27"/>
  <c r="AC284" i="3"/>
  <c r="N87" i="27"/>
  <c r="AC251" i="3"/>
  <c r="N202" i="27"/>
  <c r="M212" i="27"/>
  <c r="N333" i="27"/>
  <c r="L123" i="27"/>
  <c r="AC328" i="3"/>
  <c r="N204" i="27"/>
  <c r="AC287" i="3"/>
  <c r="N237" i="27"/>
  <c r="U237" i="27" s="1"/>
  <c r="AC354" i="3"/>
  <c r="N235" i="27"/>
  <c r="U235" i="27" s="1"/>
  <c r="AC77" i="3"/>
  <c r="N193" i="27"/>
  <c r="AC270" i="3"/>
  <c r="N233" i="27"/>
  <c r="U233" i="27" s="1"/>
  <c r="N213" i="27"/>
  <c r="M122" i="27"/>
  <c r="M333" i="27"/>
  <c r="S221" i="27"/>
  <c r="L243" i="27"/>
  <c r="AC268" i="3"/>
  <c r="N323" i="27"/>
  <c r="U323" i="27" s="1"/>
  <c r="AC252" i="3"/>
  <c r="N322" i="27"/>
  <c r="AC100" i="3"/>
  <c r="N194" i="27"/>
  <c r="L332" i="27"/>
  <c r="AC414" i="3"/>
  <c r="N211" i="27"/>
  <c r="AC310" i="3"/>
  <c r="N238" i="27"/>
  <c r="U238" i="27" s="1"/>
  <c r="AC351" i="3"/>
  <c r="N205" i="27"/>
  <c r="AC350" i="3"/>
  <c r="N85" i="27"/>
  <c r="AC159" i="3"/>
  <c r="N227" i="27"/>
  <c r="U227" i="27" s="1"/>
  <c r="L122" i="27"/>
  <c r="L124" i="27" s="1"/>
  <c r="L242" i="27"/>
  <c r="L244" i="27" s="1"/>
  <c r="S222" i="27"/>
  <c r="AC368" i="3"/>
  <c r="N89" i="27"/>
  <c r="AC266" i="3"/>
  <c r="N83" i="27"/>
  <c r="U83" i="27" s="1"/>
  <c r="M123" i="27"/>
  <c r="N123" i="27"/>
  <c r="AC307" i="3"/>
  <c r="N208" i="27"/>
  <c r="AC352" i="3"/>
  <c r="N325" i="27"/>
  <c r="AC392" i="3"/>
  <c r="N326" i="27"/>
  <c r="AC228" i="3"/>
  <c r="N81" i="27"/>
  <c r="M213" i="27"/>
  <c r="AC329" i="3"/>
  <c r="N324" i="27"/>
  <c r="U324" i="27" s="1"/>
  <c r="AC101" i="3"/>
  <c r="N314" i="27"/>
  <c r="T223" i="27"/>
  <c r="M242" i="27"/>
  <c r="M332" i="27"/>
  <c r="L212" i="27"/>
  <c r="AC306" i="3"/>
  <c r="N88" i="27"/>
  <c r="AC213" i="3"/>
  <c r="N110" i="27"/>
  <c r="C35" i="26"/>
  <c r="C93" i="26"/>
  <c r="C64" i="26"/>
  <c r="R48" i="26"/>
  <c r="H18" i="26"/>
  <c r="M77" i="26" a="1"/>
  <c r="M77" i="26" s="1"/>
  <c r="H10" i="26"/>
  <c r="M106" i="26" a="1"/>
  <c r="M106" i="26" s="1"/>
  <c r="H14" i="26"/>
  <c r="M11" i="26"/>
  <c r="N11" i="26" s="1"/>
  <c r="I11" i="26"/>
  <c r="G75" i="12" a="1"/>
  <c r="G75" i="12" s="1"/>
  <c r="E161" i="13"/>
  <c r="O117" i="25"/>
  <c r="AC33" i="3"/>
  <c r="AC31" i="3"/>
  <c r="O115" i="25"/>
  <c r="AC32" i="3"/>
  <c r="O116" i="25"/>
  <c r="N122" i="27" l="1"/>
  <c r="N242" i="27"/>
  <c r="N332" i="27"/>
  <c r="L214" i="27"/>
  <c r="L215" i="27"/>
  <c r="L245" i="27"/>
  <c r="L125" i="27"/>
  <c r="N212" i="27"/>
  <c r="L335" i="27"/>
  <c r="L334" i="27"/>
  <c r="M10" i="26"/>
  <c r="M14" i="26"/>
  <c r="M18" i="26"/>
  <c r="G66" i="12" a="1"/>
  <c r="G66" i="12" s="1"/>
  <c r="D161" i="13"/>
  <c r="A2" i="24"/>
  <c r="G9" i="12" l="1"/>
  <c r="L9" i="12" s="1"/>
  <c r="F161" i="13"/>
  <c r="G67" i="12" a="1"/>
  <c r="G67" i="12" s="1"/>
  <c r="G161" i="13"/>
  <c r="G76" i="12" a="1"/>
  <c r="G76" i="12" s="1"/>
  <c r="S188" i="11"/>
  <c r="S195" i="11"/>
  <c r="S194" i="11"/>
  <c r="S193" i="11"/>
  <c r="S192" i="11"/>
  <c r="S191" i="11"/>
  <c r="S190" i="11"/>
  <c r="S189" i="11"/>
  <c r="G195" i="11"/>
  <c r="G194" i="11"/>
  <c r="G193" i="11"/>
  <c r="G192" i="11"/>
  <c r="G191" i="11"/>
  <c r="G190" i="11"/>
  <c r="G189" i="11"/>
  <c r="G188" i="11"/>
  <c r="R195" i="11"/>
  <c r="R194" i="11"/>
  <c r="R193" i="11"/>
  <c r="R192" i="11"/>
  <c r="R191" i="11"/>
  <c r="R190" i="11"/>
  <c r="R189" i="11"/>
  <c r="R188" i="11"/>
  <c r="F195" i="11"/>
  <c r="F194" i="11"/>
  <c r="F193" i="11"/>
  <c r="F192" i="11"/>
  <c r="F191" i="11"/>
  <c r="F190" i="11"/>
  <c r="F189" i="11"/>
  <c r="F188" i="11"/>
  <c r="H191" i="11" l="1"/>
  <c r="G77" i="12" a="1"/>
  <c r="G77" i="12" s="1"/>
  <c r="H161" i="13"/>
  <c r="H188" i="11"/>
  <c r="H189" i="11"/>
  <c r="H190" i="11"/>
  <c r="T193" i="11"/>
  <c r="T195" i="11"/>
  <c r="T188" i="11"/>
  <c r="T191" i="11"/>
  <c r="T192" i="11"/>
  <c r="T189" i="11"/>
  <c r="T194" i="11"/>
  <c r="T190" i="11"/>
  <c r="H193" i="11"/>
  <c r="H194" i="11"/>
  <c r="I192" i="11"/>
  <c r="H192" i="11"/>
  <c r="I195" i="11"/>
  <c r="H195" i="11"/>
  <c r="A201" i="11"/>
  <c r="C201" i="11" l="1" a="1"/>
  <c r="C201" i="11" s="1"/>
  <c r="F201" i="11" a="1"/>
  <c r="F201" i="11" s="1"/>
  <c r="L201" i="11" a="1"/>
  <c r="L201" i="11" s="1"/>
  <c r="I201" i="11" a="1"/>
  <c r="I201" i="11" s="1"/>
  <c r="P101" i="11"/>
  <c r="P100" i="11"/>
  <c r="P99" i="11"/>
  <c r="P98" i="11"/>
  <c r="P97" i="11"/>
  <c r="P96" i="11"/>
  <c r="P95" i="11"/>
  <c r="I27" i="7"/>
  <c r="I26" i="7"/>
  <c r="I25" i="7"/>
  <c r="I24" i="7"/>
  <c r="I23" i="7"/>
  <c r="I22" i="7"/>
  <c r="I21" i="7"/>
  <c r="I20" i="7"/>
  <c r="I19" i="7"/>
  <c r="I18" i="7"/>
  <c r="I17" i="7"/>
  <c r="I16" i="7"/>
  <c r="I15" i="7"/>
  <c r="I14" i="7"/>
  <c r="I13" i="7"/>
  <c r="I12" i="7"/>
  <c r="F33" i="20"/>
  <c r="F32" i="20"/>
  <c r="F31" i="20"/>
  <c r="F30" i="20"/>
  <c r="F29" i="20"/>
  <c r="F28" i="20"/>
  <c r="F27" i="20"/>
  <c r="F26" i="20"/>
  <c r="F25" i="20"/>
  <c r="F24" i="20"/>
  <c r="F23" i="20"/>
  <c r="F22" i="20"/>
  <c r="F21" i="20"/>
  <c r="F20" i="20"/>
  <c r="F19" i="20"/>
  <c r="F18" i="20"/>
  <c r="F17" i="20"/>
  <c r="F16" i="20"/>
  <c r="F15" i="20"/>
  <c r="F14" i="20"/>
  <c r="F13" i="20"/>
  <c r="F12" i="2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M5131" i="22"/>
  <c r="M5130" i="22"/>
  <c r="M5129" i="22"/>
  <c r="M5128" i="22"/>
  <c r="M5127" i="22"/>
  <c r="M5126" i="22"/>
  <c r="M5125" i="22"/>
  <c r="M5124" i="22"/>
  <c r="M5123" i="22"/>
  <c r="M5122" i="22"/>
  <c r="M5121" i="22"/>
  <c r="M5120" i="22"/>
  <c r="M5119" i="22"/>
  <c r="M5118" i="22"/>
  <c r="M5117" i="22"/>
  <c r="M5116" i="22"/>
  <c r="M5115" i="22"/>
  <c r="M5114" i="22"/>
  <c r="M5113" i="22"/>
  <c r="M5112" i="22"/>
  <c r="M5111" i="22"/>
  <c r="M5110" i="22"/>
  <c r="M5109" i="22"/>
  <c r="M5108" i="22"/>
  <c r="M5107" i="22"/>
  <c r="M5106" i="22"/>
  <c r="M5105" i="22"/>
  <c r="M5104" i="22"/>
  <c r="M5103" i="22"/>
  <c r="M5102" i="22"/>
  <c r="M5101" i="22"/>
  <c r="M5100" i="22"/>
  <c r="M5099" i="22"/>
  <c r="M5098" i="22"/>
  <c r="M5097" i="22"/>
  <c r="M5096" i="22"/>
  <c r="M5095" i="22"/>
  <c r="M5094" i="22"/>
  <c r="M5093" i="22"/>
  <c r="M5092" i="22"/>
  <c r="M5091" i="22"/>
  <c r="M5090" i="22"/>
  <c r="M5089" i="22"/>
  <c r="M5088" i="22"/>
  <c r="M5087" i="22"/>
  <c r="M5086" i="22"/>
  <c r="M5085" i="22"/>
  <c r="M5084" i="22"/>
  <c r="M5083" i="22"/>
  <c r="M5082" i="22"/>
  <c r="M5081" i="22"/>
  <c r="M5080" i="22"/>
  <c r="M5079" i="22"/>
  <c r="M5078" i="22"/>
  <c r="M5077" i="22"/>
  <c r="M5076" i="22"/>
  <c r="M5075" i="22"/>
  <c r="M5074" i="22"/>
  <c r="M5073" i="22"/>
  <c r="M5072" i="22"/>
  <c r="M5071" i="22"/>
  <c r="M5070" i="22"/>
  <c r="M5069" i="22"/>
  <c r="M5068" i="22"/>
  <c r="M5067" i="22"/>
  <c r="M5066" i="22"/>
  <c r="M5065" i="22"/>
  <c r="M5064" i="22"/>
  <c r="M5063" i="22"/>
  <c r="M5062" i="22"/>
  <c r="M5061" i="22"/>
  <c r="M5060" i="22"/>
  <c r="M5059" i="22"/>
  <c r="M5058" i="22"/>
  <c r="M5057" i="22"/>
  <c r="M5056" i="22"/>
  <c r="M5055" i="22"/>
  <c r="M5054" i="22"/>
  <c r="M5053" i="22"/>
  <c r="M5052" i="22"/>
  <c r="M5051" i="22"/>
  <c r="M5050" i="22"/>
  <c r="M5049" i="22"/>
  <c r="M5048" i="22"/>
  <c r="M5047" i="22"/>
  <c r="M5046" i="22"/>
  <c r="M5045" i="22"/>
  <c r="M5044" i="22"/>
  <c r="M5043" i="22"/>
  <c r="M5042" i="22"/>
  <c r="M5041" i="22"/>
  <c r="M5040" i="22"/>
  <c r="M5039" i="22"/>
  <c r="M5038" i="22"/>
  <c r="M5037" i="22"/>
  <c r="M5036" i="22"/>
  <c r="M5035" i="22"/>
  <c r="M5034" i="22"/>
  <c r="M5033" i="22"/>
  <c r="M5032" i="22"/>
  <c r="M5031" i="22"/>
  <c r="M5030" i="22"/>
  <c r="M5029" i="22"/>
  <c r="M5028" i="22"/>
  <c r="M5027" i="22"/>
  <c r="M5026" i="22"/>
  <c r="M5025" i="22"/>
  <c r="M5024" i="22"/>
  <c r="M5023" i="22"/>
  <c r="M5022" i="22"/>
  <c r="M5021" i="22"/>
  <c r="M5020" i="22"/>
  <c r="M5019" i="22"/>
  <c r="M5018" i="22"/>
  <c r="M5017" i="22"/>
  <c r="M5016" i="22"/>
  <c r="M5015" i="22"/>
  <c r="M5014" i="22"/>
  <c r="M5013" i="22"/>
  <c r="M5012" i="22"/>
  <c r="M5011" i="22"/>
  <c r="M5010" i="22"/>
  <c r="M5009" i="22"/>
  <c r="M5008" i="22"/>
  <c r="M5007" i="22"/>
  <c r="M5006" i="22"/>
  <c r="M5005" i="22"/>
  <c r="M5004" i="22"/>
  <c r="M5003" i="22"/>
  <c r="M5002" i="22"/>
  <c r="M5001" i="22"/>
  <c r="M5000" i="22"/>
  <c r="M4999" i="22"/>
  <c r="M4998" i="22"/>
  <c r="M4997" i="22"/>
  <c r="M4996" i="22"/>
  <c r="M4995" i="22"/>
  <c r="M4994" i="22"/>
  <c r="M4993" i="22"/>
  <c r="M4992" i="22"/>
  <c r="M4991" i="22"/>
  <c r="M4990" i="22"/>
  <c r="M4989" i="22"/>
  <c r="M4988" i="22"/>
  <c r="M4987" i="22"/>
  <c r="M4986" i="22"/>
  <c r="M4985" i="22"/>
  <c r="M4984" i="22"/>
  <c r="M4983" i="22"/>
  <c r="M4982" i="22"/>
  <c r="M4981" i="22"/>
  <c r="M4980" i="22"/>
  <c r="M4979" i="22"/>
  <c r="M4978" i="22"/>
  <c r="M4977" i="22"/>
  <c r="M4976" i="22"/>
  <c r="M4975" i="22"/>
  <c r="M4974" i="22"/>
  <c r="M4973" i="22"/>
  <c r="M4972" i="22"/>
  <c r="M4971" i="22"/>
  <c r="M4970" i="22"/>
  <c r="M4969" i="22"/>
  <c r="M4968" i="22"/>
  <c r="M4967" i="22"/>
  <c r="M4966" i="22"/>
  <c r="M4965" i="22"/>
  <c r="M4964" i="22"/>
  <c r="M4963" i="22"/>
  <c r="M4962" i="22"/>
  <c r="M4961" i="22"/>
  <c r="M4960" i="22"/>
  <c r="M4959" i="22"/>
  <c r="M4958" i="22"/>
  <c r="M4957" i="22"/>
  <c r="M4956" i="22"/>
  <c r="M4955" i="22"/>
  <c r="M4954" i="22"/>
  <c r="M4953" i="22"/>
  <c r="M4952" i="22"/>
  <c r="M4951" i="22"/>
  <c r="M4950" i="22"/>
  <c r="M4949" i="22"/>
  <c r="M4948" i="22"/>
  <c r="M4947" i="22"/>
  <c r="M4946" i="22"/>
  <c r="M4945" i="22"/>
  <c r="M4944" i="22"/>
  <c r="M4943" i="22"/>
  <c r="M4942" i="22"/>
  <c r="M4941" i="22"/>
  <c r="M4940" i="22"/>
  <c r="M4939" i="22"/>
  <c r="M4938" i="22"/>
  <c r="M4937" i="22"/>
  <c r="M4936" i="22"/>
  <c r="M4935" i="22"/>
  <c r="M4934" i="22"/>
  <c r="M4933" i="22"/>
  <c r="M4932" i="22"/>
  <c r="M4931" i="22"/>
  <c r="M4930" i="22"/>
  <c r="M4929" i="22"/>
  <c r="M4928" i="22"/>
  <c r="M4927" i="22"/>
  <c r="M4926" i="22"/>
  <c r="M4925" i="22"/>
  <c r="M4924" i="22"/>
  <c r="M4923" i="22"/>
  <c r="M4922" i="22"/>
  <c r="M4921" i="22"/>
  <c r="M4920" i="22"/>
  <c r="M4919" i="22"/>
  <c r="M4918" i="22"/>
  <c r="M4917" i="22"/>
  <c r="M4916" i="22"/>
  <c r="M4915" i="22"/>
  <c r="M4914" i="22"/>
  <c r="M4913" i="22"/>
  <c r="M4912" i="22"/>
  <c r="M4911" i="22"/>
  <c r="M4910" i="22"/>
  <c r="M4909" i="22"/>
  <c r="M4908" i="22"/>
  <c r="M4907" i="22"/>
  <c r="M4906" i="22"/>
  <c r="M4905" i="22"/>
  <c r="M4904" i="22"/>
  <c r="M4903" i="22"/>
  <c r="M4902" i="22"/>
  <c r="M4901" i="22"/>
  <c r="M4900" i="22"/>
  <c r="M4899" i="22"/>
  <c r="M4898" i="22"/>
  <c r="M4897" i="22"/>
  <c r="M4896" i="22"/>
  <c r="M4895" i="22"/>
  <c r="M4894" i="22"/>
  <c r="M4893" i="22"/>
  <c r="M4892" i="22"/>
  <c r="M4891" i="22"/>
  <c r="M4890" i="22"/>
  <c r="M4889" i="22"/>
  <c r="M4888" i="22"/>
  <c r="M4887" i="22"/>
  <c r="M4886" i="22"/>
  <c r="M4885" i="22"/>
  <c r="M4884" i="22"/>
  <c r="M4883" i="22"/>
  <c r="M4882" i="22"/>
  <c r="M4881" i="22"/>
  <c r="M4880" i="22"/>
  <c r="M4879" i="22"/>
  <c r="M4878" i="22"/>
  <c r="M4877" i="22"/>
  <c r="M4876" i="22"/>
  <c r="M4875" i="22"/>
  <c r="M4874" i="22"/>
  <c r="M4873" i="22"/>
  <c r="M4872" i="22"/>
  <c r="M4871" i="22"/>
  <c r="M4870" i="22"/>
  <c r="M4869" i="22"/>
  <c r="M4868" i="22"/>
  <c r="M4867" i="22"/>
  <c r="M4866" i="22"/>
  <c r="M4865" i="22"/>
  <c r="M4864" i="22"/>
  <c r="M4863" i="22"/>
  <c r="M4862" i="22"/>
  <c r="M4861" i="22"/>
  <c r="M4860" i="22"/>
  <c r="M4859" i="22"/>
  <c r="M4858" i="22"/>
  <c r="M4857" i="22"/>
  <c r="M4856" i="22"/>
  <c r="M4855" i="22"/>
  <c r="M4854" i="22"/>
  <c r="M4853" i="22"/>
  <c r="M4852" i="22"/>
  <c r="M4851" i="22"/>
  <c r="M4850" i="22"/>
  <c r="M4849" i="22"/>
  <c r="M4848" i="22"/>
  <c r="M4847" i="22"/>
  <c r="M4846" i="22"/>
  <c r="M4845" i="22"/>
  <c r="M4844" i="22"/>
  <c r="M4843" i="22"/>
  <c r="M4842" i="22"/>
  <c r="M4841" i="22"/>
  <c r="M4840" i="22"/>
  <c r="M4839" i="22"/>
  <c r="M4838" i="22"/>
  <c r="M4837" i="22"/>
  <c r="M4836" i="22"/>
  <c r="M4835" i="22"/>
  <c r="M4834" i="22"/>
  <c r="M4833" i="22"/>
  <c r="M4832" i="22"/>
  <c r="M4831" i="22"/>
  <c r="M4830" i="22"/>
  <c r="M4829" i="22"/>
  <c r="M4828" i="22"/>
  <c r="M4827" i="22"/>
  <c r="M4826" i="22"/>
  <c r="M4825" i="22"/>
  <c r="M4824" i="22"/>
  <c r="M4823" i="22"/>
  <c r="M4822" i="22"/>
  <c r="M4821" i="22"/>
  <c r="M4820" i="22"/>
  <c r="M4819" i="22"/>
  <c r="M4818" i="22"/>
  <c r="M4817" i="22"/>
  <c r="M4816" i="22"/>
  <c r="M4815" i="22"/>
  <c r="M4814" i="22"/>
  <c r="M4813" i="22"/>
  <c r="M4812" i="22"/>
  <c r="M4811" i="22"/>
  <c r="M4810" i="22"/>
  <c r="M4809" i="22"/>
  <c r="M4808" i="22"/>
  <c r="M4807" i="22"/>
  <c r="M4806" i="22"/>
  <c r="M4805" i="22"/>
  <c r="M4804" i="22"/>
  <c r="M4803" i="22"/>
  <c r="M4802" i="22"/>
  <c r="M4801" i="22"/>
  <c r="M4800" i="22"/>
  <c r="M4799" i="22"/>
  <c r="M4798" i="22"/>
  <c r="M4797" i="22"/>
  <c r="M4796" i="22"/>
  <c r="M4795" i="22"/>
  <c r="M4794" i="22"/>
  <c r="M4793" i="22"/>
  <c r="M4792" i="22"/>
  <c r="M4791" i="22"/>
  <c r="M4790" i="22"/>
  <c r="M4789" i="22"/>
  <c r="M4788" i="22"/>
  <c r="M4787" i="22"/>
  <c r="M4786" i="22"/>
  <c r="M4785" i="22"/>
  <c r="M4784" i="22"/>
  <c r="M4783" i="22"/>
  <c r="M4782" i="22"/>
  <c r="M4781" i="22"/>
  <c r="M4780" i="22"/>
  <c r="M4779" i="22"/>
  <c r="M4778" i="22"/>
  <c r="M4777" i="22"/>
  <c r="M4776" i="22"/>
  <c r="M4775" i="22"/>
  <c r="M4774" i="22"/>
  <c r="M4773" i="22"/>
  <c r="M4772" i="22"/>
  <c r="M4771" i="22"/>
  <c r="M4770" i="22"/>
  <c r="M4769" i="22"/>
  <c r="M4768" i="22"/>
  <c r="M4767" i="22"/>
  <c r="M4766" i="22"/>
  <c r="M4765" i="22"/>
  <c r="M4764" i="22"/>
  <c r="M4763" i="22"/>
  <c r="M4762" i="22"/>
  <c r="M4761" i="22"/>
  <c r="M4760" i="22"/>
  <c r="M4759" i="22"/>
  <c r="M4758" i="22"/>
  <c r="M4757" i="22"/>
  <c r="M4756" i="22"/>
  <c r="M4755" i="22"/>
  <c r="M4754" i="22"/>
  <c r="M4753" i="22"/>
  <c r="M4752" i="22"/>
  <c r="M4751" i="22"/>
  <c r="M4750" i="22"/>
  <c r="M4749" i="22"/>
  <c r="M4748" i="22"/>
  <c r="M4747" i="22"/>
  <c r="M4746" i="22"/>
  <c r="M4745" i="22"/>
  <c r="M4744" i="22"/>
  <c r="M4743" i="22"/>
  <c r="M4742" i="22"/>
  <c r="M4741" i="22"/>
  <c r="M4740" i="22"/>
  <c r="M4739" i="22"/>
  <c r="M4738" i="22"/>
  <c r="M4737" i="22"/>
  <c r="M4736" i="22"/>
  <c r="M4735" i="22"/>
  <c r="M4734" i="22"/>
  <c r="M4733" i="22"/>
  <c r="M4732" i="22"/>
  <c r="M4731" i="22"/>
  <c r="M4730" i="22"/>
  <c r="M4729" i="22"/>
  <c r="M4728" i="22"/>
  <c r="M4727" i="22"/>
  <c r="M4726" i="22"/>
  <c r="M4725" i="22"/>
  <c r="M4724" i="22"/>
  <c r="M4723" i="22"/>
  <c r="M4722" i="22"/>
  <c r="M4721" i="22"/>
  <c r="M4720" i="22"/>
  <c r="M4719" i="22"/>
  <c r="M4718" i="22"/>
  <c r="M4717" i="22"/>
  <c r="M4716" i="22"/>
  <c r="M4715" i="22"/>
  <c r="M4714" i="22"/>
  <c r="M4713" i="22"/>
  <c r="M4712" i="22"/>
  <c r="M4711" i="22"/>
  <c r="M4710" i="22"/>
  <c r="M4709" i="22"/>
  <c r="M4708" i="22"/>
  <c r="M4707" i="22"/>
  <c r="M4706" i="22"/>
  <c r="M4705" i="22"/>
  <c r="M4704" i="22"/>
  <c r="M4703" i="22"/>
  <c r="M4702" i="22"/>
  <c r="M4701" i="22"/>
  <c r="M4700" i="22"/>
  <c r="M4699" i="22"/>
  <c r="M4698" i="22"/>
  <c r="M4697" i="22"/>
  <c r="M4696" i="22"/>
  <c r="M4695" i="22"/>
  <c r="M4694" i="22"/>
  <c r="M4693" i="22"/>
  <c r="M4692" i="22"/>
  <c r="M4691" i="22"/>
  <c r="M4690" i="22"/>
  <c r="M4689" i="22"/>
  <c r="M4688" i="22"/>
  <c r="M4687" i="22"/>
  <c r="M4686" i="22"/>
  <c r="M4685" i="22"/>
  <c r="M4684" i="22"/>
  <c r="M4683" i="22"/>
  <c r="M4682" i="22"/>
  <c r="M4681" i="22"/>
  <c r="M4680" i="22"/>
  <c r="M4679" i="22"/>
  <c r="M4678" i="22"/>
  <c r="M4677" i="22"/>
  <c r="M4676" i="22"/>
  <c r="M4675" i="22"/>
  <c r="M4674" i="22"/>
  <c r="M4673" i="22"/>
  <c r="M4672" i="22"/>
  <c r="M4671" i="22"/>
  <c r="M4670" i="22"/>
  <c r="M4669" i="22"/>
  <c r="M4668" i="22"/>
  <c r="M4667" i="22"/>
  <c r="M4666" i="22"/>
  <c r="M4665" i="22"/>
  <c r="M4664" i="22"/>
  <c r="M4663" i="22"/>
  <c r="M4662" i="22"/>
  <c r="M4661" i="22"/>
  <c r="M4660" i="22"/>
  <c r="M4659" i="22"/>
  <c r="M4658" i="22"/>
  <c r="M4657" i="22"/>
  <c r="M4656" i="22"/>
  <c r="M4655" i="22"/>
  <c r="M4654" i="22"/>
  <c r="M4653" i="22"/>
  <c r="M4652" i="22"/>
  <c r="M4651" i="22"/>
  <c r="M4650" i="22"/>
  <c r="M4649" i="22"/>
  <c r="M4648" i="22"/>
  <c r="M4647" i="22"/>
  <c r="M4646" i="22"/>
  <c r="M4645" i="22"/>
  <c r="M4644" i="22"/>
  <c r="M4643" i="22"/>
  <c r="M4642" i="22"/>
  <c r="M4641" i="22"/>
  <c r="M4640" i="22"/>
  <c r="M4639" i="22"/>
  <c r="M4638" i="22"/>
  <c r="M4637" i="22"/>
  <c r="M4636" i="22"/>
  <c r="M4635" i="22"/>
  <c r="M4634" i="22"/>
  <c r="M4633" i="22"/>
  <c r="M4632" i="22"/>
  <c r="M4631" i="22"/>
  <c r="M4630" i="22"/>
  <c r="M4629" i="22"/>
  <c r="M4628" i="22"/>
  <c r="M4627" i="22"/>
  <c r="M4626" i="22"/>
  <c r="M4625" i="22"/>
  <c r="M4624" i="22"/>
  <c r="M4623" i="22"/>
  <c r="M4622" i="22"/>
  <c r="M4621" i="22"/>
  <c r="M4620" i="22"/>
  <c r="M4619" i="22"/>
  <c r="M4618" i="22"/>
  <c r="M4617" i="22"/>
  <c r="M4616" i="22"/>
  <c r="M4615" i="22"/>
  <c r="M4614" i="22"/>
  <c r="M4613" i="22"/>
  <c r="M4612" i="22"/>
  <c r="M4611" i="22"/>
  <c r="M4610" i="22"/>
  <c r="M4609" i="22"/>
  <c r="M4608" i="22"/>
  <c r="M4607" i="22"/>
  <c r="M4606" i="22"/>
  <c r="M4605" i="22"/>
  <c r="M4604" i="22"/>
  <c r="M4603" i="22"/>
  <c r="M4602" i="22"/>
  <c r="M4601" i="22"/>
  <c r="M4600" i="22"/>
  <c r="M4599" i="22"/>
  <c r="M4598" i="22"/>
  <c r="M4597" i="22"/>
  <c r="M4596" i="22"/>
  <c r="M4595" i="22"/>
  <c r="M4594" i="22"/>
  <c r="M4593" i="22"/>
  <c r="M4592" i="22"/>
  <c r="M4591" i="22"/>
  <c r="M4590" i="22"/>
  <c r="M4589" i="22"/>
  <c r="M4588" i="22"/>
  <c r="M4587" i="22"/>
  <c r="M4586" i="22"/>
  <c r="M4585" i="22"/>
  <c r="M4584" i="22"/>
  <c r="M4583" i="22"/>
  <c r="M4582" i="22"/>
  <c r="M4581" i="22"/>
  <c r="M4580" i="22"/>
  <c r="M4579" i="22"/>
  <c r="M4578" i="22"/>
  <c r="M4577" i="22"/>
  <c r="M4576" i="22"/>
  <c r="M4575" i="22"/>
  <c r="M4574" i="22"/>
  <c r="M4573" i="22"/>
  <c r="M4572" i="22"/>
  <c r="M4571" i="22"/>
  <c r="M4570" i="22"/>
  <c r="M4569" i="22"/>
  <c r="M4568" i="22"/>
  <c r="M4567" i="22"/>
  <c r="M4566" i="22"/>
  <c r="M4565" i="22"/>
  <c r="M4564" i="22"/>
  <c r="M4563" i="22"/>
  <c r="M4562" i="22"/>
  <c r="M4561" i="22"/>
  <c r="M4560" i="22"/>
  <c r="M4559" i="22"/>
  <c r="M4558" i="22"/>
  <c r="M4557" i="22"/>
  <c r="M4556" i="22"/>
  <c r="M4555" i="22"/>
  <c r="M4554" i="22"/>
  <c r="M4553" i="22"/>
  <c r="M4552" i="22"/>
  <c r="M4551" i="22"/>
  <c r="M4550" i="22"/>
  <c r="M4549" i="22"/>
  <c r="M4548" i="22"/>
  <c r="M4547" i="22"/>
  <c r="M4546" i="22"/>
  <c r="M4545" i="22"/>
  <c r="M4544" i="22"/>
  <c r="M4543" i="22"/>
  <c r="M4542" i="22"/>
  <c r="M4541" i="22"/>
  <c r="M4540" i="22"/>
  <c r="M4539" i="22"/>
  <c r="M4538" i="22"/>
  <c r="M4537" i="22"/>
  <c r="M4536" i="22"/>
  <c r="M4535" i="22"/>
  <c r="M4534" i="22"/>
  <c r="M4533" i="22"/>
  <c r="M4532" i="22"/>
  <c r="M4531" i="22"/>
  <c r="M4530" i="22"/>
  <c r="M4529" i="22"/>
  <c r="M4528" i="22"/>
  <c r="M4527" i="22"/>
  <c r="M4526" i="22"/>
  <c r="M4525" i="22"/>
  <c r="M4524" i="22"/>
  <c r="M4523" i="22"/>
  <c r="M4522" i="22"/>
  <c r="M4521" i="22"/>
  <c r="M4520" i="22"/>
  <c r="M4519" i="22"/>
  <c r="M4518" i="22"/>
  <c r="M4517" i="22"/>
  <c r="M4516" i="22"/>
  <c r="M4515" i="22"/>
  <c r="M4514" i="22"/>
  <c r="M4513" i="22"/>
  <c r="M4512" i="22"/>
  <c r="M4511" i="22"/>
  <c r="M4510" i="22"/>
  <c r="M4509" i="22"/>
  <c r="M4508" i="22"/>
  <c r="M4507" i="22"/>
  <c r="M4506" i="22"/>
  <c r="M4505" i="22"/>
  <c r="M4504" i="22"/>
  <c r="M4503" i="22"/>
  <c r="M4502" i="22"/>
  <c r="M4501" i="22"/>
  <c r="M4500" i="22"/>
  <c r="M4499" i="22"/>
  <c r="M4498" i="22"/>
  <c r="M4497" i="22"/>
  <c r="M4496" i="22"/>
  <c r="M4495" i="22"/>
  <c r="M4494" i="22"/>
  <c r="M4493" i="22"/>
  <c r="M4492" i="22"/>
  <c r="M4491" i="22"/>
  <c r="M4490" i="22"/>
  <c r="M4489" i="22"/>
  <c r="M4488" i="22"/>
  <c r="M4487" i="22"/>
  <c r="M4486" i="22"/>
  <c r="M4485" i="22"/>
  <c r="M4484" i="22"/>
  <c r="M4483" i="22"/>
  <c r="M4482" i="22"/>
  <c r="M4481" i="22"/>
  <c r="M4480" i="22"/>
  <c r="M4479" i="22"/>
  <c r="M4478" i="22"/>
  <c r="M4477" i="22"/>
  <c r="M4476" i="22"/>
  <c r="M4475" i="22"/>
  <c r="M4474" i="22"/>
  <c r="M4473" i="22"/>
  <c r="M4472" i="22"/>
  <c r="M4471" i="22"/>
  <c r="M4470" i="22"/>
  <c r="M4469" i="22"/>
  <c r="M4468" i="22"/>
  <c r="M4467" i="22"/>
  <c r="M4466" i="22"/>
  <c r="M4465" i="22"/>
  <c r="M4464" i="22"/>
  <c r="M4463" i="22"/>
  <c r="M4462" i="22"/>
  <c r="M4461" i="22"/>
  <c r="M4460" i="22"/>
  <c r="M4459" i="22"/>
  <c r="M4458" i="22"/>
  <c r="M4457" i="22"/>
  <c r="M4456" i="22"/>
  <c r="M4455" i="22"/>
  <c r="M4454" i="22"/>
  <c r="M4453" i="22"/>
  <c r="M4452" i="22"/>
  <c r="M4451" i="22"/>
  <c r="M4450" i="22"/>
  <c r="M4449" i="22"/>
  <c r="M4448" i="22"/>
  <c r="M4447" i="22"/>
  <c r="M4446" i="22"/>
  <c r="M4445" i="22"/>
  <c r="M4444" i="22"/>
  <c r="M4443" i="22"/>
  <c r="M4442" i="22"/>
  <c r="M4441" i="22"/>
  <c r="M4440" i="22"/>
  <c r="M4439" i="22"/>
  <c r="M4438" i="22"/>
  <c r="M4437" i="22"/>
  <c r="M4436" i="22"/>
  <c r="M4435" i="22"/>
  <c r="M4434" i="22"/>
  <c r="M4433" i="22"/>
  <c r="M4432" i="22"/>
  <c r="M4431" i="22"/>
  <c r="M4430" i="22"/>
  <c r="M4429" i="22"/>
  <c r="M4428" i="22"/>
  <c r="M4427" i="22"/>
  <c r="M4426" i="22"/>
  <c r="M4425" i="22"/>
  <c r="M4424" i="22"/>
  <c r="M4423" i="22"/>
  <c r="M4422" i="22"/>
  <c r="M4421" i="22"/>
  <c r="M4420" i="22"/>
  <c r="M4419" i="22"/>
  <c r="M4418" i="22"/>
  <c r="M4417" i="22"/>
  <c r="M4416" i="22"/>
  <c r="M4415" i="22"/>
  <c r="M4414" i="22"/>
  <c r="M4413" i="22"/>
  <c r="M4412" i="22"/>
  <c r="M4411" i="22"/>
  <c r="M4410" i="22"/>
  <c r="M4409" i="22"/>
  <c r="M4408" i="22"/>
  <c r="M4407" i="22"/>
  <c r="M4406" i="22"/>
  <c r="M4405" i="22"/>
  <c r="M4404" i="22"/>
  <c r="M4403" i="22"/>
  <c r="M4402" i="22"/>
  <c r="M4401" i="22"/>
  <c r="M4400" i="22"/>
  <c r="M4399" i="22"/>
  <c r="M4398" i="22"/>
  <c r="M4397" i="22"/>
  <c r="M4396" i="22"/>
  <c r="M4395" i="22"/>
  <c r="M4394" i="22"/>
  <c r="M4393" i="22"/>
  <c r="M4392" i="22"/>
  <c r="M4391" i="22"/>
  <c r="M4390" i="22"/>
  <c r="M4389" i="22"/>
  <c r="M4388" i="22"/>
  <c r="M4387" i="22"/>
  <c r="M4386" i="22"/>
  <c r="M4385" i="22"/>
  <c r="M4384" i="22"/>
  <c r="M4383" i="22"/>
  <c r="M4382" i="22"/>
  <c r="M4381" i="22"/>
  <c r="M4380" i="22"/>
  <c r="M4379" i="22"/>
  <c r="M4378" i="22"/>
  <c r="M4377" i="22"/>
  <c r="M4376" i="22"/>
  <c r="M4375" i="22"/>
  <c r="M4374" i="22"/>
  <c r="M4373" i="22"/>
  <c r="M4372" i="22"/>
  <c r="M4371" i="22"/>
  <c r="M4370" i="22"/>
  <c r="M4369" i="22"/>
  <c r="M4368" i="22"/>
  <c r="M4367" i="22"/>
  <c r="M4366" i="22"/>
  <c r="M4365" i="22"/>
  <c r="M4364" i="22"/>
  <c r="M4363" i="22"/>
  <c r="M4362" i="22"/>
  <c r="M4361" i="22"/>
  <c r="M4360" i="22"/>
  <c r="M4359" i="22"/>
  <c r="M4358" i="22"/>
  <c r="M4357" i="22"/>
  <c r="M4356" i="22"/>
  <c r="M4355" i="22"/>
  <c r="M4354" i="22"/>
  <c r="M4353" i="22"/>
  <c r="M4352" i="22"/>
  <c r="M4351" i="22"/>
  <c r="M4350" i="22"/>
  <c r="M4349" i="22"/>
  <c r="M4348" i="22"/>
  <c r="M4347" i="22"/>
  <c r="M4346" i="22"/>
  <c r="M4345" i="22"/>
  <c r="M4344" i="22"/>
  <c r="M4343" i="22"/>
  <c r="M4342" i="22"/>
  <c r="M4341" i="22"/>
  <c r="M4340" i="22"/>
  <c r="M4339" i="22"/>
  <c r="M4338" i="22"/>
  <c r="M4337" i="22"/>
  <c r="M4336" i="22"/>
  <c r="M4335" i="22"/>
  <c r="M4334" i="22"/>
  <c r="M4333" i="22"/>
  <c r="M4332" i="22"/>
  <c r="M4331" i="22"/>
  <c r="M4330" i="22"/>
  <c r="M4329" i="22"/>
  <c r="M4328" i="22"/>
  <c r="M4327" i="22"/>
  <c r="M4326" i="22"/>
  <c r="M4325" i="22"/>
  <c r="M4324" i="22"/>
  <c r="M4323" i="22"/>
  <c r="M4322" i="22"/>
  <c r="M4321" i="22"/>
  <c r="M4320" i="22"/>
  <c r="M4319" i="22"/>
  <c r="M4318" i="22"/>
  <c r="M4317" i="22"/>
  <c r="M4316" i="22"/>
  <c r="M4315" i="22"/>
  <c r="M4314" i="22"/>
  <c r="M4313" i="22"/>
  <c r="M4312" i="22"/>
  <c r="M4311" i="22"/>
  <c r="M4310" i="22"/>
  <c r="M4309" i="22"/>
  <c r="M4308" i="22"/>
  <c r="M4307" i="22"/>
  <c r="M4306" i="22"/>
  <c r="M4305" i="22"/>
  <c r="M4304" i="22"/>
  <c r="M4303" i="22"/>
  <c r="M4302" i="22"/>
  <c r="M4301" i="22"/>
  <c r="M4300" i="22"/>
  <c r="M4299" i="22"/>
  <c r="M4298" i="22"/>
  <c r="M4297" i="22"/>
  <c r="M4296" i="22"/>
  <c r="M4295" i="22"/>
  <c r="M4294" i="22"/>
  <c r="M4293" i="22"/>
  <c r="M4292" i="22"/>
  <c r="M4291" i="22"/>
  <c r="M4290" i="22"/>
  <c r="M4289" i="22"/>
  <c r="M4288" i="22"/>
  <c r="M4287" i="22"/>
  <c r="M4286" i="22"/>
  <c r="M4285" i="22"/>
  <c r="M4284" i="22"/>
  <c r="M4283" i="22"/>
  <c r="M4282" i="22"/>
  <c r="M4281" i="22"/>
  <c r="M4280" i="22"/>
  <c r="M4279" i="22"/>
  <c r="M4278" i="22"/>
  <c r="M4277" i="22"/>
  <c r="M4276" i="22"/>
  <c r="M4275" i="22"/>
  <c r="M4274" i="22"/>
  <c r="M4273" i="22"/>
  <c r="M4272" i="22"/>
  <c r="M4271" i="22"/>
  <c r="M4270" i="22"/>
  <c r="M4269" i="22"/>
  <c r="M4268" i="22"/>
  <c r="M4267" i="22"/>
  <c r="M4266" i="22"/>
  <c r="M4265" i="22"/>
  <c r="M4264" i="22"/>
  <c r="M4263" i="22"/>
  <c r="M4262" i="22"/>
  <c r="M4261" i="22"/>
  <c r="M4260" i="22"/>
  <c r="M4259" i="22"/>
  <c r="M4258" i="22"/>
  <c r="M4257" i="22"/>
  <c r="M4256" i="22"/>
  <c r="M4255" i="22"/>
  <c r="M4254" i="22"/>
  <c r="M4253" i="22"/>
  <c r="M4252" i="22"/>
  <c r="M4251" i="22"/>
  <c r="M4250" i="22"/>
  <c r="M4249" i="22"/>
  <c r="M4248" i="22"/>
  <c r="M4247" i="22"/>
  <c r="M4246" i="22"/>
  <c r="M4245" i="22"/>
  <c r="M4244" i="22"/>
  <c r="M4243" i="22"/>
  <c r="M4242" i="22"/>
  <c r="M4241" i="22"/>
  <c r="M4240" i="22"/>
  <c r="M4239" i="22"/>
  <c r="M4238" i="22"/>
  <c r="M4237" i="22"/>
  <c r="M4236" i="22"/>
  <c r="M4235" i="22"/>
  <c r="M4234" i="22"/>
  <c r="M4233" i="22"/>
  <c r="M4232" i="22"/>
  <c r="M4231" i="22"/>
  <c r="M4230" i="22"/>
  <c r="M4229" i="22"/>
  <c r="M4228" i="22"/>
  <c r="M4227" i="22"/>
  <c r="M4226" i="22"/>
  <c r="M4225" i="22"/>
  <c r="M4224" i="22"/>
  <c r="M4223" i="22"/>
  <c r="M4222" i="22"/>
  <c r="M4221" i="22"/>
  <c r="M4220" i="22"/>
  <c r="M4219" i="22"/>
  <c r="M4218" i="22"/>
  <c r="M4217" i="22"/>
  <c r="M4216" i="22"/>
  <c r="M4215" i="22"/>
  <c r="M4214" i="22"/>
  <c r="M4213" i="22"/>
  <c r="M4212" i="22"/>
  <c r="M4211" i="22"/>
  <c r="M4210" i="22"/>
  <c r="M4209" i="22"/>
  <c r="M4208" i="22"/>
  <c r="M4207" i="22"/>
  <c r="M4206" i="22"/>
  <c r="M4205" i="22"/>
  <c r="M4204" i="22"/>
  <c r="M4203" i="22"/>
  <c r="M4202" i="22"/>
  <c r="M4201" i="22"/>
  <c r="M4200" i="22"/>
  <c r="M4199" i="22"/>
  <c r="M4198" i="22"/>
  <c r="M4197" i="22"/>
  <c r="M4196" i="22"/>
  <c r="M4195" i="22"/>
  <c r="M4194" i="22"/>
  <c r="M4193" i="22"/>
  <c r="M4192" i="22"/>
  <c r="M4191" i="22"/>
  <c r="M4190" i="22"/>
  <c r="M4189" i="22"/>
  <c r="M4188" i="22"/>
  <c r="M4187" i="22"/>
  <c r="M4186" i="22"/>
  <c r="M4185" i="22"/>
  <c r="M4184" i="22"/>
  <c r="M4183" i="22"/>
  <c r="M4182" i="22"/>
  <c r="M4181" i="22"/>
  <c r="M4180" i="22"/>
  <c r="M4179" i="22"/>
  <c r="M4178" i="22"/>
  <c r="M4177" i="22"/>
  <c r="M4176" i="22"/>
  <c r="M4175" i="22"/>
  <c r="M4174" i="22"/>
  <c r="M4173" i="22"/>
  <c r="M4172" i="22"/>
  <c r="M4171" i="22"/>
  <c r="M4170" i="22"/>
  <c r="M4169" i="22"/>
  <c r="M4168" i="22"/>
  <c r="M4167" i="22"/>
  <c r="M4166" i="22"/>
  <c r="M4165" i="22"/>
  <c r="M4164" i="22"/>
  <c r="M4163" i="22"/>
  <c r="M4162" i="22"/>
  <c r="M4161" i="22"/>
  <c r="M4160" i="22"/>
  <c r="M4159" i="22"/>
  <c r="M4158" i="22"/>
  <c r="M4157" i="22"/>
  <c r="M4156" i="22"/>
  <c r="M4155" i="22"/>
  <c r="M4154" i="22"/>
  <c r="M4153" i="22"/>
  <c r="M4152" i="22"/>
  <c r="M4151" i="22"/>
  <c r="M4150" i="22"/>
  <c r="M4149" i="22"/>
  <c r="M4148" i="22"/>
  <c r="M4147" i="22"/>
  <c r="M4146" i="22"/>
  <c r="M4145" i="22"/>
  <c r="M4144" i="22"/>
  <c r="M4143" i="22"/>
  <c r="M4142" i="22"/>
  <c r="M4141" i="22"/>
  <c r="M4140" i="22"/>
  <c r="M4139" i="22"/>
  <c r="M4138" i="22"/>
  <c r="M4137" i="22"/>
  <c r="M4136" i="22"/>
  <c r="M4135" i="22"/>
  <c r="M4134" i="22"/>
  <c r="M4133" i="22"/>
  <c r="M4132" i="22"/>
  <c r="M4131" i="22"/>
  <c r="M4130" i="22"/>
  <c r="M4129" i="22"/>
  <c r="M4128" i="22"/>
  <c r="M4127" i="22"/>
  <c r="M4126" i="22"/>
  <c r="M4125" i="22"/>
  <c r="M4124" i="22"/>
  <c r="M4123" i="22"/>
  <c r="M4122" i="22"/>
  <c r="M4121" i="22"/>
  <c r="M4120" i="22"/>
  <c r="M4119" i="22"/>
  <c r="M4118" i="22"/>
  <c r="M4117" i="22"/>
  <c r="M4116" i="22"/>
  <c r="M4115" i="22"/>
  <c r="M4114" i="22"/>
  <c r="M4113" i="22"/>
  <c r="M4112" i="22"/>
  <c r="M4111" i="22"/>
  <c r="M4110" i="22"/>
  <c r="M4109" i="22"/>
  <c r="M4108" i="22"/>
  <c r="M4107" i="22"/>
  <c r="M4106" i="22"/>
  <c r="M4105" i="22"/>
  <c r="M4104" i="22"/>
  <c r="M4103" i="22"/>
  <c r="M4102" i="22"/>
  <c r="M4101" i="22"/>
  <c r="M4100" i="22"/>
  <c r="M4099" i="22"/>
  <c r="M4098" i="22"/>
  <c r="M4097" i="22"/>
  <c r="M4096" i="22"/>
  <c r="M4095" i="22"/>
  <c r="M4094" i="22"/>
  <c r="M4093" i="22"/>
  <c r="M4092" i="22"/>
  <c r="M4091" i="22"/>
  <c r="M4090" i="22"/>
  <c r="M4089" i="22"/>
  <c r="M4088" i="22"/>
  <c r="M4087" i="22"/>
  <c r="M4086" i="22"/>
  <c r="M4085" i="22"/>
  <c r="M4084" i="22"/>
  <c r="M4083" i="22"/>
  <c r="M4082" i="22"/>
  <c r="M4081" i="22"/>
  <c r="M4080" i="22"/>
  <c r="M4079" i="22"/>
  <c r="M4078" i="22"/>
  <c r="M4077" i="22"/>
  <c r="M4076" i="22"/>
  <c r="M4075" i="22"/>
  <c r="M4074" i="22"/>
  <c r="M4073" i="22"/>
  <c r="M4072" i="22"/>
  <c r="M4071" i="22"/>
  <c r="M4070" i="22"/>
  <c r="M4069" i="22"/>
  <c r="M4068" i="22"/>
  <c r="M4067" i="22"/>
  <c r="M4066" i="22"/>
  <c r="M4065" i="22"/>
  <c r="M4064" i="22"/>
  <c r="M4063" i="22"/>
  <c r="M4062" i="22"/>
  <c r="M4061" i="22"/>
  <c r="M4060" i="22"/>
  <c r="M4059" i="22"/>
  <c r="M4058" i="22"/>
  <c r="M4057" i="22"/>
  <c r="M4056" i="22"/>
  <c r="M4055" i="22"/>
  <c r="M4054" i="22"/>
  <c r="M4053" i="22"/>
  <c r="M4052" i="22"/>
  <c r="M4051" i="22"/>
  <c r="M4050" i="22"/>
  <c r="M4049" i="22"/>
  <c r="M4048" i="22"/>
  <c r="M4047" i="22"/>
  <c r="M4046" i="22"/>
  <c r="M4045" i="22"/>
  <c r="M4044" i="22"/>
  <c r="M4043" i="22"/>
  <c r="M4042" i="22"/>
  <c r="M4041" i="22"/>
  <c r="M4040" i="22"/>
  <c r="M4039" i="22"/>
  <c r="M4038" i="22"/>
  <c r="M4037" i="22"/>
  <c r="M4036" i="22"/>
  <c r="M4035" i="22"/>
  <c r="M4034" i="22"/>
  <c r="M4033" i="22"/>
  <c r="M4032" i="22"/>
  <c r="M4031" i="22"/>
  <c r="M4030" i="22"/>
  <c r="M4029" i="22"/>
  <c r="M4028" i="22"/>
  <c r="M4027" i="22"/>
  <c r="M4026" i="22"/>
  <c r="M4025" i="22"/>
  <c r="M4024" i="22"/>
  <c r="M4023" i="22"/>
  <c r="M4022" i="22"/>
  <c r="M4021" i="22"/>
  <c r="M4020" i="22"/>
  <c r="M4019" i="22"/>
  <c r="M4018" i="22"/>
  <c r="M4017" i="22"/>
  <c r="M4016" i="22"/>
  <c r="M4015" i="22"/>
  <c r="M4014" i="22"/>
  <c r="M4013" i="22"/>
  <c r="M4012" i="22"/>
  <c r="M4011" i="22"/>
  <c r="M4010" i="22"/>
  <c r="M4009" i="22"/>
  <c r="M4008" i="22"/>
  <c r="M4007" i="22"/>
  <c r="M4006" i="22"/>
  <c r="M4005" i="22"/>
  <c r="M4004" i="22"/>
  <c r="M4003" i="22"/>
  <c r="M4002" i="22"/>
  <c r="M4001" i="22"/>
  <c r="M4000" i="22"/>
  <c r="M3999" i="22"/>
  <c r="M3998" i="22"/>
  <c r="M3997" i="22"/>
  <c r="M3996" i="22"/>
  <c r="M3995" i="22"/>
  <c r="M3994" i="22"/>
  <c r="M3993" i="22"/>
  <c r="M3992" i="22"/>
  <c r="M3991" i="22"/>
  <c r="M3990" i="22"/>
  <c r="M3989" i="22"/>
  <c r="M3988" i="22"/>
  <c r="M3987" i="22"/>
  <c r="M3986" i="22"/>
  <c r="M3985" i="22"/>
  <c r="M3984" i="22"/>
  <c r="M3983" i="22"/>
  <c r="M3982" i="22"/>
  <c r="M3981" i="22"/>
  <c r="M3980" i="22"/>
  <c r="M3979" i="22"/>
  <c r="M3978" i="22"/>
  <c r="M3977" i="22"/>
  <c r="M3976" i="22"/>
  <c r="M3975" i="22"/>
  <c r="M3974" i="22"/>
  <c r="M3973" i="22"/>
  <c r="M3972" i="22"/>
  <c r="M3971" i="22"/>
  <c r="M3970" i="22"/>
  <c r="M3969" i="22"/>
  <c r="M3968" i="22"/>
  <c r="M3967" i="22"/>
  <c r="M3966" i="22"/>
  <c r="M3965" i="22"/>
  <c r="M3964" i="22"/>
  <c r="M3963" i="22"/>
  <c r="M3962" i="22"/>
  <c r="M3961" i="22"/>
  <c r="M3960" i="22"/>
  <c r="M3959" i="22"/>
  <c r="M3958" i="22"/>
  <c r="M3957" i="22"/>
  <c r="M3956" i="22"/>
  <c r="M3955" i="22"/>
  <c r="M3954" i="22"/>
  <c r="M3953" i="22"/>
  <c r="M3952" i="22"/>
  <c r="M3951" i="22"/>
  <c r="M3950" i="22"/>
  <c r="M3949" i="22"/>
  <c r="M3948" i="22"/>
  <c r="M3947" i="22"/>
  <c r="M3946" i="22"/>
  <c r="M3945" i="22"/>
  <c r="M3944" i="22"/>
  <c r="M3943" i="22"/>
  <c r="M3942" i="22"/>
  <c r="M3941" i="22"/>
  <c r="M3940" i="22"/>
  <c r="M3939" i="22"/>
  <c r="M3938" i="22"/>
  <c r="M3937" i="22"/>
  <c r="M3936" i="22"/>
  <c r="M3935" i="22"/>
  <c r="M3934" i="22"/>
  <c r="M3933" i="22"/>
  <c r="M3932" i="22"/>
  <c r="M3931" i="22"/>
  <c r="M3930" i="22"/>
  <c r="M3929" i="22"/>
  <c r="M3928" i="22"/>
  <c r="M3927" i="22"/>
  <c r="M3926" i="22"/>
  <c r="M3925" i="22"/>
  <c r="M3924" i="22"/>
  <c r="M3923" i="22"/>
  <c r="M3922" i="22"/>
  <c r="M3921" i="22"/>
  <c r="M3920" i="22"/>
  <c r="M3919" i="22"/>
  <c r="M3918" i="22"/>
  <c r="M3917" i="22"/>
  <c r="M3916" i="22"/>
  <c r="M3915" i="22"/>
  <c r="M3914" i="22"/>
  <c r="M3913" i="22"/>
  <c r="M3912" i="22"/>
  <c r="M3911" i="22"/>
  <c r="M3910" i="22"/>
  <c r="M3909" i="22"/>
  <c r="M3908" i="22"/>
  <c r="M3907" i="22"/>
  <c r="M3906" i="22"/>
  <c r="M3905" i="22"/>
  <c r="M3904" i="22"/>
  <c r="M3903" i="22"/>
  <c r="M3902" i="22"/>
  <c r="M3901" i="22"/>
  <c r="M3900" i="22"/>
  <c r="M3899" i="22"/>
  <c r="M3898" i="22"/>
  <c r="M3897" i="22"/>
  <c r="M3896" i="22"/>
  <c r="M3895" i="22"/>
  <c r="M3894" i="22"/>
  <c r="M3893" i="22"/>
  <c r="M3892" i="22"/>
  <c r="M3891" i="22"/>
  <c r="M3890" i="22"/>
  <c r="M3889" i="22"/>
  <c r="M3888" i="22"/>
  <c r="M3887" i="22"/>
  <c r="M3886" i="22"/>
  <c r="M3885" i="22"/>
  <c r="M3884" i="22"/>
  <c r="M3883" i="22"/>
  <c r="M3882" i="22"/>
  <c r="M3881" i="22"/>
  <c r="M3880" i="22"/>
  <c r="M3879" i="22"/>
  <c r="M3878" i="22"/>
  <c r="M3877" i="22"/>
  <c r="M3876" i="22"/>
  <c r="M3875" i="22"/>
  <c r="M3874" i="22"/>
  <c r="M3873" i="22"/>
  <c r="M3872" i="22"/>
  <c r="M3871" i="22"/>
  <c r="M3870" i="22"/>
  <c r="M3869" i="22"/>
  <c r="M3868" i="22"/>
  <c r="M3867" i="22"/>
  <c r="M3866" i="22"/>
  <c r="M3865" i="22"/>
  <c r="M3864" i="22"/>
  <c r="M3863" i="22"/>
  <c r="M3862" i="22"/>
  <c r="M3861" i="22"/>
  <c r="M3860" i="22"/>
  <c r="M3859" i="22"/>
  <c r="M3858" i="22"/>
  <c r="M3857" i="22"/>
  <c r="M3856" i="22"/>
  <c r="M3855" i="22"/>
  <c r="M3854" i="22"/>
  <c r="M3853" i="22"/>
  <c r="M3852" i="22"/>
  <c r="M3851" i="22"/>
  <c r="M3850" i="22"/>
  <c r="M3849" i="22"/>
  <c r="M3848" i="22"/>
  <c r="M3847" i="22"/>
  <c r="M3846" i="22"/>
  <c r="M3845" i="22"/>
  <c r="M3844" i="22"/>
  <c r="M3843" i="22"/>
  <c r="M3842" i="22"/>
  <c r="M3841" i="22"/>
  <c r="M3840" i="22"/>
  <c r="M3839" i="22"/>
  <c r="M3838" i="22"/>
  <c r="M3837" i="22"/>
  <c r="M3836" i="22"/>
  <c r="M3835" i="22"/>
  <c r="M3834" i="22"/>
  <c r="M3833" i="22"/>
  <c r="M3832" i="22"/>
  <c r="M3831" i="22"/>
  <c r="M3830" i="22"/>
  <c r="M3829" i="22"/>
  <c r="M3828" i="22"/>
  <c r="M3827" i="22"/>
  <c r="M3826" i="22"/>
  <c r="M3825" i="22"/>
  <c r="M3824" i="22"/>
  <c r="M3823" i="22"/>
  <c r="M3822" i="22"/>
  <c r="M3821" i="22"/>
  <c r="M3820" i="22"/>
  <c r="M3819" i="22"/>
  <c r="M3818" i="22"/>
  <c r="M3817" i="22"/>
  <c r="M3816" i="22"/>
  <c r="M3815" i="22"/>
  <c r="M3814" i="22"/>
  <c r="M3813" i="22"/>
  <c r="M3812" i="22"/>
  <c r="M3811" i="22"/>
  <c r="M3810" i="22"/>
  <c r="M3809" i="22"/>
  <c r="M3808" i="22"/>
  <c r="M3807" i="22"/>
  <c r="M3806" i="22"/>
  <c r="M3805" i="22"/>
  <c r="M3804" i="22"/>
  <c r="M3803" i="22"/>
  <c r="M3802" i="22"/>
  <c r="M3801" i="22"/>
  <c r="M3800" i="22"/>
  <c r="M3799" i="22"/>
  <c r="M3798" i="22"/>
  <c r="M3797" i="22"/>
  <c r="M3796" i="22"/>
  <c r="M3795" i="22"/>
  <c r="M3794" i="22"/>
  <c r="M3793" i="22"/>
  <c r="M3792" i="22"/>
  <c r="M3791" i="22"/>
  <c r="M3790" i="22"/>
  <c r="M3789" i="22"/>
  <c r="M3788" i="22"/>
  <c r="M3787" i="22"/>
  <c r="M3786" i="22"/>
  <c r="M3785" i="22"/>
  <c r="M3784" i="22"/>
  <c r="M3783" i="22"/>
  <c r="M3782" i="22"/>
  <c r="M3781" i="22"/>
  <c r="M3780" i="22"/>
  <c r="M3779" i="22"/>
  <c r="M3778" i="22"/>
  <c r="M3777" i="22"/>
  <c r="M3776" i="22"/>
  <c r="M3775" i="22"/>
  <c r="M3774" i="22"/>
  <c r="M3773" i="22"/>
  <c r="M3772" i="22"/>
  <c r="M3771" i="22"/>
  <c r="M3770" i="22"/>
  <c r="M3769" i="22"/>
  <c r="M3768" i="22"/>
  <c r="M3767" i="22"/>
  <c r="M3766" i="22"/>
  <c r="M3765" i="22"/>
  <c r="M3764" i="22"/>
  <c r="M3763" i="22"/>
  <c r="M3762" i="22"/>
  <c r="M3761" i="22"/>
  <c r="M3760" i="22"/>
  <c r="M3759" i="22"/>
  <c r="M3758" i="22"/>
  <c r="M3757" i="22"/>
  <c r="M3756" i="22"/>
  <c r="M3755" i="22"/>
  <c r="M3754" i="22"/>
  <c r="M3753" i="22"/>
  <c r="M3752" i="22"/>
  <c r="M3751" i="22"/>
  <c r="M3750" i="22"/>
  <c r="M3749" i="22"/>
  <c r="M3748" i="22"/>
  <c r="M3747" i="22"/>
  <c r="M3746" i="22"/>
  <c r="M3745" i="22"/>
  <c r="M3744" i="22"/>
  <c r="M3743" i="22"/>
  <c r="M3742" i="22"/>
  <c r="M3741" i="22"/>
  <c r="M3740" i="22"/>
  <c r="M3739" i="22"/>
  <c r="M3738" i="22"/>
  <c r="M3737" i="22"/>
  <c r="M3736" i="22"/>
  <c r="M3735" i="22"/>
  <c r="M3734" i="22"/>
  <c r="M3733" i="22"/>
  <c r="M3732" i="22"/>
  <c r="M3731" i="22"/>
  <c r="M3730" i="22"/>
  <c r="M3729" i="22"/>
  <c r="M3728" i="22"/>
  <c r="M3727" i="22"/>
  <c r="M3726" i="22"/>
  <c r="M3725" i="22"/>
  <c r="M3724" i="22"/>
  <c r="M3723" i="22"/>
  <c r="M3722" i="22"/>
  <c r="M3721" i="22"/>
  <c r="M3720" i="22"/>
  <c r="M3719" i="22"/>
  <c r="M3718" i="22"/>
  <c r="M3717" i="22"/>
  <c r="M3716" i="22"/>
  <c r="M3715" i="22"/>
  <c r="M3714" i="22"/>
  <c r="M3713" i="22"/>
  <c r="M3712" i="22"/>
  <c r="M3711" i="22"/>
  <c r="M3710" i="22"/>
  <c r="M3709" i="22"/>
  <c r="M3708" i="22"/>
  <c r="M3707" i="22"/>
  <c r="M3706" i="22"/>
  <c r="M3705" i="22"/>
  <c r="M3704" i="22"/>
  <c r="M3703" i="22"/>
  <c r="M3702" i="22"/>
  <c r="M3701" i="22"/>
  <c r="M3700" i="22"/>
  <c r="M3699" i="22"/>
  <c r="M3698" i="22"/>
  <c r="M3697" i="22"/>
  <c r="M3696" i="22"/>
  <c r="M3695" i="22"/>
  <c r="M3694" i="22"/>
  <c r="M3693" i="22"/>
  <c r="M3692" i="22"/>
  <c r="M3691" i="22"/>
  <c r="M3690" i="22"/>
  <c r="M3689" i="22"/>
  <c r="M3688" i="22"/>
  <c r="M3687" i="22"/>
  <c r="M3686" i="22"/>
  <c r="M3685" i="22"/>
  <c r="M3684" i="22"/>
  <c r="M3683" i="22"/>
  <c r="M3682" i="22"/>
  <c r="M3681" i="22"/>
  <c r="M3680" i="22"/>
  <c r="M3679" i="22"/>
  <c r="M3678" i="22"/>
  <c r="M3677" i="22"/>
  <c r="M3676" i="22"/>
  <c r="M3675" i="22"/>
  <c r="M3674" i="22"/>
  <c r="M3673" i="22"/>
  <c r="M3672" i="22"/>
  <c r="M3671" i="22"/>
  <c r="M3670" i="22"/>
  <c r="M3669" i="22"/>
  <c r="M3668" i="22"/>
  <c r="M3667" i="22"/>
  <c r="M3666" i="22"/>
  <c r="M3665" i="22"/>
  <c r="M3664" i="22"/>
  <c r="M3663" i="22"/>
  <c r="M3662" i="22"/>
  <c r="M3661" i="22"/>
  <c r="M3660" i="22"/>
  <c r="M3659" i="22"/>
  <c r="M3658" i="22"/>
  <c r="M3657" i="22"/>
  <c r="M3656" i="22"/>
  <c r="M3655" i="22"/>
  <c r="M3654" i="22"/>
  <c r="M3653" i="22"/>
  <c r="M3652" i="22"/>
  <c r="M3651" i="22"/>
  <c r="M3650" i="22"/>
  <c r="M3649" i="22"/>
  <c r="M3648" i="22"/>
  <c r="M3647" i="22"/>
  <c r="M3646" i="22"/>
  <c r="M3645" i="22"/>
  <c r="M3644" i="22"/>
  <c r="M3643" i="22"/>
  <c r="M3642" i="22"/>
  <c r="M3641" i="22"/>
  <c r="M3640" i="22"/>
  <c r="M3639" i="22"/>
  <c r="M3638" i="22"/>
  <c r="M3637" i="22"/>
  <c r="M3636" i="22"/>
  <c r="M3635" i="22"/>
  <c r="M3634" i="22"/>
  <c r="M3633" i="22"/>
  <c r="M3632" i="22"/>
  <c r="M3631" i="22"/>
  <c r="M3630" i="22"/>
  <c r="M3629" i="22"/>
  <c r="M3628" i="22"/>
  <c r="M3627" i="22"/>
  <c r="M3626" i="22"/>
  <c r="M3625" i="22"/>
  <c r="M3624" i="22"/>
  <c r="M3623" i="22"/>
  <c r="M3622" i="22"/>
  <c r="M3621" i="22"/>
  <c r="M3620" i="22"/>
  <c r="M3619" i="22"/>
  <c r="M3618" i="22"/>
  <c r="M3617" i="22"/>
  <c r="M3616" i="22"/>
  <c r="M3615" i="22"/>
  <c r="M3614" i="22"/>
  <c r="M3613" i="22"/>
  <c r="M3612" i="22"/>
  <c r="M3611" i="22"/>
  <c r="M3610" i="22"/>
  <c r="M3609" i="22"/>
  <c r="M3608" i="22"/>
  <c r="M3607" i="22"/>
  <c r="M3606" i="22"/>
  <c r="M3605" i="22"/>
  <c r="M3604" i="22"/>
  <c r="M3603" i="22"/>
  <c r="M3602" i="22"/>
  <c r="M3601" i="22"/>
  <c r="M3600" i="22"/>
  <c r="M3599" i="22"/>
  <c r="M3598" i="22"/>
  <c r="M3597" i="22"/>
  <c r="M3596" i="22"/>
  <c r="M3595" i="22"/>
  <c r="M3594" i="22"/>
  <c r="M3593" i="22"/>
  <c r="M3592" i="22"/>
  <c r="M3591" i="22"/>
  <c r="M3590" i="22"/>
  <c r="M3589" i="22"/>
  <c r="M3588" i="22"/>
  <c r="M3587" i="22"/>
  <c r="M3586" i="22"/>
  <c r="M3585" i="22"/>
  <c r="M3584" i="22"/>
  <c r="M3583" i="22"/>
  <c r="M3582" i="22"/>
  <c r="M3581" i="22"/>
  <c r="M3580" i="22"/>
  <c r="M3579" i="22"/>
  <c r="M3578" i="22"/>
  <c r="M3577" i="22"/>
  <c r="M3576" i="22"/>
  <c r="M3575" i="22"/>
  <c r="M3574" i="22"/>
  <c r="M3573" i="22"/>
  <c r="M3572" i="22"/>
  <c r="M3571" i="22"/>
  <c r="M3570" i="22"/>
  <c r="M3569" i="22"/>
  <c r="M3568" i="22"/>
  <c r="M3567" i="22"/>
  <c r="M3566" i="22"/>
  <c r="M3565" i="22"/>
  <c r="M3564" i="22"/>
  <c r="M3563" i="22"/>
  <c r="M3562" i="22"/>
  <c r="M3561" i="22"/>
  <c r="M3560" i="22"/>
  <c r="M3559" i="22"/>
  <c r="M3558" i="22"/>
  <c r="M3557" i="22"/>
  <c r="M3556" i="22"/>
  <c r="M3555" i="22"/>
  <c r="M3554" i="22"/>
  <c r="M3553" i="22"/>
  <c r="M3552" i="22"/>
  <c r="M3551" i="22"/>
  <c r="M3550" i="22"/>
  <c r="M3549" i="22"/>
  <c r="M3548" i="22"/>
  <c r="M3547" i="22"/>
  <c r="M3546" i="22"/>
  <c r="M3545" i="22"/>
  <c r="M3544" i="22"/>
  <c r="M3543" i="22"/>
  <c r="M3542" i="22"/>
  <c r="M3541" i="22"/>
  <c r="M3540" i="22"/>
  <c r="M3539" i="22"/>
  <c r="M3538" i="22"/>
  <c r="M3537" i="22"/>
  <c r="M3536" i="22"/>
  <c r="M3535" i="22"/>
  <c r="M3534" i="22"/>
  <c r="M3533" i="22"/>
  <c r="M3532" i="22"/>
  <c r="M3531" i="22"/>
  <c r="M3530" i="22"/>
  <c r="M3529" i="22"/>
  <c r="M3528" i="22"/>
  <c r="M3527" i="22"/>
  <c r="M3526" i="22"/>
  <c r="M3525" i="22"/>
  <c r="M3524" i="22"/>
  <c r="M3523" i="22"/>
  <c r="M3522" i="22"/>
  <c r="M3521" i="22"/>
  <c r="M3520" i="22"/>
  <c r="M3519" i="22"/>
  <c r="M3518" i="22"/>
  <c r="M3517" i="22"/>
  <c r="M3516" i="22"/>
  <c r="M3515" i="22"/>
  <c r="M3514" i="22"/>
  <c r="M3513" i="22"/>
  <c r="M3512" i="22"/>
  <c r="M3511" i="22"/>
  <c r="M3510" i="22"/>
  <c r="M3509" i="22"/>
  <c r="M3508" i="22"/>
  <c r="M3507" i="22"/>
  <c r="M3506" i="22"/>
  <c r="M3505" i="22"/>
  <c r="M3504" i="22"/>
  <c r="M3503" i="22"/>
  <c r="M3502" i="22"/>
  <c r="M3501" i="22"/>
  <c r="M3500" i="22"/>
  <c r="M3499" i="22"/>
  <c r="M3498" i="22"/>
  <c r="M3497" i="22"/>
  <c r="M3496" i="22"/>
  <c r="M3495" i="22"/>
  <c r="M3494" i="22"/>
  <c r="M3493" i="22"/>
  <c r="M3492" i="22"/>
  <c r="M3491" i="22"/>
  <c r="M3490" i="22"/>
  <c r="M3489" i="22"/>
  <c r="M3488" i="22"/>
  <c r="M3487" i="22"/>
  <c r="M3486" i="22"/>
  <c r="M3485" i="22"/>
  <c r="M3484" i="22"/>
  <c r="M3483" i="22"/>
  <c r="M3482" i="22"/>
  <c r="M3481" i="22"/>
  <c r="M3480" i="22"/>
  <c r="M3479" i="22"/>
  <c r="M3478" i="22"/>
  <c r="M3477" i="22"/>
  <c r="M3476" i="22"/>
  <c r="M3475" i="22"/>
  <c r="M3474" i="22"/>
  <c r="M3473" i="22"/>
  <c r="M3472" i="22"/>
  <c r="M3471" i="22"/>
  <c r="M3470" i="22"/>
  <c r="M3469" i="22"/>
  <c r="M3468" i="22"/>
  <c r="M3467" i="22"/>
  <c r="M3466" i="22"/>
  <c r="M3465" i="22"/>
  <c r="M3464" i="22"/>
  <c r="M3463" i="22"/>
  <c r="M3462" i="22"/>
  <c r="M3461" i="22"/>
  <c r="M3460" i="22"/>
  <c r="M3459" i="22"/>
  <c r="M3458" i="22"/>
  <c r="M3457" i="22"/>
  <c r="M3456" i="22"/>
  <c r="M3455" i="22"/>
  <c r="M3454" i="22"/>
  <c r="M3453" i="22"/>
  <c r="M3452" i="22"/>
  <c r="M3451" i="22"/>
  <c r="M3450" i="22"/>
  <c r="M3449" i="22"/>
  <c r="M3448" i="22"/>
  <c r="M3447" i="22"/>
  <c r="M3446" i="22"/>
  <c r="M3445" i="22"/>
  <c r="M3444" i="22"/>
  <c r="M3443" i="22"/>
  <c r="M3442" i="22"/>
  <c r="M3441" i="22"/>
  <c r="M3440" i="22"/>
  <c r="M3439" i="22"/>
  <c r="M3438" i="22"/>
  <c r="M3437" i="22"/>
  <c r="M3436" i="22"/>
  <c r="M3435" i="22"/>
  <c r="M3434" i="22"/>
  <c r="M3433" i="22"/>
  <c r="M3432" i="22"/>
  <c r="M3431" i="22"/>
  <c r="M3430" i="22"/>
  <c r="M3429" i="22"/>
  <c r="M3428" i="22"/>
  <c r="M3427" i="22"/>
  <c r="M3426" i="22"/>
  <c r="M3425" i="22"/>
  <c r="M3424" i="22"/>
  <c r="M3423" i="22"/>
  <c r="M3422" i="22"/>
  <c r="M3421" i="22"/>
  <c r="M3420" i="22"/>
  <c r="M3419" i="22"/>
  <c r="M3418" i="22"/>
  <c r="M3417" i="22"/>
  <c r="M3416" i="22"/>
  <c r="M3415" i="22"/>
  <c r="M3414" i="22"/>
  <c r="M3413" i="22"/>
  <c r="M3412" i="22"/>
  <c r="M3411" i="22"/>
  <c r="M3410" i="22"/>
  <c r="M3409" i="22"/>
  <c r="M3408" i="22"/>
  <c r="M3407" i="22"/>
  <c r="M3406" i="22"/>
  <c r="M3405" i="22"/>
  <c r="M3404" i="22"/>
  <c r="M3403" i="22"/>
  <c r="M3402" i="22"/>
  <c r="M3401" i="22"/>
  <c r="M3400" i="22"/>
  <c r="M3399" i="22"/>
  <c r="M3398" i="22"/>
  <c r="M3397" i="22"/>
  <c r="M3396" i="22"/>
  <c r="M3395" i="22"/>
  <c r="M3394" i="22"/>
  <c r="M3393" i="22"/>
  <c r="M3392" i="22"/>
  <c r="M3391" i="22"/>
  <c r="M3390" i="22"/>
  <c r="M3389" i="22"/>
  <c r="M3388" i="22"/>
  <c r="M3387" i="22"/>
  <c r="M3386" i="22"/>
  <c r="M3385" i="22"/>
  <c r="M3384" i="22"/>
  <c r="M3383" i="22"/>
  <c r="M3382" i="22"/>
  <c r="M3381" i="22"/>
  <c r="M3380" i="22"/>
  <c r="M3379" i="22"/>
  <c r="M3378" i="22"/>
  <c r="M3377" i="22"/>
  <c r="M3376" i="22"/>
  <c r="M3375" i="22"/>
  <c r="M3374" i="22"/>
  <c r="M3373" i="22"/>
  <c r="M3372" i="22"/>
  <c r="M3371" i="22"/>
  <c r="M3370" i="22"/>
  <c r="M3369" i="22"/>
  <c r="M3368" i="22"/>
  <c r="M3367" i="22"/>
  <c r="M3366" i="22"/>
  <c r="M3365" i="22"/>
  <c r="M3364" i="22"/>
  <c r="M3363" i="22"/>
  <c r="M3362" i="22"/>
  <c r="M3361" i="22"/>
  <c r="M3360" i="22"/>
  <c r="M3359" i="22"/>
  <c r="M3358" i="22"/>
  <c r="M3357" i="22"/>
  <c r="M3356" i="22"/>
  <c r="M3355" i="22"/>
  <c r="M3354" i="22"/>
  <c r="M3353" i="22"/>
  <c r="M3352" i="22"/>
  <c r="M3351" i="22"/>
  <c r="M3350" i="22"/>
  <c r="M3349" i="22"/>
  <c r="M3348" i="22"/>
  <c r="M3347" i="22"/>
  <c r="M3346" i="22"/>
  <c r="M3345" i="22"/>
  <c r="M3344" i="22"/>
  <c r="M3343" i="22"/>
  <c r="M3342" i="22"/>
  <c r="M3341" i="22"/>
  <c r="M3340" i="22"/>
  <c r="M3339" i="22"/>
  <c r="M3338" i="22"/>
  <c r="M3337" i="22"/>
  <c r="M3336" i="22"/>
  <c r="M3335" i="22"/>
  <c r="M3334" i="22"/>
  <c r="M3333" i="22"/>
  <c r="M3332" i="22"/>
  <c r="M3331" i="22"/>
  <c r="M3330" i="22"/>
  <c r="M3329" i="22"/>
  <c r="M3328" i="22"/>
  <c r="M3327" i="22"/>
  <c r="M3326" i="22"/>
  <c r="M3325" i="22"/>
  <c r="M3324" i="22"/>
  <c r="M3323" i="22"/>
  <c r="M3322" i="22"/>
  <c r="M3321" i="22"/>
  <c r="M3320" i="22"/>
  <c r="M3319" i="22"/>
  <c r="M3318" i="22"/>
  <c r="M3317" i="22"/>
  <c r="M3316" i="22"/>
  <c r="M3315" i="22"/>
  <c r="M3314" i="22"/>
  <c r="M3313" i="22"/>
  <c r="M3312" i="22"/>
  <c r="M3311" i="22"/>
  <c r="M3310" i="22"/>
  <c r="M3309" i="22"/>
  <c r="M3308" i="22"/>
  <c r="M3307" i="22"/>
  <c r="M3306" i="22"/>
  <c r="M3305" i="22"/>
  <c r="M3304" i="22"/>
  <c r="M3303" i="22"/>
  <c r="M3302" i="22"/>
  <c r="M3301" i="22"/>
  <c r="M3300" i="22"/>
  <c r="M3299" i="22"/>
  <c r="M3298" i="22"/>
  <c r="M3297" i="22"/>
  <c r="M3296" i="22"/>
  <c r="M3295" i="22"/>
  <c r="M3294" i="22"/>
  <c r="M3293" i="22"/>
  <c r="M3292" i="22"/>
  <c r="M3291" i="22"/>
  <c r="M3290" i="22"/>
  <c r="M3289" i="22"/>
  <c r="M3288" i="22"/>
  <c r="M3287" i="22"/>
  <c r="M3286" i="22"/>
  <c r="M3285" i="22"/>
  <c r="M3284" i="22"/>
  <c r="M3283" i="22"/>
  <c r="M3282" i="22"/>
  <c r="M3281" i="22"/>
  <c r="M3280" i="22"/>
  <c r="M3279" i="22"/>
  <c r="M3278" i="22"/>
  <c r="M3277" i="22"/>
  <c r="M3276" i="22"/>
  <c r="M3275" i="22"/>
  <c r="M3274" i="22"/>
  <c r="M3273" i="22"/>
  <c r="M3272" i="22"/>
  <c r="M3271" i="22"/>
  <c r="M3270" i="22"/>
  <c r="M3269" i="22"/>
  <c r="M3268" i="22"/>
  <c r="M3267" i="22"/>
  <c r="M3266" i="22"/>
  <c r="M3265" i="22"/>
  <c r="M3264" i="22"/>
  <c r="M3263" i="22"/>
  <c r="M3262" i="22"/>
  <c r="M3261" i="22"/>
  <c r="M3260" i="22"/>
  <c r="M3259" i="22"/>
  <c r="M3258" i="22"/>
  <c r="M3257" i="22"/>
  <c r="M3256" i="22"/>
  <c r="M3255" i="22"/>
  <c r="M3254" i="22"/>
  <c r="M3253" i="22"/>
  <c r="M3252" i="22"/>
  <c r="M3251" i="22"/>
  <c r="M3250" i="22"/>
  <c r="M3249" i="22"/>
  <c r="M3248" i="22"/>
  <c r="M3247" i="22"/>
  <c r="M3246" i="22"/>
  <c r="M3245" i="22"/>
  <c r="M3244" i="22"/>
  <c r="M3243" i="22"/>
  <c r="M3242" i="22"/>
  <c r="M3241" i="22"/>
  <c r="M3240" i="22"/>
  <c r="M3239" i="22"/>
  <c r="M3238" i="22"/>
  <c r="M3237" i="22"/>
  <c r="M3236" i="22"/>
  <c r="M3235" i="22"/>
  <c r="M3234" i="22"/>
  <c r="M3233" i="22"/>
  <c r="M3232" i="22"/>
  <c r="M3231" i="22"/>
  <c r="M3230" i="22"/>
  <c r="M3229" i="22"/>
  <c r="M3228" i="22"/>
  <c r="M3227" i="22"/>
  <c r="M3226" i="22"/>
  <c r="M3225" i="22"/>
  <c r="M3224" i="22"/>
  <c r="M3223" i="22"/>
  <c r="M3222" i="22"/>
  <c r="M3221" i="22"/>
  <c r="M3220" i="22"/>
  <c r="M3219" i="22"/>
  <c r="M3218" i="22"/>
  <c r="M3217" i="22"/>
  <c r="M3216" i="22"/>
  <c r="M3215" i="22"/>
  <c r="M3214" i="22"/>
  <c r="M3213" i="22"/>
  <c r="M3212" i="22"/>
  <c r="M3211" i="22"/>
  <c r="M3210" i="22"/>
  <c r="M3209" i="22"/>
  <c r="M3208" i="22"/>
  <c r="M3207" i="22"/>
  <c r="M3206" i="22"/>
  <c r="M3205" i="22"/>
  <c r="M3204" i="22"/>
  <c r="M3203" i="22"/>
  <c r="M3202" i="22"/>
  <c r="M3201" i="22"/>
  <c r="M3200" i="22"/>
  <c r="M3199" i="22"/>
  <c r="M3198" i="22"/>
  <c r="M3197" i="22"/>
  <c r="M3196" i="22"/>
  <c r="M3195" i="22"/>
  <c r="M3194" i="22"/>
  <c r="M3193" i="22"/>
  <c r="M3192" i="22"/>
  <c r="M3191" i="22"/>
  <c r="M3190" i="22"/>
  <c r="M3189" i="22"/>
  <c r="M3188" i="22"/>
  <c r="M3187" i="22"/>
  <c r="M3186" i="22"/>
  <c r="M3185" i="22"/>
  <c r="M3184" i="22"/>
  <c r="M3183" i="22"/>
  <c r="M3182" i="22"/>
  <c r="M3181" i="22"/>
  <c r="M3180" i="22"/>
  <c r="M3179" i="22"/>
  <c r="M3178" i="22"/>
  <c r="M3177" i="22"/>
  <c r="M3176" i="22"/>
  <c r="M3175" i="22"/>
  <c r="M3174" i="22"/>
  <c r="M3173" i="22"/>
  <c r="M3172" i="22"/>
  <c r="M3171" i="22"/>
  <c r="M3170" i="22"/>
  <c r="M3169" i="22"/>
  <c r="M3168" i="22"/>
  <c r="M3167" i="22"/>
  <c r="M3166" i="22"/>
  <c r="M3165" i="22"/>
  <c r="M3164" i="22"/>
  <c r="M3163" i="22"/>
  <c r="M3162" i="22"/>
  <c r="M3161" i="22"/>
  <c r="M3160" i="22"/>
  <c r="M3159" i="22"/>
  <c r="M3158" i="22"/>
  <c r="M3157" i="22"/>
  <c r="M3156" i="22"/>
  <c r="M3155" i="22"/>
  <c r="M3154" i="22"/>
  <c r="M3153" i="22"/>
  <c r="M3152" i="22"/>
  <c r="M3151" i="22"/>
  <c r="M3150" i="22"/>
  <c r="M3149" i="22"/>
  <c r="M3148" i="22"/>
  <c r="M3147" i="22"/>
  <c r="M3146" i="22"/>
  <c r="M3145" i="22"/>
  <c r="M3144" i="22"/>
  <c r="M3143" i="22"/>
  <c r="M3142" i="22"/>
  <c r="M3141" i="22"/>
  <c r="M3140" i="22"/>
  <c r="M3139" i="22"/>
  <c r="M3138" i="22"/>
  <c r="M3137" i="22"/>
  <c r="M3136" i="22"/>
  <c r="M3135" i="22"/>
  <c r="M3134" i="22"/>
  <c r="M3133" i="22"/>
  <c r="M3132" i="22"/>
  <c r="M3131" i="22"/>
  <c r="M3130" i="22"/>
  <c r="M3129" i="22"/>
  <c r="M3128" i="22"/>
  <c r="M3127" i="22"/>
  <c r="M3126" i="22"/>
  <c r="M3125" i="22"/>
  <c r="M3124" i="22"/>
  <c r="M3123" i="22"/>
  <c r="M3122" i="22"/>
  <c r="M3121" i="22"/>
  <c r="M3120" i="22"/>
  <c r="M3119" i="22"/>
  <c r="M3118" i="22"/>
  <c r="M3117" i="22"/>
  <c r="M3116" i="22"/>
  <c r="M3115" i="22"/>
  <c r="M3114" i="22"/>
  <c r="M3113" i="22"/>
  <c r="M3112" i="22"/>
  <c r="M3111" i="22"/>
  <c r="M3110" i="22"/>
  <c r="M3109" i="22"/>
  <c r="M3108" i="22"/>
  <c r="M3107" i="22"/>
  <c r="M3106" i="22"/>
  <c r="M3105" i="22"/>
  <c r="M3104" i="22"/>
  <c r="M3103" i="22"/>
  <c r="M3102" i="22"/>
  <c r="M3101" i="22"/>
  <c r="M3100" i="22"/>
  <c r="M3099" i="22"/>
  <c r="M3098" i="22"/>
  <c r="M3097" i="22"/>
  <c r="M3096" i="22"/>
  <c r="M3095" i="22"/>
  <c r="M3094" i="22"/>
  <c r="M3093" i="22"/>
  <c r="M3092" i="22"/>
  <c r="M3091" i="22"/>
  <c r="M3090" i="22"/>
  <c r="M3089" i="22"/>
  <c r="M3088" i="22"/>
  <c r="M3087" i="22"/>
  <c r="M3086" i="22"/>
  <c r="M3085" i="22"/>
  <c r="M3084" i="22"/>
  <c r="M3083" i="22"/>
  <c r="M3082" i="22"/>
  <c r="M3081" i="22"/>
  <c r="M3080" i="22"/>
  <c r="M3079" i="22"/>
  <c r="M3078" i="22"/>
  <c r="M3077" i="22"/>
  <c r="M3076" i="22"/>
  <c r="M3075" i="22"/>
  <c r="M3074" i="22"/>
  <c r="M3073" i="22"/>
  <c r="M3072" i="22"/>
  <c r="M3071" i="22"/>
  <c r="M3070" i="22"/>
  <c r="M3069" i="22"/>
  <c r="M3068" i="22"/>
  <c r="M3067" i="22"/>
  <c r="M3066" i="22"/>
  <c r="M3065" i="22"/>
  <c r="M3064" i="22"/>
  <c r="M3063" i="22"/>
  <c r="M3062" i="22"/>
  <c r="M3061" i="22"/>
  <c r="M3060" i="22"/>
  <c r="M3059" i="22"/>
  <c r="M3058" i="22"/>
  <c r="M3057" i="22"/>
  <c r="M3056" i="22"/>
  <c r="M3055" i="22"/>
  <c r="M3054" i="22"/>
  <c r="M3053" i="22"/>
  <c r="M3052" i="22"/>
  <c r="M3051" i="22"/>
  <c r="M3050" i="22"/>
  <c r="M3049" i="22"/>
  <c r="M3048" i="22"/>
  <c r="M3047" i="22"/>
  <c r="M3046" i="22"/>
  <c r="M3045" i="22"/>
  <c r="M3044" i="22"/>
  <c r="M3043" i="22"/>
  <c r="M3042" i="22"/>
  <c r="M3041" i="22"/>
  <c r="M3040" i="22"/>
  <c r="M3039" i="22"/>
  <c r="M3038" i="22"/>
  <c r="M3037" i="22"/>
  <c r="M3036" i="22"/>
  <c r="M3035" i="22"/>
  <c r="M3034" i="22"/>
  <c r="M3033" i="22"/>
  <c r="M3032" i="22"/>
  <c r="M3031" i="22"/>
  <c r="M3030" i="22"/>
  <c r="M3029" i="22"/>
  <c r="M3028" i="22"/>
  <c r="M3027" i="22"/>
  <c r="M3026" i="22"/>
  <c r="M3025" i="22"/>
  <c r="M3024" i="22"/>
  <c r="M3023" i="22"/>
  <c r="M3022" i="22"/>
  <c r="M3021" i="22"/>
  <c r="M3020" i="22"/>
  <c r="M3019" i="22"/>
  <c r="M3018" i="22"/>
  <c r="M3017" i="22"/>
  <c r="M3016" i="22"/>
  <c r="M3015" i="22"/>
  <c r="M3014" i="22"/>
  <c r="M3013" i="22"/>
  <c r="M3012" i="22"/>
  <c r="M3011" i="22"/>
  <c r="M3010" i="22"/>
  <c r="M3009" i="22"/>
  <c r="M3008" i="22"/>
  <c r="M3007" i="22"/>
  <c r="M3006" i="22"/>
  <c r="M3005" i="22"/>
  <c r="M3004" i="22"/>
  <c r="M3003" i="22"/>
  <c r="M3002" i="22"/>
  <c r="M3001" i="22"/>
  <c r="M3000" i="22"/>
  <c r="M2999" i="22"/>
  <c r="M2998" i="22"/>
  <c r="M2997" i="22"/>
  <c r="M2996" i="22"/>
  <c r="M2995" i="22"/>
  <c r="M2994" i="22"/>
  <c r="M2993" i="22"/>
  <c r="M2992" i="22"/>
  <c r="M2991" i="22"/>
  <c r="M2990" i="22"/>
  <c r="M2989" i="22"/>
  <c r="M2988" i="22"/>
  <c r="M2987" i="22"/>
  <c r="M2986" i="22"/>
  <c r="M2985" i="22"/>
  <c r="M2984" i="22"/>
  <c r="M2983" i="22"/>
  <c r="M2982" i="22"/>
  <c r="M2981" i="22"/>
  <c r="M2980" i="22"/>
  <c r="M2979" i="22"/>
  <c r="M2978" i="22"/>
  <c r="M2977" i="22"/>
  <c r="M2976" i="22"/>
  <c r="M2975" i="22"/>
  <c r="M2974" i="22"/>
  <c r="M2973" i="22"/>
  <c r="M2972" i="22"/>
  <c r="M2971" i="22"/>
  <c r="M2970" i="22"/>
  <c r="M2969" i="22"/>
  <c r="M2968" i="22"/>
  <c r="M2967" i="22"/>
  <c r="M2966" i="22"/>
  <c r="M2965" i="22"/>
  <c r="M2964" i="22"/>
  <c r="M2963" i="22"/>
  <c r="M2962" i="22"/>
  <c r="M2961" i="22"/>
  <c r="M2960" i="22"/>
  <c r="M2959" i="22"/>
  <c r="M2958" i="22"/>
  <c r="M2957" i="22"/>
  <c r="M2956" i="22"/>
  <c r="M2955" i="22"/>
  <c r="M2954" i="22"/>
  <c r="M2953" i="22"/>
  <c r="M2952" i="22"/>
  <c r="M2951" i="22"/>
  <c r="M2950" i="22"/>
  <c r="M2949" i="22"/>
  <c r="M2948" i="22"/>
  <c r="M2947" i="22"/>
  <c r="M2946" i="22"/>
  <c r="M2945" i="22"/>
  <c r="M2944" i="22"/>
  <c r="M2943" i="22"/>
  <c r="M2942" i="22"/>
  <c r="M2941" i="22"/>
  <c r="M2940" i="22"/>
  <c r="M2939" i="22"/>
  <c r="M2938" i="22"/>
  <c r="M2937" i="22"/>
  <c r="M2936" i="22"/>
  <c r="M2935" i="22"/>
  <c r="M2934" i="22"/>
  <c r="M2933" i="22"/>
  <c r="M2932" i="22"/>
  <c r="M2931" i="22"/>
  <c r="M2930" i="22"/>
  <c r="M2929" i="22"/>
  <c r="M2928" i="22"/>
  <c r="M2927" i="22"/>
  <c r="M2926" i="22"/>
  <c r="M2925" i="22"/>
  <c r="M2924" i="22"/>
  <c r="M2923" i="22"/>
  <c r="M2922" i="22"/>
  <c r="M2921" i="22"/>
  <c r="M2920" i="22"/>
  <c r="M2919" i="22"/>
  <c r="M2918" i="22"/>
  <c r="M2917" i="22"/>
  <c r="M2916" i="22"/>
  <c r="M2915" i="22"/>
  <c r="M2914" i="22"/>
  <c r="M2913" i="22"/>
  <c r="M2912" i="22"/>
  <c r="M2911" i="22"/>
  <c r="M2910" i="22"/>
  <c r="M2909" i="22"/>
  <c r="M2908" i="22"/>
  <c r="M2907" i="22"/>
  <c r="M2906" i="22"/>
  <c r="M2905" i="22"/>
  <c r="M2904" i="22"/>
  <c r="M2903" i="22"/>
  <c r="M2902" i="22"/>
  <c r="M2901" i="22"/>
  <c r="M2900" i="22"/>
  <c r="M2899" i="22"/>
  <c r="M2898" i="22"/>
  <c r="M2897" i="22"/>
  <c r="M2896" i="22"/>
  <c r="M2895" i="22"/>
  <c r="M2894" i="22"/>
  <c r="M2893" i="22"/>
  <c r="M2892" i="22"/>
  <c r="M2891" i="22"/>
  <c r="M2890" i="22"/>
  <c r="M2889" i="22"/>
  <c r="M2888" i="22"/>
  <c r="M2887" i="22"/>
  <c r="M2886" i="22"/>
  <c r="M2885" i="22"/>
  <c r="M2884" i="22"/>
  <c r="M2883" i="22"/>
  <c r="M2882" i="22"/>
  <c r="M2881" i="22"/>
  <c r="M2880" i="22"/>
  <c r="M2879" i="22"/>
  <c r="M2878" i="22"/>
  <c r="M2877" i="22"/>
  <c r="M2876" i="22"/>
  <c r="M2875" i="22"/>
  <c r="M2874" i="22"/>
  <c r="M2873" i="22"/>
  <c r="M2872" i="22"/>
  <c r="M2871" i="22"/>
  <c r="M2870" i="22"/>
  <c r="M2869" i="22"/>
  <c r="M2868" i="22"/>
  <c r="M2867" i="22"/>
  <c r="M2866" i="22"/>
  <c r="M2865" i="22"/>
  <c r="M2864" i="22"/>
  <c r="M2863" i="22"/>
  <c r="M2862" i="22"/>
  <c r="M2861" i="22"/>
  <c r="M2860" i="22"/>
  <c r="M2859" i="22"/>
  <c r="M2858" i="22"/>
  <c r="M2857" i="22"/>
  <c r="M2856" i="22"/>
  <c r="M2855" i="22"/>
  <c r="M2854" i="22"/>
  <c r="M2853" i="22"/>
  <c r="M2852" i="22"/>
  <c r="M2851" i="22"/>
  <c r="M2850" i="22"/>
  <c r="M2849" i="22"/>
  <c r="M2848" i="22"/>
  <c r="M2847" i="22"/>
  <c r="M2846" i="22"/>
  <c r="M2845" i="22"/>
  <c r="M2844" i="22"/>
  <c r="M2843" i="22"/>
  <c r="M2842" i="22"/>
  <c r="M2841" i="22"/>
  <c r="M2840" i="22"/>
  <c r="M2839" i="22"/>
  <c r="M2838" i="22"/>
  <c r="M2837" i="22"/>
  <c r="M2836" i="22"/>
  <c r="M2835" i="22"/>
  <c r="M2834" i="22"/>
  <c r="M2833" i="22"/>
  <c r="M2832" i="22"/>
  <c r="M2831" i="22"/>
  <c r="M2830" i="22"/>
  <c r="M2829" i="22"/>
  <c r="M2828" i="22"/>
  <c r="M2827" i="22"/>
  <c r="M2826" i="22"/>
  <c r="M2825" i="22"/>
  <c r="M2824" i="22"/>
  <c r="M2823" i="22"/>
  <c r="M2822" i="22"/>
  <c r="M2821" i="22"/>
  <c r="M2820" i="22"/>
  <c r="M2819" i="22"/>
  <c r="M2818" i="22"/>
  <c r="M2817" i="22"/>
  <c r="M2816" i="22"/>
  <c r="M2815" i="22"/>
  <c r="M2814" i="22"/>
  <c r="M2813" i="22"/>
  <c r="M2812" i="22"/>
  <c r="M2811" i="22"/>
  <c r="M2810" i="22"/>
  <c r="M2809" i="22"/>
  <c r="M2808" i="22"/>
  <c r="M2807" i="22"/>
  <c r="M2806" i="22"/>
  <c r="M2805" i="22"/>
  <c r="M2804" i="22"/>
  <c r="M2803" i="22"/>
  <c r="M2802" i="22"/>
  <c r="M2801" i="22"/>
  <c r="M2800" i="22"/>
  <c r="M2799" i="22"/>
  <c r="M2798" i="22"/>
  <c r="M2797" i="22"/>
  <c r="M2796" i="22"/>
  <c r="M2795" i="22"/>
  <c r="M2794" i="22"/>
  <c r="M2793" i="22"/>
  <c r="M2792" i="22"/>
  <c r="M2791" i="22"/>
  <c r="M2790" i="22"/>
  <c r="M2789" i="22"/>
  <c r="M2788" i="22"/>
  <c r="M2787" i="22"/>
  <c r="M2786" i="22"/>
  <c r="M2785" i="22"/>
  <c r="M2784" i="22"/>
  <c r="M2783" i="22"/>
  <c r="M2782" i="22"/>
  <c r="M2781" i="22"/>
  <c r="M2780" i="22"/>
  <c r="M2779" i="22"/>
  <c r="M2778" i="22"/>
  <c r="M2777" i="22"/>
  <c r="M2776" i="22"/>
  <c r="M2775" i="22"/>
  <c r="M2774" i="22"/>
  <c r="M2773" i="22"/>
  <c r="M2772" i="22"/>
  <c r="M2771" i="22"/>
  <c r="M2770" i="22"/>
  <c r="M2769" i="22"/>
  <c r="M2768" i="22"/>
  <c r="M2767" i="22"/>
  <c r="M2766" i="22"/>
  <c r="M2765" i="22"/>
  <c r="M2764" i="22"/>
  <c r="M2763" i="22"/>
  <c r="M2762" i="22"/>
  <c r="M2761" i="22"/>
  <c r="M2760" i="22"/>
  <c r="M2759" i="22"/>
  <c r="M2758" i="22"/>
  <c r="M2757" i="22"/>
  <c r="M2756" i="22"/>
  <c r="M2755" i="22"/>
  <c r="M2754" i="22"/>
  <c r="M2753" i="22"/>
  <c r="M2752" i="22"/>
  <c r="M2751" i="22"/>
  <c r="M2750" i="22"/>
  <c r="M2749" i="22"/>
  <c r="M2748" i="22"/>
  <c r="M2747" i="22"/>
  <c r="M2746" i="22"/>
  <c r="M2745" i="22"/>
  <c r="M2744" i="22"/>
  <c r="M2743" i="22"/>
  <c r="M2742" i="22"/>
  <c r="M2741" i="22"/>
  <c r="M2740" i="22"/>
  <c r="M2739" i="22"/>
  <c r="M2738" i="22"/>
  <c r="M2737" i="22"/>
  <c r="M2736" i="22"/>
  <c r="M2735" i="22"/>
  <c r="M2734" i="22"/>
  <c r="M2733" i="22"/>
  <c r="M2732" i="22"/>
  <c r="M2731" i="22"/>
  <c r="M2730" i="22"/>
  <c r="M2729" i="22"/>
  <c r="M2728" i="22"/>
  <c r="M2727" i="22"/>
  <c r="M2726" i="22"/>
  <c r="M2725" i="22"/>
  <c r="M2724" i="22"/>
  <c r="M2723" i="22"/>
  <c r="M2722" i="22"/>
  <c r="M2721" i="22"/>
  <c r="M2720" i="22"/>
  <c r="M2719" i="22"/>
  <c r="M2718" i="22"/>
  <c r="M2717" i="22"/>
  <c r="M2716" i="22"/>
  <c r="M2715" i="22"/>
  <c r="M2714" i="22"/>
  <c r="M2713" i="22"/>
  <c r="M2712" i="22"/>
  <c r="M2711" i="22"/>
  <c r="M2710" i="22"/>
  <c r="M2709" i="22"/>
  <c r="M2708" i="22"/>
  <c r="M2707" i="22"/>
  <c r="M2706" i="22"/>
  <c r="M2705" i="22"/>
  <c r="M2704" i="22"/>
  <c r="M2703" i="22"/>
  <c r="M2702" i="22"/>
  <c r="M2701" i="22"/>
  <c r="M2700" i="22"/>
  <c r="M2699" i="22"/>
  <c r="M2698" i="22"/>
  <c r="M2697" i="22"/>
  <c r="M2696" i="22"/>
  <c r="M2695" i="22"/>
  <c r="M2694" i="22"/>
  <c r="M2693" i="22"/>
  <c r="M2692" i="22"/>
  <c r="M2691" i="22"/>
  <c r="M2690" i="22"/>
  <c r="M2689" i="22"/>
  <c r="M2688" i="22"/>
  <c r="M2687" i="22"/>
  <c r="M2686" i="22"/>
  <c r="M2685" i="22"/>
  <c r="M2684" i="22"/>
  <c r="M2683" i="22"/>
  <c r="M2682" i="22"/>
  <c r="M2681" i="22"/>
  <c r="M2680" i="22"/>
  <c r="M2679" i="22"/>
  <c r="M2678" i="22"/>
  <c r="M2677" i="22"/>
  <c r="M2676" i="22"/>
  <c r="M2675" i="22"/>
  <c r="M2674" i="22"/>
  <c r="M2673" i="22"/>
  <c r="M2672" i="22"/>
  <c r="M2671" i="22"/>
  <c r="M2670" i="22"/>
  <c r="M2669" i="22"/>
  <c r="M2668" i="22"/>
  <c r="M2667" i="22"/>
  <c r="M2666" i="22"/>
  <c r="M2665" i="22"/>
  <c r="M2664" i="22"/>
  <c r="M2663" i="22"/>
  <c r="M2662" i="22"/>
  <c r="M2661" i="22"/>
  <c r="M2660" i="22"/>
  <c r="M2659" i="22"/>
  <c r="M2658" i="22"/>
  <c r="M2657" i="22"/>
  <c r="M2656" i="22"/>
  <c r="M2655" i="22"/>
  <c r="M2654" i="22"/>
  <c r="M2653" i="22"/>
  <c r="M2652" i="22"/>
  <c r="M2651" i="22"/>
  <c r="M2650" i="22"/>
  <c r="M2649" i="22"/>
  <c r="M2648" i="22"/>
  <c r="M2647" i="22"/>
  <c r="M2646" i="22"/>
  <c r="M2645" i="22"/>
  <c r="M2644" i="22"/>
  <c r="M2643" i="22"/>
  <c r="M2642" i="22"/>
  <c r="M2641" i="22"/>
  <c r="M2640" i="22"/>
  <c r="M2639" i="22"/>
  <c r="M2638" i="22"/>
  <c r="M2637" i="22"/>
  <c r="M2636" i="22"/>
  <c r="M2635" i="22"/>
  <c r="M2634" i="22"/>
  <c r="M2633" i="22"/>
  <c r="M2632" i="22"/>
  <c r="M2631" i="22"/>
  <c r="M2630" i="22"/>
  <c r="M2629" i="22"/>
  <c r="M2628" i="22"/>
  <c r="M2627" i="22"/>
  <c r="M2626" i="22"/>
  <c r="M2625" i="22"/>
  <c r="M2624" i="22"/>
  <c r="M2623" i="22"/>
  <c r="M2622" i="22"/>
  <c r="M2621" i="22"/>
  <c r="M2620" i="22"/>
  <c r="M2619" i="22"/>
  <c r="M2618" i="22"/>
  <c r="M2617" i="22"/>
  <c r="M2616" i="22"/>
  <c r="M2615" i="22"/>
  <c r="M2614" i="22"/>
  <c r="M2613" i="22"/>
  <c r="M2612" i="22"/>
  <c r="M2611" i="22"/>
  <c r="M2610" i="22"/>
  <c r="M2609" i="22"/>
  <c r="M2608" i="22"/>
  <c r="M2607" i="22"/>
  <c r="M2606" i="22"/>
  <c r="M2605" i="22"/>
  <c r="M2604" i="22"/>
  <c r="M2603" i="22"/>
  <c r="M2602" i="22"/>
  <c r="M2601" i="22"/>
  <c r="M2600" i="22"/>
  <c r="M2599" i="22"/>
  <c r="M2598" i="22"/>
  <c r="M2597" i="22"/>
  <c r="M2596" i="22"/>
  <c r="M2595" i="22"/>
  <c r="M2594" i="22"/>
  <c r="M2593" i="22"/>
  <c r="M2592" i="22"/>
  <c r="M2591" i="22"/>
  <c r="M2590" i="22"/>
  <c r="M2589" i="22"/>
  <c r="M2588" i="22"/>
  <c r="M2587" i="22"/>
  <c r="M2586" i="22"/>
  <c r="M2585" i="22"/>
  <c r="M2584" i="22"/>
  <c r="M2583" i="22"/>
  <c r="M2582" i="22"/>
  <c r="M2581" i="22"/>
  <c r="M2580" i="22"/>
  <c r="M2579" i="22"/>
  <c r="M2578" i="22"/>
  <c r="M2577" i="22"/>
  <c r="M2576" i="22"/>
  <c r="M2575" i="22"/>
  <c r="M2574" i="22"/>
  <c r="M2573" i="22"/>
  <c r="M2572" i="22"/>
  <c r="M2571" i="22"/>
  <c r="M2570" i="22"/>
  <c r="M2569" i="22"/>
  <c r="M2568" i="22"/>
  <c r="M2567" i="22"/>
  <c r="M2566" i="22"/>
  <c r="M2565" i="22"/>
  <c r="M2564" i="22"/>
  <c r="M2563" i="22"/>
  <c r="M2562" i="22"/>
  <c r="M2561" i="22"/>
  <c r="M2560" i="22"/>
  <c r="M2559" i="22"/>
  <c r="M2558" i="22"/>
  <c r="M2557" i="22"/>
  <c r="M2556" i="22"/>
  <c r="M2555" i="22"/>
  <c r="M2554" i="22"/>
  <c r="M2553" i="22"/>
  <c r="M2552" i="22"/>
  <c r="M2551" i="22"/>
  <c r="M2550" i="22"/>
  <c r="M2549" i="22"/>
  <c r="M2548" i="22"/>
  <c r="M2547" i="22"/>
  <c r="M2546" i="22"/>
  <c r="M2545" i="22"/>
  <c r="M2544" i="22"/>
  <c r="M2543" i="22"/>
  <c r="M2542" i="22"/>
  <c r="M2541" i="22"/>
  <c r="M2540" i="22"/>
  <c r="M2539" i="22"/>
  <c r="M2538" i="22"/>
  <c r="M2537" i="22"/>
  <c r="M2536" i="22"/>
  <c r="M2535" i="22"/>
  <c r="M2534" i="22"/>
  <c r="M2533" i="22"/>
  <c r="M2532" i="22"/>
  <c r="M2531" i="22"/>
  <c r="M2530" i="22"/>
  <c r="M2529" i="22"/>
  <c r="M2528" i="22"/>
  <c r="M2527" i="22"/>
  <c r="M2526" i="22"/>
  <c r="M2525" i="22"/>
  <c r="M2524" i="22"/>
  <c r="M2523" i="22"/>
  <c r="M2522" i="22"/>
  <c r="M2521" i="22"/>
  <c r="M2520" i="22"/>
  <c r="M2519" i="22"/>
  <c r="M2518" i="22"/>
  <c r="M2517" i="22"/>
  <c r="M2516" i="22"/>
  <c r="M2515" i="22"/>
  <c r="M2514" i="22"/>
  <c r="M2513" i="22"/>
  <c r="M2512" i="22"/>
  <c r="M2511" i="22"/>
  <c r="M2510" i="22"/>
  <c r="M2509" i="22"/>
  <c r="M2508" i="22"/>
  <c r="M2507" i="22"/>
  <c r="M2506" i="22"/>
  <c r="M2505" i="22"/>
  <c r="M2504" i="22"/>
  <c r="M2503" i="22"/>
  <c r="M2502" i="22"/>
  <c r="M2501" i="22"/>
  <c r="M2500" i="22"/>
  <c r="M2499" i="22"/>
  <c r="M2498" i="22"/>
  <c r="M2497" i="22"/>
  <c r="M2496" i="22"/>
  <c r="M2495" i="22"/>
  <c r="M2494" i="22"/>
  <c r="M2493" i="22"/>
  <c r="M2492" i="22"/>
  <c r="M2491" i="22"/>
  <c r="M2490" i="22"/>
  <c r="M2489" i="22"/>
  <c r="M2488" i="22"/>
  <c r="M2487" i="22"/>
  <c r="M2486" i="22"/>
  <c r="M2485" i="22"/>
  <c r="M2484" i="22"/>
  <c r="M2483" i="22"/>
  <c r="M2482" i="22"/>
  <c r="M2481" i="22"/>
  <c r="M2480" i="22"/>
  <c r="M2479" i="22"/>
  <c r="M2478" i="22"/>
  <c r="M2477" i="22"/>
  <c r="M2476" i="22"/>
  <c r="M2475" i="22"/>
  <c r="M2474" i="22"/>
  <c r="M2473" i="22"/>
  <c r="M2472" i="22"/>
  <c r="M2471" i="22"/>
  <c r="M2470" i="22"/>
  <c r="M2469" i="22"/>
  <c r="M2468" i="22"/>
  <c r="M2467" i="22"/>
  <c r="M2466" i="22"/>
  <c r="M2465" i="22"/>
  <c r="M2464" i="22"/>
  <c r="M2463" i="22"/>
  <c r="M2462" i="22"/>
  <c r="M2461" i="22"/>
  <c r="M2460" i="22"/>
  <c r="M2459" i="22"/>
  <c r="M2458" i="22"/>
  <c r="M2457" i="22"/>
  <c r="M2456" i="22"/>
  <c r="M2455" i="22"/>
  <c r="M2454" i="22"/>
  <c r="M2453" i="22"/>
  <c r="M2452" i="22"/>
  <c r="M2451" i="22"/>
  <c r="M2450" i="22"/>
  <c r="M2449" i="22"/>
  <c r="M2448" i="22"/>
  <c r="M2447" i="22"/>
  <c r="M2446" i="22"/>
  <c r="M2445" i="22"/>
  <c r="M2444" i="22"/>
  <c r="M2443" i="22"/>
  <c r="M2442" i="22"/>
  <c r="M2441" i="22"/>
  <c r="M2440" i="22"/>
  <c r="M2439" i="22"/>
  <c r="M2438" i="22"/>
  <c r="M2437" i="22"/>
  <c r="M2436" i="22"/>
  <c r="M2435" i="22"/>
  <c r="M2434" i="22"/>
  <c r="M2433" i="22"/>
  <c r="M2432" i="22"/>
  <c r="M2431" i="22"/>
  <c r="M2430" i="22"/>
  <c r="M2429" i="22"/>
  <c r="M2428" i="22"/>
  <c r="M2427" i="22"/>
  <c r="M2426" i="22"/>
  <c r="M2425" i="22"/>
  <c r="M2424" i="22"/>
  <c r="M2423" i="22"/>
  <c r="M2422" i="22"/>
  <c r="M2421" i="22"/>
  <c r="M2420" i="22"/>
  <c r="M2419" i="22"/>
  <c r="M2418" i="22"/>
  <c r="M2417" i="22"/>
  <c r="M2416" i="22"/>
  <c r="M2415" i="22"/>
  <c r="M2414" i="22"/>
  <c r="M2413" i="22"/>
  <c r="M2412" i="22"/>
  <c r="M2411" i="22"/>
  <c r="M2410" i="22"/>
  <c r="M2409" i="22"/>
  <c r="M2408" i="22"/>
  <c r="M2407" i="22"/>
  <c r="M2406" i="22"/>
  <c r="M2405" i="22"/>
  <c r="M2404" i="22"/>
  <c r="M2403" i="22"/>
  <c r="M2402" i="22"/>
  <c r="M2401" i="22"/>
  <c r="M2400" i="22"/>
  <c r="M2399" i="22"/>
  <c r="M2398" i="22"/>
  <c r="M2397" i="22"/>
  <c r="M2396" i="22"/>
  <c r="M2395" i="22"/>
  <c r="M2394" i="22"/>
  <c r="M2393" i="22"/>
  <c r="M2392" i="22"/>
  <c r="M2391" i="22"/>
  <c r="M2390" i="22"/>
  <c r="M2389" i="22"/>
  <c r="M2388" i="22"/>
  <c r="M2387" i="22"/>
  <c r="M2386" i="22"/>
  <c r="M2385" i="22"/>
  <c r="M2384" i="22"/>
  <c r="M2383" i="22"/>
  <c r="M2382" i="22"/>
  <c r="M2381" i="22"/>
  <c r="M2380" i="22"/>
  <c r="M2379" i="22"/>
  <c r="M2378" i="22"/>
  <c r="M2377" i="22"/>
  <c r="M2376" i="22"/>
  <c r="M2375" i="22"/>
  <c r="M2374" i="22"/>
  <c r="M2373" i="22"/>
  <c r="M2372" i="22"/>
  <c r="M2371" i="22"/>
  <c r="M2370" i="22"/>
  <c r="M2369" i="22"/>
  <c r="M2368" i="22"/>
  <c r="M2367" i="22"/>
  <c r="M2366" i="22"/>
  <c r="M2365" i="22"/>
  <c r="M2364" i="22"/>
  <c r="M2363" i="22"/>
  <c r="M2362" i="22"/>
  <c r="M2361" i="22"/>
  <c r="M2360" i="22"/>
  <c r="M2359" i="22"/>
  <c r="M2358" i="22"/>
  <c r="M2357" i="22"/>
  <c r="M2356" i="22"/>
  <c r="M2355" i="22"/>
  <c r="M2354" i="22"/>
  <c r="M2353" i="22"/>
  <c r="M2352" i="22"/>
  <c r="M2351" i="22"/>
  <c r="M2350" i="22"/>
  <c r="M2349" i="22"/>
  <c r="M2348" i="22"/>
  <c r="M2347" i="22"/>
  <c r="M2346" i="22"/>
  <c r="M2345" i="22"/>
  <c r="M2344" i="22"/>
  <c r="M2343" i="22"/>
  <c r="M2342" i="22"/>
  <c r="M2341" i="22"/>
  <c r="M2340" i="22"/>
  <c r="M2339" i="22"/>
  <c r="M2338" i="22"/>
  <c r="M2337" i="22"/>
  <c r="M2336" i="22"/>
  <c r="M2335" i="22"/>
  <c r="M2334" i="22"/>
  <c r="M2333" i="22"/>
  <c r="M2332" i="22"/>
  <c r="M2331" i="22"/>
  <c r="M2330" i="22"/>
  <c r="M2329" i="22"/>
  <c r="M2328" i="22"/>
  <c r="M2327" i="22"/>
  <c r="M2326" i="22"/>
  <c r="M2325" i="22"/>
  <c r="M2324" i="22"/>
  <c r="M2323" i="22"/>
  <c r="M2322" i="22"/>
  <c r="M2321" i="22"/>
  <c r="M2320" i="22"/>
  <c r="M2319" i="22"/>
  <c r="M2318" i="22"/>
  <c r="M2317" i="22"/>
  <c r="M2316" i="22"/>
  <c r="M2315" i="22"/>
  <c r="M2314" i="22"/>
  <c r="M2313" i="22"/>
  <c r="M2312" i="22"/>
  <c r="M2311" i="22"/>
  <c r="M2310" i="22"/>
  <c r="M2309" i="22"/>
  <c r="M2308" i="22"/>
  <c r="M2307" i="22"/>
  <c r="M2306" i="22"/>
  <c r="M2305" i="22"/>
  <c r="M2304" i="22"/>
  <c r="M2303" i="22"/>
  <c r="M2302" i="22"/>
  <c r="M2301" i="22"/>
  <c r="M2300" i="22"/>
  <c r="M2299" i="22"/>
  <c r="M2298" i="22"/>
  <c r="M2297" i="22"/>
  <c r="M2296" i="22"/>
  <c r="M2295" i="22"/>
  <c r="M2294" i="22"/>
  <c r="M2293" i="22"/>
  <c r="M2292" i="22"/>
  <c r="M2291" i="22"/>
  <c r="M2290" i="22"/>
  <c r="M2289" i="22"/>
  <c r="M2288" i="22"/>
  <c r="M2287" i="22"/>
  <c r="M2286" i="22"/>
  <c r="M2285" i="22"/>
  <c r="M2284" i="22"/>
  <c r="M2283" i="22"/>
  <c r="M2282" i="22"/>
  <c r="M2281" i="22"/>
  <c r="M2280" i="22"/>
  <c r="M2279" i="22"/>
  <c r="M2278" i="22"/>
  <c r="M2277" i="22"/>
  <c r="M2276" i="22"/>
  <c r="M2275" i="22"/>
  <c r="M2274" i="22"/>
  <c r="M2273" i="22"/>
  <c r="M2272" i="22"/>
  <c r="M2271" i="22"/>
  <c r="M2270" i="22"/>
  <c r="M2269" i="22"/>
  <c r="M2268" i="22"/>
  <c r="M2267" i="22"/>
  <c r="M2266" i="22"/>
  <c r="M2265" i="22"/>
  <c r="M2264" i="22"/>
  <c r="M2263" i="22"/>
  <c r="M2262" i="22"/>
  <c r="M2261" i="22"/>
  <c r="M2260" i="22"/>
  <c r="M2259" i="22"/>
  <c r="M2258" i="22"/>
  <c r="M2257" i="22"/>
  <c r="M2256" i="22"/>
  <c r="M2255" i="22"/>
  <c r="M2254" i="22"/>
  <c r="M2253" i="22"/>
  <c r="M2252" i="22"/>
  <c r="M2251" i="22"/>
  <c r="M2250" i="22"/>
  <c r="M2249" i="22"/>
  <c r="M2248" i="22"/>
  <c r="M2247" i="22"/>
  <c r="M2246" i="22"/>
  <c r="M2245" i="22"/>
  <c r="M2244" i="22"/>
  <c r="M2243" i="22"/>
  <c r="M2242" i="22"/>
  <c r="M2241" i="22"/>
  <c r="M2240" i="22"/>
  <c r="M2239" i="22"/>
  <c r="M2238" i="22"/>
  <c r="M2237" i="22"/>
  <c r="M2236" i="22"/>
  <c r="M2235" i="22"/>
  <c r="M2234" i="22"/>
  <c r="M2233" i="22"/>
  <c r="M2232" i="22"/>
  <c r="M2231" i="22"/>
  <c r="M2230" i="22"/>
  <c r="M2229" i="22"/>
  <c r="M2228" i="22"/>
  <c r="M2227" i="22"/>
  <c r="M2226" i="22"/>
  <c r="M2225" i="22"/>
  <c r="M2224" i="22"/>
  <c r="M2223" i="22"/>
  <c r="M2222" i="22"/>
  <c r="M2221" i="22"/>
  <c r="M2220" i="22"/>
  <c r="M2219" i="22"/>
  <c r="M2218" i="22"/>
  <c r="M2217" i="22"/>
  <c r="M2216" i="22"/>
  <c r="M2215" i="22"/>
  <c r="M2214" i="22"/>
  <c r="M2213" i="22"/>
  <c r="M2212" i="22"/>
  <c r="M2211" i="22"/>
  <c r="M2210" i="22"/>
  <c r="M2209" i="22"/>
  <c r="M2208" i="22"/>
  <c r="M2207" i="22"/>
  <c r="M2206" i="22"/>
  <c r="M2205" i="22"/>
  <c r="M2204" i="22"/>
  <c r="M2203" i="22"/>
  <c r="M2202" i="22"/>
  <c r="M2201" i="22"/>
  <c r="M2200" i="22"/>
  <c r="M2199" i="22"/>
  <c r="M2198" i="22"/>
  <c r="M2197" i="22"/>
  <c r="M2196" i="22"/>
  <c r="M2195" i="22"/>
  <c r="M2194" i="22"/>
  <c r="M2193" i="22"/>
  <c r="M2192" i="22"/>
  <c r="M2191" i="22"/>
  <c r="M2190" i="22"/>
  <c r="M2189" i="22"/>
  <c r="M2188" i="22"/>
  <c r="M2187" i="22"/>
  <c r="M2186" i="22"/>
  <c r="M2185" i="22"/>
  <c r="M2184" i="22"/>
  <c r="M2183" i="22"/>
  <c r="M2182" i="22"/>
  <c r="M2181" i="22"/>
  <c r="M2180" i="22"/>
  <c r="M2179" i="22"/>
  <c r="M2178" i="22"/>
  <c r="M2177" i="22"/>
  <c r="M2176" i="22"/>
  <c r="M2175" i="22"/>
  <c r="M2174" i="22"/>
  <c r="M2173" i="22"/>
  <c r="M2172" i="22"/>
  <c r="M2171" i="22"/>
  <c r="M2170" i="22"/>
  <c r="M2169" i="22"/>
  <c r="M2168" i="22"/>
  <c r="M2167" i="22"/>
  <c r="M2166" i="22"/>
  <c r="M2165" i="22"/>
  <c r="M2164" i="22"/>
  <c r="M2163" i="22"/>
  <c r="M2162" i="22"/>
  <c r="M2161" i="22"/>
  <c r="M2160" i="22"/>
  <c r="M2159" i="22"/>
  <c r="M2158" i="22"/>
  <c r="M2157" i="22"/>
  <c r="M2156" i="22"/>
  <c r="M2155" i="22"/>
  <c r="M2154" i="22"/>
  <c r="M2153" i="22"/>
  <c r="M2152" i="22"/>
  <c r="M2151" i="22"/>
  <c r="M2150" i="22"/>
  <c r="M2149" i="22"/>
  <c r="M2148" i="22"/>
  <c r="M2147" i="22"/>
  <c r="M2146" i="22"/>
  <c r="M2145" i="22"/>
  <c r="M2144" i="22"/>
  <c r="M2143" i="22"/>
  <c r="M2142" i="22"/>
  <c r="M2141" i="22"/>
  <c r="M2140" i="22"/>
  <c r="M2139" i="22"/>
  <c r="M2138" i="22"/>
  <c r="M2137" i="22"/>
  <c r="M2136" i="22"/>
  <c r="M2135" i="22"/>
  <c r="M2134" i="22"/>
  <c r="M2133" i="22"/>
  <c r="M2132" i="22"/>
  <c r="M2131" i="22"/>
  <c r="M2130" i="22"/>
  <c r="M2129" i="22"/>
  <c r="M2128" i="22"/>
  <c r="M2127" i="22"/>
  <c r="M2126" i="22"/>
  <c r="M2125" i="22"/>
  <c r="M2124" i="22"/>
  <c r="M2123" i="22"/>
  <c r="M2122" i="22"/>
  <c r="M2121" i="22"/>
  <c r="M2120" i="22"/>
  <c r="M2119" i="22"/>
  <c r="M2118" i="22"/>
  <c r="M2117" i="22"/>
  <c r="M2116" i="22"/>
  <c r="M2115" i="22"/>
  <c r="M2114" i="22"/>
  <c r="M2113" i="22"/>
  <c r="M2112" i="22"/>
  <c r="M2111" i="22"/>
  <c r="M2110" i="22"/>
  <c r="M2109" i="22"/>
  <c r="M2108" i="22"/>
  <c r="M2107" i="22"/>
  <c r="M2106" i="22"/>
  <c r="M2105" i="22"/>
  <c r="M2104" i="22"/>
  <c r="M2103" i="22"/>
  <c r="M2102" i="22"/>
  <c r="M2101" i="22"/>
  <c r="M2100" i="22"/>
  <c r="M2099" i="22"/>
  <c r="M2098" i="22"/>
  <c r="M2097" i="22"/>
  <c r="M2096" i="22"/>
  <c r="M2095" i="22"/>
  <c r="M2094" i="22"/>
  <c r="M2093" i="22"/>
  <c r="M2092" i="22"/>
  <c r="M2091" i="22"/>
  <c r="M2090" i="22"/>
  <c r="M2089" i="22"/>
  <c r="M2088" i="22"/>
  <c r="M2087" i="22"/>
  <c r="M2086" i="22"/>
  <c r="M2085" i="22"/>
  <c r="M2084" i="22"/>
  <c r="M2083" i="22"/>
  <c r="M2082" i="22"/>
  <c r="M2081" i="22"/>
  <c r="M2080" i="22"/>
  <c r="M2079" i="22"/>
  <c r="M2078" i="22"/>
  <c r="M2077" i="22"/>
  <c r="M2076" i="22"/>
  <c r="M2075" i="22"/>
  <c r="M2074" i="22"/>
  <c r="M2073" i="22"/>
  <c r="M2072" i="22"/>
  <c r="M2071" i="22"/>
  <c r="M2070" i="22"/>
  <c r="M2069" i="22"/>
  <c r="M2068" i="22"/>
  <c r="M2067" i="22"/>
  <c r="M2066" i="22"/>
  <c r="M2065" i="22"/>
  <c r="M2064" i="22"/>
  <c r="M2063" i="22"/>
  <c r="M2062" i="22"/>
  <c r="M2061" i="22"/>
  <c r="M2060" i="22"/>
  <c r="M2059" i="22"/>
  <c r="M2058" i="22"/>
  <c r="M2057" i="22"/>
  <c r="M2056" i="22"/>
  <c r="M2055" i="22"/>
  <c r="M2054" i="22"/>
  <c r="M2053" i="22"/>
  <c r="M2052" i="22"/>
  <c r="M2051" i="22"/>
  <c r="M2050" i="22"/>
  <c r="M2049" i="22"/>
  <c r="M2048" i="22"/>
  <c r="M2047" i="22"/>
  <c r="M2046" i="22"/>
  <c r="M2045" i="22"/>
  <c r="M2044" i="22"/>
  <c r="M2043" i="22"/>
  <c r="M2042" i="22"/>
  <c r="M2041" i="22"/>
  <c r="M2040" i="22"/>
  <c r="M2039" i="22"/>
  <c r="M2038" i="22"/>
  <c r="M2037" i="22"/>
  <c r="M2036" i="22"/>
  <c r="M2035" i="22"/>
  <c r="M2034" i="22"/>
  <c r="M2033" i="22"/>
  <c r="M2032" i="22"/>
  <c r="M2031" i="22"/>
  <c r="M2030" i="22"/>
  <c r="M2029" i="22"/>
  <c r="M2028" i="22"/>
  <c r="M2027" i="22"/>
  <c r="M2026" i="22"/>
  <c r="M2025" i="22"/>
  <c r="M2024" i="22"/>
  <c r="M2023" i="22"/>
  <c r="M2022" i="22"/>
  <c r="M2021" i="22"/>
  <c r="M2020" i="22"/>
  <c r="M2019" i="22"/>
  <c r="M2018" i="22"/>
  <c r="M2017" i="22"/>
  <c r="M2016" i="22"/>
  <c r="M2015" i="22"/>
  <c r="M2014" i="22"/>
  <c r="M2013" i="22"/>
  <c r="M2012" i="22"/>
  <c r="M2011" i="22"/>
  <c r="M2010" i="22"/>
  <c r="M2009" i="22"/>
  <c r="M2008" i="22"/>
  <c r="M2007" i="22"/>
  <c r="M2006" i="22"/>
  <c r="M2005" i="22"/>
  <c r="M2004" i="22"/>
  <c r="M2003" i="22"/>
  <c r="M2002" i="22"/>
  <c r="M2001" i="22"/>
  <c r="M2000" i="22"/>
  <c r="M1999" i="22"/>
  <c r="M1998" i="22"/>
  <c r="M1997" i="22"/>
  <c r="M1996" i="22"/>
  <c r="M1995" i="22"/>
  <c r="M1994" i="22"/>
  <c r="M1993" i="22"/>
  <c r="M1992" i="22"/>
  <c r="M1991" i="22"/>
  <c r="M1990" i="22"/>
  <c r="M1989" i="22"/>
  <c r="M1988" i="22"/>
  <c r="M1987" i="22"/>
  <c r="M1986" i="22"/>
  <c r="M1985" i="22"/>
  <c r="M1984" i="22"/>
  <c r="M1983" i="22"/>
  <c r="M1982" i="22"/>
  <c r="M1981" i="22"/>
  <c r="M1980" i="22"/>
  <c r="M1979" i="22"/>
  <c r="M1978" i="22"/>
  <c r="M1977" i="22"/>
  <c r="M1976" i="22"/>
  <c r="M1975" i="22"/>
  <c r="M1974" i="22"/>
  <c r="M1973" i="22"/>
  <c r="M1972" i="22"/>
  <c r="M1971" i="22"/>
  <c r="M1970" i="22"/>
  <c r="M1969" i="22"/>
  <c r="M1968" i="22"/>
  <c r="M1967" i="22"/>
  <c r="M1966" i="22"/>
  <c r="M1965" i="22"/>
  <c r="M1964" i="22"/>
  <c r="M1963" i="22"/>
  <c r="M1962" i="22"/>
  <c r="M1961" i="22"/>
  <c r="M1960" i="22"/>
  <c r="M1959" i="22"/>
  <c r="M1958" i="22"/>
  <c r="M1957" i="22"/>
  <c r="M1956" i="22"/>
  <c r="M1955" i="22"/>
  <c r="M1954" i="22"/>
  <c r="M1953" i="22"/>
  <c r="M1952" i="22"/>
  <c r="M1951" i="22"/>
  <c r="M1950" i="22"/>
  <c r="M1949" i="22"/>
  <c r="M1948" i="22"/>
  <c r="M1947" i="22"/>
  <c r="M1946" i="22"/>
  <c r="M1945" i="22"/>
  <c r="M1944" i="22"/>
  <c r="M1943" i="22"/>
  <c r="M1942" i="22"/>
  <c r="M1941" i="22"/>
  <c r="M1940" i="22"/>
  <c r="M1939" i="22"/>
  <c r="M1938" i="22"/>
  <c r="M1937" i="22"/>
  <c r="M1936" i="22"/>
  <c r="M1935" i="22"/>
  <c r="M1934" i="22"/>
  <c r="M1933" i="22"/>
  <c r="M1932" i="22"/>
  <c r="M1931" i="22"/>
  <c r="M1930" i="22"/>
  <c r="M1929" i="22"/>
  <c r="M1928" i="22"/>
  <c r="M1927" i="22"/>
  <c r="M1926" i="22"/>
  <c r="M1925" i="22"/>
  <c r="M1924" i="22"/>
  <c r="M1923" i="22"/>
  <c r="M1922" i="22"/>
  <c r="M1921" i="22"/>
  <c r="M1920" i="22"/>
  <c r="M1919" i="22"/>
  <c r="M1918" i="22"/>
  <c r="M1917" i="22"/>
  <c r="M1916" i="22"/>
  <c r="M1915" i="22"/>
  <c r="M1914" i="22"/>
  <c r="M1913" i="22"/>
  <c r="M1912" i="22"/>
  <c r="M1911" i="22"/>
  <c r="M1910" i="22"/>
  <c r="M1909" i="22"/>
  <c r="M1908" i="22"/>
  <c r="M1907" i="22"/>
  <c r="M1906" i="22"/>
  <c r="M1905" i="22"/>
  <c r="M1904" i="22"/>
  <c r="M1903" i="22"/>
  <c r="M1902" i="22"/>
  <c r="M1901" i="22"/>
  <c r="M1900" i="22"/>
  <c r="M1899" i="22"/>
  <c r="M1898" i="22"/>
  <c r="M1897" i="22"/>
  <c r="M1896" i="22"/>
  <c r="M1895" i="22"/>
  <c r="M1894" i="22"/>
  <c r="M1893" i="22"/>
  <c r="M1892" i="22"/>
  <c r="M1891" i="22"/>
  <c r="M1890" i="22"/>
  <c r="M1889" i="22"/>
  <c r="M1888" i="22"/>
  <c r="M1887" i="22"/>
  <c r="M1886" i="22"/>
  <c r="M1885" i="22"/>
  <c r="M1884" i="22"/>
  <c r="M1883" i="22"/>
  <c r="M1882" i="22"/>
  <c r="M1881" i="22"/>
  <c r="M1880" i="22"/>
  <c r="M1879" i="22"/>
  <c r="M1878" i="22"/>
  <c r="M1877" i="22"/>
  <c r="M1876" i="22"/>
  <c r="M1875" i="22"/>
  <c r="M1874" i="22"/>
  <c r="M1873" i="22"/>
  <c r="M1872" i="22"/>
  <c r="M1871" i="22"/>
  <c r="M1870" i="22"/>
  <c r="M1869" i="22"/>
  <c r="M1868" i="22"/>
  <c r="M1867" i="22"/>
  <c r="M1866" i="22"/>
  <c r="M1865" i="22"/>
  <c r="M1864" i="22"/>
  <c r="M1863" i="22"/>
  <c r="M1862" i="22"/>
  <c r="M1861" i="22"/>
  <c r="M1860" i="22"/>
  <c r="M1859" i="22"/>
  <c r="M1858" i="22"/>
  <c r="M1857" i="22"/>
  <c r="M1856" i="22"/>
  <c r="M1855" i="22"/>
  <c r="M1854" i="22"/>
  <c r="M1853" i="22"/>
  <c r="M1852" i="22"/>
  <c r="M1851" i="22"/>
  <c r="M1850" i="22"/>
  <c r="M1849" i="22"/>
  <c r="M1848" i="22"/>
  <c r="M1847" i="22"/>
  <c r="M1846" i="22"/>
  <c r="M1845" i="22"/>
  <c r="M1844" i="22"/>
  <c r="M1843" i="22"/>
  <c r="M1842" i="22"/>
  <c r="M1841" i="22"/>
  <c r="M1840" i="22"/>
  <c r="M1839" i="22"/>
  <c r="M1838" i="22"/>
  <c r="M1837" i="22"/>
  <c r="M1836" i="22"/>
  <c r="M1835" i="22"/>
  <c r="M1834" i="22"/>
  <c r="M1833" i="22"/>
  <c r="M1832" i="22"/>
  <c r="M1831" i="22"/>
  <c r="M1830" i="22"/>
  <c r="M1829" i="22"/>
  <c r="M1828" i="22"/>
  <c r="M1827" i="22"/>
  <c r="M1826" i="22"/>
  <c r="M1825" i="22"/>
  <c r="M1824" i="22"/>
  <c r="M1823" i="22"/>
  <c r="M1822" i="22"/>
  <c r="M1821" i="22"/>
  <c r="M1820" i="22"/>
  <c r="M1819" i="22"/>
  <c r="M1818" i="22"/>
  <c r="M1817" i="22"/>
  <c r="M1816" i="22"/>
  <c r="M1815" i="22"/>
  <c r="M1814" i="22"/>
  <c r="M1813" i="22"/>
  <c r="M1812" i="22"/>
  <c r="M1811" i="22"/>
  <c r="M1810" i="22"/>
  <c r="M1809" i="22"/>
  <c r="M1808" i="22"/>
  <c r="M1807" i="22"/>
  <c r="M1806" i="22"/>
  <c r="M1805" i="22"/>
  <c r="M1804" i="22"/>
  <c r="M1803" i="22"/>
  <c r="M1802" i="22"/>
  <c r="M1801" i="22"/>
  <c r="M1800" i="22"/>
  <c r="M1799" i="22"/>
  <c r="M1798" i="22"/>
  <c r="M1797" i="22"/>
  <c r="M1796" i="22"/>
  <c r="M1795" i="22"/>
  <c r="M1794" i="22"/>
  <c r="M1793" i="22"/>
  <c r="M1792" i="22"/>
  <c r="M1791" i="22"/>
  <c r="M1790" i="22"/>
  <c r="M1789" i="22"/>
  <c r="M1788" i="22"/>
  <c r="M1787" i="22"/>
  <c r="M1786" i="22"/>
  <c r="M1785" i="22"/>
  <c r="M1784" i="22"/>
  <c r="M1783" i="22"/>
  <c r="M1782" i="22"/>
  <c r="M1781" i="22"/>
  <c r="M1780" i="22"/>
  <c r="M1779" i="22"/>
  <c r="M1778" i="22"/>
  <c r="M1777" i="22"/>
  <c r="M1776" i="22"/>
  <c r="M1775" i="22"/>
  <c r="M1774" i="22"/>
  <c r="M1773" i="22"/>
  <c r="M1772" i="22"/>
  <c r="M1771" i="22"/>
  <c r="M1770" i="22"/>
  <c r="M1769" i="22"/>
  <c r="M1768" i="22"/>
  <c r="M1767" i="22"/>
  <c r="M1766" i="22"/>
  <c r="M1765" i="22"/>
  <c r="M1764" i="22"/>
  <c r="M1763" i="22"/>
  <c r="M1762" i="22"/>
  <c r="M1761" i="22"/>
  <c r="M1760" i="22"/>
  <c r="M1759" i="22"/>
  <c r="M1758" i="22"/>
  <c r="M1757" i="22"/>
  <c r="M1756" i="22"/>
  <c r="M1755" i="22"/>
  <c r="M1754" i="22"/>
  <c r="M1753" i="22"/>
  <c r="M1752" i="22"/>
  <c r="M1751" i="22"/>
  <c r="M1750" i="22"/>
  <c r="M1749" i="22"/>
  <c r="M1748" i="22"/>
  <c r="M1747" i="22"/>
  <c r="M1746" i="22"/>
  <c r="M1745" i="22"/>
  <c r="M1744" i="22"/>
  <c r="M1743" i="22"/>
  <c r="M1742" i="22"/>
  <c r="M1741" i="22"/>
  <c r="M1740" i="22"/>
  <c r="M1739" i="22"/>
  <c r="M1738" i="22"/>
  <c r="M1737" i="22"/>
  <c r="M1736" i="22"/>
  <c r="M1735" i="22"/>
  <c r="M1734" i="22"/>
  <c r="M1733" i="22"/>
  <c r="M1732" i="22"/>
  <c r="M1731" i="22"/>
  <c r="M1730" i="22"/>
  <c r="M1729" i="22"/>
  <c r="M1728" i="22"/>
  <c r="M1727" i="22"/>
  <c r="M1726" i="22"/>
  <c r="M1725" i="22"/>
  <c r="M1724" i="22"/>
  <c r="M1723" i="22"/>
  <c r="M1722" i="22"/>
  <c r="M1721" i="22"/>
  <c r="M1720" i="22"/>
  <c r="M1719" i="22"/>
  <c r="M1718" i="22"/>
  <c r="M1717" i="22"/>
  <c r="M1716" i="22"/>
  <c r="M1715" i="22"/>
  <c r="M1714" i="22"/>
  <c r="M1713" i="22"/>
  <c r="M1712" i="22"/>
  <c r="M1711" i="22"/>
  <c r="M1710" i="22"/>
  <c r="M1709" i="22"/>
  <c r="M1708" i="22"/>
  <c r="M1707" i="22"/>
  <c r="M1706" i="22"/>
  <c r="M1705" i="22"/>
  <c r="M1704" i="22"/>
  <c r="M1703" i="22"/>
  <c r="M1702" i="22"/>
  <c r="M1701" i="22"/>
  <c r="M1700" i="22"/>
  <c r="M1699" i="22"/>
  <c r="M1698" i="22"/>
  <c r="M1697" i="22"/>
  <c r="M1696" i="22"/>
  <c r="M1695" i="22"/>
  <c r="M1694" i="22"/>
  <c r="M1693" i="22"/>
  <c r="M1692" i="22"/>
  <c r="M1691" i="22"/>
  <c r="M1690" i="22"/>
  <c r="M1689" i="22"/>
  <c r="M1688" i="22"/>
  <c r="M1687" i="22"/>
  <c r="M1686" i="22"/>
  <c r="M1685" i="22"/>
  <c r="M1684" i="22"/>
  <c r="M1683" i="22"/>
  <c r="M1682" i="22"/>
  <c r="M1681" i="22"/>
  <c r="M1680" i="22"/>
  <c r="M1679" i="22"/>
  <c r="M1678" i="22"/>
  <c r="M1677" i="22"/>
  <c r="M1676" i="22"/>
  <c r="M1675" i="22"/>
  <c r="M1674" i="22"/>
  <c r="M1673" i="22"/>
  <c r="M1672" i="22"/>
  <c r="M1671" i="22"/>
  <c r="M1670" i="22"/>
  <c r="M1669" i="22"/>
  <c r="M1668" i="22"/>
  <c r="M1667" i="22"/>
  <c r="M1666" i="22"/>
  <c r="M1665" i="22"/>
  <c r="M1664" i="22"/>
  <c r="M1663" i="22"/>
  <c r="M1662" i="22"/>
  <c r="M1661" i="22"/>
  <c r="M1660" i="22"/>
  <c r="M1659" i="22"/>
  <c r="M1658" i="22"/>
  <c r="M1657" i="22"/>
  <c r="M1656" i="22"/>
  <c r="M1655" i="22"/>
  <c r="M1654" i="22"/>
  <c r="M1653" i="22"/>
  <c r="M1652" i="22"/>
  <c r="M1651" i="22"/>
  <c r="M1650" i="22"/>
  <c r="M1649" i="22"/>
  <c r="M1648" i="22"/>
  <c r="M1647" i="22"/>
  <c r="M1646" i="22"/>
  <c r="M1645" i="22"/>
  <c r="M1644" i="22"/>
  <c r="M1643" i="22"/>
  <c r="M1642" i="22"/>
  <c r="M1641" i="22"/>
  <c r="M1640" i="22"/>
  <c r="M1639" i="22"/>
  <c r="M1638" i="22"/>
  <c r="M1637" i="22"/>
  <c r="M1636" i="22"/>
  <c r="M1635" i="22"/>
  <c r="M1634" i="22"/>
  <c r="M1633" i="22"/>
  <c r="M1632" i="22"/>
  <c r="M1631" i="22"/>
  <c r="M1630" i="22"/>
  <c r="M1629" i="22"/>
  <c r="M1628" i="22"/>
  <c r="M1627" i="22"/>
  <c r="M1626" i="22"/>
  <c r="M1625" i="22"/>
  <c r="M1624" i="22"/>
  <c r="M1623" i="22"/>
  <c r="M1622" i="22"/>
  <c r="M1621" i="22"/>
  <c r="M1620" i="22"/>
  <c r="M1619" i="22"/>
  <c r="M1618" i="22"/>
  <c r="M1617" i="22"/>
  <c r="M1616" i="22"/>
  <c r="M1615" i="22"/>
  <c r="M1614" i="22"/>
  <c r="M1613" i="22"/>
  <c r="M1612" i="22"/>
  <c r="M1611" i="22"/>
  <c r="M1610" i="22"/>
  <c r="M1609" i="22"/>
  <c r="M1608" i="22"/>
  <c r="M1607" i="22"/>
  <c r="M1606" i="22"/>
  <c r="M1605" i="22"/>
  <c r="M1604" i="22"/>
  <c r="M1603" i="22"/>
  <c r="M1602" i="22"/>
  <c r="M1601" i="22"/>
  <c r="M1600" i="22"/>
  <c r="M1599" i="22"/>
  <c r="M1598" i="22"/>
  <c r="M1597" i="22"/>
  <c r="M1596" i="22"/>
  <c r="M1595" i="22"/>
  <c r="M1594" i="22"/>
  <c r="M1593" i="22"/>
  <c r="M1592" i="22"/>
  <c r="M1591" i="22"/>
  <c r="M1590" i="22"/>
  <c r="M1589" i="22"/>
  <c r="M1588" i="22"/>
  <c r="M1587" i="22"/>
  <c r="M1586" i="22"/>
  <c r="M1585" i="22"/>
  <c r="M1584" i="22"/>
  <c r="M1583" i="22"/>
  <c r="M1582" i="22"/>
  <c r="M1581" i="22"/>
  <c r="M1580" i="22"/>
  <c r="M1579" i="22"/>
  <c r="M1578" i="22"/>
  <c r="M1577" i="22"/>
  <c r="M1576" i="22"/>
  <c r="M1575" i="22"/>
  <c r="M1574" i="22"/>
  <c r="M1573" i="22"/>
  <c r="M1572" i="22"/>
  <c r="M1571" i="22"/>
  <c r="M1570" i="22"/>
  <c r="M1569" i="22"/>
  <c r="M1568" i="22"/>
  <c r="M1567" i="22"/>
  <c r="M1566" i="22"/>
  <c r="M1565" i="22"/>
  <c r="M1564" i="22"/>
  <c r="M1563" i="22"/>
  <c r="M1562" i="22"/>
  <c r="M1561" i="22"/>
  <c r="M1560" i="22"/>
  <c r="M1559" i="22"/>
  <c r="M1558" i="22"/>
  <c r="M1557" i="22"/>
  <c r="M1556" i="22"/>
  <c r="M1555" i="22"/>
  <c r="M1554" i="22"/>
  <c r="M1553" i="22"/>
  <c r="M1552" i="22"/>
  <c r="M1551" i="22"/>
  <c r="M1550" i="22"/>
  <c r="M1549" i="22"/>
  <c r="M1548" i="22"/>
  <c r="M1547" i="22"/>
  <c r="M1546" i="22"/>
  <c r="M1545" i="22"/>
  <c r="M1544" i="22"/>
  <c r="M1543" i="22"/>
  <c r="M1542" i="22"/>
  <c r="M1541" i="22"/>
  <c r="M1540" i="22"/>
  <c r="M1539" i="22"/>
  <c r="M1538" i="22"/>
  <c r="M1537" i="22"/>
  <c r="M1536" i="22"/>
  <c r="M1535" i="22"/>
  <c r="M1534" i="22"/>
  <c r="M1533" i="22"/>
  <c r="M1532" i="22"/>
  <c r="M1531" i="22"/>
  <c r="M1530" i="22"/>
  <c r="M1529" i="22"/>
  <c r="M1528" i="22"/>
  <c r="M1527" i="22"/>
  <c r="M1526" i="22"/>
  <c r="M1525" i="22"/>
  <c r="M1524" i="22"/>
  <c r="M1523" i="22"/>
  <c r="M1522" i="22"/>
  <c r="M1521" i="22"/>
  <c r="M1520" i="22"/>
  <c r="M1519" i="22"/>
  <c r="M1518" i="22"/>
  <c r="M1517" i="22"/>
  <c r="M1516" i="22"/>
  <c r="M1515" i="22"/>
  <c r="M1514" i="22"/>
  <c r="M1513" i="22"/>
  <c r="M1512" i="22"/>
  <c r="M1511" i="22"/>
  <c r="M1510" i="22"/>
  <c r="M1509" i="22"/>
  <c r="M1508" i="22"/>
  <c r="M1507" i="22"/>
  <c r="M1506" i="22"/>
  <c r="M1505" i="22"/>
  <c r="M1504" i="22"/>
  <c r="M1503" i="22"/>
  <c r="M1502" i="22"/>
  <c r="M1501" i="22"/>
  <c r="M1500" i="22"/>
  <c r="M1499" i="22"/>
  <c r="M1498" i="22"/>
  <c r="M1497" i="22"/>
  <c r="M1496" i="22"/>
  <c r="M1495" i="22"/>
  <c r="M1494" i="22"/>
  <c r="M1493" i="22"/>
  <c r="M1492" i="22"/>
  <c r="M1491" i="22"/>
  <c r="M1490" i="22"/>
  <c r="M1489" i="22"/>
  <c r="M1488" i="22"/>
  <c r="M1487" i="22"/>
  <c r="M1486" i="22"/>
  <c r="M1485" i="22"/>
  <c r="M1484" i="22"/>
  <c r="M1483" i="22"/>
  <c r="M1482" i="22"/>
  <c r="M1481" i="22"/>
  <c r="M1480" i="22"/>
  <c r="M1479" i="22"/>
  <c r="M1478" i="22"/>
  <c r="M1477" i="22"/>
  <c r="M1476" i="22"/>
  <c r="M1475" i="22"/>
  <c r="M1474" i="22"/>
  <c r="M1473" i="22"/>
  <c r="M1472" i="22"/>
  <c r="M1471" i="22"/>
  <c r="M1470" i="22"/>
  <c r="M1469" i="22"/>
  <c r="M1468" i="22"/>
  <c r="M1467" i="22"/>
  <c r="M1466" i="22"/>
  <c r="M1465" i="22"/>
  <c r="M1464" i="22"/>
  <c r="M1463" i="22"/>
  <c r="M1462" i="22"/>
  <c r="M1461" i="22"/>
  <c r="M1460" i="22"/>
  <c r="M1459" i="22"/>
  <c r="M1458" i="22"/>
  <c r="M1457" i="22"/>
  <c r="M1456" i="22"/>
  <c r="M1455" i="22"/>
  <c r="M1454" i="22"/>
  <c r="M1453" i="22"/>
  <c r="M1452" i="22"/>
  <c r="M1451" i="22"/>
  <c r="M1450" i="22"/>
  <c r="M1449" i="22"/>
  <c r="M1448" i="22"/>
  <c r="M1447" i="22"/>
  <c r="M1446" i="22"/>
  <c r="M1445" i="22"/>
  <c r="M1444" i="22"/>
  <c r="M1443" i="22"/>
  <c r="M1442" i="22"/>
  <c r="M1441" i="22"/>
  <c r="M1440" i="22"/>
  <c r="M1439" i="22"/>
  <c r="M1438" i="22"/>
  <c r="M1437" i="22"/>
  <c r="M1436" i="22"/>
  <c r="M1435" i="22"/>
  <c r="M1434" i="22"/>
  <c r="M1433" i="22"/>
  <c r="M1432" i="22"/>
  <c r="M1431" i="22"/>
  <c r="M1430" i="22"/>
  <c r="M1429" i="22"/>
  <c r="M1428" i="22"/>
  <c r="M1427" i="22"/>
  <c r="M1426" i="22"/>
  <c r="M1425" i="22"/>
  <c r="M1424" i="22"/>
  <c r="M1423" i="22"/>
  <c r="M1422" i="22"/>
  <c r="M1421" i="22"/>
  <c r="M1420" i="22"/>
  <c r="M1419" i="22"/>
  <c r="M1418" i="22"/>
  <c r="M1417" i="22"/>
  <c r="M1416" i="22"/>
  <c r="M1415" i="22"/>
  <c r="M1414" i="22"/>
  <c r="M1413" i="22"/>
  <c r="M1412" i="22"/>
  <c r="M1411" i="22"/>
  <c r="M1410" i="22"/>
  <c r="M1409" i="22"/>
  <c r="M1408" i="22"/>
  <c r="M1407" i="22"/>
  <c r="M1406" i="22"/>
  <c r="M1405" i="22"/>
  <c r="M1404" i="22"/>
  <c r="M1403" i="22"/>
  <c r="M1402" i="22"/>
  <c r="M1401" i="22"/>
  <c r="M1400" i="22"/>
  <c r="M1399" i="22"/>
  <c r="M1398" i="22"/>
  <c r="M1397" i="22"/>
  <c r="M1396" i="22"/>
  <c r="M1395" i="22"/>
  <c r="M1394" i="22"/>
  <c r="M1393" i="22"/>
  <c r="M1392" i="22"/>
  <c r="M1391" i="22"/>
  <c r="M1390" i="22"/>
  <c r="M1389" i="22"/>
  <c r="M1388" i="22"/>
  <c r="M1387" i="22"/>
  <c r="M1386" i="22"/>
  <c r="M1385" i="22"/>
  <c r="M1384" i="22"/>
  <c r="M1383" i="22"/>
  <c r="M1382" i="22"/>
  <c r="M1381" i="22"/>
  <c r="M1380" i="22"/>
  <c r="M1379" i="22"/>
  <c r="M1378" i="22"/>
  <c r="M1377" i="22"/>
  <c r="M1376" i="22"/>
  <c r="M1375" i="22"/>
  <c r="M1374" i="22"/>
  <c r="M1373" i="22"/>
  <c r="M1372" i="22"/>
  <c r="M1371" i="22"/>
  <c r="M1370" i="22"/>
  <c r="M1369" i="22"/>
  <c r="M1368" i="22"/>
  <c r="M1367" i="22"/>
  <c r="M1366" i="22"/>
  <c r="M1365" i="22"/>
  <c r="M1364" i="22"/>
  <c r="M1363" i="22"/>
  <c r="M1362" i="22"/>
  <c r="M1361" i="22"/>
  <c r="M1360" i="22"/>
  <c r="M1359" i="22"/>
  <c r="M1358" i="22"/>
  <c r="M1357" i="22"/>
  <c r="M1356" i="22"/>
  <c r="M1355" i="22"/>
  <c r="M1354" i="22"/>
  <c r="M1353" i="22"/>
  <c r="M1352" i="22"/>
  <c r="M1351" i="22"/>
  <c r="M1350" i="22"/>
  <c r="M1349" i="22"/>
  <c r="M1348" i="22"/>
  <c r="M1347" i="22"/>
  <c r="M1346" i="22"/>
  <c r="M1345" i="22"/>
  <c r="M1344" i="22"/>
  <c r="M1343" i="22"/>
  <c r="M1342" i="22"/>
  <c r="M1341" i="22"/>
  <c r="M1340" i="22"/>
  <c r="M1339" i="22"/>
  <c r="M1338" i="22"/>
  <c r="M1337" i="22"/>
  <c r="M1336" i="22"/>
  <c r="M1335" i="22"/>
  <c r="M1334" i="22"/>
  <c r="M1333" i="22"/>
  <c r="M1332" i="22"/>
  <c r="M1331" i="22"/>
  <c r="M1330" i="22"/>
  <c r="M1329" i="22"/>
  <c r="M1328" i="22"/>
  <c r="M1327" i="22"/>
  <c r="M1326" i="22"/>
  <c r="M1325" i="22"/>
  <c r="M1324" i="22"/>
  <c r="M1323" i="22"/>
  <c r="M1322" i="22"/>
  <c r="M1321" i="22"/>
  <c r="M1320" i="22"/>
  <c r="M1319" i="22"/>
  <c r="M1318" i="22"/>
  <c r="M1317" i="22"/>
  <c r="M1316" i="22"/>
  <c r="M1315" i="22"/>
  <c r="M1314" i="22"/>
  <c r="M1313" i="22"/>
  <c r="M1312" i="22"/>
  <c r="M1311" i="22"/>
  <c r="M1310" i="22"/>
  <c r="M1309" i="22"/>
  <c r="M1308" i="22"/>
  <c r="M1307" i="22"/>
  <c r="M1306" i="22"/>
  <c r="M1305" i="22"/>
  <c r="M1304" i="22"/>
  <c r="M1303" i="22"/>
  <c r="M1302" i="22"/>
  <c r="M1301" i="22"/>
  <c r="M1300" i="22"/>
  <c r="M1299" i="22"/>
  <c r="M1298" i="22"/>
  <c r="M1297" i="22"/>
  <c r="M1296" i="22"/>
  <c r="M1295" i="22"/>
  <c r="M1294" i="22"/>
  <c r="M1293" i="22"/>
  <c r="M1292" i="22"/>
  <c r="M1291" i="22"/>
  <c r="M1290" i="22"/>
  <c r="M1289" i="22"/>
  <c r="M1288" i="22"/>
  <c r="M1287" i="22"/>
  <c r="M1286" i="22"/>
  <c r="M1285" i="22"/>
  <c r="M1284" i="22"/>
  <c r="M1283" i="22"/>
  <c r="M1282" i="22"/>
  <c r="M1281" i="22"/>
  <c r="M1280" i="22"/>
  <c r="M1279" i="22"/>
  <c r="M1278" i="22"/>
  <c r="M1277" i="22"/>
  <c r="M1276" i="22"/>
  <c r="M1275" i="22"/>
  <c r="M1274" i="22"/>
  <c r="M1273" i="22"/>
  <c r="M1272" i="22"/>
  <c r="M1271" i="22"/>
  <c r="M1270" i="22"/>
  <c r="M1269" i="22"/>
  <c r="M1268" i="22"/>
  <c r="M1267" i="22"/>
  <c r="M1266" i="22"/>
  <c r="M1265" i="22"/>
  <c r="M1264" i="22"/>
  <c r="M1263" i="22"/>
  <c r="M1262" i="22"/>
  <c r="M1261" i="22"/>
  <c r="M1260" i="22"/>
  <c r="M1259" i="22"/>
  <c r="M1258" i="22"/>
  <c r="M1257" i="22"/>
  <c r="M1256" i="22"/>
  <c r="M1255" i="22"/>
  <c r="M1254" i="22"/>
  <c r="M1253" i="22"/>
  <c r="M1252" i="22"/>
  <c r="M1251" i="22"/>
  <c r="M1250" i="22"/>
  <c r="M1249" i="22"/>
  <c r="M1248" i="22"/>
  <c r="M1247" i="22"/>
  <c r="M1246" i="22"/>
  <c r="M1245" i="22"/>
  <c r="M1244" i="22"/>
  <c r="M1243" i="22"/>
  <c r="M1242" i="22"/>
  <c r="M1241" i="22"/>
  <c r="M1240" i="22"/>
  <c r="M1239" i="22"/>
  <c r="M1238" i="22"/>
  <c r="M1237" i="22"/>
  <c r="M1236" i="22"/>
  <c r="M1235" i="22"/>
  <c r="M1234" i="22"/>
  <c r="M1233" i="22"/>
  <c r="M1232" i="22"/>
  <c r="M1231" i="22"/>
  <c r="M1230" i="22"/>
  <c r="M1229" i="22"/>
  <c r="M1228" i="22"/>
  <c r="M1227" i="22"/>
  <c r="M1226" i="22"/>
  <c r="M1225" i="22"/>
  <c r="M1224" i="22"/>
  <c r="M1223" i="22"/>
  <c r="M1222" i="22"/>
  <c r="M1221" i="22"/>
  <c r="M1220" i="22"/>
  <c r="M1219" i="22"/>
  <c r="M1218" i="22"/>
  <c r="M1217" i="22"/>
  <c r="M1216" i="22"/>
  <c r="M1215" i="22"/>
  <c r="M1214" i="22"/>
  <c r="M1213" i="22"/>
  <c r="M1212" i="22"/>
  <c r="M1211" i="22"/>
  <c r="M1210" i="22"/>
  <c r="M1209" i="22"/>
  <c r="M1208" i="22"/>
  <c r="M1207" i="22"/>
  <c r="M1206" i="22"/>
  <c r="M1205" i="22"/>
  <c r="M1204" i="22"/>
  <c r="M1203" i="22"/>
  <c r="M1202" i="22"/>
  <c r="M1201" i="22"/>
  <c r="M1200" i="22"/>
  <c r="M1199" i="22"/>
  <c r="M1198" i="22"/>
  <c r="M1197" i="22"/>
  <c r="M1196" i="22"/>
  <c r="M1195" i="22"/>
  <c r="M1194" i="22"/>
  <c r="M1193" i="22"/>
  <c r="M1192" i="22"/>
  <c r="M1191" i="22"/>
  <c r="M1190" i="22"/>
  <c r="M1189" i="22"/>
  <c r="M1188" i="22"/>
  <c r="M1187" i="22"/>
  <c r="M1186" i="22"/>
  <c r="M1185" i="22"/>
  <c r="M1184" i="22"/>
  <c r="M1183" i="22"/>
  <c r="M1182" i="22"/>
  <c r="M1181" i="22"/>
  <c r="M1180" i="22"/>
  <c r="M1179" i="22"/>
  <c r="M1178" i="22"/>
  <c r="M1177" i="22"/>
  <c r="M1176" i="22"/>
  <c r="M1175" i="22"/>
  <c r="M1174" i="22"/>
  <c r="M1173" i="22"/>
  <c r="M1172" i="22"/>
  <c r="M1171" i="22"/>
  <c r="M1170" i="22"/>
  <c r="M1169" i="22"/>
  <c r="M1168" i="22"/>
  <c r="M1167" i="22"/>
  <c r="M1166" i="22"/>
  <c r="M1165" i="22"/>
  <c r="M1164" i="22"/>
  <c r="M1163" i="22"/>
  <c r="M1162" i="22"/>
  <c r="M1161" i="22"/>
  <c r="M1160" i="22"/>
  <c r="M1159" i="22"/>
  <c r="M1158" i="22"/>
  <c r="M1157" i="22"/>
  <c r="M1156" i="22"/>
  <c r="M1155" i="22"/>
  <c r="M1154" i="22"/>
  <c r="M1153" i="22"/>
  <c r="M1152" i="22"/>
  <c r="M1151" i="22"/>
  <c r="M1150" i="22"/>
  <c r="M1149" i="22"/>
  <c r="M1148" i="22"/>
  <c r="M1147" i="22"/>
  <c r="M1146" i="22"/>
  <c r="M1145" i="22"/>
  <c r="M1144" i="22"/>
  <c r="M1143" i="22"/>
  <c r="M1142" i="22"/>
  <c r="M1141" i="22"/>
  <c r="M1140" i="22"/>
  <c r="M1139" i="22"/>
  <c r="M1138" i="22"/>
  <c r="M1137" i="22"/>
  <c r="M1136" i="22"/>
  <c r="M1135" i="22"/>
  <c r="M1134" i="22"/>
  <c r="M1133" i="22"/>
  <c r="M1132" i="22"/>
  <c r="M1131" i="22"/>
  <c r="M1130" i="22"/>
  <c r="M1129" i="22"/>
  <c r="M1128" i="22"/>
  <c r="M1127" i="22"/>
  <c r="M1126" i="22"/>
  <c r="M1125" i="22"/>
  <c r="M1124" i="22"/>
  <c r="M1123" i="22"/>
  <c r="M1122" i="22"/>
  <c r="M1121" i="22"/>
  <c r="M1120" i="22"/>
  <c r="M1119" i="22"/>
  <c r="M1118" i="22"/>
  <c r="M1117" i="22"/>
  <c r="M1116" i="22"/>
  <c r="M1115" i="22"/>
  <c r="M1114" i="22"/>
  <c r="M1113" i="22"/>
  <c r="M1112" i="22"/>
  <c r="M1111" i="22"/>
  <c r="M1110" i="22"/>
  <c r="M1109" i="22"/>
  <c r="M1108" i="22"/>
  <c r="M1107" i="22"/>
  <c r="M1106" i="22"/>
  <c r="M1105" i="22"/>
  <c r="M1104" i="22"/>
  <c r="M1103" i="22"/>
  <c r="M1102" i="22"/>
  <c r="M1101" i="22"/>
  <c r="M1100" i="22"/>
  <c r="M1099" i="22"/>
  <c r="M1098" i="22"/>
  <c r="M1097" i="22"/>
  <c r="M1096" i="22"/>
  <c r="M1095" i="22"/>
  <c r="M1094" i="22"/>
  <c r="M1093" i="22"/>
  <c r="M1092" i="22"/>
  <c r="M1091" i="22"/>
  <c r="M1090" i="22"/>
  <c r="M1089" i="22"/>
  <c r="M1088" i="22"/>
  <c r="M1087" i="22"/>
  <c r="M1086" i="22"/>
  <c r="M1085" i="22"/>
  <c r="M1084" i="22"/>
  <c r="M1083" i="22"/>
  <c r="M1082" i="22"/>
  <c r="M1081" i="22"/>
  <c r="M1080" i="22"/>
  <c r="M1079" i="22"/>
  <c r="M1078" i="22"/>
  <c r="M1077" i="22"/>
  <c r="M1076" i="22"/>
  <c r="M1075" i="22"/>
  <c r="M1074" i="22"/>
  <c r="M1073" i="22"/>
  <c r="M1072" i="22"/>
  <c r="M1071" i="22"/>
  <c r="M1070" i="22"/>
  <c r="M1069" i="22"/>
  <c r="M1068" i="22"/>
  <c r="M1067" i="22"/>
  <c r="M1066" i="22"/>
  <c r="M1065" i="22"/>
  <c r="M1064" i="22"/>
  <c r="M1063" i="22"/>
  <c r="M1062" i="22"/>
  <c r="M1061" i="22"/>
  <c r="M1060" i="22"/>
  <c r="M1059" i="22"/>
  <c r="M1058" i="22"/>
  <c r="M1057" i="22"/>
  <c r="M1056" i="22"/>
  <c r="M1055" i="22"/>
  <c r="M1054" i="22"/>
  <c r="M1053" i="22"/>
  <c r="M1052" i="22"/>
  <c r="M1051" i="22"/>
  <c r="M1050" i="22"/>
  <c r="M1049" i="22"/>
  <c r="M1048" i="22"/>
  <c r="M1047" i="22"/>
  <c r="M1046" i="22"/>
  <c r="M1045" i="22"/>
  <c r="M1044" i="22"/>
  <c r="M1043" i="22"/>
  <c r="M1042" i="22"/>
  <c r="M1041" i="22"/>
  <c r="M1040" i="22"/>
  <c r="M1039" i="22"/>
  <c r="M1038" i="22"/>
  <c r="M1037" i="22"/>
  <c r="M1036" i="22"/>
  <c r="M1035" i="22"/>
  <c r="M1034" i="22"/>
  <c r="M1033" i="22"/>
  <c r="M1032" i="22"/>
  <c r="M1031" i="22"/>
  <c r="M1030" i="22"/>
  <c r="M1029" i="22"/>
  <c r="M1028" i="22"/>
  <c r="M1027" i="22"/>
  <c r="M1026" i="22"/>
  <c r="M1025" i="22"/>
  <c r="M1024" i="22"/>
  <c r="M1023" i="22"/>
  <c r="M1022" i="22"/>
  <c r="M1021" i="22"/>
  <c r="M1020" i="22"/>
  <c r="M1019" i="22"/>
  <c r="M1018" i="22"/>
  <c r="M1017" i="22"/>
  <c r="M1016" i="22"/>
  <c r="M1015" i="22"/>
  <c r="M1014" i="22"/>
  <c r="M1013" i="22"/>
  <c r="M1012" i="22"/>
  <c r="M1011" i="22"/>
  <c r="M1010" i="22"/>
  <c r="M1009" i="22"/>
  <c r="M1008" i="22"/>
  <c r="M1007" i="22"/>
  <c r="M1006" i="22"/>
  <c r="M1005" i="22"/>
  <c r="M1004" i="22"/>
  <c r="M1003" i="22"/>
  <c r="M1002" i="22"/>
  <c r="M1001" i="22"/>
  <c r="M1000" i="22"/>
  <c r="M999" i="22"/>
  <c r="M998" i="22"/>
  <c r="M997" i="22"/>
  <c r="M996" i="22"/>
  <c r="M995" i="22"/>
  <c r="M994" i="22"/>
  <c r="M993" i="22"/>
  <c r="M992" i="22"/>
  <c r="M991" i="22"/>
  <c r="M990" i="22"/>
  <c r="M989" i="22"/>
  <c r="M988" i="22"/>
  <c r="M987" i="22"/>
  <c r="M986" i="22"/>
  <c r="M985" i="22"/>
  <c r="M984" i="22"/>
  <c r="M983" i="22"/>
  <c r="M982" i="22"/>
  <c r="M981" i="22"/>
  <c r="M980" i="22"/>
  <c r="M979" i="22"/>
  <c r="M978" i="22"/>
  <c r="M977" i="22"/>
  <c r="M976" i="22"/>
  <c r="M975" i="22"/>
  <c r="M974" i="22"/>
  <c r="M973" i="22"/>
  <c r="M972" i="22"/>
  <c r="M971" i="22"/>
  <c r="M970" i="22"/>
  <c r="M969" i="22"/>
  <c r="M968" i="22"/>
  <c r="M967" i="22"/>
  <c r="M966" i="22"/>
  <c r="M965" i="22"/>
  <c r="M964" i="22"/>
  <c r="M963" i="22"/>
  <c r="M962" i="22"/>
  <c r="M961" i="22"/>
  <c r="M960" i="22"/>
  <c r="M959" i="22"/>
  <c r="M958" i="22"/>
  <c r="M957" i="22"/>
  <c r="M956" i="22"/>
  <c r="M955" i="22"/>
  <c r="M954" i="22"/>
  <c r="M953" i="22"/>
  <c r="M952" i="22"/>
  <c r="M951" i="22"/>
  <c r="M950" i="22"/>
  <c r="M949" i="22"/>
  <c r="M948" i="22"/>
  <c r="M947" i="22"/>
  <c r="M946" i="22"/>
  <c r="M945" i="22"/>
  <c r="M944" i="22"/>
  <c r="M943" i="22"/>
  <c r="M942" i="22"/>
  <c r="M941" i="22"/>
  <c r="M940" i="22"/>
  <c r="M939" i="22"/>
  <c r="M938" i="22"/>
  <c r="M937" i="22"/>
  <c r="M936" i="22"/>
  <c r="M935" i="22"/>
  <c r="M934" i="22"/>
  <c r="M933" i="22"/>
  <c r="M932" i="22"/>
  <c r="M931" i="22"/>
  <c r="M930" i="22"/>
  <c r="M929" i="22"/>
  <c r="M928" i="22"/>
  <c r="M927" i="22"/>
  <c r="M926" i="22"/>
  <c r="M925" i="22"/>
  <c r="M924" i="22"/>
  <c r="M923" i="22"/>
  <c r="M922" i="22"/>
  <c r="M921" i="22"/>
  <c r="M920" i="22"/>
  <c r="M919" i="22"/>
  <c r="M918" i="22"/>
  <c r="M917" i="22"/>
  <c r="M916" i="22"/>
  <c r="M915" i="22"/>
  <c r="M914" i="22"/>
  <c r="M913" i="22"/>
  <c r="M912" i="22"/>
  <c r="M911" i="22"/>
  <c r="M910" i="22"/>
  <c r="M909" i="22"/>
  <c r="M908" i="22"/>
  <c r="M907" i="22"/>
  <c r="M906" i="22"/>
  <c r="M905" i="22"/>
  <c r="M904" i="22"/>
  <c r="M903" i="22"/>
  <c r="M902" i="22"/>
  <c r="M901" i="22"/>
  <c r="M900" i="22"/>
  <c r="M899" i="22"/>
  <c r="M898" i="22"/>
  <c r="M897" i="22"/>
  <c r="M896" i="22"/>
  <c r="M895" i="22"/>
  <c r="M894" i="22"/>
  <c r="M893" i="22"/>
  <c r="M892" i="22"/>
  <c r="M891" i="22"/>
  <c r="M890" i="22"/>
  <c r="M889" i="22"/>
  <c r="M888" i="22"/>
  <c r="M887" i="22"/>
  <c r="M886" i="22"/>
  <c r="M885" i="22"/>
  <c r="M884" i="22"/>
  <c r="M883" i="22"/>
  <c r="M882" i="22"/>
  <c r="M881" i="22"/>
  <c r="M880" i="22"/>
  <c r="M879" i="22"/>
  <c r="M878" i="22"/>
  <c r="M877" i="22"/>
  <c r="M876" i="22"/>
  <c r="M875" i="22"/>
  <c r="M874" i="22"/>
  <c r="M873" i="22"/>
  <c r="M872" i="22"/>
  <c r="M871" i="22"/>
  <c r="M870" i="22"/>
  <c r="M869" i="22"/>
  <c r="M868" i="22"/>
  <c r="M867" i="22"/>
  <c r="M866" i="22"/>
  <c r="M865" i="22"/>
  <c r="M864" i="22"/>
  <c r="M863" i="22"/>
  <c r="M862" i="22"/>
  <c r="M861" i="22"/>
  <c r="M860" i="22"/>
  <c r="M859" i="22"/>
  <c r="M858" i="22"/>
  <c r="M857" i="22"/>
  <c r="M856" i="22"/>
  <c r="M855" i="22"/>
  <c r="M854" i="22"/>
  <c r="M853" i="22"/>
  <c r="M852" i="22"/>
  <c r="M851" i="22"/>
  <c r="M850" i="22"/>
  <c r="M849" i="22"/>
  <c r="M848" i="22"/>
  <c r="M847" i="22"/>
  <c r="M846" i="22"/>
  <c r="M845" i="22"/>
  <c r="M844" i="22"/>
  <c r="M843" i="22"/>
  <c r="M842" i="22"/>
  <c r="M841" i="22"/>
  <c r="M840" i="22"/>
  <c r="M839" i="22"/>
  <c r="M838" i="22"/>
  <c r="M837" i="22"/>
  <c r="M836" i="22"/>
  <c r="M835" i="22"/>
  <c r="M834" i="22"/>
  <c r="M833" i="22"/>
  <c r="M832" i="22"/>
  <c r="M831" i="22"/>
  <c r="M830" i="22"/>
  <c r="M829" i="22"/>
  <c r="M828" i="22"/>
  <c r="M827" i="22"/>
  <c r="M826" i="22"/>
  <c r="M825" i="22"/>
  <c r="M824" i="22"/>
  <c r="M823" i="22"/>
  <c r="M822" i="22"/>
  <c r="M821" i="22"/>
  <c r="M820" i="22"/>
  <c r="M819" i="22"/>
  <c r="M818" i="22"/>
  <c r="M817" i="22"/>
  <c r="M816" i="22"/>
  <c r="M815" i="22"/>
  <c r="M814" i="22"/>
  <c r="M813" i="22"/>
  <c r="M812" i="22"/>
  <c r="M811" i="22"/>
  <c r="M810" i="22"/>
  <c r="M809" i="22"/>
  <c r="M808" i="22"/>
  <c r="M807" i="22"/>
  <c r="M806" i="22"/>
  <c r="M805" i="22"/>
  <c r="M804" i="22"/>
  <c r="M803" i="22"/>
  <c r="M802" i="22"/>
  <c r="M801" i="22"/>
  <c r="M800" i="22"/>
  <c r="M799" i="22"/>
  <c r="M798" i="22"/>
  <c r="M797" i="22"/>
  <c r="M796" i="22"/>
  <c r="M795" i="22"/>
  <c r="M794" i="22"/>
  <c r="M793" i="22"/>
  <c r="M792" i="22"/>
  <c r="M791" i="22"/>
  <c r="M790" i="22"/>
  <c r="M789" i="22"/>
  <c r="M788" i="22"/>
  <c r="M787" i="22"/>
  <c r="M786" i="22"/>
  <c r="M785" i="22"/>
  <c r="M784" i="22"/>
  <c r="M783" i="22"/>
  <c r="M782" i="22"/>
  <c r="M781" i="22"/>
  <c r="M780" i="22"/>
  <c r="M779" i="22"/>
  <c r="M778" i="22"/>
  <c r="M777" i="22"/>
  <c r="M776" i="22"/>
  <c r="M775" i="22"/>
  <c r="M774" i="22"/>
  <c r="M773" i="22"/>
  <c r="M772" i="22"/>
  <c r="M771" i="22"/>
  <c r="M770" i="22"/>
  <c r="M769" i="22"/>
  <c r="M768" i="22"/>
  <c r="M767" i="22"/>
  <c r="M766" i="22"/>
  <c r="M765" i="22"/>
  <c r="M764" i="22"/>
  <c r="M763" i="22"/>
  <c r="M762" i="22"/>
  <c r="M761" i="22"/>
  <c r="M760" i="22"/>
  <c r="M759" i="22"/>
  <c r="M758" i="22"/>
  <c r="M757" i="22"/>
  <c r="M756" i="22"/>
  <c r="M755" i="22"/>
  <c r="M754" i="22"/>
  <c r="M753" i="22"/>
  <c r="M752" i="22"/>
  <c r="M751" i="22"/>
  <c r="M750" i="22"/>
  <c r="M749" i="22"/>
  <c r="M748" i="22"/>
  <c r="M747" i="22"/>
  <c r="M746" i="22"/>
  <c r="M745" i="22"/>
  <c r="M744" i="22"/>
  <c r="M743" i="22"/>
  <c r="M742" i="22"/>
  <c r="M741" i="22"/>
  <c r="M740" i="22"/>
  <c r="M739" i="22"/>
  <c r="M738" i="22"/>
  <c r="M737" i="22"/>
  <c r="M736" i="22"/>
  <c r="M735" i="22"/>
  <c r="M734" i="22"/>
  <c r="M733" i="22"/>
  <c r="M732" i="22"/>
  <c r="M731" i="22"/>
  <c r="M730" i="22"/>
  <c r="M729" i="22"/>
  <c r="M728" i="22"/>
  <c r="M727" i="22"/>
  <c r="M726" i="22"/>
  <c r="M725" i="22"/>
  <c r="M724" i="22"/>
  <c r="M723" i="22"/>
  <c r="M722" i="22"/>
  <c r="M721" i="22"/>
  <c r="M720" i="22"/>
  <c r="M719" i="22"/>
  <c r="M718" i="22"/>
  <c r="M717" i="22"/>
  <c r="M716" i="22"/>
  <c r="M715" i="22"/>
  <c r="M714" i="22"/>
  <c r="M713" i="22"/>
  <c r="M712" i="22"/>
  <c r="M711" i="22"/>
  <c r="M710" i="22"/>
  <c r="M709" i="22"/>
  <c r="M708" i="22"/>
  <c r="M707" i="22"/>
  <c r="M706" i="22"/>
  <c r="M705" i="22"/>
  <c r="M704" i="22"/>
  <c r="M703" i="22"/>
  <c r="M702" i="22"/>
  <c r="M701" i="22"/>
  <c r="M700" i="22"/>
  <c r="M699" i="22"/>
  <c r="M698" i="22"/>
  <c r="M697" i="22"/>
  <c r="M696" i="22"/>
  <c r="M695" i="22"/>
  <c r="M694" i="22"/>
  <c r="M693" i="22"/>
  <c r="M692" i="22"/>
  <c r="M691" i="22"/>
  <c r="M690" i="22"/>
  <c r="M689" i="22"/>
  <c r="M688" i="22"/>
  <c r="M687" i="22"/>
  <c r="M686" i="22"/>
  <c r="M685" i="22"/>
  <c r="M684" i="22"/>
  <c r="M683" i="22"/>
  <c r="M682" i="22"/>
  <c r="M681" i="22"/>
  <c r="M680" i="22"/>
  <c r="M679" i="22"/>
  <c r="M678" i="22"/>
  <c r="M677" i="22"/>
  <c r="M676" i="22"/>
  <c r="M675" i="22"/>
  <c r="M674" i="22"/>
  <c r="M673" i="22"/>
  <c r="M672" i="22"/>
  <c r="M671" i="22"/>
  <c r="M670" i="22"/>
  <c r="M669" i="22"/>
  <c r="M668" i="22"/>
  <c r="M667" i="22"/>
  <c r="M666" i="22"/>
  <c r="M665" i="22"/>
  <c r="M664" i="22"/>
  <c r="M663" i="22"/>
  <c r="M662" i="22"/>
  <c r="M661" i="22"/>
  <c r="M660" i="22"/>
  <c r="M659" i="22"/>
  <c r="M658" i="22"/>
  <c r="M657" i="22"/>
  <c r="M656" i="22"/>
  <c r="M655" i="22"/>
  <c r="M654" i="22"/>
  <c r="M653" i="22"/>
  <c r="M652" i="22"/>
  <c r="M651" i="22"/>
  <c r="M650" i="22"/>
  <c r="M649" i="22"/>
  <c r="M648" i="22"/>
  <c r="M647" i="22"/>
  <c r="M646" i="22"/>
  <c r="M645" i="22"/>
  <c r="M644" i="22"/>
  <c r="M643" i="22"/>
  <c r="M642" i="22"/>
  <c r="M641" i="22"/>
  <c r="M640" i="22"/>
  <c r="M639" i="22"/>
  <c r="M638" i="22"/>
  <c r="M637" i="22"/>
  <c r="M636" i="22"/>
  <c r="M635" i="22"/>
  <c r="M634" i="22"/>
  <c r="M633" i="22"/>
  <c r="M632" i="22"/>
  <c r="M631" i="22"/>
  <c r="M630" i="22"/>
  <c r="M629" i="22"/>
  <c r="M628" i="22"/>
  <c r="M627" i="22"/>
  <c r="M626" i="22"/>
  <c r="M625" i="22"/>
  <c r="M624" i="22"/>
  <c r="M623" i="22"/>
  <c r="M622" i="22"/>
  <c r="M621" i="22"/>
  <c r="M620" i="22"/>
  <c r="M619" i="22"/>
  <c r="M618" i="22"/>
  <c r="M617" i="22"/>
  <c r="M616" i="22"/>
  <c r="M615" i="22"/>
  <c r="M614" i="22"/>
  <c r="M613" i="22"/>
  <c r="M612" i="22"/>
  <c r="M611" i="22"/>
  <c r="M610" i="22"/>
  <c r="M609" i="22"/>
  <c r="M608" i="22"/>
  <c r="M607" i="22"/>
  <c r="M606" i="22"/>
  <c r="M605" i="22"/>
  <c r="M604" i="22"/>
  <c r="M603" i="22"/>
  <c r="M602" i="22"/>
  <c r="M601" i="22"/>
  <c r="M600" i="22"/>
  <c r="M599" i="22"/>
  <c r="M598" i="22"/>
  <c r="M597" i="22"/>
  <c r="M596" i="22"/>
  <c r="M595" i="22"/>
  <c r="M594" i="22"/>
  <c r="M593" i="22"/>
  <c r="M592" i="22"/>
  <c r="M591" i="22"/>
  <c r="M590" i="22"/>
  <c r="M589" i="22"/>
  <c r="M588" i="22"/>
  <c r="M587" i="22"/>
  <c r="M586" i="22"/>
  <c r="M585" i="22"/>
  <c r="M584" i="22"/>
  <c r="M583" i="22"/>
  <c r="M582" i="22"/>
  <c r="M581" i="22"/>
  <c r="M580" i="22"/>
  <c r="M579" i="22"/>
  <c r="M578" i="22"/>
  <c r="M577" i="22"/>
  <c r="M576" i="22"/>
  <c r="M575" i="22"/>
  <c r="M574" i="22"/>
  <c r="M573" i="22"/>
  <c r="M572" i="22"/>
  <c r="M571" i="22"/>
  <c r="M570" i="22"/>
  <c r="M569" i="22"/>
  <c r="M568" i="22"/>
  <c r="M567" i="22"/>
  <c r="M566" i="22"/>
  <c r="M565" i="22"/>
  <c r="M564" i="22"/>
  <c r="M563" i="22"/>
  <c r="M562" i="22"/>
  <c r="M561" i="22"/>
  <c r="M560" i="22"/>
  <c r="M559" i="22"/>
  <c r="M558" i="22"/>
  <c r="M557" i="22"/>
  <c r="M556" i="22"/>
  <c r="M555" i="22"/>
  <c r="M554" i="22"/>
  <c r="M553" i="22"/>
  <c r="M552" i="22"/>
  <c r="M551" i="22"/>
  <c r="M550" i="22"/>
  <c r="M549" i="22"/>
  <c r="M548" i="22"/>
  <c r="M547" i="22"/>
  <c r="M546" i="22"/>
  <c r="M545" i="22"/>
  <c r="M544" i="22"/>
  <c r="M543" i="22"/>
  <c r="M542" i="22"/>
  <c r="M541" i="22"/>
  <c r="M540" i="22"/>
  <c r="M539" i="22"/>
  <c r="M538" i="22"/>
  <c r="M537" i="22"/>
  <c r="M536" i="22"/>
  <c r="M535" i="22"/>
  <c r="M534" i="22"/>
  <c r="M533" i="22"/>
  <c r="M532" i="22"/>
  <c r="M531" i="22"/>
  <c r="M530" i="22"/>
  <c r="M529" i="22"/>
  <c r="M528" i="22"/>
  <c r="M527" i="22"/>
  <c r="M526" i="22"/>
  <c r="M525" i="22"/>
  <c r="M524" i="22"/>
  <c r="M523" i="22"/>
  <c r="M522" i="22"/>
  <c r="M521" i="22"/>
  <c r="M520" i="22"/>
  <c r="M519" i="22"/>
  <c r="M518" i="22"/>
  <c r="M517" i="22"/>
  <c r="M516" i="22"/>
  <c r="M515" i="22"/>
  <c r="M514" i="22"/>
  <c r="M513" i="22"/>
  <c r="M512" i="22"/>
  <c r="M511" i="22"/>
  <c r="M510" i="22"/>
  <c r="M509" i="22"/>
  <c r="M508" i="22"/>
  <c r="M507" i="22"/>
  <c r="M506" i="22"/>
  <c r="M505" i="22"/>
  <c r="M504" i="22"/>
  <c r="M503" i="22"/>
  <c r="M502" i="22"/>
  <c r="M501" i="22"/>
  <c r="M500" i="22"/>
  <c r="M499" i="22"/>
  <c r="M498" i="22"/>
  <c r="M497" i="22"/>
  <c r="M496" i="22"/>
  <c r="M495" i="22"/>
  <c r="M494" i="22"/>
  <c r="M493" i="22"/>
  <c r="M492" i="22"/>
  <c r="M491" i="22"/>
  <c r="M490" i="22"/>
  <c r="M489" i="22"/>
  <c r="M488" i="22"/>
  <c r="M487" i="22"/>
  <c r="M486" i="22"/>
  <c r="M485" i="22"/>
  <c r="M484" i="22"/>
  <c r="M483" i="22"/>
  <c r="M482" i="22"/>
  <c r="M481" i="22"/>
  <c r="M480" i="22"/>
  <c r="M479" i="22"/>
  <c r="M478" i="22"/>
  <c r="M477" i="22"/>
  <c r="M476" i="22"/>
  <c r="M475" i="22"/>
  <c r="M474" i="22"/>
  <c r="M473" i="22"/>
  <c r="M472" i="22"/>
  <c r="M471" i="22"/>
  <c r="M470" i="22"/>
  <c r="M469" i="22"/>
  <c r="M468" i="22"/>
  <c r="M467" i="22"/>
  <c r="M466" i="22"/>
  <c r="M465" i="22"/>
  <c r="M464" i="22"/>
  <c r="M463" i="22"/>
  <c r="M462" i="22"/>
  <c r="M461" i="22"/>
  <c r="M460" i="22"/>
  <c r="M459" i="22"/>
  <c r="M458" i="22"/>
  <c r="M457" i="22"/>
  <c r="M456" i="22"/>
  <c r="M455" i="22"/>
  <c r="M454" i="22"/>
  <c r="M453" i="22"/>
  <c r="M452" i="22"/>
  <c r="M451" i="22"/>
  <c r="M450" i="22"/>
  <c r="M449" i="22"/>
  <c r="M448" i="22"/>
  <c r="M447" i="22"/>
  <c r="M446" i="22"/>
  <c r="M445" i="22"/>
  <c r="M444" i="22"/>
  <c r="M443" i="22"/>
  <c r="M442" i="22"/>
  <c r="M441" i="22"/>
  <c r="M440" i="22"/>
  <c r="M439" i="22"/>
  <c r="M438" i="22"/>
  <c r="M437" i="22"/>
  <c r="M436" i="22"/>
  <c r="M435" i="22"/>
  <c r="M434" i="22"/>
  <c r="M433" i="22"/>
  <c r="M432" i="22"/>
  <c r="M431" i="22"/>
  <c r="M430" i="22"/>
  <c r="M429" i="22"/>
  <c r="M428" i="22"/>
  <c r="M427" i="22"/>
  <c r="M426" i="22"/>
  <c r="M425" i="22"/>
  <c r="M424" i="22"/>
  <c r="M423" i="22"/>
  <c r="M422" i="22"/>
  <c r="M421" i="22"/>
  <c r="M420" i="22"/>
  <c r="M419" i="22"/>
  <c r="M418" i="22"/>
  <c r="M417" i="22"/>
  <c r="M416" i="22"/>
  <c r="M415" i="22"/>
  <c r="M414" i="22"/>
  <c r="M413" i="22"/>
  <c r="M412" i="22"/>
  <c r="M411" i="22"/>
  <c r="M410" i="22"/>
  <c r="M409" i="22"/>
  <c r="M408" i="22"/>
  <c r="M407" i="22"/>
  <c r="M406" i="22"/>
  <c r="M405" i="22"/>
  <c r="M404" i="22"/>
  <c r="M403" i="22"/>
  <c r="M402" i="22"/>
  <c r="M401" i="22"/>
  <c r="M400" i="22"/>
  <c r="M399" i="22"/>
  <c r="M398" i="22"/>
  <c r="M397" i="22"/>
  <c r="M396" i="22"/>
  <c r="M395" i="22"/>
  <c r="M394" i="22"/>
  <c r="M393" i="22"/>
  <c r="M392" i="22"/>
  <c r="M391" i="22"/>
  <c r="M390" i="22"/>
  <c r="M389" i="22"/>
  <c r="M388" i="22"/>
  <c r="M387" i="22"/>
  <c r="M386" i="22"/>
  <c r="M385" i="22"/>
  <c r="M384" i="22"/>
  <c r="M383" i="22"/>
  <c r="M382" i="22"/>
  <c r="M381" i="22"/>
  <c r="M380" i="22"/>
  <c r="M379" i="22"/>
  <c r="M378" i="22"/>
  <c r="M377" i="22"/>
  <c r="M376" i="22"/>
  <c r="M375" i="22"/>
  <c r="M374" i="22"/>
  <c r="M373" i="22"/>
  <c r="M372" i="22"/>
  <c r="M371" i="22"/>
  <c r="M370" i="22"/>
  <c r="M369" i="22"/>
  <c r="M368" i="22"/>
  <c r="M367" i="22"/>
  <c r="M366" i="22"/>
  <c r="M365" i="22"/>
  <c r="M364" i="22"/>
  <c r="M363" i="22"/>
  <c r="M362" i="22"/>
  <c r="M361" i="22"/>
  <c r="M360" i="22"/>
  <c r="M359" i="22"/>
  <c r="M358" i="22"/>
  <c r="M357" i="22"/>
  <c r="M356" i="22"/>
  <c r="M355" i="22"/>
  <c r="M354" i="22"/>
  <c r="M353" i="22"/>
  <c r="M352" i="22"/>
  <c r="M351" i="22"/>
  <c r="M350" i="22"/>
  <c r="M349" i="22"/>
  <c r="M348" i="22"/>
  <c r="M347" i="22"/>
  <c r="M346" i="22"/>
  <c r="M345" i="22"/>
  <c r="M344" i="22"/>
  <c r="M343" i="22"/>
  <c r="M342" i="22"/>
  <c r="M341" i="22"/>
  <c r="M340" i="22"/>
  <c r="M339" i="22"/>
  <c r="M338" i="22"/>
  <c r="M337" i="22"/>
  <c r="M336" i="22"/>
  <c r="M335" i="22"/>
  <c r="M334" i="22"/>
  <c r="M333" i="22"/>
  <c r="M332" i="22"/>
  <c r="M331" i="22"/>
  <c r="M330" i="22"/>
  <c r="M329" i="22"/>
  <c r="M328" i="22"/>
  <c r="M327" i="22"/>
  <c r="M326" i="22"/>
  <c r="M325" i="22"/>
  <c r="M324" i="22"/>
  <c r="M323" i="22"/>
  <c r="M322" i="22"/>
  <c r="M321" i="22"/>
  <c r="M320" i="22"/>
  <c r="M319" i="22"/>
  <c r="M318" i="22"/>
  <c r="M317" i="22"/>
  <c r="M316" i="22"/>
  <c r="M315" i="22"/>
  <c r="M314" i="22"/>
  <c r="M313" i="22"/>
  <c r="M312" i="22"/>
  <c r="M311" i="22"/>
  <c r="M310" i="22"/>
  <c r="M309" i="22"/>
  <c r="M308" i="22"/>
  <c r="M307" i="22"/>
  <c r="M306" i="22"/>
  <c r="M305" i="22"/>
  <c r="M304" i="22"/>
  <c r="M303" i="22"/>
  <c r="M302" i="22"/>
  <c r="M301" i="22"/>
  <c r="M300" i="22"/>
  <c r="M299" i="22"/>
  <c r="M298" i="22"/>
  <c r="M297" i="22"/>
  <c r="M296" i="22"/>
  <c r="M295" i="22"/>
  <c r="M294" i="22"/>
  <c r="M293" i="22"/>
  <c r="M292" i="22"/>
  <c r="M291" i="22"/>
  <c r="M290" i="22"/>
  <c r="M289" i="22"/>
  <c r="M288" i="22"/>
  <c r="M287" i="22"/>
  <c r="M286" i="22"/>
  <c r="M285" i="22"/>
  <c r="M284" i="22"/>
  <c r="M283" i="22"/>
  <c r="M282" i="22"/>
  <c r="M281" i="22"/>
  <c r="M280" i="22"/>
  <c r="M279" i="22"/>
  <c r="M278" i="22"/>
  <c r="M277" i="22"/>
  <c r="M276" i="22"/>
  <c r="M275" i="22"/>
  <c r="M274" i="22"/>
  <c r="M273" i="22"/>
  <c r="M272" i="22"/>
  <c r="M271" i="22"/>
  <c r="M270" i="22"/>
  <c r="M269" i="22"/>
  <c r="M268" i="22"/>
  <c r="M267" i="22"/>
  <c r="M266" i="22"/>
  <c r="M265" i="22"/>
  <c r="M264" i="22"/>
  <c r="M263" i="22"/>
  <c r="M262" i="22"/>
  <c r="M261" i="22"/>
  <c r="M260" i="22"/>
  <c r="M259" i="22"/>
  <c r="M258" i="22"/>
  <c r="M257" i="22"/>
  <c r="M256" i="22"/>
  <c r="M255" i="22"/>
  <c r="M254" i="22"/>
  <c r="M253" i="22"/>
  <c r="M252" i="22"/>
  <c r="M251" i="22"/>
  <c r="M250" i="22"/>
  <c r="M249" i="22"/>
  <c r="M248" i="22"/>
  <c r="M247" i="22"/>
  <c r="M246" i="22"/>
  <c r="M245" i="22"/>
  <c r="M244" i="22"/>
  <c r="M243" i="22"/>
  <c r="M242" i="22"/>
  <c r="M241" i="22"/>
  <c r="M240" i="22"/>
  <c r="M239" i="22"/>
  <c r="M238" i="22"/>
  <c r="M237" i="22"/>
  <c r="M236" i="22"/>
  <c r="M235" i="22"/>
  <c r="M234" i="22"/>
  <c r="M233" i="22"/>
  <c r="M232" i="22"/>
  <c r="M231" i="22"/>
  <c r="M230" i="22"/>
  <c r="M229" i="22"/>
  <c r="M228" i="22"/>
  <c r="M227" i="22"/>
  <c r="M226" i="22"/>
  <c r="M225" i="22"/>
  <c r="M224" i="22"/>
  <c r="M223" i="22"/>
  <c r="M222" i="22"/>
  <c r="M221" i="22"/>
  <c r="M220" i="22"/>
  <c r="M219" i="22"/>
  <c r="M218" i="22"/>
  <c r="M217" i="22"/>
  <c r="M216" i="22"/>
  <c r="M215" i="22"/>
  <c r="M214" i="22"/>
  <c r="M213" i="22"/>
  <c r="M212" i="22"/>
  <c r="M211" i="22"/>
  <c r="M210" i="22"/>
  <c r="M209" i="22"/>
  <c r="M208" i="22"/>
  <c r="M207" i="22"/>
  <c r="M206" i="22"/>
  <c r="M205" i="22"/>
  <c r="M204" i="22"/>
  <c r="M203" i="22"/>
  <c r="M202" i="22"/>
  <c r="M201" i="22"/>
  <c r="M200" i="22"/>
  <c r="M199" i="22"/>
  <c r="M198" i="22"/>
  <c r="M197" i="22"/>
  <c r="M196" i="22"/>
  <c r="M195" i="22"/>
  <c r="M194" i="22"/>
  <c r="M193" i="22"/>
  <c r="M192" i="22"/>
  <c r="M191" i="22"/>
  <c r="M190" i="22"/>
  <c r="M189" i="22"/>
  <c r="M188" i="22"/>
  <c r="M187" i="22"/>
  <c r="M186" i="22"/>
  <c r="M185" i="22"/>
  <c r="M184" i="22"/>
  <c r="M183" i="22"/>
  <c r="M182" i="22"/>
  <c r="M181" i="22"/>
  <c r="M180" i="22"/>
  <c r="M179" i="22"/>
  <c r="M178" i="22"/>
  <c r="M177" i="22"/>
  <c r="M176" i="22"/>
  <c r="M175" i="22"/>
  <c r="M174" i="22"/>
  <c r="M173" i="22"/>
  <c r="M172" i="22"/>
  <c r="M171" i="22"/>
  <c r="M170" i="22"/>
  <c r="M169" i="22"/>
  <c r="M168" i="22"/>
  <c r="M167" i="22"/>
  <c r="M166" i="22"/>
  <c r="M165" i="22"/>
  <c r="M164" i="22"/>
  <c r="M163" i="22"/>
  <c r="M162" i="22"/>
  <c r="M161" i="22"/>
  <c r="M160" i="22"/>
  <c r="M159" i="22"/>
  <c r="M158" i="22"/>
  <c r="M157" i="22"/>
  <c r="M156" i="22"/>
  <c r="M155" i="22"/>
  <c r="M154" i="22"/>
  <c r="M153" i="22"/>
  <c r="M152" i="22"/>
  <c r="M151" i="22"/>
  <c r="M150" i="22"/>
  <c r="M149" i="22"/>
  <c r="M148" i="22"/>
  <c r="M147" i="22"/>
  <c r="M146" i="22"/>
  <c r="M145" i="22"/>
  <c r="M144" i="22"/>
  <c r="M143" i="22"/>
  <c r="M142" i="22"/>
  <c r="M141" i="22"/>
  <c r="M140" i="22"/>
  <c r="M139" i="22"/>
  <c r="M138" i="22"/>
  <c r="M137" i="22"/>
  <c r="M136" i="22"/>
  <c r="M135" i="22"/>
  <c r="M134" i="22"/>
  <c r="M133" i="22"/>
  <c r="M132" i="22"/>
  <c r="M131" i="22"/>
  <c r="M130" i="22"/>
  <c r="M129" i="22"/>
  <c r="M128" i="22"/>
  <c r="M127" i="22"/>
  <c r="M126" i="22"/>
  <c r="M125" i="22"/>
  <c r="M124" i="22"/>
  <c r="M123" i="22"/>
  <c r="M122" i="22"/>
  <c r="M121" i="22"/>
  <c r="M120" i="22"/>
  <c r="M119" i="22"/>
  <c r="M118" i="22"/>
  <c r="M117" i="22"/>
  <c r="M116" i="22"/>
  <c r="M115" i="22"/>
  <c r="M114" i="22"/>
  <c r="M113" i="22"/>
  <c r="M112" i="22"/>
  <c r="M111" i="22"/>
  <c r="M110" i="22"/>
  <c r="M109" i="22"/>
  <c r="M108" i="22"/>
  <c r="M107" i="22"/>
  <c r="M106" i="22"/>
  <c r="M105" i="22"/>
  <c r="M104" i="22"/>
  <c r="M103" i="22"/>
  <c r="M102" i="22"/>
  <c r="M101" i="22"/>
  <c r="M100" i="22"/>
  <c r="M99" i="22"/>
  <c r="M98" i="22"/>
  <c r="M97" i="22"/>
  <c r="M96" i="22"/>
  <c r="M95" i="22"/>
  <c r="M94" i="22"/>
  <c r="M93" i="22"/>
  <c r="M92" i="22"/>
  <c r="M91" i="22"/>
  <c r="M90" i="22"/>
  <c r="M89" i="22"/>
  <c r="M88" i="22"/>
  <c r="M87" i="22"/>
  <c r="M86" i="22"/>
  <c r="M85" i="22"/>
  <c r="M84" i="22"/>
  <c r="M83" i="22"/>
  <c r="M82" i="22"/>
  <c r="M81" i="22"/>
  <c r="M80" i="22"/>
  <c r="M79" i="22"/>
  <c r="M78" i="22"/>
  <c r="M77" i="22"/>
  <c r="M76" i="22"/>
  <c r="M75" i="22"/>
  <c r="M74" i="22"/>
  <c r="M73" i="22"/>
  <c r="M72" i="22"/>
  <c r="M71" i="22"/>
  <c r="M70" i="22"/>
  <c r="M69" i="22"/>
  <c r="M68" i="22"/>
  <c r="M67" i="22"/>
  <c r="M66" i="22"/>
  <c r="M65" i="22"/>
  <c r="M64" i="22"/>
  <c r="M63" i="22"/>
  <c r="M62" i="22"/>
  <c r="M61" i="22"/>
  <c r="M60" i="22"/>
  <c r="M59" i="22"/>
  <c r="M58" i="22"/>
  <c r="M57" i="22"/>
  <c r="M56" i="22"/>
  <c r="M55" i="22"/>
  <c r="M54" i="22"/>
  <c r="M53" i="22"/>
  <c r="M52" i="22"/>
  <c r="M51" i="22"/>
  <c r="M50" i="22"/>
  <c r="M49" i="22"/>
  <c r="M48" i="22"/>
  <c r="M47" i="22"/>
  <c r="M46" i="22"/>
  <c r="M45" i="22"/>
  <c r="M44" i="22"/>
  <c r="M43" i="22"/>
  <c r="M42" i="22"/>
  <c r="M41" i="22"/>
  <c r="M40" i="22"/>
  <c r="M39" i="22"/>
  <c r="M38" i="22"/>
  <c r="M37" i="22"/>
  <c r="M36" i="22"/>
  <c r="M35" i="22"/>
  <c r="M34" i="22"/>
  <c r="M33" i="22"/>
  <c r="M32" i="22"/>
  <c r="M31" i="22"/>
  <c r="M30" i="22"/>
  <c r="M29" i="22"/>
  <c r="M28" i="22"/>
  <c r="M27" i="22"/>
  <c r="M26" i="22"/>
  <c r="M25" i="22"/>
  <c r="M24" i="22"/>
  <c r="M23" i="22"/>
  <c r="M22" i="22"/>
  <c r="M21" i="22"/>
  <c r="M20" i="22"/>
  <c r="M19" i="22"/>
  <c r="M18" i="22"/>
  <c r="M17" i="22"/>
  <c r="M16" i="22"/>
  <c r="M15" i="22"/>
  <c r="M14" i="22"/>
  <c r="M13" i="22"/>
  <c r="M12" i="22"/>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V191" i="11"/>
  <c r="P104" i="11" l="1"/>
  <c r="P103" i="11"/>
  <c r="P105" i="11"/>
  <c r="F95" i="11"/>
  <c r="F96" i="11"/>
  <c r="F97" i="11"/>
  <c r="F98" i="11"/>
  <c r="F99" i="11"/>
  <c r="F100" i="11"/>
  <c r="F101" i="11"/>
  <c r="F94" i="11"/>
  <c r="P94" i="11"/>
  <c r="P102" i="11" s="1"/>
  <c r="G63" i="12"/>
  <c r="G64" i="12" s="1"/>
  <c r="G92" i="12"/>
  <c r="G93" i="12" s="1"/>
  <c r="L34" i="12"/>
  <c r="L35" i="12" s="1"/>
  <c r="L63" i="12"/>
  <c r="L64" i="12" s="1"/>
  <c r="L92" i="12"/>
  <c r="L93" i="12" s="1"/>
  <c r="Q34" i="12"/>
  <c r="Q35" i="12" s="1"/>
  <c r="Q63" i="12"/>
  <c r="Q64" i="12" s="1"/>
  <c r="Z304" i="3"/>
  <c r="M298" i="27" s="1"/>
  <c r="K121" i="13"/>
  <c r="K116" i="13"/>
  <c r="K120" i="13"/>
  <c r="K115" i="13"/>
  <c r="K114" i="13"/>
  <c r="K118" i="13"/>
  <c r="K117" i="13"/>
  <c r="K27" i="13" s="1"/>
  <c r="K112" i="13"/>
  <c r="K111" i="13"/>
  <c r="K110" i="13"/>
  <c r="K109" i="13"/>
  <c r="K108" i="13"/>
  <c r="K107" i="13"/>
  <c r="K106" i="13"/>
  <c r="K105" i="13"/>
  <c r="K104" i="13"/>
  <c r="K103" i="13"/>
  <c r="K102" i="13"/>
  <c r="K101" i="13"/>
  <c r="K331" i="13"/>
  <c r="Z156" i="3"/>
  <c r="M77" i="27" s="1"/>
  <c r="Z140" i="3"/>
  <c r="M76" i="27" s="1"/>
  <c r="Z122" i="3"/>
  <c r="M75" i="27" s="1"/>
  <c r="Z99" i="3"/>
  <c r="M74" i="27" s="1"/>
  <c r="Z76" i="3"/>
  <c r="M73" i="27" s="1"/>
  <c r="Z53" i="3"/>
  <c r="M72" i="27" s="1"/>
  <c r="Z412" i="3"/>
  <c r="M61" i="27" s="1"/>
  <c r="Z389" i="3"/>
  <c r="Z367" i="3"/>
  <c r="M59" i="27" s="1"/>
  <c r="Z349" i="3"/>
  <c r="M55" i="27" s="1"/>
  <c r="Z326" i="3"/>
  <c r="M54" i="27" s="1"/>
  <c r="Z305" i="3"/>
  <c r="M58" i="27" s="1"/>
  <c r="Z283" i="3"/>
  <c r="M57" i="27" s="1"/>
  <c r="Z265" i="3"/>
  <c r="M53" i="27" s="1"/>
  <c r="Z249" i="3"/>
  <c r="M52" i="27" s="1"/>
  <c r="Z227" i="3"/>
  <c r="M51" i="27" s="1"/>
  <c r="Z209" i="3"/>
  <c r="M50" i="27" s="1"/>
  <c r="Z189" i="3"/>
  <c r="M49" i="27" s="1"/>
  <c r="Z172" i="3"/>
  <c r="M48" i="27" s="1"/>
  <c r="Z155" i="3"/>
  <c r="M47" i="27" s="1"/>
  <c r="Z139" i="3"/>
  <c r="M46" i="27" s="1"/>
  <c r="Z121" i="3"/>
  <c r="M45" i="27" s="1"/>
  <c r="Z98" i="3"/>
  <c r="M44" i="27" s="1"/>
  <c r="Z75" i="3"/>
  <c r="M43" i="27" s="1"/>
  <c r="Z52" i="3"/>
  <c r="M42" i="27" s="1"/>
  <c r="Z411" i="3"/>
  <c r="M301" i="27" s="1"/>
  <c r="Z388" i="3"/>
  <c r="M296" i="27" s="1"/>
  <c r="Z348" i="3"/>
  <c r="M295" i="27" s="1"/>
  <c r="Z325" i="3"/>
  <c r="M294" i="27" s="1"/>
  <c r="Z264" i="3"/>
  <c r="Z248" i="3"/>
  <c r="M292" i="27" s="1"/>
  <c r="Z208" i="3"/>
  <c r="M290" i="27" s="1"/>
  <c r="Z120" i="3"/>
  <c r="M285" i="27" s="1"/>
  <c r="Z97" i="3"/>
  <c r="M284" i="27" s="1"/>
  <c r="Z74" i="3"/>
  <c r="M283" i="27" s="1"/>
  <c r="Z51" i="3"/>
  <c r="M282" i="27" s="1"/>
  <c r="Z410" i="3"/>
  <c r="M181" i="27" s="1"/>
  <c r="Z387" i="3"/>
  <c r="M176" i="27" s="1"/>
  <c r="Z366" i="3"/>
  <c r="M179" i="27" s="1"/>
  <c r="Z347" i="3"/>
  <c r="M175" i="27" s="1"/>
  <c r="Z324" i="3"/>
  <c r="M174" i="27" s="1"/>
  <c r="Z303" i="3"/>
  <c r="M178" i="27" s="1"/>
  <c r="Z282" i="3"/>
  <c r="M177" i="27" s="1"/>
  <c r="Z263" i="3"/>
  <c r="M173" i="27" s="1"/>
  <c r="Z247" i="3"/>
  <c r="M172" i="27" s="1"/>
  <c r="M142" i="27" s="1"/>
  <c r="Z226" i="3"/>
  <c r="M171" i="27" s="1"/>
  <c r="Z207" i="3"/>
  <c r="M170" i="27" s="1"/>
  <c r="Z188" i="3"/>
  <c r="M169" i="27" s="1"/>
  <c r="Z171" i="3"/>
  <c r="M168" i="27" s="1"/>
  <c r="Z154" i="3"/>
  <c r="M167" i="27" s="1"/>
  <c r="Z138" i="3"/>
  <c r="M166" i="27" s="1"/>
  <c r="M136" i="27" s="1"/>
  <c r="Z119" i="3"/>
  <c r="M165" i="27" s="1"/>
  <c r="Z96" i="3"/>
  <c r="M164" i="27" s="1"/>
  <c r="Z73" i="3"/>
  <c r="M163" i="27" s="1"/>
  <c r="M133" i="27" s="1"/>
  <c r="Z50" i="3"/>
  <c r="M162" i="27" s="1"/>
  <c r="J108" i="13"/>
  <c r="J107" i="13"/>
  <c r="J101" i="13"/>
  <c r="E162" i="13"/>
  <c r="E163" i="13"/>
  <c r="E164" i="13"/>
  <c r="E165" i="13"/>
  <c r="E166" i="13"/>
  <c r="E167" i="13"/>
  <c r="E168" i="13"/>
  <c r="E169" i="13"/>
  <c r="E170" i="13"/>
  <c r="E171" i="13"/>
  <c r="E172" i="13"/>
  <c r="E173" i="13"/>
  <c r="E177" i="13"/>
  <c r="E179" i="13"/>
  <c r="E174" i="13"/>
  <c r="E175" i="13"/>
  <c r="E180" i="13"/>
  <c r="E176" i="13"/>
  <c r="E181" i="13"/>
  <c r="E48" i="13"/>
  <c r="E49" i="13"/>
  <c r="E50" i="13"/>
  <c r="E51" i="13"/>
  <c r="E52" i="13"/>
  <c r="E53" i="13"/>
  <c r="E58" i="13"/>
  <c r="E59" i="13"/>
  <c r="E54" i="13"/>
  <c r="E55" i="13"/>
  <c r="E60" i="13"/>
  <c r="E56" i="13"/>
  <c r="E61" i="13"/>
  <c r="E71" i="13"/>
  <c r="E72" i="13"/>
  <c r="E73" i="13"/>
  <c r="E74" i="13"/>
  <c r="E75" i="13"/>
  <c r="E76" i="13"/>
  <c r="E77" i="13"/>
  <c r="E198" i="13"/>
  <c r="E199" i="13"/>
  <c r="E200" i="13"/>
  <c r="E201" i="13"/>
  <c r="E202" i="13"/>
  <c r="E203" i="13"/>
  <c r="E207" i="13"/>
  <c r="E209" i="13"/>
  <c r="E204" i="13"/>
  <c r="E205" i="13"/>
  <c r="E210" i="13"/>
  <c r="E206" i="13"/>
  <c r="E211" i="13"/>
  <c r="E312" i="13"/>
  <c r="E313" i="13"/>
  <c r="E314" i="13"/>
  <c r="E315" i="13"/>
  <c r="E320" i="13"/>
  <c r="E322" i="13"/>
  <c r="E118" i="13"/>
  <c r="E114" i="13"/>
  <c r="E115" i="13"/>
  <c r="E120" i="13"/>
  <c r="E116" i="13"/>
  <c r="E121" i="13"/>
  <c r="E222" i="13"/>
  <c r="E223" i="13"/>
  <c r="E224" i="13"/>
  <c r="E225" i="13"/>
  <c r="E226" i="13"/>
  <c r="E227" i="13"/>
  <c r="E228" i="13"/>
  <c r="E229" i="13"/>
  <c r="E230" i="13"/>
  <c r="E231" i="13"/>
  <c r="E232" i="13"/>
  <c r="E233" i="13"/>
  <c r="E237" i="13"/>
  <c r="R237" i="13" s="1"/>
  <c r="K174" i="13"/>
  <c r="K175" i="13"/>
  <c r="K180" i="13"/>
  <c r="K176" i="13"/>
  <c r="K181" i="13"/>
  <c r="K281" i="13"/>
  <c r="K282" i="13"/>
  <c r="K283" i="13"/>
  <c r="K284" i="13"/>
  <c r="K285" i="13"/>
  <c r="K292" i="13"/>
  <c r="K299" i="13"/>
  <c r="K295" i="13"/>
  <c r="K296" i="13"/>
  <c r="K301" i="13"/>
  <c r="K41" i="13"/>
  <c r="K42" i="13"/>
  <c r="K43" i="13"/>
  <c r="K44" i="13"/>
  <c r="K45" i="13"/>
  <c r="K77" i="13"/>
  <c r="K78" i="13"/>
  <c r="K79" i="13"/>
  <c r="K80" i="13"/>
  <c r="K81" i="13"/>
  <c r="K82" i="13"/>
  <c r="K88" i="13"/>
  <c r="K89" i="13"/>
  <c r="K84" i="13"/>
  <c r="K85" i="13"/>
  <c r="K90" i="13"/>
  <c r="K86" i="13"/>
  <c r="K91" i="13"/>
  <c r="K191" i="13"/>
  <c r="K192" i="13"/>
  <c r="K193" i="13"/>
  <c r="K194" i="13"/>
  <c r="K195" i="13"/>
  <c r="K196" i="13"/>
  <c r="K198" i="13"/>
  <c r="E282" i="13"/>
  <c r="E283" i="13"/>
  <c r="E284" i="13"/>
  <c r="E285" i="13"/>
  <c r="E290" i="13"/>
  <c r="E292" i="13"/>
  <c r="E293" i="13"/>
  <c r="E299" i="13"/>
  <c r="E294" i="13"/>
  <c r="E295" i="13"/>
  <c r="E296" i="13"/>
  <c r="E301" i="13"/>
  <c r="E42" i="13"/>
  <c r="E43" i="13"/>
  <c r="E44" i="13"/>
  <c r="E45" i="13"/>
  <c r="E46" i="13"/>
  <c r="E47" i="13"/>
  <c r="E78" i="13"/>
  <c r="E79" i="13"/>
  <c r="E80" i="13"/>
  <c r="E81" i="13"/>
  <c r="E82" i="13"/>
  <c r="E83" i="13"/>
  <c r="R83" i="13" s="1"/>
  <c r="E88" i="13"/>
  <c r="E89" i="13"/>
  <c r="E84" i="13"/>
  <c r="E85" i="13"/>
  <c r="E90" i="13"/>
  <c r="E86" i="13"/>
  <c r="E91" i="13"/>
  <c r="E192" i="13"/>
  <c r="E193" i="13"/>
  <c r="E194" i="13"/>
  <c r="E195" i="13"/>
  <c r="E196" i="13"/>
  <c r="E197" i="13"/>
  <c r="E323" i="13"/>
  <c r="E329" i="13"/>
  <c r="E324" i="13"/>
  <c r="E325" i="13"/>
  <c r="E326" i="13"/>
  <c r="E331" i="13"/>
  <c r="E102" i="13"/>
  <c r="E103" i="13"/>
  <c r="E104" i="13"/>
  <c r="E105" i="13"/>
  <c r="E106" i="13"/>
  <c r="E107" i="13"/>
  <c r="E108" i="13"/>
  <c r="E109" i="13"/>
  <c r="E110" i="13"/>
  <c r="E111" i="13"/>
  <c r="E112" i="13"/>
  <c r="E113" i="13"/>
  <c r="E117" i="13"/>
  <c r="E27" i="13" s="1"/>
  <c r="E239" i="13"/>
  <c r="R239" i="13" s="1"/>
  <c r="E234" i="13"/>
  <c r="E235" i="13"/>
  <c r="E240" i="13"/>
  <c r="R240" i="13" s="1"/>
  <c r="E236" i="13"/>
  <c r="E241" i="13"/>
  <c r="K161" i="13"/>
  <c r="K162" i="13"/>
  <c r="K163" i="13"/>
  <c r="K164" i="13"/>
  <c r="K165" i="13"/>
  <c r="K166" i="13"/>
  <c r="K167" i="13"/>
  <c r="K168" i="13"/>
  <c r="K169" i="13"/>
  <c r="K170" i="13"/>
  <c r="K171" i="13"/>
  <c r="K172" i="13"/>
  <c r="K177" i="13"/>
  <c r="K179" i="13"/>
  <c r="K46" i="13"/>
  <c r="K47" i="13"/>
  <c r="K48" i="13"/>
  <c r="K49" i="13"/>
  <c r="K50" i="13"/>
  <c r="K51" i="13"/>
  <c r="K52" i="13"/>
  <c r="K58" i="13"/>
  <c r="K59" i="13"/>
  <c r="K29" i="13" s="1"/>
  <c r="K54" i="13"/>
  <c r="K55" i="13"/>
  <c r="K60" i="13"/>
  <c r="K56" i="13"/>
  <c r="K61" i="13"/>
  <c r="K71" i="13"/>
  <c r="K72" i="13"/>
  <c r="K73" i="13"/>
  <c r="K74" i="13"/>
  <c r="K75" i="13"/>
  <c r="K76" i="13"/>
  <c r="K199" i="13"/>
  <c r="K200" i="13"/>
  <c r="K201" i="13"/>
  <c r="K202" i="13"/>
  <c r="K207" i="13"/>
  <c r="K209" i="13"/>
  <c r="K204" i="13"/>
  <c r="K205" i="13"/>
  <c r="K210" i="13"/>
  <c r="K206" i="13"/>
  <c r="K211" i="13"/>
  <c r="K311" i="13"/>
  <c r="K312" i="13"/>
  <c r="K313" i="13"/>
  <c r="K314" i="13"/>
  <c r="K315" i="13"/>
  <c r="K322" i="13"/>
  <c r="K329" i="13"/>
  <c r="K325" i="13"/>
  <c r="K326" i="13"/>
  <c r="D164" i="13"/>
  <c r="D165" i="13"/>
  <c r="D168" i="13"/>
  <c r="D169" i="13"/>
  <c r="D172" i="13"/>
  <c r="D173" i="13"/>
  <c r="D174" i="13"/>
  <c r="D175" i="13"/>
  <c r="D181" i="13"/>
  <c r="D48" i="13"/>
  <c r="D51" i="13"/>
  <c r="D52" i="13"/>
  <c r="D59" i="13"/>
  <c r="D54" i="13"/>
  <c r="D56" i="13"/>
  <c r="D61" i="13"/>
  <c r="D71" i="13"/>
  <c r="D93" i="13" s="1"/>
  <c r="D72" i="13"/>
  <c r="D73" i="13"/>
  <c r="D74" i="13"/>
  <c r="D75" i="13"/>
  <c r="D76" i="13"/>
  <c r="D77" i="13"/>
  <c r="D198" i="13"/>
  <c r="D201" i="13"/>
  <c r="D202" i="13"/>
  <c r="D209" i="13"/>
  <c r="D204" i="13"/>
  <c r="D206" i="13"/>
  <c r="D211" i="13"/>
  <c r="D313" i="13"/>
  <c r="D314" i="13"/>
  <c r="D322" i="13"/>
  <c r="D118" i="13"/>
  <c r="D120" i="13"/>
  <c r="D116" i="13"/>
  <c r="D222" i="13"/>
  <c r="D223" i="13"/>
  <c r="D226" i="13"/>
  <c r="D227" i="13"/>
  <c r="D230" i="13"/>
  <c r="D231" i="13"/>
  <c r="D237" i="13"/>
  <c r="Q237" i="13" s="1"/>
  <c r="J174" i="13"/>
  <c r="J176" i="13"/>
  <c r="J181" i="13"/>
  <c r="J281" i="13"/>
  <c r="J283" i="13"/>
  <c r="J284" i="13"/>
  <c r="J299" i="13"/>
  <c r="J295" i="13"/>
  <c r="J41" i="13"/>
  <c r="J42" i="13"/>
  <c r="J45" i="13"/>
  <c r="J77" i="13"/>
  <c r="J78" i="13"/>
  <c r="J79" i="13"/>
  <c r="J80" i="13"/>
  <c r="J81" i="13"/>
  <c r="J82" i="13"/>
  <c r="J88" i="13"/>
  <c r="J89" i="13"/>
  <c r="J84" i="13"/>
  <c r="J85" i="13"/>
  <c r="J90" i="13"/>
  <c r="J86" i="13"/>
  <c r="J91" i="13"/>
  <c r="J191" i="13"/>
  <c r="J193" i="13"/>
  <c r="J194" i="13"/>
  <c r="J198" i="13"/>
  <c r="D284" i="13"/>
  <c r="D285" i="13"/>
  <c r="D290" i="13"/>
  <c r="D293" i="13"/>
  <c r="D299" i="13"/>
  <c r="D296" i="13"/>
  <c r="D301" i="13"/>
  <c r="D43" i="13"/>
  <c r="D44" i="13"/>
  <c r="D47" i="13"/>
  <c r="D78" i="13"/>
  <c r="D79" i="13"/>
  <c r="D80" i="13"/>
  <c r="D81" i="13"/>
  <c r="D82" i="13"/>
  <c r="D83" i="13"/>
  <c r="Q83" i="13" s="1"/>
  <c r="D88" i="13"/>
  <c r="D89" i="13"/>
  <c r="D84" i="13"/>
  <c r="D85" i="13"/>
  <c r="D90" i="13"/>
  <c r="D86" i="13"/>
  <c r="D91" i="13"/>
  <c r="D193" i="13"/>
  <c r="D194" i="13"/>
  <c r="D197" i="13"/>
  <c r="D323" i="13"/>
  <c r="D325" i="13"/>
  <c r="D326" i="13"/>
  <c r="D102" i="13"/>
  <c r="D103" i="13"/>
  <c r="D106" i="13"/>
  <c r="D107" i="13"/>
  <c r="D108" i="13"/>
  <c r="D110" i="13"/>
  <c r="D111" i="13"/>
  <c r="D117" i="13"/>
  <c r="D27" i="13" s="1"/>
  <c r="D239" i="13"/>
  <c r="Q239" i="13" s="1"/>
  <c r="D240" i="13"/>
  <c r="Q240" i="13" s="1"/>
  <c r="D236" i="13"/>
  <c r="J161" i="13"/>
  <c r="J162" i="13"/>
  <c r="J163" i="13"/>
  <c r="J164" i="13"/>
  <c r="J166" i="13"/>
  <c r="J167" i="13"/>
  <c r="J168" i="13"/>
  <c r="J170" i="13"/>
  <c r="J171" i="13"/>
  <c r="J179" i="13"/>
  <c r="J46" i="13"/>
  <c r="J49" i="13"/>
  <c r="J50" i="13"/>
  <c r="J58" i="13"/>
  <c r="J59" i="13"/>
  <c r="J60" i="13"/>
  <c r="J56" i="13"/>
  <c r="J71" i="13"/>
  <c r="J72" i="13"/>
  <c r="J73" i="13"/>
  <c r="J74" i="13"/>
  <c r="J75" i="13"/>
  <c r="J76" i="13"/>
  <c r="J199" i="13"/>
  <c r="J207" i="13"/>
  <c r="J209" i="13"/>
  <c r="J204" i="13"/>
  <c r="J210" i="13"/>
  <c r="J311" i="13"/>
  <c r="J312" i="13"/>
  <c r="J322" i="13"/>
  <c r="J329" i="13"/>
  <c r="J325" i="13"/>
  <c r="Q73" i="13" l="1"/>
  <c r="Q86" i="13"/>
  <c r="J29" i="13"/>
  <c r="T53" i="27"/>
  <c r="M23" i="27"/>
  <c r="T23" i="27" s="1"/>
  <c r="M139" i="27"/>
  <c r="M253" i="27"/>
  <c r="M25" i="27"/>
  <c r="M255" i="27"/>
  <c r="M29" i="27"/>
  <c r="T173" i="27"/>
  <c r="M143" i="27"/>
  <c r="T143" i="27" s="1"/>
  <c r="T290" i="27"/>
  <c r="M260" i="27"/>
  <c r="T260" i="27" s="1"/>
  <c r="M17" i="27"/>
  <c r="AA389" i="3"/>
  <c r="M56" i="27"/>
  <c r="M271" i="27"/>
  <c r="M12" i="27"/>
  <c r="M28" i="27"/>
  <c r="M15" i="27"/>
  <c r="M16" i="27"/>
  <c r="K28" i="13"/>
  <c r="M132" i="27"/>
  <c r="M182" i="27"/>
  <c r="M147" i="27"/>
  <c r="M262" i="27"/>
  <c r="M18" i="27"/>
  <c r="M31" i="27"/>
  <c r="M146" i="27"/>
  <c r="M138" i="27"/>
  <c r="M151" i="27"/>
  <c r="M252" i="27"/>
  <c r="M140" i="27"/>
  <c r="M14" i="27"/>
  <c r="M254" i="27"/>
  <c r="M19" i="27"/>
  <c r="M92" i="27"/>
  <c r="Q76" i="13"/>
  <c r="M134" i="27"/>
  <c r="M144" i="27"/>
  <c r="T294" i="27"/>
  <c r="M264" i="27"/>
  <c r="T264" i="27" s="1"/>
  <c r="M20" i="27"/>
  <c r="M135" i="27"/>
  <c r="M145" i="27"/>
  <c r="M265" i="27"/>
  <c r="M21" i="27"/>
  <c r="M268" i="27"/>
  <c r="M137" i="27"/>
  <c r="M27" i="27"/>
  <c r="M13" i="27"/>
  <c r="M24" i="27"/>
  <c r="M141" i="27"/>
  <c r="M148" i="27"/>
  <c r="AA264" i="3"/>
  <c r="M293" i="27"/>
  <c r="M302" i="27" s="1"/>
  <c r="M149" i="27"/>
  <c r="M266" i="27"/>
  <c r="M22" i="27"/>
  <c r="E93" i="27"/>
  <c r="E33" i="27" s="1"/>
  <c r="D93" i="27"/>
  <c r="D33" i="27" s="1"/>
  <c r="K149" i="13"/>
  <c r="R181" i="13"/>
  <c r="D29" i="13"/>
  <c r="E149" i="13"/>
  <c r="E29" i="13"/>
  <c r="R29" i="13" s="1"/>
  <c r="J149" i="13"/>
  <c r="E28" i="13"/>
  <c r="Q88" i="13"/>
  <c r="E147" i="13"/>
  <c r="K147" i="13"/>
  <c r="K150" i="13"/>
  <c r="G91" i="26"/>
  <c r="H92" i="12"/>
  <c r="H93" i="12" s="1"/>
  <c r="G92" i="26"/>
  <c r="M34" i="12"/>
  <c r="L34" i="26"/>
  <c r="L33" i="26"/>
  <c r="L63" i="26"/>
  <c r="L62" i="26"/>
  <c r="N62" i="26" s="1"/>
  <c r="M63" i="12"/>
  <c r="Q63" i="26"/>
  <c r="Q62" i="26"/>
  <c r="S62" i="26" s="1"/>
  <c r="R63" i="12"/>
  <c r="R64" i="12" s="1"/>
  <c r="L91" i="26"/>
  <c r="N91" i="26" s="1"/>
  <c r="L92" i="26"/>
  <c r="M92" i="12"/>
  <c r="M93" i="12" s="1"/>
  <c r="G62" i="26"/>
  <c r="G63" i="26"/>
  <c r="H63" i="12"/>
  <c r="H64" i="12" s="1"/>
  <c r="K93" i="13"/>
  <c r="Q34" i="26"/>
  <c r="Q33" i="26"/>
  <c r="S33" i="26" s="1"/>
  <c r="R77" i="13"/>
  <c r="R75" i="13"/>
  <c r="R73" i="13"/>
  <c r="E150" i="13"/>
  <c r="R81" i="13"/>
  <c r="AA412" i="3"/>
  <c r="Q82" i="13"/>
  <c r="AA325" i="3"/>
  <c r="R329" i="13"/>
  <c r="Q79" i="13"/>
  <c r="Q75" i="13"/>
  <c r="Q74" i="13"/>
  <c r="Q71" i="13"/>
  <c r="J93" i="13"/>
  <c r="Q80" i="13"/>
  <c r="Q90" i="13"/>
  <c r="R79" i="13"/>
  <c r="R85" i="13"/>
  <c r="R78" i="13"/>
  <c r="AA172" i="3"/>
  <c r="R90" i="13"/>
  <c r="Q85" i="13"/>
  <c r="Q78" i="13"/>
  <c r="R84" i="13"/>
  <c r="R74" i="13"/>
  <c r="Q84" i="13"/>
  <c r="Q77" i="13"/>
  <c r="R76" i="13"/>
  <c r="R89" i="13"/>
  <c r="R299" i="13"/>
  <c r="K269" i="13"/>
  <c r="Q299" i="13"/>
  <c r="J269" i="13"/>
  <c r="R88" i="13"/>
  <c r="E92" i="13"/>
  <c r="J92" i="13"/>
  <c r="Q89" i="13"/>
  <c r="Q72" i="13"/>
  <c r="D92" i="13"/>
  <c r="R82" i="13"/>
  <c r="R71" i="13"/>
  <c r="E93" i="13"/>
  <c r="Z293" i="3"/>
  <c r="D329" i="13"/>
  <c r="Q329" i="13" s="1"/>
  <c r="E269" i="13"/>
  <c r="R91" i="13"/>
  <c r="Y53" i="3"/>
  <c r="Q91" i="13"/>
  <c r="Q81" i="13"/>
  <c r="R72" i="13"/>
  <c r="K92" i="13"/>
  <c r="R86" i="13"/>
  <c r="R80" i="13"/>
  <c r="D266" i="13"/>
  <c r="E30" i="13"/>
  <c r="R59" i="13"/>
  <c r="R60" i="13"/>
  <c r="M33" i="12" a="1"/>
  <c r="M33" i="12" s="1"/>
  <c r="H33" i="12"/>
  <c r="Q62" i="12" a="1"/>
  <c r="Q62" i="12" s="1"/>
  <c r="Q33" i="12" a="1"/>
  <c r="Q33" i="12" s="1"/>
  <c r="L91" i="12" a="1"/>
  <c r="L91" i="12" s="1"/>
  <c r="L62" i="12" a="1"/>
  <c r="L62" i="12" s="1"/>
  <c r="R62" i="12" a="1"/>
  <c r="R62" i="12" s="1"/>
  <c r="L33" i="12" a="1"/>
  <c r="L33" i="12" s="1"/>
  <c r="R33" i="12" a="1"/>
  <c r="R33" i="12" s="1"/>
  <c r="R34" i="12" a="1"/>
  <c r="R34" i="12" s="1"/>
  <c r="R35" i="12" s="1"/>
  <c r="G33" i="12"/>
  <c r="M91" i="12" a="1"/>
  <c r="M91" i="12" s="1"/>
  <c r="G91" i="12" a="1"/>
  <c r="G91" i="12" s="1"/>
  <c r="H91" i="12" a="1"/>
  <c r="H91" i="12" s="1"/>
  <c r="H62" i="12" a="1"/>
  <c r="H62" i="12" s="1"/>
  <c r="M62" i="12" a="1"/>
  <c r="M62" i="12" s="1"/>
  <c r="G62" i="12" a="1"/>
  <c r="G62" i="12" s="1"/>
  <c r="R117" i="13"/>
  <c r="R207" i="13"/>
  <c r="R58" i="13"/>
  <c r="R118" i="13"/>
  <c r="Q181" i="13"/>
  <c r="R180" i="13"/>
  <c r="Z401" i="3"/>
  <c r="G121" i="13" s="1"/>
  <c r="D121" i="13"/>
  <c r="Z127" i="3"/>
  <c r="G166" i="13" s="1"/>
  <c r="D166" i="13"/>
  <c r="Z187" i="3"/>
  <c r="J109" i="13"/>
  <c r="Z135" i="3"/>
  <c r="Q59" i="13"/>
  <c r="Z165" i="3"/>
  <c r="G228" i="13" s="1"/>
  <c r="D228" i="13"/>
  <c r="Z336" i="3"/>
  <c r="G205" i="13" s="1"/>
  <c r="D205" i="13"/>
  <c r="Z107" i="3"/>
  <c r="G75" i="13" s="1"/>
  <c r="Z257" i="3"/>
  <c r="G53" i="13" s="1"/>
  <c r="D53" i="13"/>
  <c r="Z271" i="3"/>
  <c r="G177" i="13" s="1"/>
  <c r="D177" i="13"/>
  <c r="Z35" i="3"/>
  <c r="G162" i="13" s="1"/>
  <c r="D162" i="13"/>
  <c r="Z246" i="3"/>
  <c r="G112" i="27" s="1"/>
  <c r="T112" i="27" s="1"/>
  <c r="J112" i="13"/>
  <c r="Q46" i="12" a="1"/>
  <c r="Q46" i="12" s="1"/>
  <c r="E101" i="13"/>
  <c r="Z49" i="3"/>
  <c r="J102" i="13"/>
  <c r="Z302" i="3"/>
  <c r="J118" i="13"/>
  <c r="Q118" i="13" s="1"/>
  <c r="AA387" i="3"/>
  <c r="Z167" i="3"/>
  <c r="J48" i="13"/>
  <c r="Z112" i="3"/>
  <c r="J165" i="13"/>
  <c r="Z261" i="3"/>
  <c r="G113" i="13" s="1"/>
  <c r="D113" i="13"/>
  <c r="Q37" i="12" a="1"/>
  <c r="Q37" i="12" s="1"/>
  <c r="D101" i="13"/>
  <c r="Z39" i="3"/>
  <c r="G192" i="13" s="1"/>
  <c r="D192" i="13"/>
  <c r="Z197" i="3"/>
  <c r="G80" i="13" s="1"/>
  <c r="Z333" i="3"/>
  <c r="G295" i="13" s="1"/>
  <c r="D295" i="13"/>
  <c r="Z136" i="3"/>
  <c r="J196" i="13"/>
  <c r="Z279" i="3"/>
  <c r="Z404" i="3"/>
  <c r="J301" i="13"/>
  <c r="Z361" i="3"/>
  <c r="J180" i="13"/>
  <c r="J150" i="13" s="1"/>
  <c r="Z111" i="3"/>
  <c r="G225" i="13" s="1"/>
  <c r="D225" i="13"/>
  <c r="Z199" i="3"/>
  <c r="G320" i="13" s="1"/>
  <c r="D320" i="13"/>
  <c r="Z274" i="3"/>
  <c r="G207" i="13" s="1"/>
  <c r="D207" i="13"/>
  <c r="Q207" i="13" s="1"/>
  <c r="Z38" i="3"/>
  <c r="G72" i="13" s="1"/>
  <c r="Z196" i="3"/>
  <c r="G50" i="13" s="1"/>
  <c r="Z215" i="3"/>
  <c r="G171" i="13" s="1"/>
  <c r="D171" i="13"/>
  <c r="R209" i="13"/>
  <c r="L75" i="12" a="1"/>
  <c r="L75" i="12" s="1"/>
  <c r="E191" i="13"/>
  <c r="L46" i="12" a="1"/>
  <c r="L46" i="12" s="1"/>
  <c r="Z72" i="3"/>
  <c r="J103" i="13"/>
  <c r="Z323" i="3"/>
  <c r="AA323" i="3" s="1"/>
  <c r="H114" i="27" s="1"/>
  <c r="U114" i="27" s="1"/>
  <c r="J114" i="13"/>
  <c r="Y282" i="3"/>
  <c r="Z71" i="3"/>
  <c r="J313" i="13"/>
  <c r="Z205" i="3"/>
  <c r="J200" i="13"/>
  <c r="Z320" i="3"/>
  <c r="J54" i="13"/>
  <c r="Z240" i="3"/>
  <c r="J172" i="13"/>
  <c r="Z402" i="3"/>
  <c r="G241" i="13" s="1"/>
  <c r="D241" i="13"/>
  <c r="Z106" i="3"/>
  <c r="G45" i="13" s="1"/>
  <c r="D45" i="13"/>
  <c r="Z113" i="3"/>
  <c r="J285" i="13"/>
  <c r="Z239" i="3"/>
  <c r="G232" i="13" s="1"/>
  <c r="D232" i="13"/>
  <c r="L95" i="12" a="1"/>
  <c r="L95" i="12" s="1"/>
  <c r="D311" i="13"/>
  <c r="Z334" i="3"/>
  <c r="G55" i="13" s="1"/>
  <c r="D55" i="13"/>
  <c r="Z355" i="3"/>
  <c r="G180" i="13" s="1"/>
  <c r="D180" i="13"/>
  <c r="Z206" i="3"/>
  <c r="J110" i="13"/>
  <c r="Z407" i="3"/>
  <c r="J211" i="13"/>
  <c r="Z115" i="3"/>
  <c r="Z242" i="3"/>
  <c r="J52" i="13"/>
  <c r="Z183" i="3"/>
  <c r="J169" i="13"/>
  <c r="Z339" i="3"/>
  <c r="G235" i="13" s="1"/>
  <c r="D235" i="13"/>
  <c r="Z110" i="3"/>
  <c r="G105" i="13" s="1"/>
  <c r="D105" i="13"/>
  <c r="Z130" i="3"/>
  <c r="G196" i="13" s="1"/>
  <c r="D196" i="13"/>
  <c r="Z273" i="3"/>
  <c r="Z37" i="3"/>
  <c r="G42" i="13" s="1"/>
  <c r="D42" i="13"/>
  <c r="Z59" i="3"/>
  <c r="G283" i="13" s="1"/>
  <c r="D283" i="13"/>
  <c r="Z363" i="3"/>
  <c r="Z91" i="3"/>
  <c r="J44" i="13"/>
  <c r="Z44" i="3"/>
  <c r="J282" i="13"/>
  <c r="Z182" i="3"/>
  <c r="G229" i="13" s="1"/>
  <c r="D229" i="13"/>
  <c r="Z338" i="3"/>
  <c r="G115" i="13" s="1"/>
  <c r="D115" i="13"/>
  <c r="Z358" i="3"/>
  <c r="D210" i="13"/>
  <c r="Q210" i="13" s="1"/>
  <c r="Z129" i="3"/>
  <c r="G76" i="13" s="1"/>
  <c r="Z272" i="3"/>
  <c r="G57" i="13" s="1"/>
  <c r="D58" i="13"/>
  <c r="D28" i="13" s="1"/>
  <c r="Z288" i="3"/>
  <c r="D179" i="13"/>
  <c r="D149" i="13" s="1"/>
  <c r="Z58" i="3"/>
  <c r="D163" i="13"/>
  <c r="G46" i="12" a="1"/>
  <c r="G46" i="12" s="1"/>
  <c r="E41" i="13"/>
  <c r="R177" i="13"/>
  <c r="Z318" i="3"/>
  <c r="G234" i="13" s="1"/>
  <c r="D234" i="13"/>
  <c r="Z108" i="3"/>
  <c r="G195" i="13" s="1"/>
  <c r="D195" i="13"/>
  <c r="Z258" i="3"/>
  <c r="G83" i="13" s="1"/>
  <c r="T83" i="13" s="1"/>
  <c r="D41" i="13"/>
  <c r="G37" i="12"/>
  <c r="Z36" i="3"/>
  <c r="G282" i="13" s="1"/>
  <c r="D282" i="13"/>
  <c r="Z343" i="3"/>
  <c r="Z68" i="3"/>
  <c r="J43" i="13"/>
  <c r="Z317" i="3"/>
  <c r="G114" i="13" s="1"/>
  <c r="D114" i="13"/>
  <c r="Z408" i="3"/>
  <c r="J331" i="13"/>
  <c r="R120" i="13"/>
  <c r="Z385" i="3"/>
  <c r="J326" i="13"/>
  <c r="Z344" i="3"/>
  <c r="J205" i="13"/>
  <c r="Z46" i="3"/>
  <c r="Z238" i="3"/>
  <c r="G112" i="13" s="1"/>
  <c r="D112" i="13"/>
  <c r="Z400" i="3"/>
  <c r="G331" i="13" s="1"/>
  <c r="D331" i="13"/>
  <c r="L66" i="12" a="1"/>
  <c r="L66" i="12" s="1"/>
  <c r="D191" i="13"/>
  <c r="Z179" i="3"/>
  <c r="G79" i="13" s="1"/>
  <c r="Z312" i="3"/>
  <c r="G294" i="13" s="1"/>
  <c r="D294" i="13"/>
  <c r="Z116" i="3"/>
  <c r="J195" i="13"/>
  <c r="Z243" i="3"/>
  <c r="Z381" i="3"/>
  <c r="J296" i="13"/>
  <c r="Z340" i="3"/>
  <c r="J175" i="13"/>
  <c r="Z88" i="3"/>
  <c r="G224" i="13" s="1"/>
  <c r="D224" i="13"/>
  <c r="Z109" i="3"/>
  <c r="G315" i="13" s="1"/>
  <c r="D315" i="13"/>
  <c r="Z259" i="3"/>
  <c r="G203" i="13" s="1"/>
  <c r="D203" i="13"/>
  <c r="L37" i="12" a="1"/>
  <c r="L37" i="12" s="1"/>
  <c r="Z178" i="3"/>
  <c r="G49" i="13" s="1"/>
  <c r="D49" i="13"/>
  <c r="Z194" i="3"/>
  <c r="G170" i="13" s="1"/>
  <c r="D170" i="13"/>
  <c r="Z95" i="3"/>
  <c r="J104" i="13"/>
  <c r="R179" i="13"/>
  <c r="Z118" i="3"/>
  <c r="J105" i="13"/>
  <c r="Z365" i="3"/>
  <c r="J120" i="13"/>
  <c r="Q120" i="13" s="1"/>
  <c r="Q75" i="12" a="1"/>
  <c r="Q75" i="12" s="1"/>
  <c r="E221" i="13"/>
  <c r="Z137" i="3"/>
  <c r="J106" i="13"/>
  <c r="Z386" i="3"/>
  <c r="J116" i="13"/>
  <c r="Z335" i="3"/>
  <c r="G85" i="13" s="1"/>
  <c r="Z180" i="3"/>
  <c r="G199" i="13" s="1"/>
  <c r="D199" i="13"/>
  <c r="Z225" i="3"/>
  <c r="G111" i="27" s="1"/>
  <c r="T111" i="27" s="1"/>
  <c r="J111" i="13"/>
  <c r="Z384" i="3"/>
  <c r="J206" i="13"/>
  <c r="Z92" i="3"/>
  <c r="Z222" i="3"/>
  <c r="J51" i="13"/>
  <c r="Z87" i="3"/>
  <c r="G104" i="13" s="1"/>
  <c r="D104" i="13"/>
  <c r="R210" i="13"/>
  <c r="G104" i="12" a="1"/>
  <c r="G104" i="12" s="1"/>
  <c r="E281" i="13"/>
  <c r="G95" i="12" a="1"/>
  <c r="G95" i="12" s="1"/>
  <c r="D281" i="13"/>
  <c r="Z281" i="3"/>
  <c r="J117" i="13"/>
  <c r="Q209" i="13"/>
  <c r="Z405" i="3"/>
  <c r="J61" i="13"/>
  <c r="Z151" i="3"/>
  <c r="J47" i="13"/>
  <c r="Z346" i="3"/>
  <c r="J115" i="13"/>
  <c r="Z117" i="3"/>
  <c r="J315" i="13"/>
  <c r="Z244" i="3"/>
  <c r="J202" i="13"/>
  <c r="Z94" i="3"/>
  <c r="J314" i="13"/>
  <c r="Z224" i="3"/>
  <c r="J201" i="13"/>
  <c r="Z342" i="3"/>
  <c r="J55" i="13"/>
  <c r="Z277" i="3"/>
  <c r="J177" i="13"/>
  <c r="J147" i="13" s="1"/>
  <c r="Z181" i="3"/>
  <c r="G109" i="13" s="1"/>
  <c r="D109" i="13"/>
  <c r="Z316" i="3"/>
  <c r="G324" i="13" s="1"/>
  <c r="D324" i="13"/>
  <c r="Z357" i="3"/>
  <c r="G90" i="13" s="1"/>
  <c r="Z128" i="3"/>
  <c r="G46" i="13" s="1"/>
  <c r="D46" i="13"/>
  <c r="Z233" i="3"/>
  <c r="G292" i="13" s="1"/>
  <c r="D292" i="13"/>
  <c r="Z47" i="3"/>
  <c r="J192" i="13"/>
  <c r="Z185" i="3"/>
  <c r="Z241" i="3"/>
  <c r="J292" i="13"/>
  <c r="Z262" i="3"/>
  <c r="G233" i="13" s="1"/>
  <c r="D233" i="13"/>
  <c r="Q66" i="12" a="1"/>
  <c r="Q66" i="12" s="1"/>
  <c r="D221" i="13"/>
  <c r="Z40" i="3"/>
  <c r="G312" i="13" s="1"/>
  <c r="D312" i="13"/>
  <c r="Z198" i="3"/>
  <c r="D200" i="13"/>
  <c r="Z356" i="3"/>
  <c r="G60" i="13" s="1"/>
  <c r="D60" i="13"/>
  <c r="D30" i="13" s="1"/>
  <c r="Z372" i="3"/>
  <c r="D176" i="13"/>
  <c r="Z144" i="3"/>
  <c r="G167" i="13" s="1"/>
  <c r="D167" i="13"/>
  <c r="L104" i="12" a="1"/>
  <c r="L104" i="12" s="1"/>
  <c r="E311" i="13"/>
  <c r="Z409" i="3"/>
  <c r="J121" i="13"/>
  <c r="Y379" i="3"/>
  <c r="Y83" i="3"/>
  <c r="Y166" i="3"/>
  <c r="F168" i="27" s="1"/>
  <c r="Y150" i="3"/>
  <c r="F167" i="27" s="1"/>
  <c r="F137" i="27" s="1"/>
  <c r="Y64" i="3"/>
  <c r="AA348" i="3"/>
  <c r="AA209" i="3"/>
  <c r="AA53" i="3"/>
  <c r="Y300" i="3"/>
  <c r="AA265" i="3"/>
  <c r="Y398" i="3"/>
  <c r="F91" i="13" s="1"/>
  <c r="AA51" i="3"/>
  <c r="Y325" i="3"/>
  <c r="AA227" i="3"/>
  <c r="Y50" i="3"/>
  <c r="I112" i="25"/>
  <c r="T57" i="25"/>
  <c r="G112" i="11"/>
  <c r="F112" i="25"/>
  <c r="F42" i="25" s="1"/>
  <c r="J42" i="25" s="1"/>
  <c r="H95" i="12" a="1"/>
  <c r="H95" i="12" s="1"/>
  <c r="Y304" i="3"/>
  <c r="I113" i="25"/>
  <c r="T58" i="25"/>
  <c r="Z28" i="3"/>
  <c r="G112" i="25"/>
  <c r="O42" i="25" s="1"/>
  <c r="AA411" i="3"/>
  <c r="AA249" i="3"/>
  <c r="AA99" i="3"/>
  <c r="AA75" i="3"/>
  <c r="Z29" i="3"/>
  <c r="M41" i="27" s="1"/>
  <c r="G113" i="25"/>
  <c r="O43" i="25" s="1"/>
  <c r="Y303" i="3"/>
  <c r="H112" i="25"/>
  <c r="J57" i="25"/>
  <c r="H104" i="12" a="1"/>
  <c r="H104" i="12" s="1"/>
  <c r="Z30" i="3"/>
  <c r="G114" i="25"/>
  <c r="O44" i="25" s="1"/>
  <c r="M37" i="12" a="1"/>
  <c r="M37" i="12" s="1"/>
  <c r="F114" i="25"/>
  <c r="F44" i="25" s="1"/>
  <c r="H66" i="12" a="1"/>
  <c r="H66" i="12" s="1"/>
  <c r="F111" i="25"/>
  <c r="F41" i="25" s="1"/>
  <c r="H111" i="25"/>
  <c r="H75" i="12" a="1"/>
  <c r="H75" i="12" s="1"/>
  <c r="J56" i="25"/>
  <c r="AA226" i="3"/>
  <c r="AA74" i="3"/>
  <c r="AA52" i="3"/>
  <c r="AA283" i="3"/>
  <c r="AA140" i="3"/>
  <c r="I111" i="25"/>
  <c r="T56" i="25"/>
  <c r="Y153" i="3"/>
  <c r="F107" i="27" s="1"/>
  <c r="S107" i="27" s="1"/>
  <c r="G113" i="11"/>
  <c r="F113" i="25"/>
  <c r="F43" i="25" s="1"/>
  <c r="H37" i="12"/>
  <c r="M46" i="12" a="1"/>
  <c r="M46" i="12" s="1"/>
  <c r="H114" i="25"/>
  <c r="J59" i="25"/>
  <c r="Z27" i="3"/>
  <c r="M161" i="27" s="1"/>
  <c r="G111" i="25"/>
  <c r="O41" i="25" s="1"/>
  <c r="I114" i="25"/>
  <c r="T59" i="25"/>
  <c r="H113" i="25"/>
  <c r="H46" i="12"/>
  <c r="J58" i="25"/>
  <c r="R37" i="12" a="1"/>
  <c r="R37" i="12" s="1"/>
  <c r="F117" i="25"/>
  <c r="F47" i="25" s="1"/>
  <c r="M75" i="12" a="1"/>
  <c r="M75" i="12" s="1"/>
  <c r="H115" i="25"/>
  <c r="J60" i="25"/>
  <c r="M66" i="12" a="1"/>
  <c r="M66" i="12" s="1"/>
  <c r="F115" i="25"/>
  <c r="F45" i="25" s="1"/>
  <c r="M95" i="12" a="1"/>
  <c r="M95" i="12" s="1"/>
  <c r="F116" i="25"/>
  <c r="F46" i="25" s="1"/>
  <c r="H116" i="25"/>
  <c r="M104" i="12" a="1"/>
  <c r="M104" i="12" s="1"/>
  <c r="J61" i="25"/>
  <c r="H117" i="25"/>
  <c r="R46" i="12" a="1"/>
  <c r="R46" i="12" s="1"/>
  <c r="J62" i="25"/>
  <c r="I112" i="11"/>
  <c r="T57" i="11"/>
  <c r="Y13" i="3"/>
  <c r="T58" i="11"/>
  <c r="I113" i="11"/>
  <c r="Z26" i="3"/>
  <c r="G101" i="27" s="1"/>
  <c r="G117" i="11"/>
  <c r="O47" i="11" s="1"/>
  <c r="I114" i="11"/>
  <c r="T59" i="11"/>
  <c r="Z14" i="3"/>
  <c r="L113" i="11" s="1"/>
  <c r="Z23" i="3"/>
  <c r="G71" i="27" s="1"/>
  <c r="G93" i="27" s="1"/>
  <c r="G114" i="11"/>
  <c r="Z18" i="3"/>
  <c r="L117" i="11" s="1"/>
  <c r="Z16" i="3"/>
  <c r="L115" i="11" s="1"/>
  <c r="I111" i="11"/>
  <c r="T56" i="11"/>
  <c r="Z20" i="3"/>
  <c r="G161" i="27" s="1"/>
  <c r="G111" i="11"/>
  <c r="I115" i="11"/>
  <c r="T60" i="11"/>
  <c r="AA156" i="3"/>
  <c r="Z17" i="3"/>
  <c r="Y170" i="3"/>
  <c r="F108" i="27" s="1"/>
  <c r="S108" i="27" s="1"/>
  <c r="AA120" i="3"/>
  <c r="AA98" i="3"/>
  <c r="AA326" i="3"/>
  <c r="Z15" i="3"/>
  <c r="Z19" i="3"/>
  <c r="L118" i="11" s="1"/>
  <c r="F48" i="11"/>
  <c r="Z24" i="3"/>
  <c r="G115" i="11"/>
  <c r="T61" i="11"/>
  <c r="I116" i="11"/>
  <c r="AA121" i="3"/>
  <c r="T62" i="11"/>
  <c r="I117" i="11"/>
  <c r="Z25" i="3"/>
  <c r="G116" i="11"/>
  <c r="AA73" i="3"/>
  <c r="AA248" i="3"/>
  <c r="AA139" i="3"/>
  <c r="AA367" i="3"/>
  <c r="O48" i="11"/>
  <c r="Y406" i="3"/>
  <c r="Y45" i="3"/>
  <c r="F42" i="27" s="1"/>
  <c r="Y234" i="3"/>
  <c r="Y332" i="3"/>
  <c r="AA119" i="3"/>
  <c r="AA263" i="3"/>
  <c r="AA154" i="3"/>
  <c r="AA303" i="3"/>
  <c r="AA96" i="3"/>
  <c r="AA247" i="3"/>
  <c r="AA410" i="3"/>
  <c r="Y93" i="3"/>
  <c r="F194" i="27" s="1"/>
  <c r="S194" i="27" s="1"/>
  <c r="Y152" i="3"/>
  <c r="Y403" i="3"/>
  <c r="F181" i="27" s="1"/>
  <c r="Y220" i="3"/>
  <c r="Y65" i="3"/>
  <c r="Y294" i="3"/>
  <c r="Y399" i="3"/>
  <c r="Y236" i="3"/>
  <c r="Y84" i="3"/>
  <c r="F74" i="13" s="1"/>
  <c r="Y255" i="3"/>
  <c r="Y104" i="3"/>
  <c r="AA188" i="3"/>
  <c r="AA347" i="3"/>
  <c r="Y366" i="3"/>
  <c r="Y73" i="3"/>
  <c r="AA208" i="3"/>
  <c r="AA189" i="3"/>
  <c r="AA349" i="3"/>
  <c r="AA122" i="3"/>
  <c r="Y120" i="3"/>
  <c r="AA304" i="3"/>
  <c r="Y345" i="3"/>
  <c r="F325" i="27" s="1"/>
  <c r="S325" i="27" s="1"/>
  <c r="Y246" i="3"/>
  <c r="F112" i="27" s="1"/>
  <c r="S112" i="27" s="1"/>
  <c r="Y30" i="3"/>
  <c r="L71" i="27" s="1"/>
  <c r="Y291" i="3"/>
  <c r="Y373" i="3"/>
  <c r="Y275" i="3"/>
  <c r="Y337" i="3"/>
  <c r="Y322" i="3"/>
  <c r="F204" i="27" s="1"/>
  <c r="S204" i="27" s="1"/>
  <c r="AA97" i="3"/>
  <c r="AA388" i="3"/>
  <c r="AA155" i="3"/>
  <c r="AA305" i="3"/>
  <c r="AA76" i="3"/>
  <c r="Y299" i="3"/>
  <c r="Y297" i="3"/>
  <c r="Y61" i="3"/>
  <c r="F73" i="13" s="1"/>
  <c r="Y290" i="3"/>
  <c r="Y81" i="3"/>
  <c r="Y360" i="3"/>
  <c r="Y41" i="3"/>
  <c r="Y375" i="3"/>
  <c r="F86" i="13" s="1"/>
  <c r="Y60" i="3"/>
  <c r="Z153" i="3"/>
  <c r="G107" i="27" s="1"/>
  <c r="T107" i="27" s="1"/>
  <c r="Y301" i="3"/>
  <c r="Y89" i="3"/>
  <c r="F164" i="27" s="1"/>
  <c r="Y164" i="3"/>
  <c r="Y195" i="3"/>
  <c r="Z170" i="3"/>
  <c r="G108" i="27" s="1"/>
  <c r="T108" i="27" s="1"/>
  <c r="AA138" i="3"/>
  <c r="AA282" i="3"/>
  <c r="Y66" i="3"/>
  <c r="F163" i="27" s="1"/>
  <c r="Y148" i="3"/>
  <c r="Y85" i="3"/>
  <c r="Y162" i="3"/>
  <c r="F78" i="13" s="1"/>
  <c r="Y105" i="3"/>
  <c r="Y383" i="3"/>
  <c r="Y22" i="3"/>
  <c r="Y276" i="3"/>
  <c r="Y132" i="3"/>
  <c r="Y359" i="3"/>
  <c r="F119" i="13" s="1"/>
  <c r="Y63" i="3"/>
  <c r="Y292" i="3"/>
  <c r="F208" i="13" s="1"/>
  <c r="AA171" i="3"/>
  <c r="AA324" i="3"/>
  <c r="Y168" i="3"/>
  <c r="Y21" i="3"/>
  <c r="Y72" i="3"/>
  <c r="F103" i="27" s="1"/>
  <c r="S103" i="27" s="1"/>
  <c r="Y409" i="3"/>
  <c r="F121" i="27" s="1"/>
  <c r="S121" i="27" s="1"/>
  <c r="AA50" i="3"/>
  <c r="AA207" i="3"/>
  <c r="AA366" i="3"/>
  <c r="Y75" i="3"/>
  <c r="Y97" i="3"/>
  <c r="Y155" i="3"/>
  <c r="Y209" i="3"/>
  <c r="Y233" i="3"/>
  <c r="Y139" i="3"/>
  <c r="Y129" i="3"/>
  <c r="F76" i="13" s="1"/>
  <c r="Y356" i="3"/>
  <c r="Y348" i="3"/>
  <c r="Y196" i="3"/>
  <c r="Y117" i="3"/>
  <c r="F315" i="27" s="1"/>
  <c r="S315" i="27" s="1"/>
  <c r="Y74" i="3"/>
  <c r="Y288" i="3"/>
  <c r="F178" i="13" s="1"/>
  <c r="Y112" i="3"/>
  <c r="F165" i="27" s="1"/>
  <c r="Y185" i="3"/>
  <c r="Y339" i="3"/>
  <c r="Y404" i="3"/>
  <c r="F301" i="27" s="1"/>
  <c r="Y181" i="3"/>
  <c r="Y44" i="3"/>
  <c r="F282" i="27" s="1"/>
  <c r="Z290" i="3"/>
  <c r="Y18" i="3"/>
  <c r="Y262" i="3"/>
  <c r="Z81" i="3"/>
  <c r="Y226" i="3"/>
  <c r="Y385" i="3"/>
  <c r="F326" i="27" s="1"/>
  <c r="S326" i="27" s="1"/>
  <c r="Y389" i="3"/>
  <c r="Y94" i="3"/>
  <c r="F314" i="27" s="1"/>
  <c r="S314" i="27" s="1"/>
  <c r="Z383" i="3"/>
  <c r="Y305" i="3"/>
  <c r="Y244" i="3"/>
  <c r="F202" i="27" s="1"/>
  <c r="S202" i="27" s="1"/>
  <c r="Y130" i="3"/>
  <c r="Y302" i="3"/>
  <c r="F118" i="27" s="1"/>
  <c r="S118" i="27" s="1"/>
  <c r="Y111" i="3"/>
  <c r="Y144" i="3"/>
  <c r="Z297" i="3"/>
  <c r="Y227" i="3"/>
  <c r="Y135" i="3"/>
  <c r="Y357" i="3"/>
  <c r="F90" i="13" s="1"/>
  <c r="Y137" i="3"/>
  <c r="F106" i="27" s="1"/>
  <c r="S106" i="27" s="1"/>
  <c r="Y338" i="3"/>
  <c r="Z41" i="3"/>
  <c r="Z276" i="3"/>
  <c r="Y410" i="3"/>
  <c r="Y115" i="3"/>
  <c r="Y197" i="3"/>
  <c r="F80" i="13" s="1"/>
  <c r="Y136" i="3"/>
  <c r="F196" i="27" s="1"/>
  <c r="S196" i="27" s="1"/>
  <c r="Y40" i="3"/>
  <c r="Z291" i="3"/>
  <c r="G89" i="13" s="1"/>
  <c r="Z359" i="3"/>
  <c r="G119" i="13" s="1"/>
  <c r="Y387" i="3"/>
  <c r="Y277" i="3"/>
  <c r="F177" i="27" s="1"/>
  <c r="Y37" i="3"/>
  <c r="Y363" i="3"/>
  <c r="Y274" i="3"/>
  <c r="Z60" i="3"/>
  <c r="Z292" i="3"/>
  <c r="G208" i="13" s="1"/>
  <c r="Z278" i="3"/>
  <c r="Y278" i="3"/>
  <c r="Z296" i="3"/>
  <c r="Y296" i="3"/>
  <c r="Y133" i="3"/>
  <c r="F166" i="27" s="1"/>
  <c r="Z133" i="3"/>
  <c r="G166" i="27" s="1"/>
  <c r="Y200" i="3"/>
  <c r="Z200" i="3"/>
  <c r="Z147" i="3"/>
  <c r="Y147" i="3"/>
  <c r="Y217" i="3"/>
  <c r="F81" i="13" s="1"/>
  <c r="Z217" i="3"/>
  <c r="G81" i="13" s="1"/>
  <c r="Z256" i="3"/>
  <c r="Y256" i="3"/>
  <c r="Y388" i="3"/>
  <c r="Y323" i="3"/>
  <c r="F114" i="27" s="1"/>
  <c r="S114" i="27" s="1"/>
  <c r="Y169" i="3"/>
  <c r="F198" i="27" s="1"/>
  <c r="S198" i="27" s="1"/>
  <c r="Z169" i="3"/>
  <c r="G198" i="27" s="1"/>
  <c r="T198" i="27" s="1"/>
  <c r="Z204" i="3"/>
  <c r="Y204" i="3"/>
  <c r="Y67" i="3"/>
  <c r="F283" i="27" s="1"/>
  <c r="Z67" i="3"/>
  <c r="G283" i="27" s="1"/>
  <c r="T283" i="27" s="1"/>
  <c r="Z146" i="3"/>
  <c r="G77" i="13" s="1"/>
  <c r="Y146" i="3"/>
  <c r="F77" i="13" s="1"/>
  <c r="Z374" i="3"/>
  <c r="Y374" i="3"/>
  <c r="Z216" i="3"/>
  <c r="Y216" i="3"/>
  <c r="Z311" i="3"/>
  <c r="Y311" i="3"/>
  <c r="Z160" i="3"/>
  <c r="Y160" i="3"/>
  <c r="Y156" i="3"/>
  <c r="Y367" i="3"/>
  <c r="Y189" i="3"/>
  <c r="Y263" i="3"/>
  <c r="Y96" i="3"/>
  <c r="Y71" i="3"/>
  <c r="F313" i="27" s="1"/>
  <c r="S313" i="27" s="1"/>
  <c r="Y224" i="3"/>
  <c r="F201" i="27" s="1"/>
  <c r="S201" i="27" s="1"/>
  <c r="Y342" i="3"/>
  <c r="F55" i="27" s="1"/>
  <c r="Y183" i="3"/>
  <c r="F169" i="27" s="1"/>
  <c r="Y261" i="3"/>
  <c r="Y316" i="3"/>
  <c r="Y273" i="3"/>
  <c r="Y333" i="3"/>
  <c r="Y52" i="3"/>
  <c r="Y386" i="3"/>
  <c r="F116" i="27" s="1"/>
  <c r="S116" i="27" s="1"/>
  <c r="Y49" i="3"/>
  <c r="F102" i="27" s="1"/>
  <c r="Y279" i="3"/>
  <c r="Y241" i="3"/>
  <c r="F292" i="27" s="1"/>
  <c r="Y182" i="3"/>
  <c r="Y199" i="3"/>
  <c r="Y198" i="3"/>
  <c r="Y272" i="3"/>
  <c r="F57" i="13" s="1"/>
  <c r="Y215" i="3"/>
  <c r="Z322" i="3"/>
  <c r="G204" i="27" s="1"/>
  <c r="T204" i="27" s="1"/>
  <c r="Z166" i="3"/>
  <c r="G168" i="27" s="1"/>
  <c r="Z164" i="3"/>
  <c r="Z398" i="3"/>
  <c r="G91" i="13" s="1"/>
  <c r="Z373" i="3"/>
  <c r="Z299" i="3"/>
  <c r="Z21" i="3"/>
  <c r="G281" i="27" s="1"/>
  <c r="Z63" i="3"/>
  <c r="Z332" i="3"/>
  <c r="Y140" i="3"/>
  <c r="Y349" i="3"/>
  <c r="Y172" i="3"/>
  <c r="Y247" i="3"/>
  <c r="Y25" i="3"/>
  <c r="Y205" i="3"/>
  <c r="F200" i="27" s="1"/>
  <c r="S200" i="27" s="1"/>
  <c r="Y320" i="3"/>
  <c r="F54" i="27" s="1"/>
  <c r="Y238" i="3"/>
  <c r="Y293" i="3"/>
  <c r="F328" i="13" s="1"/>
  <c r="Y258" i="3"/>
  <c r="F83" i="13" s="1"/>
  <c r="S83" i="13" s="1"/>
  <c r="Y312" i="3"/>
  <c r="Y29" i="3"/>
  <c r="Y365" i="3"/>
  <c r="Y26" i="3"/>
  <c r="K62" i="25" s="1"/>
  <c r="Y243" i="3"/>
  <c r="Y113" i="3"/>
  <c r="F285" i="27" s="1"/>
  <c r="Y165" i="3"/>
  <c r="Y109" i="3"/>
  <c r="Y180" i="3"/>
  <c r="Y257" i="3"/>
  <c r="Y194" i="3"/>
  <c r="Z300" i="3"/>
  <c r="Z150" i="3"/>
  <c r="G167" i="27" s="1"/>
  <c r="G137" i="27" s="1"/>
  <c r="Z148" i="3"/>
  <c r="Z375" i="3"/>
  <c r="G86" i="13" s="1"/>
  <c r="Z403" i="3"/>
  <c r="G181" i="27" s="1"/>
  <c r="Z399" i="3"/>
  <c r="Z255" i="3"/>
  <c r="Y122" i="3"/>
  <c r="Y326" i="3"/>
  <c r="Y407" i="3"/>
  <c r="F211" i="27" s="1"/>
  <c r="S211" i="27" s="1"/>
  <c r="Y242" i="3"/>
  <c r="F52" i="27" s="1"/>
  <c r="Z345" i="3"/>
  <c r="G325" i="27" s="1"/>
  <c r="T325" i="27" s="1"/>
  <c r="Z89" i="3"/>
  <c r="G164" i="27" s="1"/>
  <c r="Z64" i="3"/>
  <c r="Z195" i="3"/>
  <c r="Z168" i="3"/>
  <c r="Z104" i="3"/>
  <c r="Z245" i="3"/>
  <c r="G322" i="27" s="1"/>
  <c r="T322" i="27" s="1"/>
  <c r="Y245" i="3"/>
  <c r="F322" i="27" s="1"/>
  <c r="S322" i="27" s="1"/>
  <c r="Z364" i="3"/>
  <c r="G209" i="27" s="1"/>
  <c r="T209" i="27" s="1"/>
  <c r="Y364" i="3"/>
  <c r="F209" i="27" s="1"/>
  <c r="S209" i="27" s="1"/>
  <c r="Z186" i="3"/>
  <c r="G199" i="27" s="1"/>
  <c r="T199" i="27" s="1"/>
  <c r="Y186" i="3"/>
  <c r="F199" i="27" s="1"/>
  <c r="S199" i="27" s="1"/>
  <c r="Z382" i="3"/>
  <c r="G56" i="27" s="1"/>
  <c r="Y382" i="3"/>
  <c r="F56" i="27" s="1"/>
  <c r="Z203" i="3"/>
  <c r="G50" i="27" s="1"/>
  <c r="T50" i="27" s="1"/>
  <c r="Y203" i="3"/>
  <c r="F50" i="27" s="1"/>
  <c r="Z221" i="3"/>
  <c r="G171" i="27" s="1"/>
  <c r="T171" i="27" s="1"/>
  <c r="Y221" i="3"/>
  <c r="F171" i="27" s="1"/>
  <c r="Z295" i="3"/>
  <c r="G238" i="13" s="1"/>
  <c r="T238" i="13" s="1"/>
  <c r="Y295" i="3"/>
  <c r="F238" i="13" s="1"/>
  <c r="S238" i="13" s="1"/>
  <c r="Z377" i="3"/>
  <c r="Y377" i="3"/>
  <c r="Z314" i="3"/>
  <c r="G84" i="13" s="1"/>
  <c r="Y314" i="3"/>
  <c r="F84" i="13" s="1"/>
  <c r="Z396" i="3"/>
  <c r="Y396" i="3"/>
  <c r="Y98" i="3"/>
  <c r="Y28" i="3"/>
  <c r="Y95" i="3"/>
  <c r="F104" i="27" s="1"/>
  <c r="S104" i="27" s="1"/>
  <c r="Z321" i="3"/>
  <c r="Y321" i="3"/>
  <c r="Z341" i="3"/>
  <c r="G295" i="27" s="1"/>
  <c r="Y341" i="3"/>
  <c r="F295" i="27" s="1"/>
  <c r="Z313" i="3"/>
  <c r="Y313" i="3"/>
  <c r="Z161" i="3"/>
  <c r="Y161" i="3"/>
  <c r="Y99" i="3"/>
  <c r="Y207" i="3"/>
  <c r="Y384" i="3"/>
  <c r="F206" i="27" s="1"/>
  <c r="S206" i="27" s="1"/>
  <c r="Y222" i="3"/>
  <c r="F51" i="27" s="1"/>
  <c r="Y108" i="3"/>
  <c r="Y179" i="3"/>
  <c r="F79" i="13" s="1"/>
  <c r="Y281" i="3"/>
  <c r="F117" i="27" s="1"/>
  <c r="S117" i="27" s="1"/>
  <c r="Y116" i="3"/>
  <c r="F195" i="27" s="1"/>
  <c r="S195" i="27" s="1"/>
  <c r="Y88" i="3"/>
  <c r="Y17" i="3"/>
  <c r="Y107" i="3"/>
  <c r="F75" i="13" s="1"/>
  <c r="Y178" i="3"/>
  <c r="Y127" i="3"/>
  <c r="Z301" i="3"/>
  <c r="Z66" i="3"/>
  <c r="G163" i="27" s="1"/>
  <c r="Z105" i="3"/>
  <c r="Z152" i="3"/>
  <c r="Z220" i="3"/>
  <c r="Z236" i="3"/>
  <c r="Z362" i="3"/>
  <c r="G59" i="27" s="1"/>
  <c r="Y362" i="3"/>
  <c r="F59" i="27" s="1"/>
  <c r="Z184" i="3"/>
  <c r="G49" i="27" s="1"/>
  <c r="Y184" i="3"/>
  <c r="F49" i="27" s="1"/>
  <c r="Z202" i="3"/>
  <c r="G170" i="27" s="1"/>
  <c r="T170" i="27" s="1"/>
  <c r="Y202" i="3"/>
  <c r="F170" i="27" s="1"/>
  <c r="Y43" i="3"/>
  <c r="F162" i="27" s="1"/>
  <c r="Z43" i="3"/>
  <c r="G162" i="27" s="1"/>
  <c r="T162" i="27" s="1"/>
  <c r="Z131" i="3"/>
  <c r="Y131" i="3"/>
  <c r="Y62" i="3"/>
  <c r="Z62" i="3"/>
  <c r="Z145" i="3"/>
  <c r="Y145" i="3"/>
  <c r="Y82" i="3"/>
  <c r="Z82" i="3"/>
  <c r="Y264" i="3"/>
  <c r="Y225" i="3"/>
  <c r="F111" i="27" s="1"/>
  <c r="S111" i="27" s="1"/>
  <c r="Z70" i="3"/>
  <c r="G193" i="27" s="1"/>
  <c r="T193" i="27" s="1"/>
  <c r="Y70" i="3"/>
  <c r="F193" i="27" s="1"/>
  <c r="S193" i="27" s="1"/>
  <c r="Y114" i="3"/>
  <c r="F45" i="27" s="1"/>
  <c r="Z114" i="3"/>
  <c r="G45" i="27" s="1"/>
  <c r="T45" i="27" s="1"/>
  <c r="Z380" i="3"/>
  <c r="G176" i="27" s="1"/>
  <c r="Y380" i="3"/>
  <c r="F176" i="27" s="1"/>
  <c r="Y201" i="3"/>
  <c r="Z201" i="3"/>
  <c r="Z42" i="3"/>
  <c r="Y42" i="3"/>
  <c r="Y237" i="3"/>
  <c r="Z237" i="3"/>
  <c r="Z376" i="3"/>
  <c r="Y376" i="3"/>
  <c r="Y218" i="3"/>
  <c r="Z218" i="3"/>
  <c r="Z395" i="3"/>
  <c r="Y395" i="3"/>
  <c r="Z232" i="3"/>
  <c r="Y232" i="3"/>
  <c r="Y76" i="3"/>
  <c r="Y283" i="3"/>
  <c r="Y171" i="3"/>
  <c r="Y344" i="3"/>
  <c r="F205" i="27" s="1"/>
  <c r="S205" i="27" s="1"/>
  <c r="Y92" i="3"/>
  <c r="Y167" i="3"/>
  <c r="F48" i="27" s="1"/>
  <c r="Y20" i="3"/>
  <c r="Y110" i="3"/>
  <c r="Y39" i="3"/>
  <c r="Y128" i="3"/>
  <c r="Y59" i="3"/>
  <c r="Y248" i="3"/>
  <c r="Y206" i="3"/>
  <c r="F110" i="27" s="1"/>
  <c r="S110" i="27" s="1"/>
  <c r="Y47" i="3"/>
  <c r="F192" i="27" s="1"/>
  <c r="Y91" i="3"/>
  <c r="F44" i="27" s="1"/>
  <c r="Y361" i="3"/>
  <c r="F179" i="27" s="1"/>
  <c r="Y19" i="3"/>
  <c r="Y358" i="3"/>
  <c r="Y38" i="3"/>
  <c r="F72" i="13" s="1"/>
  <c r="Y372" i="3"/>
  <c r="Y58" i="3"/>
  <c r="Z379" i="3"/>
  <c r="Z337" i="3"/>
  <c r="Z13" i="3"/>
  <c r="L112" i="11" s="1"/>
  <c r="Z45" i="3"/>
  <c r="G42" i="27" s="1"/>
  <c r="Z132" i="3"/>
  <c r="Z84" i="3"/>
  <c r="G74" i="13" s="1"/>
  <c r="Y265" i="3"/>
  <c r="Y324" i="3"/>
  <c r="Y154" i="3"/>
  <c r="Y46" i="3"/>
  <c r="Y151" i="3"/>
  <c r="F47" i="27" s="1"/>
  <c r="Y402" i="3"/>
  <c r="F241" i="13" s="1"/>
  <c r="Y87" i="3"/>
  <c r="Y16" i="3"/>
  <c r="Y106" i="3"/>
  <c r="Y36" i="3"/>
  <c r="Y208" i="3"/>
  <c r="Y187" i="3"/>
  <c r="F109" i="27" s="1"/>
  <c r="S109" i="27" s="1"/>
  <c r="Y24" i="3"/>
  <c r="Y68" i="3"/>
  <c r="F43" i="27" s="1"/>
  <c r="Y340" i="3"/>
  <c r="F175" i="27" s="1"/>
  <c r="Y401" i="3"/>
  <c r="Y336" i="3"/>
  <c r="Y15" i="3"/>
  <c r="Y355" i="3"/>
  <c r="Y35" i="3"/>
  <c r="Z360" i="3"/>
  <c r="Z162" i="3"/>
  <c r="G78" i="13" s="1"/>
  <c r="Z93" i="3"/>
  <c r="G194" i="27" s="1"/>
  <c r="T194" i="27" s="1"/>
  <c r="Z22" i="3"/>
  <c r="G41" i="27" s="1"/>
  <c r="Z65" i="3"/>
  <c r="Z61" i="3"/>
  <c r="G73" i="13" s="1"/>
  <c r="Y138" i="3"/>
  <c r="Y23" i="3"/>
  <c r="F71" i="27" s="1"/>
  <c r="F93" i="27" s="1"/>
  <c r="Z275" i="3"/>
  <c r="Z83" i="3"/>
  <c r="Z406" i="3"/>
  <c r="Y412" i="3"/>
  <c r="Y249" i="3"/>
  <c r="Y347" i="3"/>
  <c r="Y188" i="3"/>
  <c r="Y27" i="3"/>
  <c r="Z48" i="3"/>
  <c r="G312" i="27" s="1"/>
  <c r="Y48" i="3"/>
  <c r="F312" i="27" s="1"/>
  <c r="Z280" i="3"/>
  <c r="G207" i="27" s="1"/>
  <c r="T207" i="27" s="1"/>
  <c r="Y280" i="3"/>
  <c r="F207" i="27" s="1"/>
  <c r="S207" i="27" s="1"/>
  <c r="Z69" i="3"/>
  <c r="Y69" i="3"/>
  <c r="Z298" i="3"/>
  <c r="G58" i="27" s="1"/>
  <c r="T58" i="27" s="1"/>
  <c r="Y298" i="3"/>
  <c r="F58" i="27" s="1"/>
  <c r="Z134" i="3"/>
  <c r="G46" i="27" s="1"/>
  <c r="Y134" i="3"/>
  <c r="F46" i="27" s="1"/>
  <c r="Y219" i="3"/>
  <c r="Z219" i="3"/>
  <c r="Z260" i="3"/>
  <c r="Y260" i="3"/>
  <c r="Y235" i="3"/>
  <c r="F82" i="13" s="1"/>
  <c r="Z235" i="3"/>
  <c r="G82" i="13" s="1"/>
  <c r="Z289" i="3"/>
  <c r="G298" i="13" s="1"/>
  <c r="Y289" i="3"/>
  <c r="F298" i="13" s="1"/>
  <c r="Y411" i="3"/>
  <c r="Y346" i="3"/>
  <c r="F115" i="27" s="1"/>
  <c r="S115" i="27" s="1"/>
  <c r="Y408" i="3"/>
  <c r="F331" i="27" s="1"/>
  <c r="Z223" i="3"/>
  <c r="Y223" i="3"/>
  <c r="Y90" i="3"/>
  <c r="F284" i="27" s="1"/>
  <c r="Z90" i="3"/>
  <c r="G284" i="27" s="1"/>
  <c r="T284" i="27" s="1"/>
  <c r="Z319" i="3"/>
  <c r="G174" i="27" s="1"/>
  <c r="T174" i="27" s="1"/>
  <c r="Y319" i="3"/>
  <c r="F174" i="27" s="1"/>
  <c r="Y149" i="3"/>
  <c r="Z149" i="3"/>
  <c r="Z378" i="3"/>
  <c r="Y378" i="3"/>
  <c r="Y86" i="3"/>
  <c r="Z86" i="3"/>
  <c r="Z315" i="3"/>
  <c r="Y315" i="3"/>
  <c r="Y163" i="3"/>
  <c r="Z163" i="3"/>
  <c r="Z397" i="3"/>
  <c r="Y397" i="3"/>
  <c r="Z177" i="3"/>
  <c r="Y177" i="3"/>
  <c r="Y119" i="3"/>
  <c r="Y405" i="3"/>
  <c r="F61" i="27" s="1"/>
  <c r="Y240" i="3"/>
  <c r="F172" i="27" s="1"/>
  <c r="Y318" i="3"/>
  <c r="Y400" i="3"/>
  <c r="Y335" i="3"/>
  <c r="F85" i="13" s="1"/>
  <c r="Y14" i="3"/>
  <c r="Y121" i="3"/>
  <c r="Y51" i="3"/>
  <c r="Y118" i="3"/>
  <c r="F105" i="27" s="1"/>
  <c r="S105" i="27" s="1"/>
  <c r="Y343" i="3"/>
  <c r="Y381" i="3"/>
  <c r="F296" i="27" s="1"/>
  <c r="Y239" i="3"/>
  <c r="Y317" i="3"/>
  <c r="Y259" i="3"/>
  <c r="Y334" i="3"/>
  <c r="Y271" i="3"/>
  <c r="Z85" i="3"/>
  <c r="Z294" i="3"/>
  <c r="Z234" i="3"/>
  <c r="F145" i="27" l="1"/>
  <c r="T137" i="27"/>
  <c r="Q29" i="13"/>
  <c r="AA106" i="3"/>
  <c r="AC106" i="3" s="1"/>
  <c r="G138" i="27"/>
  <c r="T138" i="27" s="1"/>
  <c r="F71" i="13"/>
  <c r="F93" i="13" s="1"/>
  <c r="J114" i="11"/>
  <c r="K59" i="11"/>
  <c r="J113" i="11"/>
  <c r="K58" i="11"/>
  <c r="K62" i="11"/>
  <c r="J117" i="11"/>
  <c r="G71" i="13"/>
  <c r="G93" i="13" s="1"/>
  <c r="L114" i="11"/>
  <c r="J112" i="11"/>
  <c r="K57" i="11"/>
  <c r="J116" i="11"/>
  <c r="K61" i="11"/>
  <c r="J115" i="11"/>
  <c r="K60" i="11"/>
  <c r="J118" i="11"/>
  <c r="K63" i="11"/>
  <c r="G311" i="13"/>
  <c r="L116" i="11"/>
  <c r="F139" i="27"/>
  <c r="F149" i="27"/>
  <c r="G134" i="27"/>
  <c r="T134" i="27" s="1"/>
  <c r="T164" i="27"/>
  <c r="F146" i="27"/>
  <c r="G265" i="27"/>
  <c r="T265" i="27" s="1"/>
  <c r="F255" i="27"/>
  <c r="F133" i="27"/>
  <c r="F138" i="27"/>
  <c r="F142" i="27"/>
  <c r="F265" i="27"/>
  <c r="F268" i="13"/>
  <c r="F253" i="27"/>
  <c r="F147" i="27"/>
  <c r="F151" i="27"/>
  <c r="F141" i="27"/>
  <c r="L90" i="13"/>
  <c r="S90" i="13" s="1"/>
  <c r="F89" i="27"/>
  <c r="S89" i="27" s="1"/>
  <c r="AB305" i="3"/>
  <c r="L58" i="27"/>
  <c r="AC324" i="3"/>
  <c r="N174" i="27"/>
  <c r="M103" i="13"/>
  <c r="G103" i="27"/>
  <c r="T103" i="27" s="1"/>
  <c r="AB411" i="3"/>
  <c r="L301" i="27"/>
  <c r="F88" i="13"/>
  <c r="F87" i="13"/>
  <c r="M86" i="13"/>
  <c r="T86" i="13" s="1"/>
  <c r="G86" i="27"/>
  <c r="T86" i="27" s="1"/>
  <c r="AB209" i="3"/>
  <c r="L50" i="27"/>
  <c r="AC171" i="3"/>
  <c r="N168" i="27"/>
  <c r="M172" i="13"/>
  <c r="G172" i="27"/>
  <c r="M152" i="27"/>
  <c r="M84" i="13"/>
  <c r="T84" i="13" s="1"/>
  <c r="G84" i="27"/>
  <c r="T84" i="27" s="1"/>
  <c r="T166" i="27"/>
  <c r="F136" i="27"/>
  <c r="M47" i="13"/>
  <c r="G47" i="27"/>
  <c r="M116" i="13"/>
  <c r="G116" i="27"/>
  <c r="T116" i="27" s="1"/>
  <c r="AB154" i="3"/>
  <c r="L167" i="27"/>
  <c r="T163" i="27"/>
  <c r="G133" i="27"/>
  <c r="T133" i="27" s="1"/>
  <c r="H105" i="26" a="1"/>
  <c r="H105" i="26" s="1"/>
  <c r="C105" i="26" s="1" a="1"/>
  <c r="C105" i="26" s="1"/>
  <c r="L281" i="27"/>
  <c r="AC52" i="3"/>
  <c r="N42" i="27"/>
  <c r="M75" i="13"/>
  <c r="T75" i="13" s="1"/>
  <c r="G75" i="27"/>
  <c r="T75" i="27" s="1"/>
  <c r="AB51" i="3"/>
  <c r="L282" i="27"/>
  <c r="AB324" i="3"/>
  <c r="L174" i="27"/>
  <c r="L74" i="13"/>
  <c r="S74" i="13" s="1"/>
  <c r="F74" i="27"/>
  <c r="F14" i="27" s="1"/>
  <c r="M328" i="13"/>
  <c r="G328" i="27"/>
  <c r="T328" i="27" s="1"/>
  <c r="AB388" i="3"/>
  <c r="L296" i="27"/>
  <c r="L266" i="27" s="1"/>
  <c r="G178" i="27"/>
  <c r="M178" i="13"/>
  <c r="AC247" i="3"/>
  <c r="N172" i="27"/>
  <c r="AC265" i="3"/>
  <c r="N53" i="27"/>
  <c r="M201" i="13"/>
  <c r="G201" i="27"/>
  <c r="T201" i="27" s="1"/>
  <c r="AB121" i="3"/>
  <c r="L45" i="27"/>
  <c r="T312" i="27"/>
  <c r="L76" i="26"/>
  <c r="N76" i="26" s="1"/>
  <c r="F191" i="27"/>
  <c r="AB265" i="3"/>
  <c r="L53" i="27"/>
  <c r="F140" i="27"/>
  <c r="AB99" i="3"/>
  <c r="L74" i="27"/>
  <c r="G208" i="27"/>
  <c r="T208" i="27" s="1"/>
  <c r="M208" i="13"/>
  <c r="T208" i="13" s="1"/>
  <c r="G303" i="27"/>
  <c r="F262" i="27"/>
  <c r="F57" i="27"/>
  <c r="L57" i="13"/>
  <c r="S57" i="13" s="1"/>
  <c r="AC50" i="3"/>
  <c r="N162" i="27"/>
  <c r="G47" i="26"/>
  <c r="F41" i="27"/>
  <c r="F134" i="27"/>
  <c r="AC76" i="3"/>
  <c r="N73" i="27"/>
  <c r="AC96" i="3"/>
  <c r="N164" i="27"/>
  <c r="AC248" i="3"/>
  <c r="N292" i="27"/>
  <c r="AC226" i="3"/>
  <c r="N171" i="27"/>
  <c r="AB304" i="3"/>
  <c r="L298" i="27"/>
  <c r="F208" i="27"/>
  <c r="S208" i="27" s="1"/>
  <c r="L208" i="13"/>
  <c r="S208" i="13" s="1"/>
  <c r="M74" i="13"/>
  <c r="T74" i="13" s="1"/>
  <c r="G74" i="27"/>
  <c r="T74" i="27" s="1"/>
  <c r="M82" i="13"/>
  <c r="T82" i="13" s="1"/>
  <c r="G82" i="27"/>
  <c r="T82" i="27" s="1"/>
  <c r="M72" i="13"/>
  <c r="T72" i="13" s="1"/>
  <c r="G72" i="27"/>
  <c r="M85" i="13"/>
  <c r="T85" i="13" s="1"/>
  <c r="G85" i="27"/>
  <c r="T85" i="27" s="1"/>
  <c r="M211" i="13"/>
  <c r="G211" i="27"/>
  <c r="T211" i="27" s="1"/>
  <c r="M285" i="13"/>
  <c r="G285" i="27"/>
  <c r="M313" i="13"/>
  <c r="G313" i="27"/>
  <c r="T313" i="27" s="1"/>
  <c r="M88" i="13"/>
  <c r="M87" i="13"/>
  <c r="G87" i="27"/>
  <c r="T87" i="27" s="1"/>
  <c r="AB122" i="3"/>
  <c r="L75" i="27"/>
  <c r="L105" i="26"/>
  <c r="N105" i="26" s="1"/>
  <c r="F311" i="27"/>
  <c r="AC120" i="3"/>
  <c r="N285" i="27"/>
  <c r="M44" i="13"/>
  <c r="G44" i="27"/>
  <c r="AB247" i="3"/>
  <c r="L172" i="27"/>
  <c r="L80" i="13"/>
  <c r="S80" i="13" s="1"/>
  <c r="F80" i="27"/>
  <c r="S80" i="27" s="1"/>
  <c r="M79" i="13"/>
  <c r="T79" i="13" s="1"/>
  <c r="G79" i="27"/>
  <c r="T79" i="27" s="1"/>
  <c r="AB119" i="3"/>
  <c r="L165" i="27"/>
  <c r="M80" i="13"/>
  <c r="T80" i="13" s="1"/>
  <c r="G80" i="27"/>
  <c r="T80" i="27" s="1"/>
  <c r="AC411" i="3"/>
  <c r="N301" i="27"/>
  <c r="AC227" i="3"/>
  <c r="N51" i="27"/>
  <c r="N21" i="27" s="1"/>
  <c r="M115" i="13"/>
  <c r="G115" i="27"/>
  <c r="T115" i="27" s="1"/>
  <c r="M331" i="13"/>
  <c r="G331" i="27"/>
  <c r="T331" i="27" s="1"/>
  <c r="AB349" i="3"/>
  <c r="L55" i="27"/>
  <c r="L25" i="27" s="1"/>
  <c r="AB389" i="3"/>
  <c r="L56" i="27"/>
  <c r="AB97" i="3"/>
  <c r="L284" i="27"/>
  <c r="L91" i="13"/>
  <c r="S91" i="13" s="1"/>
  <c r="F91" i="27"/>
  <c r="S91" i="27" s="1"/>
  <c r="M102" i="13"/>
  <c r="G102" i="27"/>
  <c r="L72" i="13"/>
  <c r="F72" i="27"/>
  <c r="F12" i="27" s="1"/>
  <c r="F89" i="13"/>
  <c r="AC347" i="3"/>
  <c r="N175" i="27"/>
  <c r="M180" i="13"/>
  <c r="T180" i="13" s="1"/>
  <c r="G179" i="27"/>
  <c r="G329" i="13"/>
  <c r="G328" i="13"/>
  <c r="G268" i="13" s="1"/>
  <c r="AB138" i="3"/>
  <c r="L166" i="27"/>
  <c r="L136" i="27" s="1"/>
  <c r="AB227" i="3"/>
  <c r="L51" i="27"/>
  <c r="L21" i="27" s="1"/>
  <c r="AB226" i="3"/>
  <c r="L171" i="27"/>
  <c r="AB74" i="3"/>
  <c r="L283" i="27"/>
  <c r="AC366" i="3"/>
  <c r="N179" i="27"/>
  <c r="F298" i="27"/>
  <c r="F302" i="27" s="1"/>
  <c r="L298" i="13"/>
  <c r="L67" i="26"/>
  <c r="N67" i="26" s="1"/>
  <c r="G191" i="27"/>
  <c r="G131" i="27" s="1"/>
  <c r="M131" i="27"/>
  <c r="T161" i="27"/>
  <c r="M183" i="27"/>
  <c r="M153" i="27" s="1"/>
  <c r="G144" i="27"/>
  <c r="T144" i="27" s="1"/>
  <c r="AB207" i="3"/>
  <c r="L170" i="27"/>
  <c r="M106" i="13"/>
  <c r="G106" i="27"/>
  <c r="T106" i="27" s="1"/>
  <c r="AB348" i="3"/>
  <c r="L295" i="27"/>
  <c r="L86" i="13"/>
  <c r="S86" i="13" s="1"/>
  <c r="F86" i="27"/>
  <c r="S86" i="27" s="1"/>
  <c r="F328" i="27"/>
  <c r="S328" i="27" s="1"/>
  <c r="L328" i="13"/>
  <c r="S328" i="13" s="1"/>
  <c r="AC305" i="3"/>
  <c r="N58" i="27"/>
  <c r="AC304" i="3"/>
  <c r="N298" i="27"/>
  <c r="AC303" i="3"/>
  <c r="N178" i="27"/>
  <c r="AC73" i="3"/>
  <c r="N163" i="27"/>
  <c r="AB303" i="3"/>
  <c r="L178" i="27"/>
  <c r="L148" i="27" s="1"/>
  <c r="M76" i="13"/>
  <c r="T76" i="13" s="1"/>
  <c r="G76" i="27"/>
  <c r="T76" i="27" s="1"/>
  <c r="AB208" i="3"/>
  <c r="L290" i="27"/>
  <c r="G123" i="27"/>
  <c r="T101" i="27"/>
  <c r="AC209" i="3"/>
  <c r="N50" i="27"/>
  <c r="N20" i="27" s="1"/>
  <c r="M117" i="13"/>
  <c r="G117" i="27"/>
  <c r="T117" i="27" s="1"/>
  <c r="M206" i="13"/>
  <c r="G206" i="27"/>
  <c r="T206" i="27" s="1"/>
  <c r="M195" i="13"/>
  <c r="G195" i="27"/>
  <c r="T195" i="27" s="1"/>
  <c r="M205" i="13"/>
  <c r="G205" i="27"/>
  <c r="T205" i="27" s="1"/>
  <c r="M110" i="13"/>
  <c r="G110" i="27"/>
  <c r="T110" i="27" s="1"/>
  <c r="M196" i="13"/>
  <c r="G196" i="27"/>
  <c r="T196" i="27" s="1"/>
  <c r="T293" i="27"/>
  <c r="M263" i="27"/>
  <c r="T263" i="27" s="1"/>
  <c r="AB412" i="3"/>
  <c r="L61" i="27"/>
  <c r="AB156" i="3"/>
  <c r="L77" i="27"/>
  <c r="AC189" i="3"/>
  <c r="N49" i="27"/>
  <c r="AC99" i="3"/>
  <c r="N74" i="27"/>
  <c r="M315" i="13"/>
  <c r="G315" i="27"/>
  <c r="T315" i="27" s="1"/>
  <c r="M105" i="13"/>
  <c r="G105" i="27"/>
  <c r="T105" i="27" s="1"/>
  <c r="AB53" i="3"/>
  <c r="L72" i="27"/>
  <c r="T168" i="27"/>
  <c r="M91" i="13"/>
  <c r="T91" i="13" s="1"/>
  <c r="G91" i="27"/>
  <c r="T91" i="27" s="1"/>
  <c r="AC208" i="3"/>
  <c r="N290" i="27"/>
  <c r="AC121" i="3"/>
  <c r="N45" i="27"/>
  <c r="AC249" i="3"/>
  <c r="N52" i="27"/>
  <c r="AB50" i="3"/>
  <c r="L162" i="27"/>
  <c r="M90" i="13"/>
  <c r="T90" i="13" s="1"/>
  <c r="G89" i="27"/>
  <c r="T89" i="27" s="1"/>
  <c r="M118" i="13"/>
  <c r="G118" i="27"/>
  <c r="T118" i="27" s="1"/>
  <c r="L73" i="13"/>
  <c r="S73" i="13" s="1"/>
  <c r="F73" i="27"/>
  <c r="F13" i="27" s="1"/>
  <c r="L84" i="13"/>
  <c r="F84" i="27"/>
  <c r="S84" i="27" s="1"/>
  <c r="L82" i="13"/>
  <c r="S82" i="13" s="1"/>
  <c r="F82" i="27"/>
  <c r="S82" i="27" s="1"/>
  <c r="AB172" i="3"/>
  <c r="L48" i="27"/>
  <c r="L18" i="27" s="1"/>
  <c r="L79" i="13"/>
  <c r="S79" i="13" s="1"/>
  <c r="F79" i="27"/>
  <c r="S79" i="27" s="1"/>
  <c r="AB155" i="3"/>
  <c r="L47" i="27"/>
  <c r="AC282" i="3"/>
  <c r="N177" i="27"/>
  <c r="AB73" i="3"/>
  <c r="L163" i="27"/>
  <c r="M177" i="13"/>
  <c r="T177" i="13" s="1"/>
  <c r="G177" i="27"/>
  <c r="M169" i="13"/>
  <c r="G169" i="27"/>
  <c r="T56" i="27"/>
  <c r="M26" i="27"/>
  <c r="F266" i="27"/>
  <c r="M73" i="13"/>
  <c r="T73" i="13" s="1"/>
  <c r="G73" i="27"/>
  <c r="T73" i="27" s="1"/>
  <c r="M77" i="13"/>
  <c r="T77" i="13" s="1"/>
  <c r="G77" i="27"/>
  <c r="T77" i="27" s="1"/>
  <c r="Q47" i="26"/>
  <c r="S47" i="26" s="1"/>
  <c r="F101" i="27"/>
  <c r="F135" i="27"/>
  <c r="AC138" i="3"/>
  <c r="N166" i="27"/>
  <c r="AB366" i="3"/>
  <c r="L179" i="27"/>
  <c r="L77" i="13"/>
  <c r="S77" i="13" s="1"/>
  <c r="F77" i="27"/>
  <c r="F17" i="27" s="1"/>
  <c r="AC140" i="3"/>
  <c r="N76" i="27"/>
  <c r="M104" i="13"/>
  <c r="G104" i="27"/>
  <c r="T104" i="27" s="1"/>
  <c r="M54" i="13"/>
  <c r="G54" i="27"/>
  <c r="AC172" i="3"/>
  <c r="N48" i="27"/>
  <c r="AC325" i="3"/>
  <c r="N294" i="27"/>
  <c r="T176" i="27"/>
  <c r="AC389" i="3"/>
  <c r="N56" i="27"/>
  <c r="L85" i="13"/>
  <c r="S85" i="13" s="1"/>
  <c r="F85" i="27"/>
  <c r="S85" i="27" s="1"/>
  <c r="G76" i="26"/>
  <c r="F161" i="27"/>
  <c r="M78" i="13"/>
  <c r="T78" i="13" s="1"/>
  <c r="G78" i="27"/>
  <c r="T78" i="27" s="1"/>
  <c r="L119" i="13"/>
  <c r="S119" i="13" s="1"/>
  <c r="F119" i="27"/>
  <c r="S119" i="27" s="1"/>
  <c r="AB140" i="3"/>
  <c r="L76" i="27"/>
  <c r="L76" i="13"/>
  <c r="S76" i="13" s="1"/>
  <c r="F76" i="27"/>
  <c r="F16" i="27" s="1"/>
  <c r="F148" i="13"/>
  <c r="AB75" i="3"/>
  <c r="L43" i="27"/>
  <c r="M175" i="13"/>
  <c r="G175" i="27"/>
  <c r="H47" i="26"/>
  <c r="L41" i="27"/>
  <c r="L178" i="13"/>
  <c r="F178" i="27"/>
  <c r="S71" i="27"/>
  <c r="L93" i="27"/>
  <c r="AC188" i="3"/>
  <c r="N169" i="27"/>
  <c r="AC410" i="3"/>
  <c r="N181" i="27"/>
  <c r="AC367" i="3"/>
  <c r="N59" i="27"/>
  <c r="AC412" i="3"/>
  <c r="N61" i="27"/>
  <c r="T295" i="27"/>
  <c r="S312" i="27"/>
  <c r="M298" i="13"/>
  <c r="G298" i="27"/>
  <c r="AC74" i="3"/>
  <c r="N283" i="27"/>
  <c r="M61" i="13"/>
  <c r="G61" i="27"/>
  <c r="M51" i="13"/>
  <c r="G51" i="27"/>
  <c r="M296" i="13"/>
  <c r="G296" i="27"/>
  <c r="M301" i="13"/>
  <c r="G301" i="27"/>
  <c r="F254" i="27"/>
  <c r="H76" i="26" a="1"/>
  <c r="H76" i="26" s="1"/>
  <c r="L161" i="27"/>
  <c r="G11" i="27"/>
  <c r="G63" i="27"/>
  <c r="AB171" i="3"/>
  <c r="L168" i="27"/>
  <c r="AB264" i="3"/>
  <c r="L293" i="27"/>
  <c r="M89" i="13"/>
  <c r="T89" i="13" s="1"/>
  <c r="G88" i="27"/>
  <c r="L88" i="13"/>
  <c r="F87" i="27"/>
  <c r="S87" i="27" s="1"/>
  <c r="L87" i="13"/>
  <c r="AB96" i="3"/>
  <c r="L164" i="27"/>
  <c r="G57" i="27"/>
  <c r="M57" i="13"/>
  <c r="T57" i="13" s="1"/>
  <c r="AC53" i="3"/>
  <c r="N72" i="27"/>
  <c r="M314" i="13"/>
  <c r="G314" i="27"/>
  <c r="T314" i="27" s="1"/>
  <c r="AB282" i="3"/>
  <c r="L177" i="27"/>
  <c r="M165" i="13"/>
  <c r="G165" i="27"/>
  <c r="L81" i="13"/>
  <c r="S81" i="13" s="1"/>
  <c r="F81" i="27"/>
  <c r="S81" i="27" s="1"/>
  <c r="AB188" i="3"/>
  <c r="L169" i="27"/>
  <c r="S192" i="27"/>
  <c r="AB283" i="3"/>
  <c r="L57" i="27"/>
  <c r="S102" i="27"/>
  <c r="AB263" i="3"/>
  <c r="L173" i="27"/>
  <c r="L75" i="13"/>
  <c r="S75" i="13" s="1"/>
  <c r="F75" i="27"/>
  <c r="F15" i="27" s="1"/>
  <c r="AC155" i="3"/>
  <c r="N47" i="27"/>
  <c r="AB120" i="3"/>
  <c r="L285" i="27"/>
  <c r="AC154" i="3"/>
  <c r="N167" i="27"/>
  <c r="M81" i="13"/>
  <c r="T81" i="13" s="1"/>
  <c r="G81" i="27"/>
  <c r="T81" i="27" s="1"/>
  <c r="AB347" i="3"/>
  <c r="L175" i="27"/>
  <c r="T42" i="27"/>
  <c r="AB76" i="3"/>
  <c r="L73" i="27"/>
  <c r="AB189" i="3"/>
  <c r="L49" i="27"/>
  <c r="AB410" i="3"/>
  <c r="L181" i="27"/>
  <c r="F252" i="27"/>
  <c r="G105" i="26"/>
  <c r="F281" i="27"/>
  <c r="AC388" i="3"/>
  <c r="N296" i="27"/>
  <c r="AC122" i="3"/>
  <c r="N75" i="27"/>
  <c r="AC263" i="3"/>
  <c r="N173" i="27"/>
  <c r="L96" i="26"/>
  <c r="N96" i="26" s="1"/>
  <c r="G311" i="27"/>
  <c r="AC326" i="3"/>
  <c r="N54" i="27"/>
  <c r="N24" i="27" s="1"/>
  <c r="G183" i="27"/>
  <c r="T41" i="27"/>
  <c r="M63" i="27"/>
  <c r="AC348" i="3"/>
  <c r="N295" i="27"/>
  <c r="M202" i="13"/>
  <c r="G202" i="27"/>
  <c r="T202" i="27" s="1"/>
  <c r="M120" i="13"/>
  <c r="M119" i="13"/>
  <c r="T119" i="13" s="1"/>
  <c r="G119" i="27"/>
  <c r="T119" i="27" s="1"/>
  <c r="Q149" i="13"/>
  <c r="M282" i="13"/>
  <c r="G282" i="27"/>
  <c r="M114" i="13"/>
  <c r="G114" i="27"/>
  <c r="T114" i="27" s="1"/>
  <c r="M48" i="13"/>
  <c r="G48" i="27"/>
  <c r="M109" i="13"/>
  <c r="G109" i="27"/>
  <c r="T109" i="27" s="1"/>
  <c r="AC264" i="3"/>
  <c r="N293" i="27"/>
  <c r="T167" i="27"/>
  <c r="T181" i="27"/>
  <c r="M62" i="27"/>
  <c r="M292" i="13"/>
  <c r="G292" i="27"/>
  <c r="AB387" i="3"/>
  <c r="L176" i="27"/>
  <c r="AB325" i="3"/>
  <c r="L294" i="27"/>
  <c r="M192" i="13"/>
  <c r="G192" i="27"/>
  <c r="G132" i="27" s="1"/>
  <c r="T132" i="27" s="1"/>
  <c r="AC156" i="3"/>
  <c r="N77" i="27"/>
  <c r="AC283" i="3"/>
  <c r="N57" i="27"/>
  <c r="M38" i="26"/>
  <c r="M71" i="27"/>
  <c r="H96" i="26" a="1"/>
  <c r="H96" i="26" s="1"/>
  <c r="C96" i="26" s="1" a="1"/>
  <c r="C96" i="26" s="1"/>
  <c r="M281" i="27"/>
  <c r="AC51" i="3"/>
  <c r="N282" i="27"/>
  <c r="M55" i="13"/>
  <c r="G55" i="27"/>
  <c r="M52" i="13"/>
  <c r="G52" i="27"/>
  <c r="F144" i="27"/>
  <c r="M200" i="13"/>
  <c r="G200" i="27"/>
  <c r="T200" i="27" s="1"/>
  <c r="F132" i="27"/>
  <c r="AB98" i="3"/>
  <c r="L44" i="27"/>
  <c r="AC207" i="3"/>
  <c r="N170" i="27"/>
  <c r="L89" i="13"/>
  <c r="F88" i="27"/>
  <c r="S88" i="27" s="1"/>
  <c r="AC139" i="3"/>
  <c r="N46" i="27"/>
  <c r="M121" i="13"/>
  <c r="G121" i="27"/>
  <c r="T121" i="27" s="1"/>
  <c r="M43" i="13"/>
  <c r="G43" i="27"/>
  <c r="G88" i="13"/>
  <c r="G87" i="13"/>
  <c r="F271" i="27"/>
  <c r="S331" i="27"/>
  <c r="T46" i="27"/>
  <c r="AB249" i="3"/>
  <c r="L52" i="27"/>
  <c r="AB248" i="3"/>
  <c r="L292" i="27"/>
  <c r="AB326" i="3"/>
  <c r="L54" i="27"/>
  <c r="L24" i="27" s="1"/>
  <c r="AB52" i="3"/>
  <c r="L42" i="27"/>
  <c r="AB367" i="3"/>
  <c r="L59" i="27"/>
  <c r="AB139" i="3"/>
  <c r="L46" i="27"/>
  <c r="L78" i="13"/>
  <c r="S78" i="13" s="1"/>
  <c r="F78" i="27"/>
  <c r="S78" i="27" s="1"/>
  <c r="AC97" i="3"/>
  <c r="N284" i="27"/>
  <c r="AC349" i="3"/>
  <c r="N55" i="27"/>
  <c r="AC119" i="3"/>
  <c r="N165" i="27"/>
  <c r="N135" i="27" s="1"/>
  <c r="AC98" i="3"/>
  <c r="N44" i="27"/>
  <c r="AC75" i="3"/>
  <c r="N43" i="27"/>
  <c r="M326" i="13"/>
  <c r="G326" i="27"/>
  <c r="T326" i="27" s="1"/>
  <c r="G179" i="13"/>
  <c r="G178" i="13"/>
  <c r="AC387" i="3"/>
  <c r="N176" i="27"/>
  <c r="T49" i="27"/>
  <c r="T59" i="27"/>
  <c r="R149" i="13"/>
  <c r="J28" i="13"/>
  <c r="Q28" i="13" s="1"/>
  <c r="Q117" i="13"/>
  <c r="J27" i="13"/>
  <c r="M64" i="12"/>
  <c r="N63" i="12"/>
  <c r="G64" i="26"/>
  <c r="I63" i="26"/>
  <c r="L35" i="26"/>
  <c r="N34" i="26"/>
  <c r="I62" i="26"/>
  <c r="N34" i="12"/>
  <c r="M35" i="12"/>
  <c r="G93" i="26"/>
  <c r="I92" i="26"/>
  <c r="Q64" i="26"/>
  <c r="S63" i="26"/>
  <c r="L64" i="26"/>
  <c r="N63" i="26"/>
  <c r="N33" i="26"/>
  <c r="L93" i="26"/>
  <c r="N92" i="26"/>
  <c r="Q35" i="26"/>
  <c r="S34" i="26"/>
  <c r="I91" i="26"/>
  <c r="S62" i="12"/>
  <c r="S33" i="12"/>
  <c r="L71" i="13"/>
  <c r="L93" i="13" s="1"/>
  <c r="G17" i="26"/>
  <c r="L17" i="26" s="1"/>
  <c r="L47" i="26"/>
  <c r="H17" i="12"/>
  <c r="H17" i="26"/>
  <c r="M47" i="26"/>
  <c r="N66" i="12"/>
  <c r="AA27" i="3"/>
  <c r="H67" i="26" a="1"/>
  <c r="H67" i="26" s="1"/>
  <c r="AA180" i="3"/>
  <c r="AC180" i="3" s="1"/>
  <c r="AA277" i="3"/>
  <c r="N177" i="13" s="1"/>
  <c r="AA68" i="3"/>
  <c r="M71" i="13"/>
  <c r="L38" i="26"/>
  <c r="G41" i="13"/>
  <c r="G38" i="12"/>
  <c r="M41" i="13"/>
  <c r="G38" i="26"/>
  <c r="M101" i="13"/>
  <c r="Q38" i="26"/>
  <c r="S38" i="26" s="1"/>
  <c r="M281" i="13"/>
  <c r="G96" i="26"/>
  <c r="M161" i="13"/>
  <c r="G67" i="26"/>
  <c r="AA29" i="3"/>
  <c r="H38" i="26"/>
  <c r="Q179" i="13"/>
  <c r="D150" i="13"/>
  <c r="D147" i="13"/>
  <c r="N46" i="12"/>
  <c r="N75" i="12"/>
  <c r="N95" i="12"/>
  <c r="N33" i="12"/>
  <c r="S37" i="12"/>
  <c r="N62" i="12"/>
  <c r="N37" i="12"/>
  <c r="AA46" i="3"/>
  <c r="AA401" i="3"/>
  <c r="AC401" i="3" s="1"/>
  <c r="AA335" i="3"/>
  <c r="H85" i="13" s="1"/>
  <c r="S84" i="13"/>
  <c r="T65" i="25"/>
  <c r="AB276" i="3"/>
  <c r="F237" i="13"/>
  <c r="S237" i="13" s="1"/>
  <c r="AA293" i="3"/>
  <c r="H328" i="13" s="1"/>
  <c r="AB295" i="3"/>
  <c r="F239" i="13"/>
  <c r="S239" i="13" s="1"/>
  <c r="AA301" i="3"/>
  <c r="M329" i="13"/>
  <c r="AA297" i="3"/>
  <c r="M299" i="13"/>
  <c r="AB301" i="3"/>
  <c r="L329" i="13"/>
  <c r="AA224" i="3"/>
  <c r="D269" i="13"/>
  <c r="Q269" i="13" s="1"/>
  <c r="E94" i="13"/>
  <c r="E95" i="13"/>
  <c r="AA295" i="3"/>
  <c r="H238" i="13" s="1"/>
  <c r="U238" i="13" s="1"/>
  <c r="G239" i="13"/>
  <c r="T239" i="13" s="1"/>
  <c r="AA276" i="3"/>
  <c r="G237" i="13"/>
  <c r="T237" i="13" s="1"/>
  <c r="D95" i="13"/>
  <c r="D94" i="13"/>
  <c r="R269" i="13"/>
  <c r="AA360" i="3"/>
  <c r="G240" i="13"/>
  <c r="T240" i="13" s="1"/>
  <c r="AB360" i="3"/>
  <c r="F240" i="13"/>
  <c r="S240" i="13" s="1"/>
  <c r="AB293" i="3"/>
  <c r="F329" i="13"/>
  <c r="AA116" i="3"/>
  <c r="AB297" i="3"/>
  <c r="L299" i="13"/>
  <c r="AA289" i="3"/>
  <c r="H298" i="13" s="1"/>
  <c r="G299" i="13"/>
  <c r="G269" i="13" s="1"/>
  <c r="AB289" i="3"/>
  <c r="F299" i="13"/>
  <c r="K94" i="13"/>
  <c r="K95" i="13"/>
  <c r="J94" i="13"/>
  <c r="J95" i="13"/>
  <c r="R28" i="13"/>
  <c r="R30" i="13"/>
  <c r="R27" i="13"/>
  <c r="Q60" i="13"/>
  <c r="Q58" i="13"/>
  <c r="J65" i="25"/>
  <c r="J65" i="11"/>
  <c r="T65" i="11"/>
  <c r="S34" i="12"/>
  <c r="AA91" i="3"/>
  <c r="AA259" i="3"/>
  <c r="AC259" i="3" s="1"/>
  <c r="AA318" i="3"/>
  <c r="AC318" i="3" s="1"/>
  <c r="AA118" i="3"/>
  <c r="AA243" i="3"/>
  <c r="AA346" i="3"/>
  <c r="N115" i="13" s="1"/>
  <c r="AA405" i="3"/>
  <c r="AA365" i="3"/>
  <c r="AA238" i="3"/>
  <c r="H112" i="13" s="1"/>
  <c r="AA135" i="3"/>
  <c r="AA273" i="3"/>
  <c r="H87" i="13" s="1"/>
  <c r="AA151" i="3"/>
  <c r="AA39" i="3"/>
  <c r="AC39" i="3" s="1"/>
  <c r="AA108" i="3"/>
  <c r="AC108" i="3" s="1"/>
  <c r="AA316" i="3"/>
  <c r="AC316" i="3" s="1"/>
  <c r="AA107" i="3"/>
  <c r="AA317" i="3"/>
  <c r="AC317" i="3" s="1"/>
  <c r="AA110" i="3"/>
  <c r="AC110" i="3" s="1"/>
  <c r="AA20" i="3"/>
  <c r="H161" i="27" s="1"/>
  <c r="AA49" i="3"/>
  <c r="AA40" i="3"/>
  <c r="AC40" i="3" s="1"/>
  <c r="AA130" i="3"/>
  <c r="AC130" i="3" s="1"/>
  <c r="AA408" i="3"/>
  <c r="AA127" i="3"/>
  <c r="AC127" i="3" s="1"/>
  <c r="AA404" i="3"/>
  <c r="AA181" i="3"/>
  <c r="AC181" i="3" s="1"/>
  <c r="AA178" i="3"/>
  <c r="AC178" i="3" s="1"/>
  <c r="AA363" i="3"/>
  <c r="AA339" i="3"/>
  <c r="AC339" i="3" s="1"/>
  <c r="AA400" i="3"/>
  <c r="AC400" i="3" s="1"/>
  <c r="AA187" i="3"/>
  <c r="AA215" i="3"/>
  <c r="AC215" i="3" s="1"/>
  <c r="AA342" i="3"/>
  <c r="AA288" i="3"/>
  <c r="AA196" i="3"/>
  <c r="H50" i="13" s="1"/>
  <c r="AA302" i="3"/>
  <c r="AA129" i="3"/>
  <c r="H76" i="13" s="1"/>
  <c r="AA206" i="3"/>
  <c r="AA197" i="3"/>
  <c r="H80" i="13" s="1"/>
  <c r="AA111" i="3"/>
  <c r="AC111" i="3" s="1"/>
  <c r="AA271" i="3"/>
  <c r="AC271" i="3" s="1"/>
  <c r="AA205" i="3"/>
  <c r="AA384" i="3"/>
  <c r="AA117" i="3"/>
  <c r="AA407" i="3"/>
  <c r="H211" i="27" s="1"/>
  <c r="U211" i="27" s="1"/>
  <c r="AA338" i="3"/>
  <c r="AC338" i="3" s="1"/>
  <c r="AA241" i="3"/>
  <c r="AA71" i="3"/>
  <c r="AA88" i="3"/>
  <c r="AC88" i="3" s="1"/>
  <c r="AA44" i="3"/>
  <c r="AA194" i="3"/>
  <c r="AC194" i="3" s="1"/>
  <c r="AA258" i="3"/>
  <c r="AA14" i="3"/>
  <c r="N113" i="11" s="1"/>
  <c r="AA239" i="3"/>
  <c r="AC239" i="3" s="1"/>
  <c r="AA179" i="3"/>
  <c r="AA185" i="3"/>
  <c r="AC185" i="3" s="1"/>
  <c r="AA47" i="3"/>
  <c r="AA257" i="3"/>
  <c r="AC257" i="3" s="1"/>
  <c r="AA137" i="3"/>
  <c r="AA381" i="3"/>
  <c r="AA409" i="3"/>
  <c r="AA87" i="3"/>
  <c r="AC87" i="3" s="1"/>
  <c r="AB335" i="3"/>
  <c r="AA219" i="3"/>
  <c r="G111" i="13"/>
  <c r="AB237" i="3"/>
  <c r="F322" i="13"/>
  <c r="F101" i="13"/>
  <c r="AA132" i="3"/>
  <c r="G226" i="13"/>
  <c r="AB379" i="3"/>
  <c r="F236" i="13"/>
  <c r="AA246" i="3"/>
  <c r="H112" i="27" s="1"/>
  <c r="U112" i="27" s="1"/>
  <c r="M112" i="13"/>
  <c r="AB106" i="3"/>
  <c r="F45" i="13"/>
  <c r="AB383" i="3"/>
  <c r="AB395" i="3"/>
  <c r="F181" i="13"/>
  <c r="AA72" i="3"/>
  <c r="H103" i="27" s="1"/>
  <c r="U103" i="27" s="1"/>
  <c r="AB153" i="3"/>
  <c r="L107" i="13"/>
  <c r="AB321" i="3"/>
  <c r="AA36" i="3"/>
  <c r="AA225" i="3"/>
  <c r="H111" i="27" s="1"/>
  <c r="U111" i="27" s="1"/>
  <c r="M111" i="13"/>
  <c r="AB187" i="3"/>
  <c r="L109" i="13"/>
  <c r="AA84" i="3"/>
  <c r="H74" i="13" s="1"/>
  <c r="AB91" i="3"/>
  <c r="L44" i="13"/>
  <c r="AA202" i="3"/>
  <c r="H170" i="27" s="1"/>
  <c r="M170" i="13"/>
  <c r="AB178" i="3"/>
  <c r="F49" i="13"/>
  <c r="AB161" i="3"/>
  <c r="F48" i="13"/>
  <c r="AA396" i="3"/>
  <c r="G301" i="13"/>
  <c r="AA382" i="3"/>
  <c r="H56" i="27" s="1"/>
  <c r="M56" i="13"/>
  <c r="AB194" i="3"/>
  <c r="F170" i="13"/>
  <c r="AA299" i="3"/>
  <c r="AA374" i="3"/>
  <c r="H56" i="13" s="1"/>
  <c r="G56" i="13"/>
  <c r="AA256" i="3"/>
  <c r="G293" i="13"/>
  <c r="AB197" i="3"/>
  <c r="AB290" i="3"/>
  <c r="F59" i="13"/>
  <c r="AB300" i="3"/>
  <c r="L209" i="13"/>
  <c r="AB271" i="3"/>
  <c r="F177" i="13"/>
  <c r="AB400" i="3"/>
  <c r="F331" i="13"/>
  <c r="AA315" i="3"/>
  <c r="G204" i="13"/>
  <c r="AA223" i="3"/>
  <c r="AB219" i="3"/>
  <c r="F111" i="13"/>
  <c r="AA93" i="3"/>
  <c r="H194" i="27" s="1"/>
  <c r="U194" i="27" s="1"/>
  <c r="M194" i="13"/>
  <c r="AB42" i="3"/>
  <c r="F222" i="13"/>
  <c r="AA82" i="3"/>
  <c r="G284" i="13"/>
  <c r="AB107" i="3"/>
  <c r="AA161" i="3"/>
  <c r="G48" i="13"/>
  <c r="AB186" i="3"/>
  <c r="L199" i="13"/>
  <c r="AB257" i="3"/>
  <c r="F53" i="13"/>
  <c r="AA373" i="3"/>
  <c r="G296" i="13"/>
  <c r="AB146" i="3"/>
  <c r="AA18" i="3"/>
  <c r="N117" i="11" s="1"/>
  <c r="G101" i="13"/>
  <c r="AA358" i="3"/>
  <c r="G210" i="13"/>
  <c r="G150" i="13" s="1"/>
  <c r="AB334" i="3"/>
  <c r="F55" i="13"/>
  <c r="AB318" i="3"/>
  <c r="F234" i="13"/>
  <c r="AA86" i="3"/>
  <c r="G314" i="13"/>
  <c r="AB134" i="3"/>
  <c r="L46" i="13"/>
  <c r="AA162" i="3"/>
  <c r="H78" i="13" s="1"/>
  <c r="AB36" i="3"/>
  <c r="F282" i="13"/>
  <c r="AA45" i="3"/>
  <c r="H42" i="27" s="1"/>
  <c r="M42" i="13"/>
  <c r="AB206" i="3"/>
  <c r="L110" i="13"/>
  <c r="AA42" i="3"/>
  <c r="G222" i="13"/>
  <c r="AB82" i="3"/>
  <c r="F284" i="13"/>
  <c r="AA184" i="3"/>
  <c r="H49" i="27" s="1"/>
  <c r="M49" i="13"/>
  <c r="F311" i="13"/>
  <c r="AB313" i="3"/>
  <c r="F54" i="13"/>
  <c r="AA314" i="3"/>
  <c r="H84" i="13" s="1"/>
  <c r="AA186" i="3"/>
  <c r="H199" i="27" s="1"/>
  <c r="M199" i="13"/>
  <c r="AB407" i="3"/>
  <c r="L211" i="13"/>
  <c r="AB180" i="3"/>
  <c r="F199" i="13"/>
  <c r="AB320" i="3"/>
  <c r="L54" i="13"/>
  <c r="AA398" i="3"/>
  <c r="H91" i="13" s="1"/>
  <c r="AB386" i="3"/>
  <c r="L116" i="13"/>
  <c r="AA146" i="3"/>
  <c r="H77" i="13" s="1"/>
  <c r="AB217" i="3"/>
  <c r="AA60" i="3"/>
  <c r="G43" i="13"/>
  <c r="AB130" i="3"/>
  <c r="F196" i="13"/>
  <c r="AB44" i="3"/>
  <c r="L282" i="13"/>
  <c r="AB129" i="3"/>
  <c r="L281" i="13"/>
  <c r="L41" i="13"/>
  <c r="AA279" i="3"/>
  <c r="AB84" i="3"/>
  <c r="AB406" i="3"/>
  <c r="AB170" i="3"/>
  <c r="L108" i="13"/>
  <c r="AB259" i="3"/>
  <c r="F203" i="13"/>
  <c r="AB240" i="3"/>
  <c r="L172" i="13"/>
  <c r="AB86" i="3"/>
  <c r="F314" i="13"/>
  <c r="AB408" i="3"/>
  <c r="L331" i="13"/>
  <c r="AA134" i="3"/>
  <c r="H46" i="27" s="1"/>
  <c r="M46" i="13"/>
  <c r="G96" i="12" a="1"/>
  <c r="G96" i="12" s="1"/>
  <c r="G281" i="13"/>
  <c r="AB232" i="3"/>
  <c r="F172" i="13"/>
  <c r="AA201" i="3"/>
  <c r="G230" i="13"/>
  <c r="AB145" i="3"/>
  <c r="F47" i="13"/>
  <c r="AB362" i="3"/>
  <c r="L60" i="13"/>
  <c r="AB88" i="3"/>
  <c r="F224" i="13"/>
  <c r="AA313" i="3"/>
  <c r="G54" i="13"/>
  <c r="AB377" i="3"/>
  <c r="F326" i="13"/>
  <c r="AB364" i="3"/>
  <c r="L210" i="13"/>
  <c r="AB109" i="3"/>
  <c r="F315" i="13"/>
  <c r="AB205" i="3"/>
  <c r="L200" i="13"/>
  <c r="AA164" i="3"/>
  <c r="G108" i="13"/>
  <c r="AA67" i="3"/>
  <c r="H283" i="27" s="1"/>
  <c r="M283" i="13"/>
  <c r="AB147" i="3"/>
  <c r="F197" i="13"/>
  <c r="AB274" i="3"/>
  <c r="F207" i="13"/>
  <c r="AB244" i="3"/>
  <c r="L202" i="13"/>
  <c r="AB181" i="3"/>
  <c r="F109" i="13"/>
  <c r="AB409" i="3"/>
  <c r="L121" i="13"/>
  <c r="AA153" i="3"/>
  <c r="H107" i="27" s="1"/>
  <c r="U107" i="27" s="1"/>
  <c r="M107" i="13"/>
  <c r="AB299" i="3"/>
  <c r="AA136" i="3"/>
  <c r="H196" i="27" s="1"/>
  <c r="U196" i="27" s="1"/>
  <c r="AB236" i="3"/>
  <c r="F202" i="13"/>
  <c r="AA23" i="3"/>
  <c r="H71" i="27" s="1"/>
  <c r="H93" i="27" s="1"/>
  <c r="F281" i="13"/>
  <c r="AB317" i="3"/>
  <c r="F114" i="13"/>
  <c r="AB405" i="3"/>
  <c r="L61" i="13"/>
  <c r="AB378" i="3"/>
  <c r="F116" i="13"/>
  <c r="AB346" i="3"/>
  <c r="L115" i="13"/>
  <c r="AB298" i="3"/>
  <c r="L59" i="13"/>
  <c r="AB35" i="3"/>
  <c r="F162" i="13"/>
  <c r="F191" i="13"/>
  <c r="AA337" i="3"/>
  <c r="G325" i="13"/>
  <c r="AB59" i="3"/>
  <c r="F283" i="13"/>
  <c r="AB201" i="3"/>
  <c r="F230" i="13"/>
  <c r="AA145" i="3"/>
  <c r="G47" i="13"/>
  <c r="AA362" i="3"/>
  <c r="H59" i="27" s="1"/>
  <c r="M60" i="13"/>
  <c r="AB116" i="3"/>
  <c r="L195" i="13"/>
  <c r="AB341" i="3"/>
  <c r="L295" i="13"/>
  <c r="AA377" i="3"/>
  <c r="G326" i="13"/>
  <c r="AA364" i="3"/>
  <c r="H209" i="27" s="1"/>
  <c r="U209" i="27" s="1"/>
  <c r="M210" i="13"/>
  <c r="M150" i="13" s="1"/>
  <c r="AB165" i="3"/>
  <c r="F228" i="13"/>
  <c r="L311" i="13"/>
  <c r="AA166" i="3"/>
  <c r="H168" i="27" s="1"/>
  <c r="M168" i="13"/>
  <c r="AB67" i="3"/>
  <c r="L283" i="13"/>
  <c r="AA147" i="3"/>
  <c r="G197" i="13"/>
  <c r="AB363" i="3"/>
  <c r="AA41" i="3"/>
  <c r="G102" i="13"/>
  <c r="AB404" i="3"/>
  <c r="L301" i="13"/>
  <c r="AB233" i="3"/>
  <c r="F292" i="13"/>
  <c r="AB72" i="3"/>
  <c r="L103" i="13"/>
  <c r="AB168" i="3"/>
  <c r="AB105" i="3"/>
  <c r="F285" i="13"/>
  <c r="AB60" i="3"/>
  <c r="F43" i="13"/>
  <c r="AA261" i="3"/>
  <c r="AB337" i="3"/>
  <c r="F325" i="13"/>
  <c r="AB399" i="3"/>
  <c r="F211" i="13"/>
  <c r="AA144" i="3"/>
  <c r="AC323" i="3"/>
  <c r="N114" i="13"/>
  <c r="AB239" i="3"/>
  <c r="F232" i="13"/>
  <c r="AA378" i="3"/>
  <c r="G116" i="13"/>
  <c r="AA298" i="3"/>
  <c r="H58" i="27" s="1"/>
  <c r="M59" i="13"/>
  <c r="AA406" i="3"/>
  <c r="AB355" i="3"/>
  <c r="F180" i="13"/>
  <c r="AB87" i="3"/>
  <c r="F104" i="13"/>
  <c r="AA379" i="3"/>
  <c r="G236" i="13"/>
  <c r="AB128" i="3"/>
  <c r="F46" i="13"/>
  <c r="AA62" i="3"/>
  <c r="G193" i="13"/>
  <c r="AA236" i="3"/>
  <c r="G202" i="13"/>
  <c r="AB281" i="3"/>
  <c r="L117" i="13"/>
  <c r="AA341" i="3"/>
  <c r="H295" i="27" s="1"/>
  <c r="M295" i="13"/>
  <c r="AB245" i="3"/>
  <c r="L322" i="13"/>
  <c r="AA255" i="3"/>
  <c r="G173" i="13"/>
  <c r="AB113" i="3"/>
  <c r="L285" i="13"/>
  <c r="AA322" i="3"/>
  <c r="H204" i="27" s="1"/>
  <c r="U204" i="27" s="1"/>
  <c r="M204" i="13"/>
  <c r="AB273" i="3"/>
  <c r="AB160" i="3"/>
  <c r="F168" i="13"/>
  <c r="AB204" i="3"/>
  <c r="AA200" i="3"/>
  <c r="G110" i="13"/>
  <c r="AB37" i="3"/>
  <c r="F42" i="13"/>
  <c r="AB338" i="3"/>
  <c r="F115" i="13"/>
  <c r="AA383" i="3"/>
  <c r="AB339" i="3"/>
  <c r="F235" i="13"/>
  <c r="AA343" i="3"/>
  <c r="AB162" i="3"/>
  <c r="AB375" i="3"/>
  <c r="AB275" i="3"/>
  <c r="F117" i="13"/>
  <c r="AB246" i="3"/>
  <c r="L112" i="13"/>
  <c r="AA112" i="3"/>
  <c r="H165" i="27" s="1"/>
  <c r="AB294" i="3"/>
  <c r="F118" i="13"/>
  <c r="AB398" i="3"/>
  <c r="AB64" i="3"/>
  <c r="F103" i="13"/>
  <c r="AA320" i="3"/>
  <c r="H54" i="27" s="1"/>
  <c r="Q177" i="13"/>
  <c r="AB381" i="3"/>
  <c r="L296" i="13"/>
  <c r="AB177" i="3"/>
  <c r="F169" i="13"/>
  <c r="AA149" i="3"/>
  <c r="G227" i="13"/>
  <c r="AB69" i="3"/>
  <c r="AA83" i="3"/>
  <c r="G44" i="13"/>
  <c r="G17" i="12"/>
  <c r="AB402" i="3"/>
  <c r="AB58" i="3"/>
  <c r="F163" i="13"/>
  <c r="AB39" i="3"/>
  <c r="F192" i="13"/>
  <c r="AA395" i="3"/>
  <c r="G181" i="13"/>
  <c r="AA380" i="3"/>
  <c r="H176" i="27" s="1"/>
  <c r="M176" i="13"/>
  <c r="AB62" i="3"/>
  <c r="F193" i="13"/>
  <c r="AA220" i="3"/>
  <c r="G231" i="13"/>
  <c r="AB179" i="3"/>
  <c r="AA245" i="3"/>
  <c r="H322" i="27" s="1"/>
  <c r="U322" i="27" s="1"/>
  <c r="M322" i="13"/>
  <c r="AA399" i="3"/>
  <c r="G211" i="13"/>
  <c r="AB243" i="3"/>
  <c r="AB215" i="3"/>
  <c r="F171" i="13"/>
  <c r="AB316" i="3"/>
  <c r="F324" i="13"/>
  <c r="AA160" i="3"/>
  <c r="G168" i="13"/>
  <c r="AA204" i="3"/>
  <c r="AB200" i="3"/>
  <c r="F110" i="13"/>
  <c r="AB277" i="3"/>
  <c r="L177" i="13"/>
  <c r="AB137" i="3"/>
  <c r="L106" i="13"/>
  <c r="AB94" i="3"/>
  <c r="L314" i="13"/>
  <c r="AB185" i="3"/>
  <c r="AA336" i="3"/>
  <c r="AB85" i="3"/>
  <c r="F194" i="13"/>
  <c r="AB164" i="3"/>
  <c r="F108" i="13"/>
  <c r="AB41" i="3"/>
  <c r="F102" i="13"/>
  <c r="AA183" i="3"/>
  <c r="H169" i="27" s="1"/>
  <c r="AA344" i="3"/>
  <c r="H205" i="27" s="1"/>
  <c r="U205" i="27" s="1"/>
  <c r="AB65" i="3"/>
  <c r="F223" i="13"/>
  <c r="AA24" i="3"/>
  <c r="H191" i="27" s="1"/>
  <c r="M191" i="13"/>
  <c r="AB150" i="3"/>
  <c r="L167" i="13"/>
  <c r="AA198" i="3"/>
  <c r="G200" i="13"/>
  <c r="R147" i="13"/>
  <c r="AB343" i="3"/>
  <c r="AA177" i="3"/>
  <c r="G169" i="13"/>
  <c r="AB149" i="3"/>
  <c r="F227" i="13"/>
  <c r="AA69" i="3"/>
  <c r="AA275" i="3"/>
  <c r="G117" i="13"/>
  <c r="AB336" i="3"/>
  <c r="F205" i="13"/>
  <c r="AB151" i="3"/>
  <c r="L47" i="13"/>
  <c r="AB372" i="3"/>
  <c r="F176" i="13"/>
  <c r="AB110" i="3"/>
  <c r="F105" i="13"/>
  <c r="AA218" i="3"/>
  <c r="G201" i="13"/>
  <c r="AA114" i="3"/>
  <c r="H45" i="27" s="1"/>
  <c r="M45" i="13"/>
  <c r="AB131" i="3"/>
  <c r="F106" i="13"/>
  <c r="AA152" i="3"/>
  <c r="AB108" i="3"/>
  <c r="F195" i="13"/>
  <c r="AA321" i="3"/>
  <c r="AB221" i="3"/>
  <c r="L171" i="13"/>
  <c r="AA104" i="3"/>
  <c r="G165" i="13"/>
  <c r="AA403" i="3"/>
  <c r="H181" i="27" s="1"/>
  <c r="M181" i="13"/>
  <c r="AB272" i="3"/>
  <c r="F58" i="13"/>
  <c r="AB261" i="3"/>
  <c r="F113" i="13"/>
  <c r="AB311" i="3"/>
  <c r="F174" i="13"/>
  <c r="AA169" i="3"/>
  <c r="H198" i="27" s="1"/>
  <c r="U198" i="27" s="1"/>
  <c r="M198" i="13"/>
  <c r="AA133" i="3"/>
  <c r="H166" i="27" s="1"/>
  <c r="M166" i="13"/>
  <c r="AB357" i="3"/>
  <c r="AB112" i="3"/>
  <c r="L165" i="13"/>
  <c r="AB148" i="3"/>
  <c r="F107" i="13"/>
  <c r="AA167" i="3"/>
  <c r="H48" i="27" s="1"/>
  <c r="AA274" i="3"/>
  <c r="AB345" i="3"/>
  <c r="L325" i="13"/>
  <c r="AA242" i="3"/>
  <c r="H52" i="27" s="1"/>
  <c r="AB220" i="3"/>
  <c r="F231" i="13"/>
  <c r="AA109" i="3"/>
  <c r="AA356" i="3"/>
  <c r="AB118" i="3"/>
  <c r="L105" i="13"/>
  <c r="AB397" i="3"/>
  <c r="F61" i="13"/>
  <c r="AA235" i="3"/>
  <c r="H82" i="13" s="1"/>
  <c r="AB280" i="3"/>
  <c r="L207" i="13"/>
  <c r="AB401" i="3"/>
  <c r="F121" i="13"/>
  <c r="AB46" i="3"/>
  <c r="L161" i="13"/>
  <c r="AB218" i="3"/>
  <c r="F201" i="13"/>
  <c r="AA131" i="3"/>
  <c r="G106" i="13"/>
  <c r="AA105" i="3"/>
  <c r="G285" i="13"/>
  <c r="AB95" i="3"/>
  <c r="L104" i="13"/>
  <c r="AA221" i="3"/>
  <c r="H171" i="27" s="1"/>
  <c r="M171" i="13"/>
  <c r="AA375" i="3"/>
  <c r="H86" i="13" s="1"/>
  <c r="AA311" i="3"/>
  <c r="G174" i="13"/>
  <c r="AB133" i="3"/>
  <c r="L166" i="13"/>
  <c r="AB288" i="3"/>
  <c r="F179" i="13"/>
  <c r="AA95" i="3"/>
  <c r="H104" i="27" s="1"/>
  <c r="U104" i="27" s="1"/>
  <c r="AA397" i="3"/>
  <c r="G61" i="13"/>
  <c r="AA319" i="3"/>
  <c r="H174" i="27" s="1"/>
  <c r="M174" i="13"/>
  <c r="AB235" i="3"/>
  <c r="AA280" i="3"/>
  <c r="H207" i="27" s="1"/>
  <c r="U207" i="27" s="1"/>
  <c r="M207" i="13"/>
  <c r="T207" i="13" s="1"/>
  <c r="AB340" i="3"/>
  <c r="L175" i="13"/>
  <c r="AB358" i="3"/>
  <c r="F210" i="13"/>
  <c r="AB167" i="3"/>
  <c r="L48" i="13"/>
  <c r="AB376" i="3"/>
  <c r="F206" i="13"/>
  <c r="AB70" i="3"/>
  <c r="L193" i="13"/>
  <c r="AA43" i="3"/>
  <c r="H162" i="27" s="1"/>
  <c r="M162" i="13"/>
  <c r="AA66" i="3"/>
  <c r="H163" i="27" s="1"/>
  <c r="M163" i="13"/>
  <c r="AB384" i="3"/>
  <c r="L206" i="13"/>
  <c r="AB203" i="3"/>
  <c r="L50" i="13"/>
  <c r="AA195" i="3"/>
  <c r="G290" i="13"/>
  <c r="AA148" i="3"/>
  <c r="G107" i="13"/>
  <c r="AA332" i="3"/>
  <c r="G175" i="13"/>
  <c r="AB199" i="3"/>
  <c r="F320" i="13"/>
  <c r="AB342" i="3"/>
  <c r="L55" i="13"/>
  <c r="AB216" i="3"/>
  <c r="F51" i="13"/>
  <c r="AB323" i="3"/>
  <c r="L114" i="13"/>
  <c r="AB296" i="3"/>
  <c r="L179" i="13"/>
  <c r="AA291" i="3"/>
  <c r="AB292" i="3"/>
  <c r="F209" i="13"/>
  <c r="AA240" i="3"/>
  <c r="H172" i="27" s="1"/>
  <c r="AA244" i="3"/>
  <c r="H202" i="27" s="1"/>
  <c r="U202" i="27" s="1"/>
  <c r="AA59" i="3"/>
  <c r="AA115" i="3"/>
  <c r="AA262" i="3"/>
  <c r="AA199" i="3"/>
  <c r="AB152" i="3"/>
  <c r="AA165" i="3"/>
  <c r="AA38" i="3"/>
  <c r="H72" i="13" s="1"/>
  <c r="AA312" i="3"/>
  <c r="AA272" i="3"/>
  <c r="H57" i="13" s="1"/>
  <c r="G58" i="13"/>
  <c r="AA85" i="3"/>
  <c r="G194" i="13"/>
  <c r="AB315" i="3"/>
  <c r="F204" i="13"/>
  <c r="AB223" i="3"/>
  <c r="AA345" i="3"/>
  <c r="H325" i="27" s="1"/>
  <c r="U325" i="27" s="1"/>
  <c r="M325" i="13"/>
  <c r="AB279" i="3"/>
  <c r="AA278" i="3"/>
  <c r="M58" i="13"/>
  <c r="AB111" i="3"/>
  <c r="F225" i="13"/>
  <c r="AB132" i="3"/>
  <c r="F226" i="13"/>
  <c r="AB195" i="3"/>
  <c r="F290" i="13"/>
  <c r="AB373" i="3"/>
  <c r="F296" i="13"/>
  <c r="AB104" i="3"/>
  <c r="F165" i="13"/>
  <c r="AB234" i="3"/>
  <c r="F52" i="13"/>
  <c r="AB83" i="3"/>
  <c r="F44" i="13"/>
  <c r="AB47" i="3"/>
  <c r="L192" i="13"/>
  <c r="AB184" i="3"/>
  <c r="L49" i="13"/>
  <c r="AB314" i="3"/>
  <c r="AB242" i="3"/>
  <c r="L52" i="13"/>
  <c r="AB238" i="3"/>
  <c r="F112" i="13"/>
  <c r="AB49" i="3"/>
  <c r="L102" i="13"/>
  <c r="AA217" i="3"/>
  <c r="H81" i="13" s="1"/>
  <c r="AA292" i="3"/>
  <c r="H208" i="13" s="1"/>
  <c r="G209" i="13"/>
  <c r="AB115" i="3"/>
  <c r="AB302" i="3"/>
  <c r="L118" i="13"/>
  <c r="AA290" i="3"/>
  <c r="G59" i="13"/>
  <c r="G29" i="13" s="1"/>
  <c r="AB356" i="3"/>
  <c r="F60" i="13"/>
  <c r="AB61" i="3"/>
  <c r="AB291" i="3"/>
  <c r="AA357" i="3"/>
  <c r="H90" i="13" s="1"/>
  <c r="AB255" i="3"/>
  <c r="F173" i="13"/>
  <c r="AB45" i="3"/>
  <c r="L42" i="13"/>
  <c r="AA386" i="3"/>
  <c r="H116" i="27" s="1"/>
  <c r="U116" i="27" s="1"/>
  <c r="AA372" i="3"/>
  <c r="G176" i="13"/>
  <c r="AA232" i="3"/>
  <c r="G172" i="13"/>
  <c r="AB333" i="3"/>
  <c r="F295" i="13"/>
  <c r="AA355" i="3"/>
  <c r="AA281" i="3"/>
  <c r="H117" i="27" s="1"/>
  <c r="U117" i="27" s="1"/>
  <c r="AA402" i="3"/>
  <c r="H241" i="13" s="1"/>
  <c r="AB380" i="3"/>
  <c r="L176" i="13"/>
  <c r="AA58" i="3"/>
  <c r="G163" i="13"/>
  <c r="L101" i="13"/>
  <c r="AB319" i="3"/>
  <c r="L174" i="13"/>
  <c r="AB38" i="3"/>
  <c r="AB114" i="3"/>
  <c r="L45" i="13"/>
  <c r="AB222" i="3"/>
  <c r="L51" i="13"/>
  <c r="AA168" i="3"/>
  <c r="AB365" i="3"/>
  <c r="L120" i="13"/>
  <c r="AB198" i="3"/>
  <c r="F200" i="13"/>
  <c r="AB183" i="3"/>
  <c r="L169" i="13"/>
  <c r="AB169" i="3"/>
  <c r="L198" i="13"/>
  <c r="AA359" i="3"/>
  <c r="H119" i="13" s="1"/>
  <c r="G120" i="13"/>
  <c r="AB135" i="3"/>
  <c r="AB385" i="3"/>
  <c r="L326" i="13"/>
  <c r="AA334" i="3"/>
  <c r="AB66" i="3"/>
  <c r="L163" i="13"/>
  <c r="AB89" i="3"/>
  <c r="L164" i="13"/>
  <c r="AB403" i="3"/>
  <c r="L181" i="13"/>
  <c r="AA19" i="3"/>
  <c r="N118" i="11" s="1"/>
  <c r="G221" i="13"/>
  <c r="AA234" i="3"/>
  <c r="G52" i="13"/>
  <c r="AA163" i="3"/>
  <c r="G198" i="13"/>
  <c r="AA90" i="3"/>
  <c r="H284" i="27" s="1"/>
  <c r="M284" i="13"/>
  <c r="AB260" i="3"/>
  <c r="F323" i="13"/>
  <c r="AB48" i="3"/>
  <c r="L312" i="13"/>
  <c r="AA61" i="3"/>
  <c r="H73" i="13" s="1"/>
  <c r="AB68" i="3"/>
  <c r="L43" i="13"/>
  <c r="F221" i="13"/>
  <c r="AB92" i="3"/>
  <c r="AA376" i="3"/>
  <c r="G206" i="13"/>
  <c r="AA70" i="3"/>
  <c r="H193" i="27" s="1"/>
  <c r="U193" i="27" s="1"/>
  <c r="M193" i="13"/>
  <c r="AB43" i="3"/>
  <c r="L162" i="13"/>
  <c r="AA203" i="3"/>
  <c r="H50" i="27" s="1"/>
  <c r="M50" i="13"/>
  <c r="AA64" i="3"/>
  <c r="G103" i="13"/>
  <c r="AA150" i="3"/>
  <c r="H167" i="27" s="1"/>
  <c r="H137" i="27" s="1"/>
  <c r="M167" i="13"/>
  <c r="AB312" i="3"/>
  <c r="F294" i="13"/>
  <c r="AA63" i="3"/>
  <c r="G313" i="13"/>
  <c r="AB182" i="3"/>
  <c r="F229" i="13"/>
  <c r="AB224" i="3"/>
  <c r="L201" i="13"/>
  <c r="AA216" i="3"/>
  <c r="G51" i="13"/>
  <c r="AA296" i="3"/>
  <c r="M179" i="13"/>
  <c r="AB40" i="3"/>
  <c r="F312" i="13"/>
  <c r="AA81" i="3"/>
  <c r="G164" i="13"/>
  <c r="AB117" i="3"/>
  <c r="L315" i="13"/>
  <c r="AB63" i="3"/>
  <c r="F313" i="13"/>
  <c r="AA222" i="3"/>
  <c r="H51" i="27" s="1"/>
  <c r="AA385" i="3"/>
  <c r="H326" i="27" s="1"/>
  <c r="U326" i="27" s="1"/>
  <c r="AA333" i="3"/>
  <c r="AB322" i="3"/>
  <c r="L204" i="13"/>
  <c r="AA233" i="3"/>
  <c r="AA182" i="3"/>
  <c r="AB93" i="3"/>
  <c r="L194" i="13"/>
  <c r="AA340" i="3"/>
  <c r="H175" i="27" s="1"/>
  <c r="AA25" i="3"/>
  <c r="H311" i="27" s="1"/>
  <c r="M311" i="13"/>
  <c r="AA15" i="3"/>
  <c r="N114" i="11" s="1"/>
  <c r="AA35" i="3"/>
  <c r="AB166" i="3"/>
  <c r="L168" i="13"/>
  <c r="AA294" i="3"/>
  <c r="G118" i="13"/>
  <c r="G47" i="12"/>
  <c r="F41" i="13"/>
  <c r="AB163" i="3"/>
  <c r="F198" i="13"/>
  <c r="AB90" i="3"/>
  <c r="L284" i="13"/>
  <c r="AA260" i="3"/>
  <c r="G323" i="13"/>
  <c r="AA48" i="3"/>
  <c r="H312" i="27" s="1"/>
  <c r="M312" i="13"/>
  <c r="AA65" i="3"/>
  <c r="G223" i="13"/>
  <c r="L191" i="13"/>
  <c r="AB361" i="3"/>
  <c r="L180" i="13"/>
  <c r="AB344" i="3"/>
  <c r="L205" i="13"/>
  <c r="AA237" i="3"/>
  <c r="G322" i="13"/>
  <c r="AB225" i="3"/>
  <c r="L111" i="13"/>
  <c r="AB202" i="3"/>
  <c r="L170" i="13"/>
  <c r="AB127" i="3"/>
  <c r="F166" i="13"/>
  <c r="AB396" i="3"/>
  <c r="F301" i="13"/>
  <c r="AB382" i="3"/>
  <c r="L56" i="13"/>
  <c r="AA89" i="3"/>
  <c r="H164" i="27" s="1"/>
  <c r="M164" i="13"/>
  <c r="AA300" i="3"/>
  <c r="M209" i="13"/>
  <c r="AB258" i="3"/>
  <c r="AB241" i="3"/>
  <c r="L292" i="13"/>
  <c r="AB71" i="3"/>
  <c r="L313" i="13"/>
  <c r="AB374" i="3"/>
  <c r="F56" i="13"/>
  <c r="AB256" i="3"/>
  <c r="F293" i="13"/>
  <c r="AB278" i="3"/>
  <c r="L58" i="13"/>
  <c r="AB136" i="3"/>
  <c r="L196" i="13"/>
  <c r="AB144" i="3"/>
  <c r="F167" i="13"/>
  <c r="AB262" i="3"/>
  <c r="F233" i="13"/>
  <c r="AB196" i="3"/>
  <c r="F50" i="13"/>
  <c r="AB359" i="3"/>
  <c r="F120" i="13"/>
  <c r="AA170" i="3"/>
  <c r="H108" i="27" s="1"/>
  <c r="U108" i="27" s="1"/>
  <c r="M108" i="13"/>
  <c r="AB81" i="3"/>
  <c r="F164" i="13"/>
  <c r="AA128" i="3"/>
  <c r="AA94" i="3"/>
  <c r="H314" i="27" s="1"/>
  <c r="U314" i="27" s="1"/>
  <c r="AA37" i="3"/>
  <c r="AA361" i="3"/>
  <c r="H179" i="27" s="1"/>
  <c r="AA113" i="3"/>
  <c r="H285" i="27" s="1"/>
  <c r="AB332" i="3"/>
  <c r="F175" i="13"/>
  <c r="L67" i="12" a="1"/>
  <c r="L67" i="12" s="1"/>
  <c r="G191" i="13"/>
  <c r="AA92" i="3"/>
  <c r="Q180" i="13"/>
  <c r="J43" i="25"/>
  <c r="Q76" i="12" a="1"/>
  <c r="Q76" i="12" s="1"/>
  <c r="J44" i="25"/>
  <c r="M113" i="25"/>
  <c r="L112" i="25"/>
  <c r="H96" i="12" a="1"/>
  <c r="H96" i="12" s="1"/>
  <c r="S41" i="25"/>
  <c r="AB27" i="3"/>
  <c r="K111" i="25"/>
  <c r="U56" i="25"/>
  <c r="L113" i="25"/>
  <c r="H38" i="12"/>
  <c r="Q47" i="12" a="1"/>
  <c r="Q47" i="12" s="1"/>
  <c r="M111" i="25"/>
  <c r="J47" i="25"/>
  <c r="AA30" i="3"/>
  <c r="M114" i="25"/>
  <c r="Q44" i="25" s="1"/>
  <c r="R44" i="25" s="1" a="1"/>
  <c r="R44" i="25" s="1"/>
  <c r="J46" i="25"/>
  <c r="J64" i="25"/>
  <c r="AB28" i="3"/>
  <c r="K112" i="25"/>
  <c r="U57" i="25"/>
  <c r="M76" i="12" a="1"/>
  <c r="M76" i="12" s="1"/>
  <c r="J115" i="25"/>
  <c r="K60" i="25"/>
  <c r="L96" i="12" a="1"/>
  <c r="L96" i="12" s="1"/>
  <c r="L105" i="12" a="1"/>
  <c r="L105" i="12" s="1"/>
  <c r="J112" i="25"/>
  <c r="K57" i="25"/>
  <c r="H105" i="12" a="1"/>
  <c r="H105" i="12" s="1"/>
  <c r="J113" i="25"/>
  <c r="K58" i="25"/>
  <c r="H47" i="12"/>
  <c r="M115" i="11"/>
  <c r="M67" i="12" a="1"/>
  <c r="M67" i="12" s="1"/>
  <c r="L115" i="25"/>
  <c r="H45" i="25" s="1"/>
  <c r="I45" i="25" s="1" a="1"/>
  <c r="I45" i="25" s="1"/>
  <c r="L76" i="12" a="1"/>
  <c r="L76" i="12" s="1"/>
  <c r="M105" i="12" a="1"/>
  <c r="M105" i="12" s="1"/>
  <c r="K61" i="25"/>
  <c r="J116" i="25"/>
  <c r="Q67" i="12" a="1"/>
  <c r="Q67" i="12" s="1"/>
  <c r="J41" i="25"/>
  <c r="S44" i="25"/>
  <c r="S42" i="25"/>
  <c r="G105" i="12" a="1"/>
  <c r="G105" i="12" s="1"/>
  <c r="AB30" i="3"/>
  <c r="K114" i="25"/>
  <c r="U59" i="25"/>
  <c r="J45" i="25"/>
  <c r="Q38" i="12" a="1"/>
  <c r="Q38" i="12" s="1"/>
  <c r="L47" i="12" a="1"/>
  <c r="L47" i="12" s="1"/>
  <c r="M116" i="11"/>
  <c r="M96" i="12" a="1"/>
  <c r="M96" i="12" s="1"/>
  <c r="L116" i="25"/>
  <c r="H46" i="25" s="1"/>
  <c r="I46" i="25" s="1" a="1"/>
  <c r="I46" i="25" s="1"/>
  <c r="L38" i="12" a="1"/>
  <c r="L38" i="12" s="1"/>
  <c r="R47" i="12" a="1"/>
  <c r="R47" i="12" s="1"/>
  <c r="J117" i="25"/>
  <c r="M111" i="11"/>
  <c r="H67" i="12" a="1"/>
  <c r="H67" i="12" s="1"/>
  <c r="L111" i="25"/>
  <c r="R38" i="12" a="1"/>
  <c r="R38" i="12" s="1"/>
  <c r="L117" i="25"/>
  <c r="H47" i="25" s="1"/>
  <c r="I47" i="25" s="1" a="1"/>
  <c r="I47" i="25" s="1"/>
  <c r="AA28" i="3"/>
  <c r="N281" i="27" s="1"/>
  <c r="M112" i="25"/>
  <c r="AB29" i="3"/>
  <c r="U58" i="25"/>
  <c r="K113" i="25"/>
  <c r="M114" i="11"/>
  <c r="M38" i="12" a="1"/>
  <c r="M38" i="12" s="1"/>
  <c r="L114" i="25"/>
  <c r="H44" i="25" s="1"/>
  <c r="I44" i="25" s="1" a="1"/>
  <c r="I44" i="25" s="1"/>
  <c r="M47" i="12" a="1"/>
  <c r="M47" i="12" s="1"/>
  <c r="J114" i="25"/>
  <c r="K59" i="25"/>
  <c r="H76" i="12" a="1"/>
  <c r="H76" i="12" s="1"/>
  <c r="I76" i="12" s="1"/>
  <c r="J111" i="25"/>
  <c r="K56" i="25"/>
  <c r="T64" i="25"/>
  <c r="S43" i="25"/>
  <c r="AA16" i="3"/>
  <c r="AA26" i="3"/>
  <c r="H101" i="27" s="1"/>
  <c r="M117" i="11"/>
  <c r="AB15" i="3"/>
  <c r="AB19" i="3"/>
  <c r="AB14" i="3"/>
  <c r="AB24" i="3"/>
  <c r="K115" i="11"/>
  <c r="U60" i="11"/>
  <c r="AA21" i="3"/>
  <c r="H281" i="27" s="1"/>
  <c r="M112" i="11"/>
  <c r="AA17" i="3"/>
  <c r="AA22" i="3"/>
  <c r="H41" i="27" s="1"/>
  <c r="M113" i="11"/>
  <c r="AB18" i="3"/>
  <c r="AB13" i="3"/>
  <c r="AB16" i="3"/>
  <c r="AB25" i="3"/>
  <c r="U61" i="11"/>
  <c r="K116" i="11"/>
  <c r="AB22" i="3"/>
  <c r="U58" i="11"/>
  <c r="K113" i="11"/>
  <c r="AB17" i="3"/>
  <c r="AA13" i="3"/>
  <c r="AB21" i="3"/>
  <c r="K112" i="11"/>
  <c r="U57" i="11"/>
  <c r="AB26" i="3"/>
  <c r="K117" i="11"/>
  <c r="U62" i="11"/>
  <c r="AB23" i="3"/>
  <c r="K114" i="11"/>
  <c r="U59" i="11"/>
  <c r="AB20" i="3"/>
  <c r="K111" i="11"/>
  <c r="U56" i="11"/>
  <c r="O43" i="11"/>
  <c r="O42" i="11"/>
  <c r="O45" i="11"/>
  <c r="O46" i="11"/>
  <c r="O44" i="11"/>
  <c r="H45" i="13" l="1"/>
  <c r="F27" i="13"/>
  <c r="H199" i="13"/>
  <c r="S87" i="13"/>
  <c r="M268" i="13"/>
  <c r="G92" i="13"/>
  <c r="S296" i="27"/>
  <c r="I105" i="26"/>
  <c r="H138" i="27"/>
  <c r="F20" i="27"/>
  <c r="F31" i="27"/>
  <c r="I76" i="26"/>
  <c r="S88" i="13"/>
  <c r="G136" i="27"/>
  <c r="T136" i="27" s="1"/>
  <c r="S76" i="27"/>
  <c r="T329" i="13"/>
  <c r="F92" i="13"/>
  <c r="F94" i="13" s="1"/>
  <c r="M148" i="13"/>
  <c r="G10" i="12"/>
  <c r="L10" i="12" s="1"/>
  <c r="N115" i="11"/>
  <c r="T71" i="13"/>
  <c r="G13" i="12"/>
  <c r="N112" i="11"/>
  <c r="G14" i="12"/>
  <c r="N116" i="11"/>
  <c r="N211" i="13"/>
  <c r="H89" i="13"/>
  <c r="F24" i="27"/>
  <c r="S24" i="27" s="1"/>
  <c r="F212" i="27"/>
  <c r="F215" i="27" s="1"/>
  <c r="M272" i="27"/>
  <c r="G12" i="27"/>
  <c r="T12" i="27" s="1"/>
  <c r="S166" i="27"/>
  <c r="G33" i="27"/>
  <c r="F25" i="27"/>
  <c r="G15" i="27"/>
  <c r="T15" i="27" s="1"/>
  <c r="S55" i="27"/>
  <c r="G16" i="27"/>
  <c r="T16" i="27" s="1"/>
  <c r="G253" i="27"/>
  <c r="T253" i="27" s="1"/>
  <c r="H134" i="27"/>
  <c r="I47" i="26"/>
  <c r="L92" i="13"/>
  <c r="L95" i="13" s="1"/>
  <c r="T131" i="27"/>
  <c r="F27" i="27"/>
  <c r="F19" i="27"/>
  <c r="G20" i="27"/>
  <c r="T20" i="27" s="1"/>
  <c r="G151" i="27"/>
  <c r="T151" i="27" s="1"/>
  <c r="H149" i="27"/>
  <c r="H151" i="27"/>
  <c r="T88" i="13"/>
  <c r="M28" i="13"/>
  <c r="S72" i="13"/>
  <c r="G26" i="27"/>
  <c r="T26" i="27" s="1"/>
  <c r="G62" i="27"/>
  <c r="G149" i="13"/>
  <c r="S89" i="13"/>
  <c r="F18" i="27"/>
  <c r="S18" i="27" s="1"/>
  <c r="F21" i="27"/>
  <c r="S21" i="27" s="1"/>
  <c r="T268" i="13"/>
  <c r="S136" i="27"/>
  <c r="T118" i="13"/>
  <c r="H144" i="27"/>
  <c r="H136" i="27"/>
  <c r="H265" i="27"/>
  <c r="G146" i="27"/>
  <c r="T146" i="27" s="1"/>
  <c r="AC29" i="3"/>
  <c r="N41" i="27"/>
  <c r="S177" i="27"/>
  <c r="L147" i="27"/>
  <c r="S147" i="27" s="1"/>
  <c r="G139" i="27"/>
  <c r="T139" i="27" s="1"/>
  <c r="T169" i="27"/>
  <c r="U175" i="27"/>
  <c r="N145" i="27"/>
  <c r="AC206" i="3"/>
  <c r="H110" i="27"/>
  <c r="U110" i="27" s="1"/>
  <c r="N27" i="27"/>
  <c r="N82" i="13"/>
  <c r="U82" i="13" s="1"/>
  <c r="H82" i="27"/>
  <c r="U82" i="27" s="1"/>
  <c r="H328" i="27"/>
  <c r="U328" i="27" s="1"/>
  <c r="N328" i="13"/>
  <c r="U328" i="13" s="1"/>
  <c r="C76" i="26"/>
  <c r="F303" i="27"/>
  <c r="F251" i="27"/>
  <c r="S285" i="27"/>
  <c r="L255" i="27"/>
  <c r="S255" i="27" s="1"/>
  <c r="G135" i="27"/>
  <c r="T135" i="27" s="1"/>
  <c r="T165" i="27"/>
  <c r="U283" i="27"/>
  <c r="N253" i="27"/>
  <c r="N31" i="27"/>
  <c r="L63" i="27"/>
  <c r="L33" i="27" s="1"/>
  <c r="L11" i="27"/>
  <c r="S41" i="27"/>
  <c r="G24" i="27"/>
  <c r="T24" i="27" s="1"/>
  <c r="T54" i="27"/>
  <c r="N268" i="27"/>
  <c r="S170" i="27"/>
  <c r="L140" i="27"/>
  <c r="S140" i="27" s="1"/>
  <c r="L253" i="27"/>
  <c r="S253" i="27" s="1"/>
  <c r="S283" i="27"/>
  <c r="G149" i="27"/>
  <c r="T149" i="27" s="1"/>
  <c r="T179" i="27"/>
  <c r="L254" i="27"/>
  <c r="S254" i="27" s="1"/>
  <c r="S284" i="27"/>
  <c r="U162" i="27"/>
  <c r="N132" i="27"/>
  <c r="N182" i="27"/>
  <c r="L303" i="27"/>
  <c r="L273" i="27" s="1"/>
  <c r="S281" i="27"/>
  <c r="L251" i="27"/>
  <c r="H251" i="27"/>
  <c r="H303" i="27"/>
  <c r="AC407" i="3"/>
  <c r="H139" i="27"/>
  <c r="U199" i="27"/>
  <c r="N81" i="13"/>
  <c r="U81" i="13" s="1"/>
  <c r="H81" i="27"/>
  <c r="U81" i="27" s="1"/>
  <c r="N90" i="13"/>
  <c r="U90" i="13" s="1"/>
  <c r="H89" i="27"/>
  <c r="U89" i="27" s="1"/>
  <c r="AC118" i="3"/>
  <c r="H105" i="27"/>
  <c r="U105" i="27" s="1"/>
  <c r="M32" i="27"/>
  <c r="N13" i="27"/>
  <c r="L16" i="27"/>
  <c r="S16" i="27" s="1"/>
  <c r="S52" i="27"/>
  <c r="L22" i="27"/>
  <c r="T71" i="27"/>
  <c r="M93" i="27"/>
  <c r="M33" i="27" s="1"/>
  <c r="S176" i="27"/>
  <c r="L146" i="27"/>
  <c r="S146" i="27" s="1"/>
  <c r="S57" i="27"/>
  <c r="L27" i="27"/>
  <c r="L183" i="27"/>
  <c r="L153" i="27" s="1"/>
  <c r="S161" i="27"/>
  <c r="L131" i="27"/>
  <c r="F123" i="27"/>
  <c r="S101" i="27"/>
  <c r="S77" i="27"/>
  <c r="N141" i="27"/>
  <c r="U171" i="27"/>
  <c r="S53" i="27"/>
  <c r="L23" i="27"/>
  <c r="S23" i="27" s="1"/>
  <c r="U168" i="27"/>
  <c r="N138" i="27"/>
  <c r="U138" i="27" s="1"/>
  <c r="M48" i="26"/>
  <c r="N71" i="27"/>
  <c r="H57" i="27"/>
  <c r="U57" i="27" s="1"/>
  <c r="N57" i="13"/>
  <c r="U57" i="13" s="1"/>
  <c r="F304" i="27"/>
  <c r="F305" i="27"/>
  <c r="L260" i="27"/>
  <c r="S260" i="27" s="1"/>
  <c r="S290" i="27"/>
  <c r="H123" i="27"/>
  <c r="U101" i="27"/>
  <c r="N73" i="13"/>
  <c r="U73" i="13" s="1"/>
  <c r="H73" i="27"/>
  <c r="U73" i="27" s="1"/>
  <c r="U293" i="27"/>
  <c r="N263" i="27"/>
  <c r="U263" i="27" s="1"/>
  <c r="S72" i="27"/>
  <c r="L92" i="27"/>
  <c r="N262" i="27"/>
  <c r="F213" i="27"/>
  <c r="S191" i="27"/>
  <c r="N301" i="13"/>
  <c r="H301" i="27"/>
  <c r="U301" i="27" s="1"/>
  <c r="G271" i="27"/>
  <c r="T271" i="27" s="1"/>
  <c r="T301" i="27"/>
  <c r="S25" i="27"/>
  <c r="AC71" i="3"/>
  <c r="H313" i="27"/>
  <c r="U313" i="27" s="1"/>
  <c r="N47" i="13"/>
  <c r="H47" i="27"/>
  <c r="L29" i="13"/>
  <c r="N106" i="13"/>
  <c r="H106" i="27"/>
  <c r="U106" i="27" s="1"/>
  <c r="AC241" i="3"/>
  <c r="H292" i="27"/>
  <c r="H262" i="27" s="1"/>
  <c r="AC408" i="3"/>
  <c r="H331" i="27"/>
  <c r="U331" i="27" s="1"/>
  <c r="AC224" i="3"/>
  <c r="H201" i="27"/>
  <c r="U201" i="27" s="1"/>
  <c r="AC277" i="3"/>
  <c r="H177" i="27"/>
  <c r="H147" i="27" s="1"/>
  <c r="S42" i="27"/>
  <c r="L12" i="27"/>
  <c r="L62" i="27"/>
  <c r="L64" i="27" s="1"/>
  <c r="U170" i="27"/>
  <c r="N140" i="27"/>
  <c r="N143" i="27"/>
  <c r="U143" i="27" s="1"/>
  <c r="U173" i="27"/>
  <c r="S49" i="27"/>
  <c r="L19" i="27"/>
  <c r="N92" i="27"/>
  <c r="S293" i="27"/>
  <c r="L263" i="27"/>
  <c r="S263" i="27" s="1"/>
  <c r="G266" i="27"/>
  <c r="T266" i="27" s="1"/>
  <c r="T296" i="27"/>
  <c r="U169" i="27"/>
  <c r="N139" i="27"/>
  <c r="S48" i="27"/>
  <c r="S163" i="27"/>
  <c r="L133" i="27"/>
  <c r="S133" i="27" s="1"/>
  <c r="F28" i="27"/>
  <c r="G213" i="27"/>
  <c r="G153" i="27" s="1"/>
  <c r="T191" i="27"/>
  <c r="G332" i="27"/>
  <c r="U172" i="27"/>
  <c r="N142" i="27"/>
  <c r="L252" i="27"/>
  <c r="S282" i="27"/>
  <c r="L302" i="27"/>
  <c r="N74" i="13"/>
  <c r="U74" i="13" s="1"/>
  <c r="H74" i="27"/>
  <c r="U74" i="27" s="1"/>
  <c r="H208" i="27"/>
  <c r="U208" i="27" s="1"/>
  <c r="N208" i="13"/>
  <c r="U208" i="13" s="1"/>
  <c r="N75" i="13"/>
  <c r="H75" i="27"/>
  <c r="U75" i="27" s="1"/>
  <c r="N84" i="13"/>
  <c r="U84" i="13" s="1"/>
  <c r="H84" i="27"/>
  <c r="U84" i="27" s="1"/>
  <c r="N91" i="13"/>
  <c r="U91" i="13" s="1"/>
  <c r="H91" i="27"/>
  <c r="U91" i="27" s="1"/>
  <c r="AC288" i="3"/>
  <c r="H178" i="13"/>
  <c r="H148" i="13" s="1"/>
  <c r="N76" i="13"/>
  <c r="U76" i="13" s="1"/>
  <c r="H76" i="27"/>
  <c r="U176" i="27"/>
  <c r="N146" i="27"/>
  <c r="N25" i="27"/>
  <c r="G140" i="27"/>
  <c r="T140" i="27" s="1"/>
  <c r="G25" i="27"/>
  <c r="T25" i="27" s="1"/>
  <c r="T55" i="27"/>
  <c r="G262" i="27"/>
  <c r="T262" i="27" s="1"/>
  <c r="T292" i="27"/>
  <c r="G18" i="27"/>
  <c r="T18" i="27" s="1"/>
  <c r="T48" i="27"/>
  <c r="U295" i="27"/>
  <c r="N265" i="27"/>
  <c r="S46" i="27"/>
  <c r="S173" i="27"/>
  <c r="L143" i="27"/>
  <c r="S143" i="27" s="1"/>
  <c r="F332" i="27"/>
  <c r="U45" i="27"/>
  <c r="N15" i="27"/>
  <c r="U285" i="27"/>
  <c r="N255" i="27"/>
  <c r="G254" i="27"/>
  <c r="T254" i="27" s="1"/>
  <c r="G17" i="27"/>
  <c r="T17" i="27" s="1"/>
  <c r="T47" i="27"/>
  <c r="L271" i="27"/>
  <c r="S271" i="27" s="1"/>
  <c r="S301" i="27"/>
  <c r="U46" i="27"/>
  <c r="N16" i="27"/>
  <c r="N17" i="27"/>
  <c r="G268" i="27"/>
  <c r="T268" i="27" s="1"/>
  <c r="T298" i="27"/>
  <c r="U58" i="27"/>
  <c r="N28" i="27"/>
  <c r="S56" i="27"/>
  <c r="L26" i="27"/>
  <c r="H254" i="27"/>
  <c r="N80" i="13"/>
  <c r="U80" i="13" s="1"/>
  <c r="H80" i="27"/>
  <c r="U80" i="27" s="1"/>
  <c r="N38" i="26"/>
  <c r="N14" i="27"/>
  <c r="U56" i="27"/>
  <c r="N26" i="27"/>
  <c r="S172" i="27"/>
  <c r="L142" i="27"/>
  <c r="S142" i="27" s="1"/>
  <c r="U174" i="27"/>
  <c r="N144" i="27"/>
  <c r="M92" i="13"/>
  <c r="S59" i="27"/>
  <c r="L29" i="27"/>
  <c r="G333" i="27"/>
  <c r="G273" i="27" s="1"/>
  <c r="T311" i="27"/>
  <c r="S175" i="27"/>
  <c r="L145" i="27"/>
  <c r="S145" i="27" s="1"/>
  <c r="U181" i="27"/>
  <c r="N151" i="27"/>
  <c r="S61" i="27"/>
  <c r="L31" i="27"/>
  <c r="N23" i="27"/>
  <c r="U23" i="27" s="1"/>
  <c r="U53" i="27"/>
  <c r="S174" i="27"/>
  <c r="L144" i="27"/>
  <c r="S144" i="27" s="1"/>
  <c r="L137" i="27"/>
  <c r="S137" i="27" s="1"/>
  <c r="S167" i="27"/>
  <c r="N85" i="13"/>
  <c r="U85" i="13" s="1"/>
  <c r="H85" i="27"/>
  <c r="U85" i="27" s="1"/>
  <c r="N89" i="13"/>
  <c r="H88" i="27"/>
  <c r="U88" i="27" s="1"/>
  <c r="N118" i="13"/>
  <c r="H118" i="27"/>
  <c r="U118" i="27" s="1"/>
  <c r="F62" i="27"/>
  <c r="F64" i="27" s="1"/>
  <c r="F92" i="27"/>
  <c r="G14" i="27"/>
  <c r="T14" i="27" s="1"/>
  <c r="T44" i="27"/>
  <c r="U164" i="27"/>
  <c r="N134" i="27"/>
  <c r="G251" i="27"/>
  <c r="N78" i="13"/>
  <c r="U78" i="13" s="1"/>
  <c r="H78" i="27"/>
  <c r="U78" i="27" s="1"/>
  <c r="M29" i="13"/>
  <c r="T29" i="13" s="1"/>
  <c r="N192" i="13"/>
  <c r="H192" i="27"/>
  <c r="H132" i="27" s="1"/>
  <c r="AC116" i="3"/>
  <c r="H195" i="27"/>
  <c r="U195" i="27" s="1"/>
  <c r="L14" i="27"/>
  <c r="S14" i="27" s="1"/>
  <c r="S44" i="27"/>
  <c r="S51" i="27"/>
  <c r="G21" i="27"/>
  <c r="T21" i="27" s="1"/>
  <c r="T51" i="27"/>
  <c r="G145" i="27"/>
  <c r="T145" i="27" s="1"/>
  <c r="T175" i="27"/>
  <c r="U294" i="27"/>
  <c r="N264" i="27"/>
  <c r="U264" i="27" s="1"/>
  <c r="S179" i="27"/>
  <c r="L149" i="27"/>
  <c r="S149" i="27" s="1"/>
  <c r="U163" i="27"/>
  <c r="N133" i="27"/>
  <c r="S295" i="27"/>
  <c r="L265" i="27"/>
  <c r="S265" i="27" s="1"/>
  <c r="G122" i="27"/>
  <c r="T102" i="27"/>
  <c r="S165" i="27"/>
  <c r="L135" i="27"/>
  <c r="S135" i="27" s="1"/>
  <c r="N303" i="27"/>
  <c r="N273" i="27" s="1"/>
  <c r="N251" i="27"/>
  <c r="U281" i="27"/>
  <c r="N79" i="13"/>
  <c r="H79" i="27"/>
  <c r="U79" i="27" s="1"/>
  <c r="N315" i="13"/>
  <c r="H315" i="27"/>
  <c r="U315" i="27" s="1"/>
  <c r="AC365" i="3"/>
  <c r="H119" i="27"/>
  <c r="U119" i="27" s="1"/>
  <c r="N119" i="13"/>
  <c r="U119" i="13" s="1"/>
  <c r="N72" i="13"/>
  <c r="U72" i="13" s="1"/>
  <c r="H72" i="27"/>
  <c r="AC27" i="3"/>
  <c r="N161" i="27"/>
  <c r="N254" i="27"/>
  <c r="U284" i="27"/>
  <c r="G212" i="27"/>
  <c r="T192" i="27"/>
  <c r="S54" i="27"/>
  <c r="G27" i="27"/>
  <c r="T27" i="27" s="1"/>
  <c r="T57" i="27"/>
  <c r="G141" i="27"/>
  <c r="T141" i="27" s="1"/>
  <c r="T298" i="13"/>
  <c r="U290" i="27"/>
  <c r="N260" i="27"/>
  <c r="U260" i="27" s="1"/>
  <c r="M27" i="13"/>
  <c r="F333" i="27"/>
  <c r="S311" i="27"/>
  <c r="F26" i="27"/>
  <c r="G148" i="27"/>
  <c r="T148" i="27" s="1"/>
  <c r="T178" i="27"/>
  <c r="H11" i="27"/>
  <c r="H63" i="27"/>
  <c r="H333" i="27"/>
  <c r="U311" i="27"/>
  <c r="U50" i="27"/>
  <c r="T120" i="13"/>
  <c r="H142" i="27"/>
  <c r="N77" i="13"/>
  <c r="U77" i="13" s="1"/>
  <c r="H77" i="27"/>
  <c r="U77" i="27" s="1"/>
  <c r="U165" i="27"/>
  <c r="F29" i="13"/>
  <c r="AC384" i="3"/>
  <c r="H206" i="27"/>
  <c r="U206" i="27" s="1"/>
  <c r="N109" i="13"/>
  <c r="H109" i="27"/>
  <c r="U109" i="27" s="1"/>
  <c r="H183" i="27"/>
  <c r="H131" i="27"/>
  <c r="AC405" i="3"/>
  <c r="H61" i="27"/>
  <c r="H268" i="13"/>
  <c r="H298" i="27"/>
  <c r="N298" i="13"/>
  <c r="F29" i="27"/>
  <c r="G13" i="27"/>
  <c r="T13" i="27" s="1"/>
  <c r="T43" i="27"/>
  <c r="M11" i="27"/>
  <c r="T11" i="27" s="1"/>
  <c r="N266" i="27"/>
  <c r="G19" i="27"/>
  <c r="T19" i="27" s="1"/>
  <c r="N137" i="27"/>
  <c r="U137" i="27" s="1"/>
  <c r="U167" i="27"/>
  <c r="F122" i="27"/>
  <c r="F124" i="27" s="1"/>
  <c r="S164" i="27"/>
  <c r="L134" i="27"/>
  <c r="S134" i="27" s="1"/>
  <c r="G31" i="27"/>
  <c r="T31" i="27" s="1"/>
  <c r="T61" i="27"/>
  <c r="S178" i="27"/>
  <c r="F148" i="27"/>
  <c r="S148" i="27" s="1"/>
  <c r="S43" i="27"/>
  <c r="L13" i="27"/>
  <c r="S13" i="27" s="1"/>
  <c r="U48" i="27"/>
  <c r="N18" i="27"/>
  <c r="U166" i="27"/>
  <c r="N136" i="27"/>
  <c r="S47" i="27"/>
  <c r="L17" i="27"/>
  <c r="S17" i="27" s="1"/>
  <c r="N148" i="27"/>
  <c r="U179" i="27"/>
  <c r="N149" i="27"/>
  <c r="T328" i="13"/>
  <c r="F63" i="27"/>
  <c r="F11" i="27"/>
  <c r="S74" i="27"/>
  <c r="S266" i="27"/>
  <c r="U42" i="27"/>
  <c r="N62" i="27"/>
  <c r="N12" i="27"/>
  <c r="G29" i="27"/>
  <c r="T29" i="27" s="1"/>
  <c r="N88" i="13"/>
  <c r="H87" i="27"/>
  <c r="U87" i="27" s="1"/>
  <c r="N87" i="13"/>
  <c r="U87" i="13" s="1"/>
  <c r="U59" i="27"/>
  <c r="N29" i="27"/>
  <c r="L141" i="27"/>
  <c r="S141" i="27" s="1"/>
  <c r="S171" i="27"/>
  <c r="H213" i="27"/>
  <c r="U191" i="27"/>
  <c r="AC44" i="3"/>
  <c r="H282" i="27"/>
  <c r="U282" i="27" s="1"/>
  <c r="G28" i="27"/>
  <c r="T28" i="27" s="1"/>
  <c r="T88" i="27"/>
  <c r="L132" i="27"/>
  <c r="L182" i="27"/>
  <c r="L184" i="27" s="1"/>
  <c r="S162" i="27"/>
  <c r="G92" i="27"/>
  <c r="T72" i="27"/>
  <c r="L20" i="27"/>
  <c r="S20" i="27" s="1"/>
  <c r="S50" i="27"/>
  <c r="U54" i="27"/>
  <c r="N121" i="13"/>
  <c r="H121" i="27"/>
  <c r="U121" i="27" s="1"/>
  <c r="N44" i="13"/>
  <c r="H44" i="27"/>
  <c r="S181" i="27"/>
  <c r="L151" i="27"/>
  <c r="S151" i="27" s="1"/>
  <c r="G182" i="27"/>
  <c r="G147" i="27"/>
  <c r="T147" i="27" s="1"/>
  <c r="T177" i="27"/>
  <c r="N271" i="27"/>
  <c r="L27" i="13"/>
  <c r="N296" i="13"/>
  <c r="H296" i="27"/>
  <c r="H266" i="27" s="1"/>
  <c r="AC68" i="3"/>
  <c r="H43" i="27"/>
  <c r="G22" i="27"/>
  <c r="T22" i="27" s="1"/>
  <c r="T52" i="27"/>
  <c r="S169" i="27"/>
  <c r="L139" i="27"/>
  <c r="S139" i="27" s="1"/>
  <c r="U52" i="27"/>
  <c r="N22" i="27"/>
  <c r="S58" i="27"/>
  <c r="L28" i="27"/>
  <c r="U312" i="27"/>
  <c r="H178" i="27"/>
  <c r="N178" i="13"/>
  <c r="U51" i="27"/>
  <c r="N86" i="13"/>
  <c r="U86" i="13" s="1"/>
  <c r="H86" i="27"/>
  <c r="U86" i="27" s="1"/>
  <c r="AC342" i="3"/>
  <c r="H55" i="27"/>
  <c r="U55" i="27" s="1"/>
  <c r="T87" i="13"/>
  <c r="L138" i="27"/>
  <c r="S138" i="27" s="1"/>
  <c r="S168" i="27"/>
  <c r="N147" i="27"/>
  <c r="S298" i="13"/>
  <c r="L268" i="13"/>
  <c r="S268" i="13" s="1"/>
  <c r="S45" i="27"/>
  <c r="L15" i="27"/>
  <c r="S15" i="27" s="1"/>
  <c r="AC49" i="3"/>
  <c r="H102" i="27"/>
  <c r="T178" i="13"/>
  <c r="G148" i="13"/>
  <c r="N252" i="27"/>
  <c r="N302" i="27"/>
  <c r="F268" i="27"/>
  <c r="F272" i="27" s="1"/>
  <c r="F274" i="27" s="1"/>
  <c r="G255" i="27"/>
  <c r="T255" i="27" s="1"/>
  <c r="T285" i="27"/>
  <c r="H145" i="27"/>
  <c r="H133" i="27"/>
  <c r="AC205" i="3"/>
  <c r="H200" i="27"/>
  <c r="U200" i="27" s="1"/>
  <c r="AC346" i="3"/>
  <c r="H115" i="27"/>
  <c r="U115" i="27" s="1"/>
  <c r="S292" i="27"/>
  <c r="L262" i="27"/>
  <c r="S262" i="27" s="1"/>
  <c r="F182" i="27"/>
  <c r="F184" i="27" s="1"/>
  <c r="M303" i="27"/>
  <c r="M273" i="27" s="1"/>
  <c r="T281" i="27"/>
  <c r="M251" i="27"/>
  <c r="S294" i="27"/>
  <c r="L264" i="27"/>
  <c r="S264" i="27" s="1"/>
  <c r="G252" i="27"/>
  <c r="G302" i="27"/>
  <c r="T282" i="27"/>
  <c r="S73" i="27"/>
  <c r="F22" i="27"/>
  <c r="S178" i="13"/>
  <c r="L148" i="13"/>
  <c r="F183" i="27"/>
  <c r="F131" i="27"/>
  <c r="U49" i="27"/>
  <c r="N19" i="27"/>
  <c r="S75" i="27"/>
  <c r="L268" i="27"/>
  <c r="S298" i="27"/>
  <c r="T172" i="27"/>
  <c r="G142" i="27"/>
  <c r="T142" i="27" s="1"/>
  <c r="N47" i="26"/>
  <c r="L149" i="13"/>
  <c r="F28" i="13"/>
  <c r="L28" i="13"/>
  <c r="M149" i="13"/>
  <c r="T117" i="13"/>
  <c r="G27" i="13"/>
  <c r="G28" i="13"/>
  <c r="F149" i="13"/>
  <c r="M93" i="13"/>
  <c r="G147" i="13"/>
  <c r="M147" i="13"/>
  <c r="N76" i="12"/>
  <c r="S71" i="13"/>
  <c r="N61" i="13"/>
  <c r="O113" i="25"/>
  <c r="N195" i="13"/>
  <c r="H121" i="13"/>
  <c r="O111" i="25"/>
  <c r="C38" i="26"/>
  <c r="I38" i="26"/>
  <c r="L150" i="13"/>
  <c r="H16" i="26"/>
  <c r="H48" i="26"/>
  <c r="I96" i="26"/>
  <c r="AC46" i="3"/>
  <c r="C47" i="26"/>
  <c r="AC91" i="3"/>
  <c r="N71" i="13"/>
  <c r="N93" i="13" s="1"/>
  <c r="L48" i="26"/>
  <c r="F150" i="13"/>
  <c r="H13" i="26"/>
  <c r="H106" i="26" a="1"/>
  <c r="H106" i="26" s="1"/>
  <c r="AC18" i="3"/>
  <c r="G18" i="12"/>
  <c r="N41" i="13"/>
  <c r="G48" i="26"/>
  <c r="G16" i="26"/>
  <c r="H16" i="12"/>
  <c r="T179" i="13"/>
  <c r="N43" i="13"/>
  <c r="N161" i="13"/>
  <c r="G77" i="26"/>
  <c r="G9" i="26"/>
  <c r="H9" i="12"/>
  <c r="I9" i="12" s="1"/>
  <c r="L147" i="13"/>
  <c r="F147" i="13"/>
  <c r="M17" i="26"/>
  <c r="N17" i="26" s="1"/>
  <c r="I17" i="26"/>
  <c r="N281" i="13"/>
  <c r="G13" i="26"/>
  <c r="G106" i="26"/>
  <c r="H13" i="12"/>
  <c r="N101" i="13"/>
  <c r="Q48" i="26"/>
  <c r="S48" i="26" s="1"/>
  <c r="G18" i="26"/>
  <c r="H18" i="12"/>
  <c r="G16" i="12"/>
  <c r="I67" i="26"/>
  <c r="C67" i="26"/>
  <c r="N311" i="13"/>
  <c r="G14" i="26"/>
  <c r="L106" i="26"/>
  <c r="N106" i="26" s="1"/>
  <c r="H14" i="12"/>
  <c r="I14" i="12" s="1"/>
  <c r="AC19" i="3"/>
  <c r="G11" i="12"/>
  <c r="I11" i="12" s="1"/>
  <c r="N191" i="13"/>
  <c r="G10" i="26"/>
  <c r="L77" i="26"/>
  <c r="N77" i="26" s="1"/>
  <c r="H10" i="12"/>
  <c r="H9" i="26"/>
  <c r="H77" i="26" a="1"/>
  <c r="H77" i="26" s="1"/>
  <c r="N47" i="12"/>
  <c r="F269" i="13"/>
  <c r="N67" i="12"/>
  <c r="I105" i="12"/>
  <c r="N38" i="12"/>
  <c r="G48" i="12" a="1"/>
  <c r="G48" i="12" s="1"/>
  <c r="AC335" i="3"/>
  <c r="N201" i="13"/>
  <c r="H234" i="13"/>
  <c r="AC243" i="3"/>
  <c r="H203" i="13"/>
  <c r="U65" i="25"/>
  <c r="AC273" i="3"/>
  <c r="H88" i="13"/>
  <c r="AC295" i="3"/>
  <c r="H239" i="13"/>
  <c r="U239" i="13" s="1"/>
  <c r="T299" i="13"/>
  <c r="M269" i="13"/>
  <c r="T269" i="13" s="1"/>
  <c r="AC297" i="3"/>
  <c r="N299" i="13"/>
  <c r="AC293" i="3"/>
  <c r="H329" i="13"/>
  <c r="AC289" i="3"/>
  <c r="H299" i="13"/>
  <c r="AC107" i="3"/>
  <c r="H75" i="13"/>
  <c r="AC301" i="3"/>
  <c r="N329" i="13"/>
  <c r="H71" i="13"/>
  <c r="H93" i="13" s="1"/>
  <c r="AC179" i="3"/>
  <c r="H79" i="13"/>
  <c r="S299" i="13"/>
  <c r="L269" i="13"/>
  <c r="AC276" i="3"/>
  <c r="H237" i="13"/>
  <c r="U237" i="13" s="1"/>
  <c r="AC360" i="3"/>
  <c r="H240" i="13"/>
  <c r="U240" i="13" s="1"/>
  <c r="S329" i="13"/>
  <c r="AC258" i="3"/>
  <c r="H83" i="13"/>
  <c r="U83" i="13" s="1"/>
  <c r="Q27" i="13"/>
  <c r="Q30" i="13"/>
  <c r="T60" i="13"/>
  <c r="F30" i="13"/>
  <c r="G30" i="13"/>
  <c r="K65" i="25"/>
  <c r="U65" i="11"/>
  <c r="K65" i="11"/>
  <c r="H312" i="13"/>
  <c r="N55" i="13"/>
  <c r="H171" i="13"/>
  <c r="N120" i="13"/>
  <c r="AC238" i="3"/>
  <c r="N105" i="13"/>
  <c r="AC135" i="3"/>
  <c r="H166" i="13"/>
  <c r="H41" i="13"/>
  <c r="N292" i="13"/>
  <c r="AC137" i="3"/>
  <c r="AC129" i="3"/>
  <c r="AC151" i="3"/>
  <c r="AC302" i="3"/>
  <c r="H192" i="13"/>
  <c r="H179" i="13"/>
  <c r="M77" i="12" a="1"/>
  <c r="M77" i="12" s="1"/>
  <c r="AC25" i="3"/>
  <c r="H195" i="13"/>
  <c r="AC196" i="3"/>
  <c r="N331" i="13"/>
  <c r="H115" i="13"/>
  <c r="AC47" i="3"/>
  <c r="S179" i="13"/>
  <c r="H225" i="13"/>
  <c r="H104" i="13"/>
  <c r="H196" i="13"/>
  <c r="H324" i="13"/>
  <c r="AC363" i="3"/>
  <c r="AC404" i="3"/>
  <c r="AC117" i="3"/>
  <c r="N102" i="13"/>
  <c r="AC20" i="3"/>
  <c r="O115" i="11"/>
  <c r="M48" i="12" a="1"/>
  <c r="M48" i="12" s="1"/>
  <c r="N282" i="13"/>
  <c r="N111" i="25"/>
  <c r="AC187" i="3"/>
  <c r="H77" i="12" a="1"/>
  <c r="H77" i="12" s="1"/>
  <c r="AC14" i="3"/>
  <c r="AC24" i="3"/>
  <c r="H105" i="13"/>
  <c r="H114" i="13"/>
  <c r="S59" i="13"/>
  <c r="O111" i="11"/>
  <c r="AC197" i="3"/>
  <c r="H49" i="13"/>
  <c r="Q147" i="13"/>
  <c r="H170" i="13"/>
  <c r="N200" i="13"/>
  <c r="H232" i="13"/>
  <c r="H177" i="13"/>
  <c r="T210" i="13"/>
  <c r="H331" i="13"/>
  <c r="H235" i="13"/>
  <c r="N110" i="13"/>
  <c r="H109" i="13"/>
  <c r="N206" i="13"/>
  <c r="N114" i="25"/>
  <c r="N313" i="13"/>
  <c r="S58" i="13"/>
  <c r="AC409" i="3"/>
  <c r="AC381" i="3"/>
  <c r="H224" i="13"/>
  <c r="N115" i="25"/>
  <c r="H53" i="13"/>
  <c r="T59" i="13"/>
  <c r="S118" i="13"/>
  <c r="AC115" i="3"/>
  <c r="AC403" i="3"/>
  <c r="N181" i="13"/>
  <c r="AC261" i="3"/>
  <c r="H113" i="13"/>
  <c r="L106" i="12" a="1"/>
  <c r="L106" i="12" s="1"/>
  <c r="H311" i="13"/>
  <c r="AC333" i="3"/>
  <c r="H295" i="13"/>
  <c r="S177" i="13"/>
  <c r="AC379" i="3"/>
  <c r="H236" i="13"/>
  <c r="AC314" i="3"/>
  <c r="AC86" i="3"/>
  <c r="H314" i="13"/>
  <c r="AC82" i="3"/>
  <c r="H284" i="13"/>
  <c r="AC374" i="3"/>
  <c r="AC36" i="3"/>
  <c r="H282" i="13"/>
  <c r="AC294" i="3"/>
  <c r="H118" i="13"/>
  <c r="AC380" i="3"/>
  <c r="N176" i="13"/>
  <c r="AC83" i="3"/>
  <c r="H44" i="13"/>
  <c r="AC41" i="3"/>
  <c r="H102" i="13"/>
  <c r="AC145" i="3"/>
  <c r="H47" i="13"/>
  <c r="AC37" i="3"/>
  <c r="H42" i="13"/>
  <c r="AC300" i="3"/>
  <c r="N209" i="13"/>
  <c r="AC48" i="3"/>
  <c r="N312" i="13"/>
  <c r="AC150" i="3"/>
  <c r="N167" i="13"/>
  <c r="AC240" i="3"/>
  <c r="N172" i="13"/>
  <c r="AC397" i="3"/>
  <c r="H61" i="13"/>
  <c r="AC399" i="3"/>
  <c r="H211" i="13"/>
  <c r="AC136" i="3"/>
  <c r="N196" i="13"/>
  <c r="AC164" i="3"/>
  <c r="H108" i="13"/>
  <c r="AC134" i="3"/>
  <c r="N46" i="13"/>
  <c r="S209" i="13"/>
  <c r="AC89" i="3"/>
  <c r="N164" i="13"/>
  <c r="AC237" i="3"/>
  <c r="H322" i="13"/>
  <c r="AC260" i="3"/>
  <c r="H323" i="13"/>
  <c r="AC216" i="3"/>
  <c r="H51" i="13"/>
  <c r="AC64" i="3"/>
  <c r="H103" i="13"/>
  <c r="S181" i="13"/>
  <c r="AC334" i="3"/>
  <c r="H55" i="13"/>
  <c r="AC372" i="3"/>
  <c r="H176" i="13"/>
  <c r="AC383" i="3"/>
  <c r="AC144" i="3"/>
  <c r="H167" i="13"/>
  <c r="S60" i="13"/>
  <c r="AC92" i="3"/>
  <c r="AC94" i="3"/>
  <c r="N314" i="13"/>
  <c r="S120" i="13"/>
  <c r="AC386" i="3"/>
  <c r="N116" i="13"/>
  <c r="AC38" i="3"/>
  <c r="AC356" i="3"/>
  <c r="H60" i="13"/>
  <c r="AC321" i="3"/>
  <c r="AC344" i="3"/>
  <c r="N205" i="13"/>
  <c r="AC336" i="3"/>
  <c r="H205" i="13"/>
  <c r="AC204" i="3"/>
  <c r="AC245" i="3"/>
  <c r="N322" i="13"/>
  <c r="AC149" i="3"/>
  <c r="H227" i="13"/>
  <c r="AC147" i="3"/>
  <c r="H197" i="13"/>
  <c r="AC377" i="3"/>
  <c r="H326" i="13"/>
  <c r="AC112" i="3"/>
  <c r="N165" i="13"/>
  <c r="AC362" i="3"/>
  <c r="N60" i="13"/>
  <c r="AC225" i="3"/>
  <c r="N111" i="13"/>
  <c r="AC113" i="3"/>
  <c r="N285" i="13"/>
  <c r="AC170" i="3"/>
  <c r="N108" i="13"/>
  <c r="AC65" i="3"/>
  <c r="H223" i="13"/>
  <c r="L48" i="12" a="1"/>
  <c r="L48" i="12" s="1"/>
  <c r="AC376" i="3"/>
  <c r="H206" i="13"/>
  <c r="AC292" i="3"/>
  <c r="H209" i="13"/>
  <c r="AC345" i="3"/>
  <c r="N325" i="13"/>
  <c r="AC312" i="3"/>
  <c r="H294" i="13"/>
  <c r="AC59" i="3"/>
  <c r="H283" i="13"/>
  <c r="AC195" i="3"/>
  <c r="H290" i="13"/>
  <c r="AC319" i="3"/>
  <c r="N174" i="13"/>
  <c r="AC131" i="3"/>
  <c r="H106" i="13"/>
  <c r="AC235" i="3"/>
  <c r="AC274" i="3"/>
  <c r="H207" i="13"/>
  <c r="AC198" i="3"/>
  <c r="H200" i="13"/>
  <c r="AC320" i="3"/>
  <c r="N54" i="13"/>
  <c r="AC361" i="3"/>
  <c r="N180" i="13"/>
  <c r="T209" i="13"/>
  <c r="AC244" i="3"/>
  <c r="N202" i="13"/>
  <c r="AC67" i="3"/>
  <c r="N283" i="13"/>
  <c r="AC296" i="3"/>
  <c r="N179" i="13"/>
  <c r="AC90" i="3"/>
  <c r="N284" i="13"/>
  <c r="AC232" i="3"/>
  <c r="H172" i="13"/>
  <c r="AC357" i="3"/>
  <c r="AC217" i="3"/>
  <c r="AC311" i="3"/>
  <c r="H174" i="13"/>
  <c r="AC395" i="3"/>
  <c r="H181" i="13"/>
  <c r="S117" i="13"/>
  <c r="AC163" i="3"/>
  <c r="H198" i="13"/>
  <c r="I17" i="12"/>
  <c r="AC375" i="3"/>
  <c r="AC93" i="3"/>
  <c r="N194" i="13"/>
  <c r="G106" i="12" a="1"/>
  <c r="G106" i="12" s="1"/>
  <c r="H281" i="13"/>
  <c r="AC128" i="3"/>
  <c r="H46" i="13"/>
  <c r="AC182" i="3"/>
  <c r="H229" i="13"/>
  <c r="AC203" i="3"/>
  <c r="N50" i="13"/>
  <c r="AC234" i="3"/>
  <c r="H52" i="13"/>
  <c r="AC402" i="3"/>
  <c r="AC290" i="3"/>
  <c r="H59" i="13"/>
  <c r="AC85" i="3"/>
  <c r="H194" i="13"/>
  <c r="AC165" i="3"/>
  <c r="H228" i="13"/>
  <c r="AC66" i="3"/>
  <c r="N163" i="13"/>
  <c r="AC95" i="3"/>
  <c r="N104" i="13"/>
  <c r="AC221" i="3"/>
  <c r="N171" i="13"/>
  <c r="AC109" i="3"/>
  <c r="H315" i="13"/>
  <c r="AC183" i="3"/>
  <c r="N169" i="13"/>
  <c r="AC322" i="3"/>
  <c r="N204" i="13"/>
  <c r="AC236" i="3"/>
  <c r="H202" i="13"/>
  <c r="AC406" i="3"/>
  <c r="AC60" i="3"/>
  <c r="H43" i="13"/>
  <c r="AC184" i="3"/>
  <c r="N49" i="13"/>
  <c r="AC162" i="3"/>
  <c r="AC358" i="3"/>
  <c r="H210" i="13"/>
  <c r="AC382" i="3"/>
  <c r="N56" i="13"/>
  <c r="AC84" i="3"/>
  <c r="AC385" i="3"/>
  <c r="N326" i="13"/>
  <c r="AC58" i="3"/>
  <c r="H163" i="13"/>
  <c r="AC167" i="3"/>
  <c r="N48" i="13"/>
  <c r="AC133" i="3"/>
  <c r="N166" i="13"/>
  <c r="AC104" i="3"/>
  <c r="H165" i="13"/>
  <c r="AC114" i="3"/>
  <c r="N45" i="13"/>
  <c r="AC275" i="3"/>
  <c r="H117" i="13"/>
  <c r="H27" i="13" s="1"/>
  <c r="AC313" i="3"/>
  <c r="H54" i="13"/>
  <c r="AC15" i="3"/>
  <c r="AC222" i="3"/>
  <c r="N51" i="13"/>
  <c r="AC341" i="3"/>
  <c r="N295" i="13"/>
  <c r="AC398" i="3"/>
  <c r="AC45" i="3"/>
  <c r="N42" i="13"/>
  <c r="AC373" i="3"/>
  <c r="H296" i="13"/>
  <c r="AC299" i="3"/>
  <c r="AC202" i="3"/>
  <c r="N170" i="13"/>
  <c r="AC132" i="3"/>
  <c r="H226" i="13"/>
  <c r="AC340" i="3"/>
  <c r="N175" i="13"/>
  <c r="AC169" i="3"/>
  <c r="N198" i="13"/>
  <c r="AC218" i="3"/>
  <c r="H201" i="13"/>
  <c r="AC69" i="3"/>
  <c r="AC364" i="3"/>
  <c r="N210" i="13"/>
  <c r="S180" i="13"/>
  <c r="AC233" i="3"/>
  <c r="H292" i="13"/>
  <c r="AC281" i="3"/>
  <c r="N117" i="13"/>
  <c r="T58" i="13"/>
  <c r="AC177" i="3"/>
  <c r="H169" i="13"/>
  <c r="AC160" i="3"/>
  <c r="H168" i="13"/>
  <c r="AC337" i="3"/>
  <c r="H325" i="13"/>
  <c r="O114" i="11"/>
  <c r="L77" i="12" a="1"/>
  <c r="L77" i="12" s="1"/>
  <c r="H191" i="13"/>
  <c r="N116" i="25"/>
  <c r="AC61" i="3"/>
  <c r="AC168" i="3"/>
  <c r="AC355" i="3"/>
  <c r="H180" i="13"/>
  <c r="AC278" i="3"/>
  <c r="N58" i="13"/>
  <c r="AC272" i="3"/>
  <c r="H58" i="13"/>
  <c r="AC291" i="3"/>
  <c r="AC332" i="3"/>
  <c r="H175" i="13"/>
  <c r="AC43" i="3"/>
  <c r="N162" i="13"/>
  <c r="AC280" i="3"/>
  <c r="N207" i="13"/>
  <c r="N147" i="13" s="1"/>
  <c r="AC62" i="3"/>
  <c r="H193" i="13"/>
  <c r="AC298" i="3"/>
  <c r="N59" i="13"/>
  <c r="S210" i="13"/>
  <c r="AC279" i="3"/>
  <c r="Q48" i="12" a="1"/>
  <c r="Q48" i="12" s="1"/>
  <c r="H101" i="13"/>
  <c r="AC161" i="3"/>
  <c r="H48" i="13"/>
  <c r="AC223" i="3"/>
  <c r="AC396" i="3"/>
  <c r="H301" i="13"/>
  <c r="AC246" i="3"/>
  <c r="N112" i="13"/>
  <c r="AC219" i="3"/>
  <c r="H111" i="13"/>
  <c r="AC23" i="3"/>
  <c r="M106" i="12" a="1"/>
  <c r="M106" i="12" s="1"/>
  <c r="Q77" i="12" a="1"/>
  <c r="Q77" i="12" s="1"/>
  <c r="S77" i="12" s="1"/>
  <c r="H221" i="13"/>
  <c r="AC199" i="3"/>
  <c r="H320" i="13"/>
  <c r="S207" i="13"/>
  <c r="AC242" i="3"/>
  <c r="N52" i="13"/>
  <c r="AC152" i="3"/>
  <c r="AC220" i="3"/>
  <c r="H231" i="13"/>
  <c r="AC166" i="3"/>
  <c r="N168" i="13"/>
  <c r="AC153" i="3"/>
  <c r="N107" i="13"/>
  <c r="AC201" i="3"/>
  <c r="H230" i="13"/>
  <c r="O116" i="11"/>
  <c r="H162" i="13"/>
  <c r="AC35" i="3"/>
  <c r="AC81" i="3"/>
  <c r="H164" i="13"/>
  <c r="AC63" i="3"/>
  <c r="H313" i="13"/>
  <c r="AC70" i="3"/>
  <c r="N193" i="13"/>
  <c r="AC359" i="3"/>
  <c r="H120" i="13"/>
  <c r="AC262" i="3"/>
  <c r="H233" i="13"/>
  <c r="AC148" i="3"/>
  <c r="H107" i="13"/>
  <c r="AC105" i="3"/>
  <c r="H285" i="13"/>
  <c r="T181" i="13"/>
  <c r="AC343" i="3"/>
  <c r="AC200" i="3"/>
  <c r="H110" i="13"/>
  <c r="AC255" i="3"/>
  <c r="H173" i="13"/>
  <c r="AC378" i="3"/>
  <c r="H116" i="13"/>
  <c r="AC146" i="3"/>
  <c r="AC186" i="3"/>
  <c r="N199" i="13"/>
  <c r="AC42" i="3"/>
  <c r="H222" i="13"/>
  <c r="AC315" i="3"/>
  <c r="H204" i="13"/>
  <c r="AC256" i="3"/>
  <c r="H293" i="13"/>
  <c r="AC72" i="3"/>
  <c r="N103" i="13"/>
  <c r="B32" i="25"/>
  <c r="H42" i="25"/>
  <c r="I42" i="25" s="1" a="1"/>
  <c r="I42" i="25" s="1"/>
  <c r="AC30" i="3"/>
  <c r="O114" i="25"/>
  <c r="U64" i="25"/>
  <c r="H43" i="25"/>
  <c r="I43" i="25" s="1" a="1"/>
  <c r="I43" i="25" s="1"/>
  <c r="B33" i="25"/>
  <c r="N113" i="25"/>
  <c r="H48" i="12"/>
  <c r="AC28" i="3"/>
  <c r="O112" i="25"/>
  <c r="H41" i="25"/>
  <c r="I41" i="25" s="1" a="1"/>
  <c r="I41" i="25" s="1"/>
  <c r="B31" i="25"/>
  <c r="E31" i="25" s="1"/>
  <c r="Q43" i="25"/>
  <c r="R43" i="25" s="1" a="1"/>
  <c r="R43" i="25" s="1"/>
  <c r="P33" i="25"/>
  <c r="Q42" i="25"/>
  <c r="R42" i="25" s="1" a="1"/>
  <c r="R42" i="25" s="1"/>
  <c r="P32" i="25"/>
  <c r="P31" i="25"/>
  <c r="Q41" i="25"/>
  <c r="R41" i="25" s="1" a="1"/>
  <c r="R41" i="25" s="1"/>
  <c r="N117" i="25"/>
  <c r="R48" i="12" a="1"/>
  <c r="R48" i="12" s="1"/>
  <c r="N112" i="25"/>
  <c r="H106" i="12" a="1"/>
  <c r="H106" i="12" s="1"/>
  <c r="K64" i="25"/>
  <c r="AC13" i="3"/>
  <c r="AC17" i="3"/>
  <c r="AC21" i="3"/>
  <c r="O112" i="11"/>
  <c r="AC26" i="3"/>
  <c r="O117" i="11"/>
  <c r="AC22" i="3"/>
  <c r="O113" i="11"/>
  <c r="AC16" i="3"/>
  <c r="B8" i="11"/>
  <c r="C8" i="11" s="1" a="1"/>
  <c r="C8" i="11" s="1"/>
  <c r="A8" i="11"/>
  <c r="I13" i="12" l="1"/>
  <c r="S28" i="27"/>
  <c r="G12" i="12"/>
  <c r="U89" i="13"/>
  <c r="H146" i="27"/>
  <c r="U146" i="27" s="1"/>
  <c r="S31" i="27"/>
  <c r="S29" i="13"/>
  <c r="U265" i="27"/>
  <c r="H16" i="27"/>
  <c r="U16" i="27" s="1"/>
  <c r="N28" i="13"/>
  <c r="F95" i="13"/>
  <c r="F214" i="27"/>
  <c r="H29" i="13"/>
  <c r="U134" i="27"/>
  <c r="H140" i="27"/>
  <c r="U140" i="27" s="1"/>
  <c r="H12" i="27"/>
  <c r="U12" i="27" s="1"/>
  <c r="S19" i="27"/>
  <c r="U133" i="27"/>
  <c r="H26" i="27"/>
  <c r="U26" i="27" s="1"/>
  <c r="N27" i="13"/>
  <c r="U136" i="27"/>
  <c r="L65" i="27"/>
  <c r="H33" i="27"/>
  <c r="F153" i="27"/>
  <c r="U76" i="27"/>
  <c r="S27" i="27"/>
  <c r="F65" i="27"/>
  <c r="U142" i="27"/>
  <c r="H14" i="27"/>
  <c r="U14" i="27" s="1"/>
  <c r="U292" i="27"/>
  <c r="L94" i="13"/>
  <c r="H135" i="27"/>
  <c r="U135" i="27" s="1"/>
  <c r="U262" i="27"/>
  <c r="U88" i="13"/>
  <c r="H12" i="12"/>
  <c r="H148" i="27"/>
  <c r="U148" i="27" s="1"/>
  <c r="H268" i="27"/>
  <c r="U268" i="27" s="1"/>
  <c r="F32" i="27"/>
  <c r="F34" i="27" s="1"/>
  <c r="U75" i="13"/>
  <c r="L185" i="27"/>
  <c r="T28" i="13"/>
  <c r="H153" i="27"/>
  <c r="H273" i="27"/>
  <c r="F273" i="27"/>
  <c r="U144" i="27"/>
  <c r="N149" i="13"/>
  <c r="T149" i="13"/>
  <c r="H21" i="27"/>
  <c r="U21" i="27" s="1"/>
  <c r="U79" i="13"/>
  <c r="F185" i="27"/>
  <c r="T251" i="27"/>
  <c r="U149" i="27"/>
  <c r="U151" i="27"/>
  <c r="H31" i="27"/>
  <c r="U31" i="27" s="1"/>
  <c r="H15" i="27"/>
  <c r="U15" i="27" s="1"/>
  <c r="F33" i="27"/>
  <c r="I16" i="12"/>
  <c r="S12" i="27"/>
  <c r="L32" i="27"/>
  <c r="L34" i="27" s="1"/>
  <c r="N93" i="27"/>
  <c r="U71" i="27"/>
  <c r="U298" i="13"/>
  <c r="N268" i="13"/>
  <c r="U268" i="13" s="1"/>
  <c r="H29" i="27"/>
  <c r="U29" i="27" s="1"/>
  <c r="S131" i="27"/>
  <c r="N148" i="13"/>
  <c r="U178" i="13"/>
  <c r="H182" i="27"/>
  <c r="F275" i="27"/>
  <c r="U147" i="27"/>
  <c r="S132" i="27"/>
  <c r="L152" i="27"/>
  <c r="L154" i="27" s="1"/>
  <c r="G32" i="27"/>
  <c r="H17" i="27"/>
  <c r="U17" i="27" s="1"/>
  <c r="U145" i="27"/>
  <c r="U177" i="27"/>
  <c r="G152" i="27"/>
  <c r="S26" i="27"/>
  <c r="N272" i="27"/>
  <c r="U254" i="27"/>
  <c r="H15" i="12"/>
  <c r="T27" i="13"/>
  <c r="H24" i="27"/>
  <c r="U24" i="27" s="1"/>
  <c r="U296" i="27"/>
  <c r="U161" i="27"/>
  <c r="N131" i="27"/>
  <c r="U131" i="27" s="1"/>
  <c r="N183" i="27"/>
  <c r="N153" i="27" s="1"/>
  <c r="H28" i="27"/>
  <c r="U28" i="27" s="1"/>
  <c r="H141" i="27"/>
  <c r="U141" i="27" s="1"/>
  <c r="L95" i="27"/>
  <c r="L94" i="27"/>
  <c r="S251" i="27"/>
  <c r="U61" i="27"/>
  <c r="U118" i="13"/>
  <c r="N48" i="26"/>
  <c r="T252" i="27"/>
  <c r="G272" i="27"/>
  <c r="H25" i="27"/>
  <c r="U25" i="27" s="1"/>
  <c r="H22" i="27"/>
  <c r="U22" i="27" s="1"/>
  <c r="H28" i="13"/>
  <c r="H253" i="27"/>
  <c r="U253" i="27" s="1"/>
  <c r="U102" i="27"/>
  <c r="H122" i="27"/>
  <c r="N32" i="27"/>
  <c r="F152" i="27"/>
  <c r="F154" i="27" s="1"/>
  <c r="U72" i="27"/>
  <c r="H92" i="27"/>
  <c r="H18" i="27"/>
  <c r="U18" i="27" s="1"/>
  <c r="L304" i="27"/>
  <c r="L305" i="27"/>
  <c r="H255" i="27"/>
  <c r="U255" i="27" s="1"/>
  <c r="N11" i="27"/>
  <c r="U11" i="27" s="1"/>
  <c r="U41" i="27"/>
  <c r="N63" i="27"/>
  <c r="N92" i="13"/>
  <c r="S29" i="27"/>
  <c r="F334" i="27"/>
  <c r="F335" i="27"/>
  <c r="H13" i="27"/>
  <c r="U43" i="27"/>
  <c r="S11" i="27"/>
  <c r="H332" i="27"/>
  <c r="U266" i="27"/>
  <c r="S268" i="27"/>
  <c r="H302" i="27"/>
  <c r="H252" i="27"/>
  <c r="H20" i="27"/>
  <c r="U20" i="27" s="1"/>
  <c r="N29" i="13"/>
  <c r="U178" i="27"/>
  <c r="F95" i="27"/>
  <c r="F94" i="27"/>
  <c r="H19" i="27"/>
  <c r="U19" i="27" s="1"/>
  <c r="U139" i="27"/>
  <c r="F125" i="27"/>
  <c r="U298" i="27"/>
  <c r="U251" i="27"/>
  <c r="H212" i="27"/>
  <c r="U192" i="27"/>
  <c r="U44" i="27"/>
  <c r="U47" i="27"/>
  <c r="S252" i="27"/>
  <c r="L272" i="27"/>
  <c r="L274" i="27" s="1"/>
  <c r="H271" i="27"/>
  <c r="U271" i="27" s="1"/>
  <c r="H62" i="27"/>
  <c r="H27" i="27"/>
  <c r="U27" i="27" s="1"/>
  <c r="S22" i="27"/>
  <c r="U132" i="27"/>
  <c r="N152" i="27"/>
  <c r="S149" i="13"/>
  <c r="G15" i="12"/>
  <c r="I18" i="12"/>
  <c r="H149" i="13"/>
  <c r="T147" i="13"/>
  <c r="N150" i="13"/>
  <c r="G8" i="12"/>
  <c r="H8" i="12"/>
  <c r="L16" i="26"/>
  <c r="G15" i="26"/>
  <c r="L18" i="26"/>
  <c r="N18" i="26" s="1"/>
  <c r="I18" i="26"/>
  <c r="U177" i="13"/>
  <c r="H147" i="13"/>
  <c r="L10" i="26"/>
  <c r="N10" i="26" s="1"/>
  <c r="I10" i="26"/>
  <c r="C48" i="26"/>
  <c r="I48" i="26"/>
  <c r="H150" i="13"/>
  <c r="I10" i="12"/>
  <c r="I16" i="26"/>
  <c r="H15" i="26"/>
  <c r="M16" i="26"/>
  <c r="H8" i="26"/>
  <c r="M9" i="26"/>
  <c r="I9" i="26"/>
  <c r="L9" i="26"/>
  <c r="G8" i="26"/>
  <c r="L8" i="26" s="1"/>
  <c r="I106" i="26"/>
  <c r="C106" i="26" a="1"/>
  <c r="C106" i="26" s="1"/>
  <c r="C77" i="26"/>
  <c r="I77" i="26"/>
  <c r="G12" i="26"/>
  <c r="L12" i="26" s="1"/>
  <c r="L14" i="26"/>
  <c r="N14" i="26" s="1"/>
  <c r="I14" i="26"/>
  <c r="H12" i="26"/>
  <c r="M13" i="26"/>
  <c r="I13" i="26"/>
  <c r="L13" i="26"/>
  <c r="U209" i="13"/>
  <c r="S269" i="13"/>
  <c r="N48" i="12"/>
  <c r="N77" i="12"/>
  <c r="S48" i="12"/>
  <c r="S27" i="13"/>
  <c r="H269" i="13"/>
  <c r="U299" i="13"/>
  <c r="N269" i="13"/>
  <c r="H92" i="13"/>
  <c r="U329" i="13"/>
  <c r="U71" i="13"/>
  <c r="S28" i="13"/>
  <c r="U120" i="13"/>
  <c r="H30" i="13"/>
  <c r="T30" i="13"/>
  <c r="S30" i="13"/>
  <c r="U179" i="13"/>
  <c r="U210" i="13"/>
  <c r="S147" i="13"/>
  <c r="U60" i="13"/>
  <c r="U117" i="13"/>
  <c r="U181" i="13"/>
  <c r="U207" i="13"/>
  <c r="U59" i="13"/>
  <c r="U58" i="13"/>
  <c r="U180" i="13"/>
  <c r="S32" i="25"/>
  <c r="R32" i="25" s="1"/>
  <c r="V32" i="25"/>
  <c r="U32" i="25" s="1"/>
  <c r="E32" i="25"/>
  <c r="D32" i="25" s="1"/>
  <c r="H32" i="25"/>
  <c r="G32" i="25" s="1"/>
  <c r="V33" i="25"/>
  <c r="U33" i="25" s="1"/>
  <c r="S33" i="25"/>
  <c r="R33" i="25" s="1"/>
  <c r="V31" i="25"/>
  <c r="U31" i="25" s="1"/>
  <c r="S31" i="25"/>
  <c r="R31" i="25" s="1"/>
  <c r="H31" i="25"/>
  <c r="G31" i="25" s="1"/>
  <c r="D31" i="25"/>
  <c r="E33" i="25"/>
  <c r="D33" i="25" s="1"/>
  <c r="H33" i="25"/>
  <c r="G33" i="25" s="1"/>
  <c r="D8" i="11"/>
  <c r="K97" i="11"/>
  <c r="C94" i="11"/>
  <c r="I12" i="12" l="1"/>
  <c r="U29" i="13"/>
  <c r="F35" i="27"/>
  <c r="N16" i="26"/>
  <c r="L155" i="27"/>
  <c r="U149" i="13"/>
  <c r="F155" i="27"/>
  <c r="H152" i="27"/>
  <c r="H32" i="27"/>
  <c r="I15" i="12"/>
  <c r="H19" i="12"/>
  <c r="L35" i="27"/>
  <c r="U252" i="27"/>
  <c r="H272" i="27"/>
  <c r="L275" i="27"/>
  <c r="U13" i="27"/>
  <c r="I8" i="12"/>
  <c r="N33" i="27"/>
  <c r="G19" i="12"/>
  <c r="U30" i="13"/>
  <c r="N9" i="26"/>
  <c r="N13" i="26"/>
  <c r="M8" i="26"/>
  <c r="N8" i="26" s="1"/>
  <c r="I8" i="26"/>
  <c r="I15" i="26"/>
  <c r="M15" i="26"/>
  <c r="H19" i="26"/>
  <c r="M12" i="26"/>
  <c r="N12" i="26" s="1"/>
  <c r="I12" i="26"/>
  <c r="L15" i="26"/>
  <c r="G19" i="26"/>
  <c r="L19" i="26" s="1"/>
  <c r="U269" i="13"/>
  <c r="U27" i="13"/>
  <c r="U28" i="13"/>
  <c r="U147" i="13"/>
  <c r="K94" i="11"/>
  <c r="K99" i="11"/>
  <c r="U94" i="11"/>
  <c r="U99" i="11"/>
  <c r="K95" i="11"/>
  <c r="K100" i="11"/>
  <c r="U95" i="11"/>
  <c r="U100" i="11"/>
  <c r="K96" i="11"/>
  <c r="K101" i="11"/>
  <c r="U96" i="11"/>
  <c r="U101" i="11"/>
  <c r="U97" i="11"/>
  <c r="K98" i="11"/>
  <c r="T94" i="11"/>
  <c r="U98" i="11"/>
  <c r="P44" i="11"/>
  <c r="S44" i="11" s="1"/>
  <c r="G41" i="11"/>
  <c r="I97" i="11"/>
  <c r="G96" i="11"/>
  <c r="B98" i="11"/>
  <c r="B96" i="11"/>
  <c r="M101" i="11"/>
  <c r="X153" i="11"/>
  <c r="Y139" i="11"/>
  <c r="W143" i="11"/>
  <c r="W150" i="11"/>
  <c r="W156" i="11"/>
  <c r="X139" i="11"/>
  <c r="X140" i="11"/>
  <c r="W142" i="11"/>
  <c r="Y144" i="11"/>
  <c r="X141" i="11"/>
  <c r="W137" i="11"/>
  <c r="Y140" i="11"/>
  <c r="Y141" i="11"/>
  <c r="W138" i="11"/>
  <c r="X142" i="11"/>
  <c r="X137" i="11"/>
  <c r="Y142" i="11"/>
  <c r="W144" i="11"/>
  <c r="X150" i="11"/>
  <c r="Y137" i="11"/>
  <c r="W139" i="11"/>
  <c r="X143" i="11"/>
  <c r="V137" i="11"/>
  <c r="X138" i="11"/>
  <c r="W140" i="11"/>
  <c r="Y143" i="11"/>
  <c r="X151" i="11"/>
  <c r="Y138" i="11"/>
  <c r="W141" i="11"/>
  <c r="X144" i="11"/>
  <c r="Y151" i="11"/>
  <c r="B94" i="11"/>
  <c r="D97" i="11"/>
  <c r="N94" i="11"/>
  <c r="S94" i="11"/>
  <c r="M95" i="11"/>
  <c r="R95" i="11"/>
  <c r="L96" i="11"/>
  <c r="Q96" i="11"/>
  <c r="O97" i="11"/>
  <c r="T97" i="11"/>
  <c r="N98" i="11"/>
  <c r="S98" i="11"/>
  <c r="D99" i="11"/>
  <c r="I99" i="11"/>
  <c r="C100" i="11"/>
  <c r="H100" i="11"/>
  <c r="B101" i="11"/>
  <c r="G101" i="11"/>
  <c r="E95" i="11"/>
  <c r="J95" i="11"/>
  <c r="D96" i="11"/>
  <c r="I96" i="11"/>
  <c r="C97" i="11"/>
  <c r="H97" i="11"/>
  <c r="G98" i="11"/>
  <c r="O99" i="11"/>
  <c r="T99" i="11"/>
  <c r="N100" i="11"/>
  <c r="S100" i="11"/>
  <c r="R101" i="11"/>
  <c r="L94" i="11"/>
  <c r="Q94" i="11"/>
  <c r="O95" i="11"/>
  <c r="T95" i="11"/>
  <c r="N96" i="11"/>
  <c r="S96" i="11"/>
  <c r="M97" i="11"/>
  <c r="R97" i="11"/>
  <c r="L98" i="11"/>
  <c r="Q98" i="11"/>
  <c r="B99" i="11"/>
  <c r="G99" i="11"/>
  <c r="E100" i="11"/>
  <c r="J100" i="11"/>
  <c r="D101" i="11"/>
  <c r="I101" i="11"/>
  <c r="B95" i="11"/>
  <c r="G95" i="11"/>
  <c r="E96" i="11"/>
  <c r="J96" i="11"/>
  <c r="C98" i="11"/>
  <c r="H98" i="11"/>
  <c r="L99" i="11"/>
  <c r="Q99" i="11"/>
  <c r="O100" i="11"/>
  <c r="T100" i="11"/>
  <c r="N101" i="11"/>
  <c r="Y157" i="11"/>
  <c r="S101" i="11"/>
  <c r="M94" i="11"/>
  <c r="R94" i="11"/>
  <c r="W151" i="11"/>
  <c r="L95" i="11"/>
  <c r="Q95" i="11"/>
  <c r="O96" i="11"/>
  <c r="T96" i="11"/>
  <c r="N97" i="11"/>
  <c r="Y153" i="11"/>
  <c r="S97" i="11"/>
  <c r="M98" i="11"/>
  <c r="R98" i="11"/>
  <c r="C99" i="11"/>
  <c r="H99" i="11"/>
  <c r="V156" i="11"/>
  <c r="B100" i="11"/>
  <c r="G100" i="11"/>
  <c r="E101" i="11"/>
  <c r="J101" i="11"/>
  <c r="C95" i="11"/>
  <c r="H95" i="11"/>
  <c r="E97" i="11"/>
  <c r="J97" i="11"/>
  <c r="D98" i="11"/>
  <c r="X154" i="11"/>
  <c r="I98" i="11"/>
  <c r="M99" i="11"/>
  <c r="R99" i="11"/>
  <c r="L100" i="11"/>
  <c r="Q100" i="11"/>
  <c r="O101" i="11"/>
  <c r="T101" i="11"/>
  <c r="D95" i="11"/>
  <c r="I95" i="11"/>
  <c r="C96" i="11"/>
  <c r="H96" i="11"/>
  <c r="B97" i="11"/>
  <c r="G97" i="11"/>
  <c r="E98" i="11"/>
  <c r="J98" i="11"/>
  <c r="N99" i="11"/>
  <c r="S99" i="11"/>
  <c r="M100" i="11"/>
  <c r="R100" i="11"/>
  <c r="L101" i="11"/>
  <c r="Q101" i="11"/>
  <c r="O94" i="11"/>
  <c r="N95" i="11"/>
  <c r="S95" i="11"/>
  <c r="M96" i="11"/>
  <c r="R96" i="11"/>
  <c r="L97" i="11"/>
  <c r="Q97" i="11"/>
  <c r="O98" i="11"/>
  <c r="E99" i="11"/>
  <c r="J99" i="11"/>
  <c r="D100" i="11"/>
  <c r="I100" i="11"/>
  <c r="C101" i="11"/>
  <c r="H101" i="11"/>
  <c r="T98" i="11"/>
  <c r="X155" i="11"/>
  <c r="G94" i="11"/>
  <c r="X152" i="11"/>
  <c r="V154" i="11"/>
  <c r="Y156" i="11"/>
  <c r="Y152" i="11"/>
  <c r="W154" i="11"/>
  <c r="X157" i="11"/>
  <c r="V155" i="11"/>
  <c r="H94" i="11"/>
  <c r="V151" i="11"/>
  <c r="W155" i="11"/>
  <c r="D94" i="11"/>
  <c r="I94" i="11"/>
  <c r="V152" i="11"/>
  <c r="Y150" i="11"/>
  <c r="W152" i="11"/>
  <c r="Y154" i="11"/>
  <c r="V157" i="11"/>
  <c r="E94" i="11"/>
  <c r="J94" i="11"/>
  <c r="V153" i="11"/>
  <c r="Y155" i="11"/>
  <c r="W157" i="11"/>
  <c r="V150" i="11"/>
  <c r="W153" i="11"/>
  <c r="X156" i="11"/>
  <c r="V141" i="11"/>
  <c r="V144" i="11"/>
  <c r="V138" i="11"/>
  <c r="V139" i="11"/>
  <c r="V143" i="11"/>
  <c r="V142" i="11"/>
  <c r="V140" i="11"/>
  <c r="W190" i="11"/>
  <c r="I19" i="12" l="1"/>
  <c r="N15" i="26"/>
  <c r="I19" i="26"/>
  <c r="M19" i="26"/>
  <c r="N19" i="26" s="1"/>
  <c r="U191" i="11"/>
  <c r="F102" i="11"/>
  <c r="F104" i="11"/>
  <c r="F105" i="11"/>
  <c r="F103" i="11"/>
  <c r="N105" i="11"/>
  <c r="S105" i="11"/>
  <c r="C105" i="11"/>
  <c r="G105" i="11"/>
  <c r="D105" i="11"/>
  <c r="L105" i="11"/>
  <c r="Q105" i="11"/>
  <c r="I105" i="11"/>
  <c r="H103" i="11"/>
  <c r="H105" i="11"/>
  <c r="R105" i="11"/>
  <c r="J105" i="11"/>
  <c r="M105" i="11"/>
  <c r="U105" i="11"/>
  <c r="T103" i="11"/>
  <c r="T105" i="11"/>
  <c r="E105" i="11"/>
  <c r="O103" i="11"/>
  <c r="O105" i="11"/>
  <c r="B103" i="11"/>
  <c r="B105" i="11"/>
  <c r="B104" i="11"/>
  <c r="S103" i="11"/>
  <c r="C103" i="11"/>
  <c r="D103" i="11"/>
  <c r="D102" i="11"/>
  <c r="G102" i="11"/>
  <c r="I103" i="11"/>
  <c r="Q103" i="11"/>
  <c r="C102" i="11"/>
  <c r="B102" i="11"/>
  <c r="N103" i="11"/>
  <c r="R104" i="11"/>
  <c r="H102" i="11"/>
  <c r="R102" i="11"/>
  <c r="E102" i="11"/>
  <c r="I102" i="11"/>
  <c r="T102" i="11"/>
  <c r="O104" i="11"/>
  <c r="J104" i="11"/>
  <c r="U103" i="11"/>
  <c r="M104" i="11"/>
  <c r="H104" i="11"/>
  <c r="M102" i="11"/>
  <c r="C104" i="11"/>
  <c r="J102" i="11"/>
  <c r="T104" i="11"/>
  <c r="Q104" i="11"/>
  <c r="S104" i="11"/>
  <c r="I104" i="11"/>
  <c r="L104" i="11"/>
  <c r="O102" i="11"/>
  <c r="E104" i="11"/>
  <c r="N104" i="11"/>
  <c r="D104" i="11"/>
  <c r="R103" i="11"/>
  <c r="L103" i="11"/>
  <c r="J103" i="11"/>
  <c r="M103" i="11"/>
  <c r="G103" i="11"/>
  <c r="E103" i="11"/>
  <c r="S102" i="11"/>
  <c r="Q102" i="11"/>
  <c r="U102" i="11"/>
  <c r="N102" i="11"/>
  <c r="U104" i="11"/>
  <c r="L102" i="11"/>
  <c r="G104" i="11"/>
  <c r="B188" i="11"/>
  <c r="B190" i="11"/>
  <c r="N188" i="11"/>
  <c r="T33" i="11"/>
  <c r="T32" i="11"/>
  <c r="T31" i="11"/>
  <c r="F33" i="11"/>
  <c r="F32" i="11"/>
  <c r="M31" i="11"/>
  <c r="K190" i="11"/>
  <c r="W195" i="11"/>
  <c r="W194" i="11"/>
  <c r="W193" i="11"/>
  <c r="W192" i="11"/>
  <c r="W191" i="11"/>
  <c r="X191" i="11" s="1"/>
  <c r="W189" i="11"/>
  <c r="K194" i="11"/>
  <c r="K195" i="11"/>
  <c r="K193" i="11"/>
  <c r="K192" i="11"/>
  <c r="K191" i="11"/>
  <c r="K189" i="11"/>
  <c r="W188" i="11"/>
  <c r="K188" i="11"/>
  <c r="L44" i="11"/>
  <c r="B191" i="11"/>
  <c r="B194" i="11"/>
  <c r="C193" i="11"/>
  <c r="O190" i="11"/>
  <c r="O195" i="11"/>
  <c r="O194" i="11"/>
  <c r="O193" i="11"/>
  <c r="O192" i="11"/>
  <c r="O191" i="11"/>
  <c r="O189" i="11"/>
  <c r="O188" i="11"/>
  <c r="C195" i="11"/>
  <c r="C194" i="11"/>
  <c r="C192" i="11"/>
  <c r="C191" i="11"/>
  <c r="C189" i="11"/>
  <c r="N195" i="11"/>
  <c r="N194" i="11"/>
  <c r="N193" i="11"/>
  <c r="N192" i="11"/>
  <c r="N191" i="11"/>
  <c r="N189" i="11"/>
  <c r="P189" i="11" l="1"/>
  <c r="P194" i="11"/>
  <c r="P191" i="11"/>
  <c r="P195" i="11"/>
  <c r="P193" i="11"/>
  <c r="C190" i="11"/>
  <c r="D190" i="11" s="1"/>
  <c r="C16" i="11"/>
  <c r="B193" i="11"/>
  <c r="D193" i="11" s="1"/>
  <c r="B24" i="11"/>
  <c r="P188" i="11"/>
  <c r="B192" i="11"/>
  <c r="D192" i="11" s="1"/>
  <c r="B20" i="11"/>
  <c r="D191" i="11"/>
  <c r="D189" i="11"/>
  <c r="B23" i="11"/>
  <c r="P192" i="11"/>
  <c r="C188" i="11"/>
  <c r="D188" i="11" s="1"/>
  <c r="C19" i="11"/>
  <c r="N190" i="11"/>
  <c r="P190" i="11" s="1"/>
  <c r="I16" i="11"/>
  <c r="B195" i="11"/>
  <c r="D195" i="11" s="1"/>
  <c r="B21" i="11"/>
  <c r="D194" i="11"/>
  <c r="C47" i="11"/>
  <c r="J194" i="11"/>
  <c r="L194" i="11" s="1"/>
  <c r="L42" i="11"/>
  <c r="V189" i="11"/>
  <c r="X189" i="11" s="1"/>
  <c r="L41" i="11"/>
  <c r="V188" i="11"/>
  <c r="X188" i="11" s="1"/>
  <c r="C48" i="11"/>
  <c r="J195" i="11"/>
  <c r="L195" i="11" s="1"/>
  <c r="L43" i="11"/>
  <c r="V190" i="11"/>
  <c r="X190" i="11" s="1"/>
  <c r="C41" i="11"/>
  <c r="J188" i="11"/>
  <c r="L188" i="11" s="1"/>
  <c r="L48" i="11"/>
  <c r="V195" i="11"/>
  <c r="X195" i="11" s="1"/>
  <c r="C42" i="11"/>
  <c r="J189" i="11"/>
  <c r="L189" i="11" s="1"/>
  <c r="L45" i="11"/>
  <c r="V192" i="11"/>
  <c r="X192" i="11" s="1"/>
  <c r="C43" i="11"/>
  <c r="J190" i="11"/>
  <c r="L190" i="11" s="1"/>
  <c r="L46" i="11"/>
  <c r="V193" i="11"/>
  <c r="X193" i="11" s="1"/>
  <c r="C44" i="11"/>
  <c r="J191" i="11"/>
  <c r="C46" i="11"/>
  <c r="J193" i="11"/>
  <c r="L193" i="11" s="1"/>
  <c r="L47" i="11"/>
  <c r="V194" i="11"/>
  <c r="X194" i="11" s="1"/>
  <c r="C45" i="11"/>
  <c r="J192" i="11"/>
  <c r="L192" i="11" s="1"/>
  <c r="P47" i="11"/>
  <c r="S47" i="11" s="1"/>
  <c r="P48" i="11"/>
  <c r="S48" i="11" s="1"/>
  <c r="P42" i="11"/>
  <c r="S42" i="11" s="1"/>
  <c r="P43" i="11"/>
  <c r="S43" i="11" s="1"/>
  <c r="P45" i="11"/>
  <c r="S45" i="11" s="1"/>
  <c r="P41" i="11"/>
  <c r="P46" i="11"/>
  <c r="S46" i="11" s="1"/>
  <c r="G42" i="11"/>
  <c r="G43" i="11"/>
  <c r="G44" i="11"/>
  <c r="G45" i="11"/>
  <c r="G46" i="11"/>
  <c r="G47" i="11"/>
  <c r="G48" i="11"/>
  <c r="J48" i="11" s="1"/>
  <c r="D86" i="11"/>
  <c r="E86" i="11" s="1"/>
  <c r="Q194" i="11"/>
  <c r="E194" i="11"/>
  <c r="Q195" i="11"/>
  <c r="K41" i="11"/>
  <c r="E191" i="11"/>
  <c r="Q192" i="11"/>
  <c r="Q193" i="11"/>
  <c r="B16" i="11"/>
  <c r="K105" i="11"/>
  <c r="F31" i="11"/>
  <c r="B85" i="11"/>
  <c r="C85" i="11" s="1"/>
  <c r="K103" i="11"/>
  <c r="D84" i="11"/>
  <c r="E84" i="11" s="1"/>
  <c r="K102" i="11"/>
  <c r="K104" i="11"/>
  <c r="B44" i="11"/>
  <c r="B87" i="11"/>
  <c r="C87" i="11" s="1"/>
  <c r="D85" i="11"/>
  <c r="E85" i="11" s="1"/>
  <c r="D87" i="11"/>
  <c r="E87" i="11" s="1"/>
  <c r="B84" i="11"/>
  <c r="C84" i="11" s="1"/>
  <c r="B74" i="11"/>
  <c r="B73" i="11"/>
  <c r="C73" i="11" s="1"/>
  <c r="E75" i="11"/>
  <c r="F75" i="11" s="1"/>
  <c r="E73" i="11"/>
  <c r="G73" i="11" s="1"/>
  <c r="B76" i="11"/>
  <c r="D76" i="11" s="1"/>
  <c r="B86" i="11"/>
  <c r="C86" i="11" s="1"/>
  <c r="B75" i="11"/>
  <c r="C75" i="11" s="1"/>
  <c r="E74" i="11"/>
  <c r="G74" i="11" s="1"/>
  <c r="E76" i="11"/>
  <c r="G76" i="11" s="1"/>
  <c r="AA32" i="11"/>
  <c r="M32" i="11"/>
  <c r="AA33" i="11"/>
  <c r="M33" i="11"/>
  <c r="B41" i="11"/>
  <c r="K48" i="11"/>
  <c r="B46" i="11"/>
  <c r="C31" i="11"/>
  <c r="Q31" i="11"/>
  <c r="C32" i="11"/>
  <c r="AA31" i="11"/>
  <c r="I31" i="11"/>
  <c r="Q32" i="11"/>
  <c r="Q33" i="11"/>
  <c r="C33" i="11"/>
  <c r="X31" i="11"/>
  <c r="X33" i="11"/>
  <c r="J32" i="11"/>
  <c r="J31" i="11"/>
  <c r="J33" i="11"/>
  <c r="I32" i="11"/>
  <c r="W32" i="11"/>
  <c r="I33" i="11"/>
  <c r="W31" i="11"/>
  <c r="E44" i="11" l="1"/>
  <c r="N48" i="11"/>
  <c r="N41" i="11"/>
  <c r="E41" i="11"/>
  <c r="E46" i="11"/>
  <c r="Q190" i="11"/>
  <c r="E190" i="11"/>
  <c r="D41" i="11" a="1"/>
  <c r="D41" i="11" s="1"/>
  <c r="E195" i="11"/>
  <c r="E189" i="11"/>
  <c r="M48" i="11" a="1"/>
  <c r="M48" i="11" s="1"/>
  <c r="E193" i="11"/>
  <c r="M191" i="11"/>
  <c r="L191" i="11"/>
  <c r="E192" i="11"/>
  <c r="M41" i="11" a="1"/>
  <c r="M41" i="11" s="1"/>
  <c r="U193" i="11"/>
  <c r="U189" i="11"/>
  <c r="U190" i="11"/>
  <c r="U195" i="11"/>
  <c r="U192" i="11"/>
  <c r="U194" i="11"/>
  <c r="I194" i="11"/>
  <c r="I191" i="11"/>
  <c r="I190" i="11"/>
  <c r="I193" i="11"/>
  <c r="I189" i="11"/>
  <c r="Q189" i="11"/>
  <c r="E188" i="11"/>
  <c r="Q191" i="11"/>
  <c r="Q188" i="11"/>
  <c r="P64" i="11"/>
  <c r="F64" i="11"/>
  <c r="O31" i="11"/>
  <c r="N31" i="11" s="1"/>
  <c r="L31" i="11"/>
  <c r="K31" i="11" s="1"/>
  <c r="AC31" i="11"/>
  <c r="AB31" i="11" s="1"/>
  <c r="Z31" i="11"/>
  <c r="Y31" i="11" s="1"/>
  <c r="O33" i="11"/>
  <c r="N33" i="11" s="1"/>
  <c r="L33" i="11"/>
  <c r="K33" i="11" s="1"/>
  <c r="AC32" i="11"/>
  <c r="AB32" i="11" s="1"/>
  <c r="O32" i="11"/>
  <c r="N32" i="11" s="1"/>
  <c r="L32" i="11"/>
  <c r="K32" i="11" s="1"/>
  <c r="Q64" i="11"/>
  <c r="G64" i="11"/>
  <c r="R64" i="11"/>
  <c r="H64" i="11"/>
  <c r="C64" i="11"/>
  <c r="E64" i="11"/>
  <c r="I64" i="11"/>
  <c r="O64" i="11"/>
  <c r="N64" i="11"/>
  <c r="D64" i="11"/>
  <c r="M64" i="11"/>
  <c r="L64" i="11"/>
  <c r="S64" i="11"/>
  <c r="G75" i="11"/>
  <c r="D75" i="11"/>
  <c r="C74" i="11"/>
  <c r="D74" i="11"/>
  <c r="D73" i="11"/>
  <c r="F73" i="11"/>
  <c r="C76" i="11"/>
  <c r="F76" i="11"/>
  <c r="F74" i="11"/>
  <c r="C18" i="12"/>
  <c r="M18" i="12" s="1"/>
  <c r="B18" i="12"/>
  <c r="L18" i="12" s="1"/>
  <c r="C17" i="12"/>
  <c r="M17" i="12" s="1"/>
  <c r="B17" i="12"/>
  <c r="L17" i="12" s="1"/>
  <c r="M16" i="12"/>
  <c r="B16" i="12"/>
  <c r="L16" i="12" l="1"/>
  <c r="N16" i="12" s="1"/>
  <c r="B15" i="12"/>
  <c r="L15" i="12" s="1"/>
  <c r="N18" i="12"/>
  <c r="N17" i="12"/>
  <c r="D17" i="12"/>
  <c r="D18" i="12"/>
  <c r="C15" i="12"/>
  <c r="M15" i="12" s="1"/>
  <c r="D16" i="12"/>
  <c r="N15" i="12" l="1"/>
  <c r="H42" i="11"/>
  <c r="F42" i="11"/>
  <c r="J42" i="11" s="1"/>
  <c r="F46" i="11"/>
  <c r="J46" i="11" s="1"/>
  <c r="F44" i="11"/>
  <c r="J44" i="11" s="1"/>
  <c r="F45" i="11"/>
  <c r="J45" i="11" s="1"/>
  <c r="F43" i="11"/>
  <c r="J43" i="11" s="1"/>
  <c r="F47" i="11"/>
  <c r="J47" i="11" s="1"/>
  <c r="H45" i="11"/>
  <c r="D15" i="12"/>
  <c r="O41" i="11" l="1"/>
  <c r="S41" i="11" s="1"/>
  <c r="F41" i="11"/>
  <c r="J41" i="11" s="1"/>
  <c r="Q43" i="11"/>
  <c r="R43" i="11" s="1" a="1"/>
  <c r="R43" i="11" s="1"/>
  <c r="Q41" i="11"/>
  <c r="T64" i="11"/>
  <c r="J64" i="11"/>
  <c r="H48" i="11"/>
  <c r="H46" i="11"/>
  <c r="H47" i="11"/>
  <c r="I45" i="11" a="1"/>
  <c r="I45" i="11" s="1"/>
  <c r="H41" i="11"/>
  <c r="H44" i="11"/>
  <c r="R41" i="11" l="1" a="1"/>
  <c r="R41" i="11" s="1"/>
  <c r="M188" i="11"/>
  <c r="Y195" i="11"/>
  <c r="Y190" i="11"/>
  <c r="M193" i="11"/>
  <c r="M192" i="11"/>
  <c r="Y193" i="11"/>
  <c r="Y191" i="11"/>
  <c r="Y192" i="11"/>
  <c r="M189" i="11"/>
  <c r="M194" i="11"/>
  <c r="Y194" i="11"/>
  <c r="M190" i="11"/>
  <c r="M195" i="11"/>
  <c r="Y188" i="11"/>
  <c r="U188" i="11"/>
  <c r="Y189" i="11"/>
  <c r="I188" i="11"/>
  <c r="Q48" i="11"/>
  <c r="R48" i="11" s="1" a="1"/>
  <c r="R48" i="11" s="1"/>
  <c r="Q42" i="11"/>
  <c r="R42" i="11" s="1" a="1"/>
  <c r="R42" i="11" s="1"/>
  <c r="Q46" i="11"/>
  <c r="R46" i="11" s="1" a="1"/>
  <c r="R46" i="11" s="1"/>
  <c r="Q44" i="11"/>
  <c r="R44" i="11" s="1" a="1"/>
  <c r="R44" i="11" s="1"/>
  <c r="Q47" i="11"/>
  <c r="R47" i="11" s="1" a="1"/>
  <c r="R47" i="11" s="1"/>
  <c r="Q45" i="11"/>
  <c r="R45" i="11" s="1" a="1"/>
  <c r="R45" i="11" s="1"/>
  <c r="U64" i="11"/>
  <c r="B31" i="11"/>
  <c r="K64" i="11"/>
  <c r="B32" i="11"/>
  <c r="P31" i="11"/>
  <c r="P32" i="11"/>
  <c r="B33" i="11"/>
  <c r="H43" i="11"/>
  <c r="P33" i="11"/>
  <c r="E31" i="11" l="1"/>
  <c r="D31" i="11" s="1"/>
  <c r="V32" i="11"/>
  <c r="U32" i="11" s="1"/>
  <c r="S32" i="11"/>
  <c r="R32" i="11" s="1"/>
  <c r="V31" i="11"/>
  <c r="U31" i="11" s="1"/>
  <c r="S31" i="11"/>
  <c r="R31" i="11" s="1"/>
  <c r="V33" i="11"/>
  <c r="U33" i="11" s="1"/>
  <c r="S33" i="11"/>
  <c r="R33" i="11" s="1"/>
  <c r="H32" i="11"/>
  <c r="G32" i="11" s="1"/>
  <c r="E32" i="11"/>
  <c r="D32" i="11" s="1"/>
  <c r="H33" i="11"/>
  <c r="G33" i="11" s="1"/>
  <c r="E33" i="11"/>
  <c r="D33" i="11" s="1"/>
  <c r="H31" i="11"/>
  <c r="G31" i="11" s="1"/>
  <c r="C302" i="13"/>
  <c r="I242" i="13"/>
  <c r="C212" i="13"/>
  <c r="I212" i="13"/>
  <c r="C122" i="13"/>
  <c r="C182" i="13"/>
  <c r="I302" i="13"/>
  <c r="I332" i="13"/>
  <c r="C332" i="13"/>
  <c r="I62" i="13"/>
  <c r="C242" i="13"/>
  <c r="I122" i="13"/>
  <c r="I141" i="13"/>
  <c r="P231" i="13"/>
  <c r="R223" i="13"/>
  <c r="I144" i="13"/>
  <c r="I264" i="13"/>
  <c r="C140" i="13"/>
  <c r="C139" i="13"/>
  <c r="I143" i="13"/>
  <c r="C263" i="13"/>
  <c r="Q318" i="13"/>
  <c r="T295" i="13"/>
  <c r="U323" i="13"/>
  <c r="R225" i="13"/>
  <c r="S291" i="13"/>
  <c r="C264" i="13"/>
  <c r="S288" i="13"/>
  <c r="S320" i="13"/>
  <c r="P287" i="13"/>
  <c r="P323" i="13"/>
  <c r="I252" i="13"/>
  <c r="O252" i="13" s="1"/>
  <c r="P285" i="13"/>
  <c r="P316" i="13"/>
  <c r="C138" i="13"/>
  <c r="S233" i="13"/>
  <c r="P294" i="13"/>
  <c r="P288" i="13"/>
  <c r="P284" i="13"/>
  <c r="R317" i="13"/>
  <c r="P315" i="13"/>
  <c r="U288" i="13"/>
  <c r="S322" i="13"/>
  <c r="P325" i="13"/>
  <c r="P319" i="13"/>
  <c r="U121" i="13"/>
  <c r="U112" i="13"/>
  <c r="I133" i="13"/>
  <c r="U223" i="13"/>
  <c r="S296" i="13"/>
  <c r="P301" i="13"/>
  <c r="Q324" i="13"/>
  <c r="U315" i="13"/>
  <c r="R233" i="13"/>
  <c r="Q287" i="13"/>
  <c r="S325" i="13"/>
  <c r="T301" i="13"/>
  <c r="T292" i="13"/>
  <c r="S289" i="13"/>
  <c r="P293" i="13"/>
  <c r="P292" i="13"/>
  <c r="S331" i="13"/>
  <c r="S314" i="13"/>
  <c r="Q172" i="13"/>
  <c r="I136" i="13"/>
  <c r="I140" i="13"/>
  <c r="Q211" i="13"/>
  <c r="P202" i="13"/>
  <c r="I142" i="13"/>
  <c r="Q194" i="13"/>
  <c r="I134" i="13"/>
  <c r="T110" i="13"/>
  <c r="S199" i="13"/>
  <c r="C134" i="13"/>
  <c r="Q164" i="13"/>
  <c r="I138" i="13"/>
  <c r="C142" i="13"/>
  <c r="Q294" i="13"/>
  <c r="P324" i="13"/>
  <c r="P318" i="13"/>
  <c r="I263" i="13"/>
  <c r="T290" i="13"/>
  <c r="U296" i="13"/>
  <c r="U291" i="13"/>
  <c r="P286" i="13"/>
  <c r="T325" i="13"/>
  <c r="T321" i="13"/>
  <c r="T313" i="13"/>
  <c r="S319" i="13"/>
  <c r="U331" i="13"/>
  <c r="U322" i="13"/>
  <c r="U314" i="13"/>
  <c r="P317" i="13"/>
  <c r="S225" i="13"/>
  <c r="P224" i="13"/>
  <c r="Q227" i="13"/>
  <c r="P296" i="13"/>
  <c r="P291" i="13"/>
  <c r="P283" i="13"/>
  <c r="U317" i="13"/>
  <c r="P331" i="13"/>
  <c r="P322" i="13"/>
  <c r="P314" i="13"/>
  <c r="R226" i="13"/>
  <c r="I146" i="13"/>
  <c r="I135" i="13"/>
  <c r="I266" i="13"/>
  <c r="R287" i="13"/>
  <c r="S290" i="13"/>
  <c r="U293" i="13"/>
  <c r="U285" i="13"/>
  <c r="P290" i="13"/>
  <c r="P282" i="13"/>
  <c r="Q320" i="13"/>
  <c r="T323" i="13"/>
  <c r="T315" i="13"/>
  <c r="R324" i="13"/>
  <c r="R318" i="13"/>
  <c r="S321" i="13"/>
  <c r="S313" i="13"/>
  <c r="P326" i="13"/>
  <c r="P321" i="13"/>
  <c r="P313" i="13"/>
  <c r="R163" i="13"/>
  <c r="C132" i="13"/>
  <c r="P226" i="13"/>
  <c r="T293" i="13"/>
  <c r="T285" i="13"/>
  <c r="P295" i="13"/>
  <c r="P289" i="13"/>
  <c r="P320" i="13"/>
  <c r="P312" i="13"/>
  <c r="U203" i="13"/>
  <c r="P223" i="13"/>
  <c r="I265" i="13"/>
  <c r="C146" i="13"/>
  <c r="D146" i="13" s="1"/>
  <c r="Q169" i="13"/>
  <c r="P176" i="13"/>
  <c r="P171" i="13"/>
  <c r="P163" i="13"/>
  <c r="S234" i="13"/>
  <c r="C133" i="13"/>
  <c r="C144" i="13"/>
  <c r="Q167" i="13"/>
  <c r="I145" i="13"/>
  <c r="P175" i="13"/>
  <c r="U175" i="13"/>
  <c r="I139" i="13"/>
  <c r="P169" i="13"/>
  <c r="U169" i="13"/>
  <c r="Q206" i="13"/>
  <c r="Q201" i="13"/>
  <c r="Q193" i="13"/>
  <c r="R230" i="13"/>
  <c r="P174" i="13"/>
  <c r="P168" i="13"/>
  <c r="R176" i="13"/>
  <c r="C141" i="13"/>
  <c r="P167" i="13"/>
  <c r="S174" i="13"/>
  <c r="P170" i="13"/>
  <c r="T204" i="13"/>
  <c r="P204" i="13"/>
  <c r="P198" i="13"/>
  <c r="T198" i="13"/>
  <c r="T170" i="13"/>
  <c r="P166" i="13"/>
  <c r="T175" i="13"/>
  <c r="P161" i="13"/>
  <c r="R173" i="13"/>
  <c r="P173" i="13"/>
  <c r="R165" i="13"/>
  <c r="P165" i="13"/>
  <c r="R171" i="13"/>
  <c r="S168" i="13"/>
  <c r="C143" i="13"/>
  <c r="U173" i="13"/>
  <c r="C135" i="13"/>
  <c r="U165" i="13"/>
  <c r="R172" i="13"/>
  <c r="P172" i="13"/>
  <c r="P164" i="13"/>
  <c r="S167" i="13"/>
  <c r="S203" i="13"/>
  <c r="I151" i="13"/>
  <c r="P211" i="13"/>
  <c r="P194" i="13"/>
  <c r="P227" i="13"/>
  <c r="Q235" i="13"/>
  <c r="S229" i="13"/>
  <c r="C136" i="13"/>
  <c r="U197" i="13"/>
  <c r="P206" i="13"/>
  <c r="P201" i="13"/>
  <c r="P193" i="13"/>
  <c r="P200" i="13"/>
  <c r="P192" i="13"/>
  <c r="T194" i="13"/>
  <c r="S200" i="13"/>
  <c r="P205" i="13"/>
  <c r="P199" i="13"/>
  <c r="Q202" i="13"/>
  <c r="U200" i="13"/>
  <c r="P203" i="13"/>
  <c r="U236" i="13"/>
  <c r="S241" i="13"/>
  <c r="R232" i="13"/>
  <c r="R224" i="13"/>
  <c r="P241" i="13"/>
  <c r="P230" i="13"/>
  <c r="P222" i="13"/>
  <c r="P236" i="13"/>
  <c r="C265" i="13"/>
  <c r="Q295" i="13"/>
  <c r="Q289" i="13"/>
  <c r="P196" i="13"/>
  <c r="P197" i="13"/>
  <c r="S228" i="13"/>
  <c r="U231" i="13"/>
  <c r="P235" i="13"/>
  <c r="P229" i="13"/>
  <c r="U170" i="13"/>
  <c r="T193" i="13"/>
  <c r="P195" i="13"/>
  <c r="C137" i="13"/>
  <c r="T227" i="13"/>
  <c r="P234" i="13"/>
  <c r="P228" i="13"/>
  <c r="P232" i="13"/>
  <c r="C145" i="13"/>
  <c r="T241" i="13"/>
  <c r="P233" i="13"/>
  <c r="P225" i="13"/>
  <c r="T236" i="13"/>
  <c r="U235" i="13"/>
  <c r="U229" i="13"/>
  <c r="C151" i="13"/>
  <c r="I137" i="13"/>
  <c r="P107" i="13"/>
  <c r="P106" i="13"/>
  <c r="R115" i="13"/>
  <c r="R109" i="13"/>
  <c r="S107" i="13"/>
  <c r="P121" i="13"/>
  <c r="P112" i="13"/>
  <c r="U104" i="13"/>
  <c r="P104" i="13"/>
  <c r="R113" i="13"/>
  <c r="R105" i="13"/>
  <c r="P113" i="13"/>
  <c r="P105" i="13"/>
  <c r="U115" i="13"/>
  <c r="U109" i="13"/>
  <c r="S116" i="13"/>
  <c r="S111" i="13"/>
  <c r="S103" i="13"/>
  <c r="U114" i="13"/>
  <c r="U108" i="13"/>
  <c r="P116" i="13"/>
  <c r="P111" i="13"/>
  <c r="P103" i="13"/>
  <c r="P110" i="13"/>
  <c r="P102" i="13"/>
  <c r="R114" i="13"/>
  <c r="R108" i="13"/>
  <c r="S106" i="13"/>
  <c r="U116" i="13"/>
  <c r="U111" i="13"/>
  <c r="U103" i="13"/>
  <c r="P115" i="13"/>
  <c r="P109" i="13"/>
  <c r="P114" i="13"/>
  <c r="P108" i="13"/>
  <c r="O141" i="13" l="1"/>
  <c r="O145" i="13"/>
  <c r="O143" i="13"/>
  <c r="F242" i="13"/>
  <c r="O133" i="13"/>
  <c r="O135" i="13"/>
  <c r="O265" i="13"/>
  <c r="O148" i="13"/>
  <c r="O146" i="13"/>
  <c r="O144" i="13"/>
  <c r="O266" i="13"/>
  <c r="O151" i="13"/>
  <c r="O142" i="13"/>
  <c r="O138" i="13"/>
  <c r="O264" i="13"/>
  <c r="O263" i="13"/>
  <c r="O136" i="13"/>
  <c r="O137" i="13"/>
  <c r="O134" i="13"/>
  <c r="O139" i="13"/>
  <c r="O140" i="13"/>
  <c r="P148" i="13"/>
  <c r="L303" i="13"/>
  <c r="M303" i="13"/>
  <c r="K303" i="13"/>
  <c r="J303" i="13"/>
  <c r="N303" i="13"/>
  <c r="J213" i="13"/>
  <c r="K213" i="13"/>
  <c r="M213" i="13"/>
  <c r="L213" i="13"/>
  <c r="N213" i="13"/>
  <c r="N123" i="13"/>
  <c r="J123" i="13"/>
  <c r="K123" i="13"/>
  <c r="M123" i="13"/>
  <c r="L123" i="13"/>
  <c r="J243" i="13"/>
  <c r="L243" i="13"/>
  <c r="N243" i="13"/>
  <c r="K243" i="13"/>
  <c r="M243" i="13"/>
  <c r="L63" i="13"/>
  <c r="N63" i="13"/>
  <c r="K63" i="13"/>
  <c r="M63" i="13"/>
  <c r="J63" i="13"/>
  <c r="K333" i="13"/>
  <c r="N333" i="13"/>
  <c r="J333" i="13"/>
  <c r="L333" i="13"/>
  <c r="M333" i="13"/>
  <c r="H183" i="13"/>
  <c r="F183" i="13"/>
  <c r="E183" i="13"/>
  <c r="G183" i="13"/>
  <c r="D183" i="13"/>
  <c r="F123" i="13"/>
  <c r="E123" i="13"/>
  <c r="H123" i="13"/>
  <c r="G123" i="13"/>
  <c r="D123" i="13"/>
  <c r="G213" i="13"/>
  <c r="E213" i="13"/>
  <c r="F213" i="13"/>
  <c r="H213" i="13"/>
  <c r="D213" i="13"/>
  <c r="H243" i="13"/>
  <c r="G243" i="13"/>
  <c r="E243" i="13"/>
  <c r="F243" i="13"/>
  <c r="D243" i="13"/>
  <c r="D333" i="13"/>
  <c r="H333" i="13"/>
  <c r="F333" i="13"/>
  <c r="E333" i="13"/>
  <c r="G333" i="13"/>
  <c r="E303" i="13"/>
  <c r="H303" i="13"/>
  <c r="D303" i="13"/>
  <c r="G303" i="13"/>
  <c r="F303" i="13"/>
  <c r="I124" i="13"/>
  <c r="I244" i="13"/>
  <c r="C185" i="13"/>
  <c r="C245" i="13"/>
  <c r="C124" i="13"/>
  <c r="J122" i="13"/>
  <c r="J124" i="13" s="1"/>
  <c r="N122" i="13"/>
  <c r="G242" i="13"/>
  <c r="F122" i="13"/>
  <c r="F124" i="13" s="1"/>
  <c r="D122" i="13"/>
  <c r="D124" i="13" s="1"/>
  <c r="M242" i="13"/>
  <c r="H242" i="13"/>
  <c r="J242" i="13"/>
  <c r="J245" i="13" s="1"/>
  <c r="D242" i="13"/>
  <c r="G122" i="13"/>
  <c r="K122" i="13"/>
  <c r="K124" i="13" s="1"/>
  <c r="N242" i="13"/>
  <c r="F245" i="13"/>
  <c r="K242" i="13"/>
  <c r="K245" i="13" s="1"/>
  <c r="H122" i="13"/>
  <c r="E122" i="13"/>
  <c r="E124" i="13" s="1"/>
  <c r="M122" i="13"/>
  <c r="I32" i="13"/>
  <c r="L122" i="13"/>
  <c r="L124" i="13" s="1"/>
  <c r="L242" i="13"/>
  <c r="L245" i="13" s="1"/>
  <c r="E242" i="13"/>
  <c r="E245" i="13" s="1"/>
  <c r="C334" i="13"/>
  <c r="C335" i="13"/>
  <c r="I245" i="13"/>
  <c r="R107" i="13"/>
  <c r="I125" i="13"/>
  <c r="C125" i="13"/>
  <c r="C244" i="13"/>
  <c r="C184" i="13"/>
  <c r="C152" i="13"/>
  <c r="F264" i="13"/>
  <c r="F265" i="13"/>
  <c r="H263" i="13"/>
  <c r="J265" i="13"/>
  <c r="H266" i="13"/>
  <c r="D263" i="13"/>
  <c r="E145" i="13"/>
  <c r="J138" i="13"/>
  <c r="E264" i="13"/>
  <c r="N146" i="13"/>
  <c r="F140" i="13"/>
  <c r="M263" i="13"/>
  <c r="L140" i="13"/>
  <c r="N141" i="13"/>
  <c r="N151" i="13"/>
  <c r="G142" i="13"/>
  <c r="F151" i="13"/>
  <c r="N133" i="13"/>
  <c r="E263" i="13"/>
  <c r="F133" i="13"/>
  <c r="N134" i="13"/>
  <c r="N264" i="13"/>
  <c r="N143" i="13"/>
  <c r="L144" i="13"/>
  <c r="F141" i="13"/>
  <c r="K139" i="13"/>
  <c r="E144" i="13"/>
  <c r="F146" i="13"/>
  <c r="K135" i="13"/>
  <c r="G134" i="13"/>
  <c r="N142" i="13"/>
  <c r="E139" i="13"/>
  <c r="U192" i="13"/>
  <c r="T102" i="13"/>
  <c r="S312" i="13"/>
  <c r="T282" i="13"/>
  <c r="Q312" i="13"/>
  <c r="G252" i="13"/>
  <c r="K141" i="13"/>
  <c r="S282" i="13"/>
  <c r="J141" i="13"/>
  <c r="L141" i="13"/>
  <c r="T192" i="13"/>
  <c r="R222" i="13"/>
  <c r="M141" i="13"/>
  <c r="J143" i="13"/>
  <c r="L143" i="13"/>
  <c r="M144" i="13"/>
  <c r="K144" i="13"/>
  <c r="J144" i="13"/>
  <c r="P143" i="13"/>
  <c r="N138" i="13"/>
  <c r="K138" i="13"/>
  <c r="N144" i="13"/>
  <c r="M143" i="13"/>
  <c r="L138" i="13"/>
  <c r="K143" i="13"/>
  <c r="M138" i="13"/>
  <c r="Q233" i="13"/>
  <c r="K252" i="13"/>
  <c r="J252" i="13"/>
  <c r="D132" i="13"/>
  <c r="S105" i="13"/>
  <c r="H139" i="13"/>
  <c r="G139" i="13"/>
  <c r="F139" i="13"/>
  <c r="D139" i="13"/>
  <c r="H133" i="13"/>
  <c r="T231" i="13"/>
  <c r="Q192" i="13"/>
  <c r="T294" i="13"/>
  <c r="G263" i="13"/>
  <c r="F263" i="13"/>
  <c r="Q204" i="13"/>
  <c r="N252" i="13"/>
  <c r="L252" i="13"/>
  <c r="M252" i="13"/>
  <c r="S294" i="13"/>
  <c r="Q331" i="13"/>
  <c r="E138" i="13"/>
  <c r="L137" i="13"/>
  <c r="M134" i="13"/>
  <c r="F142" i="13"/>
  <c r="D142" i="13"/>
  <c r="H142" i="13"/>
  <c r="E142" i="13"/>
  <c r="L134" i="13"/>
  <c r="H145" i="13"/>
  <c r="K134" i="13"/>
  <c r="J134" i="13"/>
  <c r="E137" i="13"/>
  <c r="D143" i="13"/>
  <c r="N140" i="13"/>
  <c r="R289" i="13"/>
  <c r="R199" i="13"/>
  <c r="R313" i="13"/>
  <c r="S317" i="13"/>
  <c r="R169" i="13"/>
  <c r="R295" i="13"/>
  <c r="R170" i="13"/>
  <c r="U287" i="13"/>
  <c r="S226" i="13"/>
  <c r="R320" i="13"/>
  <c r="R296" i="13"/>
  <c r="R231" i="13"/>
  <c r="S324" i="13"/>
  <c r="R331" i="13"/>
  <c r="R312" i="13"/>
  <c r="R291" i="13"/>
  <c r="R292" i="13"/>
  <c r="R211" i="13"/>
  <c r="R203" i="13"/>
  <c r="T289" i="13"/>
  <c r="S223" i="13"/>
  <c r="U321" i="13"/>
  <c r="U224" i="13"/>
  <c r="S236" i="13"/>
  <c r="R314" i="13"/>
  <c r="T165" i="13"/>
  <c r="T312" i="13"/>
  <c r="Q198" i="13"/>
  <c r="U194" i="13"/>
  <c r="Q231" i="13"/>
  <c r="S292" i="13"/>
  <c r="S301" i="13"/>
  <c r="Q319" i="13"/>
  <c r="Q203" i="13"/>
  <c r="T319" i="13"/>
  <c r="U292" i="13"/>
  <c r="Q325" i="13"/>
  <c r="Q296" i="13"/>
  <c r="T211" i="13"/>
  <c r="Q174" i="13"/>
  <c r="U206" i="13"/>
  <c r="S287" i="13"/>
  <c r="S164" i="13"/>
  <c r="Q322" i="13"/>
  <c r="Q292" i="13"/>
  <c r="T228" i="13"/>
  <c r="T203" i="13"/>
  <c r="T234" i="13"/>
  <c r="T230" i="13"/>
  <c r="Q197" i="13"/>
  <c r="Q323" i="13"/>
  <c r="U227" i="13"/>
  <c r="U294" i="13"/>
  <c r="Q105" i="13"/>
  <c r="U105" i="13"/>
  <c r="Q110" i="13"/>
  <c r="U301" i="13"/>
  <c r="S315" i="13"/>
  <c r="S172" i="13"/>
  <c r="T320" i="13"/>
  <c r="Q199" i="13"/>
  <c r="T324" i="13"/>
  <c r="Q288" i="13"/>
  <c r="T291" i="13"/>
  <c r="S293" i="13"/>
  <c r="U202" i="13"/>
  <c r="T317" i="13"/>
  <c r="Q168" i="13"/>
  <c r="Q223" i="13"/>
  <c r="S202" i="13"/>
  <c r="D133" i="13"/>
  <c r="T206" i="13"/>
  <c r="L264" i="13"/>
  <c r="U199" i="13"/>
  <c r="H264" i="13"/>
  <c r="U230" i="13"/>
  <c r="R201" i="13"/>
  <c r="D264" i="13"/>
  <c r="Q232" i="13"/>
  <c r="J264" i="13"/>
  <c r="K264" i="13"/>
  <c r="E133" i="13"/>
  <c r="G264" i="13"/>
  <c r="R202" i="13"/>
  <c r="S295" i="13"/>
  <c r="S323" i="13"/>
  <c r="P264" i="13"/>
  <c r="T331" i="13"/>
  <c r="G133" i="13"/>
  <c r="M264" i="13"/>
  <c r="T201" i="13"/>
  <c r="R290" i="13"/>
  <c r="U319" i="13"/>
  <c r="U232" i="13"/>
  <c r="Q170" i="13"/>
  <c r="Q290" i="13"/>
  <c r="U201" i="13"/>
  <c r="S193" i="13"/>
  <c r="Q313" i="13"/>
  <c r="R288" i="13"/>
  <c r="S197" i="13"/>
  <c r="S204" i="13"/>
  <c r="G145" i="13"/>
  <c r="R294" i="13"/>
  <c r="D145" i="13"/>
  <c r="U241" i="13"/>
  <c r="D141" i="13"/>
  <c r="F145" i="13"/>
  <c r="R282" i="13"/>
  <c r="G146" i="13"/>
  <c r="Q225" i="13"/>
  <c r="R197" i="13"/>
  <c r="U222" i="13"/>
  <c r="E146" i="13"/>
  <c r="H146" i="13"/>
  <c r="G137" i="13"/>
  <c r="U193" i="13"/>
  <c r="Q229" i="13"/>
  <c r="T105" i="13"/>
  <c r="R112" i="13"/>
  <c r="D137" i="13"/>
  <c r="Q282" i="13"/>
  <c r="U289" i="13"/>
  <c r="P135" i="13"/>
  <c r="J151" i="13"/>
  <c r="L151" i="13"/>
  <c r="M135" i="13"/>
  <c r="Q224" i="13"/>
  <c r="S285" i="13"/>
  <c r="K151" i="13"/>
  <c r="J135" i="13"/>
  <c r="R234" i="13"/>
  <c r="M151" i="13"/>
  <c r="M139" i="13"/>
  <c r="T288" i="13"/>
  <c r="Q315" i="13"/>
  <c r="R301" i="13"/>
  <c r="G144" i="13"/>
  <c r="S206" i="13"/>
  <c r="F144" i="13"/>
  <c r="H144" i="13"/>
  <c r="S198" i="13"/>
  <c r="D144" i="13"/>
  <c r="S231" i="13"/>
  <c r="P144" i="13"/>
  <c r="G266" i="13"/>
  <c r="S194" i="13"/>
  <c r="U324" i="13"/>
  <c r="P134" i="13"/>
  <c r="F134" i="13"/>
  <c r="D134" i="13"/>
  <c r="S201" i="13"/>
  <c r="S170" i="13"/>
  <c r="H134" i="13"/>
  <c r="P266" i="13"/>
  <c r="E134" i="13"/>
  <c r="Q175" i="13"/>
  <c r="R106" i="13"/>
  <c r="F266" i="13"/>
  <c r="H137" i="13"/>
  <c r="F137" i="13"/>
  <c r="E266" i="13"/>
  <c r="U228" i="13"/>
  <c r="T233" i="13"/>
  <c r="R321" i="13"/>
  <c r="U107" i="13"/>
  <c r="Q241" i="13"/>
  <c r="U312" i="13"/>
  <c r="N265" i="13"/>
  <c r="M265" i="13"/>
  <c r="J142" i="13"/>
  <c r="U325" i="13"/>
  <c r="S110" i="13"/>
  <c r="K146" i="13"/>
  <c r="U290" i="13"/>
  <c r="Q285" i="13"/>
  <c r="Q314" i="13"/>
  <c r="R322" i="13"/>
  <c r="R319" i="13"/>
  <c r="R236" i="13"/>
  <c r="Q113" i="13"/>
  <c r="P142" i="13"/>
  <c r="L133" i="13"/>
  <c r="Q293" i="13"/>
  <c r="T322" i="13"/>
  <c r="P263" i="13"/>
  <c r="R164" i="13"/>
  <c r="R325" i="13"/>
  <c r="U113" i="13"/>
  <c r="H141" i="13"/>
  <c r="G141" i="13"/>
  <c r="M142" i="13"/>
  <c r="D265" i="13"/>
  <c r="Q226" i="13"/>
  <c r="N263" i="13"/>
  <c r="E141" i="13"/>
  <c r="K133" i="13"/>
  <c r="S222" i="13"/>
  <c r="K263" i="13"/>
  <c r="P133" i="13"/>
  <c r="L142" i="13"/>
  <c r="K142" i="13"/>
  <c r="J263" i="13"/>
  <c r="Q115" i="13"/>
  <c r="P141" i="13"/>
  <c r="D252" i="13"/>
  <c r="U211" i="13"/>
  <c r="L263" i="13"/>
  <c r="R200" i="13"/>
  <c r="P140" i="13"/>
  <c r="J133" i="13"/>
  <c r="M133" i="13"/>
  <c r="T226" i="13"/>
  <c r="U167" i="13"/>
  <c r="J140" i="13"/>
  <c r="L139" i="13"/>
  <c r="F252" i="13"/>
  <c r="P265" i="13"/>
  <c r="H252" i="13"/>
  <c r="U320" i="13"/>
  <c r="Q317" i="13"/>
  <c r="D140" i="13"/>
  <c r="K140" i="13"/>
  <c r="N139" i="13"/>
  <c r="P138" i="13"/>
  <c r="G265" i="13"/>
  <c r="Q291" i="13"/>
  <c r="Q200" i="13"/>
  <c r="U172" i="13"/>
  <c r="U318" i="13"/>
  <c r="J139" i="13"/>
  <c r="D138" i="13"/>
  <c r="S113" i="13"/>
  <c r="P139" i="13"/>
  <c r="H140" i="13"/>
  <c r="F138" i="13"/>
  <c r="Q230" i="13"/>
  <c r="T314" i="13"/>
  <c r="T225" i="13"/>
  <c r="G138" i="13"/>
  <c r="M137" i="13"/>
  <c r="H138" i="13"/>
  <c r="M140" i="13"/>
  <c r="H265" i="13"/>
  <c r="T296" i="13"/>
  <c r="E140" i="13"/>
  <c r="G140" i="13"/>
  <c r="P252" i="13"/>
  <c r="E252" i="13"/>
  <c r="E265" i="13"/>
  <c r="E151" i="13"/>
  <c r="D151" i="13"/>
  <c r="K265" i="13"/>
  <c r="R315" i="13"/>
  <c r="Q234" i="13"/>
  <c r="T172" i="13"/>
  <c r="U313" i="13"/>
  <c r="T202" i="13"/>
  <c r="P146" i="13"/>
  <c r="Q222" i="13"/>
  <c r="T167" i="13"/>
  <c r="T287" i="13"/>
  <c r="T223" i="13"/>
  <c r="R206" i="13"/>
  <c r="R175" i="13"/>
  <c r="L265" i="13"/>
  <c r="S318" i="13"/>
  <c r="T318" i="13"/>
  <c r="J146" i="13"/>
  <c r="Q236" i="13"/>
  <c r="T173" i="13"/>
  <c r="Q111" i="13"/>
  <c r="S102" i="13"/>
  <c r="R193" i="13"/>
  <c r="R168" i="13"/>
  <c r="H151" i="13"/>
  <c r="M146" i="13"/>
  <c r="G151" i="13"/>
  <c r="R192" i="13"/>
  <c r="U174" i="13"/>
  <c r="Q321" i="13"/>
  <c r="Q107" i="13"/>
  <c r="L146" i="13"/>
  <c r="P136" i="13"/>
  <c r="R227" i="13"/>
  <c r="U233" i="13"/>
  <c r="U295" i="13"/>
  <c r="U282" i="13"/>
  <c r="Q106" i="13"/>
  <c r="P151" i="13"/>
  <c r="R167" i="13"/>
  <c r="R323" i="13"/>
  <c r="S232" i="13"/>
  <c r="Q301" i="13"/>
  <c r="R285" i="13"/>
  <c r="T121" i="13"/>
  <c r="T197" i="13"/>
  <c r="T169" i="13"/>
  <c r="R293" i="13"/>
  <c r="U226" i="13"/>
  <c r="T116" i="13"/>
  <c r="R229" i="13"/>
  <c r="R198" i="13"/>
  <c r="R174" i="13"/>
  <c r="N135" i="13"/>
  <c r="L135" i="13"/>
  <c r="Q114" i="13"/>
  <c r="U106" i="13"/>
  <c r="T114" i="13"/>
  <c r="S230" i="13"/>
  <c r="S173" i="13"/>
  <c r="T107" i="13"/>
  <c r="Q103" i="13"/>
  <c r="Q104" i="13"/>
  <c r="T164" i="13"/>
  <c r="U163" i="13"/>
  <c r="S109" i="13"/>
  <c r="U225" i="13"/>
  <c r="U234" i="13"/>
  <c r="Q102" i="13"/>
  <c r="S115" i="13"/>
  <c r="Q116" i="13"/>
  <c r="U204" i="13"/>
  <c r="T229" i="13"/>
  <c r="T109" i="13"/>
  <c r="T222" i="13"/>
  <c r="Q112" i="13"/>
  <c r="U102" i="13"/>
  <c r="S163" i="13"/>
  <c r="R104" i="13"/>
  <c r="T112" i="13"/>
  <c r="P137" i="13"/>
  <c r="R235" i="13"/>
  <c r="T163" i="13"/>
  <c r="U176" i="13"/>
  <c r="S108" i="13"/>
  <c r="R103" i="13"/>
  <c r="S112" i="13"/>
  <c r="E143" i="13"/>
  <c r="S227" i="13"/>
  <c r="Q228" i="13"/>
  <c r="S224" i="13"/>
  <c r="R194" i="13"/>
  <c r="S165" i="13"/>
  <c r="U198" i="13"/>
  <c r="S171" i="13"/>
  <c r="T176" i="13"/>
  <c r="T113" i="13"/>
  <c r="S114" i="13"/>
  <c r="R111" i="13"/>
  <c r="Q121" i="13"/>
  <c r="T106" i="13"/>
  <c r="F143" i="13"/>
  <c r="N137" i="13"/>
  <c r="K137" i="13"/>
  <c r="R228" i="13"/>
  <c r="T232" i="13"/>
  <c r="T235" i="13"/>
  <c r="S192" i="13"/>
  <c r="T199" i="13"/>
  <c r="Q173" i="13"/>
  <c r="S176" i="13"/>
  <c r="T174" i="13"/>
  <c r="Q171" i="13"/>
  <c r="T103" i="13"/>
  <c r="U110" i="13"/>
  <c r="T111" i="13"/>
  <c r="R102" i="13"/>
  <c r="R116" i="13"/>
  <c r="T115" i="13"/>
  <c r="T104" i="13"/>
  <c r="R121" i="13"/>
  <c r="P145" i="13"/>
  <c r="G143" i="13"/>
  <c r="J137" i="13"/>
  <c r="T200" i="13"/>
  <c r="U164" i="13"/>
  <c r="S175" i="13"/>
  <c r="Q108" i="13"/>
  <c r="R110" i="13"/>
  <c r="T108" i="13"/>
  <c r="S104" i="13"/>
  <c r="H143" i="13"/>
  <c r="R204" i="13"/>
  <c r="U171" i="13"/>
  <c r="U168" i="13"/>
  <c r="Q163" i="13"/>
  <c r="T171" i="13"/>
  <c r="S121" i="13"/>
  <c r="S235" i="13"/>
  <c r="R241" i="13"/>
  <c r="T224" i="13"/>
  <c r="S211" i="13"/>
  <c r="Q109" i="13"/>
  <c r="Q165" i="13"/>
  <c r="Q161" i="13"/>
  <c r="T168" i="13"/>
  <c r="S169" i="13"/>
  <c r="Q176" i="13"/>
  <c r="T150" i="13" l="1"/>
  <c r="R150" i="13"/>
  <c r="E153" i="13"/>
  <c r="U150" i="13"/>
  <c r="S150" i="13"/>
  <c r="Q150" i="13"/>
  <c r="D245" i="13"/>
  <c r="D244" i="13"/>
  <c r="T148" i="13"/>
  <c r="U148" i="13"/>
  <c r="C62" i="13"/>
  <c r="J125" i="13"/>
  <c r="D125" i="13"/>
  <c r="K125" i="13"/>
  <c r="F125" i="13"/>
  <c r="E125" i="13"/>
  <c r="L125" i="13"/>
  <c r="F244" i="13"/>
  <c r="L244" i="13"/>
  <c r="J244" i="13"/>
  <c r="K244" i="13"/>
  <c r="E244" i="13"/>
  <c r="U263" i="13"/>
  <c r="S264" i="13"/>
  <c r="S265" i="13"/>
  <c r="U141" i="13"/>
  <c r="R264" i="13"/>
  <c r="Q263" i="13"/>
  <c r="Q265" i="13"/>
  <c r="Q138" i="13"/>
  <c r="T142" i="13"/>
  <c r="S146" i="13"/>
  <c r="S140" i="13"/>
  <c r="R263" i="13"/>
  <c r="U133" i="13"/>
  <c r="U151" i="13"/>
  <c r="U142" i="13"/>
  <c r="S141" i="13"/>
  <c r="T134" i="13"/>
  <c r="T263" i="13"/>
  <c r="U134" i="13"/>
  <c r="U144" i="13"/>
  <c r="U146" i="13"/>
  <c r="U264" i="13"/>
  <c r="U143" i="13"/>
  <c r="S151" i="13"/>
  <c r="R139" i="13"/>
  <c r="R144" i="13"/>
  <c r="S144" i="13"/>
  <c r="S133" i="13"/>
  <c r="R141" i="13"/>
  <c r="T252" i="13"/>
  <c r="S143" i="13"/>
  <c r="Q141" i="13"/>
  <c r="T141" i="13"/>
  <c r="T144" i="13"/>
  <c r="Q143" i="13"/>
  <c r="U138" i="13"/>
  <c r="T138" i="13"/>
  <c r="R143" i="13"/>
  <c r="S138" i="13"/>
  <c r="Q144" i="13"/>
  <c r="Q252" i="13"/>
  <c r="T143" i="13"/>
  <c r="R138" i="13"/>
  <c r="R252" i="13"/>
  <c r="U139" i="13"/>
  <c r="S139" i="13"/>
  <c r="T139" i="13"/>
  <c r="Q146" i="13"/>
  <c r="Q139" i="13"/>
  <c r="S263" i="13"/>
  <c r="U252" i="13"/>
  <c r="S252" i="13"/>
  <c r="U140" i="13"/>
  <c r="S137" i="13"/>
  <c r="R134" i="13"/>
  <c r="Q142" i="13"/>
  <c r="R142" i="13"/>
  <c r="S142" i="13"/>
  <c r="Q134" i="13"/>
  <c r="S134" i="13"/>
  <c r="R137" i="13"/>
  <c r="R133" i="13"/>
  <c r="R140" i="13"/>
  <c r="R146" i="13"/>
  <c r="T133" i="13"/>
  <c r="Q133" i="13"/>
  <c r="T137" i="13"/>
  <c r="Q151" i="13"/>
  <c r="T264" i="13"/>
  <c r="Q264" i="13"/>
  <c r="T151" i="13"/>
  <c r="T146" i="13"/>
  <c r="Q137" i="13"/>
  <c r="U137" i="13"/>
  <c r="R151" i="13"/>
  <c r="U265" i="13"/>
  <c r="T265" i="13"/>
  <c r="Q140" i="13"/>
  <c r="R265" i="13"/>
  <c r="T140" i="13"/>
  <c r="Q47" i="13"/>
  <c r="S47" i="13"/>
  <c r="U47" i="13"/>
  <c r="T47" i="13"/>
  <c r="R47" i="13"/>
  <c r="P47" i="13"/>
  <c r="U53" i="13"/>
  <c r="S53" i="13"/>
  <c r="T53" i="13"/>
  <c r="P53" i="13"/>
  <c r="R53" i="13"/>
  <c r="Q53" i="13"/>
  <c r="U45" i="13"/>
  <c r="T45" i="13"/>
  <c r="R45" i="13"/>
  <c r="S45" i="13"/>
  <c r="Q45" i="13"/>
  <c r="P45" i="13"/>
  <c r="T52" i="13"/>
  <c r="R52" i="13"/>
  <c r="S52" i="13"/>
  <c r="Q52" i="13"/>
  <c r="U52" i="13"/>
  <c r="P52" i="13"/>
  <c r="Q44" i="13"/>
  <c r="P44" i="13"/>
  <c r="T44" i="13"/>
  <c r="R44" i="13"/>
  <c r="S44" i="13"/>
  <c r="U44" i="13"/>
  <c r="T43" i="13"/>
  <c r="R43" i="13"/>
  <c r="S43" i="13"/>
  <c r="Q43" i="13"/>
  <c r="U43" i="13"/>
  <c r="P43" i="13"/>
  <c r="T51" i="13"/>
  <c r="R51" i="13"/>
  <c r="P51" i="13"/>
  <c r="S51" i="13"/>
  <c r="Q51" i="13"/>
  <c r="U51" i="13"/>
  <c r="R50" i="13"/>
  <c r="T50" i="13"/>
  <c r="S50" i="13"/>
  <c r="Q50" i="13"/>
  <c r="U50" i="13"/>
  <c r="P50" i="13"/>
  <c r="P42" i="13"/>
  <c r="S55" i="13"/>
  <c r="Q55" i="13"/>
  <c r="U55" i="13"/>
  <c r="R55" i="13"/>
  <c r="T55" i="13"/>
  <c r="P55" i="13"/>
  <c r="S49" i="13"/>
  <c r="U49" i="13"/>
  <c r="R49" i="13"/>
  <c r="T49" i="13"/>
  <c r="P49" i="13"/>
  <c r="Q61" i="13"/>
  <c r="S61" i="13"/>
  <c r="R61" i="13"/>
  <c r="T61" i="13"/>
  <c r="U61" i="13"/>
  <c r="P61" i="13"/>
  <c r="T56" i="13"/>
  <c r="R56" i="13"/>
  <c r="S56" i="13"/>
  <c r="Q56" i="13"/>
  <c r="U56" i="13"/>
  <c r="P56" i="13"/>
  <c r="S48" i="13"/>
  <c r="Q48" i="13"/>
  <c r="T48" i="13"/>
  <c r="U48" i="13"/>
  <c r="R48" i="13"/>
  <c r="P48" i="13"/>
  <c r="S54" i="13"/>
  <c r="Q54" i="13"/>
  <c r="U54" i="13"/>
  <c r="T54" i="13"/>
  <c r="R54" i="13"/>
  <c r="P54" i="13"/>
  <c r="U46" i="13"/>
  <c r="T46" i="13"/>
  <c r="R46" i="13"/>
  <c r="Q46" i="13"/>
  <c r="S46" i="13"/>
  <c r="P46" i="13"/>
  <c r="I12" i="13"/>
  <c r="I13" i="13"/>
  <c r="L13" i="13" s="1"/>
  <c r="I14" i="13"/>
  <c r="I15" i="13"/>
  <c r="N15" i="13" s="1"/>
  <c r="I16" i="13"/>
  <c r="N16" i="13" s="1"/>
  <c r="I17" i="13"/>
  <c r="N17" i="13" s="1"/>
  <c r="I18" i="13"/>
  <c r="L18" i="13" s="1"/>
  <c r="I19" i="13"/>
  <c r="L19" i="13" s="1"/>
  <c r="I20" i="13"/>
  <c r="L20" i="13" s="1"/>
  <c r="I21" i="13"/>
  <c r="L21" i="13" s="1"/>
  <c r="I22" i="13"/>
  <c r="L22" i="13" s="1"/>
  <c r="I23" i="13"/>
  <c r="I24" i="13"/>
  <c r="L24" i="13" s="1"/>
  <c r="I25" i="13"/>
  <c r="L25" i="13" s="1"/>
  <c r="I26" i="13"/>
  <c r="I31" i="13"/>
  <c r="C24" i="13"/>
  <c r="C31" i="13"/>
  <c r="C25" i="13"/>
  <c r="C23" i="13"/>
  <c r="N31" i="13" l="1"/>
  <c r="M31" i="13"/>
  <c r="L31" i="13"/>
  <c r="K31" i="13"/>
  <c r="J31" i="13"/>
  <c r="M26" i="13"/>
  <c r="L26" i="13"/>
  <c r="K26" i="13"/>
  <c r="J26" i="13"/>
  <c r="N26" i="13"/>
  <c r="N23" i="13"/>
  <c r="P23" i="13"/>
  <c r="O24" i="13"/>
  <c r="R148" i="13"/>
  <c r="O25" i="13"/>
  <c r="O23" i="13"/>
  <c r="O31" i="13"/>
  <c r="O26" i="13"/>
  <c r="Q148" i="13"/>
  <c r="S148" i="13"/>
  <c r="E63" i="13"/>
  <c r="D63" i="13"/>
  <c r="G63" i="13"/>
  <c r="H63" i="13"/>
  <c r="F63" i="13"/>
  <c r="D62" i="13"/>
  <c r="F23" i="13"/>
  <c r="E62" i="13"/>
  <c r="G62" i="13"/>
  <c r="H62" i="13"/>
  <c r="F62" i="13"/>
  <c r="C64" i="13"/>
  <c r="C65" i="13"/>
  <c r="E31" i="13"/>
  <c r="F26" i="13"/>
  <c r="C11" i="13"/>
  <c r="G24" i="13"/>
  <c r="Q49" i="13"/>
  <c r="I47" i="11" a="1"/>
  <c r="I47" i="11" s="1"/>
  <c r="I48" i="11" a="1"/>
  <c r="I48" i="11" s="1"/>
  <c r="P25" i="13"/>
  <c r="K19" i="13"/>
  <c r="J13" i="13"/>
  <c r="K20" i="13"/>
  <c r="K13" i="13"/>
  <c r="N25" i="13"/>
  <c r="N21" i="13"/>
  <c r="J25" i="13"/>
  <c r="N20" i="13"/>
  <c r="H24" i="13"/>
  <c r="K18" i="13"/>
  <c r="P24" i="13"/>
  <c r="J18" i="13"/>
  <c r="K21" i="13"/>
  <c r="N24" i="13"/>
  <c r="J21" i="13"/>
  <c r="N19" i="13"/>
  <c r="J20" i="13"/>
  <c r="K25" i="13"/>
  <c r="N18" i="13"/>
  <c r="J24" i="13"/>
  <c r="J19" i="13"/>
  <c r="K24" i="13"/>
  <c r="N13" i="13"/>
  <c r="D24" i="13"/>
  <c r="F24" i="13"/>
  <c r="S24" i="13" s="1"/>
  <c r="D31" i="13"/>
  <c r="E24" i="13"/>
  <c r="D26" i="13"/>
  <c r="F31" i="13"/>
  <c r="J22" i="13"/>
  <c r="M24" i="13"/>
  <c r="M18" i="13"/>
  <c r="K22" i="13"/>
  <c r="N22" i="13"/>
  <c r="M17" i="13"/>
  <c r="L17" i="13"/>
  <c r="M16" i="13"/>
  <c r="L16" i="13"/>
  <c r="M23" i="13"/>
  <c r="M15" i="13"/>
  <c r="L23" i="13"/>
  <c r="L15" i="13"/>
  <c r="M22" i="13"/>
  <c r="J17" i="13"/>
  <c r="M21" i="13"/>
  <c r="M13" i="13"/>
  <c r="K17" i="13"/>
  <c r="J16" i="13"/>
  <c r="M20" i="13"/>
  <c r="K16" i="13"/>
  <c r="J23" i="13"/>
  <c r="J15" i="13"/>
  <c r="M25" i="13"/>
  <c r="M19" i="13"/>
  <c r="K23" i="13"/>
  <c r="K15" i="13"/>
  <c r="G31" i="13"/>
  <c r="T31" i="13" s="1"/>
  <c r="H31" i="13"/>
  <c r="D23" i="13"/>
  <c r="G25" i="13"/>
  <c r="E23" i="13"/>
  <c r="F25" i="13"/>
  <c r="S25" i="13" s="1"/>
  <c r="H23" i="13"/>
  <c r="E26" i="13"/>
  <c r="H26" i="13"/>
  <c r="D25" i="13"/>
  <c r="G23" i="13"/>
  <c r="E25" i="13"/>
  <c r="H25" i="13"/>
  <c r="P26" i="13"/>
  <c r="G26" i="13"/>
  <c r="P221" i="13"/>
  <c r="P101" i="13"/>
  <c r="C271" i="13"/>
  <c r="C262" i="13"/>
  <c r="C259" i="13"/>
  <c r="C255" i="13"/>
  <c r="I215" i="13"/>
  <c r="C215" i="13"/>
  <c r="O20" i="13"/>
  <c r="M21" i="11"/>
  <c r="F21" i="11"/>
  <c r="M17" i="11"/>
  <c r="M24" i="11"/>
  <c r="F24" i="11"/>
  <c r="M20" i="11"/>
  <c r="F20" i="11"/>
  <c r="M23" i="11"/>
  <c r="F23" i="11"/>
  <c r="M19" i="11"/>
  <c r="F19" i="11"/>
  <c r="J21" i="11"/>
  <c r="C21" i="11"/>
  <c r="J17" i="11"/>
  <c r="C17" i="11"/>
  <c r="J24" i="11"/>
  <c r="C24" i="11"/>
  <c r="J20" i="11"/>
  <c r="C20" i="11"/>
  <c r="J23" i="11"/>
  <c r="J19" i="11"/>
  <c r="C14" i="12"/>
  <c r="M14" i="12" s="1"/>
  <c r="B14" i="12"/>
  <c r="L14" i="12" s="1"/>
  <c r="C13" i="12"/>
  <c r="B13" i="12"/>
  <c r="L13" i="12" s="1"/>
  <c r="C11" i="12"/>
  <c r="M11" i="12" s="1"/>
  <c r="B11" i="12"/>
  <c r="L11" i="12" s="1"/>
  <c r="C10" i="12"/>
  <c r="M10" i="12" s="1"/>
  <c r="N10" i="12" s="1"/>
  <c r="C9" i="12"/>
  <c r="E61" i="19"/>
  <c r="E54" i="19"/>
  <c r="E53" i="19"/>
  <c r="E52" i="19"/>
  <c r="E51" i="19"/>
  <c r="E47" i="19"/>
  <c r="E46" i="19"/>
  <c r="E45" i="19"/>
  <c r="E44" i="19"/>
  <c r="E43" i="19"/>
  <c r="E42" i="19"/>
  <c r="E38" i="19"/>
  <c r="E37" i="19"/>
  <c r="E36" i="19"/>
  <c r="E35" i="19"/>
  <c r="E34" i="19"/>
  <c r="E33" i="19"/>
  <c r="E32" i="19"/>
  <c r="E31" i="19"/>
  <c r="E30" i="19"/>
  <c r="E29" i="19"/>
  <c r="E28" i="19"/>
  <c r="E24" i="19"/>
  <c r="E23" i="19"/>
  <c r="E22" i="19"/>
  <c r="E21" i="19"/>
  <c r="E20" i="19"/>
  <c r="E19" i="19"/>
  <c r="E18" i="19"/>
  <c r="E17" i="19"/>
  <c r="C12" i="12" l="1"/>
  <c r="M13" i="12"/>
  <c r="N13" i="12" s="1"/>
  <c r="U23" i="13"/>
  <c r="S26" i="13"/>
  <c r="G262" i="13"/>
  <c r="M9" i="12"/>
  <c r="N9" i="12" s="1"/>
  <c r="N14" i="12"/>
  <c r="N11" i="12"/>
  <c r="B8" i="12"/>
  <c r="L8" i="12" s="1"/>
  <c r="C8" i="12"/>
  <c r="M8" i="12" s="1"/>
  <c r="K332" i="13"/>
  <c r="D212" i="13"/>
  <c r="E212" i="13"/>
  <c r="K212" i="13"/>
  <c r="E332" i="13"/>
  <c r="I335" i="13"/>
  <c r="I334" i="13"/>
  <c r="I305" i="13"/>
  <c r="I304" i="13"/>
  <c r="C305" i="13"/>
  <c r="C304" i="13"/>
  <c r="I65" i="13"/>
  <c r="I64" i="13"/>
  <c r="C214" i="13"/>
  <c r="I214" i="13"/>
  <c r="S23" i="13"/>
  <c r="R31" i="13"/>
  <c r="T24" i="13"/>
  <c r="I131" i="13"/>
  <c r="Q284" i="13"/>
  <c r="I182" i="13"/>
  <c r="S73" i="12"/>
  <c r="G132" i="13"/>
  <c r="Q283" i="13"/>
  <c r="M22" i="11"/>
  <c r="M18" i="11"/>
  <c r="I19" i="11"/>
  <c r="I20" i="11"/>
  <c r="I23" i="11"/>
  <c r="N23" i="11" s="1"/>
  <c r="I24" i="11"/>
  <c r="I17" i="11"/>
  <c r="L17" i="11" s="1"/>
  <c r="I21" i="11"/>
  <c r="L21" i="11" s="1"/>
  <c r="R326" i="13"/>
  <c r="K266" i="13"/>
  <c r="R266" i="13" s="1"/>
  <c r="R205" i="13"/>
  <c r="K145" i="13"/>
  <c r="R145" i="13" s="1"/>
  <c r="R196" i="13"/>
  <c r="R286" i="13"/>
  <c r="R316" i="13"/>
  <c r="K136" i="13"/>
  <c r="K302" i="13"/>
  <c r="R101" i="13"/>
  <c r="E135" i="13"/>
  <c r="R135" i="13" s="1"/>
  <c r="R195" i="13"/>
  <c r="R166" i="13"/>
  <c r="E136" i="13"/>
  <c r="E302" i="13"/>
  <c r="D332" i="13"/>
  <c r="J212" i="13"/>
  <c r="J302" i="13"/>
  <c r="D302" i="13"/>
  <c r="J136" i="13"/>
  <c r="Q196" i="13"/>
  <c r="D135" i="13"/>
  <c r="Q195" i="13"/>
  <c r="D182" i="13"/>
  <c r="Q23" i="13"/>
  <c r="Q24" i="13"/>
  <c r="G21" i="11"/>
  <c r="G20" i="11"/>
  <c r="B17" i="11"/>
  <c r="G23" i="11"/>
  <c r="M16" i="11"/>
  <c r="C15" i="11"/>
  <c r="J16" i="11"/>
  <c r="J15" i="11" s="1"/>
  <c r="F16" i="11"/>
  <c r="G16" i="11" s="1"/>
  <c r="C18" i="11"/>
  <c r="J18" i="11"/>
  <c r="C23" i="11"/>
  <c r="C22" i="11" s="1"/>
  <c r="F22" i="11"/>
  <c r="F18" i="11"/>
  <c r="J22" i="11"/>
  <c r="I271" i="13"/>
  <c r="O271" i="13" s="1"/>
  <c r="I257" i="13"/>
  <c r="C256" i="13"/>
  <c r="C260" i="13"/>
  <c r="I259" i="13"/>
  <c r="O259" i="13" s="1"/>
  <c r="C253" i="13"/>
  <c r="C257" i="13"/>
  <c r="C261" i="13"/>
  <c r="I253" i="13"/>
  <c r="I254" i="13"/>
  <c r="D153" i="13"/>
  <c r="C131" i="13"/>
  <c r="I261" i="13"/>
  <c r="C254" i="13"/>
  <c r="C258" i="13"/>
  <c r="H262" i="13"/>
  <c r="E262" i="13"/>
  <c r="D262" i="13"/>
  <c r="F262" i="13"/>
  <c r="I258" i="13"/>
  <c r="I132" i="13"/>
  <c r="O132" i="13" s="1"/>
  <c r="I260" i="13"/>
  <c r="I255" i="13"/>
  <c r="O255" i="13" s="1"/>
  <c r="I262" i="13"/>
  <c r="O262" i="13" s="1"/>
  <c r="I256" i="13"/>
  <c r="E255" i="13"/>
  <c r="G255" i="13"/>
  <c r="H255" i="13"/>
  <c r="F255" i="13"/>
  <c r="D255" i="13"/>
  <c r="F259" i="13"/>
  <c r="D259" i="13"/>
  <c r="G259" i="13"/>
  <c r="E259" i="13"/>
  <c r="H259" i="13"/>
  <c r="H271" i="13"/>
  <c r="E271" i="13"/>
  <c r="G271" i="13"/>
  <c r="D271" i="13"/>
  <c r="F271" i="13"/>
  <c r="Q25" i="13"/>
  <c r="X32" i="11"/>
  <c r="Q26" i="13"/>
  <c r="K62" i="13"/>
  <c r="R26" i="13"/>
  <c r="U24" i="13"/>
  <c r="M62" i="13"/>
  <c r="P41" i="13"/>
  <c r="I11" i="13"/>
  <c r="O11" i="13" s="1"/>
  <c r="U25" i="13"/>
  <c r="U26" i="13"/>
  <c r="R24" i="13"/>
  <c r="U31" i="13"/>
  <c r="T26" i="13"/>
  <c r="R25" i="13"/>
  <c r="R23" i="13"/>
  <c r="S31" i="13"/>
  <c r="Q31" i="13"/>
  <c r="T23" i="13"/>
  <c r="T25" i="13"/>
  <c r="P20" i="13"/>
  <c r="H20" i="13"/>
  <c r="U20" i="13" s="1"/>
  <c r="E20" i="13"/>
  <c r="R20" i="13" s="1"/>
  <c r="D20" i="13"/>
  <c r="Q20" i="13" s="1"/>
  <c r="F20" i="13"/>
  <c r="S20" i="13" s="1"/>
  <c r="G20" i="13"/>
  <c r="T20" i="13" s="1"/>
  <c r="C15" i="13"/>
  <c r="O15" i="13" s="1"/>
  <c r="C16" i="13"/>
  <c r="O16" i="13" s="1"/>
  <c r="C21" i="13"/>
  <c r="O21" i="13" s="1"/>
  <c r="C14" i="13"/>
  <c r="O14" i="13" s="1"/>
  <c r="C19" i="13"/>
  <c r="O19" i="13" s="1"/>
  <c r="C13" i="13"/>
  <c r="O13" i="13" s="1"/>
  <c r="C17" i="13"/>
  <c r="O17" i="13" s="1"/>
  <c r="C18" i="13"/>
  <c r="O18" i="13" s="1"/>
  <c r="O22" i="13"/>
  <c r="C12" i="13"/>
  <c r="B48" i="11"/>
  <c r="B47" i="11"/>
  <c r="K47" i="11"/>
  <c r="B25" i="12"/>
  <c r="Q221" i="13"/>
  <c r="R221" i="13"/>
  <c r="L62" i="13"/>
  <c r="N62" i="13"/>
  <c r="C54" i="12"/>
  <c r="D10" i="12"/>
  <c r="B43" i="11"/>
  <c r="D14" i="12"/>
  <c r="P191" i="13"/>
  <c r="P162" i="13"/>
  <c r="E182" i="13"/>
  <c r="I251" i="13"/>
  <c r="J33" i="13"/>
  <c r="G153" i="13"/>
  <c r="C251" i="13"/>
  <c r="P281" i="13"/>
  <c r="P311" i="13"/>
  <c r="B12" i="12"/>
  <c r="L12" i="12" s="1"/>
  <c r="D13" i="12"/>
  <c r="D9" i="12"/>
  <c r="D11" i="12"/>
  <c r="C25" i="12"/>
  <c r="S45" i="12"/>
  <c r="B54" i="12"/>
  <c r="M12" i="12"/>
  <c r="I83" i="12"/>
  <c r="B83" i="12"/>
  <c r="C83" i="12"/>
  <c r="N102" i="12"/>
  <c r="W33" i="11"/>
  <c r="B42" i="11"/>
  <c r="K42" i="11"/>
  <c r="K43" i="11"/>
  <c r="D44" i="11" a="1"/>
  <c r="D44" i="11" s="1"/>
  <c r="K44" i="11"/>
  <c r="B45" i="11"/>
  <c r="K45" i="11"/>
  <c r="D46" i="11" a="1"/>
  <c r="D46" i="11" s="1"/>
  <c r="K46" i="11"/>
  <c r="B59" i="26" l="1"/>
  <c r="D59" i="26" s="1"/>
  <c r="B75" i="26"/>
  <c r="D75" i="26" s="1"/>
  <c r="B61" i="26"/>
  <c r="D61" i="26" s="1"/>
  <c r="B70" i="26"/>
  <c r="D70" i="26" s="1"/>
  <c r="B69" i="26"/>
  <c r="D69" i="26" s="1"/>
  <c r="B74" i="26"/>
  <c r="D74" i="26" s="1"/>
  <c r="B58" i="26"/>
  <c r="D58" i="26" s="1"/>
  <c r="B55" i="26"/>
  <c r="D55" i="26" s="1"/>
  <c r="B57" i="26"/>
  <c r="D57" i="26" s="1"/>
  <c r="B68" i="26"/>
  <c r="D68" i="26" s="1"/>
  <c r="B56" i="26"/>
  <c r="D56" i="26" s="1"/>
  <c r="B72" i="26"/>
  <c r="D72" i="26" s="1"/>
  <c r="B66" i="26"/>
  <c r="D66" i="26" s="1"/>
  <c r="B60" i="26"/>
  <c r="D60" i="26" s="1"/>
  <c r="B65" i="26"/>
  <c r="D65" i="26" s="1"/>
  <c r="B73" i="26"/>
  <c r="D73" i="26" s="1"/>
  <c r="B71" i="26"/>
  <c r="D71" i="26" s="1"/>
  <c r="B63" i="26"/>
  <c r="B76" i="26"/>
  <c r="D76" i="26" s="1"/>
  <c r="B62" i="26"/>
  <c r="D62" i="26" s="1"/>
  <c r="B67" i="26"/>
  <c r="D67" i="26" s="1"/>
  <c r="B77" i="26"/>
  <c r="D77" i="26" s="1"/>
  <c r="B102" i="26"/>
  <c r="D102" i="26" s="1"/>
  <c r="B99" i="26"/>
  <c r="D99" i="26" s="1"/>
  <c r="B89" i="26"/>
  <c r="D89" i="26" s="1"/>
  <c r="B100" i="26"/>
  <c r="D100" i="26" s="1"/>
  <c r="B103" i="26"/>
  <c r="D103" i="26" s="1"/>
  <c r="B104" i="26"/>
  <c r="D104" i="26" s="1"/>
  <c r="B98" i="26"/>
  <c r="D98" i="26" s="1"/>
  <c r="B90" i="26"/>
  <c r="D90" i="26" s="1"/>
  <c r="B94" i="26"/>
  <c r="D94" i="26" s="1"/>
  <c r="B95" i="26"/>
  <c r="D95" i="26" s="1"/>
  <c r="B85" i="26"/>
  <c r="D85" i="26" s="1"/>
  <c r="B86" i="26"/>
  <c r="D86" i="26" s="1"/>
  <c r="B87" i="26"/>
  <c r="D87" i="26" s="1"/>
  <c r="B84" i="26"/>
  <c r="D84" i="26" s="1"/>
  <c r="B101" i="26"/>
  <c r="D101" i="26" s="1"/>
  <c r="B97" i="26"/>
  <c r="D97" i="26" s="1"/>
  <c r="B88" i="26"/>
  <c r="D88" i="26" s="1"/>
  <c r="B92" i="26"/>
  <c r="B105" i="26"/>
  <c r="D105" i="26" s="1"/>
  <c r="B91" i="26"/>
  <c r="D91" i="26" s="1"/>
  <c r="B96" i="26"/>
  <c r="D96" i="26" s="1"/>
  <c r="B106" i="26"/>
  <c r="D106" i="26" s="1"/>
  <c r="B41" i="12"/>
  <c r="B46" i="12"/>
  <c r="B42" i="26"/>
  <c r="D42" i="26" s="1"/>
  <c r="B41" i="26"/>
  <c r="D41" i="26" s="1"/>
  <c r="B45" i="26"/>
  <c r="D45" i="26" s="1"/>
  <c r="B31" i="26"/>
  <c r="D31" i="26" s="1"/>
  <c r="B30" i="26"/>
  <c r="D30" i="26" s="1"/>
  <c r="C27" i="12"/>
  <c r="B46" i="26"/>
  <c r="D46" i="26" s="1"/>
  <c r="B36" i="26"/>
  <c r="D36" i="26" s="1"/>
  <c r="B32" i="26"/>
  <c r="D32" i="26" s="1"/>
  <c r="B29" i="26"/>
  <c r="D29" i="26" s="1"/>
  <c r="B39" i="26"/>
  <c r="D39" i="26" s="1"/>
  <c r="B40" i="26"/>
  <c r="D40" i="26" s="1"/>
  <c r="B26" i="26"/>
  <c r="D26" i="26" s="1"/>
  <c r="B43" i="26"/>
  <c r="D43" i="26" s="1"/>
  <c r="B27" i="26"/>
  <c r="D27" i="26" s="1"/>
  <c r="B37" i="26"/>
  <c r="D37" i="26" s="1"/>
  <c r="B28" i="26"/>
  <c r="D28" i="26" s="1"/>
  <c r="B44" i="26"/>
  <c r="D44" i="26" s="1"/>
  <c r="B33" i="26"/>
  <c r="D33" i="26" s="1"/>
  <c r="C33" i="12"/>
  <c r="B34" i="26"/>
  <c r="B47" i="26"/>
  <c r="D47" i="26" s="1"/>
  <c r="B38" i="26"/>
  <c r="D38" i="26" s="1"/>
  <c r="B48" i="26"/>
  <c r="D48" i="26" s="1"/>
  <c r="B47" i="12"/>
  <c r="B38" i="12"/>
  <c r="D43" i="11" a="1"/>
  <c r="D43" i="11" s="1"/>
  <c r="E43" i="11"/>
  <c r="M47" i="11" a="1"/>
  <c r="M47" i="11" s="1"/>
  <c r="N47" i="11"/>
  <c r="D47" i="11" a="1"/>
  <c r="D47" i="11" s="1"/>
  <c r="E47" i="11"/>
  <c r="M43" i="11" a="1"/>
  <c r="M43" i="11" s="1"/>
  <c r="N43" i="11"/>
  <c r="M42" i="11" a="1"/>
  <c r="M42" i="11" s="1"/>
  <c r="N42" i="11"/>
  <c r="D48" i="11" a="1"/>
  <c r="D48" i="11" s="1"/>
  <c r="E48" i="11"/>
  <c r="M46" i="11" a="1"/>
  <c r="M46" i="11" s="1"/>
  <c r="N46" i="11"/>
  <c r="D42" i="11" a="1"/>
  <c r="D42" i="11" s="1"/>
  <c r="E42" i="11"/>
  <c r="M44" i="11" a="1"/>
  <c r="M44" i="11" s="1"/>
  <c r="N44" i="11"/>
  <c r="M45" i="11" a="1"/>
  <c r="M45" i="11" s="1"/>
  <c r="N45" i="11"/>
  <c r="D45" i="11" a="1"/>
  <c r="D45" i="11" s="1"/>
  <c r="E45" i="11"/>
  <c r="O261" i="13"/>
  <c r="O258" i="13"/>
  <c r="O254" i="13"/>
  <c r="O256" i="13"/>
  <c r="O253" i="13"/>
  <c r="O12" i="13"/>
  <c r="C32" i="13"/>
  <c r="C155" i="13"/>
  <c r="O131" i="13"/>
  <c r="F260" i="13"/>
  <c r="O260" i="13"/>
  <c r="O251" i="13"/>
  <c r="O257" i="13"/>
  <c r="N12" i="12"/>
  <c r="N8" i="12"/>
  <c r="N183" i="13"/>
  <c r="L183" i="13"/>
  <c r="J183" i="13"/>
  <c r="K183" i="13"/>
  <c r="M183" i="13"/>
  <c r="C73" i="12" a="1"/>
  <c r="C73" i="12" s="1"/>
  <c r="C60" i="12" a="1"/>
  <c r="C60" i="12" s="1"/>
  <c r="C55" i="12" a="1"/>
  <c r="C55" i="12" s="1"/>
  <c r="C61" i="12" a="1"/>
  <c r="C61" i="12" s="1"/>
  <c r="C57" i="12" a="1"/>
  <c r="C57" i="12" s="1"/>
  <c r="C70" i="12" a="1"/>
  <c r="C70" i="12" s="1"/>
  <c r="C56" i="12" a="1"/>
  <c r="C56" i="12" s="1"/>
  <c r="C63" i="12" a="1"/>
  <c r="C63" i="12" s="1"/>
  <c r="C59" i="12" a="1"/>
  <c r="C59" i="12" s="1"/>
  <c r="C69" i="12" a="1"/>
  <c r="C69" i="12" s="1"/>
  <c r="C68" i="12" a="1"/>
  <c r="C68" i="12" s="1"/>
  <c r="C58" i="12" a="1"/>
  <c r="C58" i="12" s="1"/>
  <c r="C62" i="12" a="1"/>
  <c r="C62" i="12" s="1"/>
  <c r="C71" i="12" a="1"/>
  <c r="C71" i="12" s="1"/>
  <c r="C65" i="12" a="1"/>
  <c r="C65" i="12" s="1"/>
  <c r="C74" i="12" a="1"/>
  <c r="C74" i="12" s="1"/>
  <c r="C72" i="12" a="1"/>
  <c r="C72" i="12" s="1"/>
  <c r="C75" i="12" a="1"/>
  <c r="C75" i="12" s="1"/>
  <c r="C66" i="12" a="1"/>
  <c r="C66" i="12" s="1"/>
  <c r="C67" i="12" a="1"/>
  <c r="C67" i="12" s="1"/>
  <c r="C77" i="12" a="1"/>
  <c r="C77" i="12" s="1"/>
  <c r="C76" i="12" a="1"/>
  <c r="C76" i="12" s="1"/>
  <c r="B102" i="12" a="1"/>
  <c r="B102" i="12" s="1"/>
  <c r="B87" i="12" a="1"/>
  <c r="B87" i="12" s="1"/>
  <c r="B88" i="12" a="1"/>
  <c r="B88" i="12" s="1"/>
  <c r="B100" i="12" a="1"/>
  <c r="B100" i="12" s="1"/>
  <c r="B94" i="12" a="1"/>
  <c r="B94" i="12" s="1"/>
  <c r="B90" i="12" a="1"/>
  <c r="B90" i="12" s="1"/>
  <c r="B92" i="12" a="1"/>
  <c r="B92" i="12" s="1"/>
  <c r="B85" i="12" a="1"/>
  <c r="B85" i="12" s="1"/>
  <c r="B91" i="12" a="1"/>
  <c r="B91" i="12" s="1"/>
  <c r="B84" i="12" a="1"/>
  <c r="B84" i="12" s="1"/>
  <c r="B101" i="12" a="1"/>
  <c r="B101" i="12" s="1"/>
  <c r="B103" i="12" a="1"/>
  <c r="B103" i="12" s="1"/>
  <c r="B97" i="12" a="1"/>
  <c r="B97" i="12" s="1"/>
  <c r="B98" i="12" a="1"/>
  <c r="B98" i="12" s="1"/>
  <c r="B89" i="12" a="1"/>
  <c r="B89" i="12" s="1"/>
  <c r="B86" i="12" a="1"/>
  <c r="B86" i="12" s="1"/>
  <c r="B99" i="12" a="1"/>
  <c r="B99" i="12" s="1"/>
  <c r="B95" i="12" a="1"/>
  <c r="B95" i="12" s="1"/>
  <c r="B104" i="12" a="1"/>
  <c r="B104" i="12" s="1"/>
  <c r="B96" i="12" a="1"/>
  <c r="B96" i="12" s="1"/>
  <c r="B106" i="12" a="1"/>
  <c r="B106" i="12" s="1"/>
  <c r="B105" i="12" a="1"/>
  <c r="B105" i="12" s="1"/>
  <c r="C94" i="12" a="1"/>
  <c r="C94" i="12" s="1"/>
  <c r="C86" i="12" a="1"/>
  <c r="C86" i="12" s="1"/>
  <c r="C103" i="12" a="1"/>
  <c r="C103" i="12" s="1"/>
  <c r="C101" i="12" a="1"/>
  <c r="C101" i="12" s="1"/>
  <c r="C99" i="12" a="1"/>
  <c r="C99" i="12" s="1"/>
  <c r="C92" i="12" a="1"/>
  <c r="C92" i="12" s="1"/>
  <c r="C89" i="12" a="1"/>
  <c r="C89" i="12" s="1"/>
  <c r="C85" i="12" a="1"/>
  <c r="C85" i="12" s="1"/>
  <c r="C97" i="12" a="1"/>
  <c r="C97" i="12" s="1"/>
  <c r="C87" i="12" a="1"/>
  <c r="C87" i="12" s="1"/>
  <c r="C100" i="12" a="1"/>
  <c r="C100" i="12" s="1"/>
  <c r="C84" i="12" a="1"/>
  <c r="C84" i="12" s="1"/>
  <c r="C102" i="12" a="1"/>
  <c r="C102" i="12" s="1"/>
  <c r="C98" i="12" a="1"/>
  <c r="C98" i="12" s="1"/>
  <c r="C88" i="12" a="1"/>
  <c r="C88" i="12" s="1"/>
  <c r="C90" i="12" a="1"/>
  <c r="C90" i="12" s="1"/>
  <c r="C91" i="12" a="1"/>
  <c r="C91" i="12" s="1"/>
  <c r="C104" i="12" a="1"/>
  <c r="C104" i="12" s="1"/>
  <c r="C95" i="12" a="1"/>
  <c r="C95" i="12" s="1"/>
  <c r="C105" i="12" a="1"/>
  <c r="C105" i="12" s="1"/>
  <c r="C96" i="12" a="1"/>
  <c r="C96" i="12" s="1"/>
  <c r="C106" i="12" a="1"/>
  <c r="C106" i="12" s="1"/>
  <c r="B75" i="12" a="1"/>
  <c r="B75" i="12" s="1"/>
  <c r="B77" i="12" a="1"/>
  <c r="B77" i="12" s="1"/>
  <c r="B67" i="12" a="1"/>
  <c r="B67" i="12" s="1"/>
  <c r="B71" i="12" a="1"/>
  <c r="B71" i="12" s="1"/>
  <c r="B74" i="12" a="1"/>
  <c r="B74" i="12" s="1"/>
  <c r="B68" i="12" a="1"/>
  <c r="B68" i="12" s="1"/>
  <c r="B58" i="12" a="1"/>
  <c r="B58" i="12" s="1"/>
  <c r="B57" i="12" a="1"/>
  <c r="B57" i="12" s="1"/>
  <c r="B63" i="12" a="1"/>
  <c r="B63" i="12" s="1"/>
  <c r="B76" i="12" a="1"/>
  <c r="B76" i="12" s="1"/>
  <c r="B73" i="12" a="1"/>
  <c r="B73" i="12" s="1"/>
  <c r="B65" i="12" a="1"/>
  <c r="B65" i="12" s="1"/>
  <c r="B56" i="12" a="1"/>
  <c r="B56" i="12" s="1"/>
  <c r="B61" i="12" a="1"/>
  <c r="B61" i="12" s="1"/>
  <c r="B69" i="12" a="1"/>
  <c r="B69" i="12" s="1"/>
  <c r="B59" i="12" a="1"/>
  <c r="B59" i="12" s="1"/>
  <c r="B70" i="12" a="1"/>
  <c r="B70" i="12" s="1"/>
  <c r="B55" i="12" a="1"/>
  <c r="B55" i="12" s="1"/>
  <c r="B60" i="12" a="1"/>
  <c r="B60" i="12" s="1"/>
  <c r="B62" i="12" a="1"/>
  <c r="B62" i="12" s="1"/>
  <c r="B66" i="12" a="1"/>
  <c r="B66" i="12" s="1"/>
  <c r="B72" i="12" a="1"/>
  <c r="B72" i="12" s="1"/>
  <c r="C46" i="12"/>
  <c r="C28" i="12"/>
  <c r="C39" i="12"/>
  <c r="C43" i="12"/>
  <c r="C30" i="12"/>
  <c r="C34" i="12"/>
  <c r="C31" i="12"/>
  <c r="C26" i="12"/>
  <c r="C47" i="12"/>
  <c r="C40" i="12"/>
  <c r="C42" i="12"/>
  <c r="C37" i="12"/>
  <c r="C36" i="12"/>
  <c r="C38" i="12"/>
  <c r="C45" i="12"/>
  <c r="C44" i="12"/>
  <c r="C48" i="12"/>
  <c r="C41" i="12"/>
  <c r="C29" i="12"/>
  <c r="C32" i="12"/>
  <c r="B26" i="12" a="1"/>
  <c r="B26" i="12" s="1"/>
  <c r="B43" i="12" a="1"/>
  <c r="B43" i="12" s="1"/>
  <c r="B48" i="12" a="1"/>
  <c r="B48" i="12" s="1"/>
  <c r="B30" i="12" a="1"/>
  <c r="B30" i="12" s="1"/>
  <c r="B36" i="12" a="1"/>
  <c r="B36" i="12" s="1"/>
  <c r="B29" i="12" a="1"/>
  <c r="B29" i="12" s="1"/>
  <c r="B42" i="12" a="1"/>
  <c r="B42" i="12" s="1"/>
  <c r="B31" i="12" a="1"/>
  <c r="B31" i="12" s="1"/>
  <c r="B39" i="12" a="1"/>
  <c r="B39" i="12" s="1"/>
  <c r="B40" i="12" a="1"/>
  <c r="B40" i="12" s="1"/>
  <c r="B27" i="12" a="1"/>
  <c r="B27" i="12" s="1"/>
  <c r="B33" i="12" a="1"/>
  <c r="B33" i="12" s="1"/>
  <c r="B44" i="12" a="1"/>
  <c r="B44" i="12" s="1"/>
  <c r="B34" i="12" a="1"/>
  <c r="B34" i="12" s="1"/>
  <c r="B45" i="12" a="1"/>
  <c r="B45" i="12" s="1"/>
  <c r="B37" i="12" a="1"/>
  <c r="B37" i="12" s="1"/>
  <c r="B28" i="12" a="1"/>
  <c r="B28" i="12" s="1"/>
  <c r="B32" i="12" a="1"/>
  <c r="B32" i="12" s="1"/>
  <c r="D8" i="12"/>
  <c r="Z32" i="11"/>
  <c r="Y32" i="11" s="1"/>
  <c r="AC33" i="11"/>
  <c r="AB33" i="11" s="1"/>
  <c r="Z33" i="11"/>
  <c r="Y33" i="11" s="1"/>
  <c r="M182" i="13"/>
  <c r="K182" i="13"/>
  <c r="K185" i="13" s="1"/>
  <c r="J182" i="13"/>
  <c r="J185" i="13" s="1"/>
  <c r="E64" i="13"/>
  <c r="D64" i="13"/>
  <c r="J12" i="13"/>
  <c r="J62" i="13"/>
  <c r="J64" i="13" s="1"/>
  <c r="J332" i="13"/>
  <c r="M15" i="11"/>
  <c r="O16" i="11"/>
  <c r="H17" i="11"/>
  <c r="B15" i="11"/>
  <c r="I185" i="13"/>
  <c r="E65" i="13"/>
  <c r="E215" i="13"/>
  <c r="K335" i="13"/>
  <c r="K334" i="13"/>
  <c r="E335" i="13"/>
  <c r="E334" i="13"/>
  <c r="D334" i="13"/>
  <c r="D335" i="13"/>
  <c r="J305" i="13"/>
  <c r="J304" i="13"/>
  <c r="D305" i="13"/>
  <c r="D304" i="13"/>
  <c r="C272" i="13"/>
  <c r="D273" i="13" s="1"/>
  <c r="K215" i="13"/>
  <c r="D215" i="13"/>
  <c r="J215" i="13"/>
  <c r="D65" i="13"/>
  <c r="K214" i="13"/>
  <c r="D214" i="13"/>
  <c r="J214" i="13"/>
  <c r="C154" i="13"/>
  <c r="I184" i="13"/>
  <c r="E214" i="13"/>
  <c r="J131" i="13"/>
  <c r="R161" i="13"/>
  <c r="K131" i="13"/>
  <c r="L131" i="13"/>
  <c r="N131" i="13"/>
  <c r="M131" i="13"/>
  <c r="T311" i="13"/>
  <c r="Q281" i="13"/>
  <c r="I31" i="12"/>
  <c r="I152" i="13"/>
  <c r="I154" i="13" s="1"/>
  <c r="D185" i="13"/>
  <c r="K14" i="13"/>
  <c r="R284" i="13"/>
  <c r="Q311" i="13"/>
  <c r="I72" i="12"/>
  <c r="U284" i="13"/>
  <c r="Q316" i="13"/>
  <c r="I272" i="13"/>
  <c r="S284" i="13"/>
  <c r="L65" i="13"/>
  <c r="S283" i="13"/>
  <c r="F132" i="13"/>
  <c r="U283" i="13"/>
  <c r="E132" i="13"/>
  <c r="E152" i="13" s="1"/>
  <c r="E184" i="13"/>
  <c r="R283" i="13"/>
  <c r="H132" i="13"/>
  <c r="Q135" i="13"/>
  <c r="R42" i="13"/>
  <c r="S42" i="13"/>
  <c r="U42" i="13"/>
  <c r="T42" i="13"/>
  <c r="Q42" i="13"/>
  <c r="I58" i="12"/>
  <c r="S47" i="12"/>
  <c r="N103" i="12"/>
  <c r="K12" i="13"/>
  <c r="C19" i="12"/>
  <c r="B19" i="12"/>
  <c r="L19" i="12" s="1"/>
  <c r="O17" i="11"/>
  <c r="N17" i="11"/>
  <c r="I15" i="11"/>
  <c r="L251" i="13"/>
  <c r="K21" i="11"/>
  <c r="I18" i="11"/>
  <c r="H201" i="11" s="1"/>
  <c r="O21" i="11"/>
  <c r="N21" i="11"/>
  <c r="D21" i="11"/>
  <c r="N101" i="12"/>
  <c r="K17" i="11"/>
  <c r="I22" i="11"/>
  <c r="K201" i="11" s="1"/>
  <c r="M201" i="11" s="1"/>
  <c r="R136" i="13"/>
  <c r="J266" i="13"/>
  <c r="Q266" i="13" s="1"/>
  <c r="Q326" i="13"/>
  <c r="T326" i="13"/>
  <c r="M266" i="13"/>
  <c r="T266" i="13" s="1"/>
  <c r="J145" i="13"/>
  <c r="Q145" i="13" s="1"/>
  <c r="Q205" i="13"/>
  <c r="L302" i="13"/>
  <c r="N302" i="13"/>
  <c r="Q286" i="13"/>
  <c r="T286" i="13"/>
  <c r="H302" i="13"/>
  <c r="F302" i="13"/>
  <c r="M332" i="13"/>
  <c r="G302" i="13"/>
  <c r="I42" i="11" a="1"/>
  <c r="I42" i="11" s="1"/>
  <c r="I43" i="11" a="1"/>
  <c r="I43" i="11" s="1"/>
  <c r="T161" i="13"/>
  <c r="F153" i="13"/>
  <c r="S28" i="12"/>
  <c r="G332" i="13"/>
  <c r="I46" i="11" a="1"/>
  <c r="I46" i="11" s="1"/>
  <c r="M302" i="13"/>
  <c r="Q191" i="13"/>
  <c r="H182" i="13"/>
  <c r="F182" i="13"/>
  <c r="D136" i="13"/>
  <c r="Q136" i="13" s="1"/>
  <c r="Q166" i="13"/>
  <c r="G182" i="13"/>
  <c r="I41" i="11" a="1"/>
  <c r="I41" i="11" s="1"/>
  <c r="N86" i="12"/>
  <c r="I96" i="12"/>
  <c r="N100" i="12"/>
  <c r="S57" i="12"/>
  <c r="D20" i="11"/>
  <c r="S42" i="12"/>
  <c r="I44" i="11" a="1"/>
  <c r="I44" i="11" s="1"/>
  <c r="E17" i="11"/>
  <c r="E21" i="11"/>
  <c r="D17" i="11"/>
  <c r="E20" i="11"/>
  <c r="H21" i="11"/>
  <c r="H20" i="11"/>
  <c r="G17" i="11"/>
  <c r="H23" i="11"/>
  <c r="E23" i="11"/>
  <c r="L23" i="11"/>
  <c r="O23" i="11"/>
  <c r="G24" i="11"/>
  <c r="H24" i="11"/>
  <c r="E24" i="11"/>
  <c r="L20" i="11"/>
  <c r="O20" i="11"/>
  <c r="N20" i="11"/>
  <c r="K20" i="11"/>
  <c r="O19" i="11"/>
  <c r="L19" i="11"/>
  <c r="N19" i="11"/>
  <c r="D19" i="11"/>
  <c r="G19" i="11"/>
  <c r="B18" i="11"/>
  <c r="B201" i="11" s="1"/>
  <c r="D201" i="11" s="1"/>
  <c r="E19" i="11"/>
  <c r="H19" i="11"/>
  <c r="B22" i="11"/>
  <c r="E201" i="11" s="1"/>
  <c r="G201" i="11" s="1"/>
  <c r="F15" i="11"/>
  <c r="K23" i="11"/>
  <c r="D24" i="11"/>
  <c r="D23" i="11"/>
  <c r="O24" i="11"/>
  <c r="L24" i="11"/>
  <c r="N24" i="11"/>
  <c r="K24" i="11"/>
  <c r="K19" i="11"/>
  <c r="N16" i="11"/>
  <c r="K16" i="11"/>
  <c r="L16" i="11"/>
  <c r="H16" i="11"/>
  <c r="D16" i="11"/>
  <c r="E16" i="11"/>
  <c r="J132" i="13"/>
  <c r="K132" i="13"/>
  <c r="M132" i="13"/>
  <c r="D257" i="13"/>
  <c r="F257" i="13"/>
  <c r="H257" i="13"/>
  <c r="E257" i="13"/>
  <c r="G257" i="13"/>
  <c r="G260" i="13"/>
  <c r="H260" i="13"/>
  <c r="E260" i="13"/>
  <c r="D260" i="13"/>
  <c r="P258" i="13"/>
  <c r="D258" i="13"/>
  <c r="G258" i="13"/>
  <c r="E258" i="13"/>
  <c r="F258" i="13"/>
  <c r="H258" i="13"/>
  <c r="J256" i="13"/>
  <c r="K256" i="13"/>
  <c r="P256" i="13"/>
  <c r="N258" i="13"/>
  <c r="M258" i="13"/>
  <c r="L258" i="13"/>
  <c r="J258" i="13"/>
  <c r="K258" i="13"/>
  <c r="L254" i="13"/>
  <c r="J254" i="13"/>
  <c r="K254" i="13"/>
  <c r="N254" i="13"/>
  <c r="P254" i="13"/>
  <c r="H253" i="13"/>
  <c r="D253" i="13"/>
  <c r="E253" i="13"/>
  <c r="F253" i="13"/>
  <c r="E256" i="13"/>
  <c r="D256" i="13"/>
  <c r="T162" i="13"/>
  <c r="H254" i="13"/>
  <c r="E254" i="13"/>
  <c r="G254" i="13"/>
  <c r="F254" i="13"/>
  <c r="D254" i="13"/>
  <c r="L262" i="13"/>
  <c r="S262" i="13" s="1"/>
  <c r="J262" i="13"/>
  <c r="Q262" i="13" s="1"/>
  <c r="K262" i="13"/>
  <c r="R262" i="13" s="1"/>
  <c r="M262" i="13"/>
  <c r="T262" i="13" s="1"/>
  <c r="N262" i="13"/>
  <c r="U262" i="13" s="1"/>
  <c r="P262" i="13"/>
  <c r="J253" i="13"/>
  <c r="K253" i="13"/>
  <c r="N253" i="13"/>
  <c r="M253" i="13"/>
  <c r="L253" i="13"/>
  <c r="P253" i="13"/>
  <c r="K259" i="13"/>
  <c r="R259" i="13" s="1"/>
  <c r="N259" i="13"/>
  <c r="U259" i="13" s="1"/>
  <c r="M259" i="13"/>
  <c r="T259" i="13" s="1"/>
  <c r="J259" i="13"/>
  <c r="Q259" i="13" s="1"/>
  <c r="L259" i="13"/>
  <c r="S259" i="13" s="1"/>
  <c r="P259" i="13"/>
  <c r="N257" i="13"/>
  <c r="P257" i="13"/>
  <c r="M257" i="13"/>
  <c r="L257" i="13"/>
  <c r="J257" i="13"/>
  <c r="K257" i="13"/>
  <c r="E11" i="13"/>
  <c r="K260" i="13"/>
  <c r="N260" i="13"/>
  <c r="M260" i="13"/>
  <c r="L260" i="13"/>
  <c r="J260" i="13"/>
  <c r="P260" i="13"/>
  <c r="J261" i="13"/>
  <c r="K261" i="13"/>
  <c r="N261" i="13"/>
  <c r="M261" i="13"/>
  <c r="L261" i="13"/>
  <c r="P261" i="13"/>
  <c r="L255" i="13"/>
  <c r="S255" i="13" s="1"/>
  <c r="J255" i="13"/>
  <c r="Q255" i="13" s="1"/>
  <c r="K255" i="13"/>
  <c r="R255" i="13" s="1"/>
  <c r="N255" i="13"/>
  <c r="U255" i="13" s="1"/>
  <c r="M255" i="13"/>
  <c r="T255" i="13" s="1"/>
  <c r="P255" i="13"/>
  <c r="H261" i="13"/>
  <c r="D261" i="13"/>
  <c r="G261" i="13"/>
  <c r="E261" i="13"/>
  <c r="F261" i="13"/>
  <c r="L271" i="13"/>
  <c r="S271" i="13" s="1"/>
  <c r="J271" i="13"/>
  <c r="Q271" i="13" s="1"/>
  <c r="K271" i="13"/>
  <c r="R271" i="13" s="1"/>
  <c r="M271" i="13"/>
  <c r="T271" i="13" s="1"/>
  <c r="N271" i="13"/>
  <c r="U271" i="13" s="1"/>
  <c r="P271" i="13"/>
  <c r="P131" i="13"/>
  <c r="D131" i="13"/>
  <c r="E131" i="13"/>
  <c r="S68" i="12"/>
  <c r="D54" i="12"/>
  <c r="S30" i="12"/>
  <c r="I33" i="12"/>
  <c r="N11" i="13"/>
  <c r="L11" i="13"/>
  <c r="M11" i="13"/>
  <c r="K11" i="13"/>
  <c r="J11" i="13"/>
  <c r="R41" i="13"/>
  <c r="M12" i="13"/>
  <c r="Q101" i="13"/>
  <c r="D11" i="13"/>
  <c r="J14" i="13"/>
  <c r="H12" i="13"/>
  <c r="E12" i="13"/>
  <c r="D12" i="13"/>
  <c r="P12" i="13"/>
  <c r="F12" i="13"/>
  <c r="G12" i="13"/>
  <c r="P13" i="13"/>
  <c r="E13" i="13"/>
  <c r="R13" i="13" s="1"/>
  <c r="D13" i="13"/>
  <c r="Q13" i="13" s="1"/>
  <c r="F22" i="13"/>
  <c r="S22" i="13" s="1"/>
  <c r="G22" i="13"/>
  <c r="T22" i="13" s="1"/>
  <c r="P22" i="13"/>
  <c r="H22" i="13"/>
  <c r="U22" i="13" s="1"/>
  <c r="E22" i="13"/>
  <c r="R22" i="13" s="1"/>
  <c r="D22" i="13"/>
  <c r="Q22" i="13" s="1"/>
  <c r="P19" i="13"/>
  <c r="H19" i="13"/>
  <c r="U19" i="13" s="1"/>
  <c r="E19" i="13"/>
  <c r="R19" i="13" s="1"/>
  <c r="D19" i="13"/>
  <c r="Q19" i="13" s="1"/>
  <c r="F19" i="13"/>
  <c r="S19" i="13" s="1"/>
  <c r="G19" i="13"/>
  <c r="T19" i="13" s="1"/>
  <c r="D16" i="13"/>
  <c r="Q16" i="13" s="1"/>
  <c r="F16" i="13"/>
  <c r="S16" i="13" s="1"/>
  <c r="G16" i="13"/>
  <c r="T16" i="13" s="1"/>
  <c r="P16" i="13"/>
  <c r="H16" i="13"/>
  <c r="U16" i="13" s="1"/>
  <c r="E16" i="13"/>
  <c r="R16" i="13" s="1"/>
  <c r="D18" i="13"/>
  <c r="Q18" i="13" s="1"/>
  <c r="H18" i="13"/>
  <c r="U18" i="13" s="1"/>
  <c r="F18" i="13"/>
  <c r="S18" i="13" s="1"/>
  <c r="G18" i="13"/>
  <c r="T18" i="13" s="1"/>
  <c r="P18" i="13"/>
  <c r="E18" i="13"/>
  <c r="R18" i="13" s="1"/>
  <c r="P14" i="13"/>
  <c r="G14" i="13"/>
  <c r="F14" i="13"/>
  <c r="H14" i="13"/>
  <c r="E14" i="13"/>
  <c r="D14" i="13"/>
  <c r="F15" i="13"/>
  <c r="S15" i="13" s="1"/>
  <c r="G15" i="13"/>
  <c r="T15" i="13" s="1"/>
  <c r="P15" i="13"/>
  <c r="H15" i="13"/>
  <c r="U15" i="13" s="1"/>
  <c r="E15" i="13"/>
  <c r="R15" i="13" s="1"/>
  <c r="D15" i="13"/>
  <c r="Q15" i="13" s="1"/>
  <c r="H17" i="13"/>
  <c r="U17" i="13" s="1"/>
  <c r="E17" i="13"/>
  <c r="R17" i="13" s="1"/>
  <c r="F17" i="13"/>
  <c r="S17" i="13" s="1"/>
  <c r="G17" i="13"/>
  <c r="T17" i="13" s="1"/>
  <c r="P17" i="13"/>
  <c r="D17" i="13"/>
  <c r="Q17" i="13" s="1"/>
  <c r="F21" i="13"/>
  <c r="S21" i="13" s="1"/>
  <c r="G21" i="13"/>
  <c r="T21" i="13" s="1"/>
  <c r="P21" i="13"/>
  <c r="H21" i="13"/>
  <c r="U21" i="13" s="1"/>
  <c r="E21" i="13"/>
  <c r="R21" i="13" s="1"/>
  <c r="D21" i="13"/>
  <c r="Q21" i="13" s="1"/>
  <c r="S61" i="12"/>
  <c r="T221" i="13"/>
  <c r="S221" i="13"/>
  <c r="U221" i="13"/>
  <c r="Q41" i="13"/>
  <c r="N251" i="13"/>
  <c r="I67" i="12"/>
  <c r="S38" i="12"/>
  <c r="S36" i="12"/>
  <c r="I56" i="12"/>
  <c r="I36" i="12"/>
  <c r="I87" i="12"/>
  <c r="I90" i="12"/>
  <c r="I44" i="12"/>
  <c r="S29" i="12"/>
  <c r="S40" i="12"/>
  <c r="I104" i="12"/>
  <c r="S63" i="12"/>
  <c r="N87" i="12"/>
  <c r="S44" i="12"/>
  <c r="I27" i="12"/>
  <c r="S72" i="12"/>
  <c r="I89" i="12"/>
  <c r="I46" i="12"/>
  <c r="I86" i="12"/>
  <c r="I66" i="12"/>
  <c r="S67" i="12"/>
  <c r="S58" i="12"/>
  <c r="I102" i="12"/>
  <c r="T191" i="13"/>
  <c r="I57" i="12"/>
  <c r="N88" i="12"/>
  <c r="N90" i="12"/>
  <c r="S43" i="12"/>
  <c r="S31" i="12"/>
  <c r="S56" i="12"/>
  <c r="S71" i="12"/>
  <c r="S32" i="12"/>
  <c r="I99" i="12"/>
  <c r="I85" i="12"/>
  <c r="S41" i="12"/>
  <c r="J251" i="13"/>
  <c r="P251" i="13"/>
  <c r="M251" i="13"/>
  <c r="K251" i="13"/>
  <c r="P31" i="13"/>
  <c r="R191" i="13"/>
  <c r="Q162" i="13"/>
  <c r="S281" i="13"/>
  <c r="R162" i="13"/>
  <c r="N85" i="12"/>
  <c r="N91" i="12"/>
  <c r="I28" i="12"/>
  <c r="I29" i="12"/>
  <c r="I91" i="12"/>
  <c r="N92" i="12"/>
  <c r="N105" i="12"/>
  <c r="S46" i="12"/>
  <c r="N99" i="12"/>
  <c r="I94" i="12"/>
  <c r="S60" i="12"/>
  <c r="I101" i="12"/>
  <c r="S65" i="12"/>
  <c r="T41" i="13"/>
  <c r="R311" i="13"/>
  <c r="S311" i="13"/>
  <c r="U191" i="13"/>
  <c r="S191" i="13"/>
  <c r="P11" i="13"/>
  <c r="T281" i="13"/>
  <c r="U281" i="13"/>
  <c r="P132" i="13"/>
  <c r="F251" i="13"/>
  <c r="E251" i="13"/>
  <c r="G251" i="13"/>
  <c r="D251" i="13"/>
  <c r="H251" i="13"/>
  <c r="U311" i="13"/>
  <c r="R281" i="13"/>
  <c r="N104" i="12"/>
  <c r="N96" i="12"/>
  <c r="I95" i="12"/>
  <c r="I69" i="12"/>
  <c r="I75" i="12"/>
  <c r="I60" i="12"/>
  <c r="I34" i="12"/>
  <c r="I73" i="12"/>
  <c r="I88" i="12"/>
  <c r="I106" i="12"/>
  <c r="I61" i="12"/>
  <c r="I71" i="12"/>
  <c r="N97" i="12"/>
  <c r="I70" i="12"/>
  <c r="I92" i="12"/>
  <c r="I39" i="12"/>
  <c r="S74" i="12"/>
  <c r="I103" i="12"/>
  <c r="S69" i="12"/>
  <c r="I30" i="12"/>
  <c r="I59" i="12"/>
  <c r="I74" i="12"/>
  <c r="I37" i="12"/>
  <c r="I97" i="12"/>
  <c r="N98" i="12"/>
  <c r="S75" i="12"/>
  <c r="I42" i="12"/>
  <c r="I63" i="12"/>
  <c r="S70" i="12"/>
  <c r="D83" i="12"/>
  <c r="N89" i="12"/>
  <c r="D25" i="12"/>
  <c r="I38" i="12"/>
  <c r="I62" i="12"/>
  <c r="I68" i="12"/>
  <c r="I98" i="12"/>
  <c r="D12" i="12"/>
  <c r="N94" i="12"/>
  <c r="N106" i="12"/>
  <c r="I100" i="12"/>
  <c r="I32" i="12"/>
  <c r="I40" i="12"/>
  <c r="I65" i="12"/>
  <c r="B93" i="26" l="1"/>
  <c r="D92" i="26"/>
  <c r="M19" i="12"/>
  <c r="N19" i="12" s="1"/>
  <c r="D19" i="12"/>
  <c r="B35" i="26"/>
  <c r="D34" i="26"/>
  <c r="B64" i="26"/>
  <c r="D63" i="26"/>
  <c r="D30" i="12"/>
  <c r="D43" i="12"/>
  <c r="C93" i="12"/>
  <c r="C64" i="12"/>
  <c r="B93" i="12"/>
  <c r="B64" i="12"/>
  <c r="B35" i="12"/>
  <c r="C35" i="12"/>
  <c r="D32" i="13"/>
  <c r="D34" i="13" s="1"/>
  <c r="D34" i="12"/>
  <c r="L18" i="11"/>
  <c r="J201" i="11"/>
  <c r="G22" i="11"/>
  <c r="L22" i="11"/>
  <c r="F332" i="13"/>
  <c r="K152" i="13"/>
  <c r="K154" i="13" s="1"/>
  <c r="J152" i="13"/>
  <c r="J154" i="13" s="1"/>
  <c r="G212" i="13"/>
  <c r="L332" i="13"/>
  <c r="M212" i="13"/>
  <c r="F212" i="13"/>
  <c r="F215" i="13" s="1"/>
  <c r="D33" i="13"/>
  <c r="F33" i="13"/>
  <c r="F64" i="13"/>
  <c r="K32" i="13"/>
  <c r="K34" i="13" s="1"/>
  <c r="L182" i="13"/>
  <c r="L185" i="13" s="1"/>
  <c r="D272" i="13"/>
  <c r="D274" i="13" s="1"/>
  <c r="E272" i="13"/>
  <c r="E274" i="13" s="1"/>
  <c r="L212" i="13"/>
  <c r="E32" i="13"/>
  <c r="E34" i="13" s="1"/>
  <c r="J272" i="13"/>
  <c r="J274" i="13" s="1"/>
  <c r="D152" i="13"/>
  <c r="D154" i="13" s="1"/>
  <c r="J32" i="13"/>
  <c r="J34" i="13" s="1"/>
  <c r="K272" i="13"/>
  <c r="K274" i="13" s="1"/>
  <c r="K15" i="11"/>
  <c r="L15" i="11"/>
  <c r="I34" i="13"/>
  <c r="N33" i="13"/>
  <c r="M33" i="13"/>
  <c r="K33" i="13"/>
  <c r="L33" i="13"/>
  <c r="K153" i="13"/>
  <c r="L153" i="13"/>
  <c r="M153" i="13"/>
  <c r="N153" i="13"/>
  <c r="J153" i="13"/>
  <c r="E33" i="13"/>
  <c r="G33" i="13"/>
  <c r="C274" i="13"/>
  <c r="F273" i="13"/>
  <c r="H273" i="13"/>
  <c r="E273" i="13"/>
  <c r="G273" i="13"/>
  <c r="I274" i="13"/>
  <c r="M273" i="13"/>
  <c r="K273" i="13"/>
  <c r="N273" i="13"/>
  <c r="J273" i="13"/>
  <c r="L273" i="13"/>
  <c r="F65" i="13"/>
  <c r="D85" i="12"/>
  <c r="J334" i="13"/>
  <c r="J335" i="13"/>
  <c r="C275" i="13"/>
  <c r="I275" i="13"/>
  <c r="L304" i="13"/>
  <c r="L305" i="13"/>
  <c r="E304" i="13"/>
  <c r="E305" i="13"/>
  <c r="F304" i="13"/>
  <c r="F305" i="13"/>
  <c r="K304" i="13"/>
  <c r="K305" i="13"/>
  <c r="K64" i="13"/>
  <c r="E185" i="13"/>
  <c r="F185" i="13"/>
  <c r="I35" i="13"/>
  <c r="L64" i="13"/>
  <c r="J65" i="13"/>
  <c r="C35" i="13"/>
  <c r="K65" i="13"/>
  <c r="I155" i="13"/>
  <c r="D184" i="13"/>
  <c r="J184" i="13"/>
  <c r="C34" i="13"/>
  <c r="F184" i="13"/>
  <c r="R131" i="13"/>
  <c r="K184" i="13"/>
  <c r="G13" i="13"/>
  <c r="T13" i="13" s="1"/>
  <c r="R14" i="13"/>
  <c r="S161" i="13"/>
  <c r="Q131" i="13"/>
  <c r="E154" i="13"/>
  <c r="T284" i="13"/>
  <c r="M14" i="13"/>
  <c r="T14" i="13" s="1"/>
  <c r="F13" i="13"/>
  <c r="S13" i="13" s="1"/>
  <c r="L132" i="13"/>
  <c r="N132" i="13"/>
  <c r="N14" i="13"/>
  <c r="U14" i="13" s="1"/>
  <c r="L14" i="13"/>
  <c r="S14" i="13" s="1"/>
  <c r="T283" i="13"/>
  <c r="D15" i="11"/>
  <c r="G15" i="11"/>
  <c r="R12" i="13"/>
  <c r="D76" i="12"/>
  <c r="S251" i="13"/>
  <c r="U162" i="13"/>
  <c r="N182" i="13"/>
  <c r="N332" i="13"/>
  <c r="S286" i="13"/>
  <c r="L266" i="13"/>
  <c r="S266" i="13" s="1"/>
  <c r="S326" i="13"/>
  <c r="N256" i="13"/>
  <c r="H136" i="13"/>
  <c r="L256" i="13"/>
  <c r="U286" i="13"/>
  <c r="T205" i="13"/>
  <c r="M145" i="13"/>
  <c r="T145" i="13" s="1"/>
  <c r="S205" i="13"/>
  <c r="L145" i="13"/>
  <c r="S145" i="13" s="1"/>
  <c r="G253" i="13"/>
  <c r="S316" i="13"/>
  <c r="S41" i="13"/>
  <c r="M256" i="13"/>
  <c r="T316" i="13"/>
  <c r="S162" i="13"/>
  <c r="G131" i="13"/>
  <c r="H153" i="13"/>
  <c r="F131" i="13"/>
  <c r="I47" i="12"/>
  <c r="M254" i="13"/>
  <c r="T254" i="13" s="1"/>
  <c r="F256" i="13"/>
  <c r="L136" i="13"/>
  <c r="S196" i="13"/>
  <c r="G256" i="13"/>
  <c r="T196" i="13"/>
  <c r="M136" i="13"/>
  <c r="S195" i="13"/>
  <c r="F135" i="13"/>
  <c r="S135" i="13" s="1"/>
  <c r="T195" i="13"/>
  <c r="G135" i="13"/>
  <c r="S166" i="13"/>
  <c r="F136" i="13"/>
  <c r="G136" i="13"/>
  <c r="T166" i="13"/>
  <c r="D57" i="12"/>
  <c r="D98" i="12"/>
  <c r="D97" i="12"/>
  <c r="N15" i="11"/>
  <c r="O15" i="11"/>
  <c r="H18" i="11"/>
  <c r="E18" i="11"/>
  <c r="D18" i="11"/>
  <c r="H15" i="11"/>
  <c r="E15" i="11"/>
  <c r="D22" i="11"/>
  <c r="H22" i="11"/>
  <c r="E22" i="11"/>
  <c r="O18" i="11"/>
  <c r="N18" i="11"/>
  <c r="K18" i="11"/>
  <c r="G18" i="11"/>
  <c r="N22" i="11"/>
  <c r="O22" i="11"/>
  <c r="K22" i="11"/>
  <c r="T261" i="13"/>
  <c r="U254" i="13"/>
  <c r="U261" i="13"/>
  <c r="Q261" i="13"/>
  <c r="S254" i="13"/>
  <c r="Q258" i="13"/>
  <c r="R254" i="13"/>
  <c r="Q253" i="13"/>
  <c r="T257" i="13"/>
  <c r="U257" i="13"/>
  <c r="S261" i="13"/>
  <c r="R256" i="13"/>
  <c r="Q257" i="13"/>
  <c r="U258" i="13"/>
  <c r="S253" i="13"/>
  <c r="S258" i="13"/>
  <c r="R257" i="13"/>
  <c r="R253" i="13"/>
  <c r="R258" i="13"/>
  <c r="T258" i="13"/>
  <c r="Q260" i="13"/>
  <c r="S257" i="13"/>
  <c r="R260" i="13"/>
  <c r="U253" i="13"/>
  <c r="S260" i="13"/>
  <c r="Q254" i="13"/>
  <c r="U260" i="13"/>
  <c r="R261" i="13"/>
  <c r="Q256" i="13"/>
  <c r="T260" i="13"/>
  <c r="D103" i="12"/>
  <c r="D42" i="12"/>
  <c r="D58" i="12"/>
  <c r="D47" i="12"/>
  <c r="D75" i="12"/>
  <c r="Q14" i="13"/>
  <c r="T12" i="13"/>
  <c r="Q12" i="13"/>
  <c r="H33" i="13"/>
  <c r="L12" i="13"/>
  <c r="N12" i="13"/>
  <c r="S101" i="13"/>
  <c r="F11" i="13"/>
  <c r="T101" i="13"/>
  <c r="G11" i="13"/>
  <c r="T11" i="13" s="1"/>
  <c r="U101" i="13"/>
  <c r="H13" i="13"/>
  <c r="U13" i="13" s="1"/>
  <c r="U251" i="13"/>
  <c r="Q11" i="13"/>
  <c r="D95" i="12"/>
  <c r="Q251" i="13"/>
  <c r="D96" i="12"/>
  <c r="D102" i="12"/>
  <c r="D84" i="12"/>
  <c r="D88" i="12"/>
  <c r="D87" i="12"/>
  <c r="D28" i="12"/>
  <c r="D39" i="12"/>
  <c r="D68" i="12"/>
  <c r="D70" i="12"/>
  <c r="D36" i="12"/>
  <c r="D61" i="12"/>
  <c r="D32" i="12"/>
  <c r="D86" i="12"/>
  <c r="D33" i="12"/>
  <c r="D65" i="12"/>
  <c r="D46" i="12"/>
  <c r="D91" i="12"/>
  <c r="D69" i="12"/>
  <c r="D92" i="12"/>
  <c r="D41" i="12"/>
  <c r="D59" i="12"/>
  <c r="D100" i="12"/>
  <c r="D104" i="12"/>
  <c r="D26" i="12"/>
  <c r="D27" i="12"/>
  <c r="D31" i="12"/>
  <c r="D71" i="12"/>
  <c r="D37" i="12"/>
  <c r="D44" i="12"/>
  <c r="D73" i="12"/>
  <c r="D105" i="12"/>
  <c r="D106" i="12"/>
  <c r="D72" i="12"/>
  <c r="D60" i="12"/>
  <c r="D66" i="12"/>
  <c r="D56" i="12"/>
  <c r="D74" i="12"/>
  <c r="D101" i="12"/>
  <c r="D67" i="12"/>
  <c r="D55" i="12"/>
  <c r="D63" i="12"/>
  <c r="D62" i="12"/>
  <c r="D99" i="12"/>
  <c r="D45" i="12"/>
  <c r="T251" i="13"/>
  <c r="R251" i="13"/>
  <c r="R132" i="13"/>
  <c r="R11" i="13"/>
  <c r="T132" i="13"/>
  <c r="D29" i="12"/>
  <c r="D90" i="12"/>
  <c r="Q132" i="13"/>
  <c r="D94" i="12"/>
  <c r="D38" i="12"/>
  <c r="D40" i="12"/>
  <c r="D89" i="12"/>
  <c r="M152" i="13" l="1"/>
  <c r="L32" i="13"/>
  <c r="L35" i="13" s="1"/>
  <c r="H332" i="13"/>
  <c r="G152" i="13"/>
  <c r="N32" i="13"/>
  <c r="H212" i="13"/>
  <c r="L272" i="13"/>
  <c r="F272" i="13"/>
  <c r="M272" i="13"/>
  <c r="F152" i="13"/>
  <c r="F154" i="13" s="1"/>
  <c r="G32" i="13"/>
  <c r="N212" i="13"/>
  <c r="G272" i="13"/>
  <c r="S132" i="13"/>
  <c r="L152" i="13"/>
  <c r="L155" i="13" s="1"/>
  <c r="M32" i="13"/>
  <c r="H32" i="13"/>
  <c r="F32" i="13"/>
  <c r="F34" i="13" s="1"/>
  <c r="F334" i="13"/>
  <c r="F335" i="13"/>
  <c r="L334" i="13"/>
  <c r="L335" i="13"/>
  <c r="K275" i="13"/>
  <c r="E275" i="13"/>
  <c r="J275" i="13"/>
  <c r="D275" i="13"/>
  <c r="D35" i="13"/>
  <c r="E35" i="13"/>
  <c r="J155" i="13"/>
  <c r="L214" i="13"/>
  <c r="L215" i="13"/>
  <c r="J35" i="13"/>
  <c r="E155" i="13"/>
  <c r="K155" i="13"/>
  <c r="K35" i="13"/>
  <c r="D155" i="13"/>
  <c r="F214" i="13"/>
  <c r="L184" i="13"/>
  <c r="S131" i="13"/>
  <c r="T131" i="13"/>
  <c r="H11" i="13"/>
  <c r="U11" i="13" s="1"/>
  <c r="T253" i="13"/>
  <c r="U132" i="13"/>
  <c r="T135" i="13"/>
  <c r="S11" i="13"/>
  <c r="S12" i="13"/>
  <c r="U12" i="13"/>
  <c r="U166" i="13"/>
  <c r="N266" i="13"/>
  <c r="N272" i="13" s="1"/>
  <c r="U326" i="13"/>
  <c r="S256" i="13"/>
  <c r="N145" i="13"/>
  <c r="U145" i="13" s="1"/>
  <c r="U205" i="13"/>
  <c r="T256" i="13"/>
  <c r="D77" i="12"/>
  <c r="I77" i="12"/>
  <c r="U161" i="13"/>
  <c r="H131" i="13"/>
  <c r="T136" i="13"/>
  <c r="S136" i="13"/>
  <c r="U196" i="13"/>
  <c r="N136" i="13"/>
  <c r="U136" i="13" s="1"/>
  <c r="U316" i="13"/>
  <c r="H256" i="13"/>
  <c r="H272" i="13" s="1"/>
  <c r="U195" i="13"/>
  <c r="H135" i="13"/>
  <c r="H152" i="13" s="1"/>
  <c r="U41" i="13"/>
  <c r="I48" i="12"/>
  <c r="D48" i="12"/>
  <c r="N152" i="13" l="1"/>
  <c r="F274" i="13"/>
  <c r="F275" i="13"/>
  <c r="L274" i="13"/>
  <c r="L275" i="13"/>
  <c r="F155" i="13"/>
  <c r="F35" i="13"/>
  <c r="U131" i="13"/>
  <c r="L34" i="13"/>
  <c r="L154" i="13"/>
  <c r="U266" i="13"/>
  <c r="U135" i="13"/>
  <c r="U256"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<sst xmlns="http://schemas.openxmlformats.org/spreadsheetml/2006/main" count="55090" uniqueCount="631">
  <si>
    <t>Validation Report</t>
  </si>
  <si>
    <r>
      <t>Benchmark Data Submission #</t>
    </r>
    <r>
      <rPr>
        <b/>
        <sz val="11"/>
        <color rgb="FFFF0000"/>
        <rFont val="Calibri Light"/>
        <family val="2"/>
        <scheme val="major"/>
      </rPr>
      <t>##nn##</t>
    </r>
  </si>
  <si>
    <t>Carriers are receiving this report to provide feedback on their submission of cost growth benchmark data. This tab includes two tables:</t>
  </si>
  <si>
    <r>
      <t xml:space="preserve">• </t>
    </r>
    <r>
      <rPr>
        <b/>
        <sz val="11"/>
        <color theme="1"/>
        <rFont val="Calibri"/>
        <family val="2"/>
        <scheme val="minor"/>
      </rPr>
      <t>Validation Overview</t>
    </r>
    <r>
      <rPr>
        <sz val="11"/>
        <color theme="1"/>
        <rFont val="Calibri"/>
        <family val="2"/>
        <scheme val="minor"/>
      </rPr>
      <t xml:space="preserve"> summarizes the results and status of the data validation checks.</t>
    </r>
  </si>
  <si>
    <r>
      <t xml:space="preserve">• </t>
    </r>
    <r>
      <rPr>
        <b/>
        <sz val="11"/>
        <color theme="1"/>
        <rFont val="Calibri"/>
        <family val="2"/>
        <scheme val="minor"/>
      </rPr>
      <t>Findings Log</t>
    </r>
    <r>
      <rPr>
        <sz val="11"/>
        <color theme="1"/>
        <rFont val="Calibri"/>
        <family val="2"/>
        <scheme val="minor"/>
      </rPr>
      <t xml:space="preserve"> details the specific data for which we identified errors or potential issues that may require clarification or confirmation from the carrier; please follow the guidance under the Carrier Instructions column to remediate any error(s) or potential issue(s).</t>
    </r>
  </si>
  <si>
    <t>Important Notes:</t>
  </si>
  <si>
    <r>
      <rPr>
        <sz val="11"/>
        <rFont val="Calibri"/>
        <family val="2"/>
        <scheme val="minor"/>
      </rPr>
      <t xml:space="preserve">̶   For more information on fixing data described in the Findings Log table below, please see the Data Submission and Validation Process section of the </t>
    </r>
    <r>
      <rPr>
        <b/>
        <sz val="11"/>
        <color theme="3"/>
        <rFont val="Calibri"/>
        <family val="2"/>
        <scheme val="minor"/>
      </rPr>
      <t>Carrier</t>
    </r>
    <r>
      <rPr>
        <sz val="11"/>
        <rFont val="Calibri"/>
        <family val="2"/>
        <scheme val="minor"/>
      </rPr>
      <t xml:space="preserve"> </t>
    </r>
    <r>
      <rPr>
        <b/>
        <sz val="11"/>
        <color theme="3"/>
        <rFont val="Calibri"/>
        <family val="2"/>
        <scheme val="minor"/>
      </rPr>
      <t>Benchmark Data Submission Guide</t>
    </r>
    <r>
      <rPr>
        <sz val="11"/>
        <rFont val="Calibri"/>
        <family val="2"/>
        <scheme val="minor"/>
      </rPr>
      <t>.</t>
    </r>
  </si>
  <si>
    <t>̶   DOBI performs validation checks in stages, described further in the Guide; therefore, additional issues in your next submission may be uncovered if data does not adhere to the specifications in the Guide.</t>
  </si>
  <si>
    <t>̶   If the validation checks identified more than one issue in the same row of data, the Findings Log table will show each issue in a separate row; therefore, the table may list the same row of data more than once.</t>
  </si>
  <si>
    <r>
      <t xml:space="preserve">̶   </t>
    </r>
    <r>
      <rPr>
        <b/>
        <sz val="11"/>
        <color theme="1"/>
        <rFont val="Calibri"/>
        <family val="2"/>
        <scheme val="minor"/>
      </rPr>
      <t xml:space="preserve">Due date for resubmission: </t>
    </r>
    <r>
      <rPr>
        <sz val="11"/>
        <color theme="1"/>
        <rFont val="Calibri"/>
        <family val="2"/>
        <scheme val="minor"/>
      </rPr>
      <t>Please resubmit using this file or the most recent version of the Template within 2-3 weeks of receiving this report.</t>
    </r>
  </si>
  <si>
    <r>
      <t xml:space="preserve">̶   </t>
    </r>
    <r>
      <rPr>
        <b/>
        <sz val="11"/>
        <color theme="1"/>
        <rFont val="Calibri"/>
        <family val="2"/>
        <scheme val="minor"/>
      </rPr>
      <t xml:space="preserve">Questions? </t>
    </r>
    <r>
      <rPr>
        <sz val="11"/>
        <color theme="1"/>
        <rFont val="Calibri"/>
        <family val="2"/>
        <scheme val="minor"/>
      </rPr>
      <t>For questions or requests to discuss issue remediation and timelines</t>
    </r>
    <r>
      <rPr>
        <sz val="11"/>
        <rFont val="Calibri"/>
        <family val="2"/>
        <scheme val="minor"/>
      </rPr>
      <t>, please contact CarrierDataSubmission@dobi.nj.gov</t>
    </r>
    <r>
      <rPr>
        <sz val="11"/>
        <color theme="1"/>
        <rFont val="Calibri"/>
        <family val="2"/>
        <scheme val="minor"/>
      </rPr>
      <t>.</t>
    </r>
  </si>
  <si>
    <t>Validation Overview</t>
  </si>
  <si>
    <t>Result</t>
  </si>
  <si>
    <t>Check Category</t>
  </si>
  <si>
    <t>Comment</t>
  </si>
  <si>
    <t>Findings Log</t>
  </si>
  <si>
    <t>File, Tab, or Row ID</t>
  </si>
  <si>
    <t>Carrier Instructions</t>
  </si>
  <si>
    <t>New Jersey Health Care Cost Growth Target Benchmark Program</t>
  </si>
  <si>
    <t>Carrier Benchmark Data Submission Template</t>
  </si>
  <si>
    <t>Version 2.0</t>
  </si>
  <si>
    <t>Introduction</t>
  </si>
  <si>
    <t>Tab Overview</t>
  </si>
  <si>
    <t>This workbook contains the worksheet tabs described in the table below.</t>
  </si>
  <si>
    <t>Tab Name</t>
  </si>
  <si>
    <t>Contents</t>
  </si>
  <si>
    <t>Current tab that provides an overview of the Template.</t>
  </si>
  <si>
    <t>Reference Tables</t>
  </si>
  <si>
    <t>Lookup and mapping tables for the data fields in tabs two through six that have codified values to categorize data.</t>
  </si>
  <si>
    <t>1. Cover Page</t>
  </si>
  <si>
    <t>Carrier inputs their organization name and contact information for the individual(s) who the state will connect with for data validation questions and feedback.</t>
  </si>
  <si>
    <t>2. Total Medical Expenses</t>
  </si>
  <si>
    <t>Carrier inputs member months, claims payment amounts, and non-claims payment amounts for all members who were NJ residents by insurance category and large provider entity for each reporting year.</t>
  </si>
  <si>
    <t>3. Age and Sex Factors</t>
  </si>
  <si>
    <t>Carrier inputs member months and claims payment amounts by insurance category, large provider entity, age group, and sex for each reporting year.</t>
  </si>
  <si>
    <t>4. Standard Deviation</t>
  </si>
  <si>
    <t>Carrier inputs member months, claims payment amounts, and standard deviation per member per month (PMPM) by market and large provider entity for each reporting year.</t>
  </si>
  <si>
    <t>5. Line of Business Enrollment</t>
  </si>
  <si>
    <t>Carrier inputs member months by line of business (LOB) category for each reporting year.</t>
  </si>
  <si>
    <t>6. Pharmacy Rebates</t>
  </si>
  <si>
    <t>Carrier inputs drug rebate amounts by insurance category for each reporting year.</t>
  </si>
  <si>
    <t>7. Mandatory Questions</t>
  </si>
  <si>
    <t>After completing input tabs one through six, carrier attests they are submitting data that is accurate and complete, and responds to questions about the data they entered in the input tabs.</t>
  </si>
  <si>
    <t>Data Validation Checks</t>
  </si>
  <si>
    <t>Carrier reviews tables in tabs prior to submission to confirm consistency and reasonableness of data across and within tabs.</t>
  </si>
  <si>
    <t>Validation by Market</t>
  </si>
  <si>
    <t>Carrier reviews tables in tabs prior to submission to confirm accuracy of calculated member month and PMPM spending trends by payment service category for each market and insurance category.</t>
  </si>
  <si>
    <t>Validation by Provider</t>
  </si>
  <si>
    <t>Carrier reviews tables in tabs prior to submission to confirm accuracy of calculated member months and PMPM spending trends by provider entity for each market and insurance category.</t>
  </si>
  <si>
    <t>Version History</t>
  </si>
  <si>
    <t>Insurer Code Valid Values</t>
  </si>
  <si>
    <t>Insurer Code</t>
  </si>
  <si>
    <t>Description</t>
  </si>
  <si>
    <t>Aetna Better Health</t>
  </si>
  <si>
    <t>Amerigroup</t>
  </si>
  <si>
    <t>AmeriHealth Insurance Co.</t>
  </si>
  <si>
    <t>Cigna Health &amp; Life Insurance Co.</t>
  </si>
  <si>
    <t>Horizon Healthcare of New Jersey</t>
  </si>
  <si>
    <t>United HealthCare Insurance Co.</t>
  </si>
  <si>
    <t>WellCare Health Plans of NJ, Inc.</t>
  </si>
  <si>
    <t>Insurance Category Code Valid Values</t>
  </si>
  <si>
    <t>Insurance Category Code</t>
  </si>
  <si>
    <t>MA non-dual eligible members (excluding SHBP &amp; SEHBP members)</t>
  </si>
  <si>
    <t>Medicaid MCO non-dual eligible members</t>
  </si>
  <si>
    <t>Commercial full claims members (excluding SHBP &amp; SEHBP members)</t>
  </si>
  <si>
    <t>Commercial partial claims members (excluding SHBP &amp; SEHBP members)</t>
  </si>
  <si>
    <t>MA dual eligible members</t>
  </si>
  <si>
    <t>Medicaid MCO dual eligible members</t>
  </si>
  <si>
    <t>Commercial SHBP &amp; SEHBP members</t>
  </si>
  <si>
    <t>MA SHBP &amp; SEHBP members</t>
  </si>
  <si>
    <t>Large Provider Entity Code Valid Values</t>
  </si>
  <si>
    <t>Large Provider Entity Code</t>
  </si>
  <si>
    <t>Carrier overall</t>
  </si>
  <si>
    <t>Atlantic ACO/ Atlantic Health System/ AHS ACO LLC/ Optimus Healthcare Partners, LLC</t>
  </si>
  <si>
    <t>ColigoCare, LLC</t>
  </si>
  <si>
    <t>Cooper University Health Care/ AllCare Health Alliance</t>
  </si>
  <si>
    <t>Hackensack Alliance ACO/ Hackensack Meridian Health/ Meridian ACO, LLC</t>
  </si>
  <si>
    <t>Hunterdon Healthcare</t>
  </si>
  <si>
    <t>Inspira Care Connect, LLC/ Inspira Health Network</t>
  </si>
  <si>
    <t>RWJBH Accountable Care, LLC/ RWJBarnabas Health/ Barnabas Health</t>
  </si>
  <si>
    <t>Virtua Medical Group/ LHS Health Network</t>
  </si>
  <si>
    <t>Unattributed</t>
  </si>
  <si>
    <t>Age Band Code Valid Values</t>
  </si>
  <si>
    <t>Age Band Code</t>
  </si>
  <si>
    <t>0 to 1 year old</t>
  </si>
  <si>
    <t>2 to 18 years old</t>
  </si>
  <si>
    <t>19 to 39 years old</t>
  </si>
  <si>
    <t>40 to 54 years old</t>
  </si>
  <si>
    <t>55 to 64 years old</t>
  </si>
  <si>
    <t>65 to 74 years old</t>
  </si>
  <si>
    <t>75 to 84 years old</t>
  </si>
  <si>
    <t>Sex Code Valid Values</t>
  </si>
  <si>
    <t>Sex Code</t>
  </si>
  <si>
    <t>Female</t>
  </si>
  <si>
    <t>Male</t>
  </si>
  <si>
    <t>Market Code Valid Values</t>
  </si>
  <si>
    <t>Market Code</t>
  </si>
  <si>
    <t>Medicare</t>
  </si>
  <si>
    <t>Medicaid</t>
  </si>
  <si>
    <t>Commercial</t>
  </si>
  <si>
    <t>Line of Business Category Code Valid Values</t>
  </si>
  <si>
    <t>LOB Code</t>
  </si>
  <si>
    <t>Small group plans, 2-50 employees, fully insured</t>
  </si>
  <si>
    <t>Self-insured plans</t>
  </si>
  <si>
    <t>Individual plans (buy coverage on their own)</t>
  </si>
  <si>
    <t>Student plans</t>
  </si>
  <si>
    <t>MA non-dual eligible plans (excluding SHBP &amp; SEHBP)</t>
  </si>
  <si>
    <t>Medicaid MCO non-dual eligible plans</t>
  </si>
  <si>
    <t>MA dual eligible plans</t>
  </si>
  <si>
    <t>Medicaid MCO dual eligible plans</t>
  </si>
  <si>
    <t>Commercial SHBP &amp; SEHBP plans</t>
  </si>
  <si>
    <t>MA SHBP &amp; SEHBP plans</t>
  </si>
  <si>
    <t>Market, Insurance Category, and Line of Business Category Codes Crosswalk</t>
  </si>
  <si>
    <t>Line of Business Category Code</t>
  </si>
  <si>
    <t>1 = Medicare</t>
  </si>
  <si>
    <t>1 = MA non-dual eligible members (excluding SHBP &amp; SEHBP members)</t>
  </si>
  <si>
    <t>6 = MA non-dual eligible plans (excluding SHBP &amp; SEHBP plans)</t>
  </si>
  <si>
    <t>5 = MA dual eligible members</t>
  </si>
  <si>
    <t>8 = MA dual eligible plans</t>
  </si>
  <si>
    <t>8 = MA SHBP &amp; SEHBP members</t>
  </si>
  <si>
    <t>11 = MA SHBP &amp; SEHBP plans</t>
  </si>
  <si>
    <t>2 = Medicaid</t>
  </si>
  <si>
    <t>2 = Medicaid MCO non-dual eligible members</t>
  </si>
  <si>
    <t>7 = Medicaid MCO non-dual eligible plans</t>
  </si>
  <si>
    <t>6 = Medicaid MCO dual eligible members</t>
  </si>
  <si>
    <t>9 = Medicaid MCO dual eligible plans</t>
  </si>
  <si>
    <t>3 = Commercial</t>
  </si>
  <si>
    <t>3 = Commercial full claims members (excluding SHBP &amp; SEHBP members)
4 = Commercial partial claims members (excluding SHBP &amp; SEHBP members)</t>
  </si>
  <si>
    <t>7 = Commercial SHBP &amp; SEHBP members</t>
  </si>
  <si>
    <t>10 = Commercial SHBP &amp; SEHBP plans</t>
  </si>
  <si>
    <r>
      <t xml:space="preserve">Insurers must complete this tab following the specifications and requirements in the </t>
    </r>
    <r>
      <rPr>
        <b/>
        <sz val="11"/>
        <color theme="3"/>
        <rFont val="Calibri"/>
        <family val="2"/>
        <scheme val="minor"/>
      </rPr>
      <t>Carrier Benchmark Data Submission Guide</t>
    </r>
    <r>
      <rPr>
        <sz val="11"/>
        <rFont val="Calibri"/>
        <family val="2"/>
        <scheme val="minor"/>
      </rPr>
      <t xml:space="preserve"> (the Guide).</t>
    </r>
  </si>
  <si>
    <t>• “.xlsx” is the required file extension to use when saving and submitting this file.</t>
  </si>
  <si>
    <t>Gray text in cells indicates the field ID</t>
  </si>
  <si>
    <t>Green cells indicate field requires input.</t>
  </si>
  <si>
    <t>Yellow cells indicate input is optional.</t>
  </si>
  <si>
    <t>Contact Information</t>
  </si>
  <si>
    <t>CP01</t>
  </si>
  <si>
    <t>Insurer Name</t>
  </si>
  <si>
    <t>CP02</t>
  </si>
  <si>
    <t>Primary Contact Name</t>
  </si>
  <si>
    <t>CP03</t>
  </si>
  <si>
    <t>Primary Contact Email</t>
  </si>
  <si>
    <t>CP04</t>
  </si>
  <si>
    <t>Secondary Contact Name (Optional)</t>
  </si>
  <si>
    <t>CP05</t>
  </si>
  <si>
    <t>Secondary Contact Email (Optional)</t>
  </si>
  <si>
    <t>2. Total Medical Expenses (TME)</t>
  </si>
  <si>
    <r>
      <t xml:space="preserve">Insurers must complete this tab following the specifications and requirements in the </t>
    </r>
    <r>
      <rPr>
        <b/>
        <sz val="11"/>
        <color theme="3"/>
        <rFont val="Calibri"/>
        <family val="2"/>
        <scheme val="minor"/>
      </rPr>
      <t>Carrier Benchmark Data Submission Guide</t>
    </r>
    <r>
      <rPr>
        <sz val="11"/>
        <rFont val="Calibri"/>
        <family val="2"/>
        <scheme val="minor"/>
      </rPr>
      <t>.</t>
    </r>
  </si>
  <si>
    <t>Dark green cells indicate row ID fields that must contain values that uniquely identify each row of data (i.e., the combination of Insurer Code, Reporting Year, Insurance Category Code, and Large Provider Entity Code must be unique in each row).</t>
  </si>
  <si>
    <t>Blue cell indicates template calculates value.</t>
  </si>
  <si>
    <t>Red cells indicate data does not meet requirements (see the Benchmark Data Submission Guide for more details), but note if carriers copy and paste data into template, it may override the data validation checks that highlight cells when there are issues.</t>
  </si>
  <si>
    <t>TM01</t>
  </si>
  <si>
    <t>TM02</t>
  </si>
  <si>
    <t>TM03</t>
  </si>
  <si>
    <t>TM04</t>
  </si>
  <si>
    <t>TM05</t>
  </si>
  <si>
    <t>TM06</t>
  </si>
  <si>
    <t>TM07</t>
  </si>
  <si>
    <t>TM08</t>
  </si>
  <si>
    <t>TM09</t>
  </si>
  <si>
    <t>TM10</t>
  </si>
  <si>
    <t>TM11</t>
  </si>
  <si>
    <t>TM12</t>
  </si>
  <si>
    <t>TM13</t>
  </si>
  <si>
    <t>TM14</t>
  </si>
  <si>
    <t>TM15</t>
  </si>
  <si>
    <t>TM16</t>
  </si>
  <si>
    <t>TM17</t>
  </si>
  <si>
    <t>TM18</t>
  </si>
  <si>
    <t>TM19</t>
  </si>
  <si>
    <t>TM20</t>
  </si>
  <si>
    <t>TM21</t>
  </si>
  <si>
    <t>TM22</t>
  </si>
  <si>
    <t>TM23</t>
  </si>
  <si>
    <t>TM24</t>
  </si>
  <si>
    <t>TM25</t>
  </si>
  <si>
    <t>TM26</t>
  </si>
  <si>
    <t>TM27</t>
  </si>
  <si>
    <t>TM28</t>
  </si>
  <si>
    <t>TM29</t>
  </si>
  <si>
    <t>Reporting Year</t>
  </si>
  <si>
    <t>Member Months</t>
  </si>
  <si>
    <t>Claims: Hospital Inpatient</t>
  </si>
  <si>
    <t>Claims: Hospital Outpatient</t>
  </si>
  <si>
    <t>Claims: Professional, Primary Care Providers</t>
  </si>
  <si>
    <t>Claims: Professional, Specialty Providers</t>
  </si>
  <si>
    <t>Claims: Professional, Other Providers</t>
  </si>
  <si>
    <t>Claims: Long-Term Care</t>
  </si>
  <si>
    <t>Claims: Retail Pharmacy</t>
  </si>
  <si>
    <t>Claims: Other</t>
  </si>
  <si>
    <t>Non-Claims: Capitation or Bundled Arrangements</t>
  </si>
  <si>
    <t>Non-Claims: Performance Incentives</t>
  </si>
  <si>
    <t>Non-Claims: Pop Health and Practice Infrastructure</t>
  </si>
  <si>
    <t>Non-Claims: Provider Salaries</t>
  </si>
  <si>
    <t>Non-Claims: Recovery</t>
  </si>
  <si>
    <t>Non-Claims: Other</t>
  </si>
  <si>
    <t>Non-Claims: Total Primary Care</t>
  </si>
  <si>
    <t>Claims Amount Excluded Due to Truncation</t>
  </si>
  <si>
    <t>Member Count with Truncated Claims</t>
  </si>
  <si>
    <t>Total Non-Truncated Claims Spending</t>
  </si>
  <si>
    <t>Total Non-Claims Spending</t>
  </si>
  <si>
    <t>Total Non-Truncated Claims and Non-Claims Spending</t>
  </si>
  <si>
    <t>Total Truncated Claims Spending</t>
  </si>
  <si>
    <t>Total Truncated Expenses</t>
  </si>
  <si>
    <t>Non-Truncated TME PMPM</t>
  </si>
  <si>
    <t>Truncated TME PMPM</t>
  </si>
  <si>
    <t>Row ID</t>
  </si>
  <si>
    <t xml:space="preserve">Insurer Code </t>
  </si>
  <si>
    <t xml:space="preserve">Reporting Year </t>
  </si>
  <si>
    <t xml:space="preserve">Insurance Category Code </t>
  </si>
  <si>
    <t xml:space="preserve">Large Provider Entity Code </t>
  </si>
  <si>
    <t>Dark green cells indicate row ID fields that must contain values that uniquely identify each row of data (i.e., the combination of Insurer Code, Reporting Year, Insurance Category Code, Large Provider Entity Code, Age Band Code, and Sex Code must be unique in each row).</t>
  </si>
  <si>
    <t>AS01</t>
  </si>
  <si>
    <t>AS02</t>
  </si>
  <si>
    <t>AS03</t>
  </si>
  <si>
    <t>AS04</t>
  </si>
  <si>
    <t>AS05</t>
  </si>
  <si>
    <t>AS06</t>
  </si>
  <si>
    <t>AS07</t>
  </si>
  <si>
    <t>AS08</t>
  </si>
  <si>
    <t>AS09</t>
  </si>
  <si>
    <t>AS10</t>
  </si>
  <si>
    <t>AS11</t>
  </si>
  <si>
    <t xml:space="preserve">Age Band Code </t>
  </si>
  <si>
    <t xml:space="preserve">Sex Code </t>
  </si>
  <si>
    <t>4. Standard Deviation (SD)</t>
  </si>
  <si>
    <t>Dark green cells indicate row ID fields that must contain values that uniquely identify each row of data (i.e., the combination of Insurer Code, Reporting Year, Market Code, and Large Provider Entity Code must be unique in each row).</t>
  </si>
  <si>
    <t>SD01</t>
  </si>
  <si>
    <t>SD02</t>
  </si>
  <si>
    <t>SD03</t>
  </si>
  <si>
    <t>SD04</t>
  </si>
  <si>
    <t>SD05</t>
  </si>
  <si>
    <t>SD06</t>
  </si>
  <si>
    <t>SD07</t>
  </si>
  <si>
    <t>SD08</t>
  </si>
  <si>
    <t>Standard Deviation PMPM</t>
  </si>
  <si>
    <t>TCOC Member Months</t>
  </si>
  <si>
    <t xml:space="preserve">Market Code </t>
  </si>
  <si>
    <t>5. Line of Business (LOB) Enrollment</t>
  </si>
  <si>
    <t>Dark green cells indicate row ID fields that must contain values that uniquely identify each row of data (i.e., the combination of Insurer Code, Reporting Year, and Line of Business Category Code must be unique in each row).</t>
  </si>
  <si>
    <t>Green cell indicates field requires input.</t>
  </si>
  <si>
    <t>LB01</t>
  </si>
  <si>
    <t>LB02</t>
  </si>
  <si>
    <t>LB03</t>
  </si>
  <si>
    <t>LB04</t>
  </si>
  <si>
    <t xml:space="preserve">Line of Business Category Code </t>
  </si>
  <si>
    <t>6. Pharmacy Rebates Data</t>
  </si>
  <si>
    <t>Dark green cells indicate row ID fields that must contain values that uniquely identify each row of data (i.e., the combination of Insurer Code, Reporting Year, and Insurance Category Code must be unique in each row).</t>
  </si>
  <si>
    <t>Yellow cells indicate field conditionally requires input based on whether insurer can separate out medical and retail pharmacy rebates (see the Benchmark Data Submission Guide for more details).</t>
  </si>
  <si>
    <t>RX01</t>
  </si>
  <si>
    <t>RX02</t>
  </si>
  <si>
    <t>RX03</t>
  </si>
  <si>
    <t>RX04</t>
  </si>
  <si>
    <t>RX05</t>
  </si>
  <si>
    <t>RX06</t>
  </si>
  <si>
    <t>RX07</t>
  </si>
  <si>
    <t>Medical Pharmacy Rebate Amount</t>
  </si>
  <si>
    <t>Retail Pharmacy Rebate Amount</t>
  </si>
  <si>
    <t>Total Pharmacy Rebate Amount</t>
  </si>
  <si>
    <t>Total Medical and Retail Pharmacy Rebate Amount</t>
  </si>
  <si>
    <r>
      <t xml:space="preserve">Insurers must complete this tab </t>
    </r>
    <r>
      <rPr>
        <i/>
        <sz val="11"/>
        <rFont val="Calibri"/>
        <family val="2"/>
        <scheme val="minor"/>
      </rPr>
      <t>after</t>
    </r>
    <r>
      <rPr>
        <sz val="11"/>
        <rFont val="Calibri"/>
        <family val="2"/>
        <scheme val="minor"/>
      </rPr>
      <t xml:space="preserve"> they enter data in each input tab, following the specifications and requirements in the </t>
    </r>
    <r>
      <rPr>
        <b/>
        <sz val="11"/>
        <color theme="3"/>
        <rFont val="Calibri"/>
        <family val="2"/>
        <scheme val="minor"/>
      </rPr>
      <t>Carrier Benchmark Data Submission Guide</t>
    </r>
    <r>
      <rPr>
        <sz val="11"/>
        <rFont val="Calibri"/>
        <family val="2"/>
        <scheme val="minor"/>
      </rPr>
      <t>.</t>
    </r>
  </si>
  <si>
    <t>Yellow cells indicate input is optional; insurers should enter comments where applicable to provide context on submitted data.</t>
  </si>
  <si>
    <t>Red cells indicate data does not meet requirements (see the Benchmark Data Submission Guide for more details).</t>
  </si>
  <si>
    <t>Attestation</t>
  </si>
  <si>
    <t xml:space="preserve">I hereby attest that the information submitted in this data submission template is current, complete and accurate to the best of my knowledge. Failure to attest will result in DOBI's non-acceptance of the data submission. </t>
  </si>
  <si>
    <t>MQ01</t>
  </si>
  <si>
    <t>Authorized Signatory</t>
  </si>
  <si>
    <t>MQ02</t>
  </si>
  <si>
    <t>Sign Date</t>
  </si>
  <si>
    <t>Data Completeness and Estimation Questions</t>
  </si>
  <si>
    <t>Question</t>
  </si>
  <si>
    <t>Response</t>
  </si>
  <si>
    <t>Comments</t>
  </si>
  <si>
    <t>MQ03</t>
  </si>
  <si>
    <t>What is the overall completeness of the claims data (please report as %)?</t>
  </si>
  <si>
    <t>MQ04</t>
  </si>
  <si>
    <t>How long was the run-out period for claims payments (please report as days)?</t>
  </si>
  <si>
    <t>MQ05</t>
  </si>
  <si>
    <t>How long was the run-out period for non-claims payments (please report as days)?</t>
  </si>
  <si>
    <t>MQ06</t>
  </si>
  <si>
    <t>Are IBNR and IBNP factors applied to claims payments?</t>
  </si>
  <si>
    <t>MQ07</t>
  </si>
  <si>
    <t>Is pharmacy rebate data estimated?</t>
  </si>
  <si>
    <t>MQ08</t>
  </si>
  <si>
    <t>If yes, please enter how you estimated the rebate amounts.</t>
  </si>
  <si>
    <t>MQ09</t>
  </si>
  <si>
    <t>Are carve-out services for commercial partial claims estimated?</t>
  </si>
  <si>
    <t>MQ10</t>
  </si>
  <si>
    <t>If yes, please enter which carve-out services you estimated and describe how you calculated the estimate.</t>
  </si>
  <si>
    <t>TME Inclusion and Exclusion Questions</t>
  </si>
  <si>
    <t>MQ11</t>
  </si>
  <si>
    <t>Are claims payments reported as allowed amounts, including both payments that insurer paid to providers and member cost sharing?</t>
  </si>
  <si>
    <t>MQ12</t>
  </si>
  <si>
    <t>Is the spending reported in a manner consistent with the payment service category definitions in the Benchmark Data Submission Guide?</t>
  </si>
  <si>
    <t>MQ13</t>
  </si>
  <si>
    <t>Does the TME include NJ residents only?</t>
  </si>
  <si>
    <t>MQ14</t>
  </si>
  <si>
    <t>Does the TME include services rendered by providers, regardless of location of provider?</t>
  </si>
  <si>
    <t>MQ15</t>
  </si>
  <si>
    <t>Does the TME include services rendered by providers, regardless of the situs of the member's plan?</t>
  </si>
  <si>
    <t>MQ16</t>
  </si>
  <si>
    <t>Are data limited only to members for whom the insurer is primary on the claim?</t>
  </si>
  <si>
    <t>MQ17</t>
  </si>
  <si>
    <t>MQ18</t>
  </si>
  <si>
    <t>Are TME submitted based on the incurred date/ date of service?</t>
  </si>
  <si>
    <t>MQ19</t>
  </si>
  <si>
    <t>Is truncation applied at the member level?</t>
  </si>
  <si>
    <t>MQ20</t>
  </si>
  <si>
    <t>Does the truncated spending include only claims data?</t>
  </si>
  <si>
    <t>MQ21</t>
  </si>
  <si>
    <t>Are spending estimates on carved out services (commercial partial claims) included in the calculation of claims at the member level before applying truncation?</t>
  </si>
  <si>
    <t>Standard Deviation Questions</t>
  </si>
  <si>
    <t>MQ22</t>
  </si>
  <si>
    <t>Are standard deviations calculated using the formula for population standard deviation?</t>
  </si>
  <si>
    <t>MQ23</t>
  </si>
  <si>
    <t>Are non-claims expenses excluded from the standard deviation calculations?</t>
  </si>
  <si>
    <t>MQ24</t>
  </si>
  <si>
    <t>Are spending estimates on carved out services (commercial partial claims) at the member month level included in the standard deviation calculations?</t>
  </si>
  <si>
    <t>MQ25</t>
  </si>
  <si>
    <t>When calculating the standard deviation, did you include all the member months, regardless of whether the member has paid claims for that month?</t>
  </si>
  <si>
    <t>MQ26</t>
  </si>
  <si>
    <t>When calculating the standard deviation, did you use each member’s average cost per month applied to each month they were enrolled, instead of the actual utilization each month?</t>
  </si>
  <si>
    <t>MQ27</t>
  </si>
  <si>
    <t>Is standard deviation calculated by market, which combines certain Insurance Category Codes?</t>
  </si>
  <si>
    <t>Income from Fees of Uninsured Plans Questions</t>
  </si>
  <si>
    <t>MQ28</t>
  </si>
  <si>
    <t>Did you have members in self-insured plans during calendar year 2021?</t>
  </si>
  <si>
    <t>MQ29</t>
  </si>
  <si>
    <t>If yes, please enter the income from fees of uninsured plans for 2021.</t>
  </si>
  <si>
    <t>MQ30</t>
  </si>
  <si>
    <t>Did you have members in self-insured plans during calendar year 2022?</t>
  </si>
  <si>
    <t>MQ31</t>
  </si>
  <si>
    <t>If yes, please enter the income from fees of uninsured plans for 2022.</t>
  </si>
  <si>
    <t>MQ33</t>
  </si>
  <si>
    <t>Did you have members in self-insured plans during calendar year 2023?</t>
  </si>
  <si>
    <t>MQ34</t>
  </si>
  <si>
    <t>If yes, please enter the income from fees of uninsured plans for 2023.</t>
  </si>
  <si>
    <t>"Doing Business As" Information</t>
  </si>
  <si>
    <t>MQ32</t>
  </si>
  <si>
    <t>For Medicare managed care organizations, what are all the names under which you are "doing business as” in the state of NJ?</t>
  </si>
  <si>
    <t>MQ35</t>
  </si>
  <si>
    <t>What are all the NAIC codes under which you are doing business as in the state of NJ (include all markets)?</t>
  </si>
  <si>
    <t>This tab includes various data validation checks to confirm consistency and reasonableness of data across and within tabs. Please review the data in this tab prior to submission to ensure that you are comfortable with the values and trends reflected in the tables below.</t>
  </si>
  <si>
    <t>Table 1. Alignment of Insurer Code from TME Tab with Insurer Name from Cover Page</t>
  </si>
  <si>
    <t>Red cells indicate the insurer code and name do not align and the carrier must correct in the applicable input tab(s) (see the Insurer Code Valid Values table in the Reference Tables tab for your organization's Insurer Code).</t>
  </si>
  <si>
    <t>Carrier Inputted Insurer Code (Field ID TM01)</t>
  </si>
  <si>
    <t>Carrier Inputted Insurer Name (Field ID CP01)</t>
  </si>
  <si>
    <t>Insurer Name Associated With TM01</t>
  </si>
  <si>
    <t>Insurer Name Aligns with Insurer Code?</t>
  </si>
  <si>
    <t>Table 2. Consistency of Member Months for Carrier Overall (Large Provider Entity Code 100) Across TME, Age &amp; Sex Factors, and LOB Enrollment Tabs</t>
  </si>
  <si>
    <t>Red cells indicate that member months do not match across tabs and the carrier must correct in the applicable input tab(s).</t>
  </si>
  <si>
    <t>Category</t>
  </si>
  <si>
    <t>TME Tab Member Months</t>
  </si>
  <si>
    <t>Age &amp; Sex Factors Tab Member Months</t>
  </si>
  <si>
    <t>Age &amp; Sex Factors Tab Consistent with TME Tab?</t>
  </si>
  <si>
    <t>Age &amp; Sex Factors and TME Tabs Variation</t>
  </si>
  <si>
    <t>LOB Enrollment Tab Member Months</t>
  </si>
  <si>
    <t>LOB Enrollment Tab Consistent with TME Tab?</t>
  </si>
  <si>
    <t xml:space="preserve"> LOB Enrollment and TME Tabs Variation</t>
  </si>
  <si>
    <t>LOB Enrollment and TME Tabs Variation</t>
  </si>
  <si>
    <t>Commercial total</t>
  </si>
  <si>
    <t>Commercial, excluding SHBP &amp; SEHBP (Insurance Category Codes 3+4; LOB Category Codes 1+2+3+4+5)</t>
  </si>
  <si>
    <t>Commercial SHBP &amp; SEHBP (Insurance Category Code 7; LOB Category Code 10)</t>
  </si>
  <si>
    <t>MA total</t>
  </si>
  <si>
    <t>MA non-dual eligibles, excluding SHBP &amp; SEHBP (Insurance Category Code 1; LOB Category Code 6)</t>
  </si>
  <si>
    <t>MA dual eligibles (Insurance Category Code 5; LOB Category Code 8)</t>
  </si>
  <si>
    <t>MA SHBP &amp; SEHBP (Insurance Category Code 8; LOB Category Code 11)</t>
  </si>
  <si>
    <t>Medicaid MCO total</t>
  </si>
  <si>
    <t>Medicaid MCO non-dual eligibles (Insurance Category Code 2; LOB Category Code 7)</t>
  </si>
  <si>
    <t>Medicaid MCO dual eligibles (Insurance Category Code 6; LOB Category Code 9)</t>
  </si>
  <si>
    <t>Table 3. Consistency of Total Truncated Claims Spending and Member Months for Carrier Overall (Large Provider Entity Code 100) Across TME, Age &amp; Sex Factors, and Standard Deviation Tabs</t>
  </si>
  <si>
    <t>`</t>
  </si>
  <si>
    <t>Red cells indicate that claims spending and/or member months for carrier overall (Large Provider Entity Code 100) do not match across tabs and the carrier must correct in the applicable input tab(s).</t>
  </si>
  <si>
    <t>Market</t>
  </si>
  <si>
    <t>TME Tab Total Truncated Claims Spending</t>
  </si>
  <si>
    <t>Age &amp; Sex Factors Tab Total Truncated Claims Spending</t>
  </si>
  <si>
    <t>Age &amp; Sex Factors Tab Total Truncated Claims Spending Consistent with TME Tab?</t>
  </si>
  <si>
    <t>Total Truncated Claims Spending Variation</t>
  </si>
  <si>
    <t>Standard Deviation Tab Total Truncated Claims Spending</t>
  </si>
  <si>
    <t>Standard Deviation Tab Total Truncated Claims Spending Consistent with TME Tab?</t>
  </si>
  <si>
    <t>Total Truncated Claims Spending Variation Between Standard Deviation and TME Tabs</t>
  </si>
  <si>
    <t>Age &amp; Sex Factors Tab Member Months Consistent with TME Tab?</t>
  </si>
  <si>
    <t>Member Months Variation</t>
  </si>
  <si>
    <t>Standard Deviation Member Months</t>
  </si>
  <si>
    <t>Standard Deviation Tab Member Months Consistent with TME Tab?</t>
  </si>
  <si>
    <t>Standard Deviation Tab Consistent with TME Tab?</t>
  </si>
  <si>
    <t>Standard Deviation and TME Tabs Variation</t>
  </si>
  <si>
    <t>MA (Insurance Category Codes 1+5+8; Market Code 1)</t>
  </si>
  <si>
    <t>Medicaid MCO (Insurance Category Codes 2+6; Market Code 2)</t>
  </si>
  <si>
    <t>Commercial (Insurance Category Codes 3+4+7; Market Code 3)</t>
  </si>
  <si>
    <t>Table 4. Truncation Validation for Carrier Overall (Large Provider Entity Code 100) in TME Tab</t>
  </si>
  <si>
    <t>Red cells indicate the following errors that the carrier must correct in the applicable input tab(s):</t>
  </si>
  <si>
    <t>• Member Count with Truncated Claims (TM22) for carrier overall (Large Provider Entity Code 100) is more than the Total Member Count (TM05 divided by 12) for the respective Reporting Year (TM02) and Insurance Category Code (TM03); and/or
• Member Count with Truncated Claims as a proportion of Total Member Count (TM22/[TM05/12]) is greater than 3%; and/or
• Total Truncated Claims Spending (TM26) for carrier overall (Large Provider Entity Code 100) is more than Total Non-Truncated Claims Spending (TM23) for the respective Reporting Year (TM02) and Insurance Category Code (TM03); and/or
• Total Non-Truncated Claims Spending (AS10) for carrier overall (Large Provider Entity Code 100) does not match Total Non-Truncated Claims Spending (TM23) for the respective Reporting Year and Insurance Category Code</t>
  </si>
  <si>
    <t>Member Count (Member Months Divided by 12)</t>
  </si>
  <si>
    <t>Member Count with Truncated Claims Less Than Total Member Count?</t>
  </si>
  <si>
    <t>Member Count with Truncated Claims as a Proportion of Total Member Count</t>
  </si>
  <si>
    <t>TME Tab Total Non-Truncated Claims Spending</t>
  </si>
  <si>
    <t>Age &amp; Sex Factors Tab Total Non-Truncated Claims Spending</t>
  </si>
  <si>
    <t>Total Truncated Claims Spending Less Than Or Equal To Total Non-Truncated Claims Spending?</t>
  </si>
  <si>
    <t>Age &amp; Sex Factors Tab Total Non-Truncated Claims Spending Consistent with TME Tab?</t>
  </si>
  <si>
    <t>Table 5. Reasonableness of PMPMs for Carrier Overall (Large Provider Entity Code 100)</t>
  </si>
  <si>
    <t>Red cells indicate the following potential errors that the carrier must either notify DOBI that data are accurate or correct in the applicable input tab(s):
-PMPM is less than $10; and/or
-Difference in PMPM between commercial full and partial claims (Insurance Category Codes 3 &amp; 4) increased or decreased by more than 9%</t>
  </si>
  <si>
    <r>
      <t>•</t>
    </r>
    <r>
      <rPr>
        <sz val="7.7"/>
        <color theme="1"/>
        <rFont val="Calibri"/>
        <family val="2"/>
        <scheme val="minor"/>
      </rPr>
      <t xml:space="preserve"> </t>
    </r>
    <r>
      <rPr>
        <sz val="11"/>
        <color theme="1"/>
        <rFont val="Calibri"/>
        <family val="2"/>
        <scheme val="minor"/>
      </rPr>
      <t>PMPM is less than $10, except for TM11 &amp; TM24 PMPMs; and/or
• Difference in PMPM between commercial full and partial claims (Insurance Category Codes 3 &amp; 4) was more than 49%</t>
    </r>
  </si>
  <si>
    <t>Claims: Hospital Inpatient (TM06) PMPM</t>
  </si>
  <si>
    <t>Claims: Hospital Outpatient (TM07) PMPM</t>
  </si>
  <si>
    <t>Claims: Professional, Primary Care Providers (TM08) PMPM</t>
  </si>
  <si>
    <t>Claims: Professional, Specialty Providers (TM09) PMPM</t>
  </si>
  <si>
    <t>Claims: Professional, Other Providers (TM10) PMPM</t>
  </si>
  <si>
    <t>Claims: Long-Term Care (TM11) PMPM</t>
  </si>
  <si>
    <t>Claims: Retail Pharmacy (TM12) PMPM</t>
  </si>
  <si>
    <t>Claims: Other (TM13) PMPM</t>
  </si>
  <si>
    <t>Total Non-Claims Spending (TM24) PMPM</t>
  </si>
  <si>
    <t>Total Non-Truncated Claims and Non-Claims Spending (TM25) PMPM</t>
  </si>
  <si>
    <t>Percentage change between categories 3+4</t>
  </si>
  <si>
    <t>Less than 50% difference between categories 3+4?</t>
  </si>
  <si>
    <t>Table 6. Reasonableness of Member Sex for Carrier Overall (Large Provider Entity Code 100)</t>
  </si>
  <si>
    <t>Red cells indicate any of the following potential errors that the carrier must either notify DOBI that data are accurate or correct in the applicable input tab(s); note that you can ignore red cells where value is "NA":</t>
  </si>
  <si>
    <t>• Less than 40% and/or more than 70% of members were female in the respective group; and/or 
• Less than 30% and/or more than 60% of members were male in the respective group</t>
  </si>
  <si>
    <t>Group</t>
  </si>
  <si>
    <t>Percentage of Female Members (Sex Code 1)</t>
  </si>
  <si>
    <t>Percentage of Male Members (Sex Code 2)</t>
  </si>
  <si>
    <t>MA non-dual eligible members (Insurance Category Codes 1+8)</t>
  </si>
  <si>
    <t>Dual eligible members (Insurance Category Codes 5+6)</t>
  </si>
  <si>
    <t>Medicaid MCO non-dual eligible members (Insurance Category Code 2)</t>
  </si>
  <si>
    <t>Commercial members (Insurance Category Codes 3+4+7)</t>
  </si>
  <si>
    <t>Table 7. Reasonableness of Member Age for Carrier Overall (Large Provider Entity Code 100)</t>
  </si>
  <si>
    <r>
      <rPr>
        <sz val="11"/>
        <color theme="1"/>
        <rFont val="Calibri"/>
        <family val="2"/>
        <scheme val="minor"/>
      </rPr>
      <t>•</t>
    </r>
    <r>
      <rPr>
        <sz val="7.7"/>
        <color theme="1"/>
        <rFont val="Calibri"/>
        <family val="2"/>
        <scheme val="minor"/>
      </rPr>
      <t xml:space="preserve"> </t>
    </r>
    <r>
      <rPr>
        <sz val="11"/>
        <color theme="1"/>
        <rFont val="Calibri"/>
        <family val="2"/>
        <scheme val="minor"/>
      </rPr>
      <t>More than 20% of MA non-dual eligible members were under 65 years old; and/or 
• More than 60% of dual eligible members were under 65 years old; and/or
• Less than 80% of Medicaid MCO non-dual and/or commercial members were under 65 years old</t>
    </r>
  </si>
  <si>
    <t>Percentage of Members Under 65 Years Old (Age Band Codes 1+2+3+4+5)</t>
  </si>
  <si>
    <t>Sources for reasonableness thresholds: https://www.cms.gov/files/document/medicaremedicaiddualenrollmenteverenrolledtrendsdatabrief.pdf; https://www.kff.org/medicare/issue-brief/a-profile-of-medicare-medicaid-enrollees-dual-eligibles; https://aspe.hhs.gov/sites/default/files/documents/f81aafbba0b331c71c6e8bc66512e25d/medicare-beneficiary-enrollment-ib.pdf</t>
  </si>
  <si>
    <t>Table 8. Total Non-Truncated Claims Spending PMPM by Age Band &amp; Sex Codes for Carrier Overall (Large Provider Entity Code 100)</t>
  </si>
  <si>
    <t>0 to 1 Year Old (Age Band Code 1) Total Non-Truncated Claims Spending PMPM</t>
  </si>
  <si>
    <t>2 to 18 Years Old (Age Band Code 2) Total Non-Truncated Claims Spending PMPM</t>
  </si>
  <si>
    <t>19 to 39 Years Old (Age Band Code 3) Total Non-Truncated Claims Spending PMPM</t>
  </si>
  <si>
    <t>Female (Sex Code 1) 19 to 39 Years Old (Age Band Code 3) Total Non-Truncated Claims Spending</t>
  </si>
  <si>
    <t>Male (Sex Code 2) 19 to 39 Years Old (Age Band Code 3) Total Non-Truncated Claims Spending</t>
  </si>
  <si>
    <t>40 to 54 Years Old (Age Band Code 4) Total Non-Truncated Claims Spending PMPM</t>
  </si>
  <si>
    <t>55 to 64 Years Old (Age Band Code 5) Total Non-Truncated Claims Spending PMPM</t>
  </si>
  <si>
    <t>65 to 74 Years Old (Age Band Code 6) Total Non-Truncated Claims Spending PMPM</t>
  </si>
  <si>
    <t>75 to 84 Years Old (Age Band Code 7) Total Non-Truncated Claims Spending PMPM</t>
  </si>
  <si>
    <t>85+ Years Old (Age Band Code 8) Total Non-Truncated Claims Spending PMPM</t>
  </si>
  <si>
    <t>MA (Insurance Category Codes 1+5+8)</t>
  </si>
  <si>
    <t>Medicaid MCO (Insurance Category Codes 2+6)</t>
  </si>
  <si>
    <t>Commercial (Insurance Category Codes 3+4+7)</t>
  </si>
  <si>
    <t>Medicaid MCO and dual eligibles (Insurance Category Codes 2+5+6)</t>
  </si>
  <si>
    <t>Table 9. TME Tab Fields for Carrier Overall (Large Provider Entity Code 100)</t>
  </si>
  <si>
    <t>Table 10. Age &amp; Sex Factors Tab Fields for Carrier Overall (Large Provider Entity Code 100)</t>
  </si>
  <si>
    <t xml:space="preserve">Female (Sex Code 1) Member Months </t>
  </si>
  <si>
    <t xml:space="preserve">Male (Sex Code 2) Member Months </t>
  </si>
  <si>
    <t>Table 11. Member Months by Age Band &amp; Sex Codes for Carrier Overall (Large Provider Entity Code 100)</t>
  </si>
  <si>
    <t xml:space="preserve">0 to 1 Year Old (Age Band Code 1) Member Months </t>
  </si>
  <si>
    <t xml:space="preserve">2 to 18 Years Old (Age Band Code 2) Member Months </t>
  </si>
  <si>
    <t xml:space="preserve">19 to 39 Years Old (Age Band Code 3) Member Months </t>
  </si>
  <si>
    <t xml:space="preserve">Female (Sex Code 1) 19 to 39 Years Old (Age Band Code 3) Member Months </t>
  </si>
  <si>
    <t xml:space="preserve">Male (Sex Code 2) 19 to 39 Years Old (Age Band Code 3) Member Months </t>
  </si>
  <si>
    <t>40 to 54 Years Old (Age Band Code 4) Member Months</t>
  </si>
  <si>
    <t>55 to 64 Years Old (Age Band Code 5) Member Months</t>
  </si>
  <si>
    <t>65 to 74 Years Old (Age Band Code 6) Member Months</t>
  </si>
  <si>
    <t>75 to 84 Years Old (Age Band Code 7) Member Months</t>
  </si>
  <si>
    <t>85+ Years Old (Age Band Code 8) Member Months</t>
  </si>
  <si>
    <t xml:space="preserve">Under 65 Years Old (Age Band Codes 1+2+3+4+5) Member Months </t>
  </si>
  <si>
    <t xml:space="preserve">65+ Years Old (Age Band Codes 6+7+8) Member Months </t>
  </si>
  <si>
    <t>Table 12. Total Non-Truncated Claims Spending by Age Band &amp; Sex Codes for Carrier Overall (Large Provider Entity Code 100)</t>
  </si>
  <si>
    <t>0 to 1 Year Old (Age Band Code 1) Total Non-Truncated Claims Spending</t>
  </si>
  <si>
    <t>2 to 18 Years Old (Age Band Code 2) Total Non-Truncated Claims Spending</t>
  </si>
  <si>
    <t>19 to 39 Years Old (Age Band Code 3) Total Non-Truncated Claims Spending</t>
  </si>
  <si>
    <t>40 to 54 Years Old (Age Band Code 4) Total Non-Truncated Claims Spending</t>
  </si>
  <si>
    <t>55 to 64 Years Old (Age Band Code 5) Total Non-Truncated Claims Spending</t>
  </si>
  <si>
    <t>65 to 74 Years Old (Age Band Code 6) Total Non-Truncated Claims Spending</t>
  </si>
  <si>
    <t>75 to 84 Years Old (Age Band Code 7) Total Non-Truncated Claims Spending</t>
  </si>
  <si>
    <t>85+ Years Old (Age Band Code 8) Total Non-Truncated Claims Spending</t>
  </si>
  <si>
    <t>Under 65 Years Old (Age Band Codes 1+2+3+4+5) Total Non-Truncated Claims Spending</t>
  </si>
  <si>
    <t>65+ Years Old (Age Band Codes 6+7+8) Total Non-Truncated Claims Spending</t>
  </si>
  <si>
    <t>Table 13. Standard Deviation Tab Fields for Carrier Overall (Large Provider Entity Code 100)</t>
  </si>
  <si>
    <t>Table 14. LOB Enrollment Tab Member Months</t>
  </si>
  <si>
    <t>LOB Category Code</t>
  </si>
  <si>
    <t xml:space="preserve">Table 15. Consistency for Carrier Overall (Large Provider Entity Code 100) Across Fields in TME and Age &amp; Sex Factors Tabs </t>
  </si>
  <si>
    <t>Red cells indicate that field totals do not match across tabs and the carrier must correct in the applicable input tab(s).</t>
  </si>
  <si>
    <t>TME Tab Claims Amount Excluded Due to Truncation</t>
  </si>
  <si>
    <t>Age &amp; Sex Factors Tab Claims Amount Excluded Due to Truncation</t>
  </si>
  <si>
    <t>TME Tab Member Count with Truncated Claims</t>
  </si>
  <si>
    <t>Age &amp; Sex Factors Tab Member Count with Truncated Claims</t>
  </si>
  <si>
    <t>Table 16. Reasonability of Member Months &amp; Member Counts Compared to CMS MA and Medicaid MCO Enrollment Data</t>
  </si>
  <si>
    <t>TME Tab Member Months for MA (Insurance Category Codes 1+5+8)</t>
  </si>
  <si>
    <t>CMS Member Months for MA</t>
  </si>
  <si>
    <t>MA Member Months Variation</t>
  </si>
  <si>
    <t>TME Tab Member Count (Member Months Divided by 12) for Medicaid MCO (Insurance Category Codes 2+6)</t>
  </si>
  <si>
    <t>CMS Member Count for Medicaid MCO</t>
  </si>
  <si>
    <t>Medicaid MCO Member Count Variation</t>
  </si>
  <si>
    <t xml:space="preserve">TME Tab Member Months for MA (Insurance Category Codes 1+5+8) </t>
  </si>
  <si>
    <t xml:space="preserve">CMS Member Months for MA </t>
  </si>
  <si>
    <t xml:space="preserve">MA Member Months Variation </t>
  </si>
  <si>
    <t xml:space="preserve">TME Tab Member Count (Member Months Divided by 12) for Medicaid MCO (Insurance Category Codes 2+6) </t>
  </si>
  <si>
    <t xml:space="preserve">CMS Member Count for Medicaid MCO </t>
  </si>
  <si>
    <t xml:space="preserve">Medicaid MCO Member Count Variation </t>
  </si>
  <si>
    <t>Sources for data carriers reported to CMS: https://www.cms.gov/data-research/statistics-trends-and-reports/medicare-advantagepart-d-contract-and-enrollment-data/monthly-ma-enrollment-state/county/contract; https://www.medicaid.gov/medicaid/managed-care/enrollment-report/index.html</t>
  </si>
  <si>
    <r>
      <t>•</t>
    </r>
    <r>
      <rPr>
        <sz val="7.7"/>
        <color theme="1"/>
        <rFont val="Calibri"/>
        <family val="2"/>
        <scheme val="minor"/>
      </rPr>
      <t xml:space="preserve"> </t>
    </r>
    <r>
      <rPr>
        <sz val="11"/>
        <color theme="1"/>
        <rFont val="Calibri"/>
        <family val="2"/>
        <scheme val="minor"/>
      </rPr>
      <t>MPM is less than $10, except for TM11 &amp; TM24 PMPMs; and/or
• Difference in PMPM between commercial full and partial claims (Insurance Category Codes 3 &amp; 4) was more than 49%</t>
    </r>
  </si>
  <si>
    <t>2018 MA table</t>
  </si>
  <si>
    <t>year</t>
  </si>
  <si>
    <t>INSURER_CODE</t>
  </si>
  <si>
    <t>Enrolled_Totals</t>
  </si>
  <si>
    <t>NA</t>
  </si>
  <si>
    <t>2019 MA table</t>
  </si>
  <si>
    <t>2021 MA table</t>
  </si>
  <si>
    <t>2022 MA table</t>
  </si>
  <si>
    <t>2023 MA table</t>
  </si>
  <si>
    <t>2018 MC table</t>
  </si>
  <si>
    <t>2019 MC table</t>
  </si>
  <si>
    <t>2021 MC table</t>
  </si>
  <si>
    <t>2022 MC table</t>
  </si>
  <si>
    <t>2023 MC table</t>
  </si>
  <si>
    <t>This tab uses data from the TME and Pharmacy Rebates tabs to calculate member months and per member per month (PMPM) spending trends by payment service category for each market and insurance category. Please review the data in this tab prior to submission to ensure that you are comfortable with the PMPM values and trends reflected in the tables below.</t>
  </si>
  <si>
    <t>Table 1. Member Months by Insurance Category &amp; Market</t>
  </si>
  <si>
    <t>Red cells indicate market-level trend increased or decreased by more than 10%, potentially indicating an error that the carrier must either notify DOBI that data are accurate or correct in the applicable input tab(s); note that you can ignore red cells where value is "NA".</t>
  </si>
  <si>
    <t>Insurance Category</t>
  </si>
  <si>
    <t>2021</t>
  </si>
  <si>
    <t>2022</t>
  </si>
  <si>
    <t>Trend</t>
  </si>
  <si>
    <t>Medicare market total</t>
  </si>
  <si>
    <t>MA non-dual eligibles, excluding SHBP &amp; SEHBP (Insurance Category Code 1)</t>
  </si>
  <si>
    <t>MA dual eligibles (Insurance Category Code 5)</t>
  </si>
  <si>
    <t>MA SHBP &amp; SEHBP (Insurance Category Code 8)</t>
  </si>
  <si>
    <t>Medicaid market total</t>
  </si>
  <si>
    <t>Medicaid MCO non-dual eligibles (Insurance Category Code 2)</t>
  </si>
  <si>
    <t>Medicaid MCO dual eligibles (Insurance Category Code 6)</t>
  </si>
  <si>
    <t>Commercial market total</t>
  </si>
  <si>
    <t>Commercial full claims, excluding SHBP &amp; SEHBP (Insurance Category Code 3)</t>
  </si>
  <si>
    <t>Commercial partial claims, excluding SHBP &amp; SEHBP (Insurance Category Code 4)</t>
  </si>
  <si>
    <t>Commercial SHBP &amp; SEHBP (Insurance Category Code 7)</t>
  </si>
  <si>
    <t>Total</t>
  </si>
  <si>
    <t>Table 4. Commercial Total (Insurance Category Codes 3+4+7) - TME PMPM Trends</t>
  </si>
  <si>
    <t>Table 5. Commercial Full Claims Members (Insurance Category Code 3) - TME PMPM Trends</t>
  </si>
  <si>
    <t>Table 6. Commercial Partial Claims Members (Insurance Category Code 4) - TME PMPM Trends</t>
  </si>
  <si>
    <t>Table 7. Commercial SHBP &amp; SEHBP Members (Insurance Category Code 7) - TME PMPM Trends</t>
  </si>
  <si>
    <t>Service Category</t>
  </si>
  <si>
    <t>Claims: Retail Pharmacy (Gross of Rebates)</t>
  </si>
  <si>
    <t>Claims: Pharmacy (Net of Pharmacy Rebate Amount)</t>
  </si>
  <si>
    <t xml:space="preserve">Rebates as a proportion of pharmacy spending (RX07/TM12) </t>
  </si>
  <si>
    <t>Table 8. Medicare Total (Insurance Category Codes 1+5+8) - TME PMPM Trends</t>
  </si>
  <si>
    <t>Table 9. MA Non-Dual Eligible Members (Insurance Category Code 1) - TME PMPM Trends</t>
  </si>
  <si>
    <t>Table 10. MA Dual Eligible Members (Insurance Category Code 5) - TME PMPM Trends</t>
  </si>
  <si>
    <t>Table 11. MA SHBP &amp; SEHBP Members (Insurance Category Code 8) - TME PMPM Trends</t>
  </si>
  <si>
    <t>Table 12. Medicaid Total (Insurance Category Codes 2+6) - TME PMPM Trends</t>
  </si>
  <si>
    <t>Table 13. Medicaid MCO Non-Dual Eligible Members (Insurance Category Code 2) - TME PMPM Trends</t>
  </si>
  <si>
    <t>Table 14. Medicaid MCO Dual Eligible Members (Insurance Category Code 6) - TME PMPM Trends</t>
  </si>
  <si>
    <t>This tab uses data from the TME tab to calculate member months and PMPM spending trends by provider entity for each market and insurance category. Please review the data in this tab prior to submission to ensure that you are comfortable with the PMPM values and trends reflected in the tables below.</t>
  </si>
  <si>
    <t>Red cells in the tables below indicate any of the following potential errors that the carrier must either notify DOBI that data are accurate or correct in the applicable input tab(s):</t>
  </si>
  <si>
    <t>Table 1. Commercial Total (Insurance Category Codes 3+4+7) - TME Trends PMPM</t>
  </si>
  <si>
    <t>Large Provider Entity Name</t>
  </si>
  <si>
    <t>2021-2022 Trend</t>
  </si>
  <si>
    <t>TME Tab Member Months (TM05)</t>
  </si>
  <si>
    <t>TME Tab Total Non-Truncated Claims Spending PMPM</t>
  </si>
  <si>
    <t>TME Tab Total Non-Claims Spending PMPM</t>
  </si>
  <si>
    <t>TME Tab Total Non-Truncated Claims and Non-Claims Spending PMPM</t>
  </si>
  <si>
    <t>TME Tab Total Truncated Claims Spending PMPM</t>
  </si>
  <si>
    <t>TME Tab Total Truncated Expenses PMPM</t>
  </si>
  <si>
    <t>Member Months (TM05) Difference (absolute value)</t>
  </si>
  <si>
    <t>Member Months (TM05) Trend</t>
  </si>
  <si>
    <t>Total Non-Truncated Claims Spending (TM23) PMPM Trend</t>
  </si>
  <si>
    <t>Total Non-Claims Spending (TM24) PMPM Trend</t>
  </si>
  <si>
    <t>Total Non-Truncated Claims and Non-Claims Spending (TM25) PMPM Trend</t>
  </si>
  <si>
    <t>Total Truncated Claims Spending (TM26) PMPM Trend</t>
  </si>
  <si>
    <t>Total Truncated Expenses (TM27) PMPM Trend</t>
  </si>
  <si>
    <t>Total Member Months (TM05) for LPEs 101-999/ PMPM Weighted Average for LPEs 101-999, Gross of Rebates</t>
  </si>
  <si>
    <t>PMPM for LPE 100, Net of Rebates</t>
  </si>
  <si>
    <t>LPEs 101-999 and LPE 100 Variation</t>
  </si>
  <si>
    <t>Sum of LPEs 101-999 Consistent with LPE 100?</t>
  </si>
  <si>
    <t>Table 2. Commercial Full Claims Members (Insurance Category Code 3) - TME Trends PMPM</t>
  </si>
  <si>
    <t>Total Member Months for LPEs 101-999/ PMPM Weighted Average for LPEs 101-999, Gross of Rebates</t>
  </si>
  <si>
    <t>Table 3. Commercial Partial Claims Members (Insurance Category Code 4) - TME Trends PMPM</t>
  </si>
  <si>
    <t>Table 4. Commercial SHBP &amp; SEHBP Members (Insurance Category Code 7) - TME Trends PMPM</t>
  </si>
  <si>
    <t>Table 5. Medicare Total (Insurance Category Codes 1+5+8) - TME Trends PMPM</t>
  </si>
  <si>
    <t>Table 6. MA Non-Dual Eligible Members (Insurance Category Code 1) - TME Trends PMPM</t>
  </si>
  <si>
    <t>Table 7. MA Dual Eligible Members (Insurance Category Code 5) - TME Trends PMPM</t>
  </si>
  <si>
    <t>Table 8. MA SHBP &amp; SEHBP Members (Insurance Category Code 8) - TME Trends PMPM</t>
  </si>
  <si>
    <t>Table 9. Medicaid Total (Insurance Category Codes 2+6) - TME Trends PMPM</t>
  </si>
  <si>
    <t>Table 10. Medicaid MCO Non-Dual Eligible Members (Insurance Category Code 2) - TME Trends PMPM</t>
  </si>
  <si>
    <t>Table 11. Medicaid MCO Dual Eligible Members (Insurance Category Code 6) - TME Trends PMPM</t>
  </si>
  <si>
    <t>Member Months (TM05)</t>
  </si>
  <si>
    <t>Table 2. Total Truncated Expenses (Gross of Rebates) Trends by Insurance Category &amp; Market</t>
  </si>
  <si>
    <t>Table 3. Total Truncated Expenses (Gross of Rebates) PMPM Trends by Insurance Category &amp; Market</t>
  </si>
  <si>
    <t>Red cells indicate trend increased or decreased by more than 10%, potentially indicating an error that the carrier must either notify DOBI that data are accurate or correct in the applicable input tab(s); note that you can ignore red cells where value is "NA".</t>
  </si>
  <si>
    <r>
      <rPr>
        <sz val="11"/>
        <color theme="1"/>
        <rFont val="Calibri"/>
        <family val="2"/>
      </rPr>
      <t>•</t>
    </r>
    <r>
      <rPr>
        <sz val="6.6"/>
        <color theme="1"/>
        <rFont val="Calibri"/>
        <family val="2"/>
      </rPr>
      <t xml:space="preserve"> </t>
    </r>
    <r>
      <rPr>
        <sz val="11"/>
        <color theme="1"/>
        <rFont val="Calibri"/>
        <family val="2"/>
        <scheme val="minor"/>
      </rPr>
      <t>Provider-level trend (Large Provider Entity Codes 101 through 999) increased or decreased by more than 50%; and/or
• PMPM trend data is "NA" (i.e., data is missing)</t>
    </r>
  </si>
  <si>
    <t>Claims: Hospital Inpatient (TM06/TM05)</t>
  </si>
  <si>
    <t>Claims: Hospital Outpatient (TM07/TM05)</t>
  </si>
  <si>
    <t>Claims: Professional, Primary Care Providers (TM08/TM05)</t>
  </si>
  <si>
    <t>Claims: Professional, Specialty Providers (TM09/TM05)</t>
  </si>
  <si>
    <t>Claims: Professional, Other Providers (TM10/TM05)</t>
  </si>
  <si>
    <t>• TM05 through TM20 PMPM trend increased or decreased by more than 30%; and/or
• TM23 through TM29 PMPM trend increased or decreased by more than 10%; and/or
• Rebates as a proportion of pharmacy spending (RX07/TM12) is greater than 100%</t>
  </si>
  <si>
    <t>Claims: Long-Term Care (TM11/TM05)</t>
  </si>
  <si>
    <t>Claims: Retail Pharmacy (Gross of Rebates) (TM12/TM05)</t>
  </si>
  <si>
    <t>Claims: Retail Pharmacy (Net of Pharmacy Rebate Amount) (TM12+RX07/TM05)</t>
  </si>
  <si>
    <t>Total Medical and Retail Pharmacy Rebate Amount (RX07/TM05)</t>
  </si>
  <si>
    <t>Claims: Other (TM13/TM05)</t>
  </si>
  <si>
    <t>Total Non-Truncated Claims Spending (TM23/TM05)</t>
  </si>
  <si>
    <t>Total Truncated Claims Spending (TM26/TM05)</t>
  </si>
  <si>
    <t>Non-Claims: Capitation or Bundled Arrangements (TM14/TM05)</t>
  </si>
  <si>
    <t>Non-Claims: Performance Incentives (TM15/TM05)</t>
  </si>
  <si>
    <t>Non-Claims: Pop Health and Practice Infrastructure (TM16/TM05)</t>
  </si>
  <si>
    <t>Non-Claims: Provider Salaries (TM17/TM05)</t>
  </si>
  <si>
    <t>Non-Claims: Recovery (TM18/TM05)</t>
  </si>
  <si>
    <t>Non-Claims: Other (TM19/TM05)</t>
  </si>
  <si>
    <t>Non-Claims: Total Primary Care (TM20/TM05)</t>
  </si>
  <si>
    <t>Total Non-Claims Spending (TM24/TM05)</t>
  </si>
  <si>
    <t>Total Non-Truncated Claims and Non-Claims Spending (TM25/TM05)</t>
  </si>
  <si>
    <t>Total Truncated Expenses (TM27/TM05)</t>
  </si>
  <si>
    <t>2023</t>
  </si>
  <si>
    <t xml:space="preserve">Are members attributed to provider organizations using an approach that is consistent with your internal attribution methodology? </t>
  </si>
  <si>
    <t>Capital Health Accountable Care Organization, LLC</t>
  </si>
  <si>
    <t>Optum</t>
  </si>
  <si>
    <t>Advocare</t>
  </si>
  <si>
    <t>Aledade/ NJ MSSP Enhanced</t>
  </si>
  <si>
    <t>AtlantiCare Health Solutions, Inc./ AtlantiCare</t>
  </si>
  <si>
    <t>Englewood Health Medical Center</t>
  </si>
  <si>
    <t>Partners in Care ACO</t>
  </si>
  <si>
    <t>Shore Quality Partners ACO</t>
  </si>
  <si>
    <t>NJPACO R, LLC/ NJ Physicians ACO</t>
  </si>
  <si>
    <t>Penn Medicine/ Princeton Health/ Princeton Healthcare Partners</t>
  </si>
  <si>
    <t>VillageMD/ Summit Health ACO/ Summit Health/ Summit Medical Group</t>
  </si>
  <si>
    <t>2022-2023 Trend</t>
  </si>
  <si>
    <t>This Carrier Benchmark Data Submission Template is for commercial carriers to submit total medical expenses (TME) and other required information to the New Jersey (NJ) Department of Banking and Insurance (DOBI). DOBI is collecting these data for each annual health care cost growth benchmark reporting cycle as part of the Health Care Affordability, Responsibility, and Transparency (HART) Program.</t>
  </si>
  <si>
    <r>
      <t>Insurers must also submit this completed template with the following case sensitive naming convention: D</t>
    </r>
    <r>
      <rPr>
        <sz val="11"/>
        <color rgb="FFC00000"/>
        <rFont val="Calibri"/>
        <family val="2"/>
        <scheme val="minor"/>
      </rPr>
      <t>yyyy</t>
    </r>
    <r>
      <rPr>
        <sz val="11"/>
        <rFont val="Calibri"/>
        <family val="2"/>
        <scheme val="minor"/>
      </rPr>
      <t>_I</t>
    </r>
    <r>
      <rPr>
        <sz val="11"/>
        <color rgb="FFC00000"/>
        <rFont val="Calibri"/>
        <family val="2"/>
        <scheme val="minor"/>
      </rPr>
      <t>nnn</t>
    </r>
    <r>
      <rPr>
        <sz val="11"/>
        <rFont val="Calibri"/>
        <family val="2"/>
        <scheme val="minor"/>
      </rPr>
      <t>_V</t>
    </r>
    <r>
      <rPr>
        <sz val="11"/>
        <color rgb="FFC00000"/>
        <rFont val="Calibri"/>
        <family val="2"/>
        <scheme val="minor"/>
      </rPr>
      <t>nn</t>
    </r>
    <r>
      <rPr>
        <sz val="11"/>
        <rFont val="Calibri"/>
        <family val="2"/>
        <scheme val="minor"/>
      </rPr>
      <t>_TME.xlsx, where:</t>
    </r>
  </si>
  <si>
    <t>85+ years old</t>
  </si>
  <si>
    <t>Large group plans, 51+ employees, fully insured (excluding SHBP &amp; SEHBP)</t>
  </si>
  <si>
    <t>1 = Large group plans (51+ employees), fully insured (excluding SHBP &amp; SEHBP plans)
2 = Small group plans (2-50 employees), fully insured
3 = Self-insured plans
4 = Individual plans (buy coverage on their own)
5 = Student plans</t>
  </si>
  <si>
    <r>
      <t xml:space="preserve">For the list of updates and changes to this Template, please see the Version History section in the </t>
    </r>
    <r>
      <rPr>
        <b/>
        <sz val="11"/>
        <color theme="3"/>
        <rFont val="Calibri"/>
        <family val="2"/>
        <scheme val="minor"/>
      </rPr>
      <t>Carrier Benchmark Data Submission Guide</t>
    </r>
    <r>
      <rPr>
        <sz val="11"/>
        <color theme="1"/>
        <rFont val="Calibri"/>
        <family val="2"/>
        <scheme val="minor"/>
      </rPr>
      <t xml:space="preserve"> posted to the following sites:</t>
    </r>
  </si>
  <si>
    <r>
      <t xml:space="preserve">• </t>
    </r>
    <r>
      <rPr>
        <b/>
        <sz val="11"/>
        <color theme="1"/>
        <rFont val="Calibri"/>
        <family val="2"/>
        <scheme val="minor"/>
      </rPr>
      <t xml:space="preserve">DOBI NJ HART program website: </t>
    </r>
    <r>
      <rPr>
        <sz val="11"/>
        <color theme="1"/>
        <rFont val="Calibri"/>
        <family val="2"/>
        <scheme val="minor"/>
      </rPr>
      <t xml:space="preserve">https://nj.gov/dobi/division_insurance/HART/submitters.html
• </t>
    </r>
    <r>
      <rPr>
        <b/>
        <sz val="11"/>
        <color theme="1"/>
        <rFont val="Calibri"/>
        <family val="2"/>
        <scheme val="minor"/>
      </rPr>
      <t>Benchmark Data Submission Site (requires login, see the Access to the Benchmark Data Submission Site subsection in the Guide for more info):</t>
    </r>
    <r>
      <rPr>
        <sz val="11"/>
        <color theme="1"/>
        <rFont val="Calibri"/>
        <family val="2"/>
        <scheme val="minor"/>
      </rPr>
      <t xml:space="preserve"> https://sonj.sharepoint.com/sites/DOBI-HART/General%20Information</t>
    </r>
  </si>
  <si>
    <r>
      <t xml:space="preserve">This tab includes lookup and mapping tables for the row ID fields in input tabs two through six. The row ID fields are a combination of data elements that have a set of valid value options or category codes. For more information on the row ID fields that uniquely identify records, please see the Reporting Categories subsection in the </t>
    </r>
    <r>
      <rPr>
        <b/>
        <sz val="11"/>
        <color theme="3"/>
        <rFont val="Calibri"/>
        <family val="2"/>
        <scheme val="minor"/>
      </rPr>
      <t>Carrier Benchmark Data Submission Guide</t>
    </r>
    <r>
      <rPr>
        <sz val="11"/>
        <color theme="1"/>
        <rFont val="Calibri"/>
        <family val="2"/>
        <scheme val="minor"/>
      </rPr>
      <t>.</t>
    </r>
  </si>
  <si>
    <r>
      <t>• “I</t>
    </r>
    <r>
      <rPr>
        <sz val="11"/>
        <color rgb="FFC00000"/>
        <rFont val="Calibri"/>
        <family val="2"/>
        <scheme val="minor"/>
      </rPr>
      <t>nnn</t>
    </r>
    <r>
      <rPr>
        <sz val="11"/>
        <color theme="1"/>
        <rFont val="Calibri"/>
        <family val="2"/>
        <scheme val="minor"/>
      </rPr>
      <t>” is the three-digit Insurer Code (see the Reference Tables tab for the Insurer Codes).</t>
    </r>
  </si>
  <si>
    <r>
      <t>• “V</t>
    </r>
    <r>
      <rPr>
        <sz val="11"/>
        <color rgb="FFC00000"/>
        <rFont val="Calibri"/>
        <family val="2"/>
        <scheme val="minor"/>
      </rPr>
      <t>nn</t>
    </r>
    <r>
      <rPr>
        <sz val="11"/>
        <color theme="1"/>
        <rFont val="Calibri"/>
        <family val="2"/>
        <scheme val="minor"/>
      </rPr>
      <t>” is the submission number (i.e., use “V01” for first submission, “V02” if first submission requires corrections, and so on).</t>
    </r>
  </si>
  <si>
    <r>
      <t>• “D</t>
    </r>
    <r>
      <rPr>
        <sz val="11"/>
        <color rgb="FFC00000"/>
        <rFont val="Calibri"/>
        <family val="2"/>
        <scheme val="minor"/>
      </rPr>
      <t>yyyy</t>
    </r>
    <r>
      <rPr>
        <sz val="11"/>
        <color theme="1"/>
        <rFont val="Calibri"/>
        <family val="2"/>
        <scheme val="minor"/>
      </rPr>
      <t>” is the four-digit year (yyyy) when DOBI issued the data request to carriers (i.e., use “2023” for the pre-benchmark submission, “2024” for the transition year and PY1 submission, and so on).</t>
    </r>
  </si>
  <si>
    <r>
      <rPr>
        <b/>
        <sz val="11"/>
        <rFont val="Calibri"/>
        <family val="2"/>
        <scheme val="minor"/>
      </rPr>
      <t>Note:</t>
    </r>
    <r>
      <rPr>
        <sz val="11"/>
        <rFont val="Calibri"/>
        <family val="2"/>
        <scheme val="minor"/>
      </rPr>
      <t xml:space="preserve"> The State requires carriers to correct and resubmit data in this Template if it does not adhere to the requirements in the </t>
    </r>
    <r>
      <rPr>
        <b/>
        <sz val="11"/>
        <color theme="3"/>
        <rFont val="Calibri"/>
        <family val="2"/>
        <scheme val="minor"/>
      </rPr>
      <t>Carrier Benchmark Data Submission Guide</t>
    </r>
    <r>
      <rPr>
        <sz val="11"/>
        <rFont val="Calibri"/>
        <family val="2"/>
        <scheme val="minor"/>
      </rPr>
      <t xml:space="preserve"> (that is, failure to follow requirements will result in state's non-acceptance of the data submission).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</si>
</sst>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0.0%"/>
    <numFmt numFmtId="165" formatCode="yyyy\-mm\-dd"/>
    <numFmt numFmtId="166" formatCode="_(* #,##0_);_(* \(#,##0\);_(* &quot;-&quot;??_);_(@_)"/>
    <numFmt numFmtId="167" formatCode="_(&quot;$&quot;* #,##0_);_(&quot;$&quot;* \(#,##0\);_(&quot;$&quot;* &quot;-&quot;??_);_(@_)"/>
  </numFmts>
  <fonts count="44"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1"/>
      <name val="Calibri"/>
      <family val="2"/>
      <scheme val="minor"/>
    </font>
    <font>
      <sz val="11"/>
      <color theme="8" tint="-0.249977111117893"/>
      <name val="Calibri"/>
      <family val="2"/>
      <scheme val="minor"/>
    </font>
    <font>
      <sz val="11"/>
      <name val="Calibri"/>
      <family val="2"/>
      <scheme val="minor"/>
    </font>
    <font>
      <b/>
      <sz val="11"/>
      <color theme="0"/>
      <name val="Calibri"/>
      <family val="2"/>
      <scheme val="minor"/>
    </font>
    <font>
      <sz val="12"/>
      <color theme="1"/>
      <name val="Calibri"/>
      <family val="2"/>
      <scheme val="minor"/>
    </font>
    <font>
      <sz val="11"/>
      <color theme="1" tint="0.499984740745262"/>
      <name val="Calibri"/>
      <family val="2"/>
      <scheme val="minor"/>
    </font>
    <font>
      <sz val="11"/>
      <color theme="1"/>
      <name val="Calibri Light"/>
      <family val="1"/>
      <scheme val="major"/>
    </font>
    <font>
      <b/>
      <sz val="14"/>
      <color theme="1"/>
      <name val="Calibri Light"/>
      <family val="2"/>
      <scheme val="major"/>
    </font>
    <font>
      <sz val="11"/>
      <color theme="1"/>
      <name val="Calibri Light"/>
      <family val="2"/>
      <scheme val="major"/>
    </font>
    <font>
      <sz val="11"/>
      <name val="Calibri Light"/>
      <family val="2"/>
      <scheme val="major"/>
    </font>
    <font>
      <b/>
      <sz val="20"/>
      <color theme="3"/>
      <name val="Calibri Light"/>
      <family val="1"/>
      <scheme val="major"/>
    </font>
    <font>
      <b/>
      <sz val="16"/>
      <color theme="4"/>
      <name val="Calibri Light"/>
      <family val="1"/>
      <scheme val="major"/>
    </font>
    <font>
      <b/>
      <sz val="11"/>
      <name val="Calibri Light"/>
      <family val="1"/>
      <scheme val="major"/>
    </font>
    <font>
      <sz val="8"/>
      <name val="Calibri"/>
      <family val="2"/>
      <scheme val="minor"/>
    </font>
    <font>
      <sz val="11"/>
      <color theme="0" tint="-0.34998626667073579"/>
      <name val="Calibri"/>
      <family val="2"/>
      <scheme val="minor"/>
    </font>
    <font>
      <i/>
      <sz val="11"/>
      <name val="Calibri"/>
      <family val="2"/>
      <scheme val="minor"/>
    </font>
    <font>
      <b/>
      <sz val="11"/>
      <color theme="1" tint="0.499984740745262"/>
      <name val="Calibri"/>
      <family val="2"/>
      <scheme val="minor"/>
    </font>
    <font>
      <b/>
      <sz val="11"/>
      <color theme="3"/>
      <name val="Calibri"/>
      <family val="2"/>
      <scheme val="minor"/>
    </font>
    <font>
      <u/>
      <sz val="11"/>
      <color theme="10"/>
      <name val="Calibri"/>
      <family val="2"/>
      <scheme val="minor"/>
    </font>
    <font>
      <sz val="11"/>
      <color theme="0"/>
      <name val="Calibri"/>
      <family val="2"/>
      <scheme val="minor"/>
    </font>
    <font>
      <sz val="11"/>
      <color rgb="FFFF7C80"/>
      <name val="Calibri"/>
      <family val="2"/>
      <scheme val="minor"/>
    </font>
    <font>
      <sz val="11"/>
      <color theme="1"/>
      <name val="Calibri"/>
      <family val="2"/>
    </font>
    <font>
      <sz val="11"/>
      <color theme="3"/>
      <name val="Calibri"/>
      <family val="2"/>
      <scheme val="minor"/>
    </font>
    <font>
      <sz val="11"/>
      <color rgb="FF000000"/>
      <name val="Calibri"/>
      <family val="2"/>
      <scheme val="minor"/>
    </font>
    <font>
      <i/>
      <sz val="11"/>
      <color theme="1"/>
      <name val="Calibri"/>
      <family val="2"/>
      <scheme val="minor"/>
    </font>
    <font>
      <sz val="6.6"/>
      <color theme="1"/>
      <name val="Calibri"/>
      <family val="2"/>
    </font>
    <font>
      <sz val="11"/>
      <color rgb="FFC00000"/>
      <name val="Calibri"/>
      <family val="2"/>
      <scheme val="minor"/>
    </font>
    <font>
      <sz val="7.7"/>
      <color theme="1"/>
      <name val="Calibri"/>
      <family val="2"/>
      <scheme val="minor"/>
    </font>
    <font>
      <sz val="11"/>
      <color theme="0" tint="-4.9989318521683403E-2"/>
      <name val="Calibri"/>
      <family val="2"/>
      <scheme val="minor"/>
    </font>
    <font>
      <sz val="11"/>
      <color rgb="FFFF0000"/>
      <name val="Calibri"/>
      <family val="2"/>
      <scheme val="minor"/>
    </font>
    <font>
      <b/>
      <sz val="14"/>
      <color theme="4"/>
      <name val="Calibri Light"/>
      <family val="2"/>
      <scheme val="major"/>
    </font>
    <font>
      <b/>
      <sz val="14"/>
      <name val="Calibri Light"/>
      <family val="2"/>
      <scheme val="major"/>
    </font>
    <font>
      <b/>
      <sz val="12"/>
      <name val="Calibri"/>
      <family val="2"/>
      <scheme val="minor"/>
    </font>
    <font>
      <b/>
      <sz val="12"/>
      <name val="Calibri Light"/>
      <family val="2"/>
      <scheme val="major"/>
    </font>
    <font>
      <b/>
      <sz val="11"/>
      <color theme="1" tint="0.34998626667073579"/>
      <name val="Calibri Light"/>
      <family val="2"/>
      <scheme val="major"/>
    </font>
    <font>
      <b/>
      <sz val="11"/>
      <color rgb="FFFF0000"/>
      <name val="Calibri Light"/>
      <family val="2"/>
      <scheme val="major"/>
    </font>
    <font>
      <b/>
      <sz val="16"/>
      <color theme="3"/>
      <name val="Calibri Light"/>
      <family val="2"/>
      <scheme val="major"/>
    </font>
    <font>
      <b/>
      <sz val="16"/>
      <color theme="4"/>
      <name val="Calibri Light"/>
      <family val="2"/>
      <scheme val="major"/>
    </font>
    <font>
      <b/>
      <sz val="22"/>
      <color theme="4"/>
      <name val="Calibri Light"/>
      <family val="1"/>
      <scheme val="major"/>
    </font>
    <font>
      <b/>
      <sz val="20"/>
      <color theme="3"/>
      <name val="Calibri Light"/>
      <family val="2"/>
      <scheme val="maj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9B9B"/>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EDB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8"/>
        <bgColor indexed="64"/>
      </patternFill>
    </fill>
    <fill>
      <patternFill patternType="solid">
        <fgColor theme="3"/>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dotted">
        <color indexed="64"/>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diagonal/>
    </border>
    <border>
      <left style="dotted">
        <color indexed="64"/>
      </left>
      <right/>
      <top/>
      <bottom/>
      <diagonal/>
    </border>
    <border>
      <left/>
      <right style="dotted">
        <color indexed="64"/>
      </right>
      <top style="dotted">
        <color indexed="64"/>
      </top>
      <bottom/>
      <diagonal/>
    </border>
    <border>
      <left/>
      <right/>
      <top style="dotted">
        <color indexed="64"/>
      </top>
      <bottom/>
      <diagonal/>
    </border>
    <border>
      <left style="dotted">
        <color indexed="64"/>
      </left>
      <right/>
      <top style="dotted">
        <color indexed="64"/>
      </top>
      <bottom/>
      <diagonal/>
    </border>
    <border>
      <left/>
      <right/>
      <top style="thin">
        <color theme="0" tint="-0.499984740745262"/>
      </top>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thin">
        <color theme="4"/>
      </right>
      <top style="thin">
        <color theme="4"/>
      </top>
      <bottom/>
      <diagonal/>
    </border>
    <border>
      <left/>
      <right style="thin">
        <color theme="4"/>
      </right>
      <top style="thin">
        <color theme="4"/>
      </top>
      <bottom style="thin">
        <color theme="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43" fontId="1" fillId="0" borderId="0" applyFont="0" applyFill="0" applyBorder="0" applyAlignment="0" applyProtection="0"/>
  </cellStyleXfs>
  <cellXfs count="730">
    <xf numFmtId="0" fontId="0" fillId="0" borderId="0" xfId="0"/>
    <xf numFmtId="0" fontId="0" fillId="0" borderId="0" xfId="0" applyAlignment="1">
      <alignment horizontal="left"/>
    </xf>
    <xf numFmtId="0" fontId="0" fillId="0" borderId="0" xfId="0" applyAlignment="1">
      <alignment horizontal="center"/>
    </xf>
    <xf numFmtId="0" fontId="2" fillId="0" borderId="0" xfId="0" applyFont="1"/>
    <xf numFmtId="0" fontId="2" fillId="0" borderId="0" xfId="0" applyFont="1" applyAlignment="1">
      <alignment horizontal="left"/>
    </xf>
    <xf numFmtId="0" fontId="3" fillId="0" borderId="0" xfId="0" applyFont="1"/>
    <xf numFmtId="0" fontId="0" fillId="0" borderId="1" xfId="0" applyBorder="1" applyAlignment="1">
      <alignment horizontal="left"/>
    </xf>
    <xf numFmtId="44" fontId="0" fillId="0" borderId="1" xfId="0" applyNumberFormat="1" applyBorder="1" applyAlignment="1">
      <alignment horizontal="center"/>
    </xf>
    <xf numFmtId="3" fontId="0" fillId="0" borderId="1" xfId="0" applyNumberFormat="1" applyBorder="1" applyAlignment="1">
      <alignment horizontal="center"/>
    </xf>
    <xf numFmtId="0" fontId="3" fillId="0" borderId="0" xfId="0" applyFont="1" applyAlignment="1">
      <alignment horizontal="left"/>
    </xf>
    <xf numFmtId="0" fontId="0" fillId="3" borderId="0" xfId="0" applyFill="1" applyAlignment="1">
      <alignment horizontal="left"/>
    </xf>
    <xf numFmtId="0" fontId="0" fillId="3" borderId="0" xfId="0" applyFill="1"/>
    <xf numFmtId="0" fontId="8" fillId="0" borderId="0" xfId="0" applyFont="1" applyAlignment="1">
      <alignment vertical="top" wrapText="1"/>
    </xf>
    <xf numFmtId="1" fontId="10" fillId="0" borderId="0" xfId="0" applyNumberFormat="1" applyFont="1" applyAlignment="1">
      <alignment horizontal="left"/>
    </xf>
    <xf numFmtId="0" fontId="10" fillId="3" borderId="0" xfId="0" applyFont="1" applyFill="1" applyAlignment="1">
      <alignment horizontal="left"/>
    </xf>
    <xf numFmtId="0" fontId="10" fillId="0" borderId="0" xfId="0" applyFont="1" applyAlignment="1">
      <alignment horizontal="left"/>
    </xf>
    <xf numFmtId="0" fontId="15" fillId="0" borderId="0" xfId="0" applyFont="1" applyAlignment="1">
      <alignment horizontal="left"/>
    </xf>
    <xf numFmtId="0" fontId="16" fillId="0" borderId="0" xfId="0" applyFont="1" applyAlignment="1">
      <alignment horizontal="left"/>
    </xf>
    <xf numFmtId="0" fontId="7" fillId="0" borderId="0" xfId="0" applyFont="1" applyAlignment="1">
      <alignment horizontal="left" vertical="top"/>
    </xf>
    <xf numFmtId="0" fontId="14" fillId="0" borderId="0" xfId="0" applyFont="1" applyAlignment="1">
      <alignment horizontal="left" vertical="top"/>
    </xf>
    <xf numFmtId="0" fontId="18" fillId="3" borderId="0" xfId="0" applyFont="1" applyFill="1" applyAlignment="1">
      <alignment wrapText="1"/>
    </xf>
    <xf numFmtId="0" fontId="6" fillId="0" borderId="0" xfId="0" applyFont="1"/>
    <xf numFmtId="0" fontId="4" fillId="0" borderId="0" xfId="0" applyFont="1" applyAlignment="1">
      <alignment horizontal="left" vertical="top"/>
    </xf>
    <xf numFmtId="0" fontId="6" fillId="6" borderId="2" xfId="0" applyFont="1" applyFill="1" applyBorder="1" applyAlignment="1">
      <alignment horizontal="left"/>
    </xf>
    <xf numFmtId="0" fontId="4" fillId="6" borderId="5" xfId="0" applyFont="1" applyFill="1" applyBorder="1" applyAlignment="1">
      <alignment horizontal="left" wrapText="1"/>
    </xf>
    <xf numFmtId="1" fontId="4" fillId="6" borderId="5" xfId="0" applyNumberFormat="1" applyFont="1" applyFill="1" applyBorder="1" applyAlignment="1">
      <alignment horizontal="left" wrapText="1"/>
    </xf>
    <xf numFmtId="0" fontId="4" fillId="7" borderId="0" xfId="0" applyFont="1" applyFill="1" applyAlignment="1">
      <alignment horizontal="left" vertical="top"/>
    </xf>
    <xf numFmtId="0" fontId="4" fillId="0" borderId="0" xfId="0" applyFont="1" applyAlignment="1">
      <alignment horizontal="left" wrapText="1"/>
    </xf>
    <xf numFmtId="0" fontId="7" fillId="0" borderId="0" xfId="0" applyFont="1" applyAlignment="1">
      <alignment horizontal="left"/>
    </xf>
    <xf numFmtId="0" fontId="9" fillId="0" borderId="0" xfId="0" applyFont="1" applyAlignment="1">
      <alignment horizontal="left"/>
    </xf>
    <xf numFmtId="0" fontId="4" fillId="0" borderId="0" xfId="0" applyFont="1" applyAlignment="1">
      <alignment horizontal="left"/>
    </xf>
    <xf numFmtId="0" fontId="7" fillId="6" borderId="0" xfId="0" applyFont="1" applyFill="1" applyAlignment="1">
      <alignment horizontal="left"/>
    </xf>
    <xf numFmtId="0" fontId="7" fillId="6" borderId="0" xfId="0" applyFont="1" applyFill="1" applyAlignment="1">
      <alignment horizontal="left" vertical="top"/>
    </xf>
    <xf numFmtId="0" fontId="4" fillId="8" borderId="0" xfId="0" applyFont="1" applyFill="1" applyAlignment="1">
      <alignment horizontal="left"/>
    </xf>
    <xf numFmtId="0" fontId="4" fillId="0" borderId="0" xfId="0" applyFont="1" applyAlignment="1">
      <alignment horizontal="left" vertical="center"/>
    </xf>
    <xf numFmtId="0" fontId="6" fillId="0" borderId="0" xfId="0" applyFont="1" applyAlignment="1">
      <alignment horizontal="left" vertical="center"/>
    </xf>
    <xf numFmtId="0" fontId="20" fillId="0" borderId="0" xfId="0" applyFont="1" applyAlignment="1">
      <alignment horizontal="left" wrapText="1"/>
    </xf>
    <xf numFmtId="0" fontId="20" fillId="0" borderId="0" xfId="0" applyFont="1" applyAlignment="1">
      <alignment horizontal="left"/>
    </xf>
    <xf numFmtId="0" fontId="9" fillId="2" borderId="0" xfId="0" applyFont="1" applyFill="1" applyAlignment="1">
      <alignment horizontal="left" wrapText="1"/>
    </xf>
    <xf numFmtId="0" fontId="9" fillId="3" borderId="0" xfId="0" applyFont="1" applyFill="1" applyAlignment="1">
      <alignment horizontal="left"/>
    </xf>
    <xf numFmtId="1" fontId="9" fillId="0" borderId="0" xfId="0" applyNumberFormat="1" applyFont="1" applyAlignment="1">
      <alignment horizontal="left"/>
    </xf>
    <xf numFmtId="0" fontId="6" fillId="14" borderId="2" xfId="0" applyFont="1" applyFill="1" applyBorder="1" applyAlignment="1">
      <alignment horizontal="left"/>
    </xf>
    <xf numFmtId="0" fontId="6" fillId="7" borderId="2" xfId="0" applyFont="1" applyFill="1" applyBorder="1" applyAlignment="1">
      <alignment horizontal="left"/>
    </xf>
    <xf numFmtId="0" fontId="6" fillId="7" borderId="7" xfId="0" applyFont="1" applyFill="1" applyBorder="1" applyAlignment="1">
      <alignment horizontal="left"/>
    </xf>
    <xf numFmtId="0" fontId="4" fillId="10" borderId="4" xfId="0" applyFont="1" applyFill="1" applyBorder="1" applyAlignment="1">
      <alignment horizontal="left"/>
    </xf>
    <xf numFmtId="0" fontId="4" fillId="10" borderId="6" xfId="0" applyFont="1" applyFill="1" applyBorder="1" applyAlignment="1">
      <alignment horizontal="left"/>
    </xf>
    <xf numFmtId="1" fontId="4" fillId="14" borderId="5" xfId="0" applyNumberFormat="1" applyFont="1" applyFill="1" applyBorder="1" applyAlignment="1">
      <alignment horizontal="left" wrapText="1"/>
    </xf>
    <xf numFmtId="0" fontId="6" fillId="3" borderId="0" xfId="0" applyFont="1" applyFill="1" applyAlignment="1">
      <alignment horizontal="left"/>
    </xf>
    <xf numFmtId="0" fontId="0" fillId="0" borderId="0" xfId="0" applyAlignment="1">
      <alignment wrapText="1"/>
    </xf>
    <xf numFmtId="0" fontId="0" fillId="3" borderId="0" xfId="0" applyFill="1" applyAlignment="1">
      <alignment wrapText="1"/>
    </xf>
    <xf numFmtId="0" fontId="6" fillId="0" borderId="0" xfId="0" applyFont="1" applyAlignment="1">
      <alignment horizontal="left"/>
    </xf>
    <xf numFmtId="0" fontId="4" fillId="6" borderId="0" xfId="0" applyFont="1" applyFill="1" applyAlignment="1">
      <alignment horizontal="left"/>
    </xf>
    <xf numFmtId="0" fontId="4" fillId="3" borderId="0" xfId="0" applyFont="1" applyFill="1" applyAlignment="1">
      <alignment horizontal="left" wrapText="1"/>
    </xf>
    <xf numFmtId="0" fontId="0" fillId="0" borderId="3" xfId="0" applyBorder="1" applyAlignment="1">
      <alignment horizontal="left"/>
    </xf>
    <xf numFmtId="0" fontId="0" fillId="0" borderId="3" xfId="0" applyBorder="1" applyAlignment="1">
      <alignment horizontal="left" wrapText="1"/>
    </xf>
    <xf numFmtId="0" fontId="0" fillId="0" borderId="9" xfId="0" applyBorder="1" applyAlignment="1">
      <alignment horizontal="left" wrapText="1"/>
    </xf>
    <xf numFmtId="0" fontId="3" fillId="0" borderId="0" xfId="0" applyFont="1" applyAlignment="1">
      <alignment horizontal="left" vertical="top"/>
    </xf>
    <xf numFmtId="0" fontId="4" fillId="11" borderId="0" xfId="0" applyFont="1" applyFill="1"/>
    <xf numFmtId="9" fontId="0" fillId="0" borderId="1" xfId="2" applyFont="1" applyBorder="1" applyAlignment="1" applyProtection="1">
      <alignment horizontal="left"/>
      <protection locked="0"/>
    </xf>
    <xf numFmtId="0" fontId="6" fillId="6" borderId="2" xfId="0" applyFont="1" applyFill="1" applyBorder="1" applyAlignment="1">
      <alignment horizontal="left" wrapText="1"/>
    </xf>
    <xf numFmtId="0" fontId="6" fillId="6" borderId="2" xfId="0" applyFont="1" applyFill="1" applyBorder="1" applyAlignment="1">
      <alignment horizontal="left" wrapText="1" indent="2"/>
    </xf>
    <xf numFmtId="0" fontId="6" fillId="6" borderId="7" xfId="0" applyFont="1" applyFill="1" applyBorder="1" applyAlignment="1">
      <alignment horizontal="left" wrapText="1"/>
    </xf>
    <xf numFmtId="0" fontId="0" fillId="0" borderId="9" xfId="1" applyNumberFormat="1" applyFont="1" applyFill="1" applyBorder="1" applyAlignment="1" applyProtection="1">
      <alignment horizontal="left"/>
      <protection locked="0"/>
    </xf>
    <xf numFmtId="0" fontId="2" fillId="10" borderId="4" xfId="0" applyFont="1" applyFill="1" applyBorder="1" applyAlignment="1">
      <alignment horizontal="left"/>
    </xf>
    <xf numFmtId="0" fontId="2" fillId="10" borderId="5" xfId="0" applyFont="1" applyFill="1" applyBorder="1" applyAlignment="1">
      <alignment horizontal="left"/>
    </xf>
    <xf numFmtId="0" fontId="4" fillId="11" borderId="6" xfId="0" applyFont="1" applyFill="1" applyBorder="1" applyAlignment="1">
      <alignment horizontal="left" wrapText="1"/>
    </xf>
    <xf numFmtId="0" fontId="6" fillId="6" borderId="7" xfId="0" applyFont="1" applyFill="1" applyBorder="1" applyAlignment="1">
      <alignment horizontal="left" wrapText="1" indent="2"/>
    </xf>
    <xf numFmtId="0" fontId="4" fillId="0" borderId="6" xfId="0" applyFont="1" applyBorder="1" applyAlignment="1">
      <alignment horizontal="left" wrapText="1"/>
    </xf>
    <xf numFmtId="0" fontId="0" fillId="0" borderId="3" xfId="1" applyNumberFormat="1" applyFont="1" applyBorder="1" applyAlignment="1" applyProtection="1">
      <alignment horizontal="left"/>
      <protection locked="0"/>
    </xf>
    <xf numFmtId="0" fontId="9" fillId="0" borderId="0" xfId="0" applyFont="1" applyAlignment="1">
      <alignment horizontal="left" wrapText="1"/>
    </xf>
    <xf numFmtId="0" fontId="11" fillId="0" borderId="0" xfId="0" applyFont="1" applyAlignment="1">
      <alignment horizontal="left" wrapText="1"/>
    </xf>
    <xf numFmtId="1" fontId="12" fillId="0" borderId="0" xfId="0" applyNumberFormat="1" applyFont="1" applyAlignment="1">
      <alignment horizontal="left" wrapText="1"/>
    </xf>
    <xf numFmtId="0" fontId="4" fillId="0" borderId="0" xfId="0" applyFont="1" applyAlignment="1">
      <alignment horizontal="left" vertical="center" wrapText="1"/>
    </xf>
    <xf numFmtId="0" fontId="6" fillId="0" borderId="0" xfId="0" applyFont="1" applyAlignment="1">
      <alignment horizontal="left" vertical="center" wrapText="1"/>
    </xf>
    <xf numFmtId="0" fontId="12" fillId="3" borderId="0" xfId="0" applyFont="1" applyFill="1" applyAlignment="1">
      <alignment horizontal="left" wrapText="1"/>
    </xf>
    <xf numFmtId="1" fontId="24" fillId="8" borderId="0" xfId="0" applyNumberFormat="1" applyFont="1" applyFill="1" applyAlignment="1">
      <alignment horizontal="left"/>
    </xf>
    <xf numFmtId="0" fontId="23" fillId="5" borderId="1" xfId="0" applyFont="1" applyFill="1" applyBorder="1" applyAlignment="1">
      <alignment horizontal="center" wrapText="1"/>
    </xf>
    <xf numFmtId="0" fontId="23" fillId="5" borderId="9" xfId="0" applyFont="1" applyFill="1" applyBorder="1" applyAlignment="1">
      <alignment horizontal="center" wrapText="1"/>
    </xf>
    <xf numFmtId="0" fontId="7" fillId="19" borderId="1" xfId="0" applyFont="1" applyFill="1" applyBorder="1" applyAlignment="1">
      <alignment horizontal="center" vertical="center" wrapText="1"/>
    </xf>
    <xf numFmtId="0" fontId="7" fillId="19" borderId="11" xfId="0" applyFont="1" applyFill="1" applyBorder="1" applyAlignment="1">
      <alignment horizontal="center" vertical="center" wrapText="1"/>
    </xf>
    <xf numFmtId="0" fontId="23" fillId="17" borderId="10" xfId="0" applyFont="1" applyFill="1" applyBorder="1" applyAlignment="1">
      <alignment horizontal="center" vertical="center" wrapText="1"/>
    </xf>
    <xf numFmtId="0" fontId="23" fillId="17" borderId="1" xfId="0" applyFont="1" applyFill="1" applyBorder="1" applyAlignment="1">
      <alignment horizontal="center" vertical="center" wrapText="1"/>
    </xf>
    <xf numFmtId="0" fontId="2" fillId="16" borderId="7" xfId="0" applyFont="1" applyFill="1" applyBorder="1" applyAlignment="1">
      <alignment horizontal="left" wrapText="1"/>
    </xf>
    <xf numFmtId="0" fontId="23" fillId="18" borderId="10"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7" fillId="23" borderId="1" xfId="0" applyFont="1" applyFill="1" applyBorder="1" applyAlignment="1">
      <alignment horizontal="center" vertical="center" wrapText="1"/>
    </xf>
    <xf numFmtId="0" fontId="7" fillId="23" borderId="1" xfId="0" applyFont="1" applyFill="1" applyBorder="1" applyAlignment="1">
      <alignment horizontal="center" wrapText="1"/>
    </xf>
    <xf numFmtId="0" fontId="23" fillId="18" borderId="10" xfId="0" applyFont="1" applyFill="1" applyBorder="1" applyAlignment="1">
      <alignment horizontal="center" wrapText="1"/>
    </xf>
    <xf numFmtId="0" fontId="23" fillId="18" borderId="1" xfId="0" applyFont="1" applyFill="1" applyBorder="1" applyAlignment="1">
      <alignment horizontal="center" wrapText="1"/>
    </xf>
    <xf numFmtId="0" fontId="23" fillId="18" borderId="11" xfId="0" applyFont="1" applyFill="1" applyBorder="1" applyAlignment="1">
      <alignment horizontal="center" wrapText="1"/>
    </xf>
    <xf numFmtId="0" fontId="23" fillId="17" borderId="10" xfId="0" applyFont="1" applyFill="1" applyBorder="1" applyAlignment="1">
      <alignment horizontal="center" wrapText="1"/>
    </xf>
    <xf numFmtId="0" fontId="23" fillId="17" borderId="1" xfId="0" applyFont="1" applyFill="1" applyBorder="1" applyAlignment="1">
      <alignment horizontal="center" wrapText="1"/>
    </xf>
    <xf numFmtId="0" fontId="23" fillId="17" borderId="11" xfId="0" applyFont="1" applyFill="1" applyBorder="1" applyAlignment="1">
      <alignment horizontal="center" wrapText="1"/>
    </xf>
    <xf numFmtId="0" fontId="7" fillId="19" borderId="1" xfId="0" applyFont="1" applyFill="1" applyBorder="1" applyAlignment="1">
      <alignment horizontal="center" wrapText="1"/>
    </xf>
    <xf numFmtId="44" fontId="0" fillId="0" borderId="1" xfId="1" applyFont="1" applyFill="1" applyBorder="1" applyAlignment="1">
      <alignment horizontal="center" wrapText="1"/>
    </xf>
    <xf numFmtId="3" fontId="0" fillId="0" borderId="10" xfId="0" applyNumberFormat="1" applyBorder="1" applyAlignment="1">
      <alignment horizontal="center"/>
    </xf>
    <xf numFmtId="44" fontId="0" fillId="0" borderId="11" xfId="0" applyNumberFormat="1" applyBorder="1" applyAlignment="1">
      <alignment horizontal="center"/>
    </xf>
    <xf numFmtId="164" fontId="0" fillId="0" borderId="1" xfId="2" applyNumberFormat="1" applyFont="1" applyBorder="1" applyAlignment="1">
      <alignment horizontal="center"/>
    </xf>
    <xf numFmtId="0" fontId="7" fillId="4" borderId="4" xfId="0" applyFont="1" applyFill="1" applyBorder="1" applyAlignment="1">
      <alignment horizontal="left" wrapText="1"/>
    </xf>
    <xf numFmtId="0" fontId="7" fillId="17" borderId="5" xfId="0" applyFont="1" applyFill="1" applyBorder="1" applyAlignment="1">
      <alignment horizontal="center" wrapText="1"/>
    </xf>
    <xf numFmtId="0" fontId="7" fillId="18" borderId="5" xfId="0" applyFont="1" applyFill="1" applyBorder="1" applyAlignment="1">
      <alignment horizontal="center" wrapText="1"/>
    </xf>
    <xf numFmtId="0" fontId="7" fillId="5" borderId="6" xfId="0" applyFont="1" applyFill="1" applyBorder="1" applyAlignment="1">
      <alignment horizontal="center" wrapText="1"/>
    </xf>
    <xf numFmtId="3" fontId="0" fillId="0" borderId="1" xfId="0" applyNumberFormat="1" applyBorder="1" applyAlignment="1">
      <alignment horizontal="center" wrapText="1"/>
    </xf>
    <xf numFmtId="164" fontId="0" fillId="0" borderId="3" xfId="2" applyNumberFormat="1" applyFont="1" applyBorder="1" applyAlignment="1">
      <alignment horizontal="center" wrapText="1"/>
    </xf>
    <xf numFmtId="3" fontId="0" fillId="0" borderId="20" xfId="0" applyNumberFormat="1" applyBorder="1" applyAlignment="1">
      <alignment horizontal="center" wrapText="1"/>
    </xf>
    <xf numFmtId="3" fontId="2" fillId="16" borderId="22" xfId="0" applyNumberFormat="1" applyFont="1" applyFill="1" applyBorder="1" applyAlignment="1">
      <alignment horizontal="center" wrapText="1"/>
    </xf>
    <xf numFmtId="9" fontId="0" fillId="0" borderId="3" xfId="2" applyFont="1" applyBorder="1" applyAlignment="1">
      <alignment horizontal="center" wrapText="1"/>
    </xf>
    <xf numFmtId="44" fontId="2" fillId="16" borderId="22" xfId="1" applyFont="1" applyFill="1" applyBorder="1" applyAlignment="1">
      <alignment horizontal="center" wrapText="1"/>
    </xf>
    <xf numFmtId="164" fontId="2" fillId="16" borderId="9" xfId="2" applyNumberFormat="1" applyFont="1" applyFill="1" applyBorder="1" applyAlignment="1">
      <alignment horizontal="center" wrapText="1"/>
    </xf>
    <xf numFmtId="0" fontId="7" fillId="4" borderId="4" xfId="0" applyFont="1" applyFill="1" applyBorder="1" applyAlignment="1">
      <alignment wrapText="1"/>
    </xf>
    <xf numFmtId="0" fontId="7" fillId="4" borderId="21" xfId="0" applyFont="1" applyFill="1" applyBorder="1" applyAlignment="1">
      <alignment wrapText="1"/>
    </xf>
    <xf numFmtId="0" fontId="7" fillId="17" borderId="22" xfId="0" applyFont="1" applyFill="1" applyBorder="1" applyAlignment="1">
      <alignment horizontal="center" wrapText="1"/>
    </xf>
    <xf numFmtId="0" fontId="7" fillId="18" borderId="22" xfId="0" applyFont="1" applyFill="1" applyBorder="1" applyAlignment="1">
      <alignment horizontal="center" wrapText="1"/>
    </xf>
    <xf numFmtId="0" fontId="7" fillId="5" borderId="13" xfId="0" applyFont="1" applyFill="1" applyBorder="1" applyAlignment="1">
      <alignment horizontal="center" wrapText="1"/>
    </xf>
    <xf numFmtId="0" fontId="4" fillId="16" borderId="2" xfId="0" applyFont="1" applyFill="1" applyBorder="1" applyAlignment="1">
      <alignment wrapText="1"/>
    </xf>
    <xf numFmtId="3" fontId="0" fillId="0" borderId="0" xfId="0" applyNumberFormat="1" applyAlignment="1">
      <alignment horizontal="center"/>
    </xf>
    <xf numFmtId="44" fontId="0" fillId="0" borderId="0" xfId="0" applyNumberFormat="1" applyAlignment="1">
      <alignment horizontal="center"/>
    </xf>
    <xf numFmtId="164" fontId="0" fillId="0" borderId="0" xfId="2" applyNumberFormat="1" applyFont="1" applyFill="1" applyBorder="1" applyAlignment="1">
      <alignment horizontal="center"/>
    </xf>
    <xf numFmtId="0" fontId="4" fillId="24" borderId="4" xfId="0" applyFont="1" applyFill="1" applyBorder="1" applyAlignment="1">
      <alignment horizontal="left" wrapText="1"/>
    </xf>
    <xf numFmtId="0" fontId="4" fillId="24" borderId="5" xfId="0" applyFont="1" applyFill="1" applyBorder="1" applyAlignment="1">
      <alignment horizontal="left" wrapText="1"/>
    </xf>
    <xf numFmtId="0" fontId="4" fillId="24" borderId="0" xfId="0" applyFont="1" applyFill="1"/>
    <xf numFmtId="0" fontId="7" fillId="24" borderId="0" xfId="0" applyFont="1" applyFill="1" applyAlignment="1">
      <alignment horizontal="left"/>
    </xf>
    <xf numFmtId="0" fontId="6" fillId="24" borderId="0" xfId="0" applyFont="1" applyFill="1" applyAlignment="1">
      <alignment horizontal="left"/>
    </xf>
    <xf numFmtId="1" fontId="6" fillId="24" borderId="0" xfId="0" applyNumberFormat="1" applyFont="1" applyFill="1" applyAlignment="1">
      <alignment horizontal="left"/>
    </xf>
    <xf numFmtId="0" fontId="23" fillId="17" borderId="8" xfId="0" applyFont="1" applyFill="1" applyBorder="1" applyAlignment="1">
      <alignment horizontal="center" wrapText="1"/>
    </xf>
    <xf numFmtId="0" fontId="23" fillId="18" borderId="8" xfId="0" applyFont="1" applyFill="1" applyBorder="1" applyAlignment="1">
      <alignment horizontal="center" wrapText="1"/>
    </xf>
    <xf numFmtId="44" fontId="0" fillId="0" borderId="5" xfId="0" applyNumberFormat="1" applyBorder="1" applyAlignment="1">
      <alignment horizontal="center"/>
    </xf>
    <xf numFmtId="164" fontId="0" fillId="0" borderId="5" xfId="2" applyNumberFormat="1" applyFont="1" applyBorder="1" applyAlignment="1">
      <alignment horizontal="center"/>
    </xf>
    <xf numFmtId="0" fontId="0" fillId="0" borderId="2" xfId="0" applyBorder="1" applyAlignment="1">
      <alignment horizontal="left" wrapText="1" indent="2"/>
    </xf>
    <xf numFmtId="0" fontId="7" fillId="3" borderId="0" xfId="0" applyFont="1" applyFill="1"/>
    <xf numFmtId="44" fontId="2" fillId="3" borderId="1" xfId="0" applyNumberFormat="1" applyFont="1" applyFill="1" applyBorder="1" applyAlignment="1">
      <alignment horizontal="center"/>
    </xf>
    <xf numFmtId="44" fontId="2" fillId="13" borderId="1" xfId="0" applyNumberFormat="1" applyFont="1" applyFill="1" applyBorder="1" applyAlignment="1">
      <alignment horizontal="center"/>
    </xf>
    <xf numFmtId="44" fontId="0" fillId="0" borderId="0" xfId="1" applyFont="1"/>
    <xf numFmtId="0" fontId="4" fillId="7" borderId="5" xfId="0" applyFont="1" applyFill="1" applyBorder="1" applyAlignment="1" applyProtection="1">
      <alignment horizontal="left" wrapText="1"/>
      <protection locked="0"/>
    </xf>
    <xf numFmtId="0" fontId="4" fillId="7" borderId="6" xfId="0" applyFont="1" applyFill="1" applyBorder="1" applyAlignment="1" applyProtection="1">
      <alignment horizontal="left" wrapText="1"/>
      <protection locked="0"/>
    </xf>
    <xf numFmtId="44" fontId="4" fillId="16" borderId="6" xfId="0" applyNumberFormat="1" applyFont="1" applyFill="1" applyBorder="1" applyAlignment="1">
      <alignment horizontal="center" wrapText="1"/>
    </xf>
    <xf numFmtId="0" fontId="0" fillId="0" borderId="2" xfId="0" applyBorder="1"/>
    <xf numFmtId="3" fontId="0" fillId="0" borderId="1" xfId="0" applyNumberFormat="1" applyBorder="1"/>
    <xf numFmtId="3" fontId="0" fillId="0" borderId="12" xfId="0" applyNumberFormat="1" applyBorder="1"/>
    <xf numFmtId="0" fontId="0" fillId="0" borderId="2" xfId="0" applyBorder="1" applyAlignment="1">
      <alignment horizontal="left"/>
    </xf>
    <xf numFmtId="44" fontId="4" fillId="16" borderId="6" xfId="1" applyFont="1" applyFill="1" applyBorder="1" applyAlignment="1">
      <alignment horizontal="center"/>
    </xf>
    <xf numFmtId="44" fontId="4" fillId="16" borderId="6" xfId="0" applyNumberFormat="1" applyFont="1" applyFill="1" applyBorder="1" applyAlignment="1">
      <alignment horizontal="center"/>
    </xf>
    <xf numFmtId="0" fontId="4" fillId="16" borderId="7" xfId="0" applyFont="1" applyFill="1" applyBorder="1"/>
    <xf numFmtId="44" fontId="4" fillId="16" borderId="9" xfId="1" applyFont="1" applyFill="1" applyBorder="1" applyAlignment="1">
      <alignment horizontal="center"/>
    </xf>
    <xf numFmtId="44" fontId="4" fillId="16" borderId="9" xfId="0" applyNumberFormat="1" applyFont="1" applyFill="1" applyBorder="1" applyAlignment="1">
      <alignment horizontal="center"/>
    </xf>
    <xf numFmtId="0" fontId="7" fillId="4" borderId="21" xfId="0" applyFont="1" applyFill="1" applyBorder="1"/>
    <xf numFmtId="0" fontId="7" fillId="17" borderId="22" xfId="0" applyFont="1" applyFill="1" applyBorder="1" applyAlignment="1">
      <alignment horizontal="center"/>
    </xf>
    <xf numFmtId="0" fontId="7" fillId="18" borderId="22" xfId="0" applyFont="1" applyFill="1" applyBorder="1" applyAlignment="1">
      <alignment horizontal="center"/>
    </xf>
    <xf numFmtId="0" fontId="7" fillId="5" borderId="13" xfId="0" applyFont="1" applyFill="1" applyBorder="1" applyAlignment="1">
      <alignment horizontal="center"/>
    </xf>
    <xf numFmtId="164" fontId="0" fillId="0" borderId="0" xfId="0" applyNumberFormat="1"/>
    <xf numFmtId="44" fontId="0" fillId="0" borderId="0" xfId="0" applyNumberFormat="1"/>
    <xf numFmtId="3" fontId="4" fillId="3" borderId="10" xfId="0" applyNumberFormat="1"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3" fontId="2" fillId="3" borderId="1" xfId="0" applyNumberFormat="1" applyFont="1" applyFill="1" applyBorder="1" applyAlignment="1">
      <alignment horizontal="center" vertical="center"/>
    </xf>
    <xf numFmtId="0" fontId="2" fillId="3" borderId="0" xfId="0" applyFont="1" applyFill="1"/>
    <xf numFmtId="3" fontId="2" fillId="3" borderId="10" xfId="0" applyNumberFormat="1" applyFont="1" applyFill="1" applyBorder="1" applyAlignment="1">
      <alignment horizontal="center" vertical="center"/>
    </xf>
    <xf numFmtId="0" fontId="2" fillId="3" borderId="2" xfId="0" applyFont="1" applyFill="1" applyBorder="1" applyAlignment="1">
      <alignment wrapText="1"/>
    </xf>
    <xf numFmtId="3" fontId="2" fillId="3" borderId="1" xfId="0" applyNumberFormat="1" applyFont="1" applyFill="1" applyBorder="1" applyAlignment="1">
      <alignment horizontal="center" wrapText="1"/>
    </xf>
    <xf numFmtId="164" fontId="2" fillId="3" borderId="3" xfId="2" applyNumberFormat="1" applyFont="1" applyFill="1" applyBorder="1" applyAlignment="1">
      <alignment horizontal="center" wrapText="1"/>
    </xf>
    <xf numFmtId="3" fontId="2" fillId="3" borderId="5" xfId="0" applyNumberFormat="1" applyFont="1" applyFill="1" applyBorder="1" applyAlignment="1">
      <alignment horizontal="center" wrapText="1"/>
    </xf>
    <xf numFmtId="44" fontId="2" fillId="3" borderId="1" xfId="1" applyFont="1" applyFill="1" applyBorder="1" applyAlignment="1">
      <alignment horizontal="center" wrapText="1"/>
    </xf>
    <xf numFmtId="9" fontId="2" fillId="3" borderId="3" xfId="2" applyFont="1" applyFill="1" applyBorder="1" applyAlignment="1">
      <alignment horizontal="center" wrapText="1"/>
    </xf>
    <xf numFmtId="3" fontId="0" fillId="0" borderId="2" xfId="0" applyNumberFormat="1" applyBorder="1" applyAlignment="1">
      <alignment horizontal="center"/>
    </xf>
    <xf numFmtId="3" fontId="2" fillId="3" borderId="2" xfId="0" applyNumberFormat="1" applyFont="1" applyFill="1" applyBorder="1" applyAlignment="1">
      <alignment horizontal="center"/>
    </xf>
    <xf numFmtId="3" fontId="2" fillId="3" borderId="10" xfId="0" applyNumberFormat="1" applyFont="1" applyFill="1" applyBorder="1" applyAlignment="1">
      <alignment horizontal="center"/>
    </xf>
    <xf numFmtId="44" fontId="0" fillId="0" borderId="10" xfId="1" applyFont="1" applyBorder="1" applyAlignment="1">
      <alignment horizontal="center"/>
    </xf>
    <xf numFmtId="44" fontId="0" fillId="0" borderId="11" xfId="1" applyFont="1" applyBorder="1" applyAlignment="1">
      <alignment horizontal="center"/>
    </xf>
    <xf numFmtId="44" fontId="0" fillId="0" borderId="10" xfId="1" applyFont="1" applyFill="1" applyBorder="1" applyAlignment="1">
      <alignment horizontal="center"/>
    </xf>
    <xf numFmtId="44" fontId="0" fillId="0" borderId="1" xfId="1" applyFont="1" applyFill="1" applyBorder="1" applyAlignment="1">
      <alignment horizontal="center"/>
    </xf>
    <xf numFmtId="44" fontId="0" fillId="0" borderId="1" xfId="1" applyFont="1" applyBorder="1" applyAlignment="1">
      <alignment horizontal="center"/>
    </xf>
    <xf numFmtId="3" fontId="4" fillId="3" borderId="11" xfId="4" applyNumberFormat="1" applyFont="1" applyFill="1" applyBorder="1" applyAlignment="1">
      <alignment horizontal="center" vertical="center" wrapText="1"/>
    </xf>
    <xf numFmtId="3" fontId="6" fillId="3" borderId="11" xfId="4" applyNumberFormat="1" applyFont="1" applyFill="1" applyBorder="1" applyAlignment="1">
      <alignment horizontal="center" vertical="center" wrapText="1"/>
    </xf>
    <xf numFmtId="9" fontId="0" fillId="0" borderId="1" xfId="2" applyFont="1" applyBorder="1" applyAlignment="1">
      <alignment horizontal="center"/>
    </xf>
    <xf numFmtId="9" fontId="0" fillId="0" borderId="11" xfId="2" applyFont="1" applyBorder="1" applyAlignment="1">
      <alignment horizontal="center"/>
    </xf>
    <xf numFmtId="9" fontId="0" fillId="0" borderId="8" xfId="2" applyFont="1" applyBorder="1" applyAlignment="1">
      <alignment horizontal="center"/>
    </xf>
    <xf numFmtId="166" fontId="0" fillId="0" borderId="10" xfId="4" applyNumberFormat="1" applyFont="1" applyBorder="1" applyAlignment="1">
      <alignment horizontal="center"/>
    </xf>
    <xf numFmtId="166" fontId="0" fillId="0" borderId="17" xfId="4" applyNumberFormat="1" applyFont="1" applyBorder="1" applyAlignment="1">
      <alignment horizontal="center"/>
    </xf>
    <xf numFmtId="166" fontId="0" fillId="0" borderId="10" xfId="4" applyNumberFormat="1" applyFont="1" applyBorder="1" applyAlignment="1"/>
    <xf numFmtId="166" fontId="0" fillId="0" borderId="17" xfId="4" applyNumberFormat="1" applyFont="1" applyBorder="1" applyAlignment="1"/>
    <xf numFmtId="3" fontId="6" fillId="16" borderId="2" xfId="0" applyNumberFormat="1" applyFont="1" applyFill="1" applyBorder="1" applyAlignment="1">
      <alignment horizontal="center"/>
    </xf>
    <xf numFmtId="3" fontId="6" fillId="16" borderId="1" xfId="0" applyNumberFormat="1" applyFont="1" applyFill="1" applyBorder="1" applyAlignment="1">
      <alignment horizontal="center"/>
    </xf>
    <xf numFmtId="3" fontId="6" fillId="16" borderId="10" xfId="0" applyNumberFormat="1" applyFont="1" applyFill="1" applyBorder="1" applyAlignment="1">
      <alignment horizontal="center"/>
    </xf>
    <xf numFmtId="44" fontId="0" fillId="0" borderId="0" xfId="1" applyFont="1" applyBorder="1" applyAlignment="1">
      <alignment horizontal="center"/>
    </xf>
    <xf numFmtId="3" fontId="0" fillId="3" borderId="0" xfId="0" applyNumberFormat="1" applyFill="1" applyAlignment="1">
      <alignment horizontal="center"/>
    </xf>
    <xf numFmtId="44" fontId="0" fillId="0" borderId="10" xfId="0" applyNumberFormat="1" applyBorder="1" applyAlignment="1">
      <alignment horizontal="center"/>
    </xf>
    <xf numFmtId="0" fontId="8" fillId="0" borderId="0" xfId="0" applyFont="1" applyAlignment="1">
      <alignment horizontal="left" vertical="top" wrapText="1"/>
    </xf>
    <xf numFmtId="0" fontId="28" fillId="0" borderId="27" xfId="0" applyFont="1" applyBorder="1" applyAlignment="1">
      <alignment horizontal="left"/>
    </xf>
    <xf numFmtId="0" fontId="28" fillId="0" borderId="0" xfId="0" applyFont="1" applyAlignment="1">
      <alignment horizontal="left"/>
    </xf>
    <xf numFmtId="0" fontId="0" fillId="8" borderId="0" xfId="0" applyFill="1" applyAlignment="1">
      <alignment horizontal="left"/>
    </xf>
    <xf numFmtId="0" fontId="2" fillId="3" borderId="3" xfId="0" applyFont="1" applyFill="1" applyBorder="1" applyAlignment="1">
      <alignment wrapText="1"/>
    </xf>
    <xf numFmtId="9" fontId="2" fillId="3" borderId="10" xfId="2" applyFont="1" applyFill="1" applyBorder="1" applyAlignment="1">
      <alignment horizontal="center"/>
    </xf>
    <xf numFmtId="9" fontId="2" fillId="3" borderId="1" xfId="2" applyFont="1" applyFill="1" applyBorder="1" applyAlignment="1">
      <alignment horizontal="center"/>
    </xf>
    <xf numFmtId="9" fontId="2" fillId="3" borderId="11" xfId="2" applyFont="1" applyFill="1" applyBorder="1" applyAlignment="1">
      <alignment horizontal="center"/>
    </xf>
    <xf numFmtId="3" fontId="4" fillId="3" borderId="1" xfId="4" applyNumberFormat="1" applyFont="1" applyFill="1" applyBorder="1" applyAlignment="1">
      <alignment horizontal="center" vertical="center" wrapText="1"/>
    </xf>
    <xf numFmtId="3" fontId="6" fillId="3" borderId="1" xfId="4" applyNumberFormat="1" applyFont="1" applyFill="1" applyBorder="1" applyAlignment="1">
      <alignment horizontal="center" vertical="center" wrapText="1"/>
    </xf>
    <xf numFmtId="0" fontId="2" fillId="3" borderId="3" xfId="0" applyFont="1" applyFill="1" applyBorder="1" applyAlignment="1">
      <alignment horizontal="left" wrapText="1"/>
    </xf>
    <xf numFmtId="0" fontId="2" fillId="16" borderId="1" xfId="0" applyFont="1" applyFill="1" applyBorder="1" applyAlignment="1">
      <alignment horizontal="center" vertical="center"/>
    </xf>
    <xf numFmtId="0" fontId="7" fillId="17" borderId="10" xfId="0" applyFont="1" applyFill="1" applyBorder="1" applyAlignment="1">
      <alignment horizontal="center"/>
    </xf>
    <xf numFmtId="0" fontId="7" fillId="18" borderId="11" xfId="0" applyFont="1" applyFill="1" applyBorder="1" applyAlignment="1">
      <alignment horizontal="center"/>
    </xf>
    <xf numFmtId="0" fontId="7" fillId="18" borderId="1" xfId="0" applyFont="1" applyFill="1" applyBorder="1" applyAlignment="1">
      <alignment horizontal="center"/>
    </xf>
    <xf numFmtId="0" fontId="23" fillId="17" borderId="10" xfId="0" applyFont="1" applyFill="1" applyBorder="1" applyAlignment="1">
      <alignment horizontal="center"/>
    </xf>
    <xf numFmtId="0" fontId="23" fillId="18" borderId="11" xfId="0" applyFont="1" applyFill="1" applyBorder="1" applyAlignment="1">
      <alignment horizontal="center"/>
    </xf>
    <xf numFmtId="0" fontId="7" fillId="17" borderId="1" xfId="0" applyFont="1" applyFill="1" applyBorder="1" applyAlignment="1">
      <alignment horizontal="center"/>
    </xf>
    <xf numFmtId="44" fontId="0" fillId="0" borderId="3" xfId="0" applyNumberFormat="1" applyBorder="1" applyAlignment="1">
      <alignment horizontal="center"/>
    </xf>
    <xf numFmtId="0" fontId="23" fillId="17" borderId="3" xfId="0" applyFont="1" applyFill="1" applyBorder="1" applyAlignment="1">
      <alignment horizontal="center" wrapText="1"/>
    </xf>
    <xf numFmtId="44" fontId="2" fillId="13" borderId="11" xfId="0" applyNumberFormat="1" applyFont="1" applyFill="1" applyBorder="1" applyAlignment="1">
      <alignment horizontal="center"/>
    </xf>
    <xf numFmtId="44" fontId="6" fillId="16" borderId="11" xfId="0" applyNumberFormat="1" applyFont="1" applyFill="1" applyBorder="1" applyAlignment="1">
      <alignment horizontal="center"/>
    </xf>
    <xf numFmtId="44" fontId="2" fillId="3" borderId="11" xfId="0" applyNumberFormat="1" applyFont="1" applyFill="1" applyBorder="1" applyAlignment="1">
      <alignment horizontal="center"/>
    </xf>
    <xf numFmtId="44" fontId="2" fillId="3" borderId="3" xfId="0" applyNumberFormat="1" applyFont="1" applyFill="1" applyBorder="1" applyAlignment="1">
      <alignment horizontal="center"/>
    </xf>
    <xf numFmtId="0" fontId="23" fillId="5" borderId="30" xfId="0" applyFont="1" applyFill="1" applyBorder="1" applyAlignment="1">
      <alignment horizontal="center" wrapText="1"/>
    </xf>
    <xf numFmtId="0" fontId="23" fillId="18" borderId="17" xfId="0" applyFont="1" applyFill="1" applyBorder="1" applyAlignment="1">
      <alignment horizontal="center" wrapText="1"/>
    </xf>
    <xf numFmtId="0" fontId="23" fillId="18" borderId="18" xfId="0" applyFont="1" applyFill="1" applyBorder="1" applyAlignment="1">
      <alignment horizontal="center" wrapText="1"/>
    </xf>
    <xf numFmtId="3" fontId="0" fillId="0" borderId="23" xfId="0" applyNumberFormat="1" applyBorder="1" applyAlignment="1">
      <alignment horizontal="center"/>
    </xf>
    <xf numFmtId="44" fontId="0" fillId="0" borderId="24" xfId="0" applyNumberFormat="1" applyBorder="1" applyAlignment="1">
      <alignment horizontal="center"/>
    </xf>
    <xf numFmtId="0" fontId="23" fillId="17" borderId="17" xfId="0" applyFont="1" applyFill="1" applyBorder="1" applyAlignment="1">
      <alignment horizontal="center" wrapText="1"/>
    </xf>
    <xf numFmtId="0" fontId="23" fillId="17" borderId="18" xfId="0" applyFont="1" applyFill="1" applyBorder="1" applyAlignment="1">
      <alignment horizontal="center" wrapText="1"/>
    </xf>
    <xf numFmtId="0" fontId="23" fillId="5" borderId="8" xfId="0" applyFont="1" applyFill="1" applyBorder="1" applyAlignment="1">
      <alignment horizontal="center" wrapText="1"/>
    </xf>
    <xf numFmtId="1" fontId="13" fillId="0" borderId="1" xfId="0" applyNumberFormat="1" applyFont="1" applyBorder="1" applyAlignment="1">
      <alignment horizontal="left" vertical="center" wrapText="1"/>
    </xf>
    <xf numFmtId="0" fontId="13" fillId="0" borderId="1" xfId="0" applyFont="1" applyBorder="1" applyAlignment="1">
      <alignment horizontal="left" vertical="center" wrapText="1"/>
    </xf>
    <xf numFmtId="0" fontId="23" fillId="5" borderId="31" xfId="0" applyFont="1" applyFill="1" applyBorder="1" applyAlignment="1">
      <alignment horizontal="center" wrapText="1"/>
    </xf>
    <xf numFmtId="4" fontId="6" fillId="16" borderId="10" xfId="0" applyNumberFormat="1" applyFont="1" applyFill="1" applyBorder="1" applyAlignment="1">
      <alignment horizontal="center"/>
    </xf>
    <xf numFmtId="0" fontId="7" fillId="4" borderId="5" xfId="0" applyFont="1" applyFill="1" applyBorder="1" applyAlignment="1">
      <alignment wrapText="1"/>
    </xf>
    <xf numFmtId="0" fontId="7" fillId="4" borderId="6" xfId="0" applyFont="1" applyFill="1" applyBorder="1" applyAlignment="1">
      <alignment wrapText="1"/>
    </xf>
    <xf numFmtId="0" fontId="6" fillId="3" borderId="7" xfId="0" applyFont="1" applyFill="1" applyBorder="1" applyAlignment="1">
      <alignment wrapText="1"/>
    </xf>
    <xf numFmtId="0" fontId="6" fillId="0" borderId="0" xfId="0" applyFont="1" applyAlignment="1">
      <alignment vertical="top"/>
    </xf>
    <xf numFmtId="44" fontId="2" fillId="3" borderId="10" xfId="0" applyNumberFormat="1" applyFont="1" applyFill="1" applyBorder="1" applyAlignment="1">
      <alignment horizontal="center"/>
    </xf>
    <xf numFmtId="4" fontId="6" fillId="16" borderId="1" xfId="0" applyNumberFormat="1" applyFont="1" applyFill="1" applyBorder="1" applyAlignment="1">
      <alignment horizontal="center"/>
    </xf>
    <xf numFmtId="1" fontId="2" fillId="3" borderId="10" xfId="0" applyNumberFormat="1" applyFont="1" applyFill="1" applyBorder="1" applyAlignment="1">
      <alignment horizontal="center"/>
    </xf>
    <xf numFmtId="4" fontId="6" fillId="16" borderId="2" xfId="0" applyNumberFormat="1" applyFont="1" applyFill="1" applyBorder="1" applyAlignment="1">
      <alignment horizontal="center"/>
    </xf>
    <xf numFmtId="4" fontId="6" fillId="16" borderId="16" xfId="0" applyNumberFormat="1" applyFont="1" applyFill="1" applyBorder="1" applyAlignment="1">
      <alignment horizontal="center"/>
    </xf>
    <xf numFmtId="4" fontId="6" fillId="16" borderId="11" xfId="0" applyNumberFormat="1" applyFont="1" applyFill="1" applyBorder="1" applyAlignment="1">
      <alignment horizontal="center"/>
    </xf>
    <xf numFmtId="4" fontId="6" fillId="16" borderId="3" xfId="0" applyNumberFormat="1" applyFont="1" applyFill="1" applyBorder="1" applyAlignment="1">
      <alignment horizontal="center"/>
    </xf>
    <xf numFmtId="3" fontId="6" fillId="16" borderId="11" xfId="0" applyNumberFormat="1" applyFont="1" applyFill="1" applyBorder="1" applyAlignment="1">
      <alignment horizontal="center"/>
    </xf>
    <xf numFmtId="44" fontId="4" fillId="16" borderId="9" xfId="0" applyNumberFormat="1" applyFont="1" applyFill="1" applyBorder="1" applyAlignment="1">
      <alignment horizontal="center" wrapText="1"/>
    </xf>
    <xf numFmtId="44" fontId="6" fillId="3" borderId="10" xfId="0" applyNumberFormat="1" applyFont="1" applyFill="1" applyBorder="1" applyAlignment="1">
      <alignment horizontal="center" wrapText="1"/>
    </xf>
    <xf numFmtId="44" fontId="6" fillId="3" borderId="1" xfId="0" applyNumberFormat="1" applyFont="1" applyFill="1" applyBorder="1" applyAlignment="1">
      <alignment horizontal="center" wrapText="1"/>
    </xf>
    <xf numFmtId="44" fontId="6" fillId="3" borderId="11" xfId="0" applyNumberFormat="1" applyFont="1" applyFill="1" applyBorder="1" applyAlignment="1">
      <alignment horizontal="center" wrapText="1"/>
    </xf>
    <xf numFmtId="44" fontId="6" fillId="3" borderId="10" xfId="0" applyNumberFormat="1" applyFont="1" applyFill="1" applyBorder="1" applyAlignment="1">
      <alignment horizontal="center"/>
    </xf>
    <xf numFmtId="44" fontId="6" fillId="3" borderId="1" xfId="0" applyNumberFormat="1" applyFont="1" applyFill="1" applyBorder="1" applyAlignment="1">
      <alignment horizontal="center"/>
    </xf>
    <xf numFmtId="44" fontId="6" fillId="3" borderId="11" xfId="0" applyNumberFormat="1" applyFont="1" applyFill="1" applyBorder="1" applyAlignment="1">
      <alignment horizontal="center"/>
    </xf>
    <xf numFmtId="9" fontId="0" fillId="0" borderId="0" xfId="2" applyFont="1" applyFill="1"/>
    <xf numFmtId="0" fontId="23" fillId="5" borderId="2" xfId="0" applyFont="1" applyFill="1" applyBorder="1" applyAlignment="1">
      <alignment horizontal="center" wrapText="1"/>
    </xf>
    <xf numFmtId="164" fontId="0" fillId="0" borderId="2" xfId="2" applyNumberFormat="1" applyFont="1" applyBorder="1" applyAlignment="1">
      <alignment horizontal="center"/>
    </xf>
    <xf numFmtId="44" fontId="6" fillId="16" borderId="1" xfId="0" applyNumberFormat="1" applyFont="1" applyFill="1" applyBorder="1" applyAlignment="1">
      <alignment horizontal="center"/>
    </xf>
    <xf numFmtId="164" fontId="0" fillId="0" borderId="4" xfId="2" applyNumberFormat="1" applyFont="1" applyBorder="1" applyAlignment="1">
      <alignment horizontal="center"/>
    </xf>
    <xf numFmtId="0" fontId="23" fillId="5" borderId="32" xfId="0" applyFont="1" applyFill="1" applyBorder="1" applyAlignment="1">
      <alignment horizontal="center" wrapText="1"/>
    </xf>
    <xf numFmtId="0" fontId="23" fillId="5" borderId="19" xfId="0" applyFont="1" applyFill="1" applyBorder="1" applyAlignment="1">
      <alignment horizontal="center" wrapText="1"/>
    </xf>
    <xf numFmtId="0" fontId="4" fillId="10" borderId="1" xfId="0" applyFont="1" applyFill="1" applyBorder="1" applyAlignment="1">
      <alignment horizontal="left" vertical="center" wrapText="1"/>
    </xf>
    <xf numFmtId="44" fontId="5" fillId="9" borderId="3" xfId="1" applyFont="1" applyFill="1" applyBorder="1" applyAlignment="1" applyProtection="1">
      <alignment horizontal="left"/>
    </xf>
    <xf numFmtId="3" fontId="6" fillId="16" borderId="16" xfId="0" applyNumberFormat="1" applyFont="1" applyFill="1" applyBorder="1" applyAlignment="1">
      <alignment horizontal="center"/>
    </xf>
    <xf numFmtId="44" fontId="2" fillId="13" borderId="3" xfId="0" applyNumberFormat="1" applyFont="1" applyFill="1" applyBorder="1" applyAlignment="1">
      <alignment horizontal="center"/>
    </xf>
    <xf numFmtId="3" fontId="6" fillId="16" borderId="3" xfId="0" applyNumberFormat="1" applyFont="1" applyFill="1" applyBorder="1" applyAlignment="1">
      <alignment horizontal="center"/>
    </xf>
    <xf numFmtId="0" fontId="7" fillId="15" borderId="25" xfId="0" applyFont="1" applyFill="1" applyBorder="1" applyAlignment="1">
      <alignment wrapText="1"/>
    </xf>
    <xf numFmtId="0" fontId="7" fillId="15" borderId="2" xfId="0" applyFont="1" applyFill="1" applyBorder="1" applyAlignment="1">
      <alignment wrapText="1"/>
    </xf>
    <xf numFmtId="0" fontId="7" fillId="22" borderId="16" xfId="0" applyFont="1" applyFill="1" applyBorder="1" applyAlignment="1">
      <alignment wrapText="1"/>
    </xf>
    <xf numFmtId="0" fontId="7" fillId="22" borderId="25" xfId="0" applyFont="1" applyFill="1" applyBorder="1" applyAlignment="1">
      <alignment wrapText="1"/>
    </xf>
    <xf numFmtId="0" fontId="7" fillId="22" borderId="29" xfId="0" applyFont="1" applyFill="1" applyBorder="1" applyAlignment="1">
      <alignment wrapText="1"/>
    </xf>
    <xf numFmtId="44" fontId="6" fillId="16" borderId="1" xfId="1" applyFont="1" applyFill="1" applyBorder="1" applyAlignment="1">
      <alignment horizontal="center"/>
    </xf>
    <xf numFmtId="3" fontId="6" fillId="25" borderId="10" xfId="0" applyNumberFormat="1" applyFont="1" applyFill="1" applyBorder="1" applyAlignment="1">
      <alignment horizontal="center"/>
    </xf>
    <xf numFmtId="3" fontId="6" fillId="25" borderId="16" xfId="0" applyNumberFormat="1" applyFont="1" applyFill="1" applyBorder="1" applyAlignment="1">
      <alignment horizontal="center"/>
    </xf>
    <xf numFmtId="3" fontId="6" fillId="25" borderId="1" xfId="0" applyNumberFormat="1" applyFont="1" applyFill="1" applyBorder="1" applyAlignment="1">
      <alignment horizontal="center"/>
    </xf>
    <xf numFmtId="3" fontId="6" fillId="25" borderId="2" xfId="0" applyNumberFormat="1" applyFont="1" applyFill="1" applyBorder="1" applyAlignment="1">
      <alignment horizontal="center"/>
    </xf>
    <xf numFmtId="44" fontId="0" fillId="0" borderId="18" xfId="0" applyNumberFormat="1" applyBorder="1" applyAlignment="1">
      <alignment horizontal="center"/>
    </xf>
    <xf numFmtId="44" fontId="2" fillId="3" borderId="24" xfId="0" applyNumberFormat="1" applyFont="1" applyFill="1" applyBorder="1" applyAlignment="1">
      <alignment horizontal="center"/>
    </xf>
    <xf numFmtId="0" fontId="6" fillId="3" borderId="3" xfId="0" applyFont="1" applyFill="1" applyBorder="1" applyAlignment="1">
      <alignment horizontal="left" wrapText="1"/>
    </xf>
    <xf numFmtId="0" fontId="0" fillId="3" borderId="3" xfId="0" applyFill="1" applyBorder="1" applyAlignment="1">
      <alignment horizontal="left" wrapText="1"/>
    </xf>
    <xf numFmtId="0" fontId="4" fillId="6" borderId="0" xfId="0" applyFont="1" applyFill="1"/>
    <xf numFmtId="0" fontId="0" fillId="0" borderId="0" xfId="0" applyAlignment="1">
      <alignment horizontal="left" vertical="top"/>
    </xf>
    <xf numFmtId="0" fontId="0" fillId="3" borderId="0" xfId="0" applyFill="1" applyAlignment="1">
      <alignment horizontal="left" vertical="top"/>
    </xf>
    <xf numFmtId="0" fontId="9" fillId="0" borderId="0" xfId="0" applyFont="1" applyAlignment="1">
      <alignment horizontal="left" vertical="top"/>
    </xf>
    <xf numFmtId="0" fontId="2" fillId="0" borderId="0" xfId="0" applyFont="1" applyAlignment="1">
      <alignment horizontal="left" vertical="top"/>
    </xf>
    <xf numFmtId="0" fontId="9" fillId="0" borderId="0" xfId="0" applyFont="1" applyAlignment="1">
      <alignment horizontal="left" vertical="top" wrapText="1"/>
    </xf>
    <xf numFmtId="0" fontId="4" fillId="6" borderId="1" xfId="0" applyFont="1" applyFill="1" applyBorder="1" applyAlignment="1">
      <alignment horizontal="right" wrapText="1"/>
    </xf>
    <xf numFmtId="0" fontId="4" fillId="6" borderId="2" xfId="0" applyFont="1" applyFill="1" applyBorder="1" applyAlignment="1">
      <alignment horizontal="right" wrapText="1"/>
    </xf>
    <xf numFmtId="0" fontId="4" fillId="11" borderId="2" xfId="0" applyFont="1" applyFill="1" applyBorder="1" applyAlignment="1">
      <alignment horizontal="right" wrapText="1"/>
    </xf>
    <xf numFmtId="0" fontId="4" fillId="11" borderId="1" xfId="0" applyFont="1" applyFill="1" applyBorder="1" applyAlignment="1">
      <alignment horizontal="right" wrapText="1"/>
    </xf>
    <xf numFmtId="1" fontId="0" fillId="0" borderId="0" xfId="0" applyNumberFormat="1" applyAlignment="1">
      <alignment horizontal="left"/>
    </xf>
    <xf numFmtId="0" fontId="0" fillId="24" borderId="0" xfId="0" applyFill="1" applyAlignment="1">
      <alignment horizontal="left"/>
    </xf>
    <xf numFmtId="1" fontId="0" fillId="24" borderId="0" xfId="0" applyNumberFormat="1" applyFill="1" applyAlignment="1">
      <alignment horizontal="left"/>
    </xf>
    <xf numFmtId="3" fontId="0" fillId="24" borderId="0" xfId="0" applyNumberFormat="1" applyFill="1" applyAlignment="1">
      <alignment horizontal="left"/>
    </xf>
    <xf numFmtId="0" fontId="0" fillId="24" borderId="0" xfId="0" applyFill="1"/>
    <xf numFmtId="0" fontId="0" fillId="6" borderId="0" xfId="0" applyFill="1" applyAlignment="1">
      <alignment horizontal="left"/>
    </xf>
    <xf numFmtId="1" fontId="0" fillId="6" borderId="0" xfId="0" applyNumberFormat="1" applyFill="1" applyAlignment="1">
      <alignment horizontal="left"/>
    </xf>
    <xf numFmtId="3" fontId="0" fillId="6" borderId="0" xfId="0" applyNumberFormat="1" applyFill="1" applyAlignment="1">
      <alignment horizontal="left"/>
    </xf>
    <xf numFmtId="0" fontId="0" fillId="6" borderId="0" xfId="0" applyFill="1"/>
    <xf numFmtId="1" fontId="0" fillId="7" borderId="0" xfId="0" applyNumberFormat="1" applyFill="1" applyAlignment="1">
      <alignment horizontal="left"/>
    </xf>
    <xf numFmtId="3" fontId="0" fillId="7" borderId="0" xfId="0" applyNumberFormat="1" applyFill="1" applyAlignment="1">
      <alignment horizontal="left"/>
    </xf>
    <xf numFmtId="0" fontId="0" fillId="7" borderId="0" xfId="0" applyFill="1" applyAlignment="1">
      <alignment horizontal="left"/>
    </xf>
    <xf numFmtId="0" fontId="0" fillId="7" borderId="0" xfId="0" applyFill="1"/>
    <xf numFmtId="1" fontId="0" fillId="8" borderId="0" xfId="0" applyNumberFormat="1" applyFill="1" applyAlignment="1">
      <alignment horizontal="left"/>
    </xf>
    <xf numFmtId="0" fontId="0" fillId="8" borderId="0" xfId="0" applyFill="1"/>
    <xf numFmtId="0" fontId="0" fillId="3" borderId="8" xfId="0" applyFill="1" applyBorder="1"/>
    <xf numFmtId="0" fontId="0" fillId="0" borderId="3" xfId="0" applyBorder="1" applyAlignment="1">
      <alignment horizontal="left" wrapText="1" indent="2"/>
    </xf>
    <xf numFmtId="3" fontId="0" fillId="0" borderId="10" xfId="0" applyNumberFormat="1" applyBorder="1" applyAlignment="1">
      <alignment horizontal="center" vertical="center"/>
    </xf>
    <xf numFmtId="3" fontId="0" fillId="0" borderId="1" xfId="0" applyNumberFormat="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center"/>
    </xf>
    <xf numFmtId="0" fontId="0" fillId="0" borderId="0" xfId="0" applyAlignment="1">
      <alignment horizontal="left" indent="2"/>
    </xf>
    <xf numFmtId="0" fontId="0" fillId="3" borderId="0" xfId="0" applyFill="1" applyAlignment="1">
      <alignment horizontal="left" indent="2"/>
    </xf>
    <xf numFmtId="1" fontId="0" fillId="0" borderId="1" xfId="0" applyNumberFormat="1" applyBorder="1" applyAlignment="1">
      <alignment horizontal="center"/>
    </xf>
    <xf numFmtId="3" fontId="0" fillId="0" borderId="11" xfId="0" applyNumberFormat="1" applyBorder="1" applyAlignment="1">
      <alignment horizontal="center"/>
    </xf>
    <xf numFmtId="3" fontId="0" fillId="0" borderId="0" xfId="0" applyNumberFormat="1" applyAlignment="1">
      <alignment horizontal="right"/>
    </xf>
    <xf numFmtId="0" fontId="0" fillId="0" borderId="6" xfId="0" applyBorder="1" applyAlignment="1">
      <alignment horizontal="left"/>
    </xf>
    <xf numFmtId="44" fontId="0" fillId="3" borderId="0" xfId="0" applyNumberFormat="1" applyFill="1" applyAlignment="1">
      <alignment horizontal="center"/>
    </xf>
    <xf numFmtId="44" fontId="6" fillId="3" borderId="3" xfId="0" applyNumberFormat="1" applyFont="1" applyFill="1" applyBorder="1" applyAlignment="1">
      <alignment horizontal="center"/>
    </xf>
    <xf numFmtId="44" fontId="6" fillId="3" borderId="2" xfId="0" applyNumberFormat="1" applyFont="1" applyFill="1" applyBorder="1" applyAlignment="1">
      <alignment horizontal="center"/>
    </xf>
    <xf numFmtId="44" fontId="6" fillId="3" borderId="18" xfId="0" applyNumberFormat="1" applyFont="1" applyFill="1" applyBorder="1" applyAlignment="1">
      <alignment horizontal="center"/>
    </xf>
    <xf numFmtId="0" fontId="0" fillId="3" borderId="9" xfId="0" applyFill="1" applyBorder="1" applyAlignment="1">
      <alignment horizontal="left" wrapText="1"/>
    </xf>
    <xf numFmtId="0" fontId="0" fillId="3" borderId="11" xfId="0" applyFill="1" applyBorder="1" applyAlignment="1">
      <alignment horizontal="left" wrapText="1"/>
    </xf>
    <xf numFmtId="0" fontId="0" fillId="0" borderId="2" xfId="0" applyBorder="1" applyAlignment="1" applyProtection="1">
      <alignment horizontal="right"/>
      <protection locked="0"/>
    </xf>
    <xf numFmtId="0" fontId="0" fillId="0" borderId="1" xfId="0" applyBorder="1" applyAlignment="1" applyProtection="1">
      <alignment horizontal="right"/>
      <protection locked="0"/>
    </xf>
    <xf numFmtId="3" fontId="0" fillId="0" borderId="1" xfId="0" applyNumberFormat="1" applyBorder="1" applyAlignment="1" applyProtection="1">
      <alignment horizontal="right"/>
      <protection locked="0"/>
    </xf>
    <xf numFmtId="44" fontId="0" fillId="0" borderId="1" xfId="1" applyFont="1" applyFill="1" applyBorder="1" applyAlignment="1" applyProtection="1">
      <alignment horizontal="right"/>
      <protection locked="0"/>
    </xf>
    <xf numFmtId="166" fontId="0" fillId="2" borderId="1" xfId="4" applyNumberFormat="1" applyFont="1" applyFill="1" applyBorder="1" applyAlignment="1" applyProtection="1">
      <alignment horizontal="right"/>
      <protection locked="0"/>
    </xf>
    <xf numFmtId="0" fontId="27" fillId="0" borderId="1" xfId="0" applyFont="1" applyBorder="1" applyAlignment="1" applyProtection="1">
      <alignment horizontal="right"/>
      <protection locked="0"/>
    </xf>
    <xf numFmtId="3" fontId="27" fillId="26" borderId="1" xfId="0" applyNumberFormat="1" applyFont="1" applyFill="1" applyBorder="1" applyAlignment="1" applyProtection="1">
      <alignment horizontal="right"/>
      <protection locked="0"/>
    </xf>
    <xf numFmtId="166" fontId="27" fillId="26" borderId="1" xfId="4" applyNumberFormat="1" applyFont="1" applyFill="1" applyBorder="1" applyAlignment="1" applyProtection="1">
      <alignment horizontal="right"/>
      <protection locked="0"/>
    </xf>
    <xf numFmtId="3" fontId="27" fillId="0" borderId="1" xfId="0" applyNumberFormat="1" applyFont="1" applyBorder="1" applyAlignment="1" applyProtection="1">
      <alignment horizontal="right"/>
      <protection locked="0"/>
    </xf>
    <xf numFmtId="166" fontId="0" fillId="2" borderId="8" xfId="4" applyNumberFormat="1" applyFont="1" applyFill="1" applyBorder="1" applyAlignment="1" applyProtection="1">
      <alignment horizontal="right"/>
      <protection locked="0"/>
    </xf>
    <xf numFmtId="0" fontId="0" fillId="0" borderId="4" xfId="0" applyBorder="1" applyAlignment="1" applyProtection="1">
      <alignment horizontal="right"/>
      <protection locked="0"/>
    </xf>
    <xf numFmtId="3" fontId="0" fillId="0" borderId="4" xfId="0" applyNumberFormat="1" applyBorder="1" applyAlignment="1" applyProtection="1">
      <alignment horizontal="right"/>
      <protection locked="0"/>
    </xf>
    <xf numFmtId="166" fontId="0" fillId="2" borderId="4" xfId="4" applyNumberFormat="1" applyFont="1" applyFill="1" applyBorder="1" applyAlignment="1" applyProtection="1">
      <alignment horizontal="right"/>
      <protection locked="0"/>
    </xf>
    <xf numFmtId="0" fontId="27" fillId="0" borderId="4" xfId="0" applyFont="1" applyBorder="1" applyAlignment="1" applyProtection="1">
      <alignment horizontal="right"/>
      <protection locked="0"/>
    </xf>
    <xf numFmtId="3" fontId="27" fillId="26" borderId="4" xfId="0" applyNumberFormat="1" applyFont="1" applyFill="1" applyBorder="1" applyAlignment="1" applyProtection="1">
      <alignment horizontal="right"/>
      <protection locked="0"/>
    </xf>
    <xf numFmtId="166" fontId="27" fillId="26" borderId="4" xfId="4" applyNumberFormat="1" applyFont="1" applyFill="1" applyBorder="1" applyAlignment="1" applyProtection="1">
      <alignment horizontal="right"/>
      <protection locked="0"/>
    </xf>
    <xf numFmtId="3" fontId="27" fillId="0" borderId="4" xfId="0" applyNumberFormat="1" applyFont="1" applyBorder="1" applyAlignment="1" applyProtection="1">
      <alignment horizontal="right"/>
      <protection locked="0"/>
    </xf>
    <xf numFmtId="3" fontId="0" fillId="2" borderId="1" xfId="0" applyNumberFormat="1" applyFill="1" applyBorder="1" applyAlignment="1" applyProtection="1">
      <alignment horizontal="right"/>
      <protection locked="0"/>
    </xf>
    <xf numFmtId="0" fontId="0" fillId="0" borderId="8" xfId="0" applyBorder="1" applyAlignment="1" applyProtection="1">
      <alignment horizontal="right"/>
      <protection locked="0"/>
    </xf>
    <xf numFmtId="3" fontId="0" fillId="2" borderId="8" xfId="0" applyNumberFormat="1" applyFill="1" applyBorder="1" applyAlignment="1" applyProtection="1">
      <alignment horizontal="right"/>
      <protection locked="0"/>
    </xf>
    <xf numFmtId="44" fontId="0" fillId="0" borderId="8" xfId="1" applyFont="1" applyFill="1" applyBorder="1" applyAlignment="1" applyProtection="1">
      <alignment horizontal="right"/>
      <protection locked="0"/>
    </xf>
    <xf numFmtId="44" fontId="0" fillId="0" borderId="1" xfId="1" applyFont="1" applyBorder="1" applyAlignment="1" applyProtection="1">
      <alignment horizontal="right"/>
      <protection locked="0"/>
    </xf>
    <xf numFmtId="0" fontId="6" fillId="0" borderId="1" xfId="0" applyFont="1" applyBorder="1" applyAlignment="1">
      <alignment horizontal="right"/>
    </xf>
    <xf numFmtId="166" fontId="0" fillId="2" borderId="1" xfId="4" applyNumberFormat="1" applyFont="1" applyFill="1" applyBorder="1" applyAlignment="1" applyProtection="1">
      <alignment horizontal="right" indent="1"/>
      <protection locked="0"/>
    </xf>
    <xf numFmtId="3" fontId="0" fillId="26" borderId="1" xfId="0" applyNumberFormat="1" applyFill="1" applyBorder="1" applyAlignment="1" applyProtection="1">
      <alignment horizontal="right"/>
      <protection locked="0"/>
    </xf>
    <xf numFmtId="44" fontId="27" fillId="0" borderId="1" xfId="1" applyFont="1" applyBorder="1" applyAlignment="1" applyProtection="1">
      <alignment horizontal="right"/>
      <protection locked="0"/>
    </xf>
    <xf numFmtId="44" fontId="6" fillId="0" borderId="1" xfId="1" applyFont="1" applyFill="1" applyBorder="1" applyAlignment="1" applyProtection="1">
      <alignment horizontal="right"/>
      <protection locked="0"/>
    </xf>
    <xf numFmtId="0" fontId="0" fillId="0" borderId="5" xfId="0" applyBorder="1" applyAlignment="1" applyProtection="1">
      <alignment horizontal="right"/>
      <protection locked="0"/>
    </xf>
    <xf numFmtId="3" fontId="0" fillId="0" borderId="1" xfId="4" applyNumberFormat="1" applyFont="1" applyFill="1" applyBorder="1" applyAlignment="1" applyProtection="1">
      <alignment horizontal="right"/>
      <protection locked="0"/>
    </xf>
    <xf numFmtId="0" fontId="0" fillId="0" borderId="22" xfId="0" applyBorder="1" applyAlignment="1" applyProtection="1">
      <alignment horizontal="right"/>
      <protection locked="0"/>
    </xf>
    <xf numFmtId="3" fontId="0" fillId="0" borderId="8" xfId="0" applyNumberFormat="1" applyBorder="1" applyAlignment="1" applyProtection="1">
      <alignment horizontal="right"/>
      <protection locked="0"/>
    </xf>
    <xf numFmtId="3" fontId="0" fillId="0" borderId="8" xfId="4" applyNumberFormat="1" applyFont="1" applyFill="1" applyBorder="1" applyAlignment="1" applyProtection="1">
      <alignment horizontal="right"/>
      <protection locked="0"/>
    </xf>
    <xf numFmtId="44" fontId="6" fillId="0" borderId="3" xfId="1" applyFont="1" applyFill="1" applyBorder="1" applyAlignment="1" applyProtection="1">
      <alignment horizontal="right"/>
      <protection locked="0"/>
    </xf>
    <xf numFmtId="44" fontId="6" fillId="0" borderId="1" xfId="0" applyNumberFormat="1" applyFont="1" applyBorder="1" applyAlignment="1" applyProtection="1">
      <alignment horizontal="right"/>
      <protection locked="0"/>
    </xf>
    <xf numFmtId="0" fontId="32" fillId="3" borderId="0" xfId="0" applyFont="1" applyFill="1"/>
    <xf numFmtId="0" fontId="6" fillId="3" borderId="0" xfId="0" applyFont="1" applyFill="1"/>
    <xf numFmtId="0" fontId="32" fillId="3" borderId="0" xfId="0" applyFont="1" applyFill="1" applyAlignment="1">
      <alignment horizontal="left"/>
    </xf>
    <xf numFmtId="0" fontId="20" fillId="3" borderId="0" xfId="0" applyFont="1" applyFill="1"/>
    <xf numFmtId="0" fontId="9" fillId="3" borderId="0" xfId="0" applyFont="1" applyFill="1"/>
    <xf numFmtId="0" fontId="20" fillId="3" borderId="0" xfId="0" applyFont="1" applyFill="1" applyAlignment="1">
      <alignment horizontal="left"/>
    </xf>
    <xf numFmtId="166" fontId="9" fillId="3" borderId="0" xfId="0" applyNumberFormat="1" applyFont="1" applyFill="1" applyAlignment="1">
      <alignment horizontal="left"/>
    </xf>
    <xf numFmtId="3" fontId="0" fillId="0" borderId="1" xfId="4" applyNumberFormat="1" applyFont="1" applyBorder="1" applyAlignment="1">
      <alignment horizontal="center"/>
    </xf>
    <xf numFmtId="0" fontId="4" fillId="8" borderId="0" xfId="0" applyFont="1" applyFill="1" applyAlignment="1">
      <alignment horizontal="left" wrapText="1"/>
    </xf>
    <xf numFmtId="0" fontId="3" fillId="3" borderId="0" xfId="0" applyFont="1" applyFill="1" applyAlignment="1">
      <alignment horizontal="left"/>
    </xf>
    <xf numFmtId="0" fontId="0" fillId="8" borderId="26" xfId="0" applyFill="1" applyBorder="1"/>
    <xf numFmtId="0" fontId="9" fillId="2" borderId="0" xfId="0" applyFont="1" applyFill="1" applyAlignment="1">
      <alignment horizontal="left"/>
    </xf>
    <xf numFmtId="1" fontId="4" fillId="6" borderId="6" xfId="0" applyNumberFormat="1" applyFont="1" applyFill="1" applyBorder="1" applyAlignment="1">
      <alignment horizontal="left" wrapText="1"/>
    </xf>
    <xf numFmtId="0" fontId="4" fillId="6" borderId="6" xfId="0" applyFont="1" applyFill="1" applyBorder="1" applyAlignment="1">
      <alignment horizontal="left" wrapText="1"/>
    </xf>
    <xf numFmtId="0" fontId="0" fillId="3" borderId="0" xfId="0" applyFill="1" applyAlignment="1">
      <alignment horizontal="left" wrapText="1"/>
    </xf>
    <xf numFmtId="0" fontId="0" fillId="0" borderId="0" xfId="0" applyAlignment="1">
      <alignment horizontal="right"/>
    </xf>
    <xf numFmtId="1" fontId="0" fillId="3" borderId="0" xfId="0" applyNumberFormat="1" applyFill="1" applyAlignment="1">
      <alignment horizontal="left"/>
    </xf>
    <xf numFmtId="0" fontId="4" fillId="6" borderId="4" xfId="0" applyFont="1" applyFill="1" applyBorder="1" applyAlignment="1">
      <alignment horizontal="left" wrapText="1"/>
    </xf>
    <xf numFmtId="0" fontId="4" fillId="6" borderId="7" xfId="0" applyFont="1" applyFill="1" applyBorder="1" applyAlignment="1">
      <alignment horizontal="left" wrapText="1"/>
    </xf>
    <xf numFmtId="0" fontId="0" fillId="0" borderId="1" xfId="0" applyBorder="1" applyAlignment="1" applyProtection="1">
      <alignment horizontal="left"/>
      <protection locked="0"/>
    </xf>
    <xf numFmtId="0" fontId="0" fillId="0" borderId="8" xfId="0" applyBorder="1" applyAlignment="1" applyProtection="1">
      <alignment horizontal="left"/>
      <protection locked="0"/>
    </xf>
    <xf numFmtId="0" fontId="0" fillId="6" borderId="4" xfId="0" applyFill="1" applyBorder="1" applyAlignment="1">
      <alignment horizontal="left" wrapText="1"/>
    </xf>
    <xf numFmtId="0" fontId="23" fillId="17" borderId="5" xfId="0" applyFont="1" applyFill="1" applyBorder="1" applyAlignment="1">
      <alignment horizontal="center" vertical="center" wrapText="1"/>
    </xf>
    <xf numFmtId="0" fontId="23" fillId="18" borderId="5" xfId="0" applyFont="1" applyFill="1" applyBorder="1" applyAlignment="1">
      <alignment horizontal="center" vertical="center" wrapText="1"/>
    </xf>
    <xf numFmtId="0" fontId="23" fillId="19" borderId="5" xfId="0" applyFont="1" applyFill="1" applyBorder="1" applyAlignment="1">
      <alignment horizontal="center" vertical="center" wrapText="1"/>
    </xf>
    <xf numFmtId="0" fontId="23" fillId="23" borderId="5" xfId="0" applyFont="1" applyFill="1" applyBorder="1" applyAlignment="1">
      <alignment horizontal="center" vertical="center" wrapText="1"/>
    </xf>
    <xf numFmtId="0" fontId="23" fillId="23" borderId="6" xfId="0" applyFont="1" applyFill="1" applyBorder="1" applyAlignment="1">
      <alignment horizontal="center" vertical="center" wrapText="1"/>
    </xf>
    <xf numFmtId="166" fontId="0" fillId="0" borderId="8" xfId="4" applyNumberFormat="1" applyFont="1" applyBorder="1"/>
    <xf numFmtId="166" fontId="0" fillId="0" borderId="0" xfId="4" applyNumberFormat="1" applyFont="1"/>
    <xf numFmtId="0" fontId="6" fillId="0" borderId="8" xfId="0" applyFont="1" applyBorder="1" applyAlignment="1">
      <alignment horizontal="left" vertical="center" wrapText="1"/>
    </xf>
    <xf numFmtId="0" fontId="6" fillId="0" borderId="3" xfId="0" applyFont="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4" fillId="27" borderId="6" xfId="0" applyFont="1" applyFill="1" applyBorder="1" applyAlignment="1">
      <alignment horizontal="center" vertical="center" wrapText="1"/>
    </xf>
    <xf numFmtId="0" fontId="4" fillId="27" borderId="5" xfId="0" applyFont="1" applyFill="1" applyBorder="1" applyAlignment="1">
      <alignment horizontal="center" vertical="center" wrapText="1"/>
    </xf>
    <xf numFmtId="0" fontId="4" fillId="27" borderId="4" xfId="0" applyFont="1" applyFill="1" applyBorder="1" applyAlignment="1">
      <alignment horizontal="center" vertical="center"/>
    </xf>
    <xf numFmtId="0" fontId="0" fillId="0" borderId="0" xfId="0" applyAlignment="1">
      <alignment horizontal="left" vertical="center"/>
    </xf>
    <xf numFmtId="0" fontId="34" fillId="0" borderId="0" xfId="0" applyFont="1" applyAlignment="1">
      <alignment horizontal="left" vertical="center"/>
    </xf>
    <xf numFmtId="0" fontId="35" fillId="0" borderId="0" xfId="0" applyFont="1" applyAlignment="1">
      <alignment horizontal="left" vertical="center"/>
    </xf>
    <xf numFmtId="0" fontId="33" fillId="0" borderId="0" xfId="0" applyFont="1" applyAlignment="1">
      <alignment horizontal="left" vertical="center" wrapText="1"/>
    </xf>
    <xf numFmtId="0" fontId="6" fillId="0" borderId="1" xfId="0" applyFont="1" applyBorder="1" applyAlignment="1">
      <alignment wrapText="1"/>
    </xf>
    <xf numFmtId="0" fontId="6" fillId="0" borderId="3" xfId="0" applyFont="1" applyBorder="1" applyAlignment="1">
      <alignment horizontal="center" wrapText="1"/>
    </xf>
    <xf numFmtId="0" fontId="6" fillId="0" borderId="8" xfId="0" applyFont="1" applyBorder="1" applyAlignment="1">
      <alignment wrapText="1"/>
    </xf>
    <xf numFmtId="0" fontId="4" fillId="27" borderId="4" xfId="0" applyFont="1" applyFill="1" applyBorder="1" applyAlignment="1">
      <alignment horizontal="center" vertical="center" wrapText="1"/>
    </xf>
    <xf numFmtId="0" fontId="13" fillId="0" borderId="0" xfId="0" applyFont="1" applyAlignment="1">
      <alignment horizontal="left" vertical="center"/>
    </xf>
    <xf numFmtId="0" fontId="0" fillId="0" borderId="0" xfId="0" applyAlignment="1">
      <alignment vertical="center"/>
    </xf>
    <xf numFmtId="0" fontId="0" fillId="0" borderId="0" xfId="0" applyAlignment="1">
      <alignment horizontal="left" vertical="center" indent="2"/>
    </xf>
    <xf numFmtId="0" fontId="0" fillId="13" borderId="38" xfId="0" applyFill="1" applyBorder="1" applyAlignment="1">
      <alignment vertical="center"/>
    </xf>
    <xf numFmtId="0" fontId="0" fillId="13" borderId="39" xfId="0" applyFill="1" applyBorder="1" applyAlignment="1">
      <alignment horizontal="left" vertical="center" indent="2"/>
    </xf>
    <xf numFmtId="0" fontId="0" fillId="13" borderId="40" xfId="0" applyFill="1" applyBorder="1" applyAlignment="1">
      <alignment horizontal="left" vertical="center" indent="2"/>
    </xf>
    <xf numFmtId="0" fontId="0" fillId="13" borderId="41" xfId="0" applyFill="1" applyBorder="1" applyAlignment="1">
      <alignment vertical="center"/>
    </xf>
    <xf numFmtId="0" fontId="0" fillId="13" borderId="0" xfId="0" applyFill="1" applyAlignment="1">
      <alignment horizontal="left" vertical="center" indent="2"/>
    </xf>
    <xf numFmtId="0" fontId="0" fillId="13" borderId="42" xfId="0" applyFill="1" applyBorder="1" applyAlignment="1">
      <alignment horizontal="left" vertical="center" indent="2"/>
    </xf>
    <xf numFmtId="0" fontId="0" fillId="13" borderId="43" xfId="0" applyFill="1" applyBorder="1" applyAlignment="1">
      <alignment vertical="center"/>
    </xf>
    <xf numFmtId="0" fontId="36" fillId="13" borderId="44" xfId="0" applyFont="1" applyFill="1" applyBorder="1" applyAlignment="1">
      <alignment vertical="center"/>
    </xf>
    <xf numFmtId="0" fontId="36" fillId="13" borderId="45" xfId="0" applyFont="1" applyFill="1" applyBorder="1" applyAlignment="1">
      <alignment vertical="center"/>
    </xf>
    <xf numFmtId="0" fontId="0" fillId="0" borderId="0" xfId="0" applyAlignment="1">
      <alignment horizontal="left" vertical="center" wrapText="1" indent="2"/>
    </xf>
    <xf numFmtId="0" fontId="10" fillId="0" borderId="0" xfId="0" applyFont="1" applyAlignment="1">
      <alignment horizontal="left" vertical="center"/>
    </xf>
    <xf numFmtId="0" fontId="16" fillId="0" borderId="0" xfId="0" applyFont="1" applyAlignment="1">
      <alignment horizontal="left" vertical="center"/>
    </xf>
    <xf numFmtId="0" fontId="37" fillId="0" borderId="0" xfId="0" applyFont="1" applyAlignment="1">
      <alignment horizontal="left"/>
    </xf>
    <xf numFmtId="0" fontId="38" fillId="0" borderId="0" xfId="0" applyFont="1" applyAlignment="1">
      <alignment horizontal="left"/>
    </xf>
    <xf numFmtId="0" fontId="40" fillId="0" borderId="0" xfId="0" applyFont="1" applyAlignment="1">
      <alignment horizontal="left" vertical="center"/>
    </xf>
    <xf numFmtId="0" fontId="41" fillId="0" borderId="0" xfId="0" applyFont="1" applyAlignment="1">
      <alignment horizontal="left" vertical="center"/>
    </xf>
    <xf numFmtId="1" fontId="10"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vertical="center"/>
    </xf>
    <xf numFmtId="3" fontId="0" fillId="0" borderId="23" xfId="0" applyNumberFormat="1" applyBorder="1" applyAlignment="1">
      <alignment horizontal="center" vertical="center"/>
    </xf>
    <xf numFmtId="3" fontId="0" fillId="0" borderId="5" xfId="0" applyNumberFormat="1" applyBorder="1" applyAlignment="1">
      <alignment horizontal="center" vertical="center"/>
    </xf>
    <xf numFmtId="44" fontId="0" fillId="0" borderId="1" xfId="1" applyFont="1" applyBorder="1"/>
    <xf numFmtId="1" fontId="0" fillId="0" borderId="1" xfId="1" applyNumberFormat="1" applyFont="1" applyBorder="1"/>
    <xf numFmtId="0" fontId="0" fillId="0" borderId="3" xfId="1" applyNumberFormat="1" applyFont="1" applyFill="1" applyBorder="1" applyAlignment="1" applyProtection="1">
      <alignment horizontal="left" wrapText="1"/>
      <protection locked="0"/>
    </xf>
    <xf numFmtId="0" fontId="0" fillId="0" borderId="9" xfId="1" applyNumberFormat="1" applyFont="1" applyFill="1" applyBorder="1" applyAlignment="1" applyProtection="1">
      <alignment horizontal="left" wrapText="1"/>
      <protection locked="0"/>
    </xf>
    <xf numFmtId="165" fontId="0" fillId="0" borderId="0" xfId="0" applyNumberFormat="1"/>
    <xf numFmtId="44" fontId="0" fillId="0" borderId="1" xfId="0" applyNumberFormat="1" applyBorder="1" applyAlignment="1" applyProtection="1">
      <alignment horizontal="left"/>
      <protection locked="0"/>
    </xf>
    <xf numFmtId="44" fontId="0" fillId="0" borderId="8" xfId="0" applyNumberFormat="1" applyBorder="1" applyAlignment="1" applyProtection="1">
      <alignment horizontal="left"/>
      <protection locked="0"/>
    </xf>
    <xf numFmtId="166" fontId="0" fillId="3" borderId="8" xfId="4" applyNumberFormat="1" applyFont="1" applyFill="1" applyBorder="1"/>
    <xf numFmtId="166" fontId="0" fillId="3" borderId="9" xfId="4" applyNumberFormat="1" applyFont="1" applyFill="1" applyBorder="1"/>
    <xf numFmtId="9" fontId="0" fillId="0" borderId="28" xfId="2" applyFont="1" applyBorder="1" applyAlignment="1">
      <alignment horizontal="center"/>
    </xf>
    <xf numFmtId="9" fontId="0" fillId="0" borderId="3" xfId="2" applyFont="1" applyBorder="1" applyAlignment="1">
      <alignment horizontal="center"/>
    </xf>
    <xf numFmtId="9" fontId="4" fillId="16" borderId="3" xfId="2" applyFont="1" applyFill="1" applyBorder="1" applyAlignment="1">
      <alignment horizontal="center"/>
    </xf>
    <xf numFmtId="9" fontId="4" fillId="16" borderId="9" xfId="2" applyFont="1" applyFill="1" applyBorder="1" applyAlignment="1">
      <alignment horizontal="center"/>
    </xf>
    <xf numFmtId="9" fontId="4" fillId="16" borderId="25" xfId="2" applyFont="1" applyFill="1" applyBorder="1" applyAlignment="1">
      <alignment horizontal="center"/>
    </xf>
    <xf numFmtId="9" fontId="4" fillId="16" borderId="3" xfId="2" applyFont="1" applyFill="1" applyBorder="1" applyAlignment="1">
      <alignment horizontal="center" wrapText="1"/>
    </xf>
    <xf numFmtId="9" fontId="4" fillId="16" borderId="9" xfId="2" applyFont="1" applyFill="1" applyBorder="1" applyAlignment="1">
      <alignment horizontal="center" wrapText="1"/>
    </xf>
    <xf numFmtId="0" fontId="23" fillId="17" borderId="4" xfId="0" applyFont="1" applyFill="1" applyBorder="1" applyAlignment="1">
      <alignment horizontal="center" vertical="center" wrapText="1"/>
    </xf>
    <xf numFmtId="0" fontId="6" fillId="3" borderId="21" xfId="0" applyFont="1" applyFill="1" applyBorder="1" applyAlignment="1">
      <alignment wrapText="1"/>
    </xf>
    <xf numFmtId="0" fontId="23" fillId="4" borderId="46" xfId="0" applyFont="1" applyFill="1" applyBorder="1" applyAlignment="1">
      <alignment wrapText="1"/>
    </xf>
    <xf numFmtId="0" fontId="2" fillId="4" borderId="47" xfId="0" applyFont="1" applyFill="1" applyBorder="1"/>
    <xf numFmtId="0" fontId="0" fillId="3" borderId="1" xfId="0" applyFill="1" applyBorder="1" applyAlignment="1">
      <alignment horizontal="center"/>
    </xf>
    <xf numFmtId="0" fontId="0" fillId="3" borderId="48" xfId="0" applyFill="1" applyBorder="1"/>
    <xf numFmtId="0" fontId="0" fillId="3" borderId="2" xfId="0" applyFill="1" applyBorder="1" applyAlignment="1">
      <alignment horizontal="center"/>
    </xf>
    <xf numFmtId="9" fontId="2" fillId="3" borderId="0" xfId="2" applyFont="1" applyFill="1" applyAlignment="1">
      <alignment horizontal="center"/>
    </xf>
    <xf numFmtId="9" fontId="2" fillId="16" borderId="0" xfId="2" applyFont="1" applyFill="1" applyAlignment="1">
      <alignment horizont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0" fillId="0" borderId="11" xfId="1" applyNumberFormat="1" applyFont="1" applyBorder="1" applyAlignment="1">
      <alignment horizontal="center"/>
    </xf>
    <xf numFmtId="3" fontId="0" fillId="0" borderId="0" xfId="0" applyNumberFormat="1"/>
    <xf numFmtId="44" fontId="0" fillId="2" borderId="1" xfId="1" applyFont="1" applyFill="1" applyBorder="1" applyAlignment="1" applyProtection="1">
      <alignment horizontal="right"/>
      <protection locked="0"/>
    </xf>
    <xf numFmtId="44" fontId="27" fillId="26" borderId="1" xfId="1" applyFont="1" applyFill="1" applyBorder="1" applyAlignment="1" applyProtection="1">
      <alignment horizontal="right"/>
      <protection locked="0"/>
    </xf>
    <xf numFmtId="44" fontId="0" fillId="2" borderId="8" xfId="1" applyFont="1" applyFill="1" applyBorder="1" applyAlignment="1" applyProtection="1">
      <alignment horizontal="right"/>
      <protection locked="0"/>
    </xf>
    <xf numFmtId="44" fontId="0" fillId="2" borderId="4" xfId="1" applyFont="1" applyFill="1" applyBorder="1" applyAlignment="1" applyProtection="1">
      <alignment horizontal="right"/>
      <protection locked="0"/>
    </xf>
    <xf numFmtId="44" fontId="27" fillId="26" borderId="4" xfId="1" applyFont="1" applyFill="1" applyBorder="1" applyAlignment="1" applyProtection="1">
      <alignment horizontal="right"/>
      <protection locked="0"/>
    </xf>
    <xf numFmtId="44" fontId="6" fillId="9" borderId="1" xfId="1" applyFont="1" applyFill="1" applyBorder="1" applyAlignment="1">
      <alignment horizontal="right"/>
    </xf>
    <xf numFmtId="44" fontId="6" fillId="9" borderId="3" xfId="1" applyFont="1" applyFill="1" applyBorder="1" applyAlignment="1">
      <alignment horizontal="right"/>
    </xf>
    <xf numFmtId="44" fontId="6" fillId="0" borderId="1" xfId="1" applyFont="1" applyBorder="1" applyAlignment="1">
      <alignment horizontal="right"/>
    </xf>
    <xf numFmtId="44" fontId="0" fillId="2" borderId="3" xfId="1" applyFont="1" applyFill="1" applyBorder="1" applyAlignment="1" applyProtection="1">
      <alignment horizontal="left"/>
      <protection locked="0"/>
    </xf>
    <xf numFmtId="44" fontId="6" fillId="9" borderId="1" xfId="1" applyFont="1" applyFill="1" applyBorder="1" applyAlignment="1" applyProtection="1">
      <alignment horizontal="right"/>
      <protection locked="0"/>
    </xf>
    <xf numFmtId="44" fontId="6" fillId="9" borderId="3" xfId="1" applyFont="1" applyFill="1" applyBorder="1" applyAlignment="1" applyProtection="1">
      <alignment horizontal="right"/>
      <protection locked="0"/>
    </xf>
    <xf numFmtId="167" fontId="6" fillId="0" borderId="1" xfId="1" applyNumberFormat="1" applyFont="1" applyFill="1" applyBorder="1" applyAlignment="1" applyProtection="1">
      <alignment horizontal="right"/>
      <protection locked="0"/>
    </xf>
    <xf numFmtId="44" fontId="6" fillId="0" borderId="1" xfId="1" applyFont="1" applyFill="1" applyBorder="1" applyAlignment="1">
      <alignment horizontal="right"/>
    </xf>
    <xf numFmtId="166" fontId="0" fillId="2" borderId="8" xfId="4" applyNumberFormat="1" applyFont="1" applyFill="1" applyBorder="1" applyAlignment="1" applyProtection="1">
      <alignment horizontal="right" indent="1"/>
      <protection locked="0"/>
    </xf>
    <xf numFmtId="44" fontId="0" fillId="0" borderId="3" xfId="1" applyFont="1" applyFill="1" applyBorder="1" applyAlignment="1" applyProtection="1">
      <alignment horizontal="left"/>
      <protection locked="0"/>
    </xf>
    <xf numFmtId="0" fontId="27" fillId="0" borderId="1" xfId="0" applyFont="1" applyBorder="1" applyAlignment="1">
      <alignment horizontal="right"/>
    </xf>
    <xf numFmtId="0" fontId="27" fillId="0" borderId="4" xfId="0" applyFont="1" applyBorder="1" applyAlignment="1">
      <alignment horizontal="right"/>
    </xf>
    <xf numFmtId="3" fontId="27" fillId="0" borderId="4" xfId="0" applyNumberFormat="1" applyFont="1" applyBorder="1" applyAlignment="1">
      <alignment horizontal="right"/>
    </xf>
    <xf numFmtId="44" fontId="6" fillId="0" borderId="1" xfId="1" applyFont="1" applyFill="1" applyBorder="1" applyAlignment="1">
      <alignment horizontal="left"/>
    </xf>
    <xf numFmtId="44" fontId="27" fillId="0" borderId="1" xfId="1" applyFont="1" applyFill="1" applyBorder="1" applyAlignment="1">
      <alignment horizontal="left"/>
    </xf>
    <xf numFmtId="0" fontId="0" fillId="0" borderId="13" xfId="0" applyBorder="1" applyAlignment="1">
      <alignment horizontal="right"/>
    </xf>
    <xf numFmtId="0" fontId="0" fillId="0" borderId="22" xfId="0" applyBorder="1" applyAlignment="1">
      <alignment horizontal="right"/>
    </xf>
    <xf numFmtId="44" fontId="0" fillId="0" borderId="22" xfId="1" applyFont="1" applyFill="1" applyBorder="1" applyAlignment="1">
      <alignment horizontal="left"/>
    </xf>
    <xf numFmtId="44" fontId="27" fillId="0" borderId="13" xfId="1" applyFont="1" applyFill="1" applyBorder="1" applyAlignment="1">
      <alignment horizontal="left"/>
    </xf>
    <xf numFmtId="3" fontId="2" fillId="0" borderId="1" xfId="4" applyNumberFormat="1" applyFont="1" applyFill="1" applyBorder="1" applyAlignment="1" applyProtection="1">
      <alignment horizontal="right"/>
      <protection locked="0"/>
    </xf>
    <xf numFmtId="0" fontId="0" fillId="0" borderId="21" xfId="0" applyBorder="1" applyAlignment="1">
      <alignment horizontal="right"/>
    </xf>
    <xf numFmtId="0" fontId="4" fillId="0" borderId="9" xfId="0" applyFont="1" applyBorder="1" applyAlignment="1">
      <alignment horizontal="left" wrapText="1"/>
    </xf>
    <xf numFmtId="0" fontId="27" fillId="0" borderId="8" xfId="0" applyFont="1" applyBorder="1" applyAlignment="1" applyProtection="1">
      <alignment horizontal="right"/>
      <protection locked="0"/>
    </xf>
    <xf numFmtId="3" fontId="0" fillId="2" borderId="4" xfId="0" applyNumberFormat="1" applyFill="1" applyBorder="1" applyAlignment="1" applyProtection="1">
      <alignment horizontal="right"/>
      <protection locked="0"/>
    </xf>
    <xf numFmtId="3" fontId="27" fillId="26" borderId="8" xfId="0" applyNumberFormat="1" applyFont="1" applyFill="1" applyBorder="1" applyAlignment="1" applyProtection="1">
      <alignment horizontal="right"/>
      <protection locked="0"/>
    </xf>
    <xf numFmtId="3" fontId="27" fillId="0" borderId="8" xfId="0" applyNumberFormat="1" applyFont="1" applyBorder="1" applyAlignment="1" applyProtection="1">
      <alignment horizontal="right"/>
      <protection locked="0"/>
    </xf>
    <xf numFmtId="44" fontId="27" fillId="0" borderId="8" xfId="1" applyFont="1" applyBorder="1" applyAlignment="1" applyProtection="1">
      <alignment horizontal="right"/>
      <protection locked="0"/>
    </xf>
    <xf numFmtId="44" fontId="27" fillId="26" borderId="8" xfId="1" applyFont="1" applyFill="1" applyBorder="1" applyAlignment="1" applyProtection="1">
      <alignment horizontal="right"/>
      <protection locked="0"/>
    </xf>
    <xf numFmtId="166" fontId="27" fillId="26" borderId="8" xfId="4" applyNumberFormat="1" applyFont="1" applyFill="1" applyBorder="1" applyAlignment="1" applyProtection="1">
      <alignment horizontal="right"/>
      <protection locked="0"/>
    </xf>
    <xf numFmtId="166" fontId="0" fillId="0" borderId="1" xfId="4" applyNumberFormat="1" applyFont="1" applyBorder="1" applyAlignment="1" applyProtection="1">
      <alignment horizontal="right"/>
      <protection locked="0"/>
    </xf>
    <xf numFmtId="0" fontId="0" fillId="0" borderId="1" xfId="0" applyBorder="1" applyAlignment="1">
      <alignment horizontal="right"/>
    </xf>
    <xf numFmtId="0" fontId="0" fillId="0" borderId="13" xfId="0" applyBorder="1" applyAlignment="1" applyProtection="1">
      <alignment horizontal="right"/>
      <protection locked="0"/>
    </xf>
    <xf numFmtId="0" fontId="0" fillId="0" borderId="4" xfId="0" applyBorder="1" applyAlignment="1">
      <alignment horizontal="right"/>
    </xf>
    <xf numFmtId="0" fontId="27" fillId="0" borderId="13" xfId="0" applyFont="1" applyBorder="1" applyAlignment="1">
      <alignment horizontal="right"/>
    </xf>
    <xf numFmtId="3" fontId="0" fillId="0" borderId="22" xfId="0" applyNumberFormat="1" applyBorder="1" applyAlignment="1" applyProtection="1">
      <alignment horizontal="right"/>
      <protection locked="0"/>
    </xf>
    <xf numFmtId="3" fontId="27" fillId="0" borderId="1" xfId="0" applyNumberFormat="1" applyFont="1" applyBorder="1" applyAlignment="1">
      <alignment horizontal="right"/>
    </xf>
    <xf numFmtId="3" fontId="27" fillId="0" borderId="22" xfId="0" applyNumberFormat="1" applyFont="1" applyBorder="1" applyAlignment="1">
      <alignment horizontal="right"/>
    </xf>
    <xf numFmtId="44" fontId="0" fillId="0" borderId="3" xfId="1" applyFont="1" applyFill="1" applyBorder="1" applyAlignment="1">
      <alignment horizontal="left"/>
    </xf>
    <xf numFmtId="44" fontId="0" fillId="0" borderId="22" xfId="1" applyFont="1" applyFill="1" applyBorder="1" applyAlignment="1" applyProtection="1">
      <alignment horizontal="left"/>
      <protection locked="0"/>
    </xf>
    <xf numFmtId="44" fontId="6" fillId="0" borderId="3" xfId="1" applyFont="1" applyFill="1" applyBorder="1" applyAlignment="1">
      <alignment horizontal="left"/>
    </xf>
    <xf numFmtId="44" fontId="0" fillId="0" borderId="1" xfId="1" applyFont="1" applyFill="1" applyBorder="1" applyAlignment="1">
      <alignment horizontal="left"/>
    </xf>
    <xf numFmtId="44" fontId="6" fillId="0" borderId="22" xfId="1" applyFont="1" applyFill="1" applyBorder="1" applyAlignment="1">
      <alignment horizontal="left"/>
    </xf>
    <xf numFmtId="44" fontId="0" fillId="0" borderId="1" xfId="1" applyFont="1" applyFill="1" applyBorder="1" applyAlignment="1" applyProtection="1">
      <alignment horizontal="left"/>
      <protection locked="0"/>
    </xf>
    <xf numFmtId="44" fontId="0" fillId="2" borderId="1" xfId="1" applyFont="1" applyFill="1" applyBorder="1" applyAlignment="1" applyProtection="1">
      <alignment horizontal="left"/>
      <protection locked="0"/>
    </xf>
    <xf numFmtId="44" fontId="0" fillId="2" borderId="22" xfId="1" applyFont="1" applyFill="1" applyBorder="1" applyAlignment="1" applyProtection="1">
      <alignment horizontal="left"/>
      <protection locked="0"/>
    </xf>
    <xf numFmtId="44" fontId="27" fillId="0" borderId="3" xfId="1" applyFont="1" applyFill="1" applyBorder="1" applyAlignment="1">
      <alignment horizontal="left"/>
    </xf>
    <xf numFmtId="44" fontId="0" fillId="0" borderId="13" xfId="1" applyFont="1" applyFill="1" applyBorder="1" applyAlignment="1" applyProtection="1">
      <alignment horizontal="left"/>
      <protection locked="0"/>
    </xf>
    <xf numFmtId="44" fontId="0" fillId="2" borderId="13" xfId="1" applyFont="1" applyFill="1" applyBorder="1" applyAlignment="1" applyProtection="1">
      <alignment horizontal="left"/>
      <protection locked="0"/>
    </xf>
    <xf numFmtId="0" fontId="0" fillId="0" borderId="1" xfId="0" applyBorder="1" applyAlignment="1">
      <alignment wrapText="1"/>
    </xf>
    <xf numFmtId="0" fontId="6" fillId="0" borderId="2" xfId="0" applyFont="1" applyBorder="1" applyAlignment="1">
      <alignment wrapText="1"/>
    </xf>
    <xf numFmtId="0" fontId="4" fillId="24" borderId="0" xfId="0" applyFont="1" applyFill="1" applyAlignment="1">
      <alignment wrapText="1"/>
    </xf>
    <xf numFmtId="0" fontId="7" fillId="22" borderId="25" xfId="0" applyFont="1" applyFill="1" applyBorder="1" applyAlignment="1">
      <alignment horizontal="center" wrapText="1"/>
    </xf>
    <xf numFmtId="44" fontId="0" fillId="0" borderId="20" xfId="1" applyFont="1" applyFill="1" applyBorder="1" applyAlignment="1">
      <alignment horizontal="center" wrapText="1"/>
    </xf>
    <xf numFmtId="44" fontId="1" fillId="0" borderId="1" xfId="1" applyFont="1" applyFill="1" applyBorder="1" applyAlignment="1">
      <alignment horizontal="center" wrapText="1"/>
    </xf>
    <xf numFmtId="44" fontId="1" fillId="0" borderId="20" xfId="1" applyFont="1" applyFill="1" applyBorder="1" applyAlignment="1">
      <alignment horizontal="center" wrapText="1"/>
    </xf>
    <xf numFmtId="44" fontId="0" fillId="3" borderId="1" xfId="1" applyFont="1" applyFill="1" applyBorder="1" applyAlignment="1">
      <alignment horizontal="center" wrapText="1"/>
    </xf>
    <xf numFmtId="0" fontId="2" fillId="3" borderId="2" xfId="0" applyFont="1" applyFill="1" applyBorder="1"/>
    <xf numFmtId="9" fontId="2" fillId="3" borderId="3" xfId="2" applyFont="1" applyFill="1" applyBorder="1" applyAlignment="1">
      <alignment horizontal="center"/>
    </xf>
    <xf numFmtId="44" fontId="2" fillId="3" borderId="1" xfId="1" applyFont="1" applyFill="1" applyBorder="1" applyAlignment="1">
      <alignment horizontal="center"/>
    </xf>
    <xf numFmtId="44" fontId="2" fillId="3" borderId="20" xfId="0" applyNumberFormat="1" applyFont="1" applyFill="1" applyBorder="1" applyAlignment="1">
      <alignment horizontal="center"/>
    </xf>
    <xf numFmtId="44" fontId="2" fillId="3" borderId="20" xfId="1" applyFont="1" applyFill="1" applyBorder="1" applyAlignment="1">
      <alignment horizontal="center"/>
    </xf>
    <xf numFmtId="9" fontId="2" fillId="3" borderId="25" xfId="2" applyFont="1" applyFill="1" applyBorder="1" applyAlignment="1">
      <alignment horizontal="center"/>
    </xf>
    <xf numFmtId="44" fontId="2" fillId="0" borderId="20" xfId="0" applyNumberFormat="1" applyFont="1" applyBorder="1" applyAlignment="1">
      <alignment horizontal="center"/>
    </xf>
    <xf numFmtId="9" fontId="0" fillId="0" borderId="1" xfId="2" applyFont="1" applyBorder="1" applyAlignment="1">
      <alignment horizontal="right"/>
    </xf>
    <xf numFmtId="166" fontId="0" fillId="3" borderId="0" xfId="4" applyNumberFormat="1" applyFont="1" applyFill="1"/>
    <xf numFmtId="0" fontId="7" fillId="22" borderId="19" xfId="0" applyFont="1" applyFill="1" applyBorder="1" applyAlignment="1">
      <alignment horizontal="center" wrapText="1"/>
    </xf>
    <xf numFmtId="0" fontId="23" fillId="5" borderId="10" xfId="0" applyFont="1" applyFill="1" applyBorder="1" applyAlignment="1">
      <alignment horizontal="center" wrapText="1"/>
    </xf>
    <xf numFmtId="3" fontId="0" fillId="0" borderId="10" xfId="0" applyNumberFormat="1" applyBorder="1" applyAlignment="1">
      <alignment horizontal="right"/>
    </xf>
    <xf numFmtId="3" fontId="2" fillId="13" borderId="10" xfId="0" applyNumberFormat="1" applyFont="1" applyFill="1" applyBorder="1" applyAlignment="1">
      <alignment horizontal="right"/>
    </xf>
    <xf numFmtId="44" fontId="0" fillId="0" borderId="1" xfId="0" applyNumberFormat="1" applyBorder="1" applyAlignment="1">
      <alignment horizontal="right"/>
    </xf>
    <xf numFmtId="44" fontId="0" fillId="0" borderId="11" xfId="0" applyNumberFormat="1" applyBorder="1" applyAlignment="1">
      <alignment horizontal="right"/>
    </xf>
    <xf numFmtId="166" fontId="0" fillId="0" borderId="10" xfId="4" applyNumberFormat="1" applyFont="1" applyBorder="1" applyAlignment="1">
      <alignment horizontal="right"/>
    </xf>
    <xf numFmtId="164" fontId="0" fillId="0" borderId="2" xfId="2" applyNumberFormat="1" applyFont="1" applyBorder="1" applyAlignment="1">
      <alignment horizontal="right"/>
    </xf>
    <xf numFmtId="164" fontId="0" fillId="0" borderId="1" xfId="2" applyNumberFormat="1" applyFont="1" applyBorder="1" applyAlignment="1">
      <alignment horizontal="right"/>
    </xf>
    <xf numFmtId="3" fontId="2" fillId="3" borderId="10" xfId="0" applyNumberFormat="1" applyFont="1" applyFill="1" applyBorder="1" applyAlignment="1">
      <alignment horizontal="right"/>
    </xf>
    <xf numFmtId="44" fontId="2" fillId="13" borderId="1" xfId="0" applyNumberFormat="1" applyFont="1" applyFill="1" applyBorder="1" applyAlignment="1">
      <alignment horizontal="right"/>
    </xf>
    <xf numFmtId="44" fontId="2" fillId="13" borderId="11" xfId="0" applyNumberFormat="1" applyFont="1" applyFill="1" applyBorder="1" applyAlignment="1">
      <alignment horizontal="right"/>
    </xf>
    <xf numFmtId="3" fontId="6" fillId="16" borderId="10" xfId="0" applyNumberFormat="1" applyFont="1" applyFill="1" applyBorder="1" applyAlignment="1">
      <alignment horizontal="right"/>
    </xf>
    <xf numFmtId="44" fontId="6" fillId="16" borderId="1" xfId="0" applyNumberFormat="1" applyFont="1" applyFill="1" applyBorder="1" applyAlignment="1">
      <alignment horizontal="right"/>
    </xf>
    <xf numFmtId="4" fontId="6" fillId="16" borderId="1" xfId="0" applyNumberFormat="1" applyFont="1" applyFill="1" applyBorder="1" applyAlignment="1">
      <alignment horizontal="right"/>
    </xf>
    <xf numFmtId="4" fontId="6" fillId="16" borderId="10" xfId="0" applyNumberFormat="1" applyFont="1" applyFill="1" applyBorder="1" applyAlignment="1">
      <alignment horizontal="right"/>
    </xf>
    <xf numFmtId="44" fontId="6" fillId="0" borderId="10" xfId="0" applyNumberFormat="1" applyFont="1" applyBorder="1" applyAlignment="1">
      <alignment horizontal="center"/>
    </xf>
    <xf numFmtId="44" fontId="6" fillId="0" borderId="1" xfId="0" applyNumberFormat="1" applyFont="1" applyBorder="1" applyAlignment="1">
      <alignment horizontal="center"/>
    </xf>
    <xf numFmtId="9" fontId="6" fillId="0" borderId="1" xfId="2" applyFont="1" applyBorder="1" applyAlignment="1">
      <alignment horizontal="center"/>
    </xf>
    <xf numFmtId="0" fontId="0" fillId="0" borderId="2" xfId="0" applyBorder="1" applyAlignment="1">
      <alignment horizontal="left" vertical="top" indent="2"/>
    </xf>
    <xf numFmtId="0" fontId="0" fillId="0" borderId="2" xfId="0" applyBorder="1" applyAlignment="1">
      <alignment horizontal="left" indent="2"/>
    </xf>
    <xf numFmtId="44" fontId="0" fillId="3" borderId="0" xfId="0" applyNumberFormat="1" applyFill="1" applyAlignment="1">
      <alignment horizontal="left"/>
    </xf>
    <xf numFmtId="0" fontId="23" fillId="4" borderId="0" xfId="0" applyFont="1" applyFill="1" applyAlignment="1">
      <alignment wrapText="1"/>
    </xf>
    <xf numFmtId="0" fontId="2" fillId="4" borderId="0" xfId="0" applyFont="1" applyFill="1"/>
    <xf numFmtId="166" fontId="0" fillId="0" borderId="49" xfId="4" applyNumberFormat="1" applyFont="1" applyBorder="1"/>
    <xf numFmtId="166" fontId="0" fillId="0" borderId="50" xfId="4" applyNumberFormat="1" applyFont="1" applyBorder="1"/>
    <xf numFmtId="3" fontId="0" fillId="8" borderId="0" xfId="0" applyNumberFormat="1" applyFill="1"/>
    <xf numFmtId="0" fontId="0" fillId="8" borderId="0" xfId="0" applyFill="1" applyAlignment="1">
      <alignment horizontal="left" indent="2"/>
    </xf>
    <xf numFmtId="3" fontId="0" fillId="8" borderId="0" xfId="0" applyNumberFormat="1" applyFill="1" applyAlignment="1">
      <alignment horizontal="left" indent="2"/>
    </xf>
    <xf numFmtId="0" fontId="7" fillId="22" borderId="26" xfId="0" applyFont="1" applyFill="1" applyBorder="1" applyAlignment="1">
      <alignment horizontal="center" wrapText="1"/>
    </xf>
    <xf numFmtId="166" fontId="1" fillId="0" borderId="0" xfId="4" applyNumberFormat="1" applyFont="1" applyFill="1" applyBorder="1" applyAlignment="1">
      <alignment horizontal="center"/>
    </xf>
    <xf numFmtId="166" fontId="26" fillId="0" borderId="0" xfId="4" applyNumberFormat="1" applyFont="1" applyFill="1" applyBorder="1" applyAlignment="1">
      <alignment horizontal="center"/>
    </xf>
    <xf numFmtId="166" fontId="1" fillId="3" borderId="10" xfId="4" applyNumberFormat="1" applyFont="1" applyFill="1" applyBorder="1" applyAlignment="1">
      <alignment horizontal="center"/>
    </xf>
    <xf numFmtId="166" fontId="6" fillId="16" borderId="10" xfId="4" applyNumberFormat="1" applyFont="1" applyFill="1" applyBorder="1" applyAlignment="1">
      <alignment horizontal="center"/>
    </xf>
    <xf numFmtId="0" fontId="6" fillId="16" borderId="2" xfId="0" applyFont="1" applyFill="1" applyBorder="1" applyAlignment="1">
      <alignment horizontal="center"/>
    </xf>
    <xf numFmtId="3" fontId="0" fillId="3" borderId="10" xfId="0" applyNumberFormat="1" applyFill="1" applyBorder="1" applyAlignment="1">
      <alignment horizontal="center"/>
    </xf>
    <xf numFmtId="0" fontId="6" fillId="16" borderId="1" xfId="0" applyFont="1" applyFill="1" applyBorder="1" applyAlignment="1">
      <alignment horizontal="center"/>
    </xf>
    <xf numFmtId="3" fontId="4" fillId="3" borderId="10" xfId="0" applyNumberFormat="1" applyFont="1" applyFill="1" applyBorder="1" applyAlignment="1">
      <alignment horizontal="center"/>
    </xf>
    <xf numFmtId="44" fontId="4" fillId="3" borderId="1" xfId="0" applyNumberFormat="1" applyFont="1" applyFill="1" applyBorder="1" applyAlignment="1">
      <alignment horizontal="center"/>
    </xf>
    <xf numFmtId="44" fontId="4" fillId="3" borderId="11" xfId="0" applyNumberFormat="1" applyFont="1" applyFill="1" applyBorder="1" applyAlignment="1">
      <alignment horizontal="center"/>
    </xf>
    <xf numFmtId="166" fontId="6" fillId="3" borderId="10" xfId="4" applyNumberFormat="1" applyFont="1" applyFill="1" applyBorder="1" applyAlignment="1">
      <alignment horizontal="center"/>
    </xf>
    <xf numFmtId="0" fontId="6" fillId="3" borderId="2" xfId="0" applyFont="1" applyFill="1" applyBorder="1" applyAlignment="1">
      <alignment horizontal="center"/>
    </xf>
    <xf numFmtId="0" fontId="6" fillId="3" borderId="1" xfId="0" applyFont="1" applyFill="1" applyBorder="1" applyAlignment="1">
      <alignment horizontal="center"/>
    </xf>
    <xf numFmtId="3" fontId="2" fillId="13" borderId="10" xfId="0" applyNumberFormat="1" applyFont="1" applyFill="1" applyBorder="1" applyAlignment="1">
      <alignment horizontal="center"/>
    </xf>
    <xf numFmtId="0" fontId="4" fillId="16" borderId="2" xfId="0" applyFont="1" applyFill="1" applyBorder="1" applyAlignment="1"/>
    <xf numFmtId="9" fontId="2" fillId="16" borderId="3" xfId="2" applyFont="1" applyFill="1" applyBorder="1" applyAlignment="1">
      <alignment horizontal="center"/>
    </xf>
    <xf numFmtId="0" fontId="8" fillId="0" borderId="0" xfId="0" applyFont="1" applyAlignment="1">
      <alignment vertical="top" wrapText="1"/>
    </xf>
    <xf numFmtId="0" fontId="0" fillId="0" borderId="0" xfId="0" applyFill="1"/>
    <xf numFmtId="0" fontId="0" fillId="0" borderId="0" xfId="0" applyFill="1" applyAlignment="1">
      <alignment wrapText="1"/>
    </xf>
    <xf numFmtId="9" fontId="0" fillId="0" borderId="0" xfId="2" applyFont="1" applyAlignment="1">
      <alignment horizontal="center"/>
    </xf>
    <xf numFmtId="0" fontId="6" fillId="0" borderId="0" xfId="0" applyFont="1" applyAlignment="1">
      <alignment horizontal="center"/>
    </xf>
    <xf numFmtId="9" fontId="6" fillId="0" borderId="1" xfId="2" applyFont="1" applyBorder="1" applyAlignment="1">
      <alignment horizontal="right"/>
    </xf>
    <xf numFmtId="3" fontId="1" fillId="0" borderId="1" xfId="4" applyNumberFormat="1" applyFont="1" applyFill="1" applyBorder="1" applyAlignment="1" applyProtection="1">
      <alignment horizontal="right"/>
      <protection locked="0"/>
    </xf>
    <xf numFmtId="0" fontId="0" fillId="0" borderId="8" xfId="0" applyFont="1" applyBorder="1" applyAlignment="1" applyProtection="1">
      <alignment horizontal="left"/>
      <protection locked="0"/>
    </xf>
    <xf numFmtId="0" fontId="0" fillId="0" borderId="1" xfId="0" applyBorder="1"/>
    <xf numFmtId="0" fontId="2" fillId="2" borderId="0" xfId="0" applyFont="1" applyFill="1"/>
    <xf numFmtId="0" fontId="0" fillId="2" borderId="0" xfId="0" applyFill="1"/>
    <xf numFmtId="0" fontId="8" fillId="0" borderId="0" xfId="0" applyFont="1" applyAlignment="1">
      <alignment horizontal="left" vertical="top" wrapText="1"/>
    </xf>
    <xf numFmtId="0" fontId="7" fillId="22" borderId="25" xfId="0" applyFont="1" applyFill="1" applyBorder="1" applyAlignment="1">
      <alignment horizontal="center" wrapText="1"/>
    </xf>
    <xf numFmtId="0" fontId="0" fillId="0" borderId="1" xfId="0" applyBorder="1" applyAlignment="1"/>
    <xf numFmtId="0" fontId="2" fillId="0" borderId="0" xfId="0" applyFont="1" applyAlignment="1">
      <alignment horizontal="left"/>
    </xf>
    <xf numFmtId="0" fontId="0" fillId="0" borderId="0" xfId="0" applyFont="1" applyAlignment="1">
      <alignment horizontal="left"/>
    </xf>
    <xf numFmtId="0" fontId="0" fillId="3" borderId="0" xfId="0" applyFont="1" applyFill="1" applyAlignment="1">
      <alignment horizontal="left"/>
    </xf>
    <xf numFmtId="0" fontId="0" fillId="0" borderId="0" xfId="0" applyFont="1" applyAlignment="1">
      <alignment horizontal="left" vertical="top" wrapText="1"/>
    </xf>
    <xf numFmtId="0" fontId="0" fillId="0" borderId="3" xfId="0" applyFont="1" applyBorder="1" applyAlignment="1">
      <alignment horizontal="left"/>
    </xf>
    <xf numFmtId="0" fontId="0" fillId="0" borderId="3" xfId="0" applyFont="1" applyBorder="1" applyAlignment="1">
      <alignment horizontal="left" wrapText="1"/>
    </xf>
    <xf numFmtId="0" fontId="0" fillId="0" borderId="9" xfId="0" applyFont="1" applyBorder="1" applyAlignment="1">
      <alignment horizontal="left" wrapText="1"/>
    </xf>
    <xf numFmtId="0" fontId="0" fillId="3" borderId="0" xfId="0" applyFont="1" applyFill="1" applyAlignment="1">
      <alignment wrapText="1"/>
    </xf>
    <xf numFmtId="0" fontId="0" fillId="0" borderId="0" xfId="0" applyFont="1" applyAlignment="1">
      <alignment horizontal="left" wrapText="1"/>
    </xf>
    <xf numFmtId="0" fontId="0" fillId="3" borderId="0" xfId="0" applyFont="1" applyFill="1" applyAlignment="1">
      <alignment vertical="center" wrapText="1"/>
    </xf>
    <xf numFmtId="0" fontId="4" fillId="10" borderId="4" xfId="0" applyFont="1" applyFill="1" applyBorder="1" applyAlignment="1">
      <alignment horizontal="left" vertical="center" wrapText="1"/>
    </xf>
    <xf numFmtId="0" fontId="4" fillId="10" borderId="6" xfId="0" applyFont="1" applyFill="1" applyBorder="1" applyAlignment="1">
      <alignment horizontal="left" vertical="center" wrapText="1"/>
    </xf>
    <xf numFmtId="0" fontId="6" fillId="0" borderId="9" xfId="0" applyFont="1" applyBorder="1" applyAlignment="1">
      <alignment horizontal="left" vertical="center" wrapText="1"/>
    </xf>
    <xf numFmtId="1" fontId="6" fillId="0" borderId="2" xfId="0" applyNumberFormat="1" applyFont="1" applyBorder="1" applyAlignment="1">
      <alignment horizontal="left" vertical="center" wrapText="1"/>
    </xf>
    <xf numFmtId="1" fontId="6" fillId="0" borderId="7" xfId="0" applyNumberFormat="1" applyFont="1" applyBorder="1" applyAlignment="1">
      <alignment horizontal="left" vertical="center" wrapText="1"/>
    </xf>
    <xf numFmtId="1" fontId="6" fillId="0" borderId="0" xfId="0" applyNumberFormat="1" applyFont="1" applyAlignment="1">
      <alignment horizontal="left" vertical="center" wrapText="1"/>
    </xf>
    <xf numFmtId="0" fontId="0" fillId="0" borderId="1" xfId="0" applyFont="1" applyBorder="1" applyAlignment="1">
      <alignment horizontal="left" wrapText="1"/>
    </xf>
    <xf numFmtId="0" fontId="4" fillId="10" borderId="21" xfId="0" applyFont="1" applyFill="1" applyBorder="1" applyAlignment="1">
      <alignment horizontal="left" vertical="center" wrapText="1"/>
    </xf>
    <xf numFmtId="0" fontId="4" fillId="10" borderId="13" xfId="0" applyFont="1" applyFill="1" applyBorder="1" applyAlignment="1">
      <alignment horizontal="left" vertical="center" wrapText="1"/>
    </xf>
    <xf numFmtId="0" fontId="0" fillId="0" borderId="1" xfId="0" applyFont="1" applyBorder="1" applyAlignment="1">
      <alignment wrapText="1"/>
    </xf>
    <xf numFmtId="1" fontId="6" fillId="0" borderId="1" xfId="0" applyNumberFormat="1" applyFont="1" applyBorder="1" applyAlignment="1">
      <alignment horizontal="left" vertical="center" wrapText="1"/>
    </xf>
    <xf numFmtId="0" fontId="0" fillId="0" borderId="1" xfId="0" applyFont="1" applyBorder="1"/>
    <xf numFmtId="0" fontId="0" fillId="3" borderId="0" xfId="0" applyFont="1" applyFill="1" applyAlignment="1">
      <alignment horizontal="left" vertical="center" indent="1"/>
    </xf>
    <xf numFmtId="0" fontId="0" fillId="0" borderId="1" xfId="0" applyFont="1" applyBorder="1" applyAlignment="1"/>
    <xf numFmtId="1" fontId="6" fillId="0" borderId="1" xfId="0" applyNumberFormat="1" applyFont="1" applyFill="1" applyBorder="1" applyAlignment="1">
      <alignment horizontal="left" vertical="center" wrapText="1"/>
    </xf>
    <xf numFmtId="0" fontId="6" fillId="2" borderId="0" xfId="0" applyFont="1" applyFill="1" applyAlignment="1">
      <alignment horizontal="left" vertical="center" wrapText="1"/>
    </xf>
    <xf numFmtId="0" fontId="0" fillId="0" borderId="0" xfId="0" applyFont="1" applyFill="1" applyAlignment="1">
      <alignment vertical="center" wrapText="1"/>
    </xf>
    <xf numFmtId="0" fontId="4" fillId="12" borderId="11" xfId="0" applyFont="1" applyFill="1" applyBorder="1" applyAlignment="1">
      <alignment horizontal="left" vertical="center" wrapText="1"/>
    </xf>
    <xf numFmtId="0" fontId="4" fillId="12" borderId="33" xfId="0" applyFont="1" applyFill="1" applyBorder="1" applyAlignment="1">
      <alignment horizontal="left" vertical="center" wrapText="1"/>
    </xf>
    <xf numFmtId="0" fontId="4" fillId="12" borderId="10" xfId="0" applyFont="1" applyFill="1" applyBorder="1" applyAlignment="1">
      <alignment horizontal="left" vertical="center" wrapText="1"/>
    </xf>
    <xf numFmtId="0" fontId="0" fillId="2" borderId="33" xfId="0" applyFont="1" applyFill="1" applyBorder="1" applyAlignment="1">
      <alignment horizontal="left" vertical="center" wrapText="1"/>
    </xf>
    <xf numFmtId="0" fontId="0" fillId="2" borderId="10" xfId="0" applyFont="1" applyFill="1" applyBorder="1" applyAlignment="1">
      <alignment horizontal="left" vertical="center" wrapText="1"/>
    </xf>
    <xf numFmtId="0" fontId="0" fillId="3" borderId="33" xfId="0" applyFont="1" applyFill="1" applyBorder="1" applyAlignment="1">
      <alignment horizontal="left" vertical="center" wrapText="1"/>
    </xf>
    <xf numFmtId="0" fontId="0" fillId="3" borderId="10" xfId="0" applyFont="1" applyFill="1" applyBorder="1" applyAlignment="1">
      <alignment horizontal="left" vertical="center" wrapText="1"/>
    </xf>
    <xf numFmtId="0" fontId="6" fillId="2" borderId="33"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0" fillId="3" borderId="0" xfId="0" applyFont="1" applyFill="1" applyAlignment="1">
      <alignment horizontal="left" wrapText="1"/>
    </xf>
    <xf numFmtId="0" fontId="0" fillId="0" borderId="0" xfId="0" applyFont="1" applyAlignment="1">
      <alignment horizontal="left" vertical="top"/>
    </xf>
    <xf numFmtId="0" fontId="0" fillId="3" borderId="0" xfId="0" applyFont="1" applyFill="1" applyAlignment="1">
      <alignment horizontal="left" vertical="top"/>
    </xf>
    <xf numFmtId="0" fontId="0" fillId="0" borderId="0" xfId="0" applyFont="1" applyAlignment="1">
      <alignment vertical="top"/>
    </xf>
    <xf numFmtId="0" fontId="0" fillId="0" borderId="0" xfId="0" applyFont="1" applyAlignment="1">
      <alignment horizontal="left" vertical="top" indent="2"/>
    </xf>
    <xf numFmtId="1" fontId="0" fillId="0" borderId="0" xfId="0" applyNumberFormat="1" applyFont="1" applyAlignment="1">
      <alignment horizontal="left" vertical="top"/>
    </xf>
    <xf numFmtId="1" fontId="0" fillId="3" borderId="0" xfId="0" applyNumberFormat="1" applyFont="1" applyFill="1" applyAlignment="1">
      <alignment horizontal="left" vertical="top"/>
    </xf>
    <xf numFmtId="0" fontId="0" fillId="0" borderId="1" xfId="0" applyFont="1" applyBorder="1" applyAlignment="1">
      <alignment horizontal="left" vertical="top"/>
    </xf>
    <xf numFmtId="0" fontId="0" fillId="0" borderId="0" xfId="0" applyFont="1"/>
    <xf numFmtId="0" fontId="22" fillId="0" borderId="1" xfId="3" quotePrefix="1" applyFont="1" applyBorder="1" applyAlignment="1">
      <alignment horizontal="left" vertical="top"/>
    </xf>
    <xf numFmtId="0" fontId="22" fillId="0" borderId="1" xfId="3" applyFont="1" applyBorder="1" applyAlignment="1">
      <alignment horizontal="left" vertical="top"/>
    </xf>
    <xf numFmtId="0" fontId="0" fillId="0" borderId="13" xfId="0" applyFont="1" applyBorder="1" applyAlignment="1">
      <alignment horizontal="right"/>
    </xf>
    <xf numFmtId="0" fontId="0" fillId="0" borderId="22" xfId="0" applyFont="1" applyBorder="1" applyAlignment="1">
      <alignment horizontal="right"/>
    </xf>
    <xf numFmtId="0" fontId="6" fillId="9" borderId="1" xfId="1" applyNumberFormat="1" applyFont="1" applyFill="1" applyBorder="1" applyAlignment="1" applyProtection="1">
      <alignment horizontal="right"/>
      <protection locked="0"/>
    </xf>
    <xf numFmtId="0" fontId="27" fillId="0" borderId="1" xfId="0" applyFont="1" applyFill="1" applyBorder="1" applyAlignment="1">
      <alignment horizontal="right"/>
    </xf>
    <xf numFmtId="0" fontId="0" fillId="0" borderId="13" xfId="0" applyFont="1" applyFill="1" applyBorder="1" applyAlignment="1">
      <alignment horizontal="right"/>
    </xf>
    <xf numFmtId="0" fontId="0" fillId="0" borderId="22" xfId="0" applyFont="1" applyFill="1" applyBorder="1" applyAlignment="1">
      <alignment horizontal="right"/>
    </xf>
    <xf numFmtId="0" fontId="27" fillId="0" borderId="8" xfId="0" applyFont="1" applyFill="1" applyBorder="1" applyAlignment="1">
      <alignment horizontal="right"/>
    </xf>
    <xf numFmtId="0" fontId="0" fillId="0" borderId="0" xfId="0" applyAlignment="1">
      <alignment horizontal="left" vertical="center" wrapText="1" indent="2"/>
    </xf>
    <xf numFmtId="0" fontId="0" fillId="0" borderId="0" xfId="0" applyFont="1" applyAlignment="1">
      <alignment horizontal="left" vertical="top" wrapText="1"/>
    </xf>
    <xf numFmtId="0" fontId="6" fillId="13" borderId="14" xfId="0" applyFont="1" applyFill="1" applyBorder="1" applyAlignment="1">
      <alignment horizontal="left" vertical="center" wrapText="1"/>
    </xf>
    <xf numFmtId="0" fontId="6" fillId="13" borderId="15" xfId="0" applyFont="1" applyFill="1" applyBorder="1" applyAlignment="1">
      <alignment horizontal="left" vertical="center" wrapText="1"/>
    </xf>
    <xf numFmtId="0" fontId="0" fillId="0" borderId="0" xfId="0" applyFont="1" applyAlignment="1">
      <alignment horizontal="left" vertical="top" wrapText="1" indent="2"/>
    </xf>
    <xf numFmtId="0" fontId="0" fillId="0" borderId="0" xfId="0" applyFont="1" applyAlignment="1">
      <alignment horizontal="left" wrapText="1"/>
    </xf>
    <xf numFmtId="0" fontId="0" fillId="2" borderId="11" xfId="0" applyFont="1" applyFill="1" applyBorder="1" applyAlignment="1">
      <alignment horizontal="left" vertical="center" wrapText="1"/>
    </xf>
    <xf numFmtId="0" fontId="0" fillId="3" borderId="11" xfId="0" applyFont="1" applyFill="1" applyBorder="1" applyAlignment="1">
      <alignment horizontal="left" vertical="center" wrapText="1"/>
    </xf>
    <xf numFmtId="0" fontId="6" fillId="2" borderId="11" xfId="0" applyFont="1" applyFill="1" applyBorder="1" applyAlignment="1">
      <alignment horizontal="left" vertical="center" wrapText="1"/>
    </xf>
    <xf numFmtId="1" fontId="4" fillId="0" borderId="0" xfId="0" applyNumberFormat="1" applyFont="1" applyAlignment="1">
      <alignment horizontal="left" vertical="center" wrapText="1"/>
    </xf>
    <xf numFmtId="0" fontId="2" fillId="0" borderId="0" xfId="0" applyFont="1" applyAlignment="1">
      <alignment horizontal="left" vertical="center" wrapText="1"/>
    </xf>
    <xf numFmtId="0" fontId="4" fillId="0" borderId="0" xfId="0" applyFont="1" applyAlignment="1">
      <alignment horizontal="left" vertical="center" wrapText="1"/>
    </xf>
    <xf numFmtId="0" fontId="4" fillId="24" borderId="0" xfId="0" applyFont="1" applyFill="1" applyAlignment="1">
      <alignment wrapText="1"/>
    </xf>
    <xf numFmtId="0" fontId="4" fillId="8" borderId="0" xfId="0" applyFont="1" applyFill="1" applyAlignment="1">
      <alignment horizontal="left" wrapText="1"/>
    </xf>
    <xf numFmtId="0" fontId="4" fillId="6" borderId="0" xfId="0" applyFont="1" applyFill="1" applyAlignment="1"/>
    <xf numFmtId="0" fontId="4" fillId="6" borderId="0" xfId="0" applyFont="1" applyFill="1" applyAlignment="1">
      <alignment horizontal="left" wrapText="1"/>
    </xf>
    <xf numFmtId="0" fontId="6" fillId="0" borderId="0" xfId="0" applyFont="1" applyAlignment="1">
      <alignment wrapText="1"/>
    </xf>
    <xf numFmtId="0" fontId="3" fillId="3" borderId="0" xfId="0" applyFont="1" applyFill="1" applyAlignment="1">
      <alignment horizontal="left"/>
    </xf>
    <xf numFmtId="0" fontId="4" fillId="14" borderId="0" xfId="0" applyFont="1" applyFill="1" applyAlignment="1">
      <alignment horizontal="left" wrapText="1"/>
    </xf>
    <xf numFmtId="0" fontId="4" fillId="11" borderId="0" xfId="0" applyFont="1" applyFill="1" applyAlignment="1">
      <alignment horizontal="left" wrapText="1"/>
    </xf>
    <xf numFmtId="0" fontId="7" fillId="22" borderId="37" xfId="0" applyFont="1" applyFill="1" applyBorder="1" applyAlignment="1">
      <alignment horizontal="center" vertical="center"/>
    </xf>
    <xf numFmtId="0" fontId="7" fillId="22" borderId="26" xfId="0" applyFont="1" applyFill="1" applyBorder="1" applyAlignment="1">
      <alignment horizontal="center" vertical="center"/>
    </xf>
    <xf numFmtId="0" fontId="23" fillId="4" borderId="16"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7" fillId="20" borderId="16" xfId="0" applyFont="1" applyFill="1" applyBorder="1" applyAlignment="1">
      <alignment horizontal="center" vertical="center"/>
    </xf>
    <xf numFmtId="0" fontId="7" fillId="20" borderId="25" xfId="0" applyFont="1" applyFill="1" applyBorder="1" applyAlignment="1">
      <alignment horizontal="center" vertical="center"/>
    </xf>
    <xf numFmtId="0" fontId="7" fillId="20" borderId="29" xfId="0" applyFont="1" applyFill="1" applyBorder="1" applyAlignment="1">
      <alignment horizontal="center" vertical="center"/>
    </xf>
    <xf numFmtId="0" fontId="7" fillId="4" borderId="3" xfId="0" applyFont="1" applyFill="1" applyBorder="1" applyAlignment="1">
      <alignment horizontal="left"/>
    </xf>
    <xf numFmtId="0" fontId="7" fillId="4" borderId="28" xfId="0" applyFont="1" applyFill="1" applyBorder="1" applyAlignment="1">
      <alignment horizontal="left"/>
    </xf>
    <xf numFmtId="0" fontId="7" fillId="4" borderId="1" xfId="0" applyFont="1" applyFill="1" applyBorder="1" applyAlignment="1">
      <alignment horizontal="left" wrapText="1"/>
    </xf>
    <xf numFmtId="0" fontId="7" fillId="4" borderId="12" xfId="0" applyFont="1" applyFill="1" applyBorder="1" applyAlignment="1">
      <alignment horizontal="left" wrapText="1"/>
    </xf>
    <xf numFmtId="0" fontId="7" fillId="4" borderId="3" xfId="0" applyFont="1" applyFill="1" applyBorder="1" applyAlignment="1">
      <alignment horizontal="left" wrapText="1"/>
    </xf>
    <xf numFmtId="0" fontId="7" fillId="4" borderId="28" xfId="0" applyFont="1" applyFill="1" applyBorder="1" applyAlignment="1">
      <alignment horizontal="left" wrapText="1"/>
    </xf>
    <xf numFmtId="0" fontId="28" fillId="0" borderId="19" xfId="0" applyFont="1" applyBorder="1" applyAlignment="1">
      <alignment horizontal="left" wrapText="1"/>
    </xf>
    <xf numFmtId="0" fontId="0" fillId="8" borderId="0" xfId="0" applyFill="1" applyAlignment="1">
      <alignment vertical="top" wrapText="1"/>
    </xf>
    <xf numFmtId="0" fontId="7" fillId="4" borderId="1" xfId="0" applyFont="1" applyFill="1" applyBorder="1" applyAlignment="1">
      <alignment horizontal="left"/>
    </xf>
    <xf numFmtId="0" fontId="7" fillId="20" borderId="10" xfId="0" applyFont="1" applyFill="1" applyBorder="1" applyAlignment="1">
      <alignment horizontal="center"/>
    </xf>
    <xf numFmtId="0" fontId="7" fillId="20" borderId="1" xfId="0" applyFont="1" applyFill="1" applyBorder="1" applyAlignment="1">
      <alignment horizontal="center"/>
    </xf>
    <xf numFmtId="0" fontId="7" fillId="20" borderId="11" xfId="0" applyFont="1" applyFill="1" applyBorder="1" applyAlignment="1">
      <alignment horizontal="center"/>
    </xf>
    <xf numFmtId="0" fontId="7" fillId="21" borderId="3" xfId="0" applyFont="1" applyFill="1" applyBorder="1" applyAlignment="1">
      <alignment horizontal="left" wrapText="1"/>
    </xf>
    <xf numFmtId="0" fontId="7" fillId="20" borderId="16" xfId="0" applyFont="1" applyFill="1" applyBorder="1" applyAlignment="1">
      <alignment horizontal="center"/>
    </xf>
    <xf numFmtId="0" fontId="7" fillId="20" borderId="29" xfId="0" applyFont="1" applyFill="1" applyBorder="1" applyAlignment="1">
      <alignment horizontal="center"/>
    </xf>
    <xf numFmtId="0" fontId="7" fillId="22" borderId="16" xfId="0" applyFont="1" applyFill="1" applyBorder="1" applyAlignment="1">
      <alignment horizontal="center"/>
    </xf>
    <xf numFmtId="0" fontId="7" fillId="22" borderId="2" xfId="0" applyFont="1" applyFill="1" applyBorder="1" applyAlignment="1">
      <alignment horizontal="center"/>
    </xf>
    <xf numFmtId="0" fontId="0" fillId="8" borderId="26" xfId="0" applyFill="1" applyBorder="1" applyAlignment="1">
      <alignment horizontal="left" wrapText="1" indent="2"/>
    </xf>
    <xf numFmtId="0" fontId="7" fillId="20" borderId="3" xfId="0" applyFont="1" applyFill="1" applyBorder="1" applyAlignment="1">
      <alignment horizontal="center"/>
    </xf>
    <xf numFmtId="0" fontId="7" fillId="20" borderId="25" xfId="0" applyFont="1" applyFill="1" applyBorder="1" applyAlignment="1">
      <alignment horizontal="center"/>
    </xf>
    <xf numFmtId="0" fontId="7" fillId="20" borderId="2" xfId="0" applyFont="1" applyFill="1" applyBorder="1" applyAlignment="1">
      <alignment horizontal="center"/>
    </xf>
    <xf numFmtId="0" fontId="0" fillId="8" borderId="26" xfId="0" applyFill="1" applyBorder="1" applyAlignment="1"/>
    <xf numFmtId="0" fontId="7" fillId="22" borderId="25" xfId="0" applyFont="1" applyFill="1" applyBorder="1" applyAlignment="1">
      <alignment horizontal="center"/>
    </xf>
    <xf numFmtId="0" fontId="7" fillId="22" borderId="6" xfId="0" applyFont="1" applyFill="1" applyBorder="1" applyAlignment="1">
      <alignment horizontal="center"/>
    </xf>
    <xf numFmtId="0" fontId="7" fillId="22" borderId="26" xfId="0" applyFont="1" applyFill="1" applyBorder="1" applyAlignment="1">
      <alignment horizontal="center"/>
    </xf>
    <xf numFmtId="0" fontId="0" fillId="8" borderId="26" xfId="0" applyFill="1" applyBorder="1" applyAlignment="1">
      <alignment wrapText="1"/>
    </xf>
    <xf numFmtId="0" fontId="7" fillId="22" borderId="16" xfId="0" applyFont="1" applyFill="1" applyBorder="1" applyAlignment="1">
      <alignment horizontal="center" vertical="center"/>
    </xf>
    <xf numFmtId="0" fontId="7" fillId="22" borderId="10" xfId="0" applyFont="1" applyFill="1" applyBorder="1" applyAlignment="1">
      <alignment horizontal="center" vertical="center"/>
    </xf>
    <xf numFmtId="0" fontId="7" fillId="22" borderId="10" xfId="0" applyFont="1" applyFill="1" applyBorder="1" applyAlignment="1">
      <alignment horizontal="center"/>
    </xf>
    <xf numFmtId="0" fontId="7" fillId="22" borderId="1" xfId="0" applyFont="1" applyFill="1" applyBorder="1" applyAlignment="1">
      <alignment horizontal="center"/>
    </xf>
    <xf numFmtId="0" fontId="0" fillId="8" borderId="0" xfId="0" applyFill="1" applyAlignment="1">
      <alignment wrapText="1"/>
    </xf>
    <xf numFmtId="0" fontId="0" fillId="8" borderId="0" xfId="0" applyFill="1" applyAlignment="1">
      <alignment horizontal="left" wrapText="1" indent="2"/>
    </xf>
    <xf numFmtId="0" fontId="0" fillId="8" borderId="0" xfId="0" applyFill="1" applyAlignment="1">
      <alignment horizontal="left" vertical="top" wrapText="1" indent="2"/>
    </xf>
    <xf numFmtId="0" fontId="7" fillId="22" borderId="25" xfId="0" applyFont="1" applyFill="1" applyBorder="1" applyAlignment="1">
      <alignment horizontal="center" vertical="center"/>
    </xf>
    <xf numFmtId="0" fontId="7" fillId="22" borderId="29" xfId="0" applyFont="1" applyFill="1" applyBorder="1" applyAlignment="1">
      <alignment horizontal="center" vertical="center"/>
    </xf>
    <xf numFmtId="0" fontId="7" fillId="20" borderId="37" xfId="0" applyFont="1" applyFill="1" applyBorder="1" applyAlignment="1">
      <alignment horizontal="center"/>
    </xf>
    <xf numFmtId="0" fontId="7" fillId="20" borderId="26" xfId="0" applyFont="1" applyFill="1" applyBorder="1" applyAlignment="1">
      <alignment horizontal="center"/>
    </xf>
    <xf numFmtId="0" fontId="23" fillId="4" borderId="3" xfId="0" applyFont="1" applyFill="1" applyBorder="1" applyAlignment="1">
      <alignment horizontal="center" vertical="center" wrapText="1"/>
    </xf>
    <xf numFmtId="0" fontId="2" fillId="0" borderId="0" xfId="0" applyFont="1" applyAlignment="1">
      <alignment wrapText="1"/>
    </xf>
    <xf numFmtId="0" fontId="8" fillId="0" borderId="0" xfId="0" applyFont="1" applyAlignment="1">
      <alignment horizontal="left" vertical="top" wrapText="1"/>
    </xf>
    <xf numFmtId="0" fontId="2" fillId="0" borderId="0" xfId="0" applyFont="1" applyAlignment="1">
      <alignment horizontal="left"/>
    </xf>
    <xf numFmtId="0" fontId="8" fillId="0" borderId="0" xfId="0" applyFont="1" applyAlignment="1">
      <alignment vertical="top" wrapText="1"/>
    </xf>
    <xf numFmtId="0" fontId="7" fillId="20" borderId="16" xfId="0" applyFont="1" applyFill="1" applyBorder="1" applyAlignment="1">
      <alignment horizontal="center" wrapText="1"/>
    </xf>
    <xf numFmtId="0" fontId="7" fillId="20" borderId="25" xfId="0" applyFont="1" applyFill="1" applyBorder="1" applyAlignment="1">
      <alignment horizontal="center" wrapText="1"/>
    </xf>
    <xf numFmtId="0" fontId="7" fillId="20" borderId="29" xfId="0" applyFont="1" applyFill="1" applyBorder="1" applyAlignment="1">
      <alignment horizontal="center" wrapText="1"/>
    </xf>
    <xf numFmtId="0" fontId="7" fillId="22" borderId="16" xfId="0" applyFont="1" applyFill="1" applyBorder="1" applyAlignment="1">
      <alignment horizontal="center" wrapText="1"/>
    </xf>
    <xf numFmtId="0" fontId="7" fillId="22" borderId="25" xfId="0" applyFont="1" applyFill="1" applyBorder="1" applyAlignment="1">
      <alignment horizontal="center" wrapText="1"/>
    </xf>
    <xf numFmtId="0" fontId="7" fillId="22" borderId="29" xfId="0" applyFont="1" applyFill="1" applyBorder="1" applyAlignment="1">
      <alignment horizontal="center" wrapText="1"/>
    </xf>
    <xf numFmtId="0" fontId="7" fillId="15" borderId="16" xfId="0" applyFont="1" applyFill="1" applyBorder="1" applyAlignment="1">
      <alignment horizontal="center" wrapText="1"/>
    </xf>
    <xf numFmtId="0" fontId="7" fillId="15" borderId="25" xfId="0" applyFont="1" applyFill="1" applyBorder="1" applyAlignment="1">
      <alignment horizontal="center" wrapText="1"/>
    </xf>
    <xf numFmtId="0" fontId="7" fillId="15" borderId="2" xfId="0" applyFont="1" applyFill="1" applyBorder="1" applyAlignment="1">
      <alignment horizontal="center" wrapText="1"/>
    </xf>
    <xf numFmtId="0" fontId="7" fillId="4" borderId="11" xfId="0" applyFont="1" applyFill="1" applyBorder="1" applyAlignment="1">
      <alignment horizontal="left"/>
    </xf>
    <xf numFmtId="0" fontId="2" fillId="3" borderId="3" xfId="0" applyFont="1" applyFill="1" applyBorder="1" applyAlignment="1">
      <alignment horizontal="right" wrapText="1"/>
    </xf>
    <xf numFmtId="0" fontId="2" fillId="3" borderId="29" xfId="0" applyFont="1" applyFill="1" applyBorder="1" applyAlignment="1">
      <alignment horizontal="right" wrapText="1"/>
    </xf>
    <xf numFmtId="0" fontId="2" fillId="3" borderId="3" xfId="0" applyFont="1" applyFill="1" applyBorder="1" applyAlignment="1">
      <alignment horizontal="right"/>
    </xf>
    <xf numFmtId="0" fontId="2" fillId="3" borderId="29" xfId="0" applyFont="1" applyFill="1" applyBorder="1" applyAlignment="1">
      <alignment horizontal="right"/>
    </xf>
    <xf numFmtId="0" fontId="7" fillId="4" borderId="8" xfId="0" applyFont="1" applyFill="1" applyBorder="1" applyAlignment="1">
      <alignment horizontal="center" wrapText="1"/>
    </xf>
    <xf numFmtId="0" fontId="7" fillId="4" borderId="5" xfId="0" applyFont="1" applyFill="1" applyBorder="1" applyAlignment="1">
      <alignment horizontal="center" wrapText="1"/>
    </xf>
    <xf numFmtId="0" fontId="7" fillId="4" borderId="18" xfId="0" applyFont="1" applyFill="1" applyBorder="1" applyAlignment="1">
      <alignment horizontal="center"/>
    </xf>
    <xf numFmtId="0" fontId="7" fillId="4" borderId="24" xfId="0" applyFont="1" applyFill="1" applyBorder="1" applyAlignment="1">
      <alignment horizontal="center"/>
    </xf>
    <xf numFmtId="0" fontId="7" fillId="19" borderId="3" xfId="0" applyFont="1" applyFill="1" applyBorder="1" applyAlignment="1">
      <alignment horizontal="right" wrapText="1"/>
    </xf>
    <xf numFmtId="0" fontId="7" fillId="19" borderId="29" xfId="0" applyFont="1" applyFill="1" applyBorder="1" applyAlignment="1">
      <alignment horizontal="right" wrapText="1"/>
    </xf>
    <xf numFmtId="0" fontId="23" fillId="19" borderId="3" xfId="0" applyFont="1" applyFill="1" applyBorder="1" applyAlignment="1">
      <alignment horizontal="right" wrapText="1"/>
    </xf>
    <xf numFmtId="0" fontId="23" fillId="19" borderId="29" xfId="0" applyFont="1" applyFill="1" applyBorder="1" applyAlignment="1">
      <alignment horizontal="right" wrapText="1"/>
    </xf>
    <xf numFmtId="0" fontId="2" fillId="3" borderId="1" xfId="0" applyFont="1" applyFill="1" applyBorder="1" applyAlignment="1">
      <alignment horizontal="right" wrapText="1"/>
    </xf>
    <xf numFmtId="0" fontId="2" fillId="3" borderId="1" xfId="0" applyFont="1" applyFill="1" applyBorder="1" applyAlignment="1">
      <alignment horizontal="right"/>
    </xf>
    <xf numFmtId="0" fontId="23" fillId="19" borderId="1" xfId="0" applyFont="1" applyFill="1" applyBorder="1" applyAlignment="1">
      <alignment horizontal="right" wrapText="1"/>
    </xf>
    <xf numFmtId="0" fontId="7" fillId="19" borderId="1" xfId="0" applyFont="1" applyFill="1" applyBorder="1" applyAlignment="1">
      <alignment horizontal="right" wrapText="1"/>
    </xf>
    <xf numFmtId="0" fontId="7" fillId="4" borderId="8" xfId="0" applyFont="1" applyFill="1" applyBorder="1" applyAlignment="1">
      <alignment horizontal="left" wrapText="1"/>
    </xf>
    <xf numFmtId="0" fontId="7" fillId="4" borderId="5" xfId="0" applyFont="1" applyFill="1" applyBorder="1" applyAlignment="1">
      <alignment horizontal="left" wrapText="1"/>
    </xf>
    <xf numFmtId="0" fontId="7" fillId="4" borderId="18" xfId="0" applyFont="1" applyFill="1" applyBorder="1" applyAlignment="1">
      <alignment horizontal="left"/>
    </xf>
    <xf numFmtId="0" fontId="7" fillId="4" borderId="24" xfId="0" applyFont="1" applyFill="1" applyBorder="1" applyAlignment="1">
      <alignment horizontal="left"/>
    </xf>
    <xf numFmtId="0" fontId="7" fillId="15" borderId="34" xfId="0" applyFont="1" applyFill="1" applyBorder="1" applyAlignment="1">
      <alignment horizontal="center" wrapText="1"/>
    </xf>
    <xf numFmtId="0" fontId="7" fillId="15" borderId="35" xfId="0" applyFont="1" applyFill="1" applyBorder="1" applyAlignment="1">
      <alignment horizontal="center" wrapText="1"/>
    </xf>
    <xf numFmtId="0" fontId="7" fillId="15" borderId="36" xfId="0" applyFont="1" applyFill="1" applyBorder="1" applyAlignment="1">
      <alignment horizontal="center" wrapText="1"/>
    </xf>
  </cellXfs>
  <cellStyles count="5">
    <cellStyle name="Comma" xfId="4" builtinId="3"/>
    <cellStyle name="Currency" xfId="1" builtinId="4"/>
    <cellStyle name="Hyperlink" xfId="3" builtinId="8"/>
    <cellStyle name="Normal" xfId="0" builtinId="0"/>
    <cellStyle name="Percent" xfId="2" builtinId="5"/>
  </cellStyles>
  <dxfs count="829">
    <dxf>
      <font>
        <color auto="1"/>
      </font>
      <fill>
        <patternFill>
          <bgColor rgb="FFFF9B9B"/>
        </patternFill>
      </fill>
    </dxf>
    <dxf>
      <font>
        <color auto="1"/>
      </font>
      <fill>
        <patternFill>
          <bgColor rgb="FFFF9B9B"/>
        </patternFill>
      </fill>
    </dxf>
    <dxf>
      <fill>
        <patternFill>
          <bgColor theme="0"/>
        </patternFill>
      </fill>
    </dxf>
    <dxf>
      <font>
        <color auto="1"/>
      </font>
      <fill>
        <patternFill>
          <bgColor rgb="FFFF9B9B"/>
        </patternFill>
      </fill>
    </dxf>
    <dxf>
      <font>
        <color auto="1"/>
      </font>
      <fill>
        <patternFill>
          <bgColor rgb="FFFF9B9B"/>
        </patternFill>
      </fill>
    </dxf>
    <dxf>
      <fill>
        <patternFill>
          <bgColor theme="0"/>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theme="9" tint="0.79998168889431442"/>
        </patternFill>
      </fill>
    </dxf>
    <dxf>
      <fill>
        <patternFill>
          <bgColor rgb="FFFF9B9B"/>
        </patternFill>
      </fill>
    </dxf>
    <dxf>
      <font>
        <color auto="1"/>
      </font>
      <fill>
        <patternFill>
          <bgColor rgb="FFFF9B9B"/>
        </patternFill>
      </fill>
    </dxf>
    <dxf>
      <font>
        <color auto="1"/>
      </font>
      <fill>
        <patternFill>
          <bgColor rgb="FFFF9B9B"/>
        </patternFill>
      </fill>
    </dxf>
    <dxf>
      <fill>
        <patternFill>
          <bgColor theme="0"/>
        </patternFill>
      </fill>
    </dxf>
    <dxf>
      <font>
        <color auto="1"/>
      </font>
      <fill>
        <patternFill>
          <bgColor rgb="FFFF9B9B"/>
        </patternFill>
      </fill>
    </dxf>
    <dxf>
      <font>
        <color auto="1"/>
      </font>
      <fill>
        <patternFill>
          <bgColor rgb="FFFF9B9B"/>
        </patternFill>
      </fill>
    </dxf>
    <dxf>
      <fill>
        <patternFill>
          <bgColor theme="0"/>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theme="9" tint="0.79998168889431442"/>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theme="9" tint="0.79998168889431442"/>
        </patternFill>
      </fill>
    </dxf>
    <dxf>
      <fill>
        <patternFill>
          <bgColor rgb="FFFF9B9B"/>
        </patternFill>
      </fill>
    </dxf>
    <dxf>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alignmen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alignment horizontal="left"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1" indent="0" justifyLastLine="0" shrinkToFit="0" readingOrder="0"/>
    </dxf>
    <dxf>
      <border outline="0">
        <bottom style="thin">
          <color rgb="FF000000"/>
        </bottom>
      </border>
    </dxf>
    <dxf>
      <alignment vertical="bottom" textRotation="0" wrapText="1" indent="0" justifyLastLine="0" shrinkToFit="0" readingOrder="0"/>
      <border diagonalUp="0" diagonalDown="0">
        <left style="thin">
          <color indexed="64"/>
        </left>
        <right style="thin">
          <color indexed="64"/>
        </right>
        <vertical style="thin">
          <color indexed="64"/>
        </vertical>
      </border>
    </dxf>
    <dxf>
      <numFmt numFmtId="164" formatCode="0.0%"/>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border>
    </dxf>
    <dxf>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alignment horizontal="left"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1" indent="0" justifyLastLine="0" shrinkToFit="0" readingOrder="0"/>
    </dxf>
    <dxf>
      <border outline="0">
        <bottom style="thin">
          <color rgb="FF000000"/>
        </bottom>
      </border>
    </dxf>
    <dxf>
      <alignment vertical="bottom" textRotation="0" wrapText="1" indent="0" justifyLastLine="0" shrinkToFit="0" readingOrder="0"/>
      <border diagonalUp="0" diagonalDown="0">
        <left style="thin">
          <color indexed="64"/>
        </left>
        <right style="thin">
          <color indexed="64"/>
        </right>
        <vertical style="thin">
          <color indexed="64"/>
        </vertical>
      </border>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outline="0">
        <bottom style="thin">
          <color rgb="FF000000"/>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bottom style="thin">
          <color rgb="FF000000"/>
        </bottom>
      </border>
    </dxf>
    <dxf>
      <alignment vertical="bottom" textRotation="0" wrapText="1"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outline="0">
        <bottom style="thin">
          <color rgb="FF000000"/>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outline="0">
        <bottom style="thin">
          <color rgb="FF000000"/>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outline="0">
        <bottom style="thin">
          <color rgb="FF000000"/>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ill>
        <patternFill patternType="solid">
          <fgColor indexed="64"/>
          <bgColor theme="7"/>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outline="0">
        <bottom style="thin">
          <color rgb="FF000000"/>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outline="0">
        <bottom style="thin">
          <color rgb="FF000000"/>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outline="0">
        <bottom style="thin">
          <color rgb="FF000000"/>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bottom style="thin">
          <color rgb="FF000000"/>
        </bottom>
      </border>
    </dxf>
    <dxf>
      <alignment vertical="bottom" textRotation="0" wrapText="1"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outline="0">
        <bottom style="thin">
          <color rgb="FF000000"/>
        </bottom>
      </border>
    </dxf>
    <dxf>
      <alignment vertical="bottom" textRotation="0" wrapText="1" indent="0" justifyLastLine="0" shrinkToFit="0" readingOrder="0"/>
    </dxf>
    <dxf>
      <numFmt numFmtId="13" formatCode="0%"/>
      <alignment vertical="bottom" textRotation="0" wrapText="0" indent="0" justifyLastLine="0" shrinkToFit="0" readingOrder="0"/>
      <border diagonalUp="0" diagonalDown="0" outline="0">
        <left style="thin">
          <color indexed="64"/>
        </left>
        <right/>
        <top style="thin">
          <color indexed="64"/>
        </top>
        <bottom style="thin">
          <color indexed="64"/>
        </bottom>
      </border>
    </dxf>
    <dxf>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0" indent="0" justifyLastLine="0" shrinkToFit="0" readingOrder="0"/>
    </dxf>
    <dxf>
      <border>
        <bottom style="thin">
          <color rgb="FF000000"/>
        </bottom>
      </border>
    </dxf>
    <dxf>
      <alignment vertical="bottom" textRotation="0" wrapText="1" indent="0" justifyLastLine="0" shrinkToFit="0" readingOrder="0"/>
      <border diagonalUp="0" diagonalDown="0" outline="0">
        <left style="thin">
          <color indexed="64"/>
        </left>
        <right style="thin">
          <color indexed="64"/>
        </right>
        <top/>
        <bottom/>
      </border>
    </dxf>
    <dxf>
      <alignment vertical="bottom" textRotation="0" wrapText="1" indent="0" justifyLastLine="0" shrinkToFit="0" readingOrder="0"/>
      <border diagonalUp="0" diagonalDown="0">
        <left style="thin">
          <color indexed="64"/>
        </left>
        <right/>
        <top style="thin">
          <color indexed="64"/>
        </top>
        <bottom style="thin">
          <color indexed="64"/>
        </bottom>
      </border>
    </dxf>
    <dxf>
      <numFmt numFmtId="3" formatCode="#,##0"/>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numFmt numFmtId="3" formatCode="#,##0"/>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alignment horizontal="left"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alignment vertical="bottom" textRotation="0" wrapText="1" indent="0" justifyLastLine="0" shrinkToFit="0" readingOrder="0"/>
    </dxf>
    <dxf>
      <border>
        <bottom style="thin">
          <color rgb="FF000000"/>
        </bottom>
      </border>
    </dxf>
    <dxf>
      <font>
        <b/>
        <i val="0"/>
        <strike val="0"/>
        <condense val="0"/>
        <extend val="0"/>
        <outline val="0"/>
        <shadow val="0"/>
        <u val="none"/>
        <vertAlign val="baseline"/>
        <sz val="11"/>
        <color theme="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border>
    </dxf>
    <dxf>
      <fill>
        <patternFill>
          <bgColor rgb="FFFF9B9B"/>
        </patternFill>
      </fill>
    </dxf>
    <dxf>
      <fill>
        <patternFill>
          <bgColor rgb="FFFF9B9B"/>
        </patternFill>
      </fill>
    </dxf>
    <dxf>
      <fill>
        <patternFill>
          <bgColor rgb="FFFF9B9B"/>
        </patternFill>
      </fill>
    </dxf>
    <dxf>
      <font>
        <color auto="1"/>
      </font>
      <fill>
        <patternFill>
          <bgColor rgb="FFFF9B9B"/>
        </patternFill>
      </fill>
    </dxf>
    <dxf>
      <font>
        <color auto="1"/>
      </font>
      <fill>
        <patternFill>
          <bgColor rgb="FFFF9B9B"/>
        </patternFill>
      </fill>
    </dxf>
    <dxf>
      <font>
        <color auto="1"/>
      </font>
      <fill>
        <patternFill>
          <bgColor rgb="FFFF9B9B"/>
        </patternFill>
      </fill>
    </dxf>
    <dxf>
      <fill>
        <patternFill>
          <bgColor rgb="FFFF9B9B"/>
        </patternFill>
      </fill>
    </dxf>
    <dxf>
      <fill>
        <patternFill patternType="none">
          <bgColor auto="1"/>
        </patternFill>
      </fill>
    </dxf>
    <dxf>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alignmen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alignment horizontal="left"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1" indent="0" justifyLastLine="0" shrinkToFit="0" readingOrder="0"/>
    </dxf>
    <dxf>
      <border outline="0">
        <bottom style="thin">
          <color indexed="64"/>
        </bottom>
      </border>
    </dxf>
    <dxf>
      <alignment vertical="bottom" textRotation="0" wrapText="1" indent="0" justifyLastLine="0" shrinkToFit="0" readingOrder="0"/>
      <border diagonalUp="0" diagonalDown="0">
        <left style="thin">
          <color indexed="64"/>
        </left>
        <right style="thin">
          <color indexed="64"/>
        </right>
        <vertical style="thin">
          <color indexed="64"/>
        </vertical>
      </border>
    </dxf>
    <dxf>
      <numFmt numFmtId="164" formatCode="0.0%"/>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border>
    </dxf>
    <dxf>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alignment horizontal="left"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1" indent="0" justifyLastLine="0" shrinkToFit="0" readingOrder="0"/>
    </dxf>
    <dxf>
      <border outline="0">
        <bottom style="thin">
          <color indexed="64"/>
        </bottom>
      </border>
    </dxf>
    <dxf>
      <alignment vertical="bottom" textRotation="0" wrapText="1" indent="0" justifyLastLine="0" shrinkToFit="0" readingOrder="0"/>
      <border diagonalUp="0" diagonalDown="0">
        <left style="thin">
          <color indexed="64"/>
        </left>
        <right style="thin">
          <color indexed="64"/>
        </right>
        <vertical style="thin">
          <color indexed="64"/>
        </vertical>
      </border>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outline="0">
        <bottom style="thin">
          <color indexed="64"/>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bottom style="thin">
          <color indexed="64"/>
        </bottom>
      </border>
    </dxf>
    <dxf>
      <alignment vertical="bottom" textRotation="0" wrapText="1"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outline="0">
        <bottom style="thin">
          <color indexed="64"/>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outline="0">
        <bottom style="thin">
          <color indexed="64"/>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outline="0">
        <bottom style="thin">
          <color indexed="64"/>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ill>
        <patternFill patternType="solid">
          <fgColor indexed="64"/>
          <bgColor theme="7"/>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outline="0">
        <bottom style="thin">
          <color indexed="64"/>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outline="0">
        <bottom style="thin">
          <color indexed="64"/>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outline="0">
        <bottom style="thin">
          <color indexed="64"/>
        </bottom>
      </border>
    </dxf>
    <dxf>
      <alignment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bottom style="thin">
          <color indexed="64"/>
        </bottom>
      </border>
    </dxf>
    <dxf>
      <alignment vertical="bottom" textRotation="0" wrapText="1" indent="0" justifyLastLine="0" shrinkToFit="0" readingOrder="0"/>
    </dxf>
    <dxf>
      <numFmt numFmtId="13" formatCode="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7"/>
        </patternFill>
      </fill>
      <alignmen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outline="0">
        <bottom style="thin">
          <color indexed="64"/>
        </bottom>
      </border>
    </dxf>
    <dxf>
      <alignment vertical="bottom" textRotation="0" wrapText="1" indent="0" justifyLastLine="0" shrinkToFit="0" readingOrder="0"/>
    </dxf>
    <dxf>
      <numFmt numFmtId="13" formatCode="0%"/>
      <alignment vertical="bottom" textRotation="0" wrapText="0" indent="0" justifyLastLine="0" shrinkToFit="0" readingOrder="0"/>
      <border diagonalUp="0" diagonalDown="0" outline="0">
        <left style="thin">
          <color indexed="64"/>
        </left>
        <right/>
        <top style="thin">
          <color indexed="64"/>
        </top>
        <bottom style="thin">
          <color indexed="64"/>
        </bottom>
      </border>
    </dxf>
    <dxf>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0" indent="0" justifyLastLine="0" shrinkToFit="0" readingOrder="0"/>
    </dxf>
    <dxf>
      <border>
        <bottom style="thin">
          <color indexed="64"/>
        </bottom>
      </border>
    </dxf>
    <dxf>
      <alignment vertical="bottom" textRotation="0" wrapText="1" indent="0" justifyLastLine="0" shrinkToFit="0" readingOrder="0"/>
      <border diagonalUp="0" diagonalDown="0" outline="0">
        <left style="thin">
          <color indexed="64"/>
        </left>
        <right style="thin">
          <color indexed="64"/>
        </right>
        <top/>
        <bottom/>
      </border>
    </dxf>
    <dxf>
      <alignment vertical="bottom" textRotation="0" wrapText="1" indent="0" justifyLastLine="0" shrinkToFit="0" readingOrder="0"/>
      <border diagonalUp="0" diagonalDown="0">
        <left style="thin">
          <color indexed="64"/>
        </left>
        <right/>
        <top style="thin">
          <color indexed="64"/>
        </top>
        <bottom style="thin">
          <color indexed="64"/>
        </bottom>
      </border>
    </dxf>
    <dxf>
      <numFmt numFmtId="3" formatCode="#,##0"/>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numFmt numFmtId="3" formatCode="#,##0"/>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alignment horizontal="left"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border>
    </dxf>
    <dxf>
      <border>
        <top style="thin">
          <color indexed="64"/>
        </top>
      </border>
    </dxf>
    <dxf>
      <border diagonalUp="0" diagonalDown="0">
        <left style="medium">
          <color indexed="64"/>
        </left>
        <right style="medium">
          <color indexed="64"/>
        </right>
        <top style="medium">
          <color indexed="64"/>
        </top>
        <bottom style="medium">
          <color indexed="64"/>
        </bottom>
      </border>
    </dxf>
    <dxf>
      <alignment vertical="bottom" textRotation="0" wrapText="1" indent="0" justifyLastLine="0" shrinkToFit="0" readingOrder="0"/>
    </dxf>
    <dxf>
      <border>
        <bottom style="thin">
          <color indexed="64"/>
        </bottom>
      </border>
    </dxf>
    <dxf>
      <font>
        <b/>
        <i val="0"/>
        <strike val="0"/>
        <condense val="0"/>
        <extend val="0"/>
        <outline val="0"/>
        <shadow val="0"/>
        <u val="none"/>
        <vertAlign val="baseline"/>
        <sz val="11"/>
        <color theme="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border>
    </dxf>
    <dxf>
      <fill>
        <patternFill>
          <bgColor rgb="FFFF9B9B"/>
        </patternFill>
      </fill>
    </dxf>
    <dxf>
      <fill>
        <patternFill>
          <fgColor rgb="FFFF7C80"/>
          <bgColor rgb="FFFF9B9B"/>
        </patternFill>
      </fill>
    </dxf>
    <dxf>
      <fill>
        <patternFill>
          <bgColor rgb="FFFF9B9B"/>
        </patternFill>
      </fill>
    </dxf>
    <dxf>
      <font>
        <color auto="1"/>
      </font>
      <fill>
        <patternFill>
          <bgColor rgb="FFFF9B9B"/>
        </patternFill>
      </fill>
    </dxf>
    <dxf>
      <font>
        <color auto="1"/>
      </font>
      <fill>
        <patternFill>
          <bgColor rgb="FFFF9B9B"/>
        </patternFill>
      </fill>
    </dxf>
    <dxf>
      <font>
        <color auto="1"/>
      </font>
      <fill>
        <patternFill>
          <bgColor rgb="FFFF9B9B"/>
        </patternFill>
      </fill>
    </dxf>
    <dxf>
      <fill>
        <patternFill>
          <bgColor rgb="FFFF9B9B"/>
        </patternFill>
      </fill>
    </dxf>
    <dxf>
      <fill>
        <patternFill patternType="none">
          <bgColor auto="1"/>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fill>
        <patternFill patternType="solid">
          <fgColor indexed="64"/>
          <bgColor theme="0" tint="-4.9989318521683403E-2"/>
        </patternFill>
      </fill>
      <border diagonalUp="0" diagonalDown="0" outline="0">
        <left style="thin">
          <color indexed="64"/>
        </left>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fill>
        <patternFill patternType="solid">
          <fgColor indexed="64"/>
          <bgColor theme="0" tint="-4.9989318521683403E-2"/>
        </patternFill>
      </fill>
      <alignment horizontal="general" vertical="bottom" textRotation="0" wrapText="1" indent="0" justifyLastLine="0" shrinkToFit="0" readingOrder="0"/>
      <border diagonalUp="0" diagonalDown="0" outline="0">
        <left/>
        <right style="thin">
          <color indexed="64"/>
        </right>
        <top style="thin">
          <color indexed="64"/>
        </top>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val="0"/>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name val="Calibri"/>
        <family val="2"/>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font>
        <strike val="0"/>
        <outline val="0"/>
        <shadow val="0"/>
        <u val="none"/>
        <vertAlign val="baseline"/>
        <name val="Calibri"/>
        <family val="2"/>
        <scheme val="minor"/>
      </font>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fill>
        <patternFill patternType="solid">
          <fgColor indexed="64"/>
          <bgColor theme="0" tint="-4.9989318521683403E-2"/>
        </patternFill>
      </fill>
      <alignment horizontal="general" vertical="bottom" textRotation="0" wrapText="1" indent="0" justifyLastLine="0" shrinkToFit="0" readingOrder="0"/>
      <border diagonalUp="0" diagonalDown="0" outline="0">
        <left/>
        <right style="thin">
          <color indexed="64"/>
        </right>
        <top style="thin">
          <color indexed="64"/>
        </top>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none"/>
      </font>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color auto="1"/>
      </font>
      <fill>
        <patternFill>
          <bgColor rgb="FFFF9B9B"/>
        </patternFill>
      </fill>
    </dxf>
    <dxf>
      <font>
        <color auto="1"/>
      </font>
      <fill>
        <patternFill>
          <bgColor rgb="FFFF9B9B"/>
        </patternFill>
      </fill>
    </dxf>
    <dxf>
      <font>
        <color auto="1"/>
      </font>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C7CE"/>
        </patternFill>
      </fill>
    </dxf>
    <dxf>
      <fill>
        <patternFill>
          <bgColor rgb="FFFF9B9B"/>
        </patternFill>
      </fill>
    </dxf>
    <dxf>
      <font>
        <color auto="1"/>
      </font>
      <fill>
        <patternFill>
          <bgColor rgb="FFFF9B9B"/>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ill>
        <patternFill>
          <bgColor rgb="FFFF9B9B"/>
        </patternFill>
      </fill>
    </dxf>
    <dxf>
      <fill>
        <patternFill>
          <bgColor rgb="FFFF9B9B"/>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theme="9" tint="0.59996337778862885"/>
        </patternFill>
      </fill>
    </dxf>
    <dxf>
      <font>
        <color auto="1"/>
      </font>
      <fill>
        <patternFill>
          <bgColor rgb="FFFF9B9B"/>
        </patternFill>
      </fill>
    </dxf>
    <dxf>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ill>
        <patternFill>
          <bgColor rgb="FFFF9999"/>
        </patternFill>
      </fill>
    </dxf>
    <dxf>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numFmt numFmtId="166" formatCode="_(* #,##0_);_(* \(#,##0\);_(* &quot;-&quot;??_);_(@_)"/>
      <fill>
        <patternFill patternType="solid">
          <fgColor indexed="64"/>
          <bgColor theme="0" tint="-4.9989318521683403E-2"/>
        </patternFill>
      </fill>
      <border diagonalUp="0" diagonalDown="0" outline="0">
        <left style="thin">
          <color indexed="64"/>
        </left>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border diagonalUp="0" diagonalDown="0" outline="0">
        <left style="thin">
          <color indexed="64"/>
        </left>
        <right style="thin">
          <color indexed="64"/>
        </right>
        <top style="thin">
          <color indexed="64"/>
        </top>
        <bottom/>
      </border>
    </dxf>
    <dxf>
      <numFmt numFmtId="166" formatCode="_(* #,##0_);_(* \(#,##0\);_(* &quot;-&quot;??_);_(@_)"/>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numFmt numFmtId="166" formatCode="_(* #,##0_);_(* \(#,##0\);_(* &quot;-&quot;??_);_(@_)"/>
      <border diagonalUp="0" diagonalDown="0" outline="0">
        <left/>
        <right style="thin">
          <color indexed="64"/>
        </right>
        <top style="thin">
          <color indexed="64"/>
        </top>
        <bottom/>
      </border>
    </dxf>
    <dxf>
      <numFmt numFmtId="166" formatCode="_(* #,##0_);_(* \(#,##0\);_(* &quot;-&quot;??_);_(@_)"/>
    </dxf>
    <dxf>
      <font>
        <b val="0"/>
        <i val="0"/>
        <strike val="0"/>
        <condense val="0"/>
        <extend val="0"/>
        <outline val="0"/>
        <shadow val="0"/>
        <u val="none"/>
        <vertAlign val="baseline"/>
        <sz val="11"/>
        <color auto="1"/>
        <name val="Calibri"/>
        <family val="2"/>
        <scheme val="minor"/>
      </font>
      <fill>
        <patternFill patternType="solid">
          <fgColor indexed="64"/>
          <bgColor theme="0" tint="-4.9989318521683403E-2"/>
        </patternFill>
      </fill>
      <alignment horizontal="general" vertical="bottom" textRotation="0" wrapText="1"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name val="Calibri"/>
        <family val="2"/>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font>
        <strike val="0"/>
        <outline val="0"/>
        <shadow val="0"/>
        <u val="none"/>
        <vertAlign val="baseline"/>
        <name val="Calibri"/>
        <family val="2"/>
        <scheme val="minor"/>
      </font>
      <fill>
        <patternFill patternType="solid">
          <fgColor indexed="64"/>
          <bgColor theme="0" tint="-4.9989318521683403E-2"/>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fill>
        <patternFill patternType="solid">
          <fgColor indexed="64"/>
          <bgColor theme="0" tint="-4.9989318521683403E-2"/>
        </patternFill>
      </fill>
      <alignment horizontal="general" vertical="bottom"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color auto="1"/>
      </font>
      <fill>
        <patternFill>
          <bgColor rgb="FFFF9B9B"/>
        </patternFill>
      </fill>
    </dxf>
    <dxf>
      <font>
        <color auto="1"/>
      </font>
      <fill>
        <patternFill>
          <bgColor rgb="FFFF9B9B"/>
        </patternFill>
      </fill>
    </dxf>
    <dxf>
      <font>
        <color auto="1"/>
      </font>
      <fill>
        <patternFill>
          <bgColor rgb="FFFF9B9B"/>
        </patternFill>
      </fill>
    </dxf>
    <dxf>
      <fill>
        <patternFill>
          <bgColor rgb="FFFF9B9B"/>
        </patternFill>
      </fill>
    </dxf>
    <dxf>
      <fill>
        <patternFill>
          <bgColor rgb="FFFF9B9B"/>
        </patternFill>
      </fill>
    </dxf>
    <dxf>
      <fill>
        <patternFill>
          <bgColor rgb="FFFF9B9B"/>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ill>
        <patternFill>
          <bgColor rgb="FFFF9B9B"/>
        </patternFill>
      </fill>
    </dxf>
    <dxf>
      <fill>
        <patternFill>
          <bgColor rgb="FFFF9B9B"/>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rgb="FFFF9B9B"/>
        </patternFill>
      </fill>
    </dxf>
    <dxf>
      <fill>
        <patternFill>
          <bgColor theme="9" tint="0.59996337778862885"/>
        </patternFill>
      </fill>
    </dxf>
    <dxf>
      <font>
        <color auto="1"/>
      </font>
      <fill>
        <patternFill>
          <bgColor rgb="FFFF9B9B"/>
        </patternFill>
      </fill>
    </dxf>
    <dxf>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ill>
        <patternFill>
          <bgColor rgb="FFFF9999"/>
        </patternFill>
      </fill>
    </dxf>
    <dxf>
      <fill>
        <patternFill>
          <bgColor theme="9" tint="0.59996337778862885"/>
        </patternFill>
      </fill>
    </dxf>
    <dxf>
      <font>
        <color auto="1"/>
      </font>
      <fill>
        <patternFill>
          <bgColor rgb="FFFF9999"/>
        </patternFill>
      </fill>
    </dxf>
    <dxf>
      <font>
        <color auto="1"/>
      </font>
      <fill>
        <patternFill>
          <bgColor theme="9" tint="0.59996337778862885"/>
        </patternFill>
      </fill>
    </dxf>
    <dxf>
      <font>
        <color auto="1"/>
      </font>
      <fill>
        <patternFill>
          <bgColor rgb="FFFF9999"/>
        </patternFill>
      </fill>
    </dxf>
    <dxf>
      <font>
        <color auto="1"/>
      </font>
      <fill>
        <patternFill>
          <bgColor theme="9" tint="0.59996337778862885"/>
        </patternFill>
      </fill>
    </dxf>
    <dxf>
      <font>
        <b val="0"/>
        <i val="0"/>
        <strike val="0"/>
        <condense val="0"/>
        <extend val="0"/>
        <outline val="0"/>
        <shadow val="0"/>
        <u val="none"/>
        <vertAlign val="baseline"/>
        <sz val="11"/>
        <color theme="1"/>
        <name val="Calibri Light"/>
        <family val="2"/>
        <scheme val="major"/>
      </font>
      <fill>
        <patternFill patternType="solid">
          <fgColor indexed="64"/>
          <bgColor theme="0" tint="-4.9989318521683403E-2"/>
        </patternFill>
      </fill>
      <alignment horizontal="left" vertical="bottom" textRotation="0" wrapText="0" indent="0" justifyLastLine="0" shrinkToFit="0" readingOrder="0"/>
      <border diagonalUp="0" diagonalDown="0" outline="0">
        <left style="thin">
          <color indexed="64"/>
        </left>
        <right/>
        <top style="thin">
          <color indexed="64"/>
        </top>
        <bottom/>
      </border>
    </dxf>
    <dxf>
      <font>
        <strike val="0"/>
        <outline val="0"/>
        <shadow val="0"/>
        <u val="none"/>
        <vertAlign val="baseline"/>
        <name val="Calibri"/>
        <family val="2"/>
        <scheme val="minor"/>
      </font>
      <alignment horizontal="left"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family val="2"/>
        <scheme val="major"/>
      </font>
      <fill>
        <patternFill patternType="solid">
          <fgColor indexed="64"/>
          <bgColor theme="0" tint="-4.9989318521683403E-2"/>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9" tint="0.59999389629810485"/>
        </patternFill>
      </fill>
      <alignment horizontal="left"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fill>
        <patternFill patternType="solid">
          <fgColor indexed="64"/>
          <bgColor theme="9" tint="0.59999389629810485"/>
        </patternFill>
      </fill>
      <alignment horizontal="left" vertical="bottom"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thin">
          <color indexed="64"/>
        </bottom>
      </border>
    </dxf>
    <dxf>
      <font>
        <strike val="0"/>
        <outline val="0"/>
        <shadow val="0"/>
        <u val="none"/>
        <vertAlign val="baseline"/>
        <name val="Calibri"/>
        <family val="2"/>
        <scheme val="minor"/>
      </font>
    </dxf>
    <dxf>
      <font>
        <strike val="0"/>
        <outline val="0"/>
        <shadow val="0"/>
        <u val="none"/>
        <vertAlign val="baseline"/>
        <name val="Calibri"/>
        <family val="2"/>
        <scheme val="minor"/>
      </font>
      <border diagonalUp="0" diagonalDown="0">
        <left style="thin">
          <color indexed="64"/>
        </left>
        <right/>
        <vertical style="thin">
          <color indexed="64"/>
        </vertical>
      </border>
    </dxf>
    <dxf>
      <font>
        <strike val="0"/>
        <outline val="0"/>
        <shadow val="0"/>
        <u val="none"/>
        <vertAlign val="baseline"/>
        <name val="Calibri"/>
        <family val="2"/>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0" hidden="0"/>
    </dxf>
    <dxf>
      <font>
        <strike val="0"/>
        <outline val="0"/>
        <shadow val="0"/>
        <u val="none"/>
        <vertAlign val="baseline"/>
        <name val="Calibri"/>
        <family val="2"/>
        <scheme val="minor"/>
      </font>
      <border diagonalUp="0" diagonalDown="0">
        <left/>
        <right style="thin">
          <color indexed="64"/>
        </right>
        <vertical style="thin">
          <color indexed="64"/>
        </vertical>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thin">
          <color indexed="64"/>
        </bottom>
      </border>
    </dxf>
    <dxf>
      <font>
        <strike val="0"/>
        <outline val="0"/>
        <shadow val="0"/>
        <u val="none"/>
        <vertAlign val="baseline"/>
        <name val="Calibri"/>
        <family val="2"/>
        <scheme val="minor"/>
      </font>
      <border diagonalUp="0" diagonalDown="0">
        <left style="thin">
          <color indexed="64"/>
        </left>
        <right style="thin">
          <color indexed="64"/>
        </right>
        <vertical style="thin">
          <color indexed="64"/>
        </vertical>
      </border>
    </dxf>
    <dxf>
      <font>
        <strike val="0"/>
        <outline val="0"/>
        <shadow val="0"/>
        <u val="none"/>
        <vertAlign val="baseline"/>
        <name val="Calibri"/>
        <family val="2"/>
        <scheme val="minor"/>
      </font>
      <alignment horizontal="left"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9" tint="0.59999389629810485"/>
        </patternFill>
      </fill>
      <alignment horizontal="left"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thin">
          <color indexed="64"/>
        </bottom>
      </border>
    </dxf>
    <dxf>
      <font>
        <strike val="0"/>
        <outline val="0"/>
        <shadow val="0"/>
        <u val="none"/>
        <vertAlign val="baseline"/>
        <name val="Calibri"/>
        <family val="2"/>
        <scheme val="minor"/>
      </font>
    </dxf>
    <dxf>
      <font>
        <strike val="0"/>
        <outline val="0"/>
        <shadow val="0"/>
        <u val="none"/>
        <vertAlign val="baseline"/>
        <name val="Calibri"/>
        <family val="2"/>
        <scheme val="minor"/>
      </font>
      <alignment horizontal="left"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9" tint="0.59999389629810485"/>
        </patternFill>
      </fill>
      <alignment horizontal="left"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thin">
          <color indexed="64"/>
        </bottom>
      </border>
    </dxf>
    <dxf>
      <font>
        <strike val="0"/>
        <outline val="0"/>
        <shadow val="0"/>
        <u val="none"/>
        <vertAlign val="baseline"/>
        <name val="Calibri"/>
        <family val="2"/>
        <scheme val="minor"/>
      </font>
    </dxf>
    <dxf>
      <font>
        <strike val="0"/>
        <outline val="0"/>
        <shadow val="0"/>
        <u val="none"/>
        <vertAlign val="baseline"/>
        <name val="Calibri"/>
        <family val="2"/>
        <scheme val="minor"/>
      </font>
      <alignment horizontal="left"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9" tint="0.59999389629810485"/>
        </patternFill>
      </fill>
      <alignment horizontal="left" vertical="bottom"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thin">
          <color indexed="64"/>
        </bottom>
      </border>
    </dxf>
    <dxf>
      <font>
        <strike val="0"/>
        <outline val="0"/>
        <shadow val="0"/>
        <u val="none"/>
        <vertAlign val="baseline"/>
        <name val="Calibri"/>
        <family val="2"/>
        <scheme val="minor"/>
      </font>
    </dxf>
    <dxf>
      <font>
        <b val="0"/>
        <i val="0"/>
        <strike val="0"/>
        <condense val="0"/>
        <extend val="0"/>
        <outline val="0"/>
        <shadow val="0"/>
        <u val="none"/>
        <vertAlign val="baseline"/>
        <sz val="11"/>
        <color theme="1"/>
        <name val="Calibri Light"/>
        <family val="2"/>
        <scheme val="major"/>
      </font>
      <alignment horizontal="left" vertical="bottom" textRotation="0" wrapText="0" indent="0" justifyLastLine="0" shrinkToFit="0" readingOrder="0"/>
      <border diagonalUp="0" diagonalDown="0" outline="0">
        <left style="thin">
          <color indexed="64"/>
        </left>
        <right/>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tint="0.59999389629810485"/>
        </patternFill>
      </fill>
      <alignment horizontal="left" vertical="bottom"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1"/>
        <color auto="1"/>
        <name val="Calibri Light"/>
        <family val="2"/>
        <scheme val="major"/>
      </font>
      <fill>
        <patternFill patternType="solid">
          <fgColor indexed="64"/>
          <bgColor theme="9" tint="0.59999389629810485"/>
        </patternFill>
      </fill>
      <alignment horizontal="left" vertical="bottom" textRotation="0" wrapText="1" indent="0" justifyLastLine="0" shrinkToFit="0" readingOrder="0"/>
      <border diagonalUp="0" diagonalDown="0" outline="0">
        <left/>
        <right style="thin">
          <color indexed="64"/>
        </right>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thin">
          <color indexed="64"/>
        </bottom>
      </border>
    </dxf>
    <dxf>
      <font>
        <strike val="0"/>
        <outline val="0"/>
        <shadow val="0"/>
        <u val="none"/>
        <vertAlign val="baseline"/>
        <name val="Calibri"/>
        <family val="2"/>
        <scheme val="minor"/>
      </font>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b val="0"/>
        <i val="0"/>
        <strike val="0"/>
        <condense val="0"/>
        <extend val="0"/>
        <outline val="0"/>
        <shadow val="0"/>
        <u val="none"/>
        <vertAlign val="baseline"/>
        <sz val="11"/>
        <color theme="8" tint="-0.249977111117893"/>
        <name val="Calibri"/>
        <family val="2"/>
        <scheme val="minor"/>
      </font>
      <numFmt numFmtId="34" formatCode="_(&quot;$&quot;* #,##0.00_);_(&quot;$&quot;* \(#,##0.00\);_(&quot;$&quot;* &quot;-&quot;??_);_(@_)"/>
      <fill>
        <patternFill patternType="solid">
          <fgColor indexed="64"/>
          <bgColor theme="8" tint="0.79998168889431442"/>
        </patternFill>
      </fill>
      <alignment horizontal="left"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outline="0">
        <right style="thin">
          <color indexed="64"/>
        </right>
      </border>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1"/>
        <color theme="0"/>
        <name val="Calibri"/>
        <family val="2"/>
        <scheme val="minor"/>
      </font>
      <numFmt numFmtId="1" formatCode="0"/>
      <fill>
        <patternFill patternType="solid">
          <fgColor indexed="64"/>
          <bgColor theme="3"/>
        </patternFill>
      </fill>
      <alignment horizontal="left" vertical="bottom" textRotation="0" wrapText="1" indent="0" justifyLastLine="0" shrinkToFit="0" readingOrder="0"/>
      <border diagonalUp="0" diagonalDown="0" outline="0">
        <left style="thin">
          <color indexed="64"/>
        </left>
        <right style="thin">
          <color indexed="64"/>
        </right>
        <top/>
        <bottom/>
      </border>
    </dxf>
    <dxf>
      <fill>
        <patternFill patternType="solid">
          <bgColor rgb="FFFF7C80"/>
        </patternFill>
      </fill>
    </dxf>
    <dxf>
      <fill>
        <patternFill patternType="none">
          <bgColor auto="1"/>
        </patternFill>
      </fill>
    </dxf>
    <dxf>
      <fill>
        <patternFill patternType="solid">
          <bgColor rgb="FFFF7C80"/>
        </patternFill>
      </fill>
    </dxf>
    <dxf>
      <fill>
        <patternFill patternType="solid">
          <bgColor rgb="FFFF7C80"/>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solid">
          <bgColor rgb="FFFF7C80"/>
        </patternFill>
      </fill>
    </dxf>
    <dxf>
      <font>
        <strike val="0"/>
        <outline val="0"/>
        <shadow val="0"/>
        <u val="none"/>
        <vertAlign val="baseline"/>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tint="0.39997558519241921"/>
        </patternFill>
      </fill>
      <alignment horizontal="left" vertical="bottom" textRotation="0" wrapText="1" indent="0" justifyLastLine="0" shrinkToFit="0" readingOrder="0"/>
      <border diagonalUp="0" diagonalDown="0" outline="0">
        <left style="thin">
          <color indexed="64"/>
        </left>
        <right style="thin">
          <color indexed="64"/>
        </right>
        <top/>
        <bottom/>
      </border>
    </dxf>
    <dxf>
      <fill>
        <patternFill patternType="solid">
          <bgColor rgb="FFFF7C80"/>
        </patternFill>
      </fill>
    </dxf>
    <dxf>
      <fill>
        <patternFill patternType="none">
          <bgColor auto="1"/>
        </patternFill>
      </fill>
    </dxf>
    <dxf>
      <fill>
        <patternFill patternType="solid">
          <bgColor rgb="FFFF7C80"/>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none">
          <bgColor auto="1"/>
        </patternFill>
      </fill>
    </dxf>
    <dxf>
      <fill>
        <patternFill patternType="none">
          <bgColor auto="1"/>
        </patternFill>
      </fill>
    </dxf>
    <dxf>
      <font>
        <strike val="0"/>
        <outline val="0"/>
        <shadow val="0"/>
        <u val="none"/>
        <vertAlign val="baseline"/>
        <name val="Calibri"/>
        <family val="2"/>
        <scheme val="minor"/>
      </font>
      <numFmt numFmtId="3" formatCode="#,##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1"/>
        <color rgb="FF000000"/>
        <name val="Calibri"/>
        <family val="2"/>
        <scheme val="minor"/>
      </font>
      <border>
        <left style="thin">
          <color indexed="64"/>
        </left>
      </border>
    </dxf>
    <dxf>
      <font>
        <strike val="0"/>
        <outline val="0"/>
        <shadow val="0"/>
        <u val="none"/>
        <vertAlign val="baseline"/>
        <name val="Calibri"/>
        <family val="2"/>
        <scheme val="minor"/>
      </font>
      <border>
        <left style="thin">
          <color indexed="64"/>
        </left>
        <right style="thin">
          <color indexed="64"/>
        </right>
      </border>
    </dxf>
    <dxf>
      <font>
        <strike val="0"/>
        <outline val="0"/>
        <shadow val="0"/>
        <u val="none"/>
        <vertAlign val="baseline"/>
        <name val="Calibri"/>
        <family val="2"/>
        <scheme val="minor"/>
      </font>
      <alignment horizontal="right" vertical="bottom" textRotation="0" wrapText="0" indent="0" justifyLastLine="0" shrinkToFit="0" readingOrder="0"/>
      <border outline="0">
        <left style="thin">
          <color indexed="64"/>
        </left>
        <right style="thin">
          <color indexed="64"/>
        </right>
      </border>
    </dxf>
    <dxf>
      <font>
        <strike val="0"/>
        <outline val="0"/>
        <shadow val="0"/>
        <u val="none"/>
        <vertAlign val="baseline"/>
        <name val="Calibri"/>
        <family val="2"/>
        <scheme val="minor"/>
      </font>
      <alignment horizontal="right" vertical="bottom" textRotation="0" wrapText="0" indent="0" justifyLastLine="0" shrinkToFit="0" readingOrder="0"/>
      <border outline="0">
        <left style="thin">
          <color indexed="64"/>
        </left>
      </border>
    </dxf>
    <dxf>
      <font>
        <strike val="0"/>
        <outline val="0"/>
        <shadow val="0"/>
        <u val="none"/>
        <vertAlign val="baseline"/>
        <name val="Calibri"/>
        <family val="2"/>
        <scheme val="minor"/>
      </font>
      <alignment horizontal="right" vertical="bottom" textRotation="0" wrapText="0" indent="0" justifyLastLine="0" shrinkToFit="0" readingOrder="0"/>
      <border outline="0">
        <left style="thin">
          <color indexed="64"/>
        </left>
      </border>
    </dxf>
    <dxf>
      <font>
        <strike val="0"/>
        <outline val="0"/>
        <shadow val="0"/>
        <u val="none"/>
        <vertAlign val="baseline"/>
        <name val="Calibri"/>
        <family val="2"/>
        <scheme val="minor"/>
      </font>
      <alignment horizontal="right" vertical="bottom" textRotation="0" wrapText="0" indent="0" justifyLastLine="0" shrinkToFit="0" readingOrder="0"/>
      <border outline="0">
        <left style="thin">
          <color indexed="64"/>
        </left>
      </border>
    </dxf>
    <dxf>
      <font>
        <b val="0"/>
        <i val="0"/>
        <strike val="0"/>
        <condense val="0"/>
        <extend val="0"/>
        <outline val="0"/>
        <shadow val="0"/>
        <u val="none"/>
        <vertAlign val="baseline"/>
        <sz val="11"/>
        <color rgb="FF000000"/>
        <name val="Calibri"/>
        <family val="2"/>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left" vertical="bottom" textRotation="0" wrapText="1" indent="0" justifyLastLine="0" shrinkToFit="0" readingOrder="0"/>
      <border diagonalUp="0" diagonalDown="0" outline="0">
        <left style="thin">
          <color indexed="64"/>
        </left>
        <right style="thin">
          <color indexed="64"/>
        </right>
        <top/>
        <bottom/>
      </border>
    </dxf>
    <dxf>
      <fill>
        <patternFill patternType="solid">
          <bgColor rgb="FFFF7C80"/>
        </patternFill>
      </fill>
    </dxf>
    <dxf>
      <fill>
        <patternFill patternType="solid">
          <bgColor rgb="FFFF7C80"/>
        </patternFill>
      </fill>
    </dxf>
    <dxf>
      <fill>
        <patternFill patternType="none">
          <bgColor auto="1"/>
        </patternFill>
      </fill>
    </dxf>
    <dxf>
      <font>
        <color auto="1"/>
      </font>
      <fill>
        <patternFill patternType="solid">
          <bgColor rgb="FFFF7C80"/>
        </patternFill>
      </fill>
    </dxf>
    <dxf>
      <fill>
        <patternFill patternType="none">
          <bgColor auto="1"/>
        </patternFill>
      </fill>
    </dxf>
    <dxf>
      <fill>
        <patternFill patternType="solid">
          <bgColor rgb="FFFF7C80"/>
        </patternFill>
      </fill>
    </dxf>
    <dxf>
      <fill>
        <patternFill patternType="solid">
          <bgColor rgb="FFFF7C80"/>
        </patternFill>
      </fill>
    </dxf>
    <dxf>
      <fill>
        <patternFill patternType="solid">
          <bgColor rgb="FFFF7C80"/>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none">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right" vertical="bottom"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numFmt numFmtId="166" formatCode="_(* #,##0_);_(* \(#,##0\);_(* &quot;-&quot;??_);_(@_)"/>
      <fill>
        <patternFill patternType="solid">
          <fgColor indexed="64"/>
          <bgColor theme="0"/>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7"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2F75B5"/>
        <name val="Calibri"/>
        <family val="2"/>
        <scheme val="minor"/>
      </font>
      <fill>
        <patternFill patternType="solid">
          <fgColor rgb="FF000000"/>
          <bgColor rgb="FFFFFFFF"/>
        </patternFill>
      </fill>
      <alignment horizontal="right" vertical="bottom" textRotation="0" indent="0" justifyLastLine="0" shrinkToFit="0" readingOrder="0"/>
    </dxf>
    <dxf>
      <border>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color auto="1"/>
      </font>
      <fill>
        <patternFill patternType="solid">
          <bgColor rgb="FFFF7C80"/>
        </patternFill>
      </fill>
    </dxf>
    <dxf>
      <fill>
        <patternFill patternType="none">
          <bgColor auto="1"/>
        </patternFill>
      </fill>
    </dxf>
    <dxf>
      <fill>
        <patternFill patternType="solid">
          <bgColor rgb="FFFF7C80"/>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solid">
          <bgColor rgb="FFFF7C80"/>
        </patternFill>
      </fill>
    </dxf>
    <dxf>
      <fill>
        <patternFill patternType="none">
          <bgColor auto="1"/>
        </patternFill>
      </fill>
    </dxf>
    <dxf>
      <font>
        <color auto="1"/>
      </font>
      <fill>
        <patternFill patternType="solid">
          <bgColor rgb="FFFF7C80"/>
        </patternFill>
      </fill>
    </dxf>
    <dxf>
      <fill>
        <patternFill patternType="solid">
          <bgColor rgb="FFFF7C80"/>
        </patternFill>
      </fill>
    </dxf>
    <dxf>
      <fill>
        <patternFill patternType="none">
          <bgColor auto="1"/>
        </patternFill>
      </fill>
    </dxf>
    <dxf>
      <font>
        <b val="0"/>
        <i val="0"/>
        <strike val="0"/>
        <condense val="0"/>
        <extend val="0"/>
        <outline val="0"/>
        <shadow val="0"/>
        <u val="none"/>
        <vertAlign val="baseline"/>
        <sz val="11"/>
        <color auto="1"/>
        <name val="Calibri"/>
        <family val="2"/>
        <scheme val="minor"/>
      </font>
      <numFmt numFmtId="34" formatCode="_(&quot;$&quot;* #,##0.00_);_(&quot;$&quot;* \(#,##0.00\);_(&quot;$&quot;* &quot;-&quot;??_);_(@_)"/>
      <fill>
        <patternFill patternType="solid">
          <fgColor indexed="64"/>
          <bgColor theme="8" tint="0.79998168889431442"/>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4" formatCode="_(&quot;$&quot;* #,##0.00_);_(&quot;$&quot;* \(#,##0.00\);_(&quot;$&quot;* &quot;-&quot;??_);_(@_)"/>
      <fill>
        <patternFill patternType="solid">
          <fgColor indexed="64"/>
          <bgColor theme="8" tint="0.7999816888943144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4" formatCode="_(&quot;$&quot;* #,##0.00_);_(&quot;$&quot;* \(#,##0.00\);_(&quot;$&quot;* &quot;-&quot;??_);_(@_)"/>
      <fill>
        <patternFill patternType="solid">
          <fgColor indexed="64"/>
          <bgColor theme="8" tint="0.7999816888943144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4" formatCode="_(&quot;$&quot;* #,##0.00_);_(&quot;$&quot;* \(#,##0.00\);_(&quot;$&quot;* &quot;-&quot;??_);_(@_)"/>
      <fill>
        <patternFill patternType="solid">
          <fgColor indexed="64"/>
          <bgColor theme="8" tint="0.7999816888943144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4" formatCode="_(&quot;$&quot;* #,##0.00_);_(&quot;$&quot;* \(#,##0.00\);_(&quot;$&quot;* &quot;-&quot;??_);_(@_)"/>
      <fill>
        <patternFill patternType="solid">
          <fgColor indexed="64"/>
          <bgColor theme="8" tint="0.7999816888943144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4" formatCode="_(&quot;$&quot;* #,##0.00_);_(&quot;$&quot;* \(#,##0.00\);_(&quot;$&quot;* &quot;-&quot;??_);_(@_)"/>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4" formatCode="_(&quot;$&quot;* #,##0.00_);_(&quot;$&quot;* \(#,##0.00\);_(&quot;$&quot;* &quot;-&quot;??_);_(@_)"/>
      <fill>
        <patternFill patternType="solid">
          <fgColor indexed="64"/>
          <bgColor theme="8" tint="0.79998168889431442"/>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numFmt numFmtId="166" formatCode="_(* #,##0_);_(* \(#,##0\);_(* &quot;-&quot;??_);_(@_)"/>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8" tint="-0.249977111117893"/>
        <name val="Calibri"/>
        <family val="2"/>
        <scheme val="minor"/>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alignment horizontal="left" vertical="bottom" textRotation="0" wrapText="1" indent="0" justifyLastLine="0" shrinkToFit="0" readingOrder="0"/>
      <border diagonalUp="0" diagonalDown="0" outline="0">
        <left style="thin">
          <color indexed="64"/>
        </left>
        <right style="thin">
          <color indexed="64"/>
        </right>
        <top/>
        <bottom/>
      </border>
    </dxf>
    <dxf>
      <fill>
        <patternFill patternType="solid">
          <bgColor rgb="FFFF7C80"/>
        </patternFill>
      </fill>
    </dxf>
    <dxf>
      <fill>
        <patternFill patternType="solid">
          <bgColor rgb="FFFF7C80"/>
        </patternFill>
      </fill>
    </dxf>
    <dxf>
      <fill>
        <patternFill patternType="solid">
          <bgColor rgb="FFFF7C80"/>
        </patternFill>
      </fill>
    </dxf>
    <dxf>
      <fill>
        <patternFill patternType="solid">
          <bgColor rgb="FFFF7C80"/>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solid">
          <bgColor rgb="FFFF7C80"/>
        </patternFill>
      </fill>
    </dxf>
    <dxf>
      <fill>
        <patternFill patternType="none">
          <bgColor auto="1"/>
        </patternFill>
      </fill>
    </dxf>
    <dxf>
      <fill>
        <patternFill patternType="solid">
          <bgColor rgb="FFFF7C80"/>
        </patternFill>
      </fill>
    </dxf>
    <dxf>
      <fill>
        <patternFill patternType="none">
          <bgColor auto="1"/>
        </patternFill>
      </fill>
    </dxf>
    <dxf>
      <font>
        <color auto="1"/>
      </font>
      <fill>
        <patternFill patternType="solid">
          <bgColor rgb="FFFF7C80"/>
        </patternFill>
      </fill>
    </dxf>
    <dxf>
      <fill>
        <patternFill patternType="solid">
          <bgColor rgb="FFFF7C80"/>
        </patternFill>
      </fill>
    </dxf>
    <dxf>
      <fill>
        <patternFill patternType="none">
          <bgColor auto="1"/>
        </patternFill>
      </fill>
    </dxf>
    <dxf>
      <fill>
        <patternFill patternType="solid">
          <bgColor rgb="FFFF7C80"/>
        </patternFill>
      </fill>
    </dxf>
    <dxf>
      <font>
        <color auto="1"/>
      </font>
      <fill>
        <patternFill patternType="solid">
          <bgColor rgb="FFFF7C80"/>
        </patternFill>
      </fill>
    </dxf>
    <dxf>
      <font>
        <b val="0"/>
        <i val="0"/>
        <strike val="0"/>
        <condense val="0"/>
        <extend val="0"/>
        <outline val="0"/>
        <shadow val="0"/>
        <u val="none"/>
        <vertAlign val="baseline"/>
        <sz val="11"/>
        <color theme="1"/>
        <name val="Calibri"/>
        <family val="2"/>
        <scheme val="minor"/>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Light"/>
        <family val="2"/>
        <scheme val="major"/>
      </font>
      <alignment horizontal="left" vertical="top" textRotation="0" wrapText="0" indent="0" justifyLastLine="0" shrinkToFit="0" readingOrder="0"/>
      <border diagonalUp="0" diagonalDown="0" outline="0">
        <left style="thin">
          <color indexed="64"/>
        </left>
        <right/>
        <top/>
        <bottom style="thin">
          <color indexed="64"/>
        </bottom>
      </border>
    </dxf>
    <dxf>
      <font>
        <strike val="0"/>
        <outline val="0"/>
        <shadow val="0"/>
        <vertAlign val="baseline"/>
        <name val="Calibri"/>
        <family val="2"/>
        <scheme val="minor"/>
      </font>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1"/>
        <color auto="1"/>
        <name val="Calibri Light"/>
        <family val="2"/>
        <scheme val="major"/>
      </font>
      <fill>
        <patternFill patternType="solid">
          <fgColor indexed="64"/>
          <bgColor theme="9" tint="0.59999389629810485"/>
        </patternFill>
      </fill>
      <alignment horizontal="right" vertical="bottom" textRotation="0" wrapText="1" indent="0" justifyLastLine="0" shrinkToFit="0" readingOrder="0"/>
      <border diagonalUp="0" diagonalDown="0" outline="0">
        <left/>
        <right style="thin">
          <color indexed="64"/>
        </right>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vertAlign val="baseline"/>
        <name val="Calibri"/>
        <family val="2"/>
        <scheme val="minor"/>
      </font>
    </dxf>
    <dxf>
      <border outline="0">
        <bottom style="thin">
          <color indexed="64"/>
        </bottom>
      </border>
    </dxf>
    <dxf>
      <font>
        <strike val="0"/>
        <outline val="0"/>
        <shadow val="0"/>
        <vertAlign val="baseline"/>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 formatCode="0"/>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dxf>
    <dxf>
      <border>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5999938962981048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FFFF0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alignment textRotation="0" wrapText="1" indent="0" justifyLastLine="0" shrinkToFit="0" readingOrder="0"/>
    </dxf>
    <dxf>
      <border>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5999938962981048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Calibri"/>
        <family val="2"/>
        <scheme val="minor"/>
      </font>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name val="Calibri"/>
        <family val="2"/>
        <scheme val="minor"/>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alignment horizontal="left" vertical="bottom" textRotation="0" wrapText="0" indent="0" justifyLastLine="0" shrinkToFit="0" readingOrder="0"/>
    </dxf>
    <dxf>
      <border>
        <bottom style="thin">
          <color indexed="64"/>
        </bottom>
      </border>
    </dxf>
    <dxf>
      <font>
        <b/>
        <strike val="0"/>
        <outline val="0"/>
        <shadow val="0"/>
        <u val="none"/>
        <vertAlign val="baseline"/>
        <sz val="11"/>
        <color auto="1"/>
        <name val="Calibri"/>
        <family val="2"/>
        <scheme val="minor"/>
      </font>
      <fill>
        <patternFill patternType="solid">
          <fgColor indexed="64"/>
          <bgColor theme="6" tint="0.59999389629810485"/>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color auto="1"/>
        <name val="Calibri"/>
        <family val="2"/>
        <scheme val="none"/>
      </font>
      <fill>
        <patternFill patternType="none">
          <fgColor rgb="FF000000"/>
          <bgColor auto="1"/>
        </patternFill>
      </fill>
    </dxf>
    <dxf>
      <border>
        <bottom style="thin">
          <color rgb="FF000000"/>
        </bottom>
      </border>
    </dxf>
    <dxf>
      <font>
        <strike val="0"/>
        <outline val="0"/>
        <shadow val="0"/>
        <u val="none"/>
        <vertAlign val="baseline"/>
        <sz val="11"/>
        <color auto="1"/>
        <name val="Calibri"/>
        <family val="2"/>
        <scheme val="minor"/>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color auto="1"/>
        <name val="Calibri"/>
        <family val="2"/>
        <scheme val="none"/>
      </font>
      <fill>
        <patternFill patternType="none">
          <fgColor rgb="FF000000"/>
          <bgColor auto="1"/>
        </patternFill>
      </fill>
    </dxf>
    <dxf>
      <border>
        <bottom style="thin">
          <color rgb="FF000000"/>
        </bottom>
      </border>
    </dxf>
    <dxf>
      <font>
        <strike val="0"/>
        <outline val="0"/>
        <shadow val="0"/>
        <u val="none"/>
        <vertAlign val="baseline"/>
        <sz val="11"/>
        <color auto="1"/>
        <name val="Calibri"/>
        <family val="2"/>
        <scheme val="minor"/>
      </font>
      <border diagonalUp="0" diagonalDown="0">
        <left style="thin">
          <color indexed="64"/>
        </left>
        <right style="thin">
          <color indexed="64"/>
        </right>
        <top/>
        <bottom/>
        <vertical style="thin">
          <color indexed="64"/>
        </vertical>
        <horizontal style="thin">
          <color indexed="64"/>
        </horizontal>
      </border>
    </dxf>
    <dxf>
      <fill>
        <patternFill patternType="gray0625">
          <fgColor theme="0" tint="-0.14996795556505021"/>
          <bgColor theme="0"/>
        </patternFill>
      </fill>
    </dxf>
    <dxf>
      <fill>
        <patternFill patternType="solid">
          <fgColor rgb="FFC6E0B4"/>
          <bgColor rgb="FFC6E0B4"/>
        </patternFill>
      </fill>
    </dxf>
    <dxf>
      <fill>
        <patternFill patternType="solid">
          <fgColor rgb="FFFF9B9B"/>
          <bgColor rgb="FFFF9B9B"/>
        </patternFill>
      </fill>
    </dxf>
    <dxf>
      <fill>
        <patternFill>
          <bgColor theme="5" tint="0.59996337778862885"/>
        </patternFill>
      </fill>
    </dxf>
    <dxf>
      <fill>
        <patternFill patternType="solid">
          <fgColor rgb="FFC6E0B4"/>
          <bgColor rgb="FFC6E0B4"/>
        </patternFill>
      </fill>
    </dxf>
    <dxf>
      <fill>
        <patternFill patternType="solid">
          <fgColor rgb="FFFF9B9B"/>
          <bgColor rgb="FFFF9B9B"/>
        </patternFill>
      </fill>
    </dxf>
    <dxf>
      <fill>
        <patternFill>
          <bgColor theme="5" tint="0.59996337778862885"/>
        </patternFill>
      </fill>
    </dxf>
    <dxf>
      <fill>
        <patternFill patternType="gray0625">
          <fgColor theme="0" tint="-0.14996795556505021"/>
          <bgColor theme="0"/>
        </patternFill>
      </fill>
    </dxf>
    <dxf>
      <fill>
        <patternFill patternType="solid">
          <fgColor rgb="FFC6E0B4"/>
          <bgColor rgb="FFC6E0B4"/>
        </patternFill>
      </fill>
    </dxf>
    <dxf>
      <fill>
        <patternFill patternType="solid">
          <fgColor rgb="FFFF9B9B"/>
          <bgColor rgb="FFFF9B9B"/>
        </patternFill>
      </fill>
    </dxf>
    <dxf>
      <fill>
        <patternFill>
          <bgColor theme="5" tint="0.59996337778862885"/>
        </patternFill>
      </fill>
    </dxf>
    <dxf>
      <fill>
        <patternFill patternType="solid">
          <fgColor rgb="FFC6E0B4"/>
          <bgColor rgb="FFC6E0B4"/>
        </patternFill>
      </fill>
    </dxf>
    <dxf>
      <fill>
        <patternFill patternType="solid">
          <fgColor rgb="FFFF9B9B"/>
          <bgColor rgb="FFFF9B9B"/>
        </patternFill>
      </fill>
    </dxf>
    <dxf>
      <fill>
        <patternFill>
          <bgColor theme="5" tint="0.59996337778862885"/>
        </patternFill>
      </fill>
    </dxf>
    <dxf>
      <fill>
        <patternFill patternType="gray0625">
          <fgColor theme="0" tint="-0.14996795556505021"/>
          <bgColor theme="0"/>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1" xr9:uid="{11066FF2-2CB9-4B27-BA45-3B1C6E61079A}">
      <tableStyleElement type="wholeTable" dxfId="828"/>
    </tableStyle>
  </tableStyles>
  <colors>
    <mruColors>
      <color rgb="FFFF9B9B"/>
      <color rgb="FFFFFFFF"/>
      <color rgb="FFFFC7CE"/>
      <color rgb="FFFF9999"/>
      <color rgb="FFFF7C80"/>
      <color rgb="FFFFEDB3"/>
      <color rgb="FFE0B4C6"/>
      <color rgb="FFDEEAF6"/>
      <color rgb="FFEBF3F6"/>
      <color rgb="FFFFC4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2326822</xdr:colOff>
      <xdr:row>1</xdr:row>
      <xdr:rowOff>176894</xdr:rowOff>
    </xdr:from>
    <xdr:to>
      <xdr:col>1</xdr:col>
      <xdr:colOff>3415393</xdr:colOff>
      <xdr:row>13</xdr:row>
      <xdr:rowOff>108858</xdr:rowOff>
    </xdr:to>
    <xdr:sp macro="" textlink="">
      <xdr:nvSpPr>
        <xdr:cNvPr id="2" name="TextBox 1">
          <a:extLst>
            <a:ext uri="{FF2B5EF4-FFF2-40B4-BE49-F238E27FC236}">
              <a16:creationId xmlns:a16="http://schemas.microsoft.com/office/drawing/2014/main" id="{56C9FA6B-D550-56C4-A387-C2B8C51B7721}"/>
            </a:ext>
          </a:extLst>
        </xdr:cNvPr>
        <xdr:cNvSpPr txBox="1"/>
      </xdr:nvSpPr>
      <xdr:spPr>
        <a:xfrm>
          <a:off x="2326822" y="544287"/>
          <a:ext cx="4408714" cy="2000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a:t>Remove or hide tab before sharing with DOBI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571500</xdr:colOff>
      <xdr:row>0</xdr:row>
      <xdr:rowOff>152400</xdr:rowOff>
    </xdr:from>
    <xdr:to>
      <xdr:col>10</xdr:col>
      <xdr:colOff>523875</xdr:colOff>
      <xdr:row>13</xdr:row>
      <xdr:rowOff>152400</xdr:rowOff>
    </xdr:to>
    <xdr:sp macro="" textlink="">
      <xdr:nvSpPr>
        <xdr:cNvPr id="2" name="TextBox 1">
          <a:extLst>
            <a:ext uri="{FF2B5EF4-FFF2-40B4-BE49-F238E27FC236}">
              <a16:creationId xmlns:a16="http://schemas.microsoft.com/office/drawing/2014/main" id="{BF1D3FCF-78F8-429F-87FB-9EFC3B5BA4A9}"/>
            </a:ext>
          </a:extLst>
        </xdr:cNvPr>
        <xdr:cNvSpPr txBox="1"/>
      </xdr:nvSpPr>
      <xdr:spPr>
        <a:xfrm>
          <a:off x="4019550" y="152400"/>
          <a:ext cx="5867400" cy="2476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t>HIDE this tab</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F9C8F53-8216-4F44-B7AB-D5682CD88D35}" name="Val_Overview262" displayName="Val_Overview262" ref="A20:C41" totalsRowShown="0" headerRowDxfId="812" dataDxfId="810" headerRowBorderDxfId="811" tableBorderDxfId="809" totalsRowBorderDxfId="808">
  <autoFilter ref="A20:C41" xr:uid="{44484D70-C387-4BF4-A3C5-5EB1ABEA859B}"/>
  <tableColumns count="3">
    <tableColumn id="1" xr3:uid="{EE8CB651-4B2E-467B-8208-FBC10DA43895}" name="Result" dataDxfId="807"/>
    <tableColumn id="2" xr3:uid="{6ED39F33-8680-4E69-B86D-A3A7ED2E014F}" name="Check Category" dataDxfId="806"/>
    <tableColumn id="3" xr3:uid="{164D76FF-5EAE-4C88-9B1E-50F2D8626199}" name="Comment" dataDxfId="805"/>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5693A72-C5F0-43E8-9CB6-FA4988ED9312}" name="LB" displayName="LB" ref="A11:D44" totalsRowShown="0" headerRowDxfId="646" dataDxfId="644" headerRowBorderDxfId="645">
  <autoFilter ref="A11:D44" xr:uid="{65693A72-C5F0-43E8-9CB6-FA4988ED9312}"/>
  <sortState xmlns:xlrd2="http://schemas.microsoft.com/office/spreadsheetml/2017/richdata2" ref="A12:D45">
    <sortCondition ref="C11:C45"/>
  </sortState>
  <tableColumns count="4">
    <tableColumn id="1" xr3:uid="{F507DEE5-F529-4F1D-800D-C1FB9162F7DB}" name="Insurer Code" dataDxfId="643" dataCellStyle="Normal"/>
    <tableColumn id="2" xr3:uid="{5FC88871-6138-4566-BA09-480DB50C5281}" name="Reporting Year" dataDxfId="642" dataCellStyle="Normal"/>
    <tableColumn id="3" xr3:uid="{6DE85EAC-0C64-4A11-95C0-985AF9460868}" name="Line of Business Category Code" dataDxfId="641" dataCellStyle="Normal"/>
    <tableColumn id="4" xr3:uid="{667AE8B2-7C72-435E-BFEC-0506A96BF55D}" name="Member Months" dataDxfId="640" dataCellStyle="Comma"/>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3FB6216-F516-4FDA-991E-04F608FE0556}" name="RX" displayName="RX" ref="A11:G35" totalsRowShown="0" headerRowDxfId="631" dataDxfId="629" headerRowBorderDxfId="630" tableBorderDxfId="628" totalsRowBorderDxfId="627">
  <autoFilter ref="A11:G35" xr:uid="{63FB6216-F516-4FDA-991E-04F608FE0556}"/>
  <tableColumns count="7">
    <tableColumn id="1" xr3:uid="{9E2B7B6B-983C-4A3E-A22A-4C64397CE23B}" name="Insurer Code" dataDxfId="626"/>
    <tableColumn id="2" xr3:uid="{180D75FD-E3FA-420D-AA86-D5F62A54077C}" name="Reporting Year" dataDxfId="625"/>
    <tableColumn id="3" xr3:uid="{D816DCE1-3013-4618-904C-9970499B04BB}" name="Insurance Category Code" dataDxfId="624"/>
    <tableColumn id="4" xr3:uid="{8DB73AC9-4CDF-4933-AF69-2A0E4219B104}" name="Medical Pharmacy Rebate Amount" dataDxfId="623" dataCellStyle="Currency"/>
    <tableColumn id="5" xr3:uid="{9CFE13FA-10B6-4603-92F3-290AB213E490}" name="Retail Pharmacy Rebate Amount" dataDxfId="622" dataCellStyle="Currency"/>
    <tableColumn id="6" xr3:uid="{E3E67EED-9C82-4934-85D4-D2A0F1DF5B2C}" name="Total Pharmacy Rebate Amount" dataDxfId="621"/>
    <tableColumn id="7" xr3:uid="{1D49F510-89B6-401D-94DF-A7F4DB6BB5E9}" name="Total Medical and Retail Pharmacy Rebate Amount" dataDxfId="620" dataCellStyle="Currency">
      <calculatedColumnFormula>IF(RX[[#This Row],[Total Pharmacy Rebate Amount]]=0,SUM(RX[[#This Row],[Medical Pharmacy Rebate Amount]:[Retail Pharmacy Rebate Amount]]),RX[[#This Row],[Total Pharmacy Rebate Amount]])</calculatedColumnFormula>
    </tableColumn>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0D3091-D88C-4980-A8BF-5F0099DF7A6E}" name="MQa" displayName="MQa" ref="B12:C13" headerRowCount="0" totalsRowShown="0" headerRowDxfId="605" dataDxfId="603" headerRowBorderDxfId="604" tableBorderDxfId="602" totalsRowBorderDxfId="601">
  <tableColumns count="2">
    <tableColumn id="1" xr3:uid="{A29B4DD4-997B-4779-819B-4E1A86288DD7}" name="Authorized Signatory" headerRowDxfId="600" dataDxfId="599"/>
    <tableColumn id="2" xr3:uid="{33B87ADE-5179-4FC7-A5C1-41930296F7C0}" name="Column1" headerRowDxfId="598"/>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2CA0907-FEA7-4781-91F4-EEAF6FD690AD}" name="MQb" displayName="MQb" ref="B16:D24" totalsRowShown="0" headerRowDxfId="597" dataDxfId="595" headerRowBorderDxfId="596" tableBorderDxfId="594" totalsRowBorderDxfId="593">
  <autoFilter ref="B16:D24" xr:uid="{52CA0907-FEA7-4781-91F4-EEAF6FD690AD}">
    <filterColumn colId="0" hiddenButton="1"/>
    <filterColumn colId="1" hiddenButton="1"/>
    <filterColumn colId="2" hiddenButton="1"/>
  </autoFilter>
  <tableColumns count="3">
    <tableColumn id="1" xr3:uid="{4E05DBA4-04E8-4825-B84E-A045654AFC3D}" name="Question" dataDxfId="592"/>
    <tableColumn id="2" xr3:uid="{5E001655-36B1-413A-ACCD-03B91DC183CE}" name="Response" dataDxfId="591"/>
    <tableColumn id="3" xr3:uid="{C1ECB6AD-9B53-4112-A762-36E499D6667F}" name="Comments" dataDxfId="590"/>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0CEAB37-0541-4447-A393-6D764ECC12BE}" name="MQc" displayName="MQc" ref="B27:D38" totalsRowShown="0" headerRowDxfId="589" dataDxfId="587" headerRowBorderDxfId="588" tableBorderDxfId="586" totalsRowBorderDxfId="585">
  <autoFilter ref="B27:D38" xr:uid="{30CEAB37-0541-4447-A393-6D764ECC12BE}">
    <filterColumn colId="0" hiddenButton="1"/>
    <filterColumn colId="1" hiddenButton="1"/>
    <filterColumn colId="2" hiddenButton="1"/>
  </autoFilter>
  <tableColumns count="3">
    <tableColumn id="1" xr3:uid="{63F4B98B-5EF1-436A-9D8B-E75CD176AB56}" name="Question" dataDxfId="584"/>
    <tableColumn id="2" xr3:uid="{FBD918AE-24DD-499A-927E-0ED3CC292048}" name="Response" dataDxfId="583"/>
    <tableColumn id="3" xr3:uid="{3499AC9D-E2F8-4512-83FF-30089DD13E81}" name="Comments" dataDxfId="582"/>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35A5E62-80D0-44CD-A02F-F94A542201FC}" name="MQd" displayName="MQd" ref="B41:D47" totalsRowShown="0" headerRowDxfId="581" dataDxfId="579" headerRowBorderDxfId="580" tableBorderDxfId="578" totalsRowBorderDxfId="577">
  <autoFilter ref="B41:D47" xr:uid="{A35A5E62-80D0-44CD-A02F-F94A542201FC}">
    <filterColumn colId="0" hiddenButton="1"/>
    <filterColumn colId="1" hiddenButton="1"/>
    <filterColumn colId="2" hiddenButton="1"/>
  </autoFilter>
  <tableColumns count="3">
    <tableColumn id="1" xr3:uid="{26F17F66-03D4-4B6B-9217-65222996FBA8}" name="Question" dataDxfId="576"/>
    <tableColumn id="2" xr3:uid="{8448E16C-D237-4DB9-8924-AD71F05494A4}" name="Response" dataDxfId="575"/>
    <tableColumn id="3" xr3:uid="{690374A9-61C2-4C03-AFCF-069E9468DF68}" name="Comments" dataDxfId="574"/>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F5FF210-C34E-4DF2-9D7F-046EE9900FAD}" name="MQe" displayName="MQe" ref="B50:D56" totalsRowShown="0" headerRowDxfId="573" dataDxfId="571" headerRowBorderDxfId="572" tableBorderDxfId="570">
  <autoFilter ref="B50:D56" xr:uid="{8F5FF210-C34E-4DF2-9D7F-046EE9900FAD}">
    <filterColumn colId="0" hiddenButton="1"/>
    <filterColumn colId="1" hiddenButton="1"/>
    <filterColumn colId="2" hiddenButton="1"/>
  </autoFilter>
  <tableColumns count="3">
    <tableColumn id="1" xr3:uid="{B52F4B2B-592D-4DC3-B7C8-EB66F3E4D766}" name="Question" dataDxfId="569"/>
    <tableColumn id="2" xr3:uid="{0E685E98-E632-40A9-9E5E-EB383D0FE829}" name="Response" dataDxfId="568"/>
    <tableColumn id="3" xr3:uid="{9C4E26BB-4B29-470A-931E-37F9F3C9051B}" name="Comments" dataDxfId="567"/>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17FE5C5-2AB4-4E42-A47B-6EC8606B10E8}" name="MQg" displayName="MQg" ref="B59:D61" totalsRowShown="0" headerRowDxfId="566" dataDxfId="564" headerRowBorderDxfId="565" tableBorderDxfId="563" totalsRowBorderDxfId="562">
  <autoFilter ref="B59:D61" xr:uid="{C17FE5C5-2AB4-4E42-A47B-6EC8606B10E8}">
    <filterColumn colId="0" hiddenButton="1"/>
    <filterColumn colId="1" hiddenButton="1"/>
    <filterColumn colId="2" hiddenButton="1"/>
  </autoFilter>
  <tableColumns count="3">
    <tableColumn id="1" xr3:uid="{93C1019D-5382-401E-A954-868D5B2BAE9C}" name="Question" dataDxfId="561" totalsRowDxfId="560"/>
    <tableColumn id="2" xr3:uid="{B258E1FE-15B1-413A-833D-00E0BF7AD909}" name="Response" dataDxfId="559" totalsRowDxfId="558"/>
    <tableColumn id="3" xr3:uid="{1B94F433-D33F-495A-B0D2-4574667B4E93}" name="Comments" dataDxfId="557" totalsRowDxfId="556"/>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D056C7F-EE49-418D-8B00-97B2E3AF056E}" name="INS_CD" displayName="INS_CD" ref="A7:D8" totalsRowShown="0" headerRowDxfId="497" dataDxfId="495" headerRowBorderDxfId="496" tableBorderDxfId="494" totalsRowBorderDxfId="493">
  <tableColumns count="4">
    <tableColumn id="1" xr3:uid="{158501CE-2D60-4F78-AC53-43B79F8132A3}" name="Carrier Inputted Insurer Code (Field ID TM01)" dataDxfId="492">
      <calculatedColumnFormula>'2. Total Medical Expenses'!A12</calculatedColumnFormula>
    </tableColumn>
    <tableColumn id="2" xr3:uid="{1938807A-0542-4358-9F07-BD29C5EB86E7}" name="Carrier Inputted Insurer Name (Field ID CP01)" dataDxfId="491">
      <calculatedColumnFormula>'1. Cover Page'!C17</calculatedColumnFormula>
    </tableColumn>
    <tableColumn id="3" xr3:uid="{43CAF4BC-1F9F-42F6-B3CB-407F596B40BA}" name="Insurer Name Associated With TM01" dataDxfId="490">
      <calculatedColumnFormula array="1">INDEX(INS_Code[Description],MATCH(INS_CD[Carrier Inputted Insurer Name (Field ID CP01)],INS_Code[Description],0))</calculatedColumnFormula>
    </tableColumn>
    <tableColumn id="4" xr3:uid="{66C4F242-59D8-46A5-B703-24FC2559F8CE}" name="Insurer Name Aligns with Insurer Code?" dataDxfId="489">
      <calculatedColumnFormula>IF(AND(B8=C8),"Yes", "No")</calculatedColumnFormula>
    </tableColumn>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FBA6C11-2A3D-4E07-BB04-BB5ED2DBF2E5}" name="PAD" displayName="PAD" ref="A200:M201" totalsRowShown="0" headerRowDxfId="488" headerRowBorderDxfId="487" tableBorderDxfId="486" totalsRowBorderDxfId="485">
  <autoFilter ref="A200:M201" xr:uid="{1FBA6C11-2A3D-4E07-BB04-BB5ED2DBF2E5}"/>
  <tableColumns count="13">
    <tableColumn id="1" xr3:uid="{D23E17DA-3283-4DAB-BB18-A1BD6A706C92}" name="Carrier Inputted Insurer Code (Field ID TM01)" dataDxfId="484">
      <calculatedColumnFormula>'2. Total Medical Expenses'!A12</calculatedColumnFormula>
    </tableColumn>
    <tableColumn id="2" xr3:uid="{9764777E-68DB-4199-8921-F81A3C9D6617}" name="TME Tab Member Months for MA (Insurance Category Codes 1+5+8)" dataDxfId="483" dataCellStyle="Comma">
      <calculatedColumnFormula>IFERROR(B18,"NA")</calculatedColumnFormula>
    </tableColumn>
    <tableColumn id="3" xr3:uid="{115794A9-4D91-408A-80DA-E50D67AC865E}" name="CMS Member Months for MA" dataDxfId="482" dataCellStyle="Comma">
      <calculatedColumnFormula array="1">IFERROR(INDEX(MA_2021[Enrolled_Totals],MATCH(PAD[Carrier Inputted Insurer Code (Field ID TM01)],MA_2021[INSURER_CODE],0)),"-")</calculatedColumnFormula>
    </tableColumn>
    <tableColumn id="4" xr3:uid="{9D842C93-C55F-4B39-B1EC-F71A6E951448}" name="MA Member Months Variation" dataDxfId="481" dataCellStyle="Comma">
      <calculatedColumnFormula>IFERROR(ABS(PAD[[#This Row],[TME Tab Member Months for MA (Insurance Category Codes 1+5+8)]]-PAD[[#This Row],[CMS Member Months for MA]]),"NA")</calculatedColumnFormula>
    </tableColumn>
    <tableColumn id="5" xr3:uid="{1C9F8799-00DD-404D-92E0-AC2FF7B434F5}" name="TME Tab Member Count (Member Months Divided by 12) for Medicaid MCO (Insurance Category Codes 2+6)" dataDxfId="480" dataCellStyle="Comma">
      <calculatedColumnFormula>IFERROR((B22/12),"NA")</calculatedColumnFormula>
    </tableColumn>
    <tableColumn id="6" xr3:uid="{F3910D4E-E694-4EFA-BB55-45DBE307516A}" name="CMS Member Count for Medicaid MCO" dataDxfId="479" dataCellStyle="Comma">
      <calculatedColumnFormula array="1">IFERROR(INDEX(MC_2021[Enrolled_Totals],MATCH(PAD[Carrier Inputted Insurer Code (Field ID TM01)],MC_2021[INSURER_CODE],0)),"-")</calculatedColumnFormula>
    </tableColumn>
    <tableColumn id="7" xr3:uid="{460C21B3-E784-4448-B802-238E7779699E}" name="Medicaid MCO Member Count Variation" dataDxfId="478" dataCellStyle="Comma">
      <calculatedColumnFormula>IFERROR(ABS(PAD[[#This Row],[TME Tab Member Count (Member Months Divided by 12) for Medicaid MCO (Insurance Category Codes 2+6)]]-PAD[[#This Row],[CMS Member Count for Medicaid MCO]]),"NA")</calculatedColumnFormula>
    </tableColumn>
    <tableColumn id="8" xr3:uid="{479DE5FE-8E57-4C30-AB0D-6E6B007955D9}" name="TME Tab Member Months for MA (Insurance Category Codes 1+5+8) " dataDxfId="477" dataCellStyle="Comma">
      <calculatedColumnFormula>IFERROR(I18,"NA")</calculatedColumnFormula>
    </tableColumn>
    <tableColumn id="9" xr3:uid="{0ED49652-FEED-4C7C-B300-877EB2E6A787}" name="CMS Member Months for MA " dataDxfId="476" dataCellStyle="Comma">
      <calculatedColumnFormula array="1">IFERROR(INDEX(MA_2022[Enrolled_Totals],MATCH(PAD[Carrier Inputted Insurer Code (Field ID TM01)],MA_2022[INSURER_CODE],0)),"-")</calculatedColumnFormula>
    </tableColumn>
    <tableColumn id="10" xr3:uid="{B95C230D-5824-4DA1-89F5-CE61E900B29C}" name="MA Member Months Variation " dataDxfId="475" dataCellStyle="Comma">
      <calculatedColumnFormula>IFERROR(ABS(PAD[[#This Row],[TME Tab Member Months for MA (Insurance Category Codes 1+5+8) ]]-PAD[[#This Row],[CMS Member Months for MA ]]),"NA")</calculatedColumnFormula>
    </tableColumn>
    <tableColumn id="11" xr3:uid="{82DC4A40-C849-4DD9-9428-E1A9C35718FD}" name="TME Tab Member Count (Member Months Divided by 12) for Medicaid MCO (Insurance Category Codes 2+6) " dataDxfId="474" dataCellStyle="Comma">
      <calculatedColumnFormula>IFERROR((I22/12),"NA")</calculatedColumnFormula>
    </tableColumn>
    <tableColumn id="12" xr3:uid="{65A88EEB-CADE-4C8D-B025-6FCA2B65A0AE}" name="CMS Member Count for Medicaid MCO " dataDxfId="473" dataCellStyle="Comma">
      <calculatedColumnFormula array="1">IFERROR(INDEX(MC_2022[Enrolled_Totals],MATCH(PAD[Carrier Inputted Insurer Code (Field ID TM01)],MC_2022[INSURER_CODE],0)),"-")</calculatedColumnFormula>
    </tableColumn>
    <tableColumn id="13" xr3:uid="{1470C049-7DD9-40E1-99EF-616B448CE7D4}" name="Medicaid MCO Member Count Variation " dataDxfId="472" dataCellStyle="Comma">
      <calculatedColumnFormula>IFERROR(ABS(PAD[[#This Row],[TME Tab Member Count (Member Months Divided by 12) for Medicaid MCO (Insurance Category Codes 2+6) ]]-PAD[[#This Row],[CMS Member Count for Medicaid MCO ]]),"NA")</calculatedColumnFormula>
    </tableColumn>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C1352A5-DB36-4A7C-8CBD-C853BF195BE4}" name="Findings_Log293" displayName="Findings_Log293" ref="A44:C46" totalsRowShown="0" headerRowDxfId="804" dataDxfId="802" headerRowBorderDxfId="803" tableBorderDxfId="801" totalsRowBorderDxfId="800">
  <autoFilter ref="A44:C46" xr:uid="{1FE48460-676E-491B-8076-CE8FDD41D60D}"/>
  <tableColumns count="3">
    <tableColumn id="1" xr3:uid="{2D1614F7-5348-4924-B6A7-556853B1092C}" name="File, Tab, or Row ID" dataDxfId="799"/>
    <tableColumn id="2" xr3:uid="{D5BE9160-96ED-4F4A-B4D0-8B99476A0D7D}" name="Check Category" dataDxfId="798"/>
    <tableColumn id="3" xr3:uid="{A09AAC04-01AC-428C-8A92-9884DD1265C5}" name="Carrier Instructions" dataDxfId="797"/>
  </tableColumns>
  <tableStyleInfo name="Table Style 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60C43B5-48A3-4B99-A674-6E0921C2C0C0}" name="INS_CD39" displayName="INS_CD39" ref="A7:D8" totalsRowShown="0" headerRowDxfId="409" dataDxfId="407" headerRowBorderDxfId="408" tableBorderDxfId="406" totalsRowBorderDxfId="405">
  <tableColumns count="4">
    <tableColumn id="1" xr3:uid="{CE15061F-69F2-45CA-BEB6-DF2CB3C498E8}" name="Carrier Inputted Insurer Code (Field ID TM01)" dataDxfId="404">
      <calculatedColumnFormula>'2. Total Medical Expenses'!A12</calculatedColumnFormula>
    </tableColumn>
    <tableColumn id="2" xr3:uid="{E751FBBC-D2F2-423A-BDF0-0D93FE3BD5FB}" name="Carrier Inputted Insurer Name (Field ID CP01)" dataDxfId="403">
      <calculatedColumnFormula>'1. Cover Page'!C17</calculatedColumnFormula>
    </tableColumn>
    <tableColumn id="3" xr3:uid="{FBC35B70-FAB1-49C2-815B-8043EDE522EB}" name="Insurer Name Associated With TM01" dataDxfId="402">
      <calculatedColumnFormula array="1">INDEX(INS_Code[Description],MATCH(INS_CD39[Carrier Inputted Insurer Name (Field ID CP01)],INS_Code[Description],0))</calculatedColumnFormula>
    </tableColumn>
    <tableColumn id="4" xr3:uid="{602E3F66-9D88-474D-89A8-CDA5CF22F84C}" name="Insurer Name Aligns with Insurer Code?" dataDxfId="401">
      <calculatedColumnFormula>IF(AND(B8=C8),"Yes", "No")</calculatedColumnFormula>
    </tableColumn>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C6B5ABD-E029-4188-8A39-4C7F06EA0CB4}" name="PAD_40" displayName="PAD_40" ref="A200:M201" totalsRowShown="0" headerRowDxfId="400" headerRowBorderDxfId="399" tableBorderDxfId="398" totalsRowBorderDxfId="397">
  <autoFilter ref="A200:M201" xr:uid="{1FBA6C11-2A3D-4E07-BB04-BB5ED2DBF2E5}"/>
  <tableColumns count="13">
    <tableColumn id="1" xr3:uid="{925B5290-2D79-4620-B669-DFF02A09E1D9}" name="Carrier Inputted Insurer Code (Field ID TM01)" dataDxfId="396">
      <calculatedColumnFormula>'2. Total Medical Expenses'!A12</calculatedColumnFormula>
    </tableColumn>
    <tableColumn id="2" xr3:uid="{E02549C6-DDF6-46E4-A401-70146E0AE54E}" name="TME Tab Member Months for MA (Insurance Category Codes 1+5+8)" dataDxfId="395" dataCellStyle="Comma">
      <calculatedColumnFormula>IFERROR(B18,"NA")</calculatedColumnFormula>
    </tableColumn>
    <tableColumn id="3" xr3:uid="{0DB170FF-E6AC-4F44-919A-76F330301B2B}" name="CMS Member Months for MA" dataDxfId="394" dataCellStyle="Comma">
      <calculatedColumnFormula array="1">IFERROR(INDEX(MA_2022[Enrolled_Totals],MATCH(PAD_40[Carrier Inputted Insurer Code (Field ID TM01)],MA_2022[INSURER_CODE],0)),"-")</calculatedColumnFormula>
    </tableColumn>
    <tableColumn id="4" xr3:uid="{A32DE141-9C0B-4D47-9AD8-9A2333A6C19E}" name="MA Member Months Variation" dataDxfId="393" dataCellStyle="Comma">
      <calculatedColumnFormula>IFERROR(ABS(PAD_40[[#This Row],[TME Tab Member Months for MA (Insurance Category Codes 1+5+8)]]-PAD_40[[#This Row],[CMS Member Months for MA]]),"NA")</calculatedColumnFormula>
    </tableColumn>
    <tableColumn id="5" xr3:uid="{4313E9AF-FE49-4C09-9C58-C4DE2B925F4C}" name="TME Tab Member Count (Member Months Divided by 12) for Medicaid MCO (Insurance Category Codes 2+6)" dataDxfId="392" dataCellStyle="Comma">
      <calculatedColumnFormula>IFERROR((B22/12),"NA")</calculatedColumnFormula>
    </tableColumn>
    <tableColumn id="6" xr3:uid="{29CD4E9A-53DE-479D-B2F1-73AF39656C8F}" name="CMS Member Count for Medicaid MCO" dataDxfId="391" dataCellStyle="Comma">
      <calculatedColumnFormula array="1">IFERROR(INDEX(MC_2022[Enrolled_Totals],MATCH(PAD_40[Carrier Inputted Insurer Code (Field ID TM01)],MC_2022[INSURER_CODE],0)),"-")</calculatedColumnFormula>
    </tableColumn>
    <tableColumn id="7" xr3:uid="{C983E76D-C739-43B0-9D1C-487C3039680C}" name="Medicaid MCO Member Count Variation" dataDxfId="390" dataCellStyle="Comma">
      <calculatedColumnFormula>IFERROR(ABS(PAD_40[[#This Row],[TME Tab Member Count (Member Months Divided by 12) for Medicaid MCO (Insurance Category Codes 2+6)]]-PAD_40[[#This Row],[CMS Member Count for Medicaid MCO]]),"NA")</calculatedColumnFormula>
    </tableColumn>
    <tableColumn id="8" xr3:uid="{57456B14-BAD2-48EE-B5D1-93A32A4C268F}" name="TME Tab Member Months for MA (Insurance Category Codes 1+5+8) " dataDxfId="389" dataCellStyle="Comma">
      <calculatedColumnFormula>IFERROR(I18,"NA")</calculatedColumnFormula>
    </tableColumn>
    <tableColumn id="9" xr3:uid="{E626E462-903E-4A64-A3A6-9EB680A4320E}" name="CMS Member Months for MA " dataDxfId="388" dataCellStyle="Comma">
      <calculatedColumnFormula array="1">IFERROR(INDEX(MA_2023[Enrolled_Totals],MATCH(PAD_40[Carrier Inputted Insurer Code (Field ID TM01)],MA_2023[INSURER_CODE],0)),"-")</calculatedColumnFormula>
    </tableColumn>
    <tableColumn id="10" xr3:uid="{D45C0C2E-1E6B-492D-8FC0-00F13412E83A}" name="MA Member Months Variation " dataDxfId="387" dataCellStyle="Comma">
      <calculatedColumnFormula>IFERROR(ABS(PAD_40[[#This Row],[TME Tab Member Months for MA (Insurance Category Codes 1+5+8) ]]-PAD_40[[#This Row],[CMS Member Months for MA ]]),"NA")</calculatedColumnFormula>
    </tableColumn>
    <tableColumn id="11" xr3:uid="{25314375-0BBE-4E8D-92CF-8B0DF1DA656A}" name="TME Tab Member Count (Member Months Divided by 12) for Medicaid MCO (Insurance Category Codes 2+6) " dataDxfId="386" dataCellStyle="Comma">
      <calculatedColumnFormula>IFERROR((I22/12),"NA")</calculatedColumnFormula>
    </tableColumn>
    <tableColumn id="12" xr3:uid="{C752D742-3912-4DA3-B032-90342930AE16}" name="CMS Member Count for Medicaid MCO " dataDxfId="385" dataCellStyle="Comma">
      <calculatedColumnFormula array="1">IFERROR(INDEX(MC_2023[Enrolled_Totals],MATCH(PAD_40[Carrier Inputted Insurer Code (Field ID TM01)],MC_2023[INSURER_CODE],0)),"-")</calculatedColumnFormula>
    </tableColumn>
    <tableColumn id="13" xr3:uid="{6030247B-A947-4F9D-90E9-F2B9B17B2C21}" name="Medicaid MCO Member Count Variation " dataDxfId="384" dataCellStyle="Comma">
      <calculatedColumnFormula>IFERROR(ABS(PAD_40[[#This Row],[TME Tab Member Count (Member Months Divided by 12) for Medicaid MCO (Insurance Category Codes 2+6) ]]-PAD_40[[#This Row],[CMS Member Count for Medicaid MCO ]]),"NA")</calculatedColumnFormula>
    </tableColumn>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3E4C49B-60D9-4998-AA6B-62320BF47DD9}" name="MA_2018" displayName="MA_2018" ref="A2:C9" totalsRowShown="0">
  <autoFilter ref="A2:C9" xr:uid="{33E4C49B-60D9-4998-AA6B-62320BF47DD9}"/>
  <tableColumns count="3">
    <tableColumn id="1" xr3:uid="{91B667AD-4990-4DB1-9E00-CCA24D56ECF9}" name="year"/>
    <tableColumn id="2" xr3:uid="{C16A023C-ED99-44CF-9076-4783D9B68A24}" name="INSURER_CODE"/>
    <tableColumn id="3" xr3:uid="{61E6090E-4FBD-4821-928E-C3ABA712C814}" name="Enrolled_Totals" dataDxfId="383" dataCellStyle="Comma"/>
  </tableColumns>
  <tableStyleInfo name="TableStyleLight1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561A1BD-9B40-4236-B5AE-3511F2DD447D}" name="MC_2018" displayName="MC_2018" ref="A52:C59" totalsRowShown="0">
  <autoFilter ref="A52:C59" xr:uid="{C561A1BD-9B40-4236-B5AE-3511F2DD447D}"/>
  <tableColumns count="3">
    <tableColumn id="1" xr3:uid="{DBFB7CCE-7856-4ADA-AF69-24C26679D397}" name="year"/>
    <tableColumn id="2" xr3:uid="{3E78AC45-0C10-4938-9AE2-7EEC4B6A4FF9}" name="INSURER_CODE"/>
    <tableColumn id="3" xr3:uid="{1144A7C7-9B6C-4BDF-962D-C4B775EB6F73}" name="Enrolled_Totals" dataDxfId="382" dataCellStyle="Comma"/>
  </tableColumns>
  <tableStyleInfo name="TableStyleLight1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8DFCDD-D1F3-48B1-B6CC-D245E52EF07E}" name="MA_2019" displayName="MA_2019" ref="A12:C19" totalsRowShown="0">
  <autoFilter ref="A12:C19" xr:uid="{008DFCDD-D1F3-48B1-B6CC-D245E52EF07E}"/>
  <tableColumns count="3">
    <tableColumn id="1" xr3:uid="{4FFBD007-D4BD-4EEB-AA41-5C8C19825087}" name="year"/>
    <tableColumn id="2" xr3:uid="{3366CAF3-CF34-4F0A-84AD-367905023343}" name="INSURER_CODE"/>
    <tableColumn id="3" xr3:uid="{758F0D47-66B5-4BF6-AE19-0AE548068761}" name="Enrolled_Totals" dataDxfId="381" dataCellStyle="Comma"/>
  </tableColumns>
  <tableStyleInfo name="TableStyleLight1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F77FA876-F429-4BF8-B5D6-2A79F6B071E0}" name="MC_2019" displayName="MC_2019" ref="A62:C69" totalsRowShown="0">
  <autoFilter ref="A62:C69" xr:uid="{F77FA876-F429-4BF8-B5D6-2A79F6B071E0}"/>
  <sortState xmlns:xlrd2="http://schemas.microsoft.com/office/spreadsheetml/2017/richdata2" ref="A63:C69">
    <sortCondition ref="B62:B69"/>
  </sortState>
  <tableColumns count="3">
    <tableColumn id="1" xr3:uid="{85A65744-2659-4026-9ECC-18129B2F5050}" name="year"/>
    <tableColumn id="2" xr3:uid="{FDA85775-E745-457D-BAFB-49BBDBADFEEA}" name="INSURER_CODE"/>
    <tableColumn id="3" xr3:uid="{D962BE87-7997-42D3-AC6D-16B46FD5DE59}" name="Enrolled_Totals" dataDxfId="380" dataCellStyle="Comma"/>
  </tableColumns>
  <tableStyleInfo name="TableStyleLight1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7CDE177-A1D6-440A-BFEC-236A3E9296A0}" name="MA_2021" displayName="MA_2021" ref="A22:C29" totalsRowShown="0">
  <autoFilter ref="A22:C29" xr:uid="{E7CDE177-A1D6-440A-BFEC-236A3E9296A0}"/>
  <tableColumns count="3">
    <tableColumn id="1" xr3:uid="{BF594EF3-DE96-4C26-AFA5-A91B870DDE30}" name="year"/>
    <tableColumn id="2" xr3:uid="{6D27FA48-F02C-4284-9EB2-8C5B6817BDB1}" name="INSURER_CODE"/>
    <tableColumn id="3" xr3:uid="{64CC66DA-0B8F-4653-A15E-621D0E700AED}" name="Enrolled_Totals" dataDxfId="379" dataCellStyle="Comma"/>
  </tableColumns>
  <tableStyleInfo name="TableStyleLight1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565D568-3B95-4470-9891-9373C9B939C4}" name="MA_2022" displayName="MA_2022" ref="A32:C39" totalsRowShown="0">
  <autoFilter ref="A32:C39" xr:uid="{2565D568-3B95-4470-9891-9373C9B939C4}"/>
  <tableColumns count="3">
    <tableColumn id="1" xr3:uid="{9BEA5EDE-29F5-4244-977E-72FA6797A716}" name="year"/>
    <tableColumn id="2" xr3:uid="{727A27D4-150D-47E4-987B-85A1896C87FE}" name="INSURER_CODE"/>
    <tableColumn id="3" xr3:uid="{9FD9A0DA-EBDC-46F9-8B1F-6828EA1229F9}" name="Enrolled_Totals" dataDxfId="378" dataCellStyle="Comma"/>
  </tableColumns>
  <tableStyleInfo name="TableStyleLight1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FC30AF9-E7C7-4174-8DE7-8110C1D517E9}" name="MA_2023" displayName="MA_2023" ref="A42:C49" totalsRowShown="0">
  <autoFilter ref="A42:C49" xr:uid="{DFC30AF9-E7C7-4174-8DE7-8110C1D517E9}"/>
  <tableColumns count="3">
    <tableColumn id="1" xr3:uid="{7DA56F43-EDBD-402C-9AF8-95665EE9ABD6}" name="year"/>
    <tableColumn id="2" xr3:uid="{C2592022-FACC-4839-9E73-BDEE290402AA}" name="INSURER_CODE"/>
    <tableColumn id="3" xr3:uid="{5B37084A-A165-40D0-8B20-FF68CF7E6AD5}" name="Enrolled_Totals" dataDxfId="377" dataCellStyle="Comma"/>
  </tableColumns>
  <tableStyleInfo name="TableStyleLight1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1226D123-EC09-4936-8840-5B2871DDAD05}" name="MC_2021" displayName="MC_2021" ref="A72:C79" totalsRowShown="0">
  <autoFilter ref="A72:C79" xr:uid="{1226D123-EC09-4936-8840-5B2871DDAD05}"/>
  <sortState xmlns:xlrd2="http://schemas.microsoft.com/office/spreadsheetml/2017/richdata2" ref="A73:C79">
    <sortCondition ref="B62:B69"/>
  </sortState>
  <tableColumns count="3">
    <tableColumn id="1" xr3:uid="{30ABA21B-A2BE-46B9-B94C-41CECB49CBC5}" name="year"/>
    <tableColumn id="2" xr3:uid="{661F0B95-60AB-4383-B2C0-8DCBCBA902F4}" name="INSURER_CODE"/>
    <tableColumn id="3" xr3:uid="{EB71BA4D-27CF-41A5-9E32-4C9390AB7DCA}" name="Enrolled_Totals" dataDxfId="376" dataCellStyle="Comma"/>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FFAE6EF-DB6C-411C-AC4E-D79E7C295F1D}" name="Contents" displayName="Contents" ref="A12:B24" totalsRowShown="0" headerRowDxfId="796" dataDxfId="794" headerRowBorderDxfId="795" tableBorderDxfId="793" totalsRowBorderDxfId="792">
  <tableColumns count="2">
    <tableColumn id="1" xr3:uid="{D7E47C0B-972F-4529-AF85-2D419BDD7A5C}" name="Tab Name" dataDxfId="791"/>
    <tableColumn id="2" xr3:uid="{9A41763C-6D0C-4C79-8532-EFC1DE8700AD}" name="Contents" dataDxfId="790"/>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1DC77AC-F436-45DA-8108-4AC0F8975D2C}" name="MC_2022" displayName="MC_2022" ref="A82:C89" totalsRowShown="0">
  <autoFilter ref="A82:C89" xr:uid="{F1DC77AC-F436-45DA-8108-4AC0F8975D2C}"/>
  <sortState xmlns:xlrd2="http://schemas.microsoft.com/office/spreadsheetml/2017/richdata2" ref="A83:C89">
    <sortCondition ref="B62:B69"/>
  </sortState>
  <tableColumns count="3">
    <tableColumn id="1" xr3:uid="{7361117C-61EA-4A2C-865D-A6047DA51114}" name="year"/>
    <tableColumn id="2" xr3:uid="{05ADB1D0-83F5-48EB-A1C6-09BA37169E1E}" name="INSURER_CODE"/>
    <tableColumn id="3" xr3:uid="{07F5E3AE-1608-4771-B43A-C83DA9069DD8}" name="Enrolled_Totals" dataDxfId="375" dataCellStyle="Comma"/>
  </tableColumns>
  <tableStyleInfo name="TableStyleLight1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CECAF93-816C-4172-8861-BC98FD93B47E}" name="MC_2023" displayName="MC_2023" ref="A92:C99" totalsRowShown="0">
  <autoFilter ref="A92:C99" xr:uid="{DCECAF93-816C-4172-8861-BC98FD93B47E}"/>
  <sortState xmlns:xlrd2="http://schemas.microsoft.com/office/spreadsheetml/2017/richdata2" ref="A93:C99">
    <sortCondition ref="B62:B69"/>
  </sortState>
  <tableColumns count="3">
    <tableColumn id="1" xr3:uid="{63F3DDFC-7F58-42C7-81A3-50BD793AA318}" name="year"/>
    <tableColumn id="2" xr3:uid="{8EC1A691-5A1B-49D2-9E99-F7DBEE9BA874}" name="INSURER_CODE"/>
    <tableColumn id="3" xr3:uid="{23442ED9-D821-414C-B71D-86583DCD1CBD}" name="Enrolled_Totals" dataDxfId="374" dataCellStyle="Comma"/>
  </tableColumns>
  <tableStyleInfo name="TableStyleLight1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A6EEAB-3FCD-4EE6-B4B6-8D0E40A04794}" name="Table1" displayName="Table1" ref="A7:D19" totalsRowShown="0" headerRowDxfId="365" dataDxfId="363" headerRowBorderDxfId="364" tableBorderDxfId="362" totalsRowBorderDxfId="361">
  <autoFilter ref="A7:D19" xr:uid="{F8A6EEAB-3FCD-4EE6-B4B6-8D0E40A04794}"/>
  <tableColumns count="4">
    <tableColumn id="1" xr3:uid="{CDA19ACD-8AEE-4402-8002-3728C4B88C2B}" name="Insurance Category" dataDxfId="360"/>
    <tableColumn id="2" xr3:uid="{623DCDB4-7561-4AB9-8A5B-3BBCBA3179D3}" name="2021" dataDxfId="359"/>
    <tableColumn id="3" xr3:uid="{B738DA85-6E5C-49FF-8D7C-4314B272A817}" name="2022" dataDxfId="358"/>
    <tableColumn id="4" xr3:uid="{F7C6D4B1-8D0A-485B-B500-B7445E76E9CB}" name="Trend" dataDxfId="357" dataCellStyle="Percent"/>
  </tableColumns>
  <tableStyleInfo name="Table Style 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72502A7-3A31-4DA6-BCA3-3530E2BA6C83}" name="Table9" displayName="Table9" ref="A24:D48" totalsRowShown="0" headerRowDxfId="356" dataDxfId="354" headerRowBorderDxfId="355" tableBorderDxfId="353" totalsRowBorderDxfId="352">
  <autoFilter ref="A24:D48" xr:uid="{172502A7-3A31-4DA6-BCA3-3530E2BA6C83}"/>
  <tableColumns count="4">
    <tableColumn id="1" xr3:uid="{1F1DCA12-E2E1-4677-8D49-627C17BC3354}" name="Service Category" dataDxfId="351"/>
    <tableColumn id="2" xr3:uid="{EA2D6E36-FBCB-4218-BBD2-E974792406FB}" name="2021" dataDxfId="350"/>
    <tableColumn id="3" xr3:uid="{795A562E-F28C-4E13-A531-C6068CE7F863}" name="2022" dataDxfId="349"/>
    <tableColumn id="4" xr3:uid="{487BA85A-47C6-4CBE-A6B5-D3CF8B1F7F79}" name="Trend" dataDxfId="348" dataCellStyle="Percent"/>
  </tableColumns>
  <tableStyleInfo name="Table Style 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11F9C71-08E9-4599-82C5-E5A1DE347FA2}" name="Table911" displayName="Table911" ref="F24:I48" totalsRowShown="0" headerRowDxfId="347" dataDxfId="345" headerRowBorderDxfId="346" tableBorderDxfId="344" totalsRowBorderDxfId="343">
  <autoFilter ref="F24:I48" xr:uid="{411F9C71-08E9-4599-82C5-E5A1DE347FA2}"/>
  <tableColumns count="4">
    <tableColumn id="1" xr3:uid="{19345CA9-2F9E-4C4B-B50B-83A9E2B49D61}" name="Service Category" dataDxfId="342"/>
    <tableColumn id="2" xr3:uid="{59BB521B-C1F4-4789-800E-F8F692319F90}" name="2021" dataDxfId="341"/>
    <tableColumn id="3" xr3:uid="{D32AA379-B55B-431A-A302-D59B343A97E0}" name="2022" dataDxfId="340"/>
    <tableColumn id="4" xr3:uid="{8BFB63AF-9FE3-409A-A942-9428BC1298C7}" name="Trend" dataDxfId="339" dataCellStyle="Percent"/>
  </tableColumns>
  <tableStyleInfo name="Table Style 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1B6B9E7-41B2-4662-844A-099D1CB9855B}" name="Table91112" displayName="Table91112" ref="K24:N48" totalsRowShown="0" headerRowDxfId="338" dataDxfId="336" headerRowBorderDxfId="337" tableBorderDxfId="335" totalsRowBorderDxfId="334">
  <autoFilter ref="K24:N48" xr:uid="{51B6B9E7-41B2-4662-844A-099D1CB9855B}"/>
  <tableColumns count="4">
    <tableColumn id="1" xr3:uid="{F9470BC3-B179-4878-8C6E-523901B61D81}" name="Service Category" dataDxfId="333"/>
    <tableColumn id="2" xr3:uid="{54327B97-68F0-4342-8ACD-40FAADF9F759}" name="2021" dataDxfId="332"/>
    <tableColumn id="3" xr3:uid="{C167B3F9-B33F-4CBD-BB66-45C548DD8A29}" name="2022" dataDxfId="331"/>
    <tableColumn id="4" xr3:uid="{9FCBA273-5502-428A-9F1E-108D3A1EAC24}" name="Trend" dataDxfId="330" dataCellStyle="Percent">
      <calculatedColumnFormula>IFERROR(Table911[[#This Row],[2022]]/Table911[[#This Row],[2021]]-1,"NA")</calculatedColumnFormula>
    </tableColumn>
  </tableColumns>
  <tableStyleInfo name="Table Style 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0F416C0-94E3-4E92-8AD8-A5B317BF7A23}" name="Table913" displayName="Table913" ref="A53:D77" totalsRowShown="0" headerRowDxfId="329" dataDxfId="327" headerRowBorderDxfId="328" tableBorderDxfId="326" totalsRowBorderDxfId="325">
  <autoFilter ref="A53:D77" xr:uid="{E0F416C0-94E3-4E92-8AD8-A5B317BF7A23}"/>
  <tableColumns count="4">
    <tableColumn id="1" xr3:uid="{54D405FB-9497-4C5B-82E8-7E09C27C9D6B}" name="Service Category" dataDxfId="324"/>
    <tableColumn id="2" xr3:uid="{1F02876A-FDFD-4DF1-BE99-9643547EB451}" name="2021" dataDxfId="323"/>
    <tableColumn id="3" xr3:uid="{E64D28EA-64A0-47BE-A5E6-1C7C852ED211}" name="2022" dataDxfId="322"/>
    <tableColumn id="4" xr3:uid="{81339995-556F-4597-BB35-5A80C3C23F87}" name="Trend" dataDxfId="321" dataCellStyle="Percent">
      <calculatedColumnFormula>IFERROR(Table913[[#This Row],[2022]]/Table913[[#This Row],[2021]]-1,"NA")</calculatedColumnFormula>
    </tableColumn>
  </tableColumns>
  <tableStyleInfo name="Table Style 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127BC55-7775-4171-A3AB-CFEA4FF7A9F7}" name="Table91114" displayName="Table91114" ref="F53:I77" totalsRowShown="0" headerRowDxfId="320" dataDxfId="318" headerRowBorderDxfId="319" tableBorderDxfId="317" totalsRowBorderDxfId="316">
  <autoFilter ref="F53:I77" xr:uid="{4127BC55-7775-4171-A3AB-CFEA4FF7A9F7}"/>
  <tableColumns count="4">
    <tableColumn id="1" xr3:uid="{1ECDCDF5-E469-4412-8179-96B0F79E95FC}" name="Service Category" dataDxfId="315"/>
    <tableColumn id="2" xr3:uid="{71EFD962-EE69-4AC9-B52B-96A50EBFB18A}" name="2021" dataDxfId="314"/>
    <tableColumn id="3" xr3:uid="{61C72167-33E1-49B7-82A6-9B8BC6C43B3A}" name="2022" dataDxfId="313"/>
    <tableColumn id="4" xr3:uid="{2178B8B7-BDBF-4592-A6F1-E52060400E95}" name="Trend" dataDxfId="312" dataCellStyle="Percent"/>
  </tableColumns>
  <tableStyleInfo name="Table Style 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475C88F-AE01-424A-B658-3EB099F80FE6}" name="Table9111215" displayName="Table9111215" ref="K53:N77" totalsRowShown="0" headerRowDxfId="311" dataDxfId="309" headerRowBorderDxfId="310" tableBorderDxfId="308" totalsRowBorderDxfId="307">
  <autoFilter ref="K53:N77" xr:uid="{D475C88F-AE01-424A-B658-3EB099F80FE6}"/>
  <tableColumns count="4">
    <tableColumn id="1" xr3:uid="{F4763C21-6416-43C3-8A18-B902A4A98F9C}" name="Service Category" dataDxfId="306"/>
    <tableColumn id="2" xr3:uid="{C031112E-D3BD-4EAF-8FB1-BA4B1A621246}" name="2021" dataDxfId="305" dataCellStyle="Currency"/>
    <tableColumn id="3" xr3:uid="{ED1ABCAF-BE31-490C-9C1E-AF4969FB7EA3}" name="2022" dataDxfId="304" dataCellStyle="Currency"/>
    <tableColumn id="4" xr3:uid="{35BDF61E-AC59-4C78-A56E-DBD7C4698171}" name="Trend" dataDxfId="303" dataCellStyle="Percent">
      <calculatedColumnFormula>IFERROR(N53/R51,"NA")</calculatedColumnFormula>
    </tableColumn>
  </tableColumns>
  <tableStyleInfo name="Table Style 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0A6272A-F5C4-4B40-A181-D00C4DE09CC4}" name="Table91316" displayName="Table91316" ref="A82:D106" totalsRowShown="0" headerRowDxfId="302" dataDxfId="300" headerRowBorderDxfId="301" tableBorderDxfId="299" totalsRowBorderDxfId="298">
  <autoFilter ref="A82:D106" xr:uid="{F0A6272A-F5C4-4B40-A181-D00C4DE09CC4}"/>
  <tableColumns count="4">
    <tableColumn id="1" xr3:uid="{7D1D7B72-49D9-4E44-9A37-66391F59021C}" name="Service Category" dataDxfId="297"/>
    <tableColumn id="2" xr3:uid="{D3042E97-B774-42A8-88FF-0FFA8EF2525A}" name="2021" dataDxfId="296"/>
    <tableColumn id="3" xr3:uid="{DFEA949F-8B0B-4464-B0DA-C06AA92BFC8C}" name="2022" dataDxfId="295"/>
    <tableColumn id="4" xr3:uid="{77C4C8C5-313E-496E-98CC-84DBDB186E04}" name="Trend" dataDxfId="294" dataCellStyle="Percent"/>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6FD7C46-73F9-4C94-8197-C3552DED607E}" name="LPE" displayName="LPE" ref="A26:B47" totalsRowShown="0" headerRowDxfId="789" dataDxfId="787" headerRowBorderDxfId="788" tableBorderDxfId="786" totalsRowBorderDxfId="785">
  <autoFilter ref="A26:B47" xr:uid="{16FD7C46-73F9-4C94-8197-C3552DED607E}">
    <filterColumn colId="0" hiddenButton="1"/>
    <filterColumn colId="1" hiddenButton="1"/>
  </autoFilter>
  <tableColumns count="2">
    <tableColumn id="1" xr3:uid="{B502CDD1-F148-4B2D-A9BD-9B1F72045A9A}" name="Large Provider Entity Code" dataDxfId="784"/>
    <tableColumn id="2" xr3:uid="{6AD0368B-6E32-4350-966C-7A648AF00A5F}" name="Description" dataDxfId="783"/>
  </tableColumns>
  <tableStyleInfo name="Table Style 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54386EF-4090-447C-8827-539F6CA1B6B5}" name="Table9111417" displayName="Table9111417" ref="F82:I106" totalsRowShown="0" headerRowDxfId="293" dataDxfId="291" headerRowBorderDxfId="292" tableBorderDxfId="290" totalsRowBorderDxfId="289">
  <autoFilter ref="F82:I106" xr:uid="{A54386EF-4090-447C-8827-539F6CA1B6B5}"/>
  <tableColumns count="4">
    <tableColumn id="1" xr3:uid="{0A4F406C-A6ED-46D6-BF0C-740C93435FE1}" name="Service Category" dataDxfId="288"/>
    <tableColumn id="2" xr3:uid="{2847E168-4312-49A4-A640-5487F6816EC1}" name="2021" dataDxfId="287"/>
    <tableColumn id="3" xr3:uid="{ACDF54D2-FE52-4EE3-A63A-327741D7DB22}" name="2022" dataDxfId="286"/>
    <tableColumn id="4" xr3:uid="{159339C8-CBAA-4354-BB75-2719A1CF15F4}" name="Trend" dataDxfId="285" dataCellStyle="Percent"/>
  </tableColumns>
  <tableStyleInfo name="Table Style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49079E1-2A48-455D-9E2F-95B4F246A2DF}" name="Table911121518" displayName="Table911121518" ref="K82:N106" totalsRowShown="0" headerRowDxfId="284" dataDxfId="282" headerRowBorderDxfId="283" tableBorderDxfId="281" totalsRowBorderDxfId="280">
  <autoFilter ref="K82:N106" xr:uid="{249079E1-2A48-455D-9E2F-95B4F246A2DF}"/>
  <tableColumns count="4">
    <tableColumn id="1" xr3:uid="{AAB05BFD-D88D-42B2-A4AC-82F99995F678}" name="Service Category" dataDxfId="279"/>
    <tableColumn id="2" xr3:uid="{4F25F198-98B7-429B-B492-0FDC8C598346}" name="2021" dataDxfId="278"/>
    <tableColumn id="3" xr3:uid="{875D5D78-FF85-43E3-8758-B8C2E949A96C}" name="2022" dataDxfId="277"/>
    <tableColumn id="4" xr3:uid="{9119E663-263B-42E1-B1AA-EA17EB842EE9}" name="Trend" dataDxfId="276" dataCellStyle="Percent">
      <calculatedColumnFormula>IFERROR(Table911121518[[#This Row],[2022]]/Table911121518[[#This Row],[2021]]-1,"NA")</calculatedColumnFormula>
    </tableColumn>
  </tableColumns>
  <tableStyleInfo name="Table Style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A46EDCC-F95B-4CA9-AF32-9F86111AF30A}" name="Table9111227" displayName="Table9111227" ref="P24:S48" totalsRowShown="0" headerRowDxfId="275" dataDxfId="273" headerRowBorderDxfId="274" tableBorderDxfId="272" totalsRowBorderDxfId="271">
  <autoFilter ref="P24:S48" xr:uid="{EA46EDCC-F95B-4CA9-AF32-9F86111AF30A}"/>
  <tableColumns count="4">
    <tableColumn id="1" xr3:uid="{6F21B31F-F73A-455C-9E87-202BE6FFABF4}" name="Service Category" dataDxfId="270"/>
    <tableColumn id="2" xr3:uid="{E758C5D3-0267-4AD7-AF13-FCFDB3E5E624}" name="2021" dataDxfId="269"/>
    <tableColumn id="3" xr3:uid="{C2ECC062-9590-4822-B58C-23493C583748}" name="2022" dataDxfId="268"/>
    <tableColumn id="4" xr3:uid="{0433CC37-CA62-488C-804F-11BDA2848869}" name="Trend" dataDxfId="267" dataCellStyle="Percent">
      <calculatedColumnFormula>IFERROR(Table9111227[[#This Row],[2022]]/Table9111227[[#This Row],[2021]]-1,"NA")</calculatedColumnFormula>
    </tableColumn>
  </tableColumns>
  <tableStyleInfo name="Table Style 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4D9640B-37E2-4016-BFCE-097A246F040C}" name="Table911121528" displayName="Table911121528" ref="P53:S77" totalsRowShown="0" headerRowDxfId="266" dataDxfId="264" headerRowBorderDxfId="265" tableBorderDxfId="263" totalsRowBorderDxfId="262">
  <autoFilter ref="P53:S77" xr:uid="{94D9640B-37E2-4016-BFCE-097A246F040C}"/>
  <tableColumns count="4">
    <tableColumn id="1" xr3:uid="{66535E61-3142-4E5D-B218-D2AC53BF9164}" name="Service Category" dataDxfId="261"/>
    <tableColumn id="2" xr3:uid="{7D363B55-1D84-4ECE-9023-325498ACD67C}" name="2021" dataDxfId="260" dataCellStyle="Currency"/>
    <tableColumn id="3" xr3:uid="{C7B00681-50C0-4FEE-926F-F55A0297FD88}" name="2022" dataDxfId="259" dataCellStyle="Currency"/>
    <tableColumn id="4" xr3:uid="{3CB37BF8-2FDB-4832-89B7-9C729C7E4061}" name="Trend" dataDxfId="258" dataCellStyle="Percent">
      <calculatedColumnFormula>IFERROR(Table911121528[[#This Row],[2022]]/Table911121528[[#This Row],[2021]]-1,"NA")</calculatedColumnFormula>
    </tableColumn>
  </tableColumns>
  <tableStyleInfo name="Table Style 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5EC0B0A8-BA18-4195-B6CA-7DE3170AF062}" name="Table1741" displayName="Table1741" ref="F7:I19" totalsRowShown="0" headerRowDxfId="257" dataDxfId="255" headerRowBorderDxfId="256" tableBorderDxfId="254" totalsRowBorderDxfId="253">
  <autoFilter ref="F7:I19" xr:uid="{5EC0B0A8-BA18-4195-B6CA-7DE3170AF062}"/>
  <tableColumns count="4">
    <tableColumn id="1" xr3:uid="{BE181173-809F-4E56-ADC8-A0C9E764BDE0}" name="Insurance Category" dataDxfId="252"/>
    <tableColumn id="2" xr3:uid="{EB79490C-F31A-4A49-BF4C-E22E82295D6E}" name="2021" dataDxfId="251" dataCellStyle="Currency"/>
    <tableColumn id="3" xr3:uid="{07189DFA-0C5E-4457-B234-7C33D7C4AEFB}" name="2022" dataDxfId="250" dataCellStyle="Currency"/>
    <tableColumn id="4" xr3:uid="{493A9BD2-3CF5-4B9B-BD99-FC121E89983C}" name="Trend" dataDxfId="249" dataCellStyle="Percent">
      <calculatedColumnFormula>IFERROR(Table1741[[#This Row],[2022]]/Table1741[[#This Row],[2021]]-1,"NA")</calculatedColumnFormula>
    </tableColumn>
  </tableColumns>
  <tableStyleInfo name="Table Style 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7132EF3-6F75-4A22-98B5-C1E5A74B671E}" name="Table17842" displayName="Table17842" ref="K7:N19" totalsRowShown="0" headerRowDxfId="248" dataDxfId="246" headerRowBorderDxfId="247" tableBorderDxfId="245" totalsRowBorderDxfId="244">
  <autoFilter ref="K7:N19" xr:uid="{A7132EF3-6F75-4A22-98B5-C1E5A74B671E}"/>
  <tableColumns count="4">
    <tableColumn id="1" xr3:uid="{BFEB120F-8491-4E7C-99AE-F582BBAC02C9}" name="Insurance Category" dataDxfId="243"/>
    <tableColumn id="2" xr3:uid="{C40F1E94-7E22-4DFC-BE7D-B76274FF187A}" name="2021" dataDxfId="242" dataCellStyle="Currency"/>
    <tableColumn id="3" xr3:uid="{3395D55D-E319-4421-9BE4-16410CD37B8C}" name="2022" dataDxfId="241" dataCellStyle="Currency">
      <calculatedColumnFormula>IFERROR(#REF!/#REF!,"NA")</calculatedColumnFormula>
    </tableColumn>
    <tableColumn id="4" xr3:uid="{B2E53A5A-A25D-471C-953A-124AF9C98A74}" name="Trend" dataDxfId="240" dataCellStyle="Percent">
      <calculatedColumnFormula>IFERROR(Table17842[[#This Row],[2022]]/Table17842[[#This Row],[2021]]-1,"NA")</calculatedColumnFormula>
    </tableColumn>
  </tableColumns>
  <tableStyleInfo name="Table Style 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95C037B-E8C6-419B-A4BD-98C8D6B3507A}" name="Table147" displayName="Table147" ref="A7:D19" totalsRowShown="0" headerRowDxfId="231" dataDxfId="229" headerRowBorderDxfId="230" tableBorderDxfId="228" totalsRowBorderDxfId="227">
  <autoFilter ref="A7:D19" xr:uid="{F8A6EEAB-3FCD-4EE6-B4B6-8D0E40A04794}"/>
  <tableColumns count="4">
    <tableColumn id="1" xr3:uid="{D521C54A-E38B-4082-8500-206C4B19A31A}" name="Insurance Category" dataDxfId="226"/>
    <tableColumn id="2" xr3:uid="{39821DB3-83C8-4E3A-B409-80418568099E}" name="2022" dataDxfId="225"/>
    <tableColumn id="3" xr3:uid="{D26D3836-0F8F-4834-8C05-FC8E0B2230D5}" name="2023" dataDxfId="224"/>
    <tableColumn id="4" xr3:uid="{15339577-D8C3-454F-A66F-745E39DE9D80}" name="Trend" dataDxfId="223" dataCellStyle="Percent">
      <calculatedColumnFormula>IFERROR(Table147[[#This Row],[2023]]/Table147[[#This Row],[2022]]-1,"NA")</calculatedColumnFormula>
    </tableColumn>
  </tableColumns>
  <tableStyleInfo name="Table Style 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8F41DAA-ADE9-446C-8854-102549582932}" name="Table948" displayName="Table948" ref="A24:D48" totalsRowShown="0" headerRowDxfId="222" dataDxfId="220" headerRowBorderDxfId="221" tableBorderDxfId="219" totalsRowBorderDxfId="218">
  <autoFilter ref="A24:D48" xr:uid="{172502A7-3A31-4DA6-BCA3-3530E2BA6C83}"/>
  <tableColumns count="4">
    <tableColumn id="1" xr3:uid="{64B7B605-FF7E-4633-9DC3-94B1C2F2EC32}" name="Service Category" dataDxfId="217"/>
    <tableColumn id="2" xr3:uid="{73CD2B2E-DF1E-4E75-89C1-FDEE535B20F0}" name="2022" dataDxfId="216"/>
    <tableColumn id="3" xr3:uid="{5AA2AC59-F56B-4E12-A555-401CB379275E}" name="2023" dataDxfId="215"/>
    <tableColumn id="4" xr3:uid="{88BEF8A8-7CA2-492D-A646-1F16270031A7}" name="Trend" dataDxfId="214" dataCellStyle="Percent"/>
  </tableColumns>
  <tableStyleInfo name="Table Style 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6944F64A-5F05-4E17-9560-9C33630D6EAC}" name="Table91149" displayName="Table91149" ref="F24:I48" totalsRowShown="0" headerRowDxfId="213" dataDxfId="211" headerRowBorderDxfId="212" tableBorderDxfId="210" totalsRowBorderDxfId="209">
  <autoFilter ref="F24:I48" xr:uid="{411F9C71-08E9-4599-82C5-E5A1DE347FA2}"/>
  <tableColumns count="4">
    <tableColumn id="1" xr3:uid="{3D3A2865-8714-49A5-BBFD-E01F77121243}" name="Service Category" dataDxfId="208"/>
    <tableColumn id="2" xr3:uid="{40AA7258-9E47-471C-9A4C-443E4800BD9E}" name="2022" dataDxfId="207"/>
    <tableColumn id="3" xr3:uid="{1FEFA0FD-A96D-4A85-86F4-DFCB49CE78C5}" name="2023" dataDxfId="206"/>
    <tableColumn id="4" xr3:uid="{9E85BD99-929F-4363-8AAF-E3C2A862440E}" name="Trend" dataDxfId="205" dataCellStyle="Percent"/>
  </tableColumns>
  <tableStyleInfo name="Table Style 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0F5EA9-D7B3-4815-95ED-13360F2C6E9D}" name="Table9111250" displayName="Table9111250" ref="K24:N48" totalsRowShown="0" headerRowDxfId="204" dataDxfId="202" headerRowBorderDxfId="203" tableBorderDxfId="201" totalsRowBorderDxfId="200">
  <autoFilter ref="K24:N48" xr:uid="{51B6B9E7-41B2-4662-844A-099D1CB9855B}"/>
  <tableColumns count="4">
    <tableColumn id="1" xr3:uid="{D231DDEB-6D74-47C3-8310-B1DDD08B5CD1}" name="Service Category" dataDxfId="199"/>
    <tableColumn id="2" xr3:uid="{36347533-6DD6-46C4-AFCA-6517E3AEFD8E}" name="2022" dataDxfId="198"/>
    <tableColumn id="3" xr3:uid="{9411CBD9-0340-4992-9C51-0B13DCBC811E}" name="2023" dataDxfId="197"/>
    <tableColumn id="4" xr3:uid="{53C67F70-74C3-43B6-9188-F9B1D90FD4F4}" name="Trend" dataDxfId="196" dataCellStyle="Percent">
      <calculatedColumnFormula>IFERROR(Table91149[[#This Row],[2023]]/Table91149[[#This Row],[2022]]-1,"NA")</calculatedColumnFormula>
    </tableColumn>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3E3A549-4C75-420D-84F9-2823212A0DF1}" name="INS_Code" displayName="INS_Code" ref="A5:B12" totalsRowShown="0" headerRowDxfId="782" dataDxfId="780" headerRowBorderDxfId="781" tableBorderDxfId="779" totalsRowBorderDxfId="778">
  <tableColumns count="2">
    <tableColumn id="1" xr3:uid="{43E02CF7-D918-4E8D-B437-6D3BE51AEEA4}" name="Insurer Code" dataDxfId="777"/>
    <tableColumn id="2" xr3:uid="{3B212B61-5525-43ED-8664-D19F8732F66D}" name="Description" dataDxfId="776"/>
  </tableColumns>
  <tableStyleInfo name="Table Style 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E30C15A-A190-4869-8EDC-50303AEF7FD5}" name="Table91351" displayName="Table91351" ref="A53:D77" totalsRowShown="0" headerRowDxfId="195" dataDxfId="193" headerRowBorderDxfId="194" tableBorderDxfId="192" totalsRowBorderDxfId="191">
  <autoFilter ref="A53:D77" xr:uid="{E0F416C0-94E3-4E92-8AD8-A5B317BF7A23}"/>
  <tableColumns count="4">
    <tableColumn id="1" xr3:uid="{24D7AEEE-94F8-483C-9DBC-7BAAC9E21A34}" name="Service Category" dataDxfId="190"/>
    <tableColumn id="2" xr3:uid="{A79A033A-2FD5-466F-87BF-A18DFBA8319B}" name="2022" dataDxfId="189"/>
    <tableColumn id="3" xr3:uid="{802E0E31-166B-479F-B62F-655FAF99ACFC}" name="2023" dataDxfId="188"/>
    <tableColumn id="4" xr3:uid="{491C64AE-7A41-485D-90EA-4CB84F9C6C95}" name="Trend" dataDxfId="187" dataCellStyle="Percent">
      <calculatedColumnFormula>IFERROR(Table91351[[#This Row],[2023]]/Table91351[[#This Row],[2022]]-1,"NA")</calculatedColumnFormula>
    </tableColumn>
  </tableColumns>
  <tableStyleInfo name="Table Style 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32BEE23-17E6-45DA-AEBB-3A36DF6A245E}" name="Table9111452" displayName="Table9111452" ref="F53:I77" totalsRowShown="0" headerRowDxfId="186" dataDxfId="184" headerRowBorderDxfId="185" tableBorderDxfId="183" totalsRowBorderDxfId="182">
  <autoFilter ref="F53:I77" xr:uid="{4127BC55-7775-4171-A3AB-CFEA4FF7A9F7}"/>
  <tableColumns count="4">
    <tableColumn id="1" xr3:uid="{6B9609AA-0739-4F01-AA47-3A6D4D0B2B01}" name="Service Category" dataDxfId="181"/>
    <tableColumn id="2" xr3:uid="{CD4ABF2F-6EDF-49F2-ADB4-E7DA48E74095}" name="2022" dataDxfId="180"/>
    <tableColumn id="3" xr3:uid="{689E814C-2AD4-4043-9C0C-1F52E1D3DA89}" name="2023" dataDxfId="179"/>
    <tableColumn id="4" xr3:uid="{CB5CA673-473D-41DD-8BDC-38D183B4118F}" name="Trend" dataDxfId="178" dataCellStyle="Percent"/>
  </tableColumns>
  <tableStyleInfo name="Table Style 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AC7ED383-2985-4D51-AE4A-598319E4AB2A}" name="Table911121553" displayName="Table911121553" ref="K53:N77" totalsRowShown="0" headerRowDxfId="177" dataDxfId="175" headerRowBorderDxfId="176" tableBorderDxfId="174" totalsRowBorderDxfId="173">
  <autoFilter ref="K53:N77" xr:uid="{D475C88F-AE01-424A-B658-3EB099F80FE6}"/>
  <tableColumns count="4">
    <tableColumn id="1" xr3:uid="{12BB045A-8690-4A4B-B3B3-56CE2DFCF6D1}" name="Service Category" dataDxfId="172"/>
    <tableColumn id="2" xr3:uid="{475B3C57-B7F4-45F9-8B4A-885E82596B75}" name="2022" dataDxfId="171" dataCellStyle="Currency"/>
    <tableColumn id="3" xr3:uid="{6E8CBCCF-0C2F-4031-95E7-EBB24CD8F99E}" name="2023" dataDxfId="170" dataCellStyle="Currency"/>
    <tableColumn id="4" xr3:uid="{A405ED75-E2FD-4A03-BBBC-E4BCE2C29D89}" name="Trend" dataDxfId="169" dataCellStyle="Percent">
      <calculatedColumnFormula>IFERROR(N53/R51,"NA")</calculatedColumnFormula>
    </tableColumn>
  </tableColumns>
  <tableStyleInfo name="Table Style 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1A80C70-F3E2-4734-95DC-B71D8FBC73A6}" name="Table9131654" displayName="Table9131654" ref="A82:D106" totalsRowShown="0" headerRowDxfId="168" dataDxfId="166" headerRowBorderDxfId="167" tableBorderDxfId="165" totalsRowBorderDxfId="164">
  <autoFilter ref="A82:D106" xr:uid="{F0A6272A-F5C4-4B40-A181-D00C4DE09CC4}"/>
  <tableColumns count="4">
    <tableColumn id="1" xr3:uid="{89B9BB8F-4338-4C3C-BE2D-6CAA7E7D773B}" name="Service Category" dataDxfId="163"/>
    <tableColumn id="2" xr3:uid="{8B6B8CD0-1099-4C1C-9F5E-47DF7B57A920}" name="2022" dataDxfId="162"/>
    <tableColumn id="3" xr3:uid="{FD2B8D30-CD8E-4BE4-A657-BEE5053F7E5D}" name="2023" dataDxfId="161"/>
    <tableColumn id="4" xr3:uid="{B394D7FD-3A72-4D20-BFAB-A6E59395FBEA}" name="Trend" dataDxfId="160" dataCellStyle="Percent"/>
  </tableColumns>
  <tableStyleInfo name="Table Style 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4A87F69-8E52-4B04-B85F-245147B36363}" name="Table911141755" displayName="Table911141755" ref="F82:I106" totalsRowShown="0" headerRowDxfId="159" dataDxfId="157" headerRowBorderDxfId="158" tableBorderDxfId="156" totalsRowBorderDxfId="155">
  <autoFilter ref="F82:I106" xr:uid="{A54386EF-4090-447C-8827-539F6CA1B6B5}"/>
  <tableColumns count="4">
    <tableColumn id="1" xr3:uid="{8E7D5B34-F312-4170-A2B8-3458D23546E2}" name="Service Category" dataDxfId="154"/>
    <tableColumn id="2" xr3:uid="{0E9CB8D9-CC83-473F-A95C-A6F712392980}" name="2022" dataDxfId="153"/>
    <tableColumn id="3" xr3:uid="{4C15D8C4-2082-4342-A6D1-9479991DB708}" name="2023" dataDxfId="152"/>
    <tableColumn id="4" xr3:uid="{401F1281-F31D-4216-B444-00F9C175756E}" name="Trend" dataDxfId="151" dataCellStyle="Percent"/>
  </tableColumns>
  <tableStyleInfo name="Table Style 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C91273A3-FFB5-483F-AF47-EB6BB20689C5}" name="Table91112151856" displayName="Table91112151856" ref="K82:N106" totalsRowShown="0" headerRowDxfId="150" dataDxfId="148" headerRowBorderDxfId="149" tableBorderDxfId="147" totalsRowBorderDxfId="146">
  <autoFilter ref="K82:N106" xr:uid="{249079E1-2A48-455D-9E2F-95B4F246A2DF}"/>
  <tableColumns count="4">
    <tableColumn id="1" xr3:uid="{E805C3D9-C402-4F0C-A8EE-54A7686BEB3A}" name="Service Category" dataDxfId="145"/>
    <tableColumn id="2" xr3:uid="{80987E14-EB4D-4ABA-8BC9-40AC91E6CA53}" name="2022" dataDxfId="144"/>
    <tableColumn id="3" xr3:uid="{C475EB79-B17D-4CFE-8007-9DB6B8572569}" name="2023" dataDxfId="143"/>
    <tableColumn id="4" xr3:uid="{21A3905B-9C57-4DD0-BF39-3B979A4FD7A8}" name="Trend" dataDxfId="142" dataCellStyle="Percent">
      <calculatedColumnFormula>IFERROR(Table91112151856[[#This Row],[2023]]/Table91112151856[[#This Row],[2022]]-1,"NA")</calculatedColumnFormula>
    </tableColumn>
  </tableColumns>
  <tableStyleInfo name="Table Style 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2BD86A4B-F2FC-4AA1-A65C-C71E43BD3B35}" name="Table911122757" displayName="Table911122757" ref="P24:S48" totalsRowShown="0" headerRowDxfId="141" dataDxfId="139" headerRowBorderDxfId="140" tableBorderDxfId="138" totalsRowBorderDxfId="137">
  <autoFilter ref="P24:S48" xr:uid="{EA46EDCC-F95B-4CA9-AF32-9F86111AF30A}"/>
  <tableColumns count="4">
    <tableColumn id="1" xr3:uid="{9FBEF2EA-4981-4245-8A9C-12309C132AB4}" name="Service Category" dataDxfId="136"/>
    <tableColumn id="2" xr3:uid="{3E82E5A7-CC6B-48B8-B6BC-0B1BDA2A1F6E}" name="2022" dataDxfId="135"/>
    <tableColumn id="3" xr3:uid="{7F337F8C-E7C2-42E5-9B48-2328AF3AA8F5}" name="2023" dataDxfId="134"/>
    <tableColumn id="4" xr3:uid="{D7091569-9B52-429F-87ED-0C2B18D37B51}" name="Trend" dataDxfId="133" dataCellStyle="Percent">
      <calculatedColumnFormula>IFERROR(Table911122757[[#This Row],[2023]]/Table911122757[[#This Row],[2022]]-1,"NA")</calculatedColumnFormula>
    </tableColumn>
  </tableColumns>
  <tableStyleInfo name="Table Style 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04B11A0-CBDE-49F2-B8AE-0BD05BF6F816}" name="Table91112152858" displayName="Table91112152858" ref="P53:S77" totalsRowShown="0" headerRowDxfId="132" dataDxfId="130" headerRowBorderDxfId="131" tableBorderDxfId="129" totalsRowBorderDxfId="128">
  <autoFilter ref="P53:S77" xr:uid="{94D9640B-37E2-4016-BFCE-097A246F040C}"/>
  <tableColumns count="4">
    <tableColumn id="1" xr3:uid="{9E317AD5-4409-448D-8DFB-1B7B01EE8D44}" name="Service Category" dataDxfId="127"/>
    <tableColumn id="2" xr3:uid="{259020E5-51D9-4056-B9B3-CE1AC1A53489}" name="2022" dataDxfId="126" dataCellStyle="Currency"/>
    <tableColumn id="3" xr3:uid="{1753E092-5B79-4C25-BBB7-42CF20F2B8EE}" name="2023" dataDxfId="125" dataCellStyle="Currency"/>
    <tableColumn id="4" xr3:uid="{20924BA4-9104-4446-8859-E201C30F2D20}" name="Trend" dataDxfId="124" dataCellStyle="Percent">
      <calculatedColumnFormula>IFERROR(Table91112152858[[#This Row],[2023]]/Table91112152858[[#This Row],[2022]]-1,"NA")</calculatedColumnFormula>
    </tableColumn>
  </tableColumns>
  <tableStyleInfo name="Table Style 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77E81E53-6218-4C6C-9B9C-99C109104990}" name="Table174159" displayName="Table174159" ref="F7:I19" totalsRowShown="0" headerRowDxfId="123" dataDxfId="121" headerRowBorderDxfId="122" tableBorderDxfId="120" totalsRowBorderDxfId="119">
  <autoFilter ref="F7:I19" xr:uid="{5EC0B0A8-BA18-4195-B6CA-7DE3170AF062}"/>
  <tableColumns count="4">
    <tableColumn id="1" xr3:uid="{3ADAB6FE-3024-4D9B-B063-E7F05B7E0E27}" name="Insurance Category" dataDxfId="118"/>
    <tableColumn id="2" xr3:uid="{9C6DEDD8-0AB7-4183-86FF-F811E7DDCE91}" name="2022" dataDxfId="117" dataCellStyle="Currency"/>
    <tableColumn id="3" xr3:uid="{66E6158B-A4BF-4BC5-971B-C0CD52A5A408}" name="2023" dataDxfId="116" dataCellStyle="Currency"/>
    <tableColumn id="4" xr3:uid="{95D18AE8-B0F8-46D8-958B-788EC7E3A653}" name="Trend" dataDxfId="115" dataCellStyle="Percent">
      <calculatedColumnFormula>IFERROR(Table174159[[#This Row],[2023]]/Table174159[[#This Row],[2022]]-1,"NA")</calculatedColumnFormula>
    </tableColumn>
  </tableColumns>
  <tableStyleInfo name="Table Style 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75E4067F-AB05-4E25-91BB-6FF017B7A126}" name="Table1784260" displayName="Table1784260" ref="K7:N19" totalsRowShown="0" headerRowDxfId="114" dataDxfId="112" headerRowBorderDxfId="113" tableBorderDxfId="111" totalsRowBorderDxfId="110">
  <autoFilter ref="K7:N19" xr:uid="{A7132EF3-6F75-4A22-98B5-C1E5A74B671E}"/>
  <tableColumns count="4">
    <tableColumn id="1" xr3:uid="{C453C91B-EA65-4659-9836-381E857EA463}" name="Insurance Category" dataDxfId="109"/>
    <tableColumn id="2" xr3:uid="{B078499D-30F6-49AF-A97F-1128FE440A6B}" name="2022" dataDxfId="108" dataCellStyle="Currency"/>
    <tableColumn id="3" xr3:uid="{DA6A5B86-D1DF-47E1-8D25-56CDC82E537B}" name="2023" dataDxfId="107" dataCellStyle="Currency">
      <calculatedColumnFormula>IFERROR(Table174159[[#This Row],[2023]]/Table147[[#This Row],[2023]],"NA")</calculatedColumnFormula>
    </tableColumn>
    <tableColumn id="4" xr3:uid="{658DE60C-49A3-43DF-A40A-1E91CF0FA5BC}" name="Trend" dataDxfId="106" dataCellStyle="Percent">
      <calculatedColumnFormula>IFERROR(Table1784260[[#This Row],[2023]]/Table1784260[[#This Row],[2022]]-1,"NA")</calculatedColumnFormula>
    </tableColumn>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A40DD9-2B0E-4D8F-AF29-398AABEC29DD}" name="CP" displayName="CP" ref="B17:C21" headerRowCount="0" totalsRowShown="0" headerRowDxfId="775" dataDxfId="773" headerRowBorderDxfId="774" tableBorderDxfId="772" totalsRowBorderDxfId="771">
  <tableColumns count="2">
    <tableColumn id="1" xr3:uid="{8E30C6BC-78CA-40F5-A829-935D089B563F}" name="Insurer Name" headerRowDxfId="770" dataDxfId="769"/>
    <tableColumn id="2" xr3:uid="{CAEC3531-474D-4C14-A788-80E307DD508B}" name="Column1" headerRowDxfId="768" dataDxfId="767"/>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1220D4-CE52-4CBD-8C34-0A1FFDA2BD5B}" name="TM" displayName="TM" ref="A11:AC515" totalsRowShown="0" headerRowDxfId="750" dataDxfId="748" headerRowBorderDxfId="749" tableBorderDxfId="747" totalsRowBorderDxfId="746">
  <autoFilter ref="A11:AC515" xr:uid="{131220D4-CE52-4CBD-8C34-0A1FFDA2BD5B}"/>
  <tableColumns count="29">
    <tableColumn id="1" xr3:uid="{E1616F8D-D488-4D8F-9487-03E45C70BB3C}" name="Insurer Code" dataDxfId="745"/>
    <tableColumn id="2" xr3:uid="{5B683E7A-0403-4A9C-AB9F-680201E6D7AF}" name="Reporting Year" dataDxfId="744"/>
    <tableColumn id="3" xr3:uid="{8789AD8C-E1DF-4602-B493-24EB770EDEF6}" name="Insurance Category Code" dataDxfId="743"/>
    <tableColumn id="4" xr3:uid="{E29CEFB3-5B5B-449D-A4F8-1A06E6903279}" name="Large Provider Entity Code" dataDxfId="742"/>
    <tableColumn id="7" xr3:uid="{274949C7-0726-437B-86CC-90B6C0F003CC}" name="Member Months" dataDxfId="741"/>
    <tableColumn id="8" xr3:uid="{11A072D2-78B9-417F-8C78-1D0E6BCCF9FC}" name="Claims: Hospital Inpatient" dataDxfId="740" dataCellStyle="Currency"/>
    <tableColumn id="9" xr3:uid="{6A4791F7-B6E7-42DB-BC56-5C7083AFCDD9}" name="Claims: Hospital Outpatient" dataDxfId="739" dataCellStyle="Currency"/>
    <tableColumn id="10" xr3:uid="{204B570B-AED1-450E-89E7-C44E501C53DD}" name="Claims: Professional, Primary Care Providers" dataDxfId="738" dataCellStyle="Currency"/>
    <tableColumn id="11" xr3:uid="{646F25FA-2A9F-4995-BD1C-149C13A12103}" name="Claims: Professional, Specialty Providers" dataDxfId="737" dataCellStyle="Currency"/>
    <tableColumn id="12" xr3:uid="{E42BB40E-E918-44C5-8DF3-8D677E2368E9}" name="Claims: Professional, Other Providers" dataDxfId="736" dataCellStyle="Currency"/>
    <tableColumn id="13" xr3:uid="{8C0D58C5-9A32-4EAE-B244-8885C17DF1D3}" name="Claims: Long-Term Care" dataDxfId="735" dataCellStyle="Currency"/>
    <tableColumn id="14" xr3:uid="{B59E230E-96E6-4CB5-BA3E-D8D5FB1EB5F0}" name="Claims: Retail Pharmacy" dataDxfId="734" dataCellStyle="Currency"/>
    <tableColumn id="15" xr3:uid="{42FCCC49-F931-4DDA-8585-AE5E36ED676A}" name="Claims: Other" dataDxfId="733" dataCellStyle="Currency"/>
    <tableColumn id="16" xr3:uid="{5BB5B712-7315-4EA2-8112-4A3AA1A39434}" name="Non-Claims: Capitation or Bundled Arrangements" dataDxfId="732" dataCellStyle="Currency"/>
    <tableColumn id="17" xr3:uid="{81DA32BB-B754-47E1-91C0-C665D27BA24F}" name="Non-Claims: Performance Incentives" dataDxfId="731" dataCellStyle="Currency"/>
    <tableColumn id="18" xr3:uid="{896B550B-B5AF-43AA-92C9-0C0D8A9596D8}" name="Non-Claims: Pop Health and Practice Infrastructure" dataDxfId="730" dataCellStyle="Currency"/>
    <tableColumn id="19" xr3:uid="{BD5B5680-FEC9-4AA4-97C1-5EF0165666A3}" name="Non-Claims: Provider Salaries" dataDxfId="729" dataCellStyle="Currency"/>
    <tableColumn id="20" xr3:uid="{0A2D74E4-7C80-487D-8CBD-8C500E3B99C8}" name="Non-Claims: Recovery" dataDxfId="728" dataCellStyle="Currency"/>
    <tableColumn id="21" xr3:uid="{F49CEDE6-CD41-410A-B78D-1CE35328F149}" name="Non-Claims: Other" dataDxfId="727" dataCellStyle="Currency"/>
    <tableColumn id="5" xr3:uid="{F0F81CA9-0061-4036-8357-9299D1A78F36}" name="Non-Claims: Total Primary Care" dataDxfId="726" dataCellStyle="Currency"/>
    <tableColumn id="22" xr3:uid="{B758953F-EB7C-4D67-8B1B-50F30FEBA618}" name="Claims Amount Excluded Due to Truncation" dataDxfId="725" dataCellStyle="Currency"/>
    <tableColumn id="23" xr3:uid="{D953A340-A962-443A-BC8D-EC7FE6EA4299}" name="Member Count with Truncated Claims" dataDxfId="724" dataCellStyle="Comma"/>
    <tableColumn id="24" xr3:uid="{E53C98B7-C443-4E7C-A91A-00A692542B01}" name="Total Non-Truncated Claims Spending" dataDxfId="723" dataCellStyle="Currency">
      <calculatedColumnFormula>SUM(F12:M12)</calculatedColumnFormula>
    </tableColumn>
    <tableColumn id="25" xr3:uid="{6B8D1DE8-53D5-4B8D-9D36-96EF41E439D0}" name="Total Non-Claims Spending" dataDxfId="722" dataCellStyle="Currency">
      <calculatedColumnFormula>SUM(N12:S12)</calculatedColumnFormula>
    </tableColumn>
    <tableColumn id="26" xr3:uid="{B3731A3D-4784-4616-A8D4-0E52B6023490}" name="Total Non-Truncated Claims and Non-Claims Spending" dataDxfId="721" dataCellStyle="Currency">
      <calculatedColumnFormula>W12+X12</calculatedColumnFormula>
    </tableColumn>
    <tableColumn id="27" xr3:uid="{A9779583-2ABF-45D5-AC5B-FF135F381C39}" name="Total Truncated Claims Spending" dataDxfId="720" dataCellStyle="Currency">
      <calculatedColumnFormula>W12-U12</calculatedColumnFormula>
    </tableColumn>
    <tableColumn id="28" xr3:uid="{1FBB3831-5DE1-4432-8B5B-353227BCE4A4}" name="Total Truncated Expenses" dataDxfId="719" dataCellStyle="Currency">
      <calculatedColumnFormula>Z12+X12</calculatedColumnFormula>
    </tableColumn>
    <tableColumn id="29" xr3:uid="{53C8ADC3-ADA2-4058-AB5F-FC67B4DEAC16}" name="Non-Truncated TME PMPM" dataDxfId="718" dataCellStyle="Currency">
      <calculatedColumnFormula>Y12/E12</calculatedColumnFormula>
    </tableColumn>
    <tableColumn id="30" xr3:uid="{19136209-2C13-45C2-A754-A7EB197D120A}" name="Truncated TME PMPM" dataDxfId="717" dataCellStyle="Currency">
      <calculatedColumnFormula>AA12/E12</calculatedColumnFormula>
    </tableColumn>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CCBD63A-D004-4DC1-92C6-D31CFE827695}" name="AS" displayName="AS" ref="A11:K8075" totalsRowShown="0" headerRowDxfId="695" dataDxfId="693" headerRowBorderDxfId="694" tableBorderDxfId="692" totalsRowBorderDxfId="691">
  <autoFilter ref="A11:K8075" xr:uid="{131220D4-CE52-4CBD-8C34-0A1FFDA2BD5B}"/>
  <tableColumns count="11">
    <tableColumn id="1" xr3:uid="{FAE9A81B-DE8C-416E-9296-41FB45E1F7F5}" name="Insurer Code" dataDxfId="690"/>
    <tableColumn id="2" xr3:uid="{0C02E030-9FA7-44ED-8290-2B54F7D097A5}" name="Reporting Year" dataDxfId="689"/>
    <tableColumn id="3" xr3:uid="{C3FE00D8-EAAD-4D79-91C8-BA636CC6C2EB}" name="Insurance Category Code" dataDxfId="688"/>
    <tableColumn id="4" xr3:uid="{7BA26AA0-EDAB-4652-9627-B88CFE7A2664}" name="Large Provider Entity Code" dataDxfId="687"/>
    <tableColumn id="31" xr3:uid="{1A68992C-8BE4-4553-AB61-1070736D9C1B}" name="Age Band Code" dataDxfId="686"/>
    <tableColumn id="6" xr3:uid="{4FA64870-CAD3-4226-B6D4-C94703F72C90}" name="Sex Code" dataDxfId="685"/>
    <tableColumn id="7" xr3:uid="{956B7ECB-B1EB-4D3A-801B-B80FD058B9A0}" name="Member Months" dataDxfId="684"/>
    <tableColumn id="25" xr3:uid="{A5C04E3A-89C3-4772-924E-E8C505AA1471}" name="Claims Amount Excluded Due to Truncation" dataDxfId="683" dataCellStyle="Currency"/>
    <tableColumn id="23" xr3:uid="{09EB4063-BD39-4AD6-84EF-7A2DDC6F4EE5}" name="Member Count with Truncated Claims" dataDxfId="682" dataCellStyle="Comma"/>
    <tableColumn id="22" xr3:uid="{773CDF31-E779-4139-9E9A-C4352C67042D}" name="Total Non-Truncated Claims Spending" dataDxfId="681" dataCellStyle="Currency"/>
    <tableColumn id="24" xr3:uid="{3D80DE85-62D5-4388-BD60-85143E214FEB}" name="Total Truncated Claims Spending" dataDxfId="680" dataCellStyle="Currency"/>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9E6A5E8-4177-4C40-88E0-7C4954066AFB}" name="SD" displayName="SD" ref="A11:H200" totalsRowShown="0" headerRowDxfId="667" dataDxfId="665" headerRowBorderDxfId="666" tableBorderDxfId="664" totalsRowBorderDxfId="663">
  <autoFilter ref="A11:H200" xr:uid="{89E6A5E8-4177-4C40-88E0-7C4954066AFB}"/>
  <tableColumns count="8">
    <tableColumn id="1" xr3:uid="{B0388178-7CE2-4FF4-A351-375234C4582D}" name="Insurer Code" dataDxfId="662"/>
    <tableColumn id="2" xr3:uid="{A6AB152C-FFF6-4736-8BCF-FA563855AB68}" name="Reporting Year" dataDxfId="661"/>
    <tableColumn id="3" xr3:uid="{31C5F007-3DF8-4C42-A0D5-DE55CB166AE6}" name="Market Code" dataDxfId="660"/>
    <tableColumn id="4" xr3:uid="{53D9D91A-EC4C-45AD-BFD2-9D53DED8A8CE}" name="Large Provider Entity Code" dataDxfId="659"/>
    <tableColumn id="5" xr3:uid="{ED0299E4-EAE0-4EDE-ACA5-031356751CB8}" name="Member Months" dataDxfId="658"/>
    <tableColumn id="6" xr3:uid="{632DECA0-0DDF-405B-B38F-94F471972C30}" name="Total Truncated Claims Spending" dataDxfId="657" dataCellStyle="Currency"/>
    <tableColumn id="7" xr3:uid="{748B022C-8D83-434B-8179-37AFDB782D5C}" name="Standard Deviation PMPM" dataDxfId="656" dataCellStyle="Currency"/>
    <tableColumn id="8" xr3:uid="{DDF62A3F-7638-44BC-95EE-5BFA39139960}" name="TCOC Member Months" dataDxfId="655"/>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table" Target="../tables/table12.xml"/><Relationship Id="rId1" Type="http://schemas.openxmlformats.org/officeDocument/2006/relationships/printerSettings" Target="../printerSettings/printerSettings10.bin"/><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table" Target="../tables/table28.xml"/><Relationship Id="rId3" Type="http://schemas.openxmlformats.org/officeDocument/2006/relationships/table" Target="../tables/table23.xml"/><Relationship Id="rId7" Type="http://schemas.openxmlformats.org/officeDocument/2006/relationships/table" Target="../tables/table27.xml"/><Relationship Id="rId2" Type="http://schemas.openxmlformats.org/officeDocument/2006/relationships/table" Target="../tables/table22.xml"/><Relationship Id="rId1" Type="http://schemas.openxmlformats.org/officeDocument/2006/relationships/drawing" Target="../drawings/drawing2.xml"/><Relationship Id="rId6" Type="http://schemas.openxmlformats.org/officeDocument/2006/relationships/table" Target="../tables/table26.xml"/><Relationship Id="rId11" Type="http://schemas.openxmlformats.org/officeDocument/2006/relationships/table" Target="../tables/table31.xml"/><Relationship Id="rId5" Type="http://schemas.openxmlformats.org/officeDocument/2006/relationships/table" Target="../tables/table25.xml"/><Relationship Id="rId10" Type="http://schemas.openxmlformats.org/officeDocument/2006/relationships/table" Target="../tables/table30.xml"/><Relationship Id="rId4" Type="http://schemas.openxmlformats.org/officeDocument/2006/relationships/table" Target="../tables/table24.xml"/><Relationship Id="rId9" Type="http://schemas.openxmlformats.org/officeDocument/2006/relationships/table" Target="../tables/table29.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38.xml"/><Relationship Id="rId13" Type="http://schemas.openxmlformats.org/officeDocument/2006/relationships/table" Target="../tables/table43.xml"/><Relationship Id="rId3" Type="http://schemas.openxmlformats.org/officeDocument/2006/relationships/table" Target="../tables/table33.xml"/><Relationship Id="rId7" Type="http://schemas.openxmlformats.org/officeDocument/2006/relationships/table" Target="../tables/table37.xml"/><Relationship Id="rId12" Type="http://schemas.openxmlformats.org/officeDocument/2006/relationships/table" Target="../tables/table42.xml"/><Relationship Id="rId2" Type="http://schemas.openxmlformats.org/officeDocument/2006/relationships/table" Target="../tables/table32.xml"/><Relationship Id="rId1" Type="http://schemas.openxmlformats.org/officeDocument/2006/relationships/printerSettings" Target="../printerSettings/printerSettings13.bin"/><Relationship Id="rId6" Type="http://schemas.openxmlformats.org/officeDocument/2006/relationships/table" Target="../tables/table36.xml"/><Relationship Id="rId11" Type="http://schemas.openxmlformats.org/officeDocument/2006/relationships/table" Target="../tables/table41.xml"/><Relationship Id="rId5" Type="http://schemas.openxmlformats.org/officeDocument/2006/relationships/table" Target="../tables/table35.xml"/><Relationship Id="rId15" Type="http://schemas.openxmlformats.org/officeDocument/2006/relationships/table" Target="../tables/table45.xml"/><Relationship Id="rId10" Type="http://schemas.openxmlformats.org/officeDocument/2006/relationships/table" Target="../tables/table40.xml"/><Relationship Id="rId4" Type="http://schemas.openxmlformats.org/officeDocument/2006/relationships/table" Target="../tables/table34.xml"/><Relationship Id="rId9" Type="http://schemas.openxmlformats.org/officeDocument/2006/relationships/table" Target="../tables/table39.xml"/><Relationship Id="rId14" Type="http://schemas.openxmlformats.org/officeDocument/2006/relationships/table" Target="../tables/table44.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52.xml"/><Relationship Id="rId13" Type="http://schemas.openxmlformats.org/officeDocument/2006/relationships/table" Target="../tables/table57.xml"/><Relationship Id="rId3" Type="http://schemas.openxmlformats.org/officeDocument/2006/relationships/table" Target="../tables/table47.xml"/><Relationship Id="rId7" Type="http://schemas.openxmlformats.org/officeDocument/2006/relationships/table" Target="../tables/table51.xml"/><Relationship Id="rId12" Type="http://schemas.openxmlformats.org/officeDocument/2006/relationships/table" Target="../tables/table56.xml"/><Relationship Id="rId2" Type="http://schemas.openxmlformats.org/officeDocument/2006/relationships/table" Target="../tables/table46.xml"/><Relationship Id="rId1" Type="http://schemas.openxmlformats.org/officeDocument/2006/relationships/printerSettings" Target="../printerSettings/printerSettings14.bin"/><Relationship Id="rId6" Type="http://schemas.openxmlformats.org/officeDocument/2006/relationships/table" Target="../tables/table50.xml"/><Relationship Id="rId11" Type="http://schemas.openxmlformats.org/officeDocument/2006/relationships/table" Target="../tables/table55.xml"/><Relationship Id="rId5" Type="http://schemas.openxmlformats.org/officeDocument/2006/relationships/table" Target="../tables/table49.xml"/><Relationship Id="rId15" Type="http://schemas.openxmlformats.org/officeDocument/2006/relationships/table" Target="../tables/table59.xml"/><Relationship Id="rId10" Type="http://schemas.openxmlformats.org/officeDocument/2006/relationships/table" Target="../tables/table54.xml"/><Relationship Id="rId4" Type="http://schemas.openxmlformats.org/officeDocument/2006/relationships/table" Target="../tables/table48.xml"/><Relationship Id="rId9" Type="http://schemas.openxmlformats.org/officeDocument/2006/relationships/table" Target="../tables/table53.xml"/><Relationship Id="rId14" Type="http://schemas.openxmlformats.org/officeDocument/2006/relationships/table" Target="../tables/table5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32B84-F0BF-48B3-BB25-51196C10C013}">
  <sheetPr>
    <tabColor theme="5" tint="0.39997558519241921"/>
    <pageSetUpPr fitToPage="1"/>
  </sheetPr>
  <dimension ref="A1:C46"/>
  <sheetViews>
    <sheetView showGridLines="0" zoomScale="70" zoomScaleNormal="70" workbookViewId="0">
      <selection activeCell="A52" sqref="A52"/>
    </sheetView>
  </sheetViews>
  <sheetFormatPr defaultColWidth="10" defaultRowHeight="15" x14ac:dyDescent="0.25"/>
  <cols>
    <col min="1" max="1" width="49.7109375" style="14" customWidth="1"/>
    <col min="2" max="2" width="67.7109375" style="14" customWidth="1"/>
    <col min="3" max="3" width="188" style="14" customWidth="1"/>
    <col min="4" max="4" width="155.85546875" style="11" customWidth="1"/>
    <col min="5" max="5" width="10" style="11" customWidth="1"/>
    <col min="6" max="16384" width="10" style="11"/>
  </cols>
  <sheetData>
    <row r="1" spans="1:3" ht="28.5" x14ac:dyDescent="0.25">
      <c r="A1" s="410" t="s">
        <v>0</v>
      </c>
      <c r="B1" s="409"/>
      <c r="C1" s="408"/>
    </row>
    <row r="2" spans="1:3" ht="21" x14ac:dyDescent="0.25">
      <c r="A2" s="407">
        <f>'1. Cover Page'!C17</f>
        <v>0</v>
      </c>
      <c r="B2" s="406"/>
      <c r="C2" s="402"/>
    </row>
    <row r="3" spans="1:3" ht="15.75" x14ac:dyDescent="0.25">
      <c r="A3" s="405" t="s">
        <v>1</v>
      </c>
      <c r="B3" s="404"/>
      <c r="C3" s="402"/>
    </row>
    <row r="4" spans="1:3" ht="15" customHeight="1" x14ac:dyDescent="0.25">
      <c r="A4" s="403"/>
      <c r="B4" s="403"/>
      <c r="C4" s="402"/>
    </row>
    <row r="5" spans="1:3" x14ac:dyDescent="0.25">
      <c r="A5" s="390" t="s">
        <v>2</v>
      </c>
      <c r="B5" s="390"/>
      <c r="C5" s="390"/>
    </row>
    <row r="6" spans="1:3" ht="5.0999999999999996" customHeight="1" x14ac:dyDescent="0.25">
      <c r="A6" s="390"/>
      <c r="B6" s="390"/>
      <c r="C6" s="390"/>
    </row>
    <row r="7" spans="1:3" ht="15" customHeight="1" x14ac:dyDescent="0.25">
      <c r="A7" s="391" t="s">
        <v>3</v>
      </c>
      <c r="B7" s="391"/>
      <c r="C7" s="401"/>
    </row>
    <row r="8" spans="1:3" ht="15" customHeight="1" x14ac:dyDescent="0.25">
      <c r="A8" s="626" t="s">
        <v>4</v>
      </c>
      <c r="B8" s="626"/>
      <c r="C8" s="626"/>
    </row>
    <row r="9" spans="1:3" ht="8.1" customHeight="1" x14ac:dyDescent="0.25">
      <c r="A9" s="401"/>
      <c r="B9" s="401"/>
      <c r="C9" s="401"/>
    </row>
    <row r="10" spans="1:3" ht="8.1" customHeight="1" x14ac:dyDescent="0.25">
      <c r="A10" s="390"/>
      <c r="B10" s="390"/>
      <c r="C10" s="390"/>
    </row>
    <row r="11" spans="1:3" ht="15.75" x14ac:dyDescent="0.25">
      <c r="A11" s="400" t="s">
        <v>5</v>
      </c>
      <c r="B11" s="399"/>
      <c r="C11" s="398"/>
    </row>
    <row r="12" spans="1:3" x14ac:dyDescent="0.25">
      <c r="A12" s="397" t="s">
        <v>6</v>
      </c>
      <c r="B12" s="396"/>
      <c r="C12" s="395"/>
    </row>
    <row r="13" spans="1:3" x14ac:dyDescent="0.25">
      <c r="A13" s="397" t="s">
        <v>7</v>
      </c>
      <c r="B13" s="396"/>
      <c r="C13" s="395"/>
    </row>
    <row r="14" spans="1:3" x14ac:dyDescent="0.25">
      <c r="A14" s="397" t="s">
        <v>8</v>
      </c>
      <c r="B14" s="396"/>
      <c r="C14" s="395"/>
    </row>
    <row r="15" spans="1:3" x14ac:dyDescent="0.25">
      <c r="A15" s="397" t="s">
        <v>9</v>
      </c>
      <c r="B15" s="396"/>
      <c r="C15" s="395"/>
    </row>
    <row r="16" spans="1:3" x14ac:dyDescent="0.25">
      <c r="A16" s="394" t="s">
        <v>10</v>
      </c>
      <c r="B16" s="393"/>
      <c r="C16" s="392"/>
    </row>
    <row r="17" spans="1:3" ht="8.1" customHeight="1" x14ac:dyDescent="0.25">
      <c r="A17" s="391"/>
      <c r="B17" s="391"/>
      <c r="C17" s="390"/>
    </row>
    <row r="18" spans="1:3" ht="8.1" customHeight="1" x14ac:dyDescent="0.25">
      <c r="A18" s="382"/>
      <c r="B18" s="390"/>
      <c r="C18" s="390"/>
    </row>
    <row r="19" spans="1:3" ht="18.75" x14ac:dyDescent="0.25">
      <c r="A19" s="383" t="s">
        <v>11</v>
      </c>
      <c r="B19" s="382"/>
      <c r="C19" s="389"/>
    </row>
    <row r="20" spans="1:3" x14ac:dyDescent="0.25">
      <c r="A20" s="388" t="s">
        <v>12</v>
      </c>
      <c r="B20" s="379" t="s">
        <v>13</v>
      </c>
      <c r="C20" s="378" t="s">
        <v>14</v>
      </c>
    </row>
    <row r="21" spans="1:3" x14ac:dyDescent="0.25">
      <c r="A21" s="386"/>
      <c r="B21" s="385"/>
      <c r="C21" s="375"/>
    </row>
    <row r="22" spans="1:3" x14ac:dyDescent="0.25">
      <c r="A22" s="386"/>
      <c r="B22" s="385"/>
      <c r="C22" s="375"/>
    </row>
    <row r="23" spans="1:3" x14ac:dyDescent="0.25">
      <c r="A23" s="386"/>
      <c r="B23" s="385"/>
      <c r="C23" s="375"/>
    </row>
    <row r="24" spans="1:3" x14ac:dyDescent="0.25">
      <c r="A24" s="386"/>
      <c r="B24" s="385"/>
      <c r="C24" s="375"/>
    </row>
    <row r="25" spans="1:3" x14ac:dyDescent="0.25">
      <c r="A25" s="386"/>
      <c r="B25" s="385"/>
      <c r="C25" s="375"/>
    </row>
    <row r="26" spans="1:3" x14ac:dyDescent="0.25">
      <c r="A26" s="386"/>
      <c r="B26" s="385"/>
      <c r="C26" s="375"/>
    </row>
    <row r="27" spans="1:3" x14ac:dyDescent="0.25">
      <c r="A27" s="386"/>
      <c r="B27" s="385"/>
      <c r="C27" s="375"/>
    </row>
    <row r="28" spans="1:3" x14ac:dyDescent="0.25">
      <c r="A28" s="386"/>
      <c r="B28" s="385"/>
      <c r="C28" s="375"/>
    </row>
    <row r="29" spans="1:3" x14ac:dyDescent="0.25">
      <c r="A29" s="386"/>
      <c r="B29" s="387"/>
      <c r="C29" s="375"/>
    </row>
    <row r="30" spans="1:3" x14ac:dyDescent="0.25">
      <c r="A30" s="386"/>
      <c r="B30" s="387"/>
      <c r="C30" s="375"/>
    </row>
    <row r="31" spans="1:3" x14ac:dyDescent="0.25">
      <c r="A31" s="386"/>
      <c r="B31" s="387"/>
      <c r="C31" s="375"/>
    </row>
    <row r="32" spans="1:3" x14ac:dyDescent="0.25">
      <c r="A32" s="386"/>
      <c r="B32" s="387"/>
      <c r="C32" s="375"/>
    </row>
    <row r="33" spans="1:3" x14ac:dyDescent="0.25">
      <c r="A33" s="386"/>
      <c r="B33" s="385"/>
      <c r="C33" s="375"/>
    </row>
    <row r="34" spans="1:3" x14ac:dyDescent="0.25">
      <c r="A34" s="386"/>
      <c r="B34" s="385"/>
      <c r="C34" s="375"/>
    </row>
    <row r="35" spans="1:3" x14ac:dyDescent="0.25">
      <c r="A35" s="386"/>
      <c r="B35" s="387"/>
      <c r="C35" s="375"/>
    </row>
    <row r="36" spans="1:3" x14ac:dyDescent="0.25">
      <c r="A36" s="386"/>
      <c r="B36" s="385"/>
      <c r="C36" s="375"/>
    </row>
    <row r="37" spans="1:3" x14ac:dyDescent="0.25">
      <c r="A37" s="386"/>
      <c r="B37" s="385"/>
      <c r="C37" s="375"/>
    </row>
    <row r="38" spans="1:3" x14ac:dyDescent="0.25">
      <c r="A38" s="386"/>
      <c r="B38" s="387"/>
      <c r="C38" s="375"/>
    </row>
    <row r="39" spans="1:3" x14ac:dyDescent="0.25">
      <c r="A39" s="386"/>
      <c r="B39" s="496"/>
      <c r="C39" s="375"/>
    </row>
    <row r="40" spans="1:3" x14ac:dyDescent="0.25">
      <c r="A40" s="386"/>
      <c r="B40" s="496"/>
      <c r="C40" s="375"/>
    </row>
    <row r="41" spans="1:3" x14ac:dyDescent="0.25">
      <c r="A41" s="386"/>
      <c r="B41" s="385"/>
      <c r="C41" s="375"/>
    </row>
    <row r="42" spans="1:3" x14ac:dyDescent="0.25">
      <c r="A42" s="384"/>
      <c r="B42" s="384"/>
      <c r="C42" s="381"/>
    </row>
    <row r="43" spans="1:3" ht="18.75" x14ac:dyDescent="0.25">
      <c r="A43" s="383" t="s">
        <v>15</v>
      </c>
      <c r="B43" s="382"/>
      <c r="C43" s="381"/>
    </row>
    <row r="44" spans="1:3" x14ac:dyDescent="0.25">
      <c r="A44" s="380" t="s">
        <v>16</v>
      </c>
      <c r="B44" s="379" t="s">
        <v>13</v>
      </c>
      <c r="C44" s="378" t="s">
        <v>17</v>
      </c>
    </row>
    <row r="45" spans="1:3" x14ac:dyDescent="0.25">
      <c r="A45" s="377"/>
      <c r="B45" s="376"/>
      <c r="C45" s="375"/>
    </row>
    <row r="46" spans="1:3" x14ac:dyDescent="0.25">
      <c r="A46" s="377"/>
      <c r="B46" s="374"/>
      <c r="C46" s="375"/>
    </row>
  </sheetData>
  <mergeCells count="1">
    <mergeCell ref="A8:C8"/>
  </mergeCells>
  <conditionalFormatting sqref="A41">
    <cfRule type="expression" dxfId="827" priority="4">
      <formula>ISNUMBER(SEARCH("Unable to assess", A41:A59))</formula>
    </cfRule>
  </conditionalFormatting>
  <conditionalFormatting sqref="A27:A39">
    <cfRule type="expression" dxfId="826" priority="456">
      <formula>ISNUMBER(SEARCH("See the Comment column", A9:A27))</formula>
    </cfRule>
    <cfRule type="expression" dxfId="825" priority="457">
      <formula>ISNUMBER(SEARCH("Fail", A27:A46))</formula>
    </cfRule>
    <cfRule type="expression" dxfId="824" priority="458">
      <formula>ISNUMBER(SEARCH("Pass", A27:A46))</formula>
    </cfRule>
  </conditionalFormatting>
  <conditionalFormatting sqref="A41">
    <cfRule type="expression" dxfId="823" priority="462">
      <formula>ISNUMBER(SEARCH("See the Comment column", A21:A41))</formula>
    </cfRule>
    <cfRule type="expression" dxfId="822" priority="463">
      <formula>ISNUMBER(SEARCH("Fail", A41:A58))</formula>
    </cfRule>
    <cfRule type="expression" dxfId="821" priority="464">
      <formula>ISNUMBER(SEARCH("Pass", A41:A58))</formula>
    </cfRule>
  </conditionalFormatting>
  <conditionalFormatting sqref="A40">
    <cfRule type="expression" dxfId="820" priority="465">
      <formula>ISNUMBER(SEARCH("Unable to assess", A40:A59))</formula>
    </cfRule>
  </conditionalFormatting>
  <conditionalFormatting sqref="A40">
    <cfRule type="expression" dxfId="819" priority="469">
      <formula>ISNUMBER(SEARCH("See the Comment column", A21:A40))</formula>
    </cfRule>
    <cfRule type="expression" dxfId="818" priority="470">
      <formula>ISNUMBER(SEARCH("Fail", A40:A58))</formula>
    </cfRule>
    <cfRule type="expression" dxfId="817" priority="471">
      <formula>ISNUMBER(SEARCH("Pass", A40:A58))</formula>
    </cfRule>
  </conditionalFormatting>
  <conditionalFormatting sqref="A21:A26">
    <cfRule type="expression" dxfId="816" priority="472">
      <formula>ISNUMBER(SEARCH("See the Comment column", A3:A21))</formula>
    </cfRule>
    <cfRule type="expression" dxfId="815" priority="473">
      <formula>ISNUMBER(SEARCH("Fail", A21:A41))</formula>
    </cfRule>
    <cfRule type="expression" dxfId="814" priority="474">
      <formula>ISNUMBER(SEARCH("Pass", A21:A41))</formula>
    </cfRule>
  </conditionalFormatting>
  <conditionalFormatting sqref="A21:A39">
    <cfRule type="expression" dxfId="813" priority="475">
      <formula>ISNUMBER(SEARCH("Unable to assess", A21:A41))</formula>
    </cfRule>
  </conditionalFormatting>
  <pageMargins left="0.7" right="0.7" top="0.75" bottom="0.75" header="0.3" footer="0.3"/>
  <pageSetup scale="26" orientation="landscape" r:id="rId1"/>
  <headerFooter>
    <oddHeader>&amp;LValidation Report</oddHeader>
    <oddFooter>&amp;L&amp;"-,Bold"Data Submission Template&amp;"-,Regular" | NJ Hart Program &amp;RPage &amp;P</oddFooter>
  </headerFooter>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1906A-ED88-454F-8E1C-3E250F25F233}">
  <sheetPr>
    <tabColor theme="9" tint="0.39997558519241921"/>
    <pageSetUpPr fitToPage="1"/>
  </sheetPr>
  <dimension ref="A1:G61"/>
  <sheetViews>
    <sheetView showGridLines="0" topLeftCell="A46" zoomScaleNormal="100" workbookViewId="0">
      <selection activeCell="B9" sqref="B9"/>
    </sheetView>
  </sheetViews>
  <sheetFormatPr defaultColWidth="28.85546875" defaultRowHeight="15" x14ac:dyDescent="0.25"/>
  <cols>
    <col min="1" max="1" width="9.7109375" style="11" customWidth="1"/>
    <col min="2" max="2" width="71.85546875" style="11" customWidth="1"/>
    <col min="3" max="3" width="87.7109375" style="11" customWidth="1"/>
    <col min="4" max="4" width="56.5703125" style="11" customWidth="1"/>
    <col min="5" max="5" width="7" style="11" bestFit="1" customWidth="1"/>
    <col min="6" max="6" width="77.28515625" style="11" customWidth="1"/>
    <col min="7" max="16384" width="28.85546875" style="11"/>
  </cols>
  <sheetData>
    <row r="1" spans="1:7" s="10" customFormat="1" ht="18.75" x14ac:dyDescent="0.3">
      <c r="A1" s="9" t="s">
        <v>41</v>
      </c>
      <c r="B1" s="9"/>
      <c r="C1" s="9"/>
      <c r="D1" s="1"/>
      <c r="E1" s="1"/>
    </row>
    <row r="2" spans="1:7" s="10" customFormat="1" ht="18.75" x14ac:dyDescent="0.3">
      <c r="A2" s="50" t="s">
        <v>260</v>
      </c>
      <c r="B2" s="9"/>
      <c r="C2" s="9"/>
      <c r="D2" s="1"/>
      <c r="E2" s="1"/>
    </row>
    <row r="3" spans="1:7" s="10" customFormat="1" ht="18.75" x14ac:dyDescent="0.3">
      <c r="A3" s="50"/>
      <c r="B3" s="9"/>
      <c r="C3" s="9"/>
      <c r="D3" s="1"/>
      <c r="E3" s="1"/>
    </row>
    <row r="4" spans="1:7" s="10" customFormat="1" x14ac:dyDescent="0.25">
      <c r="A4" s="29" t="s">
        <v>132</v>
      </c>
      <c r="B4" s="28"/>
      <c r="C4" s="277"/>
      <c r="D4" s="277"/>
      <c r="E4" s="277"/>
      <c r="F4" s="361"/>
    </row>
    <row r="5" spans="1:7" s="10" customFormat="1" x14ac:dyDescent="0.25">
      <c r="A5" s="51" t="s">
        <v>133</v>
      </c>
      <c r="B5" s="31"/>
      <c r="C5" s="31"/>
      <c r="D5" s="282"/>
      <c r="E5" s="1"/>
    </row>
    <row r="6" spans="1:7" s="10" customFormat="1" x14ac:dyDescent="0.25">
      <c r="A6" s="645" t="s">
        <v>261</v>
      </c>
      <c r="B6" s="645"/>
      <c r="C6" s="645"/>
      <c r="D6" s="645"/>
      <c r="E6" s="1"/>
    </row>
    <row r="7" spans="1:7" s="10" customFormat="1" ht="15" customHeight="1" x14ac:dyDescent="0.25">
      <c r="A7" s="33" t="s">
        <v>262</v>
      </c>
      <c r="B7" s="353"/>
      <c r="C7" s="353"/>
      <c r="D7" s="353"/>
      <c r="E7" s="27"/>
      <c r="F7" s="52"/>
      <c r="G7" s="52"/>
    </row>
    <row r="8" spans="1:7" s="10" customFormat="1" x14ac:dyDescent="0.25">
      <c r="A8" s="30"/>
      <c r="B8" s="28"/>
      <c r="C8" s="28"/>
      <c r="D8" s="1"/>
      <c r="E8" s="1"/>
    </row>
    <row r="9" spans="1:7" s="10" customFormat="1" x14ac:dyDescent="0.25">
      <c r="A9" s="1"/>
      <c r="B9" s="1"/>
      <c r="C9" s="1"/>
      <c r="D9" s="1"/>
      <c r="E9" s="1"/>
    </row>
    <row r="10" spans="1:7" s="10" customFormat="1" x14ac:dyDescent="0.25">
      <c r="A10" s="69"/>
      <c r="B10" s="4" t="s">
        <v>263</v>
      </c>
      <c r="C10" s="1"/>
      <c r="D10" s="1"/>
      <c r="E10" s="1"/>
    </row>
    <row r="11" spans="1:7" s="10" customFormat="1" x14ac:dyDescent="0.25">
      <c r="A11" s="29"/>
      <c r="B11" s="1" t="s">
        <v>264</v>
      </c>
      <c r="C11" s="1"/>
      <c r="D11" s="1"/>
      <c r="E11" s="1"/>
    </row>
    <row r="12" spans="1:7" s="10" customFormat="1" x14ac:dyDescent="0.25">
      <c r="A12" s="69" t="s">
        <v>265</v>
      </c>
      <c r="B12" s="362" t="s">
        <v>266</v>
      </c>
      <c r="C12"/>
      <c r="D12" s="1"/>
      <c r="E12" s="1"/>
    </row>
    <row r="13" spans="1:7" s="10" customFormat="1" x14ac:dyDescent="0.25">
      <c r="A13" s="69" t="s">
        <v>267</v>
      </c>
      <c r="B13" s="363" t="s">
        <v>268</v>
      </c>
      <c r="C13" s="417"/>
      <c r="D13" s="1"/>
      <c r="E13" s="1"/>
    </row>
    <row r="14" spans="1:7" s="10" customFormat="1" x14ac:dyDescent="0.25">
      <c r="A14" s="4"/>
      <c r="B14" s="4"/>
      <c r="C14" s="4"/>
      <c r="D14" s="1"/>
      <c r="E14" s="1"/>
    </row>
    <row r="15" spans="1:7" s="10" customFormat="1" x14ac:dyDescent="0.25">
      <c r="A15" s="1"/>
      <c r="B15" s="4" t="s">
        <v>269</v>
      </c>
      <c r="C15" s="1"/>
      <c r="D15" s="1"/>
      <c r="E15" s="1"/>
    </row>
    <row r="16" spans="1:7" s="10" customFormat="1" x14ac:dyDescent="0.25">
      <c r="A16" s="1"/>
      <c r="B16" s="63" t="s">
        <v>270</v>
      </c>
      <c r="C16" s="64" t="s">
        <v>271</v>
      </c>
      <c r="D16" s="65" t="s">
        <v>272</v>
      </c>
      <c r="E16" s="29"/>
    </row>
    <row r="17" spans="1:5" s="10" customFormat="1" ht="27.95" customHeight="1" x14ac:dyDescent="0.25">
      <c r="A17" s="69" t="s">
        <v>273</v>
      </c>
      <c r="B17" s="59" t="s">
        <v>274</v>
      </c>
      <c r="C17" s="58"/>
      <c r="D17" s="54"/>
      <c r="E17" s="29" t="str">
        <f>CONCATENATE(A17,"C")</f>
        <v>MQ03C</v>
      </c>
    </row>
    <row r="18" spans="1:5" s="10" customFormat="1" x14ac:dyDescent="0.25">
      <c r="A18" s="69" t="s">
        <v>275</v>
      </c>
      <c r="B18" s="59" t="s">
        <v>276</v>
      </c>
      <c r="C18" s="364"/>
      <c r="D18" s="54"/>
      <c r="E18" s="29" t="str">
        <f t="shared" ref="E18:E24" si="0">CONCATENATE(A18,"C")</f>
        <v>MQ04C</v>
      </c>
    </row>
    <row r="19" spans="1:5" s="10" customFormat="1" ht="30" x14ac:dyDescent="0.25">
      <c r="A19" s="69" t="s">
        <v>277</v>
      </c>
      <c r="B19" s="59" t="s">
        <v>278</v>
      </c>
      <c r="C19" s="364"/>
      <c r="D19" s="54"/>
      <c r="E19" s="29" t="str">
        <f t="shared" si="0"/>
        <v>MQ05C</v>
      </c>
    </row>
    <row r="20" spans="1:5" s="10" customFormat="1" x14ac:dyDescent="0.25">
      <c r="A20" s="69" t="s">
        <v>279</v>
      </c>
      <c r="B20" s="59" t="s">
        <v>280</v>
      </c>
      <c r="C20" s="364"/>
      <c r="D20" s="54"/>
      <c r="E20" s="29" t="str">
        <f t="shared" si="0"/>
        <v>MQ06C</v>
      </c>
    </row>
    <row r="21" spans="1:5" s="10" customFormat="1" x14ac:dyDescent="0.25">
      <c r="A21" s="69" t="s">
        <v>281</v>
      </c>
      <c r="B21" s="59" t="s">
        <v>282</v>
      </c>
      <c r="C21" s="364"/>
      <c r="D21" s="54"/>
      <c r="E21" s="29" t="str">
        <f t="shared" si="0"/>
        <v>MQ07C</v>
      </c>
    </row>
    <row r="22" spans="1:5" s="10" customFormat="1" x14ac:dyDescent="0.25">
      <c r="A22" s="29" t="s">
        <v>283</v>
      </c>
      <c r="B22" s="60" t="s">
        <v>284</v>
      </c>
      <c r="C22" s="364"/>
      <c r="D22" s="415"/>
      <c r="E22" s="29" t="str">
        <f t="shared" si="0"/>
        <v>MQ08C</v>
      </c>
    </row>
    <row r="23" spans="1:5" s="10" customFormat="1" x14ac:dyDescent="0.25">
      <c r="A23" s="29" t="s">
        <v>285</v>
      </c>
      <c r="B23" s="61" t="s">
        <v>286</v>
      </c>
      <c r="C23" s="364"/>
      <c r="D23" s="416"/>
      <c r="E23" s="29" t="str">
        <f t="shared" si="0"/>
        <v>MQ09C</v>
      </c>
    </row>
    <row r="24" spans="1:5" s="10" customFormat="1" ht="30" x14ac:dyDescent="0.25">
      <c r="A24" s="29" t="s">
        <v>287</v>
      </c>
      <c r="B24" s="66" t="s">
        <v>288</v>
      </c>
      <c r="C24" s="365"/>
      <c r="D24" s="55"/>
      <c r="E24" s="29" t="str">
        <f t="shared" si="0"/>
        <v>MQ10C</v>
      </c>
    </row>
    <row r="25" spans="1:5" s="10" customFormat="1" x14ac:dyDescent="0.25">
      <c r="A25" s="1"/>
      <c r="B25" s="1"/>
      <c r="C25" s="1"/>
      <c r="D25" s="1"/>
      <c r="E25" s="29"/>
    </row>
    <row r="26" spans="1:5" s="10" customFormat="1" x14ac:dyDescent="0.25">
      <c r="A26" s="1"/>
      <c r="B26" s="30" t="s">
        <v>289</v>
      </c>
      <c r="C26" s="1"/>
      <c r="D26" s="1"/>
      <c r="E26" s="36"/>
    </row>
    <row r="27" spans="1:5" s="10" customFormat="1" x14ac:dyDescent="0.25">
      <c r="A27" s="1"/>
      <c r="B27" s="63" t="s">
        <v>270</v>
      </c>
      <c r="C27" s="64" t="s">
        <v>271</v>
      </c>
      <c r="D27" s="65" t="s">
        <v>272</v>
      </c>
      <c r="E27" s="36"/>
    </row>
    <row r="28" spans="1:5" s="10" customFormat="1" ht="30" x14ac:dyDescent="0.25">
      <c r="A28" s="29" t="s">
        <v>290</v>
      </c>
      <c r="B28" s="59" t="s">
        <v>291</v>
      </c>
      <c r="C28" s="364"/>
      <c r="D28" s="54"/>
      <c r="E28" s="29" t="str">
        <f>CONCATENATE(A28,"C")</f>
        <v>MQ11C</v>
      </c>
    </row>
    <row r="29" spans="1:5" s="10" customFormat="1" ht="30" x14ac:dyDescent="0.25">
      <c r="A29" s="29" t="s">
        <v>292</v>
      </c>
      <c r="B29" s="59" t="s">
        <v>293</v>
      </c>
      <c r="C29" s="364"/>
      <c r="D29" s="54"/>
      <c r="E29" s="29" t="str">
        <f t="shared" ref="E29:E38" si="1">CONCATENATE(A29,"C")</f>
        <v>MQ12C</v>
      </c>
    </row>
    <row r="30" spans="1:5" s="10" customFormat="1" x14ac:dyDescent="0.25">
      <c r="A30" s="29" t="s">
        <v>294</v>
      </c>
      <c r="B30" s="59" t="s">
        <v>295</v>
      </c>
      <c r="C30" s="364"/>
      <c r="D30" s="54"/>
      <c r="E30" s="29" t="str">
        <f t="shared" si="1"/>
        <v>MQ13C</v>
      </c>
    </row>
    <row r="31" spans="1:5" s="10" customFormat="1" ht="30" x14ac:dyDescent="0.25">
      <c r="A31" s="29" t="s">
        <v>296</v>
      </c>
      <c r="B31" s="59" t="s">
        <v>297</v>
      </c>
      <c r="C31" s="364"/>
      <c r="D31" s="54"/>
      <c r="E31" s="29" t="str">
        <f t="shared" si="1"/>
        <v>MQ14C</v>
      </c>
    </row>
    <row r="32" spans="1:5" s="10" customFormat="1" ht="30" x14ac:dyDescent="0.25">
      <c r="A32" s="29" t="s">
        <v>298</v>
      </c>
      <c r="B32" s="59" t="s">
        <v>299</v>
      </c>
      <c r="C32" s="364"/>
      <c r="D32" s="54"/>
      <c r="E32" s="29" t="str">
        <f t="shared" si="1"/>
        <v>MQ15C</v>
      </c>
    </row>
    <row r="33" spans="1:5" s="10" customFormat="1" ht="30" x14ac:dyDescent="0.25">
      <c r="A33" s="29" t="s">
        <v>300</v>
      </c>
      <c r="B33" s="59" t="s">
        <v>301</v>
      </c>
      <c r="C33" s="364"/>
      <c r="D33" s="54"/>
      <c r="E33" s="29" t="str">
        <f t="shared" si="1"/>
        <v>MQ16C</v>
      </c>
    </row>
    <row r="34" spans="1:5" s="10" customFormat="1" ht="30" x14ac:dyDescent="0.25">
      <c r="A34" s="29" t="s">
        <v>302</v>
      </c>
      <c r="B34" s="59" t="s">
        <v>606</v>
      </c>
      <c r="C34" s="364"/>
      <c r="D34" s="54"/>
      <c r="E34" s="29" t="str">
        <f t="shared" si="1"/>
        <v>MQ17C</v>
      </c>
    </row>
    <row r="35" spans="1:5" s="10" customFormat="1" x14ac:dyDescent="0.25">
      <c r="A35" s="29" t="s">
        <v>303</v>
      </c>
      <c r="B35" s="59" t="s">
        <v>304</v>
      </c>
      <c r="C35" s="364"/>
      <c r="D35" s="54"/>
      <c r="E35" s="29" t="str">
        <f t="shared" si="1"/>
        <v>MQ18C</v>
      </c>
    </row>
    <row r="36" spans="1:5" s="10" customFormat="1" x14ac:dyDescent="0.25">
      <c r="A36" s="29" t="s">
        <v>305</v>
      </c>
      <c r="B36" s="59" t="s">
        <v>306</v>
      </c>
      <c r="C36" s="364"/>
      <c r="D36" s="54"/>
      <c r="E36" s="29" t="str">
        <f t="shared" si="1"/>
        <v>MQ19C</v>
      </c>
    </row>
    <row r="37" spans="1:5" s="10" customFormat="1" x14ac:dyDescent="0.25">
      <c r="A37" s="29" t="s">
        <v>307</v>
      </c>
      <c r="B37" s="59" t="s">
        <v>308</v>
      </c>
      <c r="C37" s="364"/>
      <c r="D37" s="54"/>
      <c r="E37" s="29" t="str">
        <f t="shared" si="1"/>
        <v>MQ20C</v>
      </c>
    </row>
    <row r="38" spans="1:5" s="10" customFormat="1" ht="45" x14ac:dyDescent="0.25">
      <c r="A38" s="29" t="s">
        <v>309</v>
      </c>
      <c r="B38" s="61" t="s">
        <v>310</v>
      </c>
      <c r="C38" s="364"/>
      <c r="D38" s="55"/>
      <c r="E38" s="29" t="str">
        <f t="shared" si="1"/>
        <v>MQ21C</v>
      </c>
    </row>
    <row r="39" spans="1:5" s="10" customFormat="1" x14ac:dyDescent="0.25">
      <c r="A39" s="1"/>
      <c r="B39" s="1"/>
      <c r="C39" s="1"/>
      <c r="D39" s="1"/>
      <c r="E39" s="29"/>
    </row>
    <row r="40" spans="1:5" s="10" customFormat="1" x14ac:dyDescent="0.25">
      <c r="A40" s="1"/>
      <c r="B40" s="4" t="s">
        <v>311</v>
      </c>
      <c r="C40" s="1"/>
      <c r="D40" s="27"/>
      <c r="E40" s="36"/>
    </row>
    <row r="41" spans="1:5" s="10" customFormat="1" x14ac:dyDescent="0.25">
      <c r="A41" s="1"/>
      <c r="B41" s="63" t="s">
        <v>270</v>
      </c>
      <c r="C41" s="64" t="s">
        <v>271</v>
      </c>
      <c r="D41" s="65" t="s">
        <v>272</v>
      </c>
      <c r="E41" s="36"/>
    </row>
    <row r="42" spans="1:5" s="10" customFormat="1" ht="30" x14ac:dyDescent="0.25">
      <c r="A42" s="29" t="s">
        <v>312</v>
      </c>
      <c r="B42" s="59" t="s">
        <v>313</v>
      </c>
      <c r="C42" s="364"/>
      <c r="D42" s="54"/>
      <c r="E42" s="29" t="str">
        <f t="shared" ref="E42:E47" si="2">CONCATENATE(A42,"C")</f>
        <v>MQ22C</v>
      </c>
    </row>
    <row r="43" spans="1:5" s="10" customFormat="1" x14ac:dyDescent="0.25">
      <c r="A43" s="29" t="s">
        <v>314</v>
      </c>
      <c r="B43" s="59" t="s">
        <v>315</v>
      </c>
      <c r="C43" s="364"/>
      <c r="D43" s="54"/>
      <c r="E43" s="29" t="str">
        <f t="shared" si="2"/>
        <v>MQ23C</v>
      </c>
    </row>
    <row r="44" spans="1:5" s="10" customFormat="1" ht="30" x14ac:dyDescent="0.25">
      <c r="A44" s="29" t="s">
        <v>316</v>
      </c>
      <c r="B44" s="59" t="s">
        <v>317</v>
      </c>
      <c r="C44" s="364"/>
      <c r="D44" s="54"/>
      <c r="E44" s="29" t="str">
        <f t="shared" si="2"/>
        <v>MQ24C</v>
      </c>
    </row>
    <row r="45" spans="1:5" s="10" customFormat="1" ht="30" x14ac:dyDescent="0.25">
      <c r="A45" s="29" t="s">
        <v>318</v>
      </c>
      <c r="B45" s="59" t="s">
        <v>319</v>
      </c>
      <c r="C45" s="364"/>
      <c r="D45" s="54"/>
      <c r="E45" s="29" t="str">
        <f t="shared" si="2"/>
        <v>MQ25C</v>
      </c>
    </row>
    <row r="46" spans="1:5" s="10" customFormat="1" ht="45" x14ac:dyDescent="0.25">
      <c r="A46" s="29" t="s">
        <v>320</v>
      </c>
      <c r="B46" s="59" t="s">
        <v>321</v>
      </c>
      <c r="C46" s="364"/>
      <c r="D46" s="54"/>
      <c r="E46" s="29" t="str">
        <f t="shared" si="2"/>
        <v>MQ26C</v>
      </c>
    </row>
    <row r="47" spans="1:5" s="10" customFormat="1" ht="30" x14ac:dyDescent="0.25">
      <c r="A47" s="29" t="s">
        <v>322</v>
      </c>
      <c r="B47" s="61" t="s">
        <v>323</v>
      </c>
      <c r="C47" s="365"/>
      <c r="D47" s="55"/>
      <c r="E47" s="29" t="str">
        <f t="shared" si="2"/>
        <v>MQ27C</v>
      </c>
    </row>
    <row r="48" spans="1:5" s="10" customFormat="1" x14ac:dyDescent="0.25">
      <c r="A48" s="1"/>
      <c r="B48" s="1"/>
      <c r="C48" s="1"/>
      <c r="D48" s="1"/>
      <c r="E48" s="29"/>
    </row>
    <row r="49" spans="1:5" s="10" customFormat="1" x14ac:dyDescent="0.25">
      <c r="A49" s="1"/>
      <c r="B49" s="30" t="s">
        <v>324</v>
      </c>
      <c r="C49" s="1"/>
      <c r="D49" s="1"/>
      <c r="E49" s="29"/>
    </row>
    <row r="50" spans="1:5" s="10" customFormat="1" x14ac:dyDescent="0.25">
      <c r="A50" s="1"/>
      <c r="B50" s="63" t="s">
        <v>270</v>
      </c>
      <c r="C50" s="64" t="s">
        <v>271</v>
      </c>
      <c r="D50" s="65" t="s">
        <v>272</v>
      </c>
      <c r="E50" s="29"/>
    </row>
    <row r="51" spans="1:5" s="10" customFormat="1" x14ac:dyDescent="0.25">
      <c r="A51" s="29" t="s">
        <v>325</v>
      </c>
      <c r="B51" s="366" t="s">
        <v>326</v>
      </c>
      <c r="C51" s="364"/>
      <c r="D51" s="67"/>
      <c r="E51" s="29" t="str">
        <f t="shared" ref="E51:E56" si="3">CONCATENATE(A51,"C")</f>
        <v>MQ28C</v>
      </c>
    </row>
    <row r="52" spans="1:5" s="10" customFormat="1" x14ac:dyDescent="0.25">
      <c r="A52" s="29" t="s">
        <v>327</v>
      </c>
      <c r="B52" s="60" t="s">
        <v>328</v>
      </c>
      <c r="C52" s="418"/>
      <c r="D52" s="68"/>
      <c r="E52" s="29" t="str">
        <f t="shared" si="3"/>
        <v>MQ29C</v>
      </c>
    </row>
    <row r="53" spans="1:5" s="10" customFormat="1" x14ac:dyDescent="0.25">
      <c r="A53" s="29" t="s">
        <v>329</v>
      </c>
      <c r="B53" s="366" t="s">
        <v>330</v>
      </c>
      <c r="C53" s="364"/>
      <c r="D53" s="68"/>
      <c r="E53" s="29" t="str">
        <f t="shared" si="3"/>
        <v>MQ30C</v>
      </c>
    </row>
    <row r="54" spans="1:5" s="10" customFormat="1" x14ac:dyDescent="0.25">
      <c r="A54" s="29" t="s">
        <v>331</v>
      </c>
      <c r="B54" s="66" t="s">
        <v>332</v>
      </c>
      <c r="C54" s="419"/>
      <c r="D54" s="62"/>
      <c r="E54" s="29" t="str">
        <f t="shared" si="3"/>
        <v>MQ31C</v>
      </c>
    </row>
    <row r="55" spans="1:5" s="10" customFormat="1" x14ac:dyDescent="0.25">
      <c r="A55" s="29" t="s">
        <v>333</v>
      </c>
      <c r="B55" s="366" t="s">
        <v>334</v>
      </c>
      <c r="C55" s="364"/>
      <c r="D55" s="68"/>
      <c r="E55" s="29" t="str">
        <f t="shared" si="3"/>
        <v>MQ33C</v>
      </c>
    </row>
    <row r="56" spans="1:5" s="10" customFormat="1" x14ac:dyDescent="0.25">
      <c r="A56" s="29" t="s">
        <v>335</v>
      </c>
      <c r="B56" s="66" t="s">
        <v>336</v>
      </c>
      <c r="C56" s="419"/>
      <c r="D56" s="62"/>
      <c r="E56" s="29" t="str">
        <f t="shared" si="3"/>
        <v>MQ34C</v>
      </c>
    </row>
    <row r="57" spans="1:5" s="10" customFormat="1" x14ac:dyDescent="0.25">
      <c r="A57" s="29"/>
      <c r="B57" s="1"/>
      <c r="C57" s="1"/>
      <c r="D57" s="1"/>
      <c r="E57" s="29"/>
    </row>
    <row r="58" spans="1:5" s="10" customFormat="1" x14ac:dyDescent="0.25">
      <c r="A58" s="37"/>
      <c r="B58" s="4" t="s">
        <v>337</v>
      </c>
      <c r="C58" s="1"/>
      <c r="D58" s="1"/>
      <c r="E58" s="29"/>
    </row>
    <row r="59" spans="1:5" s="10" customFormat="1" x14ac:dyDescent="0.25">
      <c r="A59" s="1"/>
      <c r="B59" s="63" t="s">
        <v>270</v>
      </c>
      <c r="C59" s="64" t="s">
        <v>271</v>
      </c>
      <c r="D59" s="65" t="s">
        <v>272</v>
      </c>
      <c r="E59" s="29"/>
    </row>
    <row r="60" spans="1:5" s="10" customFormat="1" ht="30" x14ac:dyDescent="0.25">
      <c r="A60" s="29" t="s">
        <v>338</v>
      </c>
      <c r="B60" s="61" t="s">
        <v>339</v>
      </c>
      <c r="C60" s="565"/>
      <c r="D60" s="468"/>
      <c r="E60" s="29" t="str">
        <f>CONCATENATE(A60,"C")</f>
        <v>MQ32C</v>
      </c>
    </row>
    <row r="61" spans="1:5" s="10" customFormat="1" ht="30" x14ac:dyDescent="0.25">
      <c r="A61" s="29" t="s">
        <v>340</v>
      </c>
      <c r="B61" s="61" t="s">
        <v>341</v>
      </c>
      <c r="C61" s="365"/>
      <c r="D61" s="55"/>
      <c r="E61" s="29" t="str">
        <f>CONCATENATE(A61,"C")</f>
        <v>MQ35C</v>
      </c>
    </row>
  </sheetData>
  <mergeCells count="1">
    <mergeCell ref="A6:D6"/>
  </mergeCells>
  <conditionalFormatting sqref="C22">
    <cfRule type="expression" dxfId="619" priority="8">
      <formula>AND(C21="Yes",C22="")</formula>
    </cfRule>
  </conditionalFormatting>
  <conditionalFormatting sqref="C18:C19">
    <cfRule type="expression" dxfId="618" priority="6">
      <formula>MOD(C18,1)&lt;&gt;0</formula>
    </cfRule>
  </conditionalFormatting>
  <conditionalFormatting sqref="C52">
    <cfRule type="expression" dxfId="617" priority="13">
      <formula>AND(C51="Yes",C52="")</formula>
    </cfRule>
    <cfRule type="cellIs" dxfId="616" priority="14" operator="lessThan">
      <formula>0</formula>
    </cfRule>
  </conditionalFormatting>
  <conditionalFormatting sqref="C54">
    <cfRule type="expression" dxfId="615" priority="15">
      <formula>AND(C53="Yes",C54="")</formula>
    </cfRule>
    <cfRule type="cellIs" dxfId="614" priority="16" operator="lessThan">
      <formula>0</formula>
    </cfRule>
  </conditionalFormatting>
  <conditionalFormatting sqref="C24">
    <cfRule type="expression" dxfId="613" priority="9">
      <formula>AND(C23="Yes",C24="")</formula>
    </cfRule>
  </conditionalFormatting>
  <conditionalFormatting sqref="C17:C21 C23">
    <cfRule type="containsBlanks" dxfId="612" priority="7">
      <formula>LEN(TRIM(C17))=0</formula>
    </cfRule>
  </conditionalFormatting>
  <conditionalFormatting sqref="C28:C38">
    <cfRule type="containsBlanks" dxfId="611" priority="10">
      <formula>LEN(TRIM(C28))=0</formula>
    </cfRule>
  </conditionalFormatting>
  <conditionalFormatting sqref="C42:C47">
    <cfRule type="containsBlanks" dxfId="610" priority="11">
      <formula>LEN(TRIM(C42))=0</formula>
    </cfRule>
  </conditionalFormatting>
  <conditionalFormatting sqref="C51 C53">
    <cfRule type="containsBlanks" dxfId="609" priority="12">
      <formula>LEN(TRIM(C51))=0</formula>
    </cfRule>
  </conditionalFormatting>
  <conditionalFormatting sqref="C56">
    <cfRule type="expression" dxfId="608" priority="2">
      <formula>AND(C55="Yes",C56="")</formula>
    </cfRule>
    <cfRule type="cellIs" dxfId="607" priority="3" operator="lessThan">
      <formula>0</formula>
    </cfRule>
  </conditionalFormatting>
  <conditionalFormatting sqref="C55">
    <cfRule type="containsBlanks" dxfId="606" priority="1">
      <formula>LEN(TRIM(C55))=0</formula>
    </cfRule>
  </conditionalFormatting>
  <dataValidations count="16">
    <dataValidation allowBlank="1" showInputMessage="1" showErrorMessage="1" promptTitle="Input optional" prompt="If insurer has members enrolled in Medicaid managed care, enter any names insurer is &quot;doing business as&quot; in the state of NJ" sqref="C60:C61" xr:uid="{C93F3F6E-9798-47A0-A6FE-B146D218362D}"/>
    <dataValidation type="decimal" operator="greaterThan" allowBlank="1" showInputMessage="1" showErrorMessage="1" error="Input must be non-negative number" promptTitle="Input optional" prompt="Input Income from Fees of Uninsured Plans, NAIC SHCE Part 1, Line 12 (non-negative number) if response to MQ30 is &quot;Yes&quot;." sqref="C54 C56" xr:uid="{89E0E7A2-1383-408E-AAE6-276710C1C401}">
      <formula1>0</formula1>
    </dataValidation>
    <dataValidation type="decimal" allowBlank="1" showInputMessage="1" showErrorMessage="1" error="Input must be a percentage between 0 and 100%. " promptTitle="Input required" prompt="Enter percentage. If percentage is less than 98% and MQ06 is “No,” state will request resubmission to apply appropriate IBNR and IBNP completion factors, or correct response (if you entered the wrong percentage). " sqref="C17" xr:uid="{11251682-EE79-4E1E-8529-C275A7F5DA19}">
      <formula1>0</formula1>
      <formula2>1</formula2>
    </dataValidation>
    <dataValidation type="whole" operator="greaterThan" allowBlank="1" showInputMessage="1" showErrorMessage="1" error="Input must be an integer" promptTitle="Input required" prompt="Enter integer. If less than 180 days, state will request resubmission to update data or correct response (if you entered the wrong number of days). " sqref="C19" xr:uid="{7F0A6E85-1B33-4964-B114-0E4629C5A0C6}">
      <formula1>0</formula1>
    </dataValidation>
    <dataValidation type="list" allowBlank="1" showInputMessage="1" showErrorMessage="1" error="Input must be an option from the drop down list." promptTitle="Input required" prompt="Input must be an option from the drop down list." sqref="C20:C21" xr:uid="{2E755CBA-DCAC-415B-AE60-5C90A918B7B1}">
      <formula1>"Yes, No"</formula1>
    </dataValidation>
    <dataValidation allowBlank="1" showInputMessage="1" showErrorMessage="1" promptTitle="Input optional" prompt="Enter carve-out estimate description if MQ09 is &quot;Yes&quot;. If insurer populates field and MQ09 is “No,” state will request resubmission to update response to “Yes” or remove text from this field and enter in Comments field, if applicable. " sqref="C24" xr:uid="{73C7277C-0244-47EB-B994-05C0000AAFBD}"/>
    <dataValidation type="decimal" operator="greaterThan" allowBlank="1" showInputMessage="1" showErrorMessage="1" error="Input must be non-negative number" promptTitle="Input optional" prompt="Input Income from Fees of Uninsured Plans, NAIC SHCE Part 1, Line 12 (non-negative number) if response to MQ28 is &quot;Yes&quot;." sqref="C52" xr:uid="{EDE4E346-9F33-4048-B854-9E34BCBE2046}">
      <formula1>0</formula1>
    </dataValidation>
    <dataValidation showInputMessage="1" showErrorMessage="1" promptTitle="Input optional" prompt="Enter pharmacy rebate amount if MQ07 is &quot;Yes&quot;. If you populate field and MQ07 is “No,” state will request resubmission to update response to “Yes” or remove text from this field and enter in Comments field, if applicable. " sqref="C22" xr:uid="{3DFDA372-4459-4E79-99F2-45D92AEFD736}"/>
    <dataValidation type="whole" operator="greaterThan" allowBlank="1" showInputMessage="1" showErrorMessage="1" error="Input must be an integer" promptTitle="Input required" prompt="Enter integer. If less than 180 days and MQ06 is “No,” state will request resubmission to apply reasonable and appropriate IBNR and IBNP completion factors, or correct response (if you entered the wrong number of days)." sqref="C18" xr:uid="{19A50C07-09FA-43D1-8547-9A869D01BA83}">
      <formula1>0</formula1>
    </dataValidation>
    <dataValidation type="list" allowBlank="1" showInputMessage="1" showErrorMessage="1" error="Input must be an option from the drop down list." promptTitle="Input required" prompt="Input must be an option from the drop down list. If response is “Not applicable” and insurer reported data using Insurance Category Code 4, state will request resubmission to update data or correct response (if you selected “Not applicable” in error). " sqref="C23" xr:uid="{3596219D-5364-46D0-851F-D1A4E5B0BAF0}">
      <formula1>"Yes, No, Not applicable"</formula1>
    </dataValidation>
    <dataValidation type="list" allowBlank="1" showInputMessage="1" showErrorMessage="1" error="Input must be an option from the drop down list." promptTitle="Input required" prompt="Input must be an option from the drop down list. If response is “No,” state will request resubmission to update data or correct response (if you selected “No” in error)." sqref="C45:C47 C42:C43 C28:C37" xr:uid="{385EDD66-BE5D-46F9-A333-E6AE392A4021}">
      <formula1>"Yes, No"</formula1>
    </dataValidation>
    <dataValidation type="list" allowBlank="1" showInputMessage="1" showErrorMessage="1" error="Input must be an option from the drop down list." promptTitle="Input required" prompt="Select option from drop-down list. If “No,” state will request resubmission to update data or correct response. If “Not applicable,” insurer must report data using Insurance Category Code 4 or state will request resubmission to fix." sqref="C44" xr:uid="{218CC7C8-17C9-4464-BC62-5FB3DBCF9A93}">
      <formula1>"Yes, No, Not applicable"</formula1>
    </dataValidation>
    <dataValidation type="list" allowBlank="1" showInputMessage="1" showErrorMessage="1" error="Input must be an option from the drop down list." promptTitle="Input required" prompt="Input must be &quot;Yes&quot; if there are member months reported in the LOB Enrollment tab for Reporting Year 2019 and LOB Category Code 3." sqref="C53 C55" xr:uid="{4F9701E1-8379-4BCC-BB13-0E519F292988}">
      <formula1>"Yes, No"</formula1>
    </dataValidation>
    <dataValidation type="list" allowBlank="1" showInputMessage="1" showErrorMessage="1" error="Input must be an option from the drop down list." promptTitle="Input required" prompt="Input must be &quot;Yes&quot; if there are member months reported in the LOB Enrollment tab for Reporting Year 2018 and LOB Category Code 3." sqref="C51" xr:uid="{5F7795D3-76E3-4D71-9208-8B9AD2700A4D}">
      <formula1>"Yes, No"</formula1>
    </dataValidation>
    <dataValidation type="list" allowBlank="1" showInputMessage="1" showErrorMessage="1" error="Input must be an option from the drop down list." promptTitle="Input required" prompt="Input must be an option from the drop down list. If response is “No,” state will request resubmission to update data or correct response (if you selected “No” in error)." sqref="C38" xr:uid="{757BD830-B65A-4CFA-B426-C35FE0D740BB}">
      <formula1>"Yes, No, Not applicable"</formula1>
    </dataValidation>
    <dataValidation allowBlank="1" showInputMessage="1" showErrorMessage="1" promptTitle="Input required" prompt="Enter date in yyyy-mm-dd format." sqref="C13" xr:uid="{28AA54B7-9565-40E9-BE87-34DFDE65D6E3}"/>
  </dataValidations>
  <pageMargins left="0.7" right="0.7" top="0.75" bottom="0.75" header="0.3" footer="0.3"/>
  <pageSetup scale="43" orientation="landscape" r:id="rId1"/>
  <headerFooter>
    <oddFooter>&amp;L&amp;"-,Bold"Carrier Benchmark Data Submission Template&amp;"-,Regular" | NJ Hart Program&amp;RPage &amp;P</oddFooter>
  </headerFooter>
  <tableParts count="6">
    <tablePart r:id="rId2"/>
    <tablePart r:id="rId3"/>
    <tablePart r:id="rId4"/>
    <tablePart r:id="rId5"/>
    <tablePart r:id="rId6"/>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26B57-A8B4-4F73-96CB-A0AFC41CDF40}">
  <sheetPr>
    <tabColor theme="8" tint="0.39997558519241921"/>
    <pageSetUpPr fitToPage="1"/>
  </sheetPr>
  <dimension ref="A1:BG202"/>
  <sheetViews>
    <sheetView showGridLines="0" topLeftCell="A184" zoomScale="70" zoomScaleNormal="70" zoomScaleSheetLayoutView="50" workbookViewId="0">
      <selection activeCell="A202" sqref="A202:M202"/>
    </sheetView>
  </sheetViews>
  <sheetFormatPr defaultColWidth="8.85546875" defaultRowHeight="15" x14ac:dyDescent="0.25"/>
  <cols>
    <col min="1" max="1" width="57.5703125" style="11" customWidth="1"/>
    <col min="2" max="23" width="40.7109375" style="11" customWidth="1"/>
    <col min="24" max="33" width="30.7109375" style="11" customWidth="1"/>
    <col min="34" max="35" width="20.7109375" style="11" customWidth="1"/>
    <col min="36" max="48" width="19.42578125" style="11" customWidth="1"/>
    <col min="49" max="58" width="21.42578125" style="11" customWidth="1"/>
    <col min="59" max="16384" width="8.85546875" style="11"/>
  </cols>
  <sheetData>
    <row r="1" spans="1:29" ht="18.75" x14ac:dyDescent="0.3">
      <c r="A1" s="5" t="s">
        <v>43</v>
      </c>
      <c r="B1"/>
      <c r="C1"/>
      <c r="D1"/>
      <c r="E1"/>
      <c r="F1"/>
      <c r="G1"/>
      <c r="H1"/>
      <c r="I1"/>
      <c r="J1"/>
      <c r="K1"/>
      <c r="L1"/>
      <c r="M1"/>
      <c r="N1"/>
      <c r="O1"/>
      <c r="P1"/>
      <c r="Q1"/>
      <c r="R1"/>
      <c r="S1"/>
      <c r="T1"/>
      <c r="U1"/>
      <c r="V1"/>
      <c r="W1"/>
      <c r="X1"/>
      <c r="Y1"/>
      <c r="Z1"/>
      <c r="AA1"/>
      <c r="AB1"/>
      <c r="AC1"/>
    </row>
    <row r="2" spans="1:29" x14ac:dyDescent="0.25">
      <c r="A2" t="s">
        <v>342</v>
      </c>
      <c r="B2"/>
      <c r="C2"/>
      <c r="D2"/>
      <c r="E2"/>
      <c r="F2"/>
      <c r="G2"/>
      <c r="H2"/>
      <c r="I2"/>
      <c r="J2"/>
      <c r="K2"/>
      <c r="L2"/>
      <c r="M2"/>
      <c r="N2"/>
      <c r="O2"/>
      <c r="P2"/>
      <c r="Q2"/>
      <c r="R2"/>
      <c r="S2"/>
      <c r="T2"/>
      <c r="U2"/>
      <c r="V2"/>
      <c r="W2"/>
      <c r="X2"/>
      <c r="Y2"/>
      <c r="Z2"/>
      <c r="AA2"/>
      <c r="AB2"/>
      <c r="AC2"/>
    </row>
    <row r="3" spans="1:29" x14ac:dyDescent="0.25">
      <c r="A3"/>
      <c r="B3"/>
      <c r="C3"/>
      <c r="D3"/>
      <c r="E3"/>
      <c r="F3"/>
      <c r="G3"/>
      <c r="H3"/>
      <c r="I3"/>
      <c r="J3"/>
      <c r="K3"/>
      <c r="L3"/>
      <c r="M3"/>
      <c r="N3"/>
      <c r="O3"/>
      <c r="P3"/>
      <c r="Q3"/>
      <c r="R3"/>
      <c r="S3"/>
      <c r="T3"/>
      <c r="U3"/>
      <c r="V3"/>
      <c r="W3"/>
      <c r="X3"/>
      <c r="Y3"/>
      <c r="Z3"/>
      <c r="AA3"/>
      <c r="AB3"/>
      <c r="AC3"/>
    </row>
    <row r="4" spans="1:29" x14ac:dyDescent="0.25">
      <c r="A4"/>
      <c r="B4"/>
      <c r="C4"/>
      <c r="D4"/>
      <c r="E4"/>
      <c r="F4"/>
      <c r="G4"/>
      <c r="H4"/>
      <c r="I4"/>
      <c r="J4"/>
      <c r="K4"/>
      <c r="L4"/>
      <c r="M4"/>
      <c r="N4"/>
      <c r="O4"/>
      <c r="P4"/>
      <c r="Q4"/>
      <c r="R4"/>
      <c r="S4"/>
      <c r="T4"/>
      <c r="U4"/>
      <c r="V4"/>
      <c r="W4"/>
      <c r="X4"/>
      <c r="Y4"/>
      <c r="Z4"/>
      <c r="AA4"/>
      <c r="AB4"/>
      <c r="AC4"/>
    </row>
    <row r="5" spans="1:29" x14ac:dyDescent="0.25">
      <c r="A5" s="3" t="s">
        <v>343</v>
      </c>
      <c r="B5"/>
      <c r="C5"/>
      <c r="D5"/>
      <c r="E5"/>
      <c r="F5"/>
      <c r="G5"/>
      <c r="H5"/>
      <c r="I5"/>
      <c r="J5"/>
      <c r="K5"/>
      <c r="L5"/>
      <c r="M5"/>
      <c r="N5"/>
      <c r="O5"/>
      <c r="P5"/>
      <c r="Q5"/>
      <c r="R5"/>
      <c r="S5"/>
      <c r="T5"/>
      <c r="U5"/>
      <c r="V5"/>
      <c r="W5"/>
      <c r="X5"/>
      <c r="Y5"/>
      <c r="Z5"/>
      <c r="AA5"/>
      <c r="AB5"/>
      <c r="AC5"/>
    </row>
    <row r="6" spans="1:29" ht="30" customHeight="1" x14ac:dyDescent="0.25">
      <c r="A6" s="680" t="s">
        <v>344</v>
      </c>
      <c r="B6" s="680"/>
      <c r="C6" s="680"/>
      <c r="D6" s="680"/>
      <c r="E6"/>
      <c r="F6"/>
      <c r="G6"/>
      <c r="H6"/>
      <c r="I6"/>
      <c r="J6"/>
      <c r="K6"/>
      <c r="L6"/>
      <c r="M6"/>
      <c r="N6"/>
      <c r="O6"/>
      <c r="P6"/>
      <c r="Q6"/>
      <c r="R6"/>
      <c r="S6"/>
      <c r="T6"/>
      <c r="U6"/>
      <c r="V6"/>
      <c r="W6"/>
      <c r="X6"/>
      <c r="Y6"/>
      <c r="Z6"/>
      <c r="AA6"/>
      <c r="AB6"/>
      <c r="AC6"/>
    </row>
    <row r="7" spans="1:29" ht="78" customHeight="1" x14ac:dyDescent="0.25">
      <c r="A7" s="109" t="s">
        <v>345</v>
      </c>
      <c r="B7" s="222" t="s">
        <v>346</v>
      </c>
      <c r="C7" s="222" t="s">
        <v>347</v>
      </c>
      <c r="D7" s="223" t="s">
        <v>348</v>
      </c>
      <c r="E7"/>
      <c r="F7"/>
      <c r="G7"/>
      <c r="H7"/>
      <c r="I7"/>
      <c r="J7"/>
      <c r="K7"/>
      <c r="L7"/>
      <c r="M7"/>
      <c r="N7"/>
      <c r="O7"/>
      <c r="P7"/>
      <c r="Q7"/>
      <c r="R7"/>
      <c r="S7"/>
      <c r="T7"/>
      <c r="U7"/>
      <c r="V7"/>
      <c r="W7"/>
      <c r="X7"/>
      <c r="Y7"/>
      <c r="Z7"/>
      <c r="AA7"/>
      <c r="AB7"/>
      <c r="AC7"/>
    </row>
    <row r="8" spans="1:29" x14ac:dyDescent="0.25">
      <c r="A8" s="224">
        <f>'2. Total Medical Expenses'!A12</f>
        <v>0</v>
      </c>
      <c r="B8" s="292">
        <f>'1. Cover Page'!C17</f>
        <v>0</v>
      </c>
      <c r="C8" s="292" t="e" cm="1">
        <f t="array" ref="C8">INDEX(INS_Code[Description],MATCH(INS_CD[Carrier Inputted Insurer Name (Field ID CP01)],INS_Code[Description],0))</f>
        <v>#N/A</v>
      </c>
      <c r="D8" s="197" t="e">
        <f>IF(AND(B8=C8),"Yes", "No")</f>
        <v>#N/A</v>
      </c>
      <c r="E8"/>
      <c r="F8"/>
      <c r="G8"/>
      <c r="H8"/>
      <c r="I8"/>
      <c r="J8"/>
      <c r="K8"/>
      <c r="L8"/>
      <c r="M8"/>
      <c r="N8"/>
      <c r="O8"/>
      <c r="P8"/>
      <c r="Q8"/>
      <c r="R8"/>
      <c r="S8"/>
      <c r="T8"/>
      <c r="U8"/>
      <c r="V8"/>
      <c r="W8"/>
      <c r="X8"/>
      <c r="Y8"/>
      <c r="Z8"/>
      <c r="AA8"/>
      <c r="AB8"/>
      <c r="AC8"/>
    </row>
    <row r="9" spans="1:29" x14ac:dyDescent="0.25">
      <c r="A9"/>
      <c r="B9"/>
      <c r="C9"/>
      <c r="D9"/>
      <c r="E9"/>
      <c r="F9"/>
      <c r="G9"/>
      <c r="H9"/>
      <c r="I9"/>
      <c r="J9"/>
      <c r="K9"/>
      <c r="L9"/>
      <c r="M9"/>
      <c r="N9"/>
      <c r="O9"/>
      <c r="P9"/>
      <c r="Q9"/>
      <c r="R9"/>
      <c r="S9"/>
      <c r="T9"/>
      <c r="U9"/>
      <c r="V9"/>
      <c r="W9"/>
      <c r="X9"/>
      <c r="Y9"/>
      <c r="Z9"/>
      <c r="AA9"/>
      <c r="AB9"/>
      <c r="AC9"/>
    </row>
    <row r="10" spans="1:29" x14ac:dyDescent="0.25">
      <c r="A10"/>
      <c r="B10"/>
      <c r="C10"/>
      <c r="D10"/>
      <c r="E10"/>
      <c r="F10"/>
      <c r="G10"/>
      <c r="H10"/>
      <c r="I10"/>
      <c r="J10"/>
      <c r="K10"/>
      <c r="L10"/>
      <c r="M10"/>
      <c r="N10"/>
      <c r="O10"/>
      <c r="P10"/>
      <c r="Q10"/>
      <c r="R10"/>
      <c r="S10"/>
      <c r="T10"/>
      <c r="U10"/>
      <c r="V10"/>
      <c r="W10"/>
      <c r="X10"/>
      <c r="Y10"/>
      <c r="Z10"/>
      <c r="AA10"/>
      <c r="AB10"/>
      <c r="AC10"/>
    </row>
    <row r="11" spans="1:29" x14ac:dyDescent="0.25">
      <c r="A11" s="3" t="s">
        <v>349</v>
      </c>
      <c r="B11"/>
      <c r="C11"/>
      <c r="D11"/>
      <c r="E11"/>
      <c r="F11"/>
      <c r="G11"/>
      <c r="H11"/>
      <c r="I11"/>
      <c r="J11"/>
      <c r="K11"/>
      <c r="L11"/>
      <c r="M11"/>
      <c r="N11"/>
      <c r="O11"/>
      <c r="P11"/>
      <c r="Q11"/>
      <c r="R11"/>
      <c r="S11"/>
      <c r="T11"/>
      <c r="U11"/>
      <c r="V11"/>
      <c r="W11"/>
      <c r="X11"/>
      <c r="Y11"/>
      <c r="Z11"/>
      <c r="AA11"/>
      <c r="AB11"/>
      <c r="AC11"/>
    </row>
    <row r="12" spans="1:29" x14ac:dyDescent="0.25">
      <c r="A12" s="676" t="s">
        <v>350</v>
      </c>
      <c r="B12" s="676"/>
      <c r="C12" s="676"/>
      <c r="D12" s="676"/>
      <c r="E12" s="676"/>
      <c r="F12" s="676"/>
      <c r="G12" s="676"/>
      <c r="H12" s="676"/>
      <c r="I12" s="676"/>
      <c r="J12" s="676"/>
      <c r="K12" s="676"/>
      <c r="L12" s="676"/>
      <c r="M12" s="676"/>
      <c r="N12" s="676"/>
      <c r="O12" s="676"/>
      <c r="P12"/>
      <c r="Q12"/>
      <c r="R12"/>
      <c r="S12"/>
      <c r="T12"/>
      <c r="U12"/>
      <c r="V12"/>
      <c r="W12"/>
      <c r="X12"/>
      <c r="Y12"/>
      <c r="Z12"/>
      <c r="AA12"/>
      <c r="AB12"/>
      <c r="AC12"/>
    </row>
    <row r="13" spans="1:29" ht="15.75" thickBot="1" x14ac:dyDescent="0.3">
      <c r="A13" s="655" t="s">
        <v>351</v>
      </c>
      <c r="B13" s="652">
        <v>2021</v>
      </c>
      <c r="C13" s="652"/>
      <c r="D13" s="652"/>
      <c r="E13" s="652"/>
      <c r="F13" s="652"/>
      <c r="G13" s="652"/>
      <c r="H13" s="652"/>
      <c r="I13" s="681">
        <v>2022</v>
      </c>
      <c r="J13" s="681"/>
      <c r="K13" s="681"/>
      <c r="L13" s="681"/>
      <c r="M13" s="681"/>
      <c r="N13" s="681"/>
      <c r="O13" s="682"/>
      <c r="P13"/>
      <c r="Q13"/>
      <c r="R13"/>
      <c r="S13"/>
      <c r="T13"/>
      <c r="U13"/>
      <c r="V13"/>
      <c r="W13"/>
      <c r="X13"/>
      <c r="Y13"/>
      <c r="Z13"/>
      <c r="AA13"/>
      <c r="AB13"/>
      <c r="AC13"/>
    </row>
    <row r="14" spans="1:29" ht="57.75" customHeight="1" x14ac:dyDescent="0.25">
      <c r="A14" s="656"/>
      <c r="B14" s="80" t="s">
        <v>352</v>
      </c>
      <c r="C14" s="81" t="s">
        <v>353</v>
      </c>
      <c r="D14" s="78" t="s">
        <v>354</v>
      </c>
      <c r="E14" s="78" t="s">
        <v>355</v>
      </c>
      <c r="F14" s="81" t="s">
        <v>356</v>
      </c>
      <c r="G14" s="78" t="s">
        <v>357</v>
      </c>
      <c r="H14" s="79" t="s">
        <v>358</v>
      </c>
      <c r="I14" s="83" t="s">
        <v>352</v>
      </c>
      <c r="J14" s="84" t="s">
        <v>353</v>
      </c>
      <c r="K14" s="85" t="s">
        <v>354</v>
      </c>
      <c r="L14" s="85" t="s">
        <v>355</v>
      </c>
      <c r="M14" s="84" t="s">
        <v>356</v>
      </c>
      <c r="N14" s="85" t="s">
        <v>357</v>
      </c>
      <c r="O14" s="85" t="s">
        <v>359</v>
      </c>
      <c r="P14"/>
      <c r="Q14"/>
      <c r="R14"/>
      <c r="S14"/>
      <c r="T14"/>
      <c r="U14"/>
      <c r="V14"/>
      <c r="W14"/>
      <c r="X14"/>
      <c r="Y14"/>
      <c r="Z14"/>
      <c r="AA14"/>
      <c r="AB14"/>
      <c r="AC14"/>
    </row>
    <row r="15" spans="1:29" s="155" customFormat="1" x14ac:dyDescent="0.25">
      <c r="A15" s="190" t="s">
        <v>360</v>
      </c>
      <c r="B15" s="151">
        <f>SUM(B16:B17)</f>
        <v>0</v>
      </c>
      <c r="C15" s="152">
        <f>SUM(C16:C17)</f>
        <v>0</v>
      </c>
      <c r="D15" s="153" t="str">
        <f>IF(AND(B15=C15),"Yes", "No")</f>
        <v>Yes</v>
      </c>
      <c r="E15" s="154">
        <f>ABS(B15-C15)</f>
        <v>0</v>
      </c>
      <c r="F15" s="152">
        <f>SUM(F16:F17)</f>
        <v>0</v>
      </c>
      <c r="G15" s="153" t="str">
        <f>IF(AND(B15=F15),"Yes", "No")</f>
        <v>Yes</v>
      </c>
      <c r="H15" s="171">
        <f>ABS(B15-F15)</f>
        <v>0</v>
      </c>
      <c r="I15" s="151">
        <f>SUM(I16:I17)</f>
        <v>0</v>
      </c>
      <c r="J15" s="152">
        <f>SUM(J16:J17)</f>
        <v>0</v>
      </c>
      <c r="K15" s="153" t="str">
        <f>IF(AND(I15=J15),"Yes", "No")</f>
        <v>Yes</v>
      </c>
      <c r="L15" s="154">
        <f>ABS(I15-J15)</f>
        <v>0</v>
      </c>
      <c r="M15" s="152">
        <f>SUM(M16:M17)</f>
        <v>0</v>
      </c>
      <c r="N15" s="153" t="str">
        <f t="shared" ref="N15:N24" si="0">IF(AND(I15=M15),"Yes", "No")</f>
        <v>Yes</v>
      </c>
      <c r="O15" s="194">
        <f t="shared" ref="O15:O24" si="1">ABS(I15-M15)</f>
        <v>0</v>
      </c>
      <c r="P15" s="3"/>
      <c r="Q15" s="3"/>
      <c r="R15" s="3"/>
      <c r="S15" s="3"/>
      <c r="T15" s="3"/>
      <c r="U15" s="3"/>
      <c r="V15" s="3"/>
      <c r="W15" s="3"/>
      <c r="X15" s="3"/>
      <c r="Y15" s="3"/>
      <c r="Z15" s="3"/>
      <c r="AA15" s="3"/>
      <c r="AB15" s="3"/>
      <c r="AC15" s="3"/>
    </row>
    <row r="16" spans="1:29" ht="30" x14ac:dyDescent="0.25">
      <c r="A16" s="293" t="s">
        <v>361</v>
      </c>
      <c r="B16" s="294">
        <f>SUM(B113:B114)</f>
        <v>0</v>
      </c>
      <c r="C16" s="295">
        <f>SUM(B126:B127)</f>
        <v>0</v>
      </c>
      <c r="D16" s="296" t="str">
        <f t="shared" ref="D16:D24" si="2">IF(AND(B16=C16),"Yes", "No")</f>
        <v>Yes</v>
      </c>
      <c r="E16" s="295">
        <f>ABS(B16-C16)</f>
        <v>0</v>
      </c>
      <c r="F16" s="295">
        <f>SUM(B171:B175)</f>
        <v>0</v>
      </c>
      <c r="G16" s="297" t="str">
        <f>IF(AND(B16=F16),"Yes", "No")</f>
        <v>Yes</v>
      </c>
      <c r="H16" s="172">
        <f t="shared" ref="H16:H23" si="3">ABS(B16-F16)</f>
        <v>0</v>
      </c>
      <c r="I16" s="294">
        <f>SUM(C113:C114)</f>
        <v>0</v>
      </c>
      <c r="J16" s="295">
        <f>SUM(C126:C127)</f>
        <v>0</v>
      </c>
      <c r="K16" s="296" t="str">
        <f t="shared" ref="K16:K24" si="4">IF(AND(I16=J16),"Yes", "No")</f>
        <v>Yes</v>
      </c>
      <c r="L16" s="295">
        <f t="shared" ref="L16:L24" si="5">ABS(I16-J16)</f>
        <v>0</v>
      </c>
      <c r="M16" s="295">
        <f>SUM(C171:C175)</f>
        <v>0</v>
      </c>
      <c r="N16" s="297" t="str">
        <f t="shared" si="0"/>
        <v>Yes</v>
      </c>
      <c r="O16" s="195">
        <f>ABS(I16-M16)</f>
        <v>0</v>
      </c>
      <c r="P16"/>
      <c r="Q16"/>
      <c r="R16"/>
      <c r="S16"/>
      <c r="T16"/>
      <c r="U16"/>
      <c r="V16"/>
      <c r="W16"/>
      <c r="X16"/>
      <c r="Y16"/>
      <c r="Z16"/>
      <c r="AA16"/>
      <c r="AB16"/>
      <c r="AC16"/>
    </row>
    <row r="17" spans="1:33" ht="30" x14ac:dyDescent="0.25">
      <c r="A17" s="293" t="s">
        <v>362</v>
      </c>
      <c r="B17" s="294">
        <f>B117</f>
        <v>0</v>
      </c>
      <c r="C17" s="295">
        <f>B130</f>
        <v>0</v>
      </c>
      <c r="D17" s="296" t="str">
        <f t="shared" si="2"/>
        <v>Yes</v>
      </c>
      <c r="E17" s="295">
        <f t="shared" ref="E17:E24" si="6">ABS(B17-C17)</f>
        <v>0</v>
      </c>
      <c r="F17" s="295">
        <f>B180</f>
        <v>0</v>
      </c>
      <c r="G17" s="297" t="str">
        <f>IF(AND(B17=F17),"Yes", "No")</f>
        <v>Yes</v>
      </c>
      <c r="H17" s="172">
        <f t="shared" si="3"/>
        <v>0</v>
      </c>
      <c r="I17" s="294">
        <f>C117</f>
        <v>0</v>
      </c>
      <c r="J17" s="295">
        <f>C130</f>
        <v>0</v>
      </c>
      <c r="K17" s="296" t="str">
        <f t="shared" si="4"/>
        <v>Yes</v>
      </c>
      <c r="L17" s="295">
        <f t="shared" si="5"/>
        <v>0</v>
      </c>
      <c r="M17" s="295">
        <f>C180</f>
        <v>0</v>
      </c>
      <c r="N17" s="297" t="str">
        <f t="shared" si="0"/>
        <v>Yes</v>
      </c>
      <c r="O17" s="195">
        <f t="shared" si="1"/>
        <v>0</v>
      </c>
      <c r="P17"/>
      <c r="Q17"/>
      <c r="R17"/>
      <c r="S17"/>
      <c r="T17"/>
      <c r="U17"/>
      <c r="V17"/>
      <c r="W17"/>
      <c r="X17"/>
      <c r="Y17"/>
      <c r="Z17"/>
      <c r="AA17"/>
      <c r="AB17"/>
      <c r="AC17"/>
    </row>
    <row r="18" spans="1:33" s="155" customFormat="1" x14ac:dyDescent="0.25">
      <c r="A18" s="196" t="s">
        <v>363</v>
      </c>
      <c r="B18" s="156">
        <f>SUM(B19:B21)</f>
        <v>0</v>
      </c>
      <c r="C18" s="154">
        <f>SUM(C19:C21)</f>
        <v>0</v>
      </c>
      <c r="D18" s="153" t="str">
        <f t="shared" si="2"/>
        <v>Yes</v>
      </c>
      <c r="E18" s="154">
        <f t="shared" si="6"/>
        <v>0</v>
      </c>
      <c r="F18" s="154">
        <f>SUM(F19:F21)</f>
        <v>0</v>
      </c>
      <c r="G18" s="153" t="str">
        <f t="shared" ref="G18:G23" si="7">IF(AND(B18=F18),"Yes", "No")</f>
        <v>Yes</v>
      </c>
      <c r="H18" s="171">
        <f t="shared" si="3"/>
        <v>0</v>
      </c>
      <c r="I18" s="156">
        <f>SUM(I19:I21)</f>
        <v>0</v>
      </c>
      <c r="J18" s="154">
        <f>SUM(J19:J21)</f>
        <v>0</v>
      </c>
      <c r="K18" s="153" t="str">
        <f t="shared" si="4"/>
        <v>Yes</v>
      </c>
      <c r="L18" s="154">
        <f t="shared" si="5"/>
        <v>0</v>
      </c>
      <c r="M18" s="154">
        <f>SUM(M19:M21)</f>
        <v>0</v>
      </c>
      <c r="N18" s="153" t="str">
        <f t="shared" si="0"/>
        <v>Yes</v>
      </c>
      <c r="O18" s="194">
        <f t="shared" si="1"/>
        <v>0</v>
      </c>
      <c r="P18" s="3"/>
      <c r="Q18" s="3"/>
      <c r="R18" s="3"/>
      <c r="S18" s="3"/>
      <c r="T18" s="3"/>
      <c r="U18" s="3"/>
      <c r="V18" s="3"/>
      <c r="W18" s="3"/>
      <c r="X18" s="3"/>
      <c r="Y18" s="3"/>
      <c r="Z18" s="3"/>
      <c r="AA18" s="3"/>
      <c r="AB18" s="3"/>
      <c r="AC18" s="3"/>
    </row>
    <row r="19" spans="1:33" ht="59.25" customHeight="1" x14ac:dyDescent="0.25">
      <c r="A19" s="293" t="s">
        <v>364</v>
      </c>
      <c r="B19" s="294">
        <f>B111</f>
        <v>0</v>
      </c>
      <c r="C19" s="295">
        <f>B124</f>
        <v>0</v>
      </c>
      <c r="D19" s="296" t="str">
        <f t="shared" si="2"/>
        <v>Yes</v>
      </c>
      <c r="E19" s="295">
        <f t="shared" si="6"/>
        <v>0</v>
      </c>
      <c r="F19" s="295">
        <f>B176</f>
        <v>0</v>
      </c>
      <c r="G19" s="297" t="str">
        <f t="shared" si="7"/>
        <v>Yes</v>
      </c>
      <c r="H19" s="172">
        <f t="shared" si="3"/>
        <v>0</v>
      </c>
      <c r="I19" s="294">
        <f>C111</f>
        <v>0</v>
      </c>
      <c r="J19" s="295">
        <f>C124</f>
        <v>0</v>
      </c>
      <c r="K19" s="296" t="str">
        <f t="shared" si="4"/>
        <v>Yes</v>
      </c>
      <c r="L19" s="295">
        <f t="shared" si="5"/>
        <v>0</v>
      </c>
      <c r="M19" s="295">
        <f>C176</f>
        <v>0</v>
      </c>
      <c r="N19" s="297" t="str">
        <f t="shared" si="0"/>
        <v>Yes</v>
      </c>
      <c r="O19" s="195">
        <f t="shared" si="1"/>
        <v>0</v>
      </c>
      <c r="P19"/>
      <c r="Q19"/>
      <c r="R19"/>
      <c r="S19"/>
      <c r="T19"/>
      <c r="U19"/>
      <c r="V19"/>
      <c r="W19"/>
      <c r="X19"/>
      <c r="Y19"/>
      <c r="Z19"/>
      <c r="AA19"/>
      <c r="AB19"/>
      <c r="AC19"/>
    </row>
    <row r="20" spans="1:33" ht="30" x14ac:dyDescent="0.25">
      <c r="A20" s="293" t="s">
        <v>365</v>
      </c>
      <c r="B20" s="294">
        <f>B115</f>
        <v>0</v>
      </c>
      <c r="C20" s="295">
        <f>B128</f>
        <v>0</v>
      </c>
      <c r="D20" s="296" t="str">
        <f t="shared" si="2"/>
        <v>Yes</v>
      </c>
      <c r="E20" s="295">
        <f t="shared" si="6"/>
        <v>0</v>
      </c>
      <c r="F20" s="295">
        <f>B178</f>
        <v>0</v>
      </c>
      <c r="G20" s="297" t="str">
        <f t="shared" si="7"/>
        <v>Yes</v>
      </c>
      <c r="H20" s="172">
        <f t="shared" si="3"/>
        <v>0</v>
      </c>
      <c r="I20" s="294">
        <f>C115</f>
        <v>0</v>
      </c>
      <c r="J20" s="295">
        <f>C128</f>
        <v>0</v>
      </c>
      <c r="K20" s="296" t="str">
        <f t="shared" si="4"/>
        <v>Yes</v>
      </c>
      <c r="L20" s="295">
        <f t="shared" si="5"/>
        <v>0</v>
      </c>
      <c r="M20" s="295">
        <f>C178</f>
        <v>0</v>
      </c>
      <c r="N20" s="297" t="str">
        <f t="shared" si="0"/>
        <v>Yes</v>
      </c>
      <c r="O20" s="195">
        <f t="shared" si="1"/>
        <v>0</v>
      </c>
      <c r="P20"/>
      <c r="Q20"/>
      <c r="R20"/>
      <c r="S20"/>
      <c r="T20"/>
      <c r="U20"/>
      <c r="V20"/>
      <c r="W20"/>
      <c r="X20"/>
      <c r="Y20"/>
      <c r="Z20"/>
      <c r="AA20"/>
      <c r="AB20"/>
      <c r="AC20"/>
    </row>
    <row r="21" spans="1:33" ht="30" x14ac:dyDescent="0.25">
      <c r="A21" s="293" t="s">
        <v>366</v>
      </c>
      <c r="B21" s="294">
        <f>B118</f>
        <v>0</v>
      </c>
      <c r="C21" s="295">
        <f>B131</f>
        <v>0</v>
      </c>
      <c r="D21" s="296" t="str">
        <f t="shared" si="2"/>
        <v>Yes</v>
      </c>
      <c r="E21" s="295">
        <f t="shared" si="6"/>
        <v>0</v>
      </c>
      <c r="F21" s="295">
        <f>B181</f>
        <v>0</v>
      </c>
      <c r="G21" s="297" t="str">
        <f t="shared" si="7"/>
        <v>Yes</v>
      </c>
      <c r="H21" s="172">
        <f t="shared" si="3"/>
        <v>0</v>
      </c>
      <c r="I21" s="294">
        <f>C118</f>
        <v>0</v>
      </c>
      <c r="J21" s="295">
        <f>C131</f>
        <v>0</v>
      </c>
      <c r="K21" s="296" t="str">
        <f t="shared" si="4"/>
        <v>Yes</v>
      </c>
      <c r="L21" s="295">
        <f t="shared" si="5"/>
        <v>0</v>
      </c>
      <c r="M21" s="295">
        <f>C181</f>
        <v>0</v>
      </c>
      <c r="N21" s="297" t="str">
        <f t="shared" si="0"/>
        <v>Yes</v>
      </c>
      <c r="O21" s="195">
        <f t="shared" si="1"/>
        <v>0</v>
      </c>
      <c r="P21"/>
      <c r="Q21"/>
      <c r="R21"/>
      <c r="S21"/>
      <c r="T21"/>
      <c r="U21"/>
      <c r="V21"/>
      <c r="W21"/>
      <c r="X21"/>
      <c r="Y21"/>
      <c r="Z21"/>
      <c r="AA21"/>
      <c r="AB21"/>
      <c r="AC21"/>
    </row>
    <row r="22" spans="1:33" s="155" customFormat="1" x14ac:dyDescent="0.25">
      <c r="A22" s="190" t="s">
        <v>367</v>
      </c>
      <c r="B22" s="156">
        <f>SUM(B23:B24)</f>
        <v>0</v>
      </c>
      <c r="C22" s="154">
        <f>SUM(C23:C24)</f>
        <v>0</v>
      </c>
      <c r="D22" s="153" t="str">
        <f t="shared" si="2"/>
        <v>Yes</v>
      </c>
      <c r="E22" s="154">
        <f t="shared" si="6"/>
        <v>0</v>
      </c>
      <c r="F22" s="154">
        <f>SUM(F23:F24)</f>
        <v>0</v>
      </c>
      <c r="G22" s="153" t="str">
        <f t="shared" si="7"/>
        <v>Yes</v>
      </c>
      <c r="H22" s="171">
        <f t="shared" si="3"/>
        <v>0</v>
      </c>
      <c r="I22" s="156">
        <f>SUM(I23:I24)</f>
        <v>0</v>
      </c>
      <c r="J22" s="154">
        <f>SUM(J23:J24)</f>
        <v>0</v>
      </c>
      <c r="K22" s="153" t="str">
        <f t="shared" si="4"/>
        <v>Yes</v>
      </c>
      <c r="L22" s="154">
        <f t="shared" si="5"/>
        <v>0</v>
      </c>
      <c r="M22" s="154">
        <f>SUM(M23:M24)</f>
        <v>0</v>
      </c>
      <c r="N22" s="153" t="str">
        <f t="shared" si="0"/>
        <v>Yes</v>
      </c>
      <c r="O22" s="194">
        <f t="shared" si="1"/>
        <v>0</v>
      </c>
      <c r="P22" s="3"/>
      <c r="Q22" s="3"/>
      <c r="R22" s="3"/>
      <c r="S22" s="3"/>
      <c r="T22" s="3"/>
      <c r="U22" s="3"/>
      <c r="V22" s="3"/>
      <c r="W22" s="3"/>
      <c r="X22" s="3"/>
      <c r="Y22" s="3"/>
      <c r="Z22" s="3"/>
      <c r="AA22" s="3"/>
      <c r="AB22" s="3"/>
      <c r="AC22" s="3"/>
    </row>
    <row r="23" spans="1:33" ht="30" x14ac:dyDescent="0.25">
      <c r="A23" s="293" t="s">
        <v>368</v>
      </c>
      <c r="B23" s="294">
        <f>B112</f>
        <v>0</v>
      </c>
      <c r="C23" s="295">
        <f>B125</f>
        <v>0</v>
      </c>
      <c r="D23" s="296" t="str">
        <f t="shared" si="2"/>
        <v>Yes</v>
      </c>
      <c r="E23" s="295">
        <f t="shared" si="6"/>
        <v>0</v>
      </c>
      <c r="F23" s="295">
        <f>B177</f>
        <v>0</v>
      </c>
      <c r="G23" s="297" t="str">
        <f t="shared" si="7"/>
        <v>Yes</v>
      </c>
      <c r="H23" s="172">
        <f t="shared" si="3"/>
        <v>0</v>
      </c>
      <c r="I23" s="294">
        <f>C112</f>
        <v>0</v>
      </c>
      <c r="J23" s="295">
        <f>C125</f>
        <v>0</v>
      </c>
      <c r="K23" s="296" t="str">
        <f t="shared" si="4"/>
        <v>Yes</v>
      </c>
      <c r="L23" s="295">
        <f t="shared" si="5"/>
        <v>0</v>
      </c>
      <c r="M23" s="295">
        <f>C177</f>
        <v>0</v>
      </c>
      <c r="N23" s="297" t="str">
        <f>IF(AND(I23=M23),"Yes", "No")</f>
        <v>Yes</v>
      </c>
      <c r="O23" s="195">
        <f t="shared" si="1"/>
        <v>0</v>
      </c>
      <c r="P23"/>
      <c r="Q23"/>
      <c r="R23"/>
      <c r="S23"/>
      <c r="T23"/>
      <c r="U23"/>
      <c r="V23"/>
      <c r="W23"/>
      <c r="X23"/>
      <c r="Y23"/>
      <c r="Z23"/>
      <c r="AA23"/>
      <c r="AB23"/>
      <c r="AC23"/>
    </row>
    <row r="24" spans="1:33" ht="30" x14ac:dyDescent="0.25">
      <c r="A24" s="293" t="s">
        <v>369</v>
      </c>
      <c r="B24" s="294">
        <f>B116</f>
        <v>0</v>
      </c>
      <c r="C24" s="295">
        <f>B129</f>
        <v>0</v>
      </c>
      <c r="D24" s="296" t="str">
        <f t="shared" si="2"/>
        <v>Yes</v>
      </c>
      <c r="E24" s="295">
        <f t="shared" si="6"/>
        <v>0</v>
      </c>
      <c r="F24" s="295">
        <f>B179</f>
        <v>0</v>
      </c>
      <c r="G24" s="297" t="str">
        <f>IF(AND(B24=F24),"Yes", "No")</f>
        <v>Yes</v>
      </c>
      <c r="H24" s="172">
        <f>ABS(B24-F24)</f>
        <v>0</v>
      </c>
      <c r="I24" s="294">
        <f>C116</f>
        <v>0</v>
      </c>
      <c r="J24" s="295">
        <f>C129</f>
        <v>0</v>
      </c>
      <c r="K24" s="296" t="str">
        <f t="shared" si="4"/>
        <v>Yes</v>
      </c>
      <c r="L24" s="295">
        <f t="shared" si="5"/>
        <v>0</v>
      </c>
      <c r="M24" s="295">
        <f>C179</f>
        <v>0</v>
      </c>
      <c r="N24" s="297" t="str">
        <f t="shared" si="0"/>
        <v>Yes</v>
      </c>
      <c r="O24" s="195">
        <f t="shared" si="1"/>
        <v>0</v>
      </c>
      <c r="P24"/>
      <c r="Q24"/>
      <c r="R24"/>
      <c r="S24"/>
      <c r="T24"/>
      <c r="U24"/>
      <c r="V24"/>
      <c r="W24"/>
      <c r="X24"/>
      <c r="Y24"/>
      <c r="Z24"/>
      <c r="AA24"/>
      <c r="AB24"/>
      <c r="AC24"/>
    </row>
    <row r="25" spans="1:33" x14ac:dyDescent="0.25">
      <c r="A25"/>
      <c r="B25"/>
      <c r="C25"/>
      <c r="D25"/>
      <c r="E25"/>
      <c r="F25"/>
      <c r="G25"/>
      <c r="H25"/>
      <c r="I25"/>
      <c r="J25"/>
      <c r="K25"/>
      <c r="L25"/>
      <c r="M25"/>
      <c r="N25"/>
      <c r="O25"/>
      <c r="P25"/>
      <c r="Q25"/>
      <c r="R25"/>
      <c r="S25"/>
      <c r="T25"/>
      <c r="U25"/>
      <c r="V25"/>
      <c r="W25"/>
      <c r="X25"/>
      <c r="Y25"/>
      <c r="Z25"/>
      <c r="AA25"/>
      <c r="AB25"/>
      <c r="AC25"/>
    </row>
    <row r="26" spans="1:33" x14ac:dyDescent="0.25">
      <c r="A26"/>
      <c r="B26"/>
      <c r="C26"/>
      <c r="D26"/>
      <c r="E26"/>
      <c r="F26"/>
      <c r="G26"/>
      <c r="H26"/>
      <c r="I26"/>
      <c r="J26"/>
      <c r="K26"/>
      <c r="L26"/>
      <c r="M26"/>
      <c r="N26"/>
      <c r="O26"/>
      <c r="P26"/>
      <c r="Q26"/>
      <c r="R26"/>
      <c r="S26"/>
      <c r="T26"/>
      <c r="U26"/>
      <c r="V26"/>
      <c r="W26"/>
      <c r="X26"/>
      <c r="Y26"/>
      <c r="Z26"/>
      <c r="AA26"/>
      <c r="AB26"/>
      <c r="AC26"/>
    </row>
    <row r="27" spans="1:33" x14ac:dyDescent="0.25">
      <c r="A27" s="3" t="s">
        <v>370</v>
      </c>
      <c r="B27"/>
      <c r="C27"/>
      <c r="D27"/>
      <c r="E27"/>
      <c r="F27"/>
      <c r="G27"/>
      <c r="H27"/>
      <c r="I27"/>
      <c r="J27"/>
      <c r="K27"/>
      <c r="L27"/>
      <c r="M27"/>
      <c r="N27"/>
      <c r="O27"/>
      <c r="P27"/>
      <c r="Q27"/>
      <c r="R27"/>
      <c r="S27"/>
      <c r="T27"/>
      <c r="U27"/>
      <c r="V27"/>
      <c r="W27"/>
      <c r="X27"/>
      <c r="Y27"/>
      <c r="Z27"/>
      <c r="AA27"/>
      <c r="AB27"/>
      <c r="AC27"/>
      <c r="AG27" s="11" t="s">
        <v>371</v>
      </c>
    </row>
    <row r="28" spans="1:33" x14ac:dyDescent="0.25">
      <c r="A28" s="676" t="s">
        <v>372</v>
      </c>
      <c r="B28" s="676"/>
      <c r="C28" s="676"/>
      <c r="D28" s="676"/>
      <c r="E28" s="676"/>
      <c r="F28" s="676"/>
      <c r="G28" s="676"/>
      <c r="H28" s="676"/>
      <c r="I28" s="676"/>
      <c r="J28" s="676"/>
      <c r="K28" s="676"/>
      <c r="L28" s="676"/>
      <c r="M28" s="676"/>
      <c r="N28" s="676"/>
      <c r="O28" s="676"/>
      <c r="P28" s="676"/>
      <c r="Q28" s="676"/>
      <c r="R28" s="676"/>
      <c r="S28" s="676"/>
      <c r="T28" s="676"/>
      <c r="U28" s="676"/>
      <c r="V28" s="676"/>
      <c r="W28" s="676"/>
      <c r="X28" s="676"/>
      <c r="Y28" s="676"/>
      <c r="Z28" s="676"/>
      <c r="AA28" s="676"/>
      <c r="AB28" s="676"/>
      <c r="AC28" s="676"/>
    </row>
    <row r="29" spans="1:33" x14ac:dyDescent="0.25">
      <c r="A29" s="655" t="s">
        <v>373</v>
      </c>
      <c r="B29" s="664">
        <v>2021</v>
      </c>
      <c r="C29" s="665"/>
      <c r="D29" s="665"/>
      <c r="E29" s="665"/>
      <c r="F29" s="665"/>
      <c r="G29" s="665"/>
      <c r="H29" s="665"/>
      <c r="I29" s="665"/>
      <c r="J29" s="665"/>
      <c r="K29" s="665"/>
      <c r="L29" s="665"/>
      <c r="M29" s="665"/>
      <c r="N29" s="665"/>
      <c r="O29" s="666"/>
      <c r="P29" s="670">
        <v>2022</v>
      </c>
      <c r="Q29" s="677"/>
      <c r="R29" s="677"/>
      <c r="S29" s="677"/>
      <c r="T29" s="677"/>
      <c r="U29" s="677"/>
      <c r="V29" s="677"/>
      <c r="W29" s="677"/>
      <c r="X29" s="677"/>
      <c r="Y29" s="677"/>
      <c r="Z29" s="677"/>
      <c r="AA29" s="677"/>
      <c r="AB29" s="677"/>
      <c r="AC29" s="671"/>
      <c r="AG29" s="129"/>
    </row>
    <row r="30" spans="1:33" ht="65.25" customHeight="1" x14ac:dyDescent="0.25">
      <c r="A30" s="655"/>
      <c r="B30" s="80" t="s">
        <v>374</v>
      </c>
      <c r="C30" s="81" t="s">
        <v>375</v>
      </c>
      <c r="D30" s="78" t="s">
        <v>376</v>
      </c>
      <c r="E30" s="78" t="s">
        <v>377</v>
      </c>
      <c r="F30" s="81" t="s">
        <v>378</v>
      </c>
      <c r="G30" s="78" t="s">
        <v>379</v>
      </c>
      <c r="H30" s="78" t="s">
        <v>380</v>
      </c>
      <c r="I30" s="81" t="s">
        <v>352</v>
      </c>
      <c r="J30" s="81" t="s">
        <v>353</v>
      </c>
      <c r="K30" s="78" t="s">
        <v>381</v>
      </c>
      <c r="L30" s="78" t="s">
        <v>382</v>
      </c>
      <c r="M30" s="81" t="s">
        <v>383</v>
      </c>
      <c r="N30" s="78" t="s">
        <v>384</v>
      </c>
      <c r="O30" s="79" t="s">
        <v>382</v>
      </c>
      <c r="P30" s="83" t="s">
        <v>374</v>
      </c>
      <c r="Q30" s="84" t="s">
        <v>375</v>
      </c>
      <c r="R30" s="85" t="s">
        <v>354</v>
      </c>
      <c r="S30" s="85" t="s">
        <v>355</v>
      </c>
      <c r="T30" s="84" t="s">
        <v>378</v>
      </c>
      <c r="U30" s="85" t="s">
        <v>385</v>
      </c>
      <c r="V30" s="85" t="s">
        <v>386</v>
      </c>
      <c r="W30" s="84" t="s">
        <v>352</v>
      </c>
      <c r="X30" s="84" t="s">
        <v>353</v>
      </c>
      <c r="Y30" s="85" t="s">
        <v>354</v>
      </c>
      <c r="Z30" s="85" t="s">
        <v>355</v>
      </c>
      <c r="AA30" s="84" t="s">
        <v>383</v>
      </c>
      <c r="AB30" s="85" t="s">
        <v>385</v>
      </c>
      <c r="AC30" s="85" t="s">
        <v>386</v>
      </c>
    </row>
    <row r="31" spans="1:33" ht="30" customHeight="1" x14ac:dyDescent="0.25">
      <c r="A31" s="54" t="s">
        <v>387</v>
      </c>
      <c r="B31" s="168">
        <f>SUM(L111,L115,L118)</f>
        <v>0</v>
      </c>
      <c r="C31" s="169">
        <f>SUM(H124,H128,H131)</f>
        <v>0</v>
      </c>
      <c r="D31" s="298" t="str">
        <f>IFERROR(IF(AND(E31&lt;1),"Yes","No"),"NA")</f>
        <v>Yes</v>
      </c>
      <c r="E31" s="170">
        <f>IFERROR(ABS(B31-C31),"NA")</f>
        <v>0</v>
      </c>
      <c r="F31" s="170">
        <f>D163</f>
        <v>0</v>
      </c>
      <c r="G31" s="298" t="str">
        <f>IFERROR(IF(AND(H31&lt;1),"Yes","No"),"NA")</f>
        <v>Yes</v>
      </c>
      <c r="H31" s="170">
        <f>IFERROR(ABS(B31-F31),"NA")</f>
        <v>0</v>
      </c>
      <c r="I31" s="8">
        <f>SUM(B111,B115,B118)</f>
        <v>0</v>
      </c>
      <c r="J31" s="8">
        <f>SUM(B124,B128,B131)</f>
        <v>0</v>
      </c>
      <c r="K31" s="298" t="str">
        <f>IFERROR(IF(AND(L31&lt;1),"Yes","No"),"NA")</f>
        <v>Yes</v>
      </c>
      <c r="L31" s="298">
        <f>IFERROR(ABS(I31-J31),"NA")</f>
        <v>0</v>
      </c>
      <c r="M31" s="8">
        <f>B163</f>
        <v>0</v>
      </c>
      <c r="N31" s="298" t="str">
        <f>IFERROR(IF(AND(O31&lt;1),"Yes","No"),"NA")</f>
        <v>Yes</v>
      </c>
      <c r="O31" s="440">
        <f>IFERROR(ABS(I31-M31),"NA")</f>
        <v>0</v>
      </c>
      <c r="P31" s="168">
        <f>SUM(M111,M115,M118)</f>
        <v>0</v>
      </c>
      <c r="Q31" s="94">
        <f>SUM(I124,I128,I131)</f>
        <v>0</v>
      </c>
      <c r="R31" s="298" t="str">
        <f>IFERROR(IF(AND(S31&lt;1),"Yes","No"),"NA")</f>
        <v>Yes</v>
      </c>
      <c r="S31" s="170">
        <f>IFERROR(ABS(P31-Q31),"NA")</f>
        <v>0</v>
      </c>
      <c r="T31" s="170">
        <f>E163</f>
        <v>0</v>
      </c>
      <c r="U31" s="298" t="str">
        <f>IFERROR(IF(AND(V31&lt;1),"Yes","No"),"NA")</f>
        <v>Yes</v>
      </c>
      <c r="V31" s="170">
        <f>IFERROR(ABS(P31-T31),"NA")</f>
        <v>0</v>
      </c>
      <c r="W31" s="8">
        <f>SUM(C111,C115,C118)</f>
        <v>0</v>
      </c>
      <c r="X31" s="8">
        <f>SUM(C124,C128,C131)</f>
        <v>0</v>
      </c>
      <c r="Y31" s="298" t="str">
        <f>IFERROR(IF(AND(Z31&lt;1),"Yes","No"),"NA")</f>
        <v>Yes</v>
      </c>
      <c r="Z31" s="298">
        <f>IFERROR(ABS(W31-X31),"NA")</f>
        <v>0</v>
      </c>
      <c r="AA31" s="8">
        <f>C163</f>
        <v>0</v>
      </c>
      <c r="AB31" s="298" t="str">
        <f>IFERROR(IF(AND(AC31&lt;1),"Yes","No"),"NA")</f>
        <v>Yes</v>
      </c>
      <c r="AC31" s="8">
        <f>IFERROR(ABS(W31-AA31),"NA")</f>
        <v>0</v>
      </c>
    </row>
    <row r="32" spans="1:33" ht="30" customHeight="1" x14ac:dyDescent="0.25">
      <c r="A32" s="54" t="s">
        <v>388</v>
      </c>
      <c r="B32" s="168">
        <f>SUM(L112,L116)</f>
        <v>0</v>
      </c>
      <c r="C32" s="169">
        <f>SUM(H125,H129)</f>
        <v>0</v>
      </c>
      <c r="D32" s="298" t="str">
        <f t="shared" ref="D32:D33" si="8">IFERROR(IF(AND(E32&lt;1),"Yes","No"),"NA")</f>
        <v>Yes</v>
      </c>
      <c r="E32" s="170">
        <f>IFERROR(ABS(B32-C32),"NA")</f>
        <v>0</v>
      </c>
      <c r="F32" s="170">
        <f>D164</f>
        <v>0</v>
      </c>
      <c r="G32" s="298" t="str">
        <f t="shared" ref="G32" si="9">IFERROR(IF(AND(H32&lt;1),"Yes","No"),"NA")</f>
        <v>Yes</v>
      </c>
      <c r="H32" s="170">
        <f>IFERROR(ABS(B32-F32),"NA")</f>
        <v>0</v>
      </c>
      <c r="I32" s="8">
        <f>SUM(B112,B116)</f>
        <v>0</v>
      </c>
      <c r="J32" s="8">
        <f>SUM(B125,B129)</f>
        <v>0</v>
      </c>
      <c r="K32" s="298" t="str">
        <f t="shared" ref="K32:K33" si="10">IFERROR(IF(AND(L32&lt;1),"Yes","No"),"NA")</f>
        <v>Yes</v>
      </c>
      <c r="L32" s="298">
        <f>IFERROR(ABS(I32-J32),"NA")</f>
        <v>0</v>
      </c>
      <c r="M32" s="8">
        <f>B164</f>
        <v>0</v>
      </c>
      <c r="N32" s="298" t="str">
        <f t="shared" ref="N32:N33" si="11">IFERROR(IF(AND(O32&lt;1),"Yes","No"),"NA")</f>
        <v>Yes</v>
      </c>
      <c r="O32" s="440">
        <f>IFERROR(ABS(I32-M32),"NA")</f>
        <v>0</v>
      </c>
      <c r="P32" s="168">
        <f>SUM(M112,M116)</f>
        <v>0</v>
      </c>
      <c r="Q32" s="169">
        <f>SUM(I125,I129)</f>
        <v>0</v>
      </c>
      <c r="R32" s="298" t="str">
        <f t="shared" ref="R32:R33" si="12">IFERROR(IF(AND(S32&lt;1),"Yes","No"),"NA")</f>
        <v>Yes</v>
      </c>
      <c r="S32" s="170">
        <f>IFERROR(ABS(P32-Q32),"NA")</f>
        <v>0</v>
      </c>
      <c r="T32" s="170">
        <f>E164</f>
        <v>0</v>
      </c>
      <c r="U32" s="298" t="str">
        <f t="shared" ref="U32:U33" si="13">IFERROR(IF(AND(V32&lt;1),"Yes","No"),"NA")</f>
        <v>Yes</v>
      </c>
      <c r="V32" s="170">
        <f>IFERROR(ABS(P32-T32),"NA")</f>
        <v>0</v>
      </c>
      <c r="W32" s="8">
        <f>SUM(C112,C116)</f>
        <v>0</v>
      </c>
      <c r="X32" s="8">
        <f>SUM(C125,C129)</f>
        <v>0</v>
      </c>
      <c r="Y32" s="298" t="str">
        <f t="shared" ref="Y32:Y33" si="14">IFERROR(IF(AND(Z32&lt;1),"Yes","No"),"NA")</f>
        <v>Yes</v>
      </c>
      <c r="Z32" s="298">
        <f>IFERROR(ABS(W32-X32),"NA")</f>
        <v>0</v>
      </c>
      <c r="AA32" s="8">
        <f>C164</f>
        <v>0</v>
      </c>
      <c r="AB32" s="298" t="str">
        <f t="shared" ref="AB32:AB33" si="15">IFERROR(IF(AND(AC32&lt;1),"Yes","No"),"NA")</f>
        <v>Yes</v>
      </c>
      <c r="AC32" s="8">
        <f>IFERROR(ABS(W32-AA32),"NA")</f>
        <v>0</v>
      </c>
    </row>
    <row r="33" spans="1:29" ht="30" customHeight="1" x14ac:dyDescent="0.25">
      <c r="A33" s="54" t="s">
        <v>389</v>
      </c>
      <c r="B33" s="168">
        <f>SUM(L113,L114,L117)</f>
        <v>0</v>
      </c>
      <c r="C33" s="169">
        <f>SUM(H126,H127,H130)</f>
        <v>0</v>
      </c>
      <c r="D33" s="298" t="str">
        <f t="shared" si="8"/>
        <v>Yes</v>
      </c>
      <c r="E33" s="170">
        <f>IFERROR(ABS(B33-C33),"NA")</f>
        <v>0</v>
      </c>
      <c r="F33" s="170">
        <f>D165</f>
        <v>0</v>
      </c>
      <c r="G33" s="298" t="str">
        <f>IFERROR(IF(AND(H33&lt;1),"Yes","No"),"NA")</f>
        <v>Yes</v>
      </c>
      <c r="H33" s="170">
        <f>IFERROR(ABS(B33-F33),"NA")</f>
        <v>0</v>
      </c>
      <c r="I33" s="8">
        <f>SUM(B113, B114,B117)</f>
        <v>0</v>
      </c>
      <c r="J33" s="8">
        <f>SUM(B126,B127,B130)</f>
        <v>0</v>
      </c>
      <c r="K33" s="298" t="str">
        <f t="shared" si="10"/>
        <v>Yes</v>
      </c>
      <c r="L33" s="298">
        <f>IFERROR(ABS(I33-J33),"NA")</f>
        <v>0</v>
      </c>
      <c r="M33" s="8">
        <f>B165</f>
        <v>0</v>
      </c>
      <c r="N33" s="298" t="str">
        <f t="shared" si="11"/>
        <v>Yes</v>
      </c>
      <c r="O33" s="440">
        <f>IFERROR(ABS(I33-M33),"NA")</f>
        <v>0</v>
      </c>
      <c r="P33" s="168">
        <f>SUM(M113,M114,M117)</f>
        <v>0</v>
      </c>
      <c r="Q33" s="169">
        <f>SUM(I126,I127,I130)</f>
        <v>0</v>
      </c>
      <c r="R33" s="298" t="str">
        <f t="shared" si="12"/>
        <v>Yes</v>
      </c>
      <c r="S33" s="170">
        <f>IFERROR(ABS(P33-Q33),"NA")</f>
        <v>0</v>
      </c>
      <c r="T33" s="170">
        <f>E165</f>
        <v>0</v>
      </c>
      <c r="U33" s="298" t="str">
        <f t="shared" si="13"/>
        <v>Yes</v>
      </c>
      <c r="V33" s="170">
        <f>IFERROR(ABS(P33-T33),"NA")</f>
        <v>0</v>
      </c>
      <c r="W33" s="8">
        <f>SUM(C113,C114,C117)</f>
        <v>0</v>
      </c>
      <c r="X33" s="8">
        <f>SUM(C126,C127,C130)</f>
        <v>0</v>
      </c>
      <c r="Y33" s="298" t="str">
        <f t="shared" si="14"/>
        <v>Yes</v>
      </c>
      <c r="Z33" s="298">
        <f>IFERROR(ABS(W33-X33),"NA")</f>
        <v>0</v>
      </c>
      <c r="AA33" s="8">
        <f>C165</f>
        <v>0</v>
      </c>
      <c r="AB33" s="298" t="str">
        <f t="shared" si="15"/>
        <v>Yes</v>
      </c>
      <c r="AC33" s="8">
        <f>IFERROR(ABS(W33-AA33),"NA")</f>
        <v>0</v>
      </c>
    </row>
    <row r="34" spans="1:29" x14ac:dyDescent="0.25">
      <c r="A34"/>
      <c r="B34" s="132"/>
      <c r="C34"/>
      <c r="D34" s="2"/>
      <c r="E34"/>
      <c r="F34"/>
      <c r="G34"/>
      <c r="H34"/>
      <c r="I34"/>
      <c r="J34"/>
      <c r="K34"/>
      <c r="L34"/>
      <c r="M34"/>
      <c r="N34"/>
      <c r="O34"/>
      <c r="P34"/>
      <c r="Q34"/>
      <c r="R34"/>
      <c r="S34"/>
      <c r="T34"/>
      <c r="U34"/>
      <c r="V34"/>
      <c r="W34"/>
      <c r="X34"/>
      <c r="Y34"/>
      <c r="Z34"/>
      <c r="AA34"/>
      <c r="AB34"/>
      <c r="AC34"/>
    </row>
    <row r="35" spans="1:29" x14ac:dyDescent="0.25">
      <c r="A35"/>
      <c r="B35"/>
      <c r="C35" s="150"/>
      <c r="D35" s="2"/>
      <c r="E35"/>
      <c r="F35"/>
      <c r="G35"/>
      <c r="H35"/>
      <c r="I35"/>
      <c r="J35"/>
      <c r="K35"/>
      <c r="L35"/>
      <c r="M35"/>
      <c r="N35"/>
      <c r="O35"/>
      <c r="P35"/>
      <c r="Q35"/>
      <c r="R35"/>
      <c r="S35"/>
      <c r="T35"/>
      <c r="U35"/>
      <c r="V35"/>
      <c r="W35"/>
      <c r="X35"/>
      <c r="Y35"/>
      <c r="Z35"/>
      <c r="AA35"/>
      <c r="AB35"/>
      <c r="AC35"/>
    </row>
    <row r="36" spans="1:29" x14ac:dyDescent="0.25">
      <c r="A36" s="4" t="s">
        <v>390</v>
      </c>
      <c r="B36"/>
      <c r="C36"/>
      <c r="D36"/>
      <c r="E36"/>
      <c r="F36"/>
      <c r="G36"/>
      <c r="H36"/>
      <c r="I36"/>
      <c r="J36"/>
      <c r="K36"/>
      <c r="L36"/>
      <c r="M36"/>
      <c r="N36"/>
      <c r="O36"/>
      <c r="P36"/>
      <c r="Q36"/>
      <c r="R36"/>
      <c r="S36" s="441"/>
      <c r="T36"/>
      <c r="U36"/>
      <c r="V36"/>
      <c r="W36"/>
      <c r="X36"/>
      <c r="Y36"/>
      <c r="Z36"/>
      <c r="AA36"/>
      <c r="AB36"/>
      <c r="AC36"/>
    </row>
    <row r="37" spans="1:29" x14ac:dyDescent="0.25">
      <c r="A37" s="189" t="s">
        <v>391</v>
      </c>
      <c r="B37" s="291"/>
      <c r="C37" s="291"/>
      <c r="D37" s="291"/>
      <c r="E37" s="291"/>
      <c r="F37" s="291"/>
      <c r="G37" s="291"/>
      <c r="H37" s="291"/>
      <c r="I37" s="291"/>
      <c r="J37" s="291"/>
      <c r="K37" s="291"/>
      <c r="L37" s="291"/>
      <c r="M37" s="291"/>
      <c r="N37" s="291"/>
      <c r="O37" s="291"/>
      <c r="P37" s="291"/>
      <c r="Q37" s="291"/>
      <c r="R37" s="291"/>
      <c r="S37" s="538"/>
      <c r="T37"/>
      <c r="U37"/>
      <c r="V37"/>
      <c r="W37"/>
      <c r="X37"/>
      <c r="Y37"/>
      <c r="Z37"/>
      <c r="AA37"/>
      <c r="AB37"/>
      <c r="AC37"/>
    </row>
    <row r="38" spans="1:29" s="300" customFormat="1" ht="60" customHeight="1" x14ac:dyDescent="0.25">
      <c r="A38" s="672" t="s">
        <v>392</v>
      </c>
      <c r="B38" s="672"/>
      <c r="C38" s="672"/>
      <c r="D38" s="672"/>
      <c r="E38" s="672"/>
      <c r="F38" s="672"/>
      <c r="G38" s="672"/>
      <c r="H38" s="672"/>
      <c r="I38" s="672"/>
      <c r="J38" s="672"/>
      <c r="K38" s="672"/>
      <c r="L38" s="672"/>
      <c r="M38" s="672"/>
      <c r="N38" s="672"/>
      <c r="O38" s="672"/>
      <c r="P38" s="672"/>
      <c r="Q38" s="672"/>
      <c r="R38" s="539"/>
      <c r="S38" s="540"/>
      <c r="T38" s="299"/>
      <c r="U38" s="299"/>
      <c r="V38" s="299"/>
      <c r="W38" s="299"/>
      <c r="X38" s="299"/>
      <c r="Y38" s="299"/>
      <c r="Z38" s="299"/>
      <c r="AA38" s="299"/>
      <c r="AB38" s="299"/>
      <c r="AC38" s="299"/>
    </row>
    <row r="39" spans="1:29" x14ac:dyDescent="0.25">
      <c r="A39" s="663" t="s">
        <v>61</v>
      </c>
      <c r="B39" s="673">
        <v>2021</v>
      </c>
      <c r="C39" s="674"/>
      <c r="D39" s="674"/>
      <c r="E39" s="674"/>
      <c r="F39" s="674"/>
      <c r="G39" s="674"/>
      <c r="H39" s="674"/>
      <c r="I39" s="674"/>
      <c r="J39" s="675"/>
      <c r="K39" s="678">
        <v>2022</v>
      </c>
      <c r="L39" s="679"/>
      <c r="M39" s="679"/>
      <c r="N39" s="679"/>
      <c r="O39" s="679"/>
      <c r="P39" s="679"/>
      <c r="Q39" s="679"/>
      <c r="R39" s="679"/>
      <c r="S39" s="679"/>
      <c r="T39"/>
      <c r="U39"/>
      <c r="V39"/>
      <c r="W39"/>
      <c r="X39"/>
      <c r="Y39"/>
      <c r="Z39"/>
      <c r="AA39"/>
      <c r="AB39"/>
      <c r="AC39"/>
    </row>
    <row r="40" spans="1:29" ht="142.5" customHeight="1" x14ac:dyDescent="0.25">
      <c r="A40" s="663"/>
      <c r="B40" s="91" t="s">
        <v>393</v>
      </c>
      <c r="C40" s="91" t="s">
        <v>198</v>
      </c>
      <c r="D40" s="93" t="s">
        <v>394</v>
      </c>
      <c r="E40" s="93" t="s">
        <v>395</v>
      </c>
      <c r="F40" s="91" t="s">
        <v>396</v>
      </c>
      <c r="G40" s="91" t="s">
        <v>397</v>
      </c>
      <c r="H40" s="91" t="s">
        <v>374</v>
      </c>
      <c r="I40" s="93" t="s">
        <v>398</v>
      </c>
      <c r="J40" s="93" t="s">
        <v>399</v>
      </c>
      <c r="K40" s="88" t="s">
        <v>393</v>
      </c>
      <c r="L40" s="88" t="s">
        <v>198</v>
      </c>
      <c r="M40" s="86" t="s">
        <v>394</v>
      </c>
      <c r="N40" s="86" t="s">
        <v>395</v>
      </c>
      <c r="O40" s="88" t="s">
        <v>396</v>
      </c>
      <c r="P40" s="88" t="s">
        <v>397</v>
      </c>
      <c r="Q40" s="88" t="s">
        <v>374</v>
      </c>
      <c r="R40" s="86" t="s">
        <v>398</v>
      </c>
      <c r="S40" s="86" t="s">
        <v>399</v>
      </c>
      <c r="T40"/>
      <c r="U40"/>
      <c r="V40"/>
      <c r="W40"/>
      <c r="X40"/>
      <c r="Y40"/>
      <c r="Z40"/>
      <c r="AA40"/>
      <c r="AB40"/>
      <c r="AC40"/>
    </row>
    <row r="41" spans="1:29" x14ac:dyDescent="0.25">
      <c r="A41" s="6">
        <v>1</v>
      </c>
      <c r="B41" s="352">
        <f t="shared" ref="B41:B48" si="16">B111/12</f>
        <v>0</v>
      </c>
      <c r="C41" s="301">
        <f t="shared" ref="C41:C48" si="17">D111</f>
        <v>0</v>
      </c>
      <c r="D41" s="298" t="str" cm="1">
        <f t="array" ref="D41">_xlfn.IFS(B41&gt;C41,"Yes",B41&lt;C41,"No", B41=0,"NA")</f>
        <v>NA</v>
      </c>
      <c r="E41" s="173" t="str">
        <f>IFERROR(C41/B41, "NA")</f>
        <v>NA</v>
      </c>
      <c r="F41" s="170">
        <f>F111</f>
        <v>0</v>
      </c>
      <c r="G41" s="170">
        <f>F124</f>
        <v>0</v>
      </c>
      <c r="H41" s="170">
        <f t="shared" ref="H41:H48" si="18">L111</f>
        <v>0</v>
      </c>
      <c r="I41" s="298" t="str" cm="1">
        <f t="array" ref="I41">_xlfn.IFS(F41&gt;H41,"Yes",F41&lt;H41,"No",F41=0,"NA",F41=H41,"Equal")</f>
        <v>NA</v>
      </c>
      <c r="J41" s="298" t="str">
        <f>IFERROR(IF(AND((ABS(F41-G41)&lt;1)),"Yes","No"),"NA")</f>
        <v>Yes</v>
      </c>
      <c r="K41" s="8">
        <f t="shared" ref="K41:K48" si="19">C111/12</f>
        <v>0</v>
      </c>
      <c r="L41" s="8">
        <f t="shared" ref="L41:L48" si="20">E111</f>
        <v>0</v>
      </c>
      <c r="M41" s="298" t="str" cm="1">
        <f t="array" ref="M41">_xlfn.IFS(K41&gt;L41,"Yes",K41&lt;L41,"No",K41=0,"NA")</f>
        <v>NA</v>
      </c>
      <c r="N41" s="173" t="str">
        <f>IFERROR(L41/K41,"NA")</f>
        <v>NA</v>
      </c>
      <c r="O41" s="170">
        <f>G111</f>
        <v>0</v>
      </c>
      <c r="P41" s="170">
        <f>G124</f>
        <v>0</v>
      </c>
      <c r="Q41" s="170">
        <f t="shared" ref="Q41:Q48" si="21">M111</f>
        <v>0</v>
      </c>
      <c r="R41" s="298" t="str" cm="1">
        <f t="array" ref="R41">_xlfn.IFS(O41&gt;Q41,"Yes",O41&lt;Q41,"No",O41=0,"NA",O41=Q41,"Equal")</f>
        <v>NA</v>
      </c>
      <c r="S41" s="298" t="str">
        <f>IFERROR(IF(AND((ABS(O41-P41)&lt;1)),"Yes","No"),"NA")</f>
        <v>Yes</v>
      </c>
      <c r="T41"/>
      <c r="U41"/>
      <c r="V41"/>
      <c r="W41"/>
      <c r="X41"/>
      <c r="Y41"/>
      <c r="Z41"/>
      <c r="AA41"/>
      <c r="AB41"/>
      <c r="AC41"/>
    </row>
    <row r="42" spans="1:29" x14ac:dyDescent="0.25">
      <c r="A42" s="6">
        <v>2</v>
      </c>
      <c r="B42" s="352">
        <f t="shared" si="16"/>
        <v>0</v>
      </c>
      <c r="C42" s="301">
        <f t="shared" si="17"/>
        <v>0</v>
      </c>
      <c r="D42" s="298" t="str" cm="1">
        <f t="array" ref="D42">_xlfn.IFS(B42&gt;C42,"Yes",B42&lt;C42,"No", B42=0,"NA")</f>
        <v>NA</v>
      </c>
      <c r="E42" s="173" t="str">
        <f t="shared" ref="E42:E48" si="22">IFERROR(C42/B42, "NA")</f>
        <v>NA</v>
      </c>
      <c r="F42" s="170">
        <f t="shared" ref="F42:F47" si="23">F112</f>
        <v>0</v>
      </c>
      <c r="G42" s="170">
        <f t="shared" ref="G42:G47" si="24">F125</f>
        <v>0</v>
      </c>
      <c r="H42" s="170">
        <f t="shared" si="18"/>
        <v>0</v>
      </c>
      <c r="I42" s="298" t="str" cm="1">
        <f t="array" ref="I42">_xlfn.IFS(F42&gt;H42,"Yes",F42&lt;H42,"No",F42=0,"NA",F42=H42,"Equal")</f>
        <v>NA</v>
      </c>
      <c r="J42" s="298" t="str">
        <f t="shared" ref="J42:J48" si="25">IFERROR(IF(AND((ABS(F42-G42)&lt;1)),"Yes","No"),"NA")</f>
        <v>Yes</v>
      </c>
      <c r="K42" s="8">
        <f t="shared" si="19"/>
        <v>0</v>
      </c>
      <c r="L42" s="8">
        <f t="shared" si="20"/>
        <v>0</v>
      </c>
      <c r="M42" s="298" t="str" cm="1">
        <f t="array" ref="M42">_xlfn.IFS(K42&gt;L42,"Yes",K42&lt;L42,"No",K42=0,"NA")</f>
        <v>NA</v>
      </c>
      <c r="N42" s="173" t="str">
        <f t="shared" ref="N42:N48" si="26">IFERROR(L42/K42,"NA")</f>
        <v>NA</v>
      </c>
      <c r="O42" s="170">
        <f t="shared" ref="O42:O48" si="27">G112</f>
        <v>0</v>
      </c>
      <c r="P42" s="170">
        <f t="shared" ref="P42:P48" si="28">G125</f>
        <v>0</v>
      </c>
      <c r="Q42" s="170">
        <f t="shared" si="21"/>
        <v>0</v>
      </c>
      <c r="R42" s="298" t="str" cm="1">
        <f t="array" ref="R42">_xlfn.IFS(O42&gt;Q42,"Yes",O42&lt;Q42,"No",O42=0,"NA",O42=Q42,"Equal")</f>
        <v>NA</v>
      </c>
      <c r="S42" s="298" t="str">
        <f t="shared" ref="S42:S48" si="29">IFERROR(IF(AND((ABS(O42-P42)&lt;1)),"Yes","No"),"NA")</f>
        <v>Yes</v>
      </c>
      <c r="T42"/>
      <c r="U42"/>
      <c r="V42"/>
      <c r="W42"/>
      <c r="X42"/>
      <c r="Y42"/>
      <c r="Z42"/>
      <c r="AA42"/>
      <c r="AB42"/>
      <c r="AC42"/>
    </row>
    <row r="43" spans="1:29" x14ac:dyDescent="0.25">
      <c r="A43" s="6">
        <v>3</v>
      </c>
      <c r="B43" s="352">
        <f t="shared" si="16"/>
        <v>0</v>
      </c>
      <c r="C43" s="301">
        <f t="shared" si="17"/>
        <v>0</v>
      </c>
      <c r="D43" s="298" t="str" cm="1">
        <f t="array" ref="D43">_xlfn.IFS(B43&gt;C43,"Yes",B43&lt;C43,"No", B43=0,"NA")</f>
        <v>NA</v>
      </c>
      <c r="E43" s="173" t="str">
        <f t="shared" si="22"/>
        <v>NA</v>
      </c>
      <c r="F43" s="170">
        <f t="shared" si="23"/>
        <v>0</v>
      </c>
      <c r="G43" s="170">
        <f t="shared" si="24"/>
        <v>0</v>
      </c>
      <c r="H43" s="170">
        <f t="shared" si="18"/>
        <v>0</v>
      </c>
      <c r="I43" s="298" t="str" cm="1">
        <f t="array" ref="I43">_xlfn.IFS(F43&gt;H43,"Yes",F43&lt;H43,"No",F43=0,"NA",F43=H43,"Equal")</f>
        <v>NA</v>
      </c>
      <c r="J43" s="298" t="str">
        <f t="shared" si="25"/>
        <v>Yes</v>
      </c>
      <c r="K43" s="8">
        <f t="shared" si="19"/>
        <v>0</v>
      </c>
      <c r="L43" s="8">
        <f t="shared" si="20"/>
        <v>0</v>
      </c>
      <c r="M43" s="298" t="str" cm="1">
        <f t="array" ref="M43">_xlfn.IFS(K43&gt;L43,"Yes",K43&lt;L43,"No",K43=0,"NA")</f>
        <v>NA</v>
      </c>
      <c r="N43" s="173" t="str">
        <f t="shared" si="26"/>
        <v>NA</v>
      </c>
      <c r="O43" s="170">
        <f t="shared" si="27"/>
        <v>0</v>
      </c>
      <c r="P43" s="170">
        <f t="shared" si="28"/>
        <v>0</v>
      </c>
      <c r="Q43" s="170">
        <f t="shared" si="21"/>
        <v>0</v>
      </c>
      <c r="R43" s="298" t="str" cm="1">
        <f t="array" ref="R43">_xlfn.IFS(O43&gt;Q43,"Yes",O43&lt;Q43,"No",O43=0,"NA",O43=Q43,"Equal")</f>
        <v>NA</v>
      </c>
      <c r="S43" s="298" t="str">
        <f t="shared" si="29"/>
        <v>Yes</v>
      </c>
      <c r="T43"/>
      <c r="U43"/>
      <c r="V43"/>
      <c r="W43"/>
      <c r="X43"/>
      <c r="Y43"/>
      <c r="Z43"/>
      <c r="AA43"/>
      <c r="AB43"/>
      <c r="AC43"/>
    </row>
    <row r="44" spans="1:29" x14ac:dyDescent="0.25">
      <c r="A44" s="6">
        <v>4</v>
      </c>
      <c r="B44" s="352">
        <f t="shared" si="16"/>
        <v>0</v>
      </c>
      <c r="C44" s="301">
        <f t="shared" si="17"/>
        <v>0</v>
      </c>
      <c r="D44" s="298" t="str" cm="1">
        <f t="array" ref="D44">_xlfn.IFS(B44&gt;C44,"Yes",B44&lt;C44,"No", B44=0,"NA")</f>
        <v>NA</v>
      </c>
      <c r="E44" s="173" t="str">
        <f t="shared" si="22"/>
        <v>NA</v>
      </c>
      <c r="F44" s="170">
        <f t="shared" si="23"/>
        <v>0</v>
      </c>
      <c r="G44" s="170">
        <f t="shared" si="24"/>
        <v>0</v>
      </c>
      <c r="H44" s="170">
        <f t="shared" si="18"/>
        <v>0</v>
      </c>
      <c r="I44" s="298" t="str" cm="1">
        <f t="array" ref="I44">_xlfn.IFS(F44&gt;H44,"Yes",F44&lt;H44,"No",F44=0,"NA",F44=H44,"Equal")</f>
        <v>NA</v>
      </c>
      <c r="J44" s="298" t="str">
        <f t="shared" si="25"/>
        <v>Yes</v>
      </c>
      <c r="K44" s="8">
        <f t="shared" si="19"/>
        <v>0</v>
      </c>
      <c r="L44" s="8">
        <f t="shared" si="20"/>
        <v>0</v>
      </c>
      <c r="M44" s="298" t="str" cm="1">
        <f t="array" ref="M44">_xlfn.IFS(K44&gt;L44,"Yes",K44&lt;L44,"No",K44=0,"NA")</f>
        <v>NA</v>
      </c>
      <c r="N44" s="173" t="str">
        <f t="shared" si="26"/>
        <v>NA</v>
      </c>
      <c r="O44" s="170">
        <f t="shared" si="27"/>
        <v>0</v>
      </c>
      <c r="P44" s="170">
        <f>G127</f>
        <v>0</v>
      </c>
      <c r="Q44" s="170">
        <f t="shared" si="21"/>
        <v>0</v>
      </c>
      <c r="R44" s="298" t="str" cm="1">
        <f t="array" ref="R44">_xlfn.IFS(O44&gt;Q44,"Yes",O44&lt;Q44,"No",O44=0,"NA",O44=Q44,"Equal")</f>
        <v>NA</v>
      </c>
      <c r="S44" s="298" t="str">
        <f t="shared" si="29"/>
        <v>Yes</v>
      </c>
      <c r="T44"/>
      <c r="U44"/>
      <c r="V44"/>
      <c r="W44"/>
      <c r="X44"/>
      <c r="Y44"/>
      <c r="Z44"/>
      <c r="AA44"/>
      <c r="AB44"/>
      <c r="AC44"/>
    </row>
    <row r="45" spans="1:29" x14ac:dyDescent="0.25">
      <c r="A45" s="6">
        <v>5</v>
      </c>
      <c r="B45" s="352">
        <f t="shared" si="16"/>
        <v>0</v>
      </c>
      <c r="C45" s="301">
        <f t="shared" si="17"/>
        <v>0</v>
      </c>
      <c r="D45" s="298" t="str" cm="1">
        <f t="array" ref="D45">_xlfn.IFS(B45&gt;C45,"Yes",B45&lt;C45,"No", B45=0,"NA")</f>
        <v>NA</v>
      </c>
      <c r="E45" s="173" t="str">
        <f t="shared" si="22"/>
        <v>NA</v>
      </c>
      <c r="F45" s="170">
        <f t="shared" si="23"/>
        <v>0</v>
      </c>
      <c r="G45" s="170">
        <f t="shared" si="24"/>
        <v>0</v>
      </c>
      <c r="H45" s="170">
        <f t="shared" si="18"/>
        <v>0</v>
      </c>
      <c r="I45" s="298" t="str" cm="1">
        <f t="array" ref="I45">_xlfn.IFS(F45&gt;H45,"Yes",F45&lt;H45,"No",F45=0,"NA",F45=H45,"Equal")</f>
        <v>NA</v>
      </c>
      <c r="J45" s="298" t="str">
        <f t="shared" si="25"/>
        <v>Yes</v>
      </c>
      <c r="K45" s="8">
        <f t="shared" si="19"/>
        <v>0</v>
      </c>
      <c r="L45" s="8">
        <f t="shared" si="20"/>
        <v>0</v>
      </c>
      <c r="M45" s="298" t="str" cm="1">
        <f t="array" ref="M45">_xlfn.IFS(K45&gt;L45,"Yes",K45&lt;L45,"No",K45=0,"NA")</f>
        <v>NA</v>
      </c>
      <c r="N45" s="173" t="str">
        <f t="shared" si="26"/>
        <v>NA</v>
      </c>
      <c r="O45" s="170">
        <f t="shared" si="27"/>
        <v>0</v>
      </c>
      <c r="P45" s="170">
        <f t="shared" si="28"/>
        <v>0</v>
      </c>
      <c r="Q45" s="170">
        <f t="shared" si="21"/>
        <v>0</v>
      </c>
      <c r="R45" s="298" t="str" cm="1">
        <f t="array" ref="R45">_xlfn.IFS(O45&gt;Q45,"Yes",O45&lt;Q45,"No",O45=0,"NA",O45=Q45,"Equal")</f>
        <v>NA</v>
      </c>
      <c r="S45" s="298" t="str">
        <f t="shared" si="29"/>
        <v>Yes</v>
      </c>
      <c r="T45"/>
      <c r="U45"/>
      <c r="V45"/>
      <c r="W45"/>
      <c r="X45"/>
      <c r="Y45"/>
      <c r="Z45"/>
      <c r="AA45"/>
      <c r="AB45"/>
      <c r="AC45"/>
    </row>
    <row r="46" spans="1:29" x14ac:dyDescent="0.25">
      <c r="A46" s="6">
        <v>6</v>
      </c>
      <c r="B46" s="352">
        <f t="shared" si="16"/>
        <v>0</v>
      </c>
      <c r="C46" s="301">
        <f t="shared" si="17"/>
        <v>0</v>
      </c>
      <c r="D46" s="298" t="str" cm="1">
        <f t="array" ref="D46">_xlfn.IFS(B46&gt;C46,"Yes",B46&lt;C46,"No", B46=0,"NA")</f>
        <v>NA</v>
      </c>
      <c r="E46" s="173" t="str">
        <f t="shared" si="22"/>
        <v>NA</v>
      </c>
      <c r="F46" s="170">
        <f t="shared" si="23"/>
        <v>0</v>
      </c>
      <c r="G46" s="170">
        <f t="shared" si="24"/>
        <v>0</v>
      </c>
      <c r="H46" s="170">
        <f t="shared" si="18"/>
        <v>0</v>
      </c>
      <c r="I46" s="298" t="str" cm="1">
        <f t="array" ref="I46">_xlfn.IFS(F46&gt;H46,"Yes",F46&lt;H46,"No",F46=0,"NA",F46=H46,"Equal")</f>
        <v>NA</v>
      </c>
      <c r="J46" s="298" t="str">
        <f t="shared" si="25"/>
        <v>Yes</v>
      </c>
      <c r="K46" s="8">
        <f t="shared" si="19"/>
        <v>0</v>
      </c>
      <c r="L46" s="8">
        <f t="shared" si="20"/>
        <v>0</v>
      </c>
      <c r="M46" s="298" t="str" cm="1">
        <f t="array" ref="M46">_xlfn.IFS(K46&gt;L46,"Yes",K46&lt;L46,"No",K46=0,"NA")</f>
        <v>NA</v>
      </c>
      <c r="N46" s="173" t="str">
        <f t="shared" si="26"/>
        <v>NA</v>
      </c>
      <c r="O46" s="170">
        <f t="shared" si="27"/>
        <v>0</v>
      </c>
      <c r="P46" s="170">
        <f t="shared" si="28"/>
        <v>0</v>
      </c>
      <c r="Q46" s="170">
        <f t="shared" si="21"/>
        <v>0</v>
      </c>
      <c r="R46" s="298" t="str" cm="1">
        <f t="array" ref="R46">_xlfn.IFS(O46&gt;Q46,"Yes",O46&lt;Q46,"No",O46=0,"NA",O46=Q46,"Equal")</f>
        <v>NA</v>
      </c>
      <c r="S46" s="298" t="str">
        <f t="shared" si="29"/>
        <v>Yes</v>
      </c>
      <c r="T46"/>
      <c r="U46"/>
      <c r="V46"/>
      <c r="W46"/>
      <c r="X46"/>
      <c r="Y46"/>
      <c r="Z46"/>
      <c r="AA46"/>
      <c r="AB46"/>
      <c r="AC46"/>
    </row>
    <row r="47" spans="1:29" x14ac:dyDescent="0.25">
      <c r="A47" s="6">
        <v>7</v>
      </c>
      <c r="B47" s="352">
        <f t="shared" si="16"/>
        <v>0</v>
      </c>
      <c r="C47" s="301">
        <f t="shared" si="17"/>
        <v>0</v>
      </c>
      <c r="D47" s="298" t="str" cm="1">
        <f t="array" ref="D47">_xlfn.IFS(B47&gt;C47,"Yes",B47&lt;C47,"No", B47=0,"NA")</f>
        <v>NA</v>
      </c>
      <c r="E47" s="173" t="str">
        <f t="shared" si="22"/>
        <v>NA</v>
      </c>
      <c r="F47" s="170">
        <f t="shared" si="23"/>
        <v>0</v>
      </c>
      <c r="G47" s="170">
        <f t="shared" si="24"/>
        <v>0</v>
      </c>
      <c r="H47" s="170">
        <f t="shared" si="18"/>
        <v>0</v>
      </c>
      <c r="I47" s="298" t="str" cm="1">
        <f t="array" ref="I47">_xlfn.IFS(F47&gt;H47,"Yes",F47&lt;H47,"No",F47=0,"NA",F47=H47,"Equal")</f>
        <v>NA</v>
      </c>
      <c r="J47" s="298" t="str">
        <f t="shared" si="25"/>
        <v>Yes</v>
      </c>
      <c r="K47" s="8">
        <f t="shared" si="19"/>
        <v>0</v>
      </c>
      <c r="L47" s="8">
        <f t="shared" si="20"/>
        <v>0</v>
      </c>
      <c r="M47" s="298" t="str" cm="1">
        <f t="array" ref="M47">_xlfn.IFS(K47&gt;L47,"Yes",K47&lt;L47,"No",K47=0,"NA")</f>
        <v>NA</v>
      </c>
      <c r="N47" s="173" t="str">
        <f t="shared" si="26"/>
        <v>NA</v>
      </c>
      <c r="O47" s="170">
        <f t="shared" si="27"/>
        <v>0</v>
      </c>
      <c r="P47" s="170">
        <f t="shared" si="28"/>
        <v>0</v>
      </c>
      <c r="Q47" s="170">
        <f t="shared" si="21"/>
        <v>0</v>
      </c>
      <c r="R47" s="298" t="str" cm="1">
        <f t="array" ref="R47">_xlfn.IFS(O47&gt;Q47,"Yes",O47&lt;Q47,"No",O47=0,"NA",O47=Q47,"Equal")</f>
        <v>NA</v>
      </c>
      <c r="S47" s="298" t="str">
        <f t="shared" si="29"/>
        <v>Yes</v>
      </c>
      <c r="T47"/>
      <c r="U47"/>
      <c r="V47"/>
      <c r="W47"/>
      <c r="X47"/>
      <c r="Y47"/>
      <c r="Z47"/>
      <c r="AA47"/>
      <c r="AB47"/>
      <c r="AC47"/>
    </row>
    <row r="48" spans="1:29" x14ac:dyDescent="0.25">
      <c r="A48" s="6">
        <v>8</v>
      </c>
      <c r="B48" s="352">
        <f t="shared" si="16"/>
        <v>0</v>
      </c>
      <c r="C48" s="301">
        <f t="shared" si="17"/>
        <v>0</v>
      </c>
      <c r="D48" s="298" t="str" cm="1">
        <f t="array" ref="D48">_xlfn.IFS(B48&gt;C48,"Yes",B48&lt;C48,"No", B48=0,"NA")</f>
        <v>NA</v>
      </c>
      <c r="E48" s="173" t="str">
        <f t="shared" si="22"/>
        <v>NA</v>
      </c>
      <c r="F48" s="170">
        <f>F118</f>
        <v>0</v>
      </c>
      <c r="G48" s="170">
        <f>F131</f>
        <v>0</v>
      </c>
      <c r="H48" s="170">
        <f t="shared" si="18"/>
        <v>0</v>
      </c>
      <c r="I48" s="298" t="str" cm="1">
        <f t="array" ref="I48">_xlfn.IFS(F48&gt;H48,"Yes",F48&lt;H48,"No",F48=0,"NA",F48=H48,"Equal")</f>
        <v>NA</v>
      </c>
      <c r="J48" s="298" t="str">
        <f t="shared" si="25"/>
        <v>Yes</v>
      </c>
      <c r="K48" s="8">
        <f t="shared" si="19"/>
        <v>0</v>
      </c>
      <c r="L48" s="8">
        <f t="shared" si="20"/>
        <v>0</v>
      </c>
      <c r="M48" s="298" t="str" cm="1">
        <f t="array" ref="M48">_xlfn.IFS(K48&gt;L48,"Yes",K48&lt;L48,"No",K48=0,"NA")</f>
        <v>NA</v>
      </c>
      <c r="N48" s="173" t="str">
        <f t="shared" si="26"/>
        <v>NA</v>
      </c>
      <c r="O48" s="170">
        <f t="shared" si="27"/>
        <v>0</v>
      </c>
      <c r="P48" s="170">
        <f t="shared" si="28"/>
        <v>0</v>
      </c>
      <c r="Q48" s="170">
        <f t="shared" si="21"/>
        <v>0</v>
      </c>
      <c r="R48" s="298" t="str" cm="1">
        <f t="array" ref="R48">_xlfn.IFS(O48&gt;Q48,"Yes",O48&lt;Q48,"No",O48=0,"NA",O48=Q48,"Equal")</f>
        <v>NA</v>
      </c>
      <c r="S48" s="298" t="str">
        <f t="shared" si="29"/>
        <v>Yes</v>
      </c>
      <c r="T48"/>
      <c r="U48"/>
      <c r="V48"/>
      <c r="W48"/>
      <c r="X48"/>
      <c r="Y48"/>
      <c r="Z48"/>
      <c r="AA48"/>
      <c r="AB48"/>
      <c r="AC48"/>
    </row>
    <row r="49" spans="1:29" x14ac:dyDescent="0.25">
      <c r="A49"/>
      <c r="B49"/>
      <c r="C49"/>
      <c r="D49"/>
      <c r="E49"/>
      <c r="F49"/>
      <c r="G49"/>
      <c r="H49"/>
      <c r="I49"/>
      <c r="J49"/>
      <c r="K49"/>
      <c r="L49"/>
      <c r="M49"/>
      <c r="N49"/>
      <c r="O49"/>
      <c r="P49"/>
      <c r="Q49"/>
      <c r="R49"/>
      <c r="S49"/>
      <c r="T49"/>
      <c r="U49"/>
      <c r="V49"/>
      <c r="W49"/>
      <c r="X49"/>
      <c r="Y49"/>
      <c r="Z49"/>
      <c r="AA49"/>
      <c r="AB49"/>
      <c r="AC49"/>
    </row>
    <row r="50" spans="1:29" x14ac:dyDescent="0.25">
      <c r="A50"/>
      <c r="B50"/>
      <c r="C50"/>
      <c r="D50"/>
      <c r="E50"/>
      <c r="F50"/>
      <c r="G50"/>
      <c r="H50"/>
      <c r="I50"/>
      <c r="J50"/>
      <c r="K50"/>
      <c r="L50"/>
      <c r="M50"/>
      <c r="N50"/>
      <c r="O50"/>
      <c r="P50"/>
      <c r="Q50"/>
      <c r="R50"/>
      <c r="S50"/>
      <c r="T50"/>
      <c r="U50"/>
      <c r="V50"/>
      <c r="W50"/>
      <c r="X50"/>
      <c r="Y50"/>
      <c r="Z50"/>
      <c r="AA50"/>
      <c r="AB50"/>
      <c r="AC50"/>
    </row>
    <row r="51" spans="1:29" x14ac:dyDescent="0.25">
      <c r="A51" s="3" t="s">
        <v>400</v>
      </c>
      <c r="B51"/>
      <c r="C51"/>
      <c r="D51"/>
      <c r="E51"/>
      <c r="F51"/>
      <c r="G51"/>
      <c r="H51"/>
      <c r="I51"/>
      <c r="J51"/>
      <c r="K51"/>
      <c r="L51"/>
      <c r="M51"/>
      <c r="N51"/>
      <c r="O51"/>
      <c r="P51"/>
      <c r="Q51"/>
      <c r="R51"/>
      <c r="S51"/>
      <c r="T51"/>
      <c r="U51"/>
      <c r="V51"/>
      <c r="W51"/>
      <c r="X51"/>
      <c r="Y51"/>
      <c r="Z51"/>
      <c r="AA51"/>
      <c r="AB51"/>
      <c r="AC51"/>
    </row>
    <row r="52" spans="1:29" x14ac:dyDescent="0.25">
      <c r="A52" s="685" t="s">
        <v>401</v>
      </c>
      <c r="B52" s="685"/>
      <c r="C52" s="685"/>
      <c r="D52" s="685"/>
      <c r="E52" s="685"/>
      <c r="F52" s="685"/>
      <c r="G52" s="685"/>
      <c r="H52" s="685"/>
      <c r="I52" s="685"/>
      <c r="J52" s="685"/>
      <c r="K52" s="685"/>
      <c r="L52" s="685"/>
      <c r="M52" s="685"/>
      <c r="N52" s="685"/>
      <c r="O52" s="685"/>
      <c r="P52" s="685"/>
      <c r="Q52" s="685"/>
      <c r="R52" s="685"/>
      <c r="S52" s="685"/>
      <c r="T52" s="685"/>
      <c r="U52" s="685"/>
      <c r="V52"/>
      <c r="W52"/>
      <c r="X52"/>
      <c r="Y52"/>
      <c r="Z52"/>
      <c r="AA52"/>
      <c r="AB52"/>
      <c r="AC52"/>
    </row>
    <row r="53" spans="1:29" s="300" customFormat="1" ht="30" customHeight="1" x14ac:dyDescent="0.25">
      <c r="A53" s="686" t="s">
        <v>402</v>
      </c>
      <c r="B53" s="686"/>
      <c r="C53" s="686"/>
      <c r="D53" s="686"/>
      <c r="E53" s="686"/>
      <c r="F53" s="686"/>
      <c r="G53" s="686"/>
      <c r="H53" s="686"/>
      <c r="I53" s="686"/>
      <c r="J53" s="686"/>
      <c r="K53" s="686"/>
      <c r="L53" s="686"/>
      <c r="M53" s="686"/>
      <c r="N53" s="686"/>
      <c r="O53" s="686"/>
      <c r="P53" s="686"/>
      <c r="Q53" s="686"/>
      <c r="R53" s="686"/>
      <c r="S53" s="686"/>
      <c r="T53" s="686"/>
      <c r="U53" s="686"/>
      <c r="V53" s="299"/>
      <c r="W53" s="299"/>
      <c r="X53" s="299"/>
      <c r="Y53" s="299"/>
      <c r="Z53" s="299"/>
      <c r="AA53" s="299"/>
      <c r="AB53" s="299"/>
      <c r="AC53" s="299"/>
    </row>
    <row r="54" spans="1:29" x14ac:dyDescent="0.25">
      <c r="A54" s="659" t="s">
        <v>61</v>
      </c>
      <c r="B54" s="664">
        <v>2021</v>
      </c>
      <c r="C54" s="665"/>
      <c r="D54" s="665"/>
      <c r="E54" s="665"/>
      <c r="F54" s="665"/>
      <c r="G54" s="665"/>
      <c r="H54" s="665"/>
      <c r="I54" s="665"/>
      <c r="J54" s="665"/>
      <c r="K54" s="666"/>
      <c r="L54" s="683">
        <v>2022</v>
      </c>
      <c r="M54" s="684"/>
      <c r="N54" s="684"/>
      <c r="O54" s="684"/>
      <c r="P54" s="684"/>
      <c r="Q54" s="684"/>
      <c r="R54" s="684"/>
      <c r="S54" s="684"/>
      <c r="T54" s="684"/>
      <c r="U54" s="684"/>
      <c r="V54"/>
      <c r="W54"/>
      <c r="X54"/>
      <c r="Y54"/>
      <c r="Z54"/>
      <c r="AA54"/>
      <c r="AB54"/>
      <c r="AC54"/>
    </row>
    <row r="55" spans="1:29" ht="73.5" customHeight="1" x14ac:dyDescent="0.25">
      <c r="A55" s="659"/>
      <c r="B55" s="90" t="s">
        <v>403</v>
      </c>
      <c r="C55" s="91" t="s">
        <v>404</v>
      </c>
      <c r="D55" s="91" t="s">
        <v>405</v>
      </c>
      <c r="E55" s="91" t="s">
        <v>406</v>
      </c>
      <c r="F55" s="91" t="s">
        <v>407</v>
      </c>
      <c r="G55" s="91" t="s">
        <v>408</v>
      </c>
      <c r="H55" s="91" t="s">
        <v>409</v>
      </c>
      <c r="I55" s="91" t="s">
        <v>410</v>
      </c>
      <c r="J55" s="91" t="s">
        <v>411</v>
      </c>
      <c r="K55" s="92" t="s">
        <v>412</v>
      </c>
      <c r="L55" s="87" t="s">
        <v>403</v>
      </c>
      <c r="M55" s="88" t="s">
        <v>404</v>
      </c>
      <c r="N55" s="88" t="s">
        <v>405</v>
      </c>
      <c r="O55" s="88" t="s">
        <v>406</v>
      </c>
      <c r="P55" s="88" t="s">
        <v>407</v>
      </c>
      <c r="Q55" s="88" t="s">
        <v>408</v>
      </c>
      <c r="R55" s="88" t="s">
        <v>409</v>
      </c>
      <c r="S55" s="88" t="s">
        <v>410</v>
      </c>
      <c r="T55" s="88" t="s">
        <v>411</v>
      </c>
      <c r="U55" s="88" t="s">
        <v>412</v>
      </c>
      <c r="V55"/>
      <c r="W55"/>
      <c r="X55"/>
      <c r="Y55"/>
      <c r="Z55"/>
      <c r="AA55"/>
      <c r="AB55"/>
      <c r="AC55"/>
    </row>
    <row r="56" spans="1:29" x14ac:dyDescent="0.25">
      <c r="A56" s="53">
        <v>1</v>
      </c>
      <c r="B56" s="185" t="str">
        <f>IF(B111&lt;&gt;0,((SUMIFS(TM[[#All],[Claims: Hospital Inpatient]],TM[[#All],[Reporting Year]],2021,TM[[#All],[Insurance Category Code]],A56,TM[[#All],[Large Provider Entity Code]],100))/'Data Validation Checks 2021-22'!B111),"NA")</f>
        <v>NA</v>
      </c>
      <c r="C56" s="7" t="str">
        <f>IF(B111&lt;&gt;0,((SUMIFS(TM[[#All],[Claims: Hospital Outpatient]],TM[[#All],[Reporting Year]],2021,TM[[#All],[Insurance Category Code]],'Data Validation Checks 2021-22'!A56,TM[[#All],[Large Provider Entity Code]],100))/'Data Validation Checks 2021-22'!B111),"NA")</f>
        <v>NA</v>
      </c>
      <c r="D56" s="7" t="str">
        <f>IF(B111&lt;&gt;0,((SUMIFS(TM[[#All],[Claims: Professional, Primary Care Providers]],TM[[#All],[Reporting Year]],2021,TM[[#All],[Insurance Category Code]],'Data Validation Checks 2021-22'!A56,TM[[#All],[Large Provider Entity Code]],100))/'Data Validation Checks 2021-22'!B111),"NA")</f>
        <v>NA</v>
      </c>
      <c r="E56" s="7" t="str">
        <f>IF(B111&lt;&gt;0,((SUMIFS(TM[[#All],[Claims: Professional, Specialty Providers]],TM[[#All],[Reporting Year]],2021,TM[[#All],[Insurance Category Code]],'Data Validation Checks 2021-22'!A56,TM[[#All],[Large Provider Entity Code]],100))/'Data Validation Checks 2021-22'!B111),"NA")</f>
        <v>NA</v>
      </c>
      <c r="F56" s="7" t="str">
        <f>IF(B111&lt;&gt;0,((SUMIFS(TM[[#All],[Claims: Professional, Other Providers]],TM[[#All],[Reporting Year]],2021,TM[[#All],[Insurance Category Code]],'Data Validation Checks 2021-22'!A56,TM[[#All],[Large Provider Entity Code]],100))/'Data Validation Checks 2021-22'!B111),"NA")</f>
        <v>NA</v>
      </c>
      <c r="G56" s="7" t="str">
        <f>IF(B111&lt;&gt;0,((SUMIFS(TM[[#All],[Claims: Long-Term Care]],TM[[#All],[Reporting Year]],2021,TM[[#All],[Insurance Category Code]],'Data Validation Checks 2021-22'!A56,TM[[#All],[Large Provider Entity Code]],100))/'Data Validation Checks 2021-22'!B111),"NA")</f>
        <v>NA</v>
      </c>
      <c r="H56" s="7" t="str">
        <f>IF(B111&lt;&gt;0,((SUMIFS(TM[[#All],[Claims: Retail Pharmacy]],TM[[#All],[Reporting Year]],2021,TM[[#All],[Insurance Category Code]],'Data Validation Checks 2021-22'!A56,TM[[#All],[Large Provider Entity Code]],100))/'Data Validation Checks 2021-22'!B111),"NA")</f>
        <v>NA</v>
      </c>
      <c r="I56" s="7" t="str">
        <f>IF(B111&lt;&gt;0,((SUMIFS(TM[[#All],[Claims: Other]],TM[[#All],[Reporting Year]],2021,TM[[#All],[Insurance Category Code]],'Data Validation Checks 2021-22'!A56,TM[[#All],[Large Provider Entity Code]],100))/'Data Validation Checks 2021-22'!B111),"NA")</f>
        <v>NA</v>
      </c>
      <c r="J56" s="7" t="str">
        <f>IF(B111&lt;&gt;0,((SUMIFS(TM[[#All],[Total Non-Claims Spending]],TM[[#All],[Reporting Year]],2021,TM[[#All],[Insurance Category Code]],'Data Validation Checks 2021-22'!A56,TM[[#All],[Large Provider Entity Code]],100))/'Data Validation Checks 2021-22'!B111),"NA")</f>
        <v>NA</v>
      </c>
      <c r="K56" s="96" t="str">
        <f>IF(B111&lt;&gt;0,((SUMIFS(TM[[#All],[Total Non-Truncated Claims and Non-Claims Spending]],TM[[#All],[Reporting Year]],2021,TM[[#All],[Insurance Category Code]],'Data Validation Checks 2021-22'!A56,TM[[#All],[Large Provider Entity Code]],100))/'Data Validation Checks 2021-22'!B111),"NA")</f>
        <v>NA</v>
      </c>
      <c r="L56" s="185" t="str">
        <f>IF(C111&lt;&gt;0,((SUMIFS(TM[[#All],[Claims: Hospital Inpatient]],TM[[#All],[Reporting Year]],2022,TM[[#All],[Insurance Category Code]],'Data Validation Checks 2021-22'!A56,TM[[#All],[Large Provider Entity Code]],100))/'Data Validation Checks 2021-22'!C111),"NA")</f>
        <v>NA</v>
      </c>
      <c r="M56" s="7" t="str">
        <f>IF(C111&lt;&gt;0,((SUMIFS(TM[[#All],[Claims: Hospital Outpatient]],TM[[#All],[Reporting Year]],2022,TM[[#All],[Insurance Category Code]],'Data Validation Checks 2021-22'!A56,TM[[#All],[Large Provider Entity Code]],100))/'Data Validation Checks 2021-22'!C111),"NA")</f>
        <v>NA</v>
      </c>
      <c r="N56" s="7" t="str">
        <f>IF(C111&lt;&gt;0,((SUMIFS(TM[[#All],[Claims: Professional, Primary Care Providers]],TM[[#All],[Reporting Year]],2022,TM[[#All],[Insurance Category Code]],'Data Validation Checks 2021-22'!A56,TM[[#All],[Large Provider Entity Code]],100))/'Data Validation Checks 2021-22'!C111),"NA")</f>
        <v>NA</v>
      </c>
      <c r="O56" s="7" t="str">
        <f>IF(C111&lt;&gt;0,((SUMIFS(TM[[#All],[Claims: Professional, Specialty Providers]],TM[[#All],[Reporting Year]],2022,TM[[#All],[Insurance Category Code]],'Data Validation Checks 2021-22'!A56,TM[[#All],[Large Provider Entity Code]],100))/'Data Validation Checks 2021-22'!C111),"NA")</f>
        <v>NA</v>
      </c>
      <c r="P56" s="7" t="str">
        <f>IF(C111&lt;&gt;0,((SUMIFS(TM[[#All],[Claims: Professional, Other Providers]],TM[[#All],[Reporting Year]],2022,TM[[#All],[Insurance Category Code]],'Data Validation Checks 2021-22'!A56,TM[[#All],[Large Provider Entity Code]],100))/'Data Validation Checks 2021-22'!C111),"NA")</f>
        <v>NA</v>
      </c>
      <c r="Q56" s="7" t="str">
        <f>IF(C111&lt;&gt;0,((SUMIFS(TM[[#All],[Claims: Long-Term Care]],TM[[#All],[Reporting Year]],2022,TM[[#All],[Insurance Category Code]],'Data Validation Checks 2021-22'!A56,TM[[#All],[Large Provider Entity Code]],100))/'Data Validation Checks 2021-22'!C111),"NA")</f>
        <v>NA</v>
      </c>
      <c r="R56" s="7" t="str">
        <f>IF(C111&lt;&gt;0,((SUMIFS(TM[[#All],[Claims: Retail Pharmacy]],TM[[#All],[Reporting Year]],2022,TM[[#All],[Insurance Category Code]],'Data Validation Checks 2021-22'!A56,TM[[#All],[Large Provider Entity Code]],100))/'Data Validation Checks 2021-22'!C111),"NA")</f>
        <v>NA</v>
      </c>
      <c r="S56" s="7" t="str">
        <f>IF(C111&lt;&gt;0,((SUMIFS(TM[[#All],[Claims: Other]],TM[[#All],[Reporting Year]],2022,TM[[#All],[Insurance Category Code]],'Data Validation Checks 2021-22'!A56,TM[[#All],[Large Provider Entity Code]],100))/'Data Validation Checks 2021-22'!C111),"NA")</f>
        <v>NA</v>
      </c>
      <c r="T56" s="7" t="str">
        <f>IF(C111&lt;&gt;0,((SUMIFS(TM[[#All],[Total Non-Claims Spending]],TM[[#All],[Reporting Year]],2022,TM[[#All],[Insurance Category Code]],'Data Validation Checks 2021-22'!A56,TM[[#All],[Large Provider Entity Code]],100))/'Data Validation Checks 2021-22'!C111),"NA")</f>
        <v>NA</v>
      </c>
      <c r="U56" s="7" t="str">
        <f>IF(C111&lt;&gt;0,((SUMIFS(TM[[#All],[Total Non-Truncated Claims and Non-Claims Spending]],TM[[#All],[Reporting Year]],2022,TM[[#All],[Insurance Category Code]],'Data Validation Checks 2021-22'!A56,TM[[#All],[Large Provider Entity Code]],100))/'Data Validation Checks 2021-22'!C111),"NA")</f>
        <v>NA</v>
      </c>
      <c r="V56"/>
      <c r="W56"/>
      <c r="X56"/>
      <c r="Y56"/>
      <c r="Z56"/>
      <c r="AA56"/>
      <c r="AB56"/>
      <c r="AC56"/>
    </row>
    <row r="57" spans="1:29" x14ac:dyDescent="0.25">
      <c r="A57" s="53">
        <v>2</v>
      </c>
      <c r="B57" s="185" t="str">
        <f>IF(B112&lt;&gt;0,((SUMIFS(TM[[#All],[Claims: Hospital Inpatient]],TM[[#All],[Reporting Year]],2021,TM[[#All],[Insurance Category Code]],'Data Validation Checks 2021-22'!A57,TM[[#All],[Large Provider Entity Code]],100))/'Data Validation Checks 2021-22'!B112),"NA")</f>
        <v>NA</v>
      </c>
      <c r="C57" s="7" t="str">
        <f>IF(B112&lt;&gt;0,((SUMIFS(TM[[#All],[Claims: Hospital Outpatient]],TM[[#All],[Reporting Year]],2021,TM[[#All],[Insurance Category Code]],'Data Validation Checks 2021-22'!A57,TM[[#All],[Large Provider Entity Code]],100))/'Data Validation Checks 2021-22'!B112),"NA")</f>
        <v>NA</v>
      </c>
      <c r="D57" s="7" t="str">
        <f>IF(B112&lt;&gt;0,((SUMIFS(TM[[#All],[Claims: Professional, Primary Care Providers]],TM[[#All],[Reporting Year]],2021,TM[[#All],[Insurance Category Code]],'Data Validation Checks 2021-22'!A57,TM[[#All],[Large Provider Entity Code]],100))/'Data Validation Checks 2021-22'!B112),"NA")</f>
        <v>NA</v>
      </c>
      <c r="E57" s="7" t="str">
        <f>IF(B112&lt;&gt;0,((SUMIFS(TM[[#All],[Claims: Professional, Specialty Providers]],TM[[#All],[Reporting Year]],2021,TM[[#All],[Insurance Category Code]],'Data Validation Checks 2021-22'!A57,TM[[#All],[Large Provider Entity Code]],100))/'Data Validation Checks 2021-22'!B112),"NA")</f>
        <v>NA</v>
      </c>
      <c r="F57" s="7" t="str">
        <f>IF(B112&lt;&gt;0,((SUMIFS(TM[[#All],[Claims: Professional, Other Providers]],TM[[#All],[Reporting Year]],2021,TM[[#All],[Insurance Category Code]],'Data Validation Checks 2021-22'!A57,TM[[#All],[Large Provider Entity Code]],100))/'Data Validation Checks 2021-22'!B112),"NA")</f>
        <v>NA</v>
      </c>
      <c r="G57" s="7" t="str">
        <f>IF(B112&lt;&gt;0,((SUMIFS(TM[[#All],[Claims: Long-Term Care]],TM[[#All],[Reporting Year]],2021,TM[[#All],[Insurance Category Code]],'Data Validation Checks 2021-22'!A57,TM[[#All],[Large Provider Entity Code]],100))/'Data Validation Checks 2021-22'!B112),"NA")</f>
        <v>NA</v>
      </c>
      <c r="H57" s="7" t="str">
        <f>IF(B112&lt;&gt;0,((SUMIFS(TM[[#All],[Claims: Retail Pharmacy]],TM[[#All],[Reporting Year]],2021,TM[[#All],[Insurance Category Code]],'Data Validation Checks 2021-22'!A57,TM[[#All],[Large Provider Entity Code]],100))/'Data Validation Checks 2021-22'!B112),"NA")</f>
        <v>NA</v>
      </c>
      <c r="I57" s="7" t="str">
        <f>IF(B112&lt;&gt;0,((SUMIFS(TM[[#All],[Claims: Other]],TM[[#All],[Reporting Year]],2021,TM[[#All],[Insurance Category Code]],'Data Validation Checks 2021-22'!A57,TM[[#All],[Large Provider Entity Code]],100))/'Data Validation Checks 2021-22'!B112),"NA")</f>
        <v>NA</v>
      </c>
      <c r="J57" s="7" t="str">
        <f>IF(B112&lt;&gt;0,((SUMIFS(TM[[#All],[Total Non-Claims Spending]],TM[[#All],[Reporting Year]],2021,TM[[#All],[Insurance Category Code]],'Data Validation Checks 2021-22'!A57,TM[[#All],[Large Provider Entity Code]],100))/'Data Validation Checks 2021-22'!B112),"NA")</f>
        <v>NA</v>
      </c>
      <c r="K57" s="96" t="str">
        <f>IF(B112&lt;&gt;0,((SUMIFS(TM[[#All],[Total Non-Truncated Claims and Non-Claims Spending]],TM[[#All],[Reporting Year]],2021,TM[[#All],[Insurance Category Code]],'Data Validation Checks 2021-22'!A57,TM[[#All],[Large Provider Entity Code]],100))/'Data Validation Checks 2021-22'!B112),"NA")</f>
        <v>NA</v>
      </c>
      <c r="L57" s="185" t="str">
        <f>IF(C112&lt;&gt;0,((SUMIFS(TM[[#All],[Claims: Hospital Inpatient]],TM[[#All],[Reporting Year]],2022,TM[[#All],[Insurance Category Code]],'Data Validation Checks 2021-22'!A57,TM[[#All],[Large Provider Entity Code]],100))/'Data Validation Checks 2021-22'!C112),"NA")</f>
        <v>NA</v>
      </c>
      <c r="M57" s="7" t="str">
        <f>IF(C112&lt;&gt;0,((SUMIFS(TM[[#All],[Claims: Hospital Outpatient]],TM[[#All],[Reporting Year]],2022,TM[[#All],[Insurance Category Code]],'Data Validation Checks 2021-22'!A57,TM[[#All],[Large Provider Entity Code]],100))/'Data Validation Checks 2021-22'!C112),"NA")</f>
        <v>NA</v>
      </c>
      <c r="N57" s="7" t="str">
        <f>IF(C112&lt;&gt;0,((SUMIFS(TM[[#All],[Claims: Professional, Primary Care Providers]],TM[[#All],[Reporting Year]],2022,TM[[#All],[Insurance Category Code]],'Data Validation Checks 2021-22'!A57,TM[[#All],[Large Provider Entity Code]],100))/'Data Validation Checks 2021-22'!C112),"NA")</f>
        <v>NA</v>
      </c>
      <c r="O57" s="7" t="str">
        <f>IF(C112&lt;&gt;0,((SUMIFS(TM[[#All],[Claims: Professional, Specialty Providers]],TM[[#All],[Reporting Year]],2022,TM[[#All],[Insurance Category Code]],'Data Validation Checks 2021-22'!A57,TM[[#All],[Large Provider Entity Code]],100))/'Data Validation Checks 2021-22'!C112),"NA")</f>
        <v>NA</v>
      </c>
      <c r="P57" s="7" t="str">
        <f>IF(C112&lt;&gt;0,((SUMIFS(TM[[#All],[Claims: Professional, Other Providers]],TM[[#All],[Reporting Year]],2022,TM[[#All],[Insurance Category Code]],'Data Validation Checks 2021-22'!A57,TM[[#All],[Large Provider Entity Code]],100))/'Data Validation Checks 2021-22'!C112),"NA")</f>
        <v>NA</v>
      </c>
      <c r="Q57" s="7" t="str">
        <f>IF(C112&lt;&gt;0,((SUMIFS(TM[[#All],[Claims: Long-Term Care]],TM[[#All],[Reporting Year]],2022,TM[[#All],[Insurance Category Code]],'Data Validation Checks 2021-22'!A57,TM[[#All],[Large Provider Entity Code]],100))/'Data Validation Checks 2021-22'!C112),"NA")</f>
        <v>NA</v>
      </c>
      <c r="R57" s="7" t="str">
        <f>IF(C112&lt;&gt;0,((SUMIFS(TM[[#All],[Claims: Retail Pharmacy]],TM[[#All],[Reporting Year]],2022,TM[[#All],[Insurance Category Code]],'Data Validation Checks 2021-22'!A57,TM[[#All],[Large Provider Entity Code]],100))/'Data Validation Checks 2021-22'!C112),"NA")</f>
        <v>NA</v>
      </c>
      <c r="S57" s="7" t="str">
        <f>IF(C112&lt;&gt;0,((SUMIFS(TM[[#All],[Claims: Other]],TM[[#All],[Reporting Year]],2022,TM[[#All],[Insurance Category Code]],'Data Validation Checks 2021-22'!A57,TM[[#All],[Large Provider Entity Code]],100))/'Data Validation Checks 2021-22'!C112),"NA")</f>
        <v>NA</v>
      </c>
      <c r="T57" s="7" t="str">
        <f>IF(C112&lt;&gt;0,((SUMIFS(TM[[#All],[Total Non-Claims Spending]],TM[[#All],[Reporting Year]],2022,TM[[#All],[Insurance Category Code]],'Data Validation Checks 2021-22'!A57,TM[[#All],[Large Provider Entity Code]],100))/'Data Validation Checks 2021-22'!C112),"NA")</f>
        <v>NA</v>
      </c>
      <c r="U57" s="7" t="str">
        <f>IF(C112&lt;&gt;0,((SUMIFS(TM[[#All],[Total Non-Truncated Claims and Non-Claims Spending]],TM[[#All],[Reporting Year]],2022,TM[[#All],[Insurance Category Code]],'Data Validation Checks 2021-22'!A57,TM[[#All],[Large Provider Entity Code]],100))/'Data Validation Checks 2021-22'!C112),"NA")</f>
        <v>NA</v>
      </c>
      <c r="V57"/>
      <c r="W57"/>
      <c r="X57"/>
      <c r="Y57"/>
      <c r="Z57"/>
      <c r="AA57"/>
      <c r="AB57"/>
      <c r="AC57"/>
    </row>
    <row r="58" spans="1:29" x14ac:dyDescent="0.25">
      <c r="A58" s="53">
        <v>3</v>
      </c>
      <c r="B58" s="185" t="str">
        <f>IF(B113&lt;&gt;0,((SUMIFS(TM[[#All],[Claims: Hospital Inpatient]],TM[[#All],[Reporting Year]],2021,TM[[#All],[Insurance Category Code]],'Data Validation Checks 2021-22'!A58,TM[[#All],[Large Provider Entity Code]],100))/'Data Validation Checks 2021-22'!B113),"NA")</f>
        <v>NA</v>
      </c>
      <c r="C58" s="7" t="str">
        <f>IF(B113&lt;&gt;0,((SUMIFS(TM[[#All],[Claims: Hospital Outpatient]],TM[[#All],[Reporting Year]],2021,TM[[#All],[Insurance Category Code]],'Data Validation Checks 2021-22'!A58,TM[[#All],[Large Provider Entity Code]],100))/'Data Validation Checks 2021-22'!B113),"NA")</f>
        <v>NA</v>
      </c>
      <c r="D58" s="7" t="str">
        <f>IF(B113&lt;&gt;0,((SUMIFS(TM[[#All],[Claims: Professional, Primary Care Providers]],TM[[#All],[Reporting Year]],2021,TM[[#All],[Insurance Category Code]],'Data Validation Checks 2021-22'!A58,TM[[#All],[Large Provider Entity Code]],100))/'Data Validation Checks 2021-22'!B113),"NA")</f>
        <v>NA</v>
      </c>
      <c r="E58" s="7" t="str">
        <f>IF(B113&lt;&gt;0,((SUMIFS(TM[[#All],[Claims: Professional, Specialty Providers]],TM[[#All],[Reporting Year]],2021,TM[[#All],[Insurance Category Code]],'Data Validation Checks 2021-22'!A58,TM[[#All],[Large Provider Entity Code]],100))/'Data Validation Checks 2021-22'!B113),"NA")</f>
        <v>NA</v>
      </c>
      <c r="F58" s="7" t="str">
        <f>IF(B113&lt;&gt;0,((SUMIFS(TM[[#All],[Claims: Professional, Other Providers]],TM[[#All],[Reporting Year]],2021,TM[[#All],[Insurance Category Code]],'Data Validation Checks 2021-22'!A58,TM[[#All],[Large Provider Entity Code]],100))/'Data Validation Checks 2021-22'!B113),"NA")</f>
        <v>NA</v>
      </c>
      <c r="G58" s="7" t="str">
        <f>IF(B113&lt;&gt;0,((SUMIFS(TM[[#All],[Claims: Long-Term Care]],TM[[#All],[Reporting Year]],2021,TM[[#All],[Insurance Category Code]],'Data Validation Checks 2021-22'!A58,TM[[#All],[Large Provider Entity Code]],100))/'Data Validation Checks 2021-22'!B113),"NA")</f>
        <v>NA</v>
      </c>
      <c r="H58" s="7" t="str">
        <f>IF(B113&lt;&gt;0,((SUMIFS(TM[[#All],[Claims: Retail Pharmacy]],TM[[#All],[Reporting Year]],2021,TM[[#All],[Insurance Category Code]],'Data Validation Checks 2021-22'!A58,TM[[#All],[Large Provider Entity Code]],100))/'Data Validation Checks 2021-22'!B113),"NA")</f>
        <v>NA</v>
      </c>
      <c r="I58" s="7" t="str">
        <f>IF(B113&lt;&gt;0,((SUMIFS(TM[[#All],[Claims: Other]],TM[[#All],[Reporting Year]],2021,TM[[#All],[Insurance Category Code]],'Data Validation Checks 2021-22'!A58,TM[[#All],[Large Provider Entity Code]],100))/'Data Validation Checks 2021-22'!B113),"NA")</f>
        <v>NA</v>
      </c>
      <c r="J58" s="7" t="str">
        <f>IF(B113&lt;&gt;0,((SUMIFS(TM[[#All],[Total Non-Claims Spending]],TM[[#All],[Reporting Year]],2021,TM[[#All],[Insurance Category Code]],'Data Validation Checks 2021-22'!A58,TM[[#All],[Large Provider Entity Code]],100))/'Data Validation Checks 2021-22'!B113),"NA")</f>
        <v>NA</v>
      </c>
      <c r="K58" s="96" t="str">
        <f>IF(B113&lt;&gt;0,((SUMIFS(TM[[#All],[Total Non-Truncated Claims and Non-Claims Spending]],TM[[#All],[Reporting Year]],2021,TM[[#All],[Insurance Category Code]],'Data Validation Checks 2021-22'!A58,TM[[#All],[Large Provider Entity Code]],100))/'Data Validation Checks 2021-22'!B113),"NA")</f>
        <v>NA</v>
      </c>
      <c r="L58" s="185" t="str">
        <f>IF(C113&lt;&gt;0,((SUMIFS(TM[[#All],[Claims: Hospital Inpatient]],TM[[#All],[Reporting Year]],2022,TM[[#All],[Insurance Category Code]],'Data Validation Checks 2021-22'!A58,TM[[#All],[Large Provider Entity Code]],100))/'Data Validation Checks 2021-22'!C113),"NA")</f>
        <v>NA</v>
      </c>
      <c r="M58" s="7" t="str">
        <f>IF(C113&lt;&gt;0,((SUMIFS(TM[[#All],[Claims: Hospital Outpatient]],TM[[#All],[Reporting Year]],2022,TM[[#All],[Insurance Category Code]],'Data Validation Checks 2021-22'!A58,TM[[#All],[Large Provider Entity Code]],100))/'Data Validation Checks 2021-22'!C113),"NA")</f>
        <v>NA</v>
      </c>
      <c r="N58" s="7" t="str">
        <f>IF(C113&lt;&gt;0,((SUMIFS(TM[[#All],[Claims: Professional, Primary Care Providers]],TM[[#All],[Reporting Year]],2022,TM[[#All],[Insurance Category Code]],'Data Validation Checks 2021-22'!A58,TM[[#All],[Large Provider Entity Code]],100))/'Data Validation Checks 2021-22'!C113),"NA")</f>
        <v>NA</v>
      </c>
      <c r="O58" s="7" t="str">
        <f>IF(C113&lt;&gt;0,((SUMIFS(TM[[#All],[Claims: Professional, Specialty Providers]],TM[[#All],[Reporting Year]],2022,TM[[#All],[Insurance Category Code]],'Data Validation Checks 2021-22'!A58,TM[[#All],[Large Provider Entity Code]],100))/'Data Validation Checks 2021-22'!C113),"NA")</f>
        <v>NA</v>
      </c>
      <c r="P58" s="7" t="str">
        <f>IF(C113&lt;&gt;0,((SUMIFS(TM[[#All],[Claims: Professional, Other Providers]],TM[[#All],[Reporting Year]],2022,TM[[#All],[Insurance Category Code]],'Data Validation Checks 2021-22'!A58,TM[[#All],[Large Provider Entity Code]],100))/'Data Validation Checks 2021-22'!C113),"NA")</f>
        <v>NA</v>
      </c>
      <c r="Q58" s="7" t="str">
        <f>IF(C113&lt;&gt;0,((SUMIFS(TM[[#All],[Claims: Long-Term Care]],TM[[#All],[Reporting Year]],2022,TM[[#All],[Insurance Category Code]],'Data Validation Checks 2021-22'!A58,TM[[#All],[Large Provider Entity Code]],100))/'Data Validation Checks 2021-22'!C113),"NA")</f>
        <v>NA</v>
      </c>
      <c r="R58" s="7" t="str">
        <f>IF(C113&lt;&gt;0,((SUMIFS(TM[[#All],[Claims: Retail Pharmacy]],TM[[#All],[Reporting Year]],2022,TM[[#All],[Insurance Category Code]],'Data Validation Checks 2021-22'!A58,TM[[#All],[Large Provider Entity Code]],100))/'Data Validation Checks 2021-22'!C113),"NA")</f>
        <v>NA</v>
      </c>
      <c r="S58" s="7" t="str">
        <f>IF(C113&lt;&gt;0,((SUMIFS(TM[[#All],[Claims: Other]],TM[[#All],[Reporting Year]],2022,TM[[#All],[Insurance Category Code]],'Data Validation Checks 2021-22'!A58,TM[[#All],[Large Provider Entity Code]],100))/'Data Validation Checks 2021-22'!C113),"NA")</f>
        <v>NA</v>
      </c>
      <c r="T58" s="7" t="str">
        <f>IF(C113&lt;&gt;0,((SUMIFS(TM[[#All],[Total Non-Claims Spending]],TM[[#All],[Reporting Year]],2022,TM[[#All],[Insurance Category Code]],'Data Validation Checks 2021-22'!A58,TM[[#All],[Large Provider Entity Code]],100))/'Data Validation Checks 2021-22'!C113),"NA")</f>
        <v>NA</v>
      </c>
      <c r="U58" s="7" t="str">
        <f>IF(C113&lt;&gt;0,((SUMIFS(TM[[#All],[Total Non-Truncated Claims and Non-Claims Spending]],TM[[#All],[Reporting Year]],2022,TM[[#All],[Insurance Category Code]],'Data Validation Checks 2021-22'!A58,TM[[#All],[Large Provider Entity Code]],100))/'Data Validation Checks 2021-22'!C113),"NA")</f>
        <v>NA</v>
      </c>
      <c r="V58"/>
      <c r="W58"/>
      <c r="X58"/>
      <c r="Y58"/>
      <c r="Z58"/>
      <c r="AA58"/>
      <c r="AB58"/>
      <c r="AC58"/>
    </row>
    <row r="59" spans="1:29" x14ac:dyDescent="0.25">
      <c r="A59" s="53">
        <v>4</v>
      </c>
      <c r="B59" s="185" t="str">
        <f>IF(B114&lt;&gt;0,((SUMIFS(TM[[#All],[Claims: Hospital Inpatient]],TM[[#All],[Reporting Year]],2021,TM[[#All],[Insurance Category Code]],'Data Validation Checks 2021-22'!A59,TM[[#All],[Large Provider Entity Code]],100))/'Data Validation Checks 2021-22'!B114),"NA")</f>
        <v>NA</v>
      </c>
      <c r="C59" s="7" t="str">
        <f>IF(B114&lt;&gt;0,((SUMIFS(TM[[#All],[Claims: Hospital Outpatient]],TM[[#All],[Reporting Year]],2021,TM[[#All],[Insurance Category Code]],'Data Validation Checks 2021-22'!A59,TM[[#All],[Large Provider Entity Code]],100))/'Data Validation Checks 2021-22'!B114),"NA")</f>
        <v>NA</v>
      </c>
      <c r="D59" s="7" t="str">
        <f>IF(B114&lt;&gt;0,((SUMIFS(TM[[#All],[Claims: Professional, Primary Care Providers]],TM[[#All],[Reporting Year]],2021,TM[[#All],[Insurance Category Code]],'Data Validation Checks 2021-22'!A59,TM[[#All],[Large Provider Entity Code]],100))/'Data Validation Checks 2021-22'!B114),"NA")</f>
        <v>NA</v>
      </c>
      <c r="E59" s="7" t="str">
        <f>IF(B114&lt;&gt;0,((SUMIFS(TM[[#All],[Claims: Professional, Specialty Providers]],TM[[#All],[Reporting Year]],2021,TM[[#All],[Insurance Category Code]],'Data Validation Checks 2021-22'!A59,TM[[#All],[Large Provider Entity Code]],100))/'Data Validation Checks 2021-22'!B114),"NA")</f>
        <v>NA</v>
      </c>
      <c r="F59" s="7" t="str">
        <f>IF(B114&lt;&gt;0,((SUMIFS(TM[[#All],[Claims: Professional, Other Providers]],TM[[#All],[Reporting Year]],2021,TM[[#All],[Insurance Category Code]],'Data Validation Checks 2021-22'!A59,TM[[#All],[Large Provider Entity Code]],100))/'Data Validation Checks 2021-22'!B114),"NA")</f>
        <v>NA</v>
      </c>
      <c r="G59" s="7" t="str">
        <f>IF(B114&lt;&gt;0,((SUMIFS(TM[[#All],[Claims: Long-Term Care]],TM[[#All],[Reporting Year]],2021,TM[[#All],[Insurance Category Code]],'Data Validation Checks 2021-22'!A59,TM[[#All],[Large Provider Entity Code]],100))/'Data Validation Checks 2021-22'!B114),"NA")</f>
        <v>NA</v>
      </c>
      <c r="H59" s="7" t="str">
        <f>IF(B114&lt;&gt;0,((SUMIFS(TM[[#All],[Claims: Retail Pharmacy]],TM[[#All],[Reporting Year]],2021,TM[[#All],[Insurance Category Code]],'Data Validation Checks 2021-22'!A59,TM[[#All],[Large Provider Entity Code]],100))/'Data Validation Checks 2021-22'!B114),"NA")</f>
        <v>NA</v>
      </c>
      <c r="I59" s="7" t="str">
        <f>IF(B114&lt;&gt;0,((SUMIFS(TM[[#All],[Claims: Other]],TM[[#All],[Reporting Year]],2021,TM[[#All],[Insurance Category Code]],'Data Validation Checks 2021-22'!A59,TM[[#All],[Large Provider Entity Code]],100))/'Data Validation Checks 2021-22'!B114),"NA")</f>
        <v>NA</v>
      </c>
      <c r="J59" s="7" t="str">
        <f>IF(B114&lt;&gt;0,((SUMIFS(TM[[#All],[Total Non-Claims Spending]],TM[[#All],[Reporting Year]],2021,TM[[#All],[Insurance Category Code]],'Data Validation Checks 2021-22'!A59,TM[[#All],[Large Provider Entity Code]],100))/'Data Validation Checks 2021-22'!B114),"NA")</f>
        <v>NA</v>
      </c>
      <c r="K59" s="96" t="str">
        <f>IF(B114&lt;&gt;0,((SUMIFS(TM[[#All],[Total Non-Truncated Claims and Non-Claims Spending]],TM[[#All],[Reporting Year]],2021,TM[[#All],[Insurance Category Code]],'Data Validation Checks 2021-22'!A59,TM[[#All],[Large Provider Entity Code]],100))/'Data Validation Checks 2021-22'!B114),"NA")</f>
        <v>NA</v>
      </c>
      <c r="L59" s="185" t="str">
        <f>IF(C114&lt;&gt;0,((SUMIFS(TM[[#All],[Claims: Hospital Inpatient]],TM[[#All],[Reporting Year]],2022,TM[[#All],[Insurance Category Code]],'Data Validation Checks 2021-22'!A59,TM[[#All],[Large Provider Entity Code]],100))/'Data Validation Checks 2021-22'!C114),"NA")</f>
        <v>NA</v>
      </c>
      <c r="M59" s="7" t="str">
        <f>IF(C114&lt;&gt;0,((SUMIFS(TM[[#All],[Claims: Hospital Outpatient]],TM[[#All],[Reporting Year]],2022,TM[[#All],[Insurance Category Code]],'Data Validation Checks 2021-22'!A59,TM[[#All],[Large Provider Entity Code]],100))/'Data Validation Checks 2021-22'!C114),"NA")</f>
        <v>NA</v>
      </c>
      <c r="N59" s="7" t="str">
        <f>IF(C114&lt;&gt;0,((SUMIFS(TM[[#All],[Claims: Professional, Primary Care Providers]],TM[[#All],[Reporting Year]],2022,TM[[#All],[Insurance Category Code]],'Data Validation Checks 2021-22'!A59,TM[[#All],[Large Provider Entity Code]],100))/'Data Validation Checks 2021-22'!C114),"NA")</f>
        <v>NA</v>
      </c>
      <c r="O59" s="7" t="str">
        <f>IF(C114&lt;&gt;0,((SUMIFS(TM[[#All],[Claims: Professional, Specialty Providers]],TM[[#All],[Reporting Year]],2022,TM[[#All],[Insurance Category Code]],'Data Validation Checks 2021-22'!A59,TM[[#All],[Large Provider Entity Code]],100))/'Data Validation Checks 2021-22'!C114),"NA")</f>
        <v>NA</v>
      </c>
      <c r="P59" s="7" t="str">
        <f>IF(C114&lt;&gt;0,((SUMIFS(TM[[#All],[Claims: Professional, Other Providers]],TM[[#All],[Reporting Year]],2022,TM[[#All],[Insurance Category Code]],'Data Validation Checks 2021-22'!A59,TM[[#All],[Large Provider Entity Code]],100))/'Data Validation Checks 2021-22'!C114),"NA")</f>
        <v>NA</v>
      </c>
      <c r="Q59" s="7" t="str">
        <f>IF(C114&lt;&gt;0,((SUMIFS(TM[[#All],[Claims: Long-Term Care]],TM[[#All],[Reporting Year]],2022,TM[[#All],[Insurance Category Code]],'Data Validation Checks 2021-22'!A59,TM[[#All],[Large Provider Entity Code]],100))/'Data Validation Checks 2021-22'!C114),"NA")</f>
        <v>NA</v>
      </c>
      <c r="R59" s="7" t="str">
        <f>IF(C114&lt;&gt;0,((SUMIFS(TM[[#All],[Claims: Retail Pharmacy]],TM[[#All],[Reporting Year]],2022,TM[[#All],[Insurance Category Code]],'Data Validation Checks 2021-22'!A59,TM[[#All],[Large Provider Entity Code]],100))/'Data Validation Checks 2021-22'!C114),"NA")</f>
        <v>NA</v>
      </c>
      <c r="S59" s="7" t="str">
        <f>IF(C114&lt;&gt;0,((SUMIFS(TM[[#All],[Claims: Other]],TM[[#All],[Reporting Year]],2022,TM[[#All],[Insurance Category Code]],'Data Validation Checks 2021-22'!A59,TM[[#All],[Large Provider Entity Code]],100))/'Data Validation Checks 2021-22'!C114),"NA")</f>
        <v>NA</v>
      </c>
      <c r="T59" s="7" t="str">
        <f>IF(C114&lt;&gt;0,((SUMIFS(TM[[#All],[Total Non-Claims Spending]],TM[[#All],[Reporting Year]],2022,TM[[#All],[Insurance Category Code]],'Data Validation Checks 2021-22'!A59,TM[[#All],[Large Provider Entity Code]],100))/'Data Validation Checks 2021-22'!C114),"NA")</f>
        <v>NA</v>
      </c>
      <c r="U59" s="7" t="str">
        <f>IF(C114&lt;&gt;0,((SUMIFS(TM[[#All],[Total Non-Truncated Claims and Non-Claims Spending]],TM[[#All],[Reporting Year]],2022,TM[[#All],[Insurance Category Code]],'Data Validation Checks 2021-22'!A59,TM[[#All],[Large Provider Entity Code]],100))/'Data Validation Checks 2021-22'!C114),"NA")</f>
        <v>NA</v>
      </c>
      <c r="V59"/>
      <c r="W59"/>
      <c r="X59"/>
      <c r="Y59"/>
      <c r="Z59"/>
      <c r="AA59"/>
      <c r="AB59"/>
      <c r="AC59"/>
    </row>
    <row r="60" spans="1:29" x14ac:dyDescent="0.25">
      <c r="A60" s="53">
        <v>5</v>
      </c>
      <c r="B60" s="185" t="str">
        <f>IF(B115&lt;&gt;0,((SUMIFS(TM[[#All],[Claims: Hospital Inpatient]],TM[[#All],[Reporting Year]],2021,TM[[#All],[Insurance Category Code]],'Data Validation Checks 2021-22'!A60,TM[[#All],[Large Provider Entity Code]],100))/'Data Validation Checks 2021-22'!B115),"NA")</f>
        <v>NA</v>
      </c>
      <c r="C60" s="7" t="str">
        <f>IF(B115&lt;&gt;0,((SUMIFS(TM[[#All],[Claims: Hospital Outpatient]],TM[[#All],[Reporting Year]],2021,TM[[#All],[Insurance Category Code]],'Data Validation Checks 2021-22'!A60,TM[[#All],[Large Provider Entity Code]],100))/'Data Validation Checks 2021-22'!B115),"NA")</f>
        <v>NA</v>
      </c>
      <c r="D60" s="7" t="str">
        <f>IF(B115&lt;&gt;0,((SUMIFS(TM[[#All],[Claims: Professional, Primary Care Providers]],TM[[#All],[Reporting Year]],2021,TM[[#All],[Insurance Category Code]],'Data Validation Checks 2021-22'!A60,TM[[#All],[Large Provider Entity Code]],100))/'Data Validation Checks 2021-22'!B115),"NA")</f>
        <v>NA</v>
      </c>
      <c r="E60" s="7" t="str">
        <f>IF(B115&lt;&gt;0,((SUMIFS(TM[[#All],[Claims: Professional, Specialty Providers]],TM[[#All],[Reporting Year]],2021,TM[[#All],[Insurance Category Code]],'Data Validation Checks 2021-22'!A60,TM[[#All],[Large Provider Entity Code]],100))/'Data Validation Checks 2021-22'!B115),"NA")</f>
        <v>NA</v>
      </c>
      <c r="F60" s="7" t="str">
        <f>IF(B115&lt;&gt;0,((SUMIFS(TM[[#All],[Claims: Professional, Other Providers]],TM[[#All],[Reporting Year]],2021,TM[[#All],[Insurance Category Code]],'Data Validation Checks 2021-22'!A60,TM[[#All],[Large Provider Entity Code]],100))/'Data Validation Checks 2021-22'!B115),"NA")</f>
        <v>NA</v>
      </c>
      <c r="G60" s="7" t="str">
        <f>IF(B115&lt;&gt;0,((SUMIFS(TM[[#All],[Claims: Long-Term Care]],TM[[#All],[Reporting Year]],2021,TM[[#All],[Insurance Category Code]],'Data Validation Checks 2021-22'!A60,TM[[#All],[Large Provider Entity Code]],100))/'Data Validation Checks 2021-22'!B115),"NA")</f>
        <v>NA</v>
      </c>
      <c r="H60" s="7" t="str">
        <f>IF(B115&lt;&gt;0,((SUMIFS(TM[[#All],[Claims: Retail Pharmacy]],TM[[#All],[Reporting Year]],2021,TM[[#All],[Insurance Category Code]],'Data Validation Checks 2021-22'!A60,TM[[#All],[Large Provider Entity Code]],100))/'Data Validation Checks 2021-22'!B115),"NA")</f>
        <v>NA</v>
      </c>
      <c r="I60" s="7" t="str">
        <f>IF(B115&lt;&gt;0,((SUMIFS(TM[[#All],[Claims: Other]],TM[[#All],[Reporting Year]],2021,TM[[#All],[Insurance Category Code]],'Data Validation Checks 2021-22'!A60,TM[[#All],[Large Provider Entity Code]],100))/'Data Validation Checks 2021-22'!B115),"NA")</f>
        <v>NA</v>
      </c>
      <c r="J60" s="7" t="str">
        <f>IF(B115&lt;&gt;0,((SUMIFS(TM[[#All],[Total Non-Claims Spending]],TM[[#All],[Reporting Year]],2021,TM[[#All],[Insurance Category Code]],'Data Validation Checks 2021-22'!A60,TM[[#All],[Large Provider Entity Code]],100))/'Data Validation Checks 2021-22'!B115),"NA")</f>
        <v>NA</v>
      </c>
      <c r="K60" s="96" t="str">
        <f>IF(B115&lt;&gt;0,((SUMIFS(TM[[#All],[Total Non-Truncated Claims and Non-Claims Spending]],TM[[#All],[Reporting Year]],2021,TM[[#All],[Insurance Category Code]],'Data Validation Checks 2021-22'!A60,TM[[#All],[Large Provider Entity Code]],100))/'Data Validation Checks 2021-22'!B115),"NA")</f>
        <v>NA</v>
      </c>
      <c r="L60" s="185" t="str">
        <f>IF(C115&lt;&gt;0,((SUMIFS(TM[[#All],[Claims: Hospital Inpatient]],TM[[#All],[Reporting Year]],2022,TM[[#All],[Insurance Category Code]],'Data Validation Checks 2021-22'!A60,TM[[#All],[Large Provider Entity Code]],100))/'Data Validation Checks 2021-22'!C115),"NA")</f>
        <v>NA</v>
      </c>
      <c r="M60" s="7" t="str">
        <f>IF(C115&lt;&gt;0,((SUMIFS(TM[[#All],[Claims: Hospital Outpatient]],TM[[#All],[Reporting Year]],2022,TM[[#All],[Insurance Category Code]],'Data Validation Checks 2021-22'!A60,TM[[#All],[Large Provider Entity Code]],100))/'Data Validation Checks 2021-22'!C115),"NA")</f>
        <v>NA</v>
      </c>
      <c r="N60" s="7" t="str">
        <f>IF(C115&lt;&gt;0,((SUMIFS(TM[[#All],[Claims: Professional, Primary Care Providers]],TM[[#All],[Reporting Year]],2022,TM[[#All],[Insurance Category Code]],'Data Validation Checks 2021-22'!A60,TM[[#All],[Large Provider Entity Code]],100))/'Data Validation Checks 2021-22'!C115),"NA")</f>
        <v>NA</v>
      </c>
      <c r="O60" s="7" t="str">
        <f>IF(C115&lt;&gt;0,((SUMIFS(TM[[#All],[Claims: Professional, Specialty Providers]],TM[[#All],[Reporting Year]],2022,TM[[#All],[Insurance Category Code]],'Data Validation Checks 2021-22'!A60,TM[[#All],[Large Provider Entity Code]],100))/'Data Validation Checks 2021-22'!C115),"NA")</f>
        <v>NA</v>
      </c>
      <c r="P60" s="7" t="str">
        <f>IF(C115&lt;&gt;0,((SUMIFS(TM[[#All],[Claims: Professional, Other Providers]],TM[[#All],[Reporting Year]],2022,TM[[#All],[Insurance Category Code]],'Data Validation Checks 2021-22'!A60,TM[[#All],[Large Provider Entity Code]],100))/'Data Validation Checks 2021-22'!C115),"NA")</f>
        <v>NA</v>
      </c>
      <c r="Q60" s="7" t="str">
        <f>IF(C115&lt;&gt;0,((SUMIFS(TM[[#All],[Claims: Long-Term Care]],TM[[#All],[Reporting Year]],2022,TM[[#All],[Insurance Category Code]],'Data Validation Checks 2021-22'!A60,TM[[#All],[Large Provider Entity Code]],100))/'Data Validation Checks 2021-22'!C115),"NA")</f>
        <v>NA</v>
      </c>
      <c r="R60" s="7" t="str">
        <f>IF(C115&lt;&gt;0,((SUMIFS(TM[[#All],[Claims: Retail Pharmacy]],TM[[#All],[Reporting Year]],2022,TM[[#All],[Insurance Category Code]],'Data Validation Checks 2021-22'!A60,TM[[#All],[Large Provider Entity Code]],100))/'Data Validation Checks 2021-22'!C115),"NA")</f>
        <v>NA</v>
      </c>
      <c r="S60" s="7" t="str">
        <f>IF(C115&lt;&gt;0,((SUMIFS(TM[[#All],[Claims: Other]],TM[[#All],[Reporting Year]],2022,TM[[#All],[Insurance Category Code]],'Data Validation Checks 2021-22'!A60,TM[[#All],[Large Provider Entity Code]],100))/'Data Validation Checks 2021-22'!C115),"NA")</f>
        <v>NA</v>
      </c>
      <c r="T60" s="7" t="str">
        <f>IF(C115&lt;&gt;0,((SUMIFS(TM[[#All],[Total Non-Claims Spending]],TM[[#All],[Reporting Year]],2022,TM[[#All],[Insurance Category Code]],'Data Validation Checks 2021-22'!A60,TM[[#All],[Large Provider Entity Code]],100))/'Data Validation Checks 2021-22'!C115),"NA")</f>
        <v>NA</v>
      </c>
      <c r="U60" s="7" t="str">
        <f>IF(C115&lt;&gt;0,((SUMIFS(TM[[#All],[Total Non-Truncated Claims and Non-Claims Spending]],TM[[#All],[Reporting Year]],2022,TM[[#All],[Insurance Category Code]],'Data Validation Checks 2021-22'!A60,TM[[#All],[Large Provider Entity Code]],100))/'Data Validation Checks 2021-22'!C115),"NA")</f>
        <v>NA</v>
      </c>
      <c r="V60"/>
      <c r="W60"/>
      <c r="X60"/>
      <c r="Y60"/>
      <c r="Z60"/>
      <c r="AA60"/>
      <c r="AB60"/>
      <c r="AC60"/>
    </row>
    <row r="61" spans="1:29" x14ac:dyDescent="0.25">
      <c r="A61" s="53">
        <v>6</v>
      </c>
      <c r="B61" s="185" t="str">
        <f>IF(B116&lt;&gt;0,((SUMIFS(TM[[#All],[Claims: Hospital Inpatient]],TM[[#All],[Reporting Year]],2021,TM[[#All],[Insurance Category Code]],'Data Validation Checks 2021-22'!A61,TM[[#All],[Large Provider Entity Code]],100))/'Data Validation Checks 2021-22'!B116),"NA")</f>
        <v>NA</v>
      </c>
      <c r="C61" s="7" t="str">
        <f>IF(B116&lt;&gt;0,((SUMIFS(TM[[#All],[Claims: Hospital Outpatient]],TM[[#All],[Reporting Year]],2021,TM[[#All],[Insurance Category Code]],'Data Validation Checks 2021-22'!A61,TM[[#All],[Large Provider Entity Code]],100))/'Data Validation Checks 2021-22'!B116),"NA")</f>
        <v>NA</v>
      </c>
      <c r="D61" s="7" t="str">
        <f>IF(B116&lt;&gt;0,((SUMIFS(TM[[#All],[Claims: Professional, Primary Care Providers]],TM[[#All],[Reporting Year]],2021,TM[[#All],[Insurance Category Code]],'Data Validation Checks 2021-22'!A61,TM[[#All],[Large Provider Entity Code]],100))/'Data Validation Checks 2021-22'!B116),"NA")</f>
        <v>NA</v>
      </c>
      <c r="E61" s="7" t="str">
        <f>IF(B116&lt;&gt;0,((SUMIFS(TM[[#All],[Claims: Professional, Specialty Providers]],TM[[#All],[Reporting Year]],2021,TM[[#All],[Insurance Category Code]],'Data Validation Checks 2021-22'!A61,TM[[#All],[Large Provider Entity Code]],100))/'Data Validation Checks 2021-22'!B116),"NA")</f>
        <v>NA</v>
      </c>
      <c r="F61" s="7" t="str">
        <f>IF(B116&lt;&gt;0,((SUMIFS(TM[[#All],[Claims: Professional, Other Providers]],TM[[#All],[Reporting Year]],2021,TM[[#All],[Insurance Category Code]],'Data Validation Checks 2021-22'!A61,TM[[#All],[Large Provider Entity Code]],100))/'Data Validation Checks 2021-22'!B116),"NA")</f>
        <v>NA</v>
      </c>
      <c r="G61" s="7" t="str">
        <f>IF(B116&lt;&gt;0,((SUMIFS(TM[[#All],[Claims: Long-Term Care]],TM[[#All],[Reporting Year]],2021,TM[[#All],[Insurance Category Code]],'Data Validation Checks 2021-22'!A61,TM[[#All],[Large Provider Entity Code]],100))/'Data Validation Checks 2021-22'!B116),"NA")</f>
        <v>NA</v>
      </c>
      <c r="H61" s="7" t="str">
        <f>IF(B116&lt;&gt;0,((SUMIFS(TM[[#All],[Claims: Retail Pharmacy]],TM[[#All],[Reporting Year]],2021,TM[[#All],[Insurance Category Code]],'Data Validation Checks 2021-22'!A61,TM[[#All],[Large Provider Entity Code]],100))/'Data Validation Checks 2021-22'!B116),"NA")</f>
        <v>NA</v>
      </c>
      <c r="I61" s="7" t="str">
        <f>IF(B116&lt;&gt;0,((SUMIFS(TM[[#All],[Claims: Other]],TM[[#All],[Reporting Year]],2021,TM[[#All],[Insurance Category Code]],'Data Validation Checks 2021-22'!A61,TM[[#All],[Large Provider Entity Code]],100))/'Data Validation Checks 2021-22'!B116),"NA")</f>
        <v>NA</v>
      </c>
      <c r="J61" s="7" t="str">
        <f>IF(B116&lt;&gt;0,((SUMIFS(TM[[#All],[Total Non-Claims Spending]],TM[[#All],[Reporting Year]],2021,TM[[#All],[Insurance Category Code]],'Data Validation Checks 2021-22'!A61,TM[[#All],[Large Provider Entity Code]],100))/'Data Validation Checks 2021-22'!B116),"NA")</f>
        <v>NA</v>
      </c>
      <c r="K61" s="96" t="str">
        <f>IF(B116&lt;&gt;0,((SUMIFS(TM[[#All],[Total Non-Truncated Claims and Non-Claims Spending]],TM[[#All],[Reporting Year]],2021,TM[[#All],[Insurance Category Code]],'Data Validation Checks 2021-22'!A61,TM[[#All],[Large Provider Entity Code]],100))/'Data Validation Checks 2021-22'!B116),"NA")</f>
        <v>NA</v>
      </c>
      <c r="L61" s="185" t="str">
        <f>IF(C116&lt;&gt;0,((SUMIFS(TM[[#All],[Claims: Hospital Inpatient]],TM[[#All],[Reporting Year]],2022,TM[[#All],[Insurance Category Code]],'Data Validation Checks 2021-22'!A61,TM[[#All],[Large Provider Entity Code]],100))/'Data Validation Checks 2021-22'!C116),"NA")</f>
        <v>NA</v>
      </c>
      <c r="M61" s="7" t="str">
        <f>IF(C116&lt;&gt;0,((SUMIFS(TM[[#All],[Claims: Hospital Outpatient]],TM[[#All],[Reporting Year]],2022,TM[[#All],[Insurance Category Code]],'Data Validation Checks 2021-22'!A61,TM[[#All],[Large Provider Entity Code]],100))/'Data Validation Checks 2021-22'!C116),"NA")</f>
        <v>NA</v>
      </c>
      <c r="N61" s="7" t="str">
        <f>IF(C116&lt;&gt;0,((SUMIFS(TM[[#All],[Claims: Professional, Primary Care Providers]],TM[[#All],[Reporting Year]],2022,TM[[#All],[Insurance Category Code]],'Data Validation Checks 2021-22'!A61,TM[[#All],[Large Provider Entity Code]],100))/'Data Validation Checks 2021-22'!C116),"NA")</f>
        <v>NA</v>
      </c>
      <c r="O61" s="7" t="str">
        <f>IF(C116&lt;&gt;0,((SUMIFS(TM[[#All],[Claims: Professional, Specialty Providers]],TM[[#All],[Reporting Year]],2022,TM[[#All],[Insurance Category Code]],'Data Validation Checks 2021-22'!A61,TM[[#All],[Large Provider Entity Code]],100))/'Data Validation Checks 2021-22'!C116),"NA")</f>
        <v>NA</v>
      </c>
      <c r="P61" s="7" t="str">
        <f>IF(C116&lt;&gt;0,((SUMIFS(TM[[#All],[Claims: Professional, Other Providers]],TM[[#All],[Reporting Year]],2022,TM[[#All],[Insurance Category Code]],'Data Validation Checks 2021-22'!A61,TM[[#All],[Large Provider Entity Code]],100))/'Data Validation Checks 2021-22'!C116),"NA")</f>
        <v>NA</v>
      </c>
      <c r="Q61" s="7" t="str">
        <f>IF(C116&lt;&gt;0,((SUMIFS(TM[[#All],[Claims: Long-Term Care]],TM[[#All],[Reporting Year]],2022,TM[[#All],[Insurance Category Code]],'Data Validation Checks 2021-22'!A61,TM[[#All],[Large Provider Entity Code]],100))/'Data Validation Checks 2021-22'!C116),"NA")</f>
        <v>NA</v>
      </c>
      <c r="R61" s="7" t="str">
        <f>IF(C116&lt;&gt;0,((SUMIFS(TM[[#All],[Claims: Retail Pharmacy]],TM[[#All],[Reporting Year]],2022,TM[[#All],[Insurance Category Code]],'Data Validation Checks 2021-22'!A61,TM[[#All],[Large Provider Entity Code]],100))/'Data Validation Checks 2021-22'!C116),"NA")</f>
        <v>NA</v>
      </c>
      <c r="S61" s="7" t="str">
        <f>IF(C116&lt;&gt;0,((SUMIFS(TM[[#All],[Claims: Other]],TM[[#All],[Reporting Year]],2022,TM[[#All],[Insurance Category Code]],'Data Validation Checks 2021-22'!A61,TM[[#All],[Large Provider Entity Code]],100))/'Data Validation Checks 2021-22'!C116),"NA")</f>
        <v>NA</v>
      </c>
      <c r="T61" s="7" t="str">
        <f>IF(C116&lt;&gt;0,((SUMIFS(TM[[#All],[Total Non-Claims Spending]],TM[[#All],[Reporting Year]],2022,TM[[#All],[Insurance Category Code]],'Data Validation Checks 2021-22'!A61,TM[[#All],[Large Provider Entity Code]],100))/'Data Validation Checks 2021-22'!C116),"NA")</f>
        <v>NA</v>
      </c>
      <c r="U61" s="7" t="str">
        <f>IF(C116&lt;&gt;0,((SUMIFS(TM[[#All],[Total Non-Truncated Claims and Non-Claims Spending]],TM[[#All],[Reporting Year]],2022,TM[[#All],[Insurance Category Code]],'Data Validation Checks 2021-22'!A61,TM[[#All],[Large Provider Entity Code]],100))/'Data Validation Checks 2021-22'!C116),"NA")</f>
        <v>NA</v>
      </c>
      <c r="V61"/>
      <c r="W61"/>
      <c r="X61"/>
      <c r="Y61"/>
      <c r="Z61"/>
      <c r="AA61"/>
      <c r="AB61"/>
      <c r="AC61"/>
    </row>
    <row r="62" spans="1:29" x14ac:dyDescent="0.25">
      <c r="A62" s="53">
        <v>7</v>
      </c>
      <c r="B62" s="185" t="str">
        <f>IF(B117&lt;&gt;0,((SUMIFS(TM[[#All],[Claims: Hospital Inpatient]],TM[[#All],[Reporting Year]],2021,TM[[#All],[Insurance Category Code]],'Data Validation Checks 2021-22'!A62,TM[[#All],[Large Provider Entity Code]],100))/'Data Validation Checks 2021-22'!B117),"NA")</f>
        <v>NA</v>
      </c>
      <c r="C62" s="7" t="str">
        <f>IF(B117&lt;&gt;0,((SUMIFS(TM[[#All],[Claims: Hospital Outpatient]],TM[[#All],[Reporting Year]],2021,TM[[#All],[Insurance Category Code]],'Data Validation Checks 2021-22'!A62,TM[[#All],[Large Provider Entity Code]],100))/'Data Validation Checks 2021-22'!B117),"NA")</f>
        <v>NA</v>
      </c>
      <c r="D62" s="7" t="str">
        <f>IF(B117&lt;&gt;0,((SUMIFS(TM[[#All],[Claims: Professional, Primary Care Providers]],TM[[#All],[Reporting Year]],2021,TM[[#All],[Insurance Category Code]],'Data Validation Checks 2021-22'!A62,TM[[#All],[Large Provider Entity Code]],100))/'Data Validation Checks 2021-22'!B117),"NA")</f>
        <v>NA</v>
      </c>
      <c r="E62" s="7" t="str">
        <f>IF(B117&lt;&gt;0,((SUMIFS(TM[[#All],[Claims: Professional, Specialty Providers]],TM[[#All],[Reporting Year]],2021,TM[[#All],[Insurance Category Code]],'Data Validation Checks 2021-22'!A62,TM[[#All],[Large Provider Entity Code]],100))/'Data Validation Checks 2021-22'!B117),"NA")</f>
        <v>NA</v>
      </c>
      <c r="F62" s="7" t="str">
        <f>IF(B117&lt;&gt;0,((SUMIFS(TM[[#All],[Claims: Professional, Other Providers]],TM[[#All],[Reporting Year]],2021,TM[[#All],[Insurance Category Code]],'Data Validation Checks 2021-22'!A62,TM[[#All],[Large Provider Entity Code]],100))/'Data Validation Checks 2021-22'!B117),"NA")</f>
        <v>NA</v>
      </c>
      <c r="G62" s="7" t="str">
        <f>IF(B117&lt;&gt;0,((SUMIFS(TM[[#All],[Claims: Long-Term Care]],TM[[#All],[Reporting Year]],2021,TM[[#All],[Insurance Category Code]],'Data Validation Checks 2021-22'!A62,TM[[#All],[Large Provider Entity Code]],100))/'Data Validation Checks 2021-22'!B117),"NA")</f>
        <v>NA</v>
      </c>
      <c r="H62" s="7" t="str">
        <f>IF(B117&lt;&gt;0,((SUMIFS(TM[[#All],[Claims: Retail Pharmacy]],TM[[#All],[Reporting Year]],2021,TM[[#All],[Insurance Category Code]],'Data Validation Checks 2021-22'!A62,TM[[#All],[Large Provider Entity Code]],100))/'Data Validation Checks 2021-22'!B117),"NA")</f>
        <v>NA</v>
      </c>
      <c r="I62" s="7" t="str">
        <f>IF(B117&lt;&gt;0,((SUMIFS(TM[[#All],[Claims: Other]],TM[[#All],[Reporting Year]],2021,TM[[#All],[Insurance Category Code]],'Data Validation Checks 2021-22'!A62,TM[[#All],[Large Provider Entity Code]],100))/'Data Validation Checks 2021-22'!B117),"NA")</f>
        <v>NA</v>
      </c>
      <c r="J62" s="7" t="str">
        <f>IF(B117&lt;&gt;0,((SUMIFS(TM[[#All],[Total Non-Claims Spending]],TM[[#All],[Reporting Year]],2021,TM[[#All],[Insurance Category Code]],'Data Validation Checks 2021-22'!A62,TM[[#All],[Large Provider Entity Code]],100))/'Data Validation Checks 2021-22'!B117),"NA")</f>
        <v>NA</v>
      </c>
      <c r="K62" s="96" t="str">
        <f>IF(B117&lt;&gt;0,((SUMIFS(TM[[#All],[Total Non-Truncated Claims and Non-Claims Spending]],TM[[#All],[Reporting Year]],2021,TM[[#All],[Insurance Category Code]],'Data Validation Checks 2021-22'!A62,TM[[#All],[Large Provider Entity Code]],100))/'Data Validation Checks 2021-22'!B117),"NA")</f>
        <v>NA</v>
      </c>
      <c r="L62" s="185" t="str">
        <f>IF(C117&lt;&gt;0,((SUMIFS(TM[[#All],[Claims: Hospital Inpatient]],TM[[#All],[Reporting Year]],2022,TM[[#All],[Insurance Category Code]],'Data Validation Checks 2021-22'!A62,TM[[#All],[Large Provider Entity Code]],100))/'Data Validation Checks 2021-22'!C117),"NA")</f>
        <v>NA</v>
      </c>
      <c r="M62" s="7" t="str">
        <f>IF(C117&lt;&gt;0,((SUMIFS(TM[[#All],[Claims: Hospital Outpatient]],TM[[#All],[Reporting Year]],2022,TM[[#All],[Insurance Category Code]],'Data Validation Checks 2021-22'!A62,TM[[#All],[Large Provider Entity Code]],100))/'Data Validation Checks 2021-22'!C117),"NA")</f>
        <v>NA</v>
      </c>
      <c r="N62" s="7" t="str">
        <f>IF(C117&lt;&gt;0,((SUMIFS(TM[[#All],[Claims: Professional, Primary Care Providers]],TM[[#All],[Reporting Year]],2022,TM[[#All],[Insurance Category Code]],'Data Validation Checks 2021-22'!A62,TM[[#All],[Large Provider Entity Code]],100))/'Data Validation Checks 2021-22'!C117),"NA")</f>
        <v>NA</v>
      </c>
      <c r="O62" s="7" t="str">
        <f>IF(C117&lt;&gt;0,((SUMIFS(TM[[#All],[Claims: Professional, Specialty Providers]],TM[[#All],[Reporting Year]],2022,TM[[#All],[Insurance Category Code]],'Data Validation Checks 2021-22'!A62,TM[[#All],[Large Provider Entity Code]],100))/'Data Validation Checks 2021-22'!C117),"NA")</f>
        <v>NA</v>
      </c>
      <c r="P62" s="7" t="str">
        <f>IF(C117&lt;&gt;0,((SUMIFS(TM[[#All],[Claims: Professional, Other Providers]],TM[[#All],[Reporting Year]],2022,TM[[#All],[Insurance Category Code]],'Data Validation Checks 2021-22'!A62,TM[[#All],[Large Provider Entity Code]],100))/'Data Validation Checks 2021-22'!C117),"NA")</f>
        <v>NA</v>
      </c>
      <c r="Q62" s="7" t="str">
        <f>IF(C117&lt;&gt;0,((SUMIFS(TM[[#All],[Claims: Long-Term Care]],TM[[#All],[Reporting Year]],2022,TM[[#All],[Insurance Category Code]],'Data Validation Checks 2021-22'!A62,TM[[#All],[Large Provider Entity Code]],100))/'Data Validation Checks 2021-22'!C117),"NA")</f>
        <v>NA</v>
      </c>
      <c r="R62" s="7" t="str">
        <f>IF(C117&lt;&gt;0,((SUMIFS(TM[[#All],[Claims: Retail Pharmacy]],TM[[#All],[Reporting Year]],2022,TM[[#All],[Insurance Category Code]],'Data Validation Checks 2021-22'!A62,TM[[#All],[Large Provider Entity Code]],100))/'Data Validation Checks 2021-22'!C117),"NA")</f>
        <v>NA</v>
      </c>
      <c r="S62" s="7" t="str">
        <f>IF(C117&lt;&gt;0,((SUMIFS(TM[[#All],[Claims: Other]],TM[[#All],[Reporting Year]],2022,TM[[#All],[Insurance Category Code]],'Data Validation Checks 2021-22'!A62,TM[[#All],[Large Provider Entity Code]],100))/'Data Validation Checks 2021-22'!C117),"NA")</f>
        <v>NA</v>
      </c>
      <c r="T62" s="7" t="str">
        <f>IF(C117&lt;&gt;0,((SUMIFS(TM[[#All],[Total Non-Claims Spending]],TM[[#All],[Reporting Year]],2022,TM[[#All],[Insurance Category Code]],'Data Validation Checks 2021-22'!A62,TM[[#All],[Large Provider Entity Code]],100))/'Data Validation Checks 2021-22'!C117),"NA")</f>
        <v>NA</v>
      </c>
      <c r="U62" s="7" t="str">
        <f>IF(C117&lt;&gt;0,((SUMIFS(TM[[#All],[Total Non-Truncated Claims and Non-Claims Spending]],TM[[#All],[Reporting Year]],2022,TM[[#All],[Insurance Category Code]],'Data Validation Checks 2021-22'!A62,TM[[#All],[Large Provider Entity Code]],100))/'Data Validation Checks 2021-22'!C117),"NA")</f>
        <v>NA</v>
      </c>
      <c r="V62"/>
      <c r="W62"/>
      <c r="X62"/>
      <c r="Y62"/>
      <c r="Z62"/>
      <c r="AA62"/>
      <c r="AB62"/>
      <c r="AC62"/>
    </row>
    <row r="63" spans="1:29" x14ac:dyDescent="0.25">
      <c r="A63" s="53">
        <v>8</v>
      </c>
      <c r="B63" s="185" t="str">
        <f>IF(B118&lt;&gt;0,((SUMIFS(TM[[#All],[Claims: Hospital Inpatient]],TM[[#All],[Reporting Year]],2021,TM[[#All],[Insurance Category Code]],'Data Validation Checks 2021-22'!A63,TM[[#All],[Large Provider Entity Code]],100))/'Data Validation Checks 2021-22'!B118),"NA")</f>
        <v>NA</v>
      </c>
      <c r="C63" s="7" t="str">
        <f>IF(B118&lt;&gt;0,((SUMIFS(TM[[#All],[Claims: Hospital Outpatient]],TM[[#All],[Reporting Year]],2021,TM[[#All],[Insurance Category Code]],'Data Validation Checks 2021-22'!A63,TM[[#All],[Large Provider Entity Code]],100))/'Data Validation Checks 2021-22'!B118),"NA")</f>
        <v>NA</v>
      </c>
      <c r="D63" s="7" t="str">
        <f>IF(B118&lt;&gt;0,((SUMIFS(TM[[#All],[Claims: Professional, Primary Care Providers]],TM[[#All],[Reporting Year]],2021,TM[[#All],[Insurance Category Code]],'Data Validation Checks 2021-22'!A63,TM[[#All],[Large Provider Entity Code]],100))/'Data Validation Checks 2021-22'!B118),"NA")</f>
        <v>NA</v>
      </c>
      <c r="E63" s="7" t="str">
        <f>IF(B118&lt;&gt;0,((SUMIFS(TM[[#All],[Claims: Professional, Specialty Providers]],TM[[#All],[Reporting Year]],2021,TM[[#All],[Insurance Category Code]],'Data Validation Checks 2021-22'!A63,TM[[#All],[Large Provider Entity Code]],100))/'Data Validation Checks 2021-22'!B118),"NA")</f>
        <v>NA</v>
      </c>
      <c r="F63" s="7" t="str">
        <f>IF(B118&lt;&gt;0,((SUMIFS(TM[[#All],[Claims: Professional, Other Providers]],TM[[#All],[Reporting Year]],2021,TM[[#All],[Insurance Category Code]],'Data Validation Checks 2021-22'!A63,TM[[#All],[Large Provider Entity Code]],100))/'Data Validation Checks 2021-22'!B118),"NA")</f>
        <v>NA</v>
      </c>
      <c r="G63" s="7" t="str">
        <f>IF(B118&lt;&gt;0,((SUMIFS(TM[[#All],[Claims: Long-Term Care]],TM[[#All],[Reporting Year]],2021,TM[[#All],[Insurance Category Code]],'Data Validation Checks 2021-22'!A63,TM[[#All],[Large Provider Entity Code]],100))/'Data Validation Checks 2021-22'!B118),"NA")</f>
        <v>NA</v>
      </c>
      <c r="H63" s="7" t="str">
        <f>IF(B118&lt;&gt;0,((SUMIFS(TM[[#All],[Claims: Retail Pharmacy]],TM[[#All],[Reporting Year]],2021,TM[[#All],[Insurance Category Code]],'Data Validation Checks 2021-22'!A63,TM[[#All],[Large Provider Entity Code]],100))/'Data Validation Checks 2021-22'!B118),"NA")</f>
        <v>NA</v>
      </c>
      <c r="I63" s="7" t="str">
        <f>IF(B118&lt;&gt;0,((SUMIFS(TM[[#All],[Claims: Other]],TM[[#All],[Reporting Year]],2021,TM[[#All],[Insurance Category Code]],'Data Validation Checks 2021-22'!A63,TM[[#All],[Large Provider Entity Code]],100))/'Data Validation Checks 2021-22'!B118),"NA")</f>
        <v>NA</v>
      </c>
      <c r="J63" s="7" t="str">
        <f>IF(B118&lt;&gt;0,((SUMIFS(TM[[#All],[Total Non-Claims Spending]],TM[[#All],[Reporting Year]],2021,TM[[#All],[Insurance Category Code]],'Data Validation Checks 2021-22'!A63,TM[[#All],[Large Provider Entity Code]],100))/'Data Validation Checks 2021-22'!B118),"NA")</f>
        <v>NA</v>
      </c>
      <c r="K63" s="96" t="str">
        <f>IF(B118&lt;&gt;0,((SUMIFS(TM[[#All],[Total Non-Truncated Claims and Non-Claims Spending]],TM[[#All],[Reporting Year]],2021,TM[[#All],[Insurance Category Code]],'Data Validation Checks 2021-22'!A63,TM[[#All],[Large Provider Entity Code]],100))/'Data Validation Checks 2021-22'!B118),"NA")</f>
        <v>NA</v>
      </c>
      <c r="L63" s="185" t="str">
        <f>IF(C118&lt;&gt;0,((SUMIFS(TM[[#All],[Claims: Hospital Inpatient]],TM[[#All],[Reporting Year]],2022,TM[[#All],[Insurance Category Code]],'Data Validation Checks 2021-22'!A63,TM[[#All],[Large Provider Entity Code]],100))/'Data Validation Checks 2021-22'!C118),"NA")</f>
        <v>NA</v>
      </c>
      <c r="M63" s="7" t="str">
        <f>IF(C118&lt;&gt;0,((SUMIFS(TM[[#All],[Claims: Hospital Outpatient]],TM[[#All],[Reporting Year]],2022,TM[[#All],[Insurance Category Code]],'Data Validation Checks 2021-22'!A63,TM[[#All],[Large Provider Entity Code]],100))/'Data Validation Checks 2021-22'!C118),"NA")</f>
        <v>NA</v>
      </c>
      <c r="N63" s="7" t="str">
        <f>IF(C118&lt;&gt;0,((SUMIFS(TM[[#All],[Claims: Professional, Primary Care Providers]],TM[[#All],[Reporting Year]],2022,TM[[#All],[Insurance Category Code]],'Data Validation Checks 2021-22'!A63,TM[[#All],[Large Provider Entity Code]],100))/'Data Validation Checks 2021-22'!C118),"NA")</f>
        <v>NA</v>
      </c>
      <c r="O63" s="7" t="str">
        <f>IF(C118&lt;&gt;0,((SUMIFS(TM[[#All],[Claims: Professional, Specialty Providers]],TM[[#All],[Reporting Year]],2022,TM[[#All],[Insurance Category Code]],'Data Validation Checks 2021-22'!A63,TM[[#All],[Large Provider Entity Code]],100))/'Data Validation Checks 2021-22'!C118),"NA")</f>
        <v>NA</v>
      </c>
      <c r="P63" s="7" t="str">
        <f>IF(C118&lt;&gt;0,((SUMIFS(TM[[#All],[Claims: Professional, Other Providers]],TM[[#All],[Reporting Year]],2022,TM[[#All],[Insurance Category Code]],'Data Validation Checks 2021-22'!A63,TM[[#All],[Large Provider Entity Code]],100))/'Data Validation Checks 2021-22'!C118),"NA")</f>
        <v>NA</v>
      </c>
      <c r="Q63" s="7" t="str">
        <f>IF(C118&lt;&gt;0,((SUMIFS(TM[[#All],[Claims: Long-Term Care]],TM[[#All],[Reporting Year]],2022,TM[[#All],[Insurance Category Code]],'Data Validation Checks 2021-22'!A63,TM[[#All],[Large Provider Entity Code]],100))/'Data Validation Checks 2021-22'!C118),"NA")</f>
        <v>NA</v>
      </c>
      <c r="R63" s="7" t="str">
        <f>IF(C118&lt;&gt;0,((SUMIFS(TM[[#All],[Claims: Retail Pharmacy]],TM[[#All],[Reporting Year]],2022,TM[[#All],[Insurance Category Code]],'Data Validation Checks 2021-22'!A63,TM[[#All],[Large Provider Entity Code]],100))/'Data Validation Checks 2021-22'!C118),"NA")</f>
        <v>NA</v>
      </c>
      <c r="S63" s="7" t="str">
        <f>IF(C118&lt;&gt;0,((SUMIFS(TM[[#All],[Claims: Other]],TM[[#All],[Reporting Year]],2022,TM[[#All],[Insurance Category Code]],'Data Validation Checks 2021-22'!A63,TM[[#All],[Large Provider Entity Code]],100))/'Data Validation Checks 2021-22'!C118),"NA")</f>
        <v>NA</v>
      </c>
      <c r="T63" s="7" t="str">
        <f>IF(C118&lt;&gt;0,((SUMIFS(TM[[#All],[Total Non-Claims Spending]],TM[[#All],[Reporting Year]],2022,TM[[#All],[Insurance Category Code]],'Data Validation Checks 2021-22'!A63,TM[[#All],[Large Provider Entity Code]],100))/'Data Validation Checks 2021-22'!C118),"NA")</f>
        <v>NA</v>
      </c>
      <c r="U63" s="7" t="str">
        <f>IF(C118&lt;&gt;0,((SUMIFS(TM[[#All],[Total Non-Truncated Claims and Non-Claims Spending]],TM[[#All],[Reporting Year]],2022,TM[[#All],[Insurance Category Code]],'Data Validation Checks 2021-22'!A63,TM[[#All],[Large Provider Entity Code]],100))/'Data Validation Checks 2021-22'!C118),"NA")</f>
        <v>NA</v>
      </c>
      <c r="V63"/>
      <c r="W63"/>
      <c r="X63"/>
      <c r="Y63"/>
      <c r="Z63"/>
      <c r="AA63"/>
      <c r="AB63"/>
      <c r="AC63"/>
    </row>
    <row r="64" spans="1:29" x14ac:dyDescent="0.25">
      <c r="A64" s="196" t="s">
        <v>413</v>
      </c>
      <c r="B64" s="191" t="str">
        <f>IFERROR(ABS(B59/B58-1),"NA")</f>
        <v>NA</v>
      </c>
      <c r="C64" s="192" t="str">
        <f t="shared" ref="C64:U64" si="30">IFERROR(ABS(C59/C58-1),"NA")</f>
        <v>NA</v>
      </c>
      <c r="D64" s="192" t="str">
        <f t="shared" si="30"/>
        <v>NA</v>
      </c>
      <c r="E64" s="192" t="str">
        <f t="shared" si="30"/>
        <v>NA</v>
      </c>
      <c r="F64" s="192" t="str">
        <f t="shared" si="30"/>
        <v>NA</v>
      </c>
      <c r="G64" s="192" t="str">
        <f t="shared" si="30"/>
        <v>NA</v>
      </c>
      <c r="H64" s="192" t="str">
        <f t="shared" si="30"/>
        <v>NA</v>
      </c>
      <c r="I64" s="192" t="str">
        <f t="shared" si="30"/>
        <v>NA</v>
      </c>
      <c r="J64" s="192" t="str">
        <f t="shared" si="30"/>
        <v>NA</v>
      </c>
      <c r="K64" s="193" t="str">
        <f t="shared" si="30"/>
        <v>NA</v>
      </c>
      <c r="L64" s="191" t="str">
        <f t="shared" si="30"/>
        <v>NA</v>
      </c>
      <c r="M64" s="192" t="str">
        <f t="shared" si="30"/>
        <v>NA</v>
      </c>
      <c r="N64" s="192" t="str">
        <f t="shared" si="30"/>
        <v>NA</v>
      </c>
      <c r="O64" s="192" t="str">
        <f t="shared" si="30"/>
        <v>NA</v>
      </c>
      <c r="P64" s="192" t="str">
        <f t="shared" si="30"/>
        <v>NA</v>
      </c>
      <c r="Q64" s="192" t="str">
        <f t="shared" si="30"/>
        <v>NA</v>
      </c>
      <c r="R64" s="192" t="str">
        <f t="shared" si="30"/>
        <v>NA</v>
      </c>
      <c r="S64" s="192" t="str">
        <f t="shared" si="30"/>
        <v>NA</v>
      </c>
      <c r="T64" s="192" t="str">
        <f t="shared" si="30"/>
        <v>NA</v>
      </c>
      <c r="U64" s="192" t="str">
        <f t="shared" si="30"/>
        <v>NA</v>
      </c>
      <c r="V64"/>
      <c r="W64"/>
      <c r="X64"/>
      <c r="Y64"/>
      <c r="Z64"/>
      <c r="AA64"/>
      <c r="AB64"/>
      <c r="AC64"/>
    </row>
    <row r="65" spans="1:29" x14ac:dyDescent="0.25">
      <c r="A65" s="190" t="s">
        <v>414</v>
      </c>
      <c r="B65" s="191" t="str">
        <f t="shared" ref="B65:U65" si="31">IFERROR(IF(ABS(B59/B58-1)&lt;50%,"Yes","No"),"NA")</f>
        <v>NA</v>
      </c>
      <c r="C65" s="192" t="str">
        <f t="shared" si="31"/>
        <v>NA</v>
      </c>
      <c r="D65" s="192" t="str">
        <f t="shared" si="31"/>
        <v>NA</v>
      </c>
      <c r="E65" s="192" t="str">
        <f t="shared" si="31"/>
        <v>NA</v>
      </c>
      <c r="F65" s="192" t="str">
        <f t="shared" si="31"/>
        <v>NA</v>
      </c>
      <c r="G65" s="192" t="str">
        <f t="shared" si="31"/>
        <v>NA</v>
      </c>
      <c r="H65" s="192" t="str">
        <f t="shared" si="31"/>
        <v>NA</v>
      </c>
      <c r="I65" s="192" t="str">
        <f t="shared" si="31"/>
        <v>NA</v>
      </c>
      <c r="J65" s="192" t="str">
        <f t="shared" si="31"/>
        <v>NA</v>
      </c>
      <c r="K65" s="193" t="str">
        <f t="shared" si="31"/>
        <v>NA</v>
      </c>
      <c r="L65" s="191" t="str">
        <f t="shared" si="31"/>
        <v>NA</v>
      </c>
      <c r="M65" s="192" t="str">
        <f t="shared" si="31"/>
        <v>NA</v>
      </c>
      <c r="N65" s="192" t="str">
        <f t="shared" si="31"/>
        <v>NA</v>
      </c>
      <c r="O65" s="192" t="str">
        <f t="shared" si="31"/>
        <v>NA</v>
      </c>
      <c r="P65" s="192" t="str">
        <f t="shared" si="31"/>
        <v>NA</v>
      </c>
      <c r="Q65" s="192" t="str">
        <f t="shared" si="31"/>
        <v>NA</v>
      </c>
      <c r="R65" s="192" t="str">
        <f t="shared" si="31"/>
        <v>NA</v>
      </c>
      <c r="S65" s="192" t="str">
        <f t="shared" si="31"/>
        <v>NA</v>
      </c>
      <c r="T65" s="192" t="str">
        <f t="shared" si="31"/>
        <v>NA</v>
      </c>
      <c r="U65" s="192" t="str">
        <f t="shared" si="31"/>
        <v>NA</v>
      </c>
      <c r="V65"/>
      <c r="W65"/>
      <c r="X65"/>
      <c r="Y65"/>
      <c r="Z65"/>
      <c r="AA65"/>
      <c r="AB65"/>
      <c r="AC65"/>
    </row>
    <row r="66" spans="1:29" x14ac:dyDescent="0.25">
      <c r="A66"/>
      <c r="B66" s="241"/>
      <c r="C66" s="241"/>
      <c r="D66" s="241"/>
      <c r="E66" s="241"/>
      <c r="F66" s="241"/>
      <c r="G66"/>
      <c r="H66"/>
      <c r="I66"/>
      <c r="J66"/>
      <c r="K66"/>
      <c r="L66"/>
      <c r="M66"/>
      <c r="N66"/>
      <c r="O66"/>
      <c r="P66"/>
      <c r="Q66"/>
      <c r="R66"/>
      <c r="S66"/>
      <c r="T66"/>
      <c r="U66"/>
      <c r="V66"/>
      <c r="W66"/>
      <c r="X66"/>
      <c r="Y66"/>
      <c r="Z66"/>
      <c r="AA66"/>
      <c r="AB66"/>
      <c r="AC66"/>
    </row>
    <row r="67" spans="1:29" x14ac:dyDescent="0.25">
      <c r="A67"/>
      <c r="B67"/>
      <c r="C67"/>
      <c r="D67"/>
      <c r="E67"/>
      <c r="F67"/>
      <c r="G67"/>
      <c r="H67"/>
      <c r="I67"/>
      <c r="J67"/>
      <c r="K67"/>
      <c r="L67"/>
      <c r="M67"/>
      <c r="N67"/>
      <c r="O67"/>
      <c r="P67"/>
      <c r="Q67"/>
      <c r="R67"/>
      <c r="S67"/>
      <c r="T67"/>
      <c r="U67"/>
      <c r="V67"/>
      <c r="W67"/>
      <c r="X67"/>
      <c r="Y67"/>
      <c r="Z67"/>
      <c r="AA67"/>
      <c r="AB67"/>
      <c r="AC67"/>
    </row>
    <row r="68" spans="1:29" ht="14.25" customHeight="1" x14ac:dyDescent="0.25">
      <c r="A68" s="4" t="s">
        <v>415</v>
      </c>
      <c r="B68"/>
      <c r="C68"/>
      <c r="D68"/>
      <c r="E68"/>
      <c r="F68"/>
      <c r="G68"/>
      <c r="H68"/>
      <c r="I68"/>
      <c r="J68"/>
      <c r="K68"/>
      <c r="L68"/>
      <c r="M68"/>
      <c r="N68"/>
      <c r="O68"/>
      <c r="P68"/>
      <c r="Q68"/>
      <c r="R68"/>
      <c r="S68"/>
      <c r="T68"/>
      <c r="U68"/>
      <c r="V68"/>
      <c r="W68"/>
      <c r="X68"/>
      <c r="Y68"/>
      <c r="Z68"/>
      <c r="AA68"/>
      <c r="AB68"/>
      <c r="AC68"/>
    </row>
    <row r="69" spans="1:29" ht="14.25" customHeight="1" x14ac:dyDescent="0.25">
      <c r="A69" s="662" t="s">
        <v>416</v>
      </c>
      <c r="B69" s="662"/>
      <c r="C69" s="662"/>
      <c r="D69" s="662"/>
      <c r="E69" s="662"/>
      <c r="F69" s="662"/>
      <c r="G69" s="662"/>
      <c r="H69"/>
      <c r="I69"/>
      <c r="J69"/>
      <c r="K69"/>
      <c r="L69"/>
      <c r="M69"/>
      <c r="N69"/>
      <c r="O69"/>
      <c r="P69"/>
      <c r="Q69"/>
      <c r="R69"/>
      <c r="S69"/>
      <c r="T69"/>
      <c r="U69"/>
      <c r="V69"/>
      <c r="W69"/>
      <c r="X69"/>
      <c r="Y69"/>
      <c r="Z69"/>
      <c r="AA69"/>
      <c r="AB69"/>
      <c r="AC69"/>
    </row>
    <row r="70" spans="1:29" ht="30" customHeight="1" x14ac:dyDescent="0.25">
      <c r="A70" s="687" t="s">
        <v>417</v>
      </c>
      <c r="B70" s="687"/>
      <c r="C70" s="687"/>
      <c r="D70" s="687"/>
      <c r="E70" s="687"/>
      <c r="F70" s="687"/>
      <c r="G70" s="687"/>
      <c r="H70"/>
      <c r="I70"/>
      <c r="J70"/>
      <c r="K70"/>
      <c r="L70"/>
      <c r="M70"/>
      <c r="N70"/>
      <c r="O70"/>
      <c r="P70"/>
      <c r="Q70"/>
      <c r="R70"/>
      <c r="S70"/>
      <c r="T70"/>
      <c r="U70"/>
      <c r="V70"/>
      <c r="W70"/>
      <c r="X70"/>
      <c r="Y70"/>
      <c r="Z70"/>
      <c r="AA70"/>
      <c r="AB70"/>
      <c r="AC70"/>
    </row>
    <row r="71" spans="1:29" ht="15.75" customHeight="1" x14ac:dyDescent="0.25">
      <c r="A71" s="655" t="s">
        <v>418</v>
      </c>
      <c r="B71" s="668">
        <v>2021</v>
      </c>
      <c r="C71" s="674"/>
      <c r="D71" s="674"/>
      <c r="E71" s="670">
        <v>2022</v>
      </c>
      <c r="F71" s="677"/>
      <c r="G71" s="671"/>
      <c r="H71"/>
      <c r="I71"/>
      <c r="J71"/>
      <c r="K71"/>
      <c r="L71"/>
      <c r="M71"/>
      <c r="N71"/>
      <c r="O71"/>
      <c r="P71"/>
      <c r="Q71"/>
      <c r="R71"/>
      <c r="S71"/>
      <c r="T71"/>
      <c r="U71"/>
      <c r="V71"/>
      <c r="W71"/>
      <c r="X71"/>
      <c r="Y71"/>
      <c r="Z71"/>
      <c r="AA71"/>
      <c r="AB71"/>
      <c r="AC71"/>
    </row>
    <row r="72" spans="1:29" ht="30" x14ac:dyDescent="0.25">
      <c r="A72" s="655"/>
      <c r="B72" s="90" t="s">
        <v>393</v>
      </c>
      <c r="C72" s="91" t="s">
        <v>419</v>
      </c>
      <c r="D72" s="91" t="s">
        <v>420</v>
      </c>
      <c r="E72" s="87" t="s">
        <v>393</v>
      </c>
      <c r="F72" s="88" t="s">
        <v>419</v>
      </c>
      <c r="G72" s="88" t="s">
        <v>420</v>
      </c>
      <c r="H72"/>
      <c r="I72"/>
      <c r="J72"/>
      <c r="K72"/>
      <c r="L72"/>
      <c r="M72"/>
      <c r="N72"/>
      <c r="O72"/>
      <c r="P72"/>
      <c r="Q72"/>
      <c r="R72"/>
      <c r="S72"/>
      <c r="T72"/>
      <c r="U72"/>
      <c r="V72"/>
      <c r="W72"/>
      <c r="X72"/>
      <c r="Y72"/>
      <c r="Z72"/>
      <c r="AA72"/>
      <c r="AB72"/>
      <c r="AC72"/>
    </row>
    <row r="73" spans="1:29" ht="30" x14ac:dyDescent="0.25">
      <c r="A73" s="54" t="s">
        <v>421</v>
      </c>
      <c r="B73" s="178">
        <f>(B124+B131)/12</f>
        <v>0</v>
      </c>
      <c r="C73" s="173" t="str">
        <f>IFERROR((J124+J131)/12/B73,"NA")</f>
        <v>NA</v>
      </c>
      <c r="D73" s="173" t="str">
        <f>IFERROR((L124+L131)/12/B73,"NA")</f>
        <v>NA</v>
      </c>
      <c r="E73" s="176">
        <f>(C124+C131)/12</f>
        <v>0</v>
      </c>
      <c r="F73" s="173" t="str">
        <f>IFERROR((K124+K131)/12/E73,"NA")</f>
        <v>NA</v>
      </c>
      <c r="G73" s="173" t="str">
        <f>IFERROR((M124+M131)/12/E73,"NA")</f>
        <v>NA</v>
      </c>
      <c r="H73"/>
      <c r="I73"/>
      <c r="J73"/>
      <c r="K73"/>
      <c r="L73"/>
      <c r="M73"/>
      <c r="N73"/>
      <c r="O73"/>
      <c r="P73"/>
      <c r="Q73"/>
      <c r="R73"/>
      <c r="S73"/>
      <c r="T73"/>
      <c r="U73"/>
      <c r="V73"/>
      <c r="W73"/>
      <c r="X73"/>
      <c r="Y73"/>
      <c r="Z73"/>
      <c r="AA73"/>
      <c r="AB73"/>
      <c r="AC73"/>
    </row>
    <row r="74" spans="1:29" ht="45" customHeight="1" x14ac:dyDescent="0.25">
      <c r="A74" s="55" t="s">
        <v>422</v>
      </c>
      <c r="B74" s="179">
        <f>(B128+B129)/12</f>
        <v>0</v>
      </c>
      <c r="C74" s="175" t="str">
        <f>IFERROR((J128+J129)/12/B74,"NA")</f>
        <v>NA</v>
      </c>
      <c r="D74" s="175" t="str">
        <f>IFERROR((L128+L129)/12/B74,"NA")</f>
        <v>NA</v>
      </c>
      <c r="E74" s="177">
        <f>(C128+C129)/12</f>
        <v>0</v>
      </c>
      <c r="F74" s="175" t="str">
        <f>IFERROR((K128+K129)/12/E74,"NA")</f>
        <v>NA</v>
      </c>
      <c r="G74" s="175" t="str">
        <f>IFERROR((M128+M129)/12/E74,"NA")</f>
        <v>NA</v>
      </c>
      <c r="H74"/>
      <c r="I74"/>
      <c r="J74"/>
      <c r="K74"/>
      <c r="L74"/>
      <c r="M74"/>
      <c r="N74"/>
      <c r="O74"/>
      <c r="P74"/>
      <c r="Q74"/>
      <c r="R74"/>
      <c r="S74"/>
      <c r="T74"/>
      <c r="U74"/>
      <c r="V74"/>
      <c r="W74"/>
      <c r="X74"/>
      <c r="Y74"/>
      <c r="Z74"/>
      <c r="AA74"/>
      <c r="AB74"/>
      <c r="AC74"/>
    </row>
    <row r="75" spans="1:29" ht="30" x14ac:dyDescent="0.25">
      <c r="A75" s="54" t="s">
        <v>423</v>
      </c>
      <c r="B75" s="178">
        <f>B125/12</f>
        <v>0</v>
      </c>
      <c r="C75" s="173" t="str">
        <f>IFERROR((J125/12)/B75,"NA")</f>
        <v>NA</v>
      </c>
      <c r="D75" s="173" t="str">
        <f>IFERROR((L125/12)/B75,"NA")</f>
        <v>NA</v>
      </c>
      <c r="E75" s="176">
        <f>C125/12</f>
        <v>0</v>
      </c>
      <c r="F75" s="173" t="str">
        <f>IFERROR((K125/12)/E75,"NA")</f>
        <v>NA</v>
      </c>
      <c r="G75" s="173" t="str">
        <f>IFERROR((M125/12)/E75,"NA")</f>
        <v>NA</v>
      </c>
      <c r="H75"/>
      <c r="I75"/>
      <c r="J75"/>
      <c r="K75"/>
      <c r="L75"/>
      <c r="M75"/>
      <c r="N75"/>
      <c r="O75"/>
      <c r="P75"/>
      <c r="Q75"/>
      <c r="R75"/>
      <c r="S75"/>
      <c r="T75"/>
      <c r="U75"/>
      <c r="V75"/>
      <c r="W75"/>
      <c r="X75"/>
      <c r="Y75"/>
      <c r="Z75"/>
      <c r="AA75"/>
      <c r="AB75"/>
      <c r="AC75"/>
    </row>
    <row r="76" spans="1:29" ht="45" customHeight="1" x14ac:dyDescent="0.25">
      <c r="A76" s="54" t="s">
        <v>424</v>
      </c>
      <c r="B76" s="178">
        <f>(B126+B127+B130)/12</f>
        <v>0</v>
      </c>
      <c r="C76" s="173" t="str">
        <f>IFERROR((J126+J127+J130)/12/B76,"NA")</f>
        <v>NA</v>
      </c>
      <c r="D76" s="173" t="str">
        <f>IFERROR((L126+L127+L130)/12/B76,"NA")</f>
        <v>NA</v>
      </c>
      <c r="E76" s="176">
        <f>(C126+C127+C130)/12</f>
        <v>0</v>
      </c>
      <c r="F76" s="173" t="str">
        <f>IFERROR((K126+K127+K130)/12/E76,"NA")</f>
        <v>NA</v>
      </c>
      <c r="G76" s="173" t="str">
        <f>IFERROR((M126+M127+M130)/12/E76,"NA")</f>
        <v>NA</v>
      </c>
      <c r="H76"/>
      <c r="I76"/>
      <c r="J76"/>
      <c r="K76"/>
      <c r="L76"/>
      <c r="M76"/>
      <c r="N76"/>
      <c r="O76"/>
      <c r="P76"/>
      <c r="Q76"/>
      <c r="R76"/>
      <c r="S76"/>
      <c r="T76"/>
      <c r="U76"/>
      <c r="V76"/>
      <c r="W76"/>
      <c r="X76"/>
      <c r="Y76"/>
      <c r="Z76"/>
      <c r="AA76"/>
      <c r="AB76"/>
      <c r="AC76"/>
    </row>
    <row r="77" spans="1:29" x14ac:dyDescent="0.25">
      <c r="A77" s="187"/>
      <c r="B77"/>
      <c r="C77"/>
      <c r="D77"/>
      <c r="E77"/>
      <c r="F77"/>
      <c r="G77"/>
      <c r="H77"/>
      <c r="I77"/>
      <c r="J77"/>
      <c r="K77"/>
      <c r="L77"/>
      <c r="M77"/>
      <c r="N77"/>
      <c r="O77"/>
      <c r="P77"/>
      <c r="Q77"/>
      <c r="R77"/>
      <c r="S77"/>
      <c r="T77"/>
      <c r="U77"/>
      <c r="V77"/>
      <c r="W77"/>
      <c r="X77"/>
      <c r="Y77"/>
      <c r="Z77"/>
      <c r="AA77"/>
      <c r="AB77"/>
      <c r="AC77"/>
    </row>
    <row r="78" spans="1:29" x14ac:dyDescent="0.25">
      <c r="A78" s="188"/>
      <c r="B78"/>
      <c r="C78"/>
      <c r="D78"/>
      <c r="E78"/>
      <c r="F78"/>
      <c r="G78"/>
      <c r="H78"/>
      <c r="I78"/>
      <c r="J78"/>
      <c r="K78"/>
      <c r="L78"/>
      <c r="M78"/>
      <c r="N78"/>
      <c r="O78"/>
      <c r="P78"/>
      <c r="Q78"/>
      <c r="R78"/>
      <c r="S78"/>
      <c r="T78"/>
      <c r="U78"/>
      <c r="V78"/>
      <c r="W78"/>
      <c r="X78"/>
      <c r="Y78"/>
      <c r="Z78"/>
      <c r="AA78"/>
      <c r="AB78"/>
      <c r="AC78"/>
    </row>
    <row r="79" spans="1:29" ht="14.25" customHeight="1" x14ac:dyDescent="0.25">
      <c r="A79" s="4" t="s">
        <v>425</v>
      </c>
      <c r="B79"/>
      <c r="C79"/>
      <c r="D79"/>
      <c r="E79"/>
      <c r="F79"/>
      <c r="G79"/>
      <c r="H79"/>
      <c r="I79"/>
      <c r="J79"/>
      <c r="K79"/>
      <c r="L79"/>
      <c r="M79"/>
      <c r="N79"/>
      <c r="O79"/>
      <c r="P79"/>
      <c r="Q79"/>
      <c r="R79"/>
      <c r="S79"/>
      <c r="T79"/>
      <c r="U79"/>
      <c r="V79"/>
      <c r="W79"/>
      <c r="X79"/>
      <c r="Y79"/>
      <c r="Z79"/>
      <c r="AA79"/>
      <c r="AB79"/>
      <c r="AC79"/>
    </row>
    <row r="80" spans="1:29" ht="14.25" customHeight="1" x14ac:dyDescent="0.25">
      <c r="A80" s="685" t="s">
        <v>416</v>
      </c>
      <c r="B80" s="685"/>
      <c r="C80" s="685"/>
      <c r="D80" s="685"/>
      <c r="E80" s="685"/>
      <c r="F80" s="48"/>
      <c r="G80" s="48"/>
      <c r="H80"/>
      <c r="I80"/>
      <c r="J80"/>
      <c r="K80"/>
      <c r="L80"/>
      <c r="M80"/>
      <c r="N80"/>
      <c r="O80"/>
      <c r="P80"/>
      <c r="Q80"/>
      <c r="R80"/>
      <c r="S80"/>
      <c r="T80"/>
      <c r="U80"/>
      <c r="V80"/>
      <c r="W80"/>
      <c r="X80"/>
      <c r="Y80"/>
      <c r="Z80"/>
      <c r="AA80"/>
      <c r="AB80"/>
      <c r="AC80"/>
    </row>
    <row r="81" spans="1:29" ht="45" customHeight="1" x14ac:dyDescent="0.25">
      <c r="A81" s="672" t="s">
        <v>426</v>
      </c>
      <c r="B81" s="672"/>
      <c r="C81" s="672"/>
      <c r="D81" s="672"/>
      <c r="E81" s="672"/>
      <c r="F81" s="48"/>
      <c r="G81" s="48"/>
      <c r="H81"/>
      <c r="I81"/>
      <c r="J81"/>
      <c r="K81"/>
      <c r="L81"/>
      <c r="M81"/>
      <c r="N81"/>
      <c r="O81"/>
      <c r="P81"/>
      <c r="Q81"/>
      <c r="R81"/>
      <c r="S81"/>
      <c r="T81"/>
      <c r="U81"/>
      <c r="V81"/>
      <c r="W81"/>
      <c r="X81"/>
      <c r="Y81"/>
      <c r="Z81"/>
      <c r="AA81"/>
      <c r="AB81"/>
      <c r="AC81"/>
    </row>
    <row r="82" spans="1:29" ht="15.75" customHeight="1" x14ac:dyDescent="0.25">
      <c r="A82" s="655" t="s">
        <v>418</v>
      </c>
      <c r="B82" s="668">
        <v>2021</v>
      </c>
      <c r="C82" s="669"/>
      <c r="D82" s="670">
        <v>2022</v>
      </c>
      <c r="E82" s="671"/>
      <c r="F82"/>
      <c r="G82"/>
      <c r="H82"/>
      <c r="I82"/>
      <c r="J82"/>
      <c r="K82"/>
      <c r="L82"/>
      <c r="M82"/>
      <c r="N82"/>
      <c r="O82"/>
      <c r="P82"/>
      <c r="Q82"/>
      <c r="R82"/>
      <c r="S82"/>
      <c r="T82"/>
      <c r="U82"/>
      <c r="V82"/>
      <c r="W82"/>
      <c r="X82"/>
      <c r="Y82"/>
      <c r="Z82"/>
      <c r="AA82"/>
      <c r="AB82"/>
      <c r="AC82"/>
    </row>
    <row r="83" spans="1:29" ht="30" x14ac:dyDescent="0.25">
      <c r="A83" s="655"/>
      <c r="B83" s="90" t="s">
        <v>393</v>
      </c>
      <c r="C83" s="92" t="s">
        <v>427</v>
      </c>
      <c r="D83" s="87" t="s">
        <v>393</v>
      </c>
      <c r="E83" s="88" t="s">
        <v>427</v>
      </c>
      <c r="F83"/>
      <c r="G83"/>
      <c r="H83"/>
      <c r="I83"/>
      <c r="J83"/>
      <c r="K83"/>
      <c r="L83"/>
      <c r="M83"/>
      <c r="N83"/>
      <c r="O83"/>
      <c r="P83"/>
      <c r="Q83"/>
      <c r="R83"/>
      <c r="S83"/>
      <c r="T83"/>
      <c r="U83"/>
      <c r="V83"/>
      <c r="W83"/>
      <c r="X83"/>
      <c r="Y83"/>
      <c r="Z83"/>
      <c r="AA83"/>
      <c r="AB83"/>
      <c r="AC83"/>
    </row>
    <row r="84" spans="1:29" ht="30" x14ac:dyDescent="0.25">
      <c r="A84" s="54" t="s">
        <v>421</v>
      </c>
      <c r="B84" s="178">
        <f>(B124+B131)/12</f>
        <v>0</v>
      </c>
      <c r="C84" s="174" t="str">
        <f>IFERROR((V137+V144)/12/B84,"NA")</f>
        <v>NA</v>
      </c>
      <c r="D84" s="176">
        <f>(C124+C131)/12</f>
        <v>0</v>
      </c>
      <c r="E84" s="173" t="str">
        <f>IFERROR((W137+W144)/12/D84,"NA")</f>
        <v>NA</v>
      </c>
      <c r="F84"/>
      <c r="G84"/>
      <c r="H84"/>
      <c r="I84"/>
      <c r="J84"/>
      <c r="K84"/>
      <c r="L84"/>
      <c r="M84"/>
      <c r="N84"/>
      <c r="O84"/>
      <c r="P84"/>
      <c r="Q84"/>
      <c r="R84"/>
      <c r="S84"/>
      <c r="T84"/>
      <c r="U84"/>
      <c r="V84"/>
      <c r="W84"/>
      <c r="X84"/>
      <c r="Y84"/>
      <c r="Z84"/>
      <c r="AA84"/>
      <c r="AB84"/>
      <c r="AC84"/>
    </row>
    <row r="85" spans="1:29" ht="45" customHeight="1" x14ac:dyDescent="0.25">
      <c r="A85" s="55" t="s">
        <v>422</v>
      </c>
      <c r="B85" s="179">
        <f>(B128+B129)/12</f>
        <v>0</v>
      </c>
      <c r="C85" s="174" t="str">
        <f>IFERROR((V141+V142)/12/B85,"NA")</f>
        <v>NA</v>
      </c>
      <c r="D85" s="177">
        <f>(C128+C129)/12</f>
        <v>0</v>
      </c>
      <c r="E85" s="175" t="str">
        <f>IFERROR((W141+W142)/12/D85,"NA")</f>
        <v>NA</v>
      </c>
      <c r="F85"/>
      <c r="G85"/>
      <c r="H85"/>
      <c r="I85"/>
      <c r="J85"/>
      <c r="K85"/>
      <c r="L85"/>
      <c r="M85"/>
      <c r="N85"/>
      <c r="O85"/>
      <c r="P85"/>
      <c r="Q85"/>
      <c r="R85"/>
      <c r="S85"/>
      <c r="T85"/>
      <c r="U85"/>
      <c r="V85"/>
      <c r="W85"/>
      <c r="X85"/>
      <c r="Y85"/>
      <c r="Z85"/>
      <c r="AA85"/>
      <c r="AB85"/>
      <c r="AC85"/>
    </row>
    <row r="86" spans="1:29" ht="30" x14ac:dyDescent="0.25">
      <c r="A86" s="54" t="s">
        <v>423</v>
      </c>
      <c r="B86" s="178">
        <f>B125/12</f>
        <v>0</v>
      </c>
      <c r="C86" s="174" t="str">
        <f>IFERROR((V138/12)/B86,"NA")</f>
        <v>NA</v>
      </c>
      <c r="D86" s="176">
        <f>C125/12</f>
        <v>0</v>
      </c>
      <c r="E86" s="173" t="str">
        <f>IFERROR((W138/12)/D86,"NA")</f>
        <v>NA</v>
      </c>
      <c r="F86"/>
      <c r="G86"/>
      <c r="H86"/>
      <c r="I86"/>
      <c r="J86"/>
      <c r="K86"/>
      <c r="L86"/>
      <c r="M86"/>
      <c r="N86"/>
      <c r="O86"/>
      <c r="P86"/>
      <c r="Q86"/>
      <c r="R86"/>
      <c r="S86"/>
      <c r="T86"/>
      <c r="U86"/>
      <c r="V86"/>
      <c r="W86"/>
      <c r="X86"/>
      <c r="Y86"/>
      <c r="Z86"/>
      <c r="AA86"/>
      <c r="AB86"/>
      <c r="AC86"/>
    </row>
    <row r="87" spans="1:29" ht="45" customHeight="1" x14ac:dyDescent="0.25">
      <c r="A87" s="54" t="s">
        <v>424</v>
      </c>
      <c r="B87" s="178">
        <f>(B126+B127+B130)/12</f>
        <v>0</v>
      </c>
      <c r="C87" s="174" t="str">
        <f>IFERROR((V139+V140+V143)/12/B87,"NA")</f>
        <v>NA</v>
      </c>
      <c r="D87" s="176">
        <f>(C126+C127+C130)/12</f>
        <v>0</v>
      </c>
      <c r="E87" s="173" t="str">
        <f>IFERROR((W139+W140+W143)/12/D87,"NA")</f>
        <v>NA</v>
      </c>
      <c r="F87"/>
      <c r="G87"/>
      <c r="H87"/>
      <c r="I87"/>
      <c r="J87"/>
      <c r="K87"/>
      <c r="L87"/>
      <c r="M87"/>
      <c r="N87"/>
      <c r="O87"/>
      <c r="P87"/>
      <c r="Q87"/>
      <c r="R87"/>
      <c r="S87"/>
      <c r="T87"/>
      <c r="U87"/>
      <c r="V87"/>
      <c r="W87"/>
      <c r="X87"/>
      <c r="Y87"/>
      <c r="Z87"/>
      <c r="AA87"/>
      <c r="AB87"/>
      <c r="AC87"/>
    </row>
    <row r="88" spans="1:29" ht="45" customHeight="1" x14ac:dyDescent="0.25">
      <c r="A88" s="661" t="s">
        <v>428</v>
      </c>
      <c r="B88" s="661"/>
      <c r="C88" s="661"/>
      <c r="D88" s="661"/>
      <c r="E88" s="661"/>
      <c r="F88"/>
      <c r="G88"/>
      <c r="H88"/>
      <c r="I88"/>
      <c r="J88"/>
      <c r="K88"/>
      <c r="L88"/>
      <c r="M88"/>
      <c r="N88"/>
      <c r="O88"/>
      <c r="P88"/>
      <c r="Q88"/>
      <c r="R88"/>
      <c r="S88"/>
      <c r="T88"/>
      <c r="U88"/>
      <c r="V88"/>
      <c r="W88"/>
      <c r="X88"/>
      <c r="Y88"/>
      <c r="Z88"/>
      <c r="AA88"/>
      <c r="AB88"/>
      <c r="AC88"/>
    </row>
    <row r="89" spans="1:29" x14ac:dyDescent="0.25">
      <c r="A89" s="188"/>
      <c r="B89"/>
      <c r="C89"/>
      <c r="D89"/>
      <c r="E89"/>
      <c r="F89"/>
      <c r="G89"/>
      <c r="H89"/>
      <c r="I89"/>
      <c r="J89"/>
      <c r="K89"/>
      <c r="L89"/>
      <c r="M89"/>
      <c r="N89"/>
      <c r="O89"/>
      <c r="P89"/>
      <c r="Q89"/>
      <c r="R89"/>
      <c r="S89"/>
      <c r="T89"/>
      <c r="U89"/>
      <c r="V89"/>
      <c r="W89"/>
      <c r="X89"/>
      <c r="Y89"/>
      <c r="Z89"/>
      <c r="AA89"/>
      <c r="AB89"/>
      <c r="AC89"/>
    </row>
    <row r="90" spans="1:29" x14ac:dyDescent="0.25">
      <c r="A90"/>
      <c r="B90"/>
      <c r="C90"/>
      <c r="D90"/>
      <c r="E90"/>
      <c r="F90"/>
      <c r="G90"/>
      <c r="H90"/>
      <c r="I90"/>
      <c r="J90"/>
      <c r="K90"/>
      <c r="L90"/>
      <c r="M90"/>
      <c r="N90"/>
      <c r="O90"/>
      <c r="P90"/>
      <c r="Q90"/>
      <c r="R90"/>
      <c r="S90"/>
      <c r="T90"/>
      <c r="U90"/>
      <c r="V90"/>
      <c r="W90"/>
      <c r="X90"/>
      <c r="Y90"/>
      <c r="Z90"/>
      <c r="AA90"/>
      <c r="AB90"/>
      <c r="AC90"/>
    </row>
    <row r="91" spans="1:29" x14ac:dyDescent="0.25">
      <c r="A91" s="3" t="s">
        <v>429</v>
      </c>
      <c r="B91"/>
      <c r="C91"/>
      <c r="D91"/>
      <c r="E91"/>
      <c r="F91"/>
      <c r="G91"/>
      <c r="H91"/>
      <c r="I91"/>
      <c r="J91"/>
      <c r="K91"/>
      <c r="L91"/>
      <c r="M91"/>
      <c r="N91"/>
      <c r="O91"/>
      <c r="P91"/>
      <c r="Q91"/>
      <c r="R91"/>
      <c r="S91"/>
      <c r="T91"/>
      <c r="U91"/>
      <c r="V91"/>
      <c r="W91"/>
      <c r="X91"/>
      <c r="Y91"/>
      <c r="Z91"/>
      <c r="AA91"/>
      <c r="AB91"/>
      <c r="AC91"/>
    </row>
    <row r="92" spans="1:29" x14ac:dyDescent="0.25">
      <c r="A92" s="659" t="s">
        <v>61</v>
      </c>
      <c r="B92" s="690">
        <v>2021</v>
      </c>
      <c r="C92" s="691"/>
      <c r="D92" s="691"/>
      <c r="E92" s="691"/>
      <c r="F92" s="691"/>
      <c r="G92" s="691"/>
      <c r="H92" s="691"/>
      <c r="I92" s="691"/>
      <c r="J92" s="691"/>
      <c r="K92" s="691"/>
      <c r="L92" s="679">
        <v>2022</v>
      </c>
      <c r="M92" s="679"/>
      <c r="N92" s="679"/>
      <c r="O92" s="679"/>
      <c r="P92" s="679"/>
      <c r="Q92" s="679"/>
      <c r="R92" s="679"/>
      <c r="S92" s="679"/>
      <c r="T92" s="679"/>
      <c r="U92" s="679"/>
      <c r="V92"/>
      <c r="W92"/>
      <c r="X92"/>
      <c r="Y92"/>
      <c r="Z92"/>
      <c r="AA92"/>
      <c r="AB92"/>
      <c r="AC92"/>
    </row>
    <row r="93" spans="1:29" ht="73.5" customHeight="1" x14ac:dyDescent="0.25">
      <c r="A93" s="659"/>
      <c r="B93" s="90" t="s">
        <v>430</v>
      </c>
      <c r="C93" s="91" t="s">
        <v>431</v>
      </c>
      <c r="D93" s="91" t="s">
        <v>432</v>
      </c>
      <c r="E93" s="91" t="s">
        <v>433</v>
      </c>
      <c r="F93" s="91" t="s">
        <v>434</v>
      </c>
      <c r="G93" s="91" t="s">
        <v>435</v>
      </c>
      <c r="H93" s="91" t="s">
        <v>436</v>
      </c>
      <c r="I93" s="91" t="s">
        <v>437</v>
      </c>
      <c r="J93" s="91" t="s">
        <v>438</v>
      </c>
      <c r="K93" s="92" t="s">
        <v>439</v>
      </c>
      <c r="L93" s="87" t="s">
        <v>430</v>
      </c>
      <c r="M93" s="88" t="s">
        <v>431</v>
      </c>
      <c r="N93" s="88" t="s">
        <v>432</v>
      </c>
      <c r="O93" s="88" t="s">
        <v>433</v>
      </c>
      <c r="P93" s="88" t="s">
        <v>434</v>
      </c>
      <c r="Q93" s="88" t="s">
        <v>435</v>
      </c>
      <c r="R93" s="88" t="s">
        <v>436</v>
      </c>
      <c r="S93" s="88" t="s">
        <v>437</v>
      </c>
      <c r="T93" s="88" t="s">
        <v>438</v>
      </c>
      <c r="U93" s="88" t="s">
        <v>439</v>
      </c>
      <c r="V93"/>
      <c r="W93"/>
      <c r="X93"/>
      <c r="Y93"/>
      <c r="Z93"/>
      <c r="AA93"/>
      <c r="AB93"/>
      <c r="AC93"/>
    </row>
    <row r="94" spans="1:29" x14ac:dyDescent="0.25">
      <c r="A94" s="53">
        <v>1</v>
      </c>
      <c r="B94" s="185" t="str">
        <f>IFERROR((B150/B137),"NA")</f>
        <v>NA</v>
      </c>
      <c r="C94" s="7" t="str">
        <f>IFERROR((D150/D137),"NA")</f>
        <v>NA</v>
      </c>
      <c r="D94" s="7" t="str">
        <f>IFERROR((F150/F137),"NA")</f>
        <v>NA</v>
      </c>
      <c r="E94" s="7" t="str">
        <f t="shared" ref="E94:E98" si="32">IFERROR((H150/H137),"NA")</f>
        <v>NA</v>
      </c>
      <c r="F94" s="7" t="str">
        <f>IFERROR((J150/J137),"NA")</f>
        <v>NA</v>
      </c>
      <c r="G94" s="7" t="str">
        <f t="shared" ref="G94:G101" si="33">IFERROR((L150/L137),"NA")</f>
        <v>NA</v>
      </c>
      <c r="H94" s="7" t="str">
        <f t="shared" ref="H94:H101" si="34">IFERROR((N150/N137),"NA")</f>
        <v>NA</v>
      </c>
      <c r="I94" s="7" t="str">
        <f t="shared" ref="I94:I101" si="35">IFERROR((P150/P137),"NA")</f>
        <v>NA</v>
      </c>
      <c r="J94" s="7" t="str">
        <f t="shared" ref="J94:J101" si="36">IFERROR((R150/R137),"NA")</f>
        <v>NA</v>
      </c>
      <c r="K94" s="96" t="str">
        <f>IFERROR((T150/T137),"NA")</f>
        <v>NA</v>
      </c>
      <c r="L94" s="185" t="str">
        <f>IFERROR((C150/C137),"NA")</f>
        <v>NA</v>
      </c>
      <c r="M94" s="7" t="str">
        <f>IFERROR((E150/E137),"NA")</f>
        <v>NA</v>
      </c>
      <c r="N94" s="7" t="str">
        <f>IFERROR((G150/G137),"NA")</f>
        <v>NA</v>
      </c>
      <c r="O94" s="7" t="str">
        <f>IFERROR((I150/I137),"NA")</f>
        <v>NA</v>
      </c>
      <c r="P94" s="7" t="str">
        <f>IFERROR((K150/K137),"NA")</f>
        <v>NA</v>
      </c>
      <c r="Q94" s="7" t="str">
        <f t="shared" ref="Q94:Q101" si="37">IFERROR((M150/M137),"NA")</f>
        <v>NA</v>
      </c>
      <c r="R94" s="7" t="str">
        <f t="shared" ref="R94:R101" si="38">IFERROR((O150/O137),"NA")</f>
        <v>NA</v>
      </c>
      <c r="S94" s="7" t="str">
        <f t="shared" ref="S94:S101" si="39">IFERROR((Q150/Q137),"NA")</f>
        <v>NA</v>
      </c>
      <c r="T94" s="7" t="str">
        <f>IFERROR((S150/S137),"NA")</f>
        <v>NA</v>
      </c>
      <c r="U94" s="7" t="str">
        <f>IFERROR((U150/U137),"NA")</f>
        <v>NA</v>
      </c>
      <c r="V94"/>
      <c r="W94"/>
      <c r="X94"/>
      <c r="Y94"/>
      <c r="Z94"/>
      <c r="AA94"/>
      <c r="AB94"/>
      <c r="AC94"/>
    </row>
    <row r="95" spans="1:29" x14ac:dyDescent="0.25">
      <c r="A95" s="53">
        <v>2</v>
      </c>
      <c r="B95" s="185" t="str">
        <f>IFERROR((B151/B138),"NA")</f>
        <v>NA</v>
      </c>
      <c r="C95" s="7" t="str">
        <f>IFERROR((D151/D138),"NA")</f>
        <v>NA</v>
      </c>
      <c r="D95" s="7" t="str">
        <f>IFERROR((F151/F138),"NA")</f>
        <v>NA</v>
      </c>
      <c r="E95" s="7" t="str">
        <f t="shared" si="32"/>
        <v>NA</v>
      </c>
      <c r="F95" s="7" t="str">
        <f t="shared" ref="F95:F101" si="40">IFERROR((J151/J138),"NA")</f>
        <v>NA</v>
      </c>
      <c r="G95" s="7" t="str">
        <f t="shared" si="33"/>
        <v>NA</v>
      </c>
      <c r="H95" s="7" t="str">
        <f t="shared" si="34"/>
        <v>NA</v>
      </c>
      <c r="I95" s="7" t="str">
        <f t="shared" si="35"/>
        <v>NA</v>
      </c>
      <c r="J95" s="7" t="str">
        <f t="shared" si="36"/>
        <v>NA</v>
      </c>
      <c r="K95" s="96" t="str">
        <f t="shared" ref="K95:K101" si="41">IFERROR((T151/T138),"NA")</f>
        <v>NA</v>
      </c>
      <c r="L95" s="185" t="str">
        <f>IFERROR((C151/C138),"NA")</f>
        <v>NA</v>
      </c>
      <c r="M95" s="7" t="str">
        <f>IFERROR((E151/E138),"NA")</f>
        <v>NA</v>
      </c>
      <c r="N95" s="7" t="str">
        <f>IFERROR((G151/G138),"NA")</f>
        <v>NA</v>
      </c>
      <c r="O95" s="7" t="str">
        <f>IFERROR((I151/I138),"NA")</f>
        <v>NA</v>
      </c>
      <c r="P95" s="7" t="str">
        <f t="shared" ref="P95:P101" si="42">IFERROR((K151/K138),"NA")</f>
        <v>NA</v>
      </c>
      <c r="Q95" s="7" t="str">
        <f t="shared" si="37"/>
        <v>NA</v>
      </c>
      <c r="R95" s="7" t="str">
        <f t="shared" si="38"/>
        <v>NA</v>
      </c>
      <c r="S95" s="7" t="str">
        <f t="shared" si="39"/>
        <v>NA</v>
      </c>
      <c r="T95" s="7" t="str">
        <f t="shared" ref="T95:T101" si="43">IFERROR((S151/S138),"NA")</f>
        <v>NA</v>
      </c>
      <c r="U95" s="7" t="str">
        <f t="shared" ref="U95:U101" si="44">IFERROR((U151/U138),"NA")</f>
        <v>NA</v>
      </c>
      <c r="V95"/>
      <c r="W95"/>
      <c r="X95"/>
      <c r="Y95"/>
      <c r="Z95"/>
      <c r="AA95"/>
      <c r="AB95"/>
      <c r="AC95"/>
    </row>
    <row r="96" spans="1:29" x14ac:dyDescent="0.25">
      <c r="A96" s="53">
        <v>3</v>
      </c>
      <c r="B96" s="185" t="str">
        <f>IFERROR((B152/B139),"NA")</f>
        <v>NA</v>
      </c>
      <c r="C96" s="7" t="str">
        <f>IFERROR((D152/D139),"NA")</f>
        <v>NA</v>
      </c>
      <c r="D96" s="7" t="str">
        <f>IFERROR((F152/F139),"NA")</f>
        <v>NA</v>
      </c>
      <c r="E96" s="7" t="str">
        <f t="shared" si="32"/>
        <v>NA</v>
      </c>
      <c r="F96" s="7" t="str">
        <f t="shared" si="40"/>
        <v>NA</v>
      </c>
      <c r="G96" s="7" t="str">
        <f t="shared" si="33"/>
        <v>NA</v>
      </c>
      <c r="H96" s="7" t="str">
        <f t="shared" si="34"/>
        <v>NA</v>
      </c>
      <c r="I96" s="7" t="str">
        <f t="shared" si="35"/>
        <v>NA</v>
      </c>
      <c r="J96" s="7" t="str">
        <f t="shared" si="36"/>
        <v>NA</v>
      </c>
      <c r="K96" s="96" t="str">
        <f t="shared" si="41"/>
        <v>NA</v>
      </c>
      <c r="L96" s="185" t="str">
        <f>IFERROR((C152/C139),"NA")</f>
        <v>NA</v>
      </c>
      <c r="M96" s="7" t="str">
        <f>IFERROR((E152/E139),"NA")</f>
        <v>NA</v>
      </c>
      <c r="N96" s="7" t="str">
        <f>IFERROR((G152/G139),"NA")</f>
        <v>NA</v>
      </c>
      <c r="O96" s="7" t="str">
        <f>IFERROR((I152/I139),"NA")</f>
        <v>NA</v>
      </c>
      <c r="P96" s="7" t="str">
        <f t="shared" si="42"/>
        <v>NA</v>
      </c>
      <c r="Q96" s="7" t="str">
        <f t="shared" si="37"/>
        <v>NA</v>
      </c>
      <c r="R96" s="7" t="str">
        <f t="shared" si="38"/>
        <v>NA</v>
      </c>
      <c r="S96" s="7" t="str">
        <f t="shared" si="39"/>
        <v>NA</v>
      </c>
      <c r="T96" s="7" t="str">
        <f t="shared" si="43"/>
        <v>NA</v>
      </c>
      <c r="U96" s="7" t="str">
        <f t="shared" si="44"/>
        <v>NA</v>
      </c>
      <c r="V96"/>
      <c r="W96"/>
      <c r="X96"/>
      <c r="Y96"/>
      <c r="Z96"/>
      <c r="AA96"/>
      <c r="AB96"/>
      <c r="AC96"/>
    </row>
    <row r="97" spans="1:29" x14ac:dyDescent="0.25">
      <c r="A97" s="53">
        <v>4</v>
      </c>
      <c r="B97" s="185" t="str">
        <f>IFERROR((B153/B140),"NA")</f>
        <v>NA</v>
      </c>
      <c r="C97" s="7" t="str">
        <f>IFERROR((D153/D140),"NA")</f>
        <v>NA</v>
      </c>
      <c r="D97" s="7" t="str">
        <f>IFERROR((F153/F140),"NA")</f>
        <v>NA</v>
      </c>
      <c r="E97" s="7" t="str">
        <f t="shared" si="32"/>
        <v>NA</v>
      </c>
      <c r="F97" s="7" t="str">
        <f t="shared" si="40"/>
        <v>NA</v>
      </c>
      <c r="G97" s="7" t="str">
        <f t="shared" si="33"/>
        <v>NA</v>
      </c>
      <c r="H97" s="7" t="str">
        <f t="shared" si="34"/>
        <v>NA</v>
      </c>
      <c r="I97" s="7" t="str">
        <f t="shared" si="35"/>
        <v>NA</v>
      </c>
      <c r="J97" s="7" t="str">
        <f t="shared" si="36"/>
        <v>NA</v>
      </c>
      <c r="K97" s="96" t="str">
        <f t="shared" si="41"/>
        <v>NA</v>
      </c>
      <c r="L97" s="185" t="str">
        <f>IFERROR((C153/C140),"NA")</f>
        <v>NA</v>
      </c>
      <c r="M97" s="7" t="str">
        <f>IFERROR((E153/E140),"NA")</f>
        <v>NA</v>
      </c>
      <c r="N97" s="7" t="str">
        <f>IFERROR((G153/G140),"NA")</f>
        <v>NA</v>
      </c>
      <c r="O97" s="7" t="str">
        <f>IFERROR((I153/I140),"NA")</f>
        <v>NA</v>
      </c>
      <c r="P97" s="7" t="str">
        <f t="shared" si="42"/>
        <v>NA</v>
      </c>
      <c r="Q97" s="7" t="str">
        <f t="shared" si="37"/>
        <v>NA</v>
      </c>
      <c r="R97" s="7" t="str">
        <f t="shared" si="38"/>
        <v>NA</v>
      </c>
      <c r="S97" s="7" t="str">
        <f t="shared" si="39"/>
        <v>NA</v>
      </c>
      <c r="T97" s="7" t="str">
        <f t="shared" si="43"/>
        <v>NA</v>
      </c>
      <c r="U97" s="7" t="str">
        <f t="shared" si="44"/>
        <v>NA</v>
      </c>
      <c r="V97"/>
      <c r="W97"/>
      <c r="X97"/>
      <c r="Y97"/>
      <c r="Z97"/>
      <c r="AA97"/>
      <c r="AB97"/>
      <c r="AC97"/>
    </row>
    <row r="98" spans="1:29" x14ac:dyDescent="0.25">
      <c r="A98" s="53">
        <v>5</v>
      </c>
      <c r="B98" s="185" t="str">
        <f>IFERROR((B154/B141),"NA")</f>
        <v>NA</v>
      </c>
      <c r="C98" s="7" t="str">
        <f>IFERROR((D154/D141),"NA")</f>
        <v>NA</v>
      </c>
      <c r="D98" s="7" t="str">
        <f>IFERROR((F154/F141),"NA")</f>
        <v>NA</v>
      </c>
      <c r="E98" s="7" t="str">
        <f t="shared" si="32"/>
        <v>NA</v>
      </c>
      <c r="F98" s="7" t="str">
        <f t="shared" si="40"/>
        <v>NA</v>
      </c>
      <c r="G98" s="7" t="str">
        <f t="shared" si="33"/>
        <v>NA</v>
      </c>
      <c r="H98" s="7" t="str">
        <f t="shared" si="34"/>
        <v>NA</v>
      </c>
      <c r="I98" s="7" t="str">
        <f t="shared" si="35"/>
        <v>NA</v>
      </c>
      <c r="J98" s="7" t="str">
        <f t="shared" si="36"/>
        <v>NA</v>
      </c>
      <c r="K98" s="96" t="str">
        <f t="shared" si="41"/>
        <v>NA</v>
      </c>
      <c r="L98" s="185" t="str">
        <f>IFERROR((C154/C141),"NA")</f>
        <v>NA</v>
      </c>
      <c r="M98" s="7" t="str">
        <f>IFERROR((E154/E141),"NA")</f>
        <v>NA</v>
      </c>
      <c r="N98" s="7" t="str">
        <f>IFERROR((G154/G141),"NA")</f>
        <v>NA</v>
      </c>
      <c r="O98" s="7" t="str">
        <f>IFERROR((I154/I141),"NA")</f>
        <v>NA</v>
      </c>
      <c r="P98" s="7" t="str">
        <f t="shared" si="42"/>
        <v>NA</v>
      </c>
      <c r="Q98" s="7" t="str">
        <f t="shared" si="37"/>
        <v>NA</v>
      </c>
      <c r="R98" s="7" t="str">
        <f t="shared" si="38"/>
        <v>NA</v>
      </c>
      <c r="S98" s="7" t="str">
        <f t="shared" si="39"/>
        <v>NA</v>
      </c>
      <c r="T98" s="7" t="str">
        <f t="shared" si="43"/>
        <v>NA</v>
      </c>
      <c r="U98" s="7" t="str">
        <f t="shared" si="44"/>
        <v>NA</v>
      </c>
      <c r="V98"/>
      <c r="W98"/>
      <c r="X98"/>
      <c r="Y98"/>
      <c r="Z98"/>
      <c r="AA98"/>
      <c r="AB98"/>
      <c r="AC98"/>
    </row>
    <row r="99" spans="1:29" x14ac:dyDescent="0.25">
      <c r="A99" s="53">
        <v>6</v>
      </c>
      <c r="B99" s="185" t="str">
        <f t="shared" ref="B99:B101" si="45">IFERROR((B155/B142),"NA")</f>
        <v>NA</v>
      </c>
      <c r="C99" s="7" t="str">
        <f t="shared" ref="C99:C101" si="46">IFERROR((D155/D142),"NA")</f>
        <v>NA</v>
      </c>
      <c r="D99" s="7" t="str">
        <f t="shared" ref="D99:D101" si="47">IFERROR((F155/F142),"NA")</f>
        <v>NA</v>
      </c>
      <c r="E99" s="7" t="str">
        <f t="shared" ref="E99:E101" si="48">IFERROR((H155/H142),"NA")</f>
        <v>NA</v>
      </c>
      <c r="F99" s="7" t="str">
        <f t="shared" si="40"/>
        <v>NA</v>
      </c>
      <c r="G99" s="7" t="str">
        <f t="shared" si="33"/>
        <v>NA</v>
      </c>
      <c r="H99" s="7" t="str">
        <f t="shared" si="34"/>
        <v>NA</v>
      </c>
      <c r="I99" s="7" t="str">
        <f t="shared" si="35"/>
        <v>NA</v>
      </c>
      <c r="J99" s="7" t="str">
        <f t="shared" si="36"/>
        <v>NA</v>
      </c>
      <c r="K99" s="96" t="str">
        <f t="shared" si="41"/>
        <v>NA</v>
      </c>
      <c r="L99" s="185" t="str">
        <f t="shared" ref="L99:L101" si="49">IFERROR((C155/C142),"NA")</f>
        <v>NA</v>
      </c>
      <c r="M99" s="7" t="str">
        <f t="shared" ref="M99:M100" si="50">IFERROR((E155/E142),"NA")</f>
        <v>NA</v>
      </c>
      <c r="N99" s="7" t="str">
        <f t="shared" ref="N99:N101" si="51">IFERROR((G155/G142),"NA")</f>
        <v>NA</v>
      </c>
      <c r="O99" s="7" t="str">
        <f t="shared" ref="O99:O101" si="52">IFERROR((I155/I142),"NA")</f>
        <v>NA</v>
      </c>
      <c r="P99" s="7" t="str">
        <f t="shared" si="42"/>
        <v>NA</v>
      </c>
      <c r="Q99" s="7" t="str">
        <f t="shared" si="37"/>
        <v>NA</v>
      </c>
      <c r="R99" s="7" t="str">
        <f t="shared" si="38"/>
        <v>NA</v>
      </c>
      <c r="S99" s="7" t="str">
        <f t="shared" si="39"/>
        <v>NA</v>
      </c>
      <c r="T99" s="7" t="str">
        <f t="shared" si="43"/>
        <v>NA</v>
      </c>
      <c r="U99" s="7" t="str">
        <f t="shared" si="44"/>
        <v>NA</v>
      </c>
      <c r="V99"/>
      <c r="W99"/>
      <c r="X99"/>
      <c r="Y99"/>
      <c r="Z99"/>
      <c r="AA99"/>
      <c r="AB99"/>
      <c r="AC99"/>
    </row>
    <row r="100" spans="1:29" x14ac:dyDescent="0.25">
      <c r="A100" s="53">
        <v>7</v>
      </c>
      <c r="B100" s="185" t="str">
        <f t="shared" si="45"/>
        <v>NA</v>
      </c>
      <c r="C100" s="7" t="str">
        <f t="shared" si="46"/>
        <v>NA</v>
      </c>
      <c r="D100" s="7" t="str">
        <f t="shared" si="47"/>
        <v>NA</v>
      </c>
      <c r="E100" s="7" t="str">
        <f t="shared" si="48"/>
        <v>NA</v>
      </c>
      <c r="F100" s="7" t="str">
        <f>IFERROR((J156/J143),"NA")</f>
        <v>NA</v>
      </c>
      <c r="G100" s="7" t="str">
        <f t="shared" si="33"/>
        <v>NA</v>
      </c>
      <c r="H100" s="7" t="str">
        <f t="shared" si="34"/>
        <v>NA</v>
      </c>
      <c r="I100" s="7" t="str">
        <f t="shared" si="35"/>
        <v>NA</v>
      </c>
      <c r="J100" s="7" t="str">
        <f t="shared" si="36"/>
        <v>NA</v>
      </c>
      <c r="K100" s="96" t="str">
        <f t="shared" si="41"/>
        <v>NA</v>
      </c>
      <c r="L100" s="185" t="str">
        <f t="shared" si="49"/>
        <v>NA</v>
      </c>
      <c r="M100" s="7" t="str">
        <f t="shared" si="50"/>
        <v>NA</v>
      </c>
      <c r="N100" s="7" t="str">
        <f t="shared" si="51"/>
        <v>NA</v>
      </c>
      <c r="O100" s="7" t="str">
        <f t="shared" si="52"/>
        <v>NA</v>
      </c>
      <c r="P100" s="7" t="str">
        <f t="shared" si="42"/>
        <v>NA</v>
      </c>
      <c r="Q100" s="7" t="str">
        <f t="shared" si="37"/>
        <v>NA</v>
      </c>
      <c r="R100" s="7" t="str">
        <f t="shared" si="38"/>
        <v>NA</v>
      </c>
      <c r="S100" s="7" t="str">
        <f t="shared" si="39"/>
        <v>NA</v>
      </c>
      <c r="T100" s="7" t="str">
        <f t="shared" si="43"/>
        <v>NA</v>
      </c>
      <c r="U100" s="7" t="str">
        <f t="shared" si="44"/>
        <v>NA</v>
      </c>
      <c r="V100"/>
      <c r="W100"/>
      <c r="X100"/>
      <c r="Y100"/>
      <c r="Z100"/>
      <c r="AA100"/>
      <c r="AB100"/>
      <c r="AC100"/>
    </row>
    <row r="101" spans="1:29" x14ac:dyDescent="0.25">
      <c r="A101" s="53">
        <v>8</v>
      </c>
      <c r="B101" s="185" t="str">
        <f t="shared" si="45"/>
        <v>NA</v>
      </c>
      <c r="C101" s="7" t="str">
        <f t="shared" si="46"/>
        <v>NA</v>
      </c>
      <c r="D101" s="7" t="str">
        <f t="shared" si="47"/>
        <v>NA</v>
      </c>
      <c r="E101" s="7" t="str">
        <f t="shared" si="48"/>
        <v>NA</v>
      </c>
      <c r="F101" s="7" t="str">
        <f t="shared" si="40"/>
        <v>NA</v>
      </c>
      <c r="G101" s="7" t="str">
        <f t="shared" si="33"/>
        <v>NA</v>
      </c>
      <c r="H101" s="7" t="str">
        <f t="shared" si="34"/>
        <v>NA</v>
      </c>
      <c r="I101" s="7" t="str">
        <f t="shared" si="35"/>
        <v>NA</v>
      </c>
      <c r="J101" s="7" t="str">
        <f t="shared" si="36"/>
        <v>NA</v>
      </c>
      <c r="K101" s="96" t="str">
        <f t="shared" si="41"/>
        <v>NA</v>
      </c>
      <c r="L101" s="185" t="str">
        <f t="shared" si="49"/>
        <v>NA</v>
      </c>
      <c r="M101" s="7" t="str">
        <f>IFERROR((E157/E144),"NA")</f>
        <v>NA</v>
      </c>
      <c r="N101" s="7" t="str">
        <f t="shared" si="51"/>
        <v>NA</v>
      </c>
      <c r="O101" s="7" t="str">
        <f t="shared" si="52"/>
        <v>NA</v>
      </c>
      <c r="P101" s="7" t="str">
        <f t="shared" si="42"/>
        <v>NA</v>
      </c>
      <c r="Q101" s="7" t="str">
        <f t="shared" si="37"/>
        <v>NA</v>
      </c>
      <c r="R101" s="7" t="str">
        <f t="shared" si="38"/>
        <v>NA</v>
      </c>
      <c r="S101" s="7" t="str">
        <f t="shared" si="39"/>
        <v>NA</v>
      </c>
      <c r="T101" s="7" t="str">
        <f t="shared" si="43"/>
        <v>NA</v>
      </c>
      <c r="U101" s="7" t="str">
        <f t="shared" si="44"/>
        <v>NA</v>
      </c>
      <c r="V101"/>
      <c r="W101"/>
      <c r="X101"/>
      <c r="Y101"/>
      <c r="Z101"/>
      <c r="AA101"/>
      <c r="AB101"/>
      <c r="AC101"/>
    </row>
    <row r="102" spans="1:29" x14ac:dyDescent="0.25">
      <c r="A102" s="265" t="s">
        <v>440</v>
      </c>
      <c r="B102" s="235" t="str">
        <f>IFERROR((AVERAGE(B94,B98,B101)),"NA")</f>
        <v>NA</v>
      </c>
      <c r="C102" s="236" t="str">
        <f t="shared" ref="C102:U102" si="53">IFERROR((AVERAGE(C94,C98,C101)),"NA")</f>
        <v>NA</v>
      </c>
      <c r="D102" s="236" t="str">
        <f t="shared" si="53"/>
        <v>NA</v>
      </c>
      <c r="E102" s="236" t="str">
        <f t="shared" si="53"/>
        <v>NA</v>
      </c>
      <c r="F102" s="236" t="str">
        <f t="shared" ref="F102" si="54">IFERROR((AVERAGE(F94,F98,F101)),"NA")</f>
        <v>NA</v>
      </c>
      <c r="G102" s="236" t="str">
        <f t="shared" si="53"/>
        <v>NA</v>
      </c>
      <c r="H102" s="236" t="str">
        <f t="shared" si="53"/>
        <v>NA</v>
      </c>
      <c r="I102" s="236" t="str">
        <f t="shared" si="53"/>
        <v>NA</v>
      </c>
      <c r="J102" s="236" t="str">
        <f t="shared" si="53"/>
        <v>NA</v>
      </c>
      <c r="K102" s="237" t="str">
        <f t="shared" si="53"/>
        <v>NA</v>
      </c>
      <c r="L102" s="235" t="str">
        <f t="shared" si="53"/>
        <v>NA</v>
      </c>
      <c r="M102" s="236" t="str">
        <f t="shared" si="53"/>
        <v>NA</v>
      </c>
      <c r="N102" s="236" t="str">
        <f t="shared" si="53"/>
        <v>NA</v>
      </c>
      <c r="O102" s="236" t="str">
        <f t="shared" si="53"/>
        <v>NA</v>
      </c>
      <c r="P102" s="236" t="str">
        <f>IFERROR((AVERAGE(P94,P98,P101)),"NA")</f>
        <v>NA</v>
      </c>
      <c r="Q102" s="236" t="str">
        <f t="shared" si="53"/>
        <v>NA</v>
      </c>
      <c r="R102" s="236" t="str">
        <f t="shared" si="53"/>
        <v>NA</v>
      </c>
      <c r="S102" s="236" t="str">
        <f t="shared" si="53"/>
        <v>NA</v>
      </c>
      <c r="T102" s="236" t="str">
        <f t="shared" si="53"/>
        <v>NA</v>
      </c>
      <c r="U102" s="236" t="str">
        <f t="shared" si="53"/>
        <v>NA</v>
      </c>
      <c r="V102"/>
      <c r="W102"/>
      <c r="X102"/>
      <c r="Y102"/>
      <c r="Z102"/>
      <c r="AA102"/>
      <c r="AB102"/>
      <c r="AC102"/>
    </row>
    <row r="103" spans="1:29" x14ac:dyDescent="0.25">
      <c r="A103" s="266" t="s">
        <v>441</v>
      </c>
      <c r="B103" s="238" t="str">
        <f>IFERROR((AVERAGE(B95,B99)),"NA")</f>
        <v>NA</v>
      </c>
      <c r="C103" s="239" t="str">
        <f t="shared" ref="C103:U103" si="55">IFERROR((AVERAGE(C95,C99)),"NA")</f>
        <v>NA</v>
      </c>
      <c r="D103" s="239" t="str">
        <f t="shared" si="55"/>
        <v>NA</v>
      </c>
      <c r="E103" s="239" t="str">
        <f t="shared" si="55"/>
        <v>NA</v>
      </c>
      <c r="F103" s="239" t="str">
        <f t="shared" ref="F103" si="56">IFERROR((AVERAGE(F95,F99)),"NA")</f>
        <v>NA</v>
      </c>
      <c r="G103" s="239" t="str">
        <f t="shared" si="55"/>
        <v>NA</v>
      </c>
      <c r="H103" s="239" t="str">
        <f t="shared" si="55"/>
        <v>NA</v>
      </c>
      <c r="I103" s="239" t="str">
        <f t="shared" si="55"/>
        <v>NA</v>
      </c>
      <c r="J103" s="239" t="str">
        <f t="shared" si="55"/>
        <v>NA</v>
      </c>
      <c r="K103" s="240" t="str">
        <f t="shared" si="55"/>
        <v>NA</v>
      </c>
      <c r="L103" s="238" t="str">
        <f t="shared" si="55"/>
        <v>NA</v>
      </c>
      <c r="M103" s="239" t="str">
        <f t="shared" si="55"/>
        <v>NA</v>
      </c>
      <c r="N103" s="239" t="str">
        <f t="shared" si="55"/>
        <v>NA</v>
      </c>
      <c r="O103" s="239" t="str">
        <f t="shared" si="55"/>
        <v>NA</v>
      </c>
      <c r="P103" s="239" t="str">
        <f>IFERROR((AVERAGE(P95,P99)),"NA")</f>
        <v>NA</v>
      </c>
      <c r="Q103" s="239" t="str">
        <f t="shared" si="55"/>
        <v>NA</v>
      </c>
      <c r="R103" s="239" t="str">
        <f t="shared" si="55"/>
        <v>NA</v>
      </c>
      <c r="S103" s="239" t="str">
        <f t="shared" si="55"/>
        <v>NA</v>
      </c>
      <c r="T103" s="239" t="str">
        <f t="shared" si="55"/>
        <v>NA</v>
      </c>
      <c r="U103" s="239" t="str">
        <f t="shared" si="55"/>
        <v>NA</v>
      </c>
      <c r="V103"/>
      <c r="W103"/>
      <c r="X103"/>
      <c r="Y103"/>
      <c r="Z103"/>
      <c r="AA103"/>
      <c r="AB103"/>
      <c r="AC103"/>
    </row>
    <row r="104" spans="1:29" x14ac:dyDescent="0.25">
      <c r="A104" s="309" t="s">
        <v>442</v>
      </c>
      <c r="B104" s="238" t="str">
        <f>IFERROR((AVERAGE(B96,B97,B100)),"NA")</f>
        <v>NA</v>
      </c>
      <c r="C104" s="239" t="str">
        <f t="shared" ref="C104:U104" si="57">IFERROR((AVERAGE(C96,C97,C100)),"NA")</f>
        <v>NA</v>
      </c>
      <c r="D104" s="239" t="str">
        <f t="shared" si="57"/>
        <v>NA</v>
      </c>
      <c r="E104" s="239" t="str">
        <f t="shared" si="57"/>
        <v>NA</v>
      </c>
      <c r="F104" s="239" t="str">
        <f t="shared" ref="F104" si="58">IFERROR((AVERAGE(F96,F97,F100)),"NA")</f>
        <v>NA</v>
      </c>
      <c r="G104" s="239" t="str">
        <f t="shared" si="57"/>
        <v>NA</v>
      </c>
      <c r="H104" s="239" t="str">
        <f t="shared" si="57"/>
        <v>NA</v>
      </c>
      <c r="I104" s="239" t="str">
        <f t="shared" si="57"/>
        <v>NA</v>
      </c>
      <c r="J104" s="239" t="str">
        <f t="shared" si="57"/>
        <v>NA</v>
      </c>
      <c r="K104" s="308" t="str">
        <f t="shared" si="57"/>
        <v>NA</v>
      </c>
      <c r="L104" s="238" t="str">
        <f t="shared" si="57"/>
        <v>NA</v>
      </c>
      <c r="M104" s="239" t="str">
        <f t="shared" si="57"/>
        <v>NA</v>
      </c>
      <c r="N104" s="239" t="str">
        <f t="shared" si="57"/>
        <v>NA</v>
      </c>
      <c r="O104" s="239" t="str">
        <f>IFERROR((AVERAGE(O96,O97,O100)),"NA")</f>
        <v>NA</v>
      </c>
      <c r="P104" s="239" t="str">
        <f>IFERROR((AVERAGE(P96,P97,P100)),"NA")</f>
        <v>NA</v>
      </c>
      <c r="Q104" s="239" t="str">
        <f t="shared" si="57"/>
        <v>NA</v>
      </c>
      <c r="R104" s="239" t="str">
        <f t="shared" si="57"/>
        <v>NA</v>
      </c>
      <c r="S104" s="239" t="str">
        <f t="shared" si="57"/>
        <v>NA</v>
      </c>
      <c r="T104" s="239" t="str">
        <f t="shared" si="57"/>
        <v>NA</v>
      </c>
      <c r="U104" s="239" t="str">
        <f t="shared" si="57"/>
        <v>NA</v>
      </c>
      <c r="V104"/>
      <c r="W104"/>
      <c r="X104"/>
      <c r="Y104"/>
      <c r="Z104"/>
      <c r="AA104"/>
      <c r="AB104"/>
      <c r="AC104"/>
    </row>
    <row r="105" spans="1:29" ht="30" x14ac:dyDescent="0.25">
      <c r="A105" s="310" t="s">
        <v>443</v>
      </c>
      <c r="B105" s="307" t="str">
        <f>IFERROR((AVERAGE(B95,B98,B99)),"NA")</f>
        <v>NA</v>
      </c>
      <c r="C105" s="239" t="str">
        <f t="shared" ref="C105:T105" si="59">IFERROR((AVERAGE(C95,C98,C99)),"NA")</f>
        <v>NA</v>
      </c>
      <c r="D105" s="239" t="str">
        <f t="shared" si="59"/>
        <v>NA</v>
      </c>
      <c r="E105" s="239" t="str">
        <f t="shared" si="59"/>
        <v>NA</v>
      </c>
      <c r="F105" s="239" t="str">
        <f t="shared" ref="F105" si="60">IFERROR((AVERAGE(F95,F98,F99)),"NA")</f>
        <v>NA</v>
      </c>
      <c r="G105" s="239" t="str">
        <f t="shared" si="59"/>
        <v>NA</v>
      </c>
      <c r="H105" s="239" t="str">
        <f t="shared" si="59"/>
        <v>NA</v>
      </c>
      <c r="I105" s="239" t="str">
        <f t="shared" si="59"/>
        <v>NA</v>
      </c>
      <c r="J105" s="306" t="str">
        <f t="shared" si="59"/>
        <v>NA</v>
      </c>
      <c r="K105" s="240" t="str">
        <f t="shared" si="59"/>
        <v>NA</v>
      </c>
      <c r="L105" s="307" t="str">
        <f t="shared" si="59"/>
        <v>NA</v>
      </c>
      <c r="M105" s="239" t="str">
        <f t="shared" si="59"/>
        <v>NA</v>
      </c>
      <c r="N105" s="239" t="str">
        <f t="shared" si="59"/>
        <v>NA</v>
      </c>
      <c r="O105" s="239" t="str">
        <f t="shared" si="59"/>
        <v>NA</v>
      </c>
      <c r="P105" s="239" t="str">
        <f>IFERROR((AVERAGE(P95,P98,P99)),"NA")</f>
        <v>NA</v>
      </c>
      <c r="Q105" s="239" t="str">
        <f t="shared" si="59"/>
        <v>NA</v>
      </c>
      <c r="R105" s="239" t="str">
        <f t="shared" si="59"/>
        <v>NA</v>
      </c>
      <c r="S105" s="239" t="str">
        <f t="shared" si="59"/>
        <v>NA</v>
      </c>
      <c r="T105" s="239" t="str">
        <f t="shared" si="59"/>
        <v>NA</v>
      </c>
      <c r="U105" s="239" t="str">
        <f>IFERROR((AVERAGE(U95,U98,U99)),"NA")</f>
        <v>NA</v>
      </c>
      <c r="V105"/>
      <c r="W105"/>
      <c r="X105"/>
      <c r="Y105"/>
      <c r="Z105"/>
      <c r="AA105"/>
      <c r="AB105"/>
      <c r="AC105"/>
    </row>
    <row r="106" spans="1:29" x14ac:dyDescent="0.25">
      <c r="A106"/>
      <c r="B106"/>
      <c r="C106" s="48"/>
      <c r="D106" s="48"/>
      <c r="E106" s="48"/>
      <c r="F106" s="48"/>
      <c r="G106" s="48"/>
      <c r="H106" s="48"/>
      <c r="I106" s="48"/>
      <c r="J106" s="48"/>
      <c r="K106"/>
      <c r="L106"/>
      <c r="M106"/>
      <c r="N106"/>
      <c r="O106"/>
      <c r="P106"/>
      <c r="Q106"/>
      <c r="R106"/>
      <c r="S106"/>
      <c r="T106"/>
      <c r="U106"/>
      <c r="V106"/>
      <c r="W106"/>
      <c r="X106"/>
      <c r="Y106"/>
      <c r="Z106"/>
      <c r="AA106"/>
      <c r="AB106"/>
      <c r="AC106"/>
    </row>
    <row r="107" spans="1:29" x14ac:dyDescent="0.25">
      <c r="A107" s="2"/>
      <c r="B107"/>
      <c r="C107"/>
      <c r="D107"/>
      <c r="E107"/>
      <c r="F107"/>
      <c r="G107"/>
      <c r="H107"/>
      <c r="I107"/>
      <c r="J107"/>
      <c r="K107"/>
      <c r="L107"/>
      <c r="M107"/>
      <c r="N107"/>
      <c r="O107"/>
      <c r="P107"/>
      <c r="Q107"/>
      <c r="R107"/>
      <c r="S107"/>
      <c r="T107"/>
      <c r="U107"/>
      <c r="V107"/>
      <c r="W107"/>
      <c r="X107"/>
      <c r="Y107"/>
      <c r="Z107"/>
      <c r="AA107"/>
      <c r="AB107"/>
      <c r="AC107"/>
    </row>
    <row r="108" spans="1:29" x14ac:dyDescent="0.25">
      <c r="A108" s="4" t="s">
        <v>444</v>
      </c>
      <c r="B108"/>
      <c r="C108"/>
      <c r="D108"/>
      <c r="E108"/>
      <c r="F108"/>
      <c r="G108"/>
      <c r="H108"/>
      <c r="I108"/>
      <c r="J108"/>
      <c r="K108"/>
      <c r="L108"/>
      <c r="M108"/>
      <c r="N108"/>
      <c r="O108"/>
      <c r="P108"/>
      <c r="Q108"/>
      <c r="R108"/>
      <c r="S108"/>
      <c r="T108"/>
      <c r="U108"/>
      <c r="V108"/>
      <c r="W108"/>
      <c r="X108"/>
      <c r="Y108"/>
      <c r="Z108"/>
      <c r="AA108"/>
      <c r="AB108"/>
      <c r="AC108"/>
    </row>
    <row r="109" spans="1:29" x14ac:dyDescent="0.25">
      <c r="A109" s="667" t="s">
        <v>61</v>
      </c>
      <c r="B109" s="198">
        <v>2021</v>
      </c>
      <c r="C109" s="199">
        <v>2022</v>
      </c>
      <c r="D109" s="198">
        <v>2021</v>
      </c>
      <c r="E109" s="199">
        <v>2022</v>
      </c>
      <c r="F109" s="198">
        <v>2021</v>
      </c>
      <c r="G109" s="199">
        <v>2022</v>
      </c>
      <c r="H109" s="198">
        <v>2021</v>
      </c>
      <c r="I109" s="199">
        <v>2022</v>
      </c>
      <c r="J109" s="198">
        <v>2021</v>
      </c>
      <c r="K109" s="199">
        <v>2022</v>
      </c>
      <c r="L109" s="198">
        <v>2021</v>
      </c>
      <c r="M109" s="199">
        <v>2022</v>
      </c>
      <c r="N109" s="198">
        <v>2021</v>
      </c>
      <c r="O109" s="200">
        <v>2022</v>
      </c>
      <c r="P109" s="198">
        <v>2021</v>
      </c>
      <c r="Q109" s="200">
        <v>2022</v>
      </c>
      <c r="R109"/>
      <c r="S109"/>
      <c r="T109"/>
      <c r="U109"/>
      <c r="V109"/>
      <c r="W109"/>
      <c r="X109"/>
      <c r="Y109"/>
      <c r="Z109"/>
      <c r="AA109"/>
      <c r="AB109"/>
      <c r="AC109"/>
    </row>
    <row r="110" spans="1:29" ht="15" customHeight="1" x14ac:dyDescent="0.25">
      <c r="A110" s="667"/>
      <c r="B110" s="650" t="s">
        <v>181</v>
      </c>
      <c r="C110" s="651"/>
      <c r="D110" s="650" t="s">
        <v>198</v>
      </c>
      <c r="E110" s="651"/>
      <c r="F110" s="650" t="s">
        <v>199</v>
      </c>
      <c r="G110" s="651"/>
      <c r="H110" s="650" t="s">
        <v>200</v>
      </c>
      <c r="I110" s="651"/>
      <c r="J110" s="650" t="s">
        <v>201</v>
      </c>
      <c r="K110" s="651"/>
      <c r="L110" s="650" t="s">
        <v>202</v>
      </c>
      <c r="M110" s="651"/>
      <c r="N110" s="650" t="s">
        <v>203</v>
      </c>
      <c r="O110" s="649"/>
      <c r="P110" s="650" t="s">
        <v>197</v>
      </c>
      <c r="Q110" s="649"/>
      <c r="R110"/>
      <c r="S110"/>
      <c r="T110"/>
      <c r="U110"/>
      <c r="V110"/>
      <c r="W110"/>
      <c r="X110"/>
      <c r="Y110"/>
      <c r="Z110"/>
      <c r="AA110"/>
      <c r="AB110"/>
      <c r="AC110"/>
    </row>
    <row r="111" spans="1:29" x14ac:dyDescent="0.25">
      <c r="A111" s="53">
        <v>1</v>
      </c>
      <c r="B111" s="95">
        <f>SUMIFS(TM[[#All],[Member Months]],TM[[#All],[Reporting Year]],2021,TM[[#All],[Insurance Category Code]],A111,TM[[#All],[Large Provider Entity Code]],100)</f>
        <v>0</v>
      </c>
      <c r="C111" s="302">
        <f>SUMIFS(TM[[#All],[Member Months]],TM[[#All],[Reporting Year]],2022,TM[[#All],[Insurance Category Code]],A111,TM[[#All],[Large Provider Entity Code]],100)</f>
        <v>0</v>
      </c>
      <c r="D111" s="95">
        <f>SUMIFS(TM[[#All],[Member Count with Truncated Claims]],TM[[#All],[Reporting Year]],2021,TM[[#All],[Insurance Category Code]],A111,TM[[#All],[Large Provider Entity Code]],100)</f>
        <v>0</v>
      </c>
      <c r="E111" s="302">
        <f>SUMIFS(TM[[#All],[Member Count with Truncated Claims]],TM[[#All],[Reporting Year]],2022,TM[[#All],[Insurance Category Code]],A111,TM[[#All],[Large Provider Entity Code]],100)</f>
        <v>0</v>
      </c>
      <c r="F111" s="166">
        <f>SUMIFS(TM[[#All],[Total Non-Truncated Claims Spending]],TM[[#All],[Reporting Year]],2021,TM[[#All],[Insurance Category Code]],A111,TM[[#All],[Large Provider Entity Code]],100)</f>
        <v>0</v>
      </c>
      <c r="G111" s="167">
        <f>SUMIFS(TM[[#All],[Total Non-Truncated Claims Spending]],TM[[#All],[Reporting Year]],2022,TM[[#All],[Insurance Category Code]],A111,TM[[#All],[Large Provider Entity Code]],100)</f>
        <v>0</v>
      </c>
      <c r="H111" s="166">
        <f>SUMIFS(TM[[#All],[Total Non-Claims Spending]],TM[[#All],[Reporting Year]],2021,TM[[#All],[Insurance Category Code]],A111,TM[[#All],[Large Provider Entity Code]],100)</f>
        <v>0</v>
      </c>
      <c r="I111" s="167">
        <f>SUMIFS(TM[[#All],[Total Non-Claims Spending]],TM[[#All],[Reporting Year]],2022,TM[[#All],[Insurance Category Code]],A111,TM[[#All],[Large Provider Entity Code]],100)</f>
        <v>0</v>
      </c>
      <c r="J111" s="166">
        <f>SUMIFS(TM[[#All],[Total Non-Truncated Claims and Non-Claims Spending]],TM[[#All],[Reporting Year]],2021,TM[[#All],[Insurance Category Code]],A111,TM[[#All],[Large Provider Entity Code]],100)</f>
        <v>0</v>
      </c>
      <c r="K111" s="167">
        <f>SUMIFS(TM[[#All],[Total Non-Truncated Claims and Non-Claims Spending]],TM[[#All],[Reporting Year]],2022,TM[[#All],[Insurance Category Code]],A111,TM[[#All],[Large Provider Entity Code]],100)</f>
        <v>0</v>
      </c>
      <c r="L111" s="166">
        <f>SUMIFS(TM[[#All],[Total Truncated Claims Spending]],TM[[#All],[Reporting Year]],2021,TM[[#All],[Insurance Category Code]],A111,TM[[#All],[Large Provider Entity Code]],100)</f>
        <v>0</v>
      </c>
      <c r="M111" s="167">
        <f>SUMIFS(TM[[#All],[Total Truncated Claims Spending]],TM[[#All],[Reporting Year]],2022,TM[[#All],[Insurance Category Code]],A111,TM[[#All],[Large Provider Entity Code]],100)</f>
        <v>0</v>
      </c>
      <c r="N111" s="166">
        <f>SUMIFS(TM[[#All],[Total Truncated Expenses]],TM[[#All],[Reporting Year]],2021,TM[[#All],[Insurance Category Code]],A111,TM[[#All],[Large Provider Entity Code]],100)</f>
        <v>0</v>
      </c>
      <c r="O111" s="170">
        <f>SUMIFS(TM[[#All],[Total Truncated Expenses]],TM[[#All],[Reporting Year]],2022,TM[[#All],[Insurance Category Code]],A111,TM[[#All],[Large Provider Entity Code]],100)</f>
        <v>0</v>
      </c>
      <c r="P111" s="166">
        <f>SUMIFS(TM[[#All],[Claims Amount Excluded Due to Truncation]],TM[[#All],[Reporting Year]],2021,TM[[#All],[Insurance Category Code]],A111,TM[[#All],[Large Provider Entity Code]],100)</f>
        <v>0</v>
      </c>
      <c r="Q111" s="170">
        <f>SUMIFS(TM[[#All],[Claims Amount Excluded Due to Truncation]],TM[[#All],[Reporting Year]],2022,TM[[#All],[Insurance Category Code]],A111,TM[[#All],[Large Provider Entity Code]],100)</f>
        <v>0</v>
      </c>
      <c r="R111"/>
      <c r="S111"/>
      <c r="T111"/>
      <c r="U111"/>
      <c r="V111"/>
      <c r="W111"/>
      <c r="X111"/>
      <c r="Y111"/>
      <c r="Z111"/>
      <c r="AA111"/>
      <c r="AB111"/>
      <c r="AC111"/>
    </row>
    <row r="112" spans="1:29" x14ac:dyDescent="0.25">
      <c r="A112" s="53">
        <v>2</v>
      </c>
      <c r="B112" s="95">
        <f>SUMIFS(TM[[#All],[Member Months]],TM[[#All],[Reporting Year]],2021,TM[[#All],[Insurance Category Code]],A112,TM[[#All],[Large Provider Entity Code]],100)</f>
        <v>0</v>
      </c>
      <c r="C112" s="302">
        <f>SUMIFS(TM[[#All],[Member Months]],TM[[#All],[Reporting Year]],2022,TM[[#All],[Insurance Category Code]],A112,TM[[#All],[Large Provider Entity Code]],100)</f>
        <v>0</v>
      </c>
      <c r="D112" s="95">
        <f>SUMIFS(TM[[#All],[Member Count with Truncated Claims]],TM[[#All],[Reporting Year]],2021,TM[[#All],[Insurance Category Code]],A112,TM[[#All],[Large Provider Entity Code]],100)</f>
        <v>0</v>
      </c>
      <c r="E112" s="302">
        <f>SUMIFS(TM[[#All],[Member Count with Truncated Claims]],TM[[#All],[Reporting Year]],2022,TM[[#All],[Insurance Category Code]],A112,TM[[#All],[Large Provider Entity Code]],100)</f>
        <v>0</v>
      </c>
      <c r="F112" s="166">
        <f>SUMIFS(TM[[#All],[Total Non-Truncated Claims Spending]],TM[[#All],[Reporting Year]],2021,TM[[#All],[Insurance Category Code]],A112,TM[[#All],[Large Provider Entity Code]],100)</f>
        <v>0</v>
      </c>
      <c r="G112" s="167">
        <f>SUMIFS(TM[[#All],[Total Non-Truncated Claims Spending]],TM[[#All],[Reporting Year]],2022,TM[[#All],[Insurance Category Code]],A112,TM[[#All],[Large Provider Entity Code]],100)</f>
        <v>0</v>
      </c>
      <c r="H112" s="166">
        <f>SUMIFS(TM[[#All],[Total Non-Claims Spending]],TM[[#All],[Reporting Year]],2021,TM[[#All],[Insurance Category Code]],A112,TM[[#All],[Large Provider Entity Code]],100)</f>
        <v>0</v>
      </c>
      <c r="I112" s="167">
        <f>SUMIFS(TM[[#All],[Total Non-Claims Spending]],TM[[#All],[Reporting Year]],2022,TM[[#All],[Insurance Category Code]],A112,TM[[#All],[Large Provider Entity Code]],100)</f>
        <v>0</v>
      </c>
      <c r="J112" s="166">
        <f>SUMIFS(TM[[#All],[Total Non-Truncated Claims and Non-Claims Spending]],TM[[#All],[Reporting Year]],2021,TM[[#All],[Insurance Category Code]],A112,TM[[#All],[Large Provider Entity Code]],100)</f>
        <v>0</v>
      </c>
      <c r="K112" s="167">
        <f>SUMIFS(TM[[#All],[Total Non-Truncated Claims and Non-Claims Spending]],TM[[#All],[Reporting Year]],2022,TM[[#All],[Insurance Category Code]],A112,TM[[#All],[Large Provider Entity Code]],100)</f>
        <v>0</v>
      </c>
      <c r="L112" s="166">
        <f>SUMIFS(TM[[#All],[Total Truncated Claims Spending]],TM[[#All],[Reporting Year]],2021,TM[[#All],[Insurance Category Code]],A112,TM[[#All],[Large Provider Entity Code]],100)</f>
        <v>0</v>
      </c>
      <c r="M112" s="167">
        <f>SUMIFS(TM[[#All],[Total Truncated Claims Spending]],TM[[#All],[Reporting Year]],2022,TM[[#All],[Insurance Category Code]],A112,TM[[#All],[Large Provider Entity Code]],100)</f>
        <v>0</v>
      </c>
      <c r="N112" s="166">
        <f>SUMIFS(TM[[#All],[Total Truncated Expenses]],TM[[#All],[Reporting Year]],2021,TM[[#All],[Insurance Category Code]],A112,TM[[#All],[Large Provider Entity Code]],100)</f>
        <v>0</v>
      </c>
      <c r="O112" s="170">
        <f>SUMIFS(TM[[#All],[Total Truncated Expenses]],TM[[#All],[Reporting Year]],2022,TM[[#All],[Insurance Category Code]],A112,TM[[#All],[Large Provider Entity Code]],100)</f>
        <v>0</v>
      </c>
      <c r="P112" s="166">
        <f>SUMIFS(TM[[#All],[Claims Amount Excluded Due to Truncation]],TM[[#All],[Reporting Year]],2021,TM[[#All],[Insurance Category Code]],A112,TM[[#All],[Large Provider Entity Code]],100)</f>
        <v>0</v>
      </c>
      <c r="Q112" s="170">
        <f>SUMIFS(TM[[#All],[Claims Amount Excluded Due to Truncation]],TM[[#All],[Reporting Year]],2022,TM[[#All],[Insurance Category Code]],A112,TM[[#All],[Large Provider Entity Code]],100)</f>
        <v>0</v>
      </c>
      <c r="R112"/>
      <c r="S112"/>
      <c r="T112"/>
      <c r="U112"/>
      <c r="V112"/>
      <c r="W112"/>
      <c r="X112"/>
      <c r="Y112"/>
      <c r="Z112"/>
      <c r="AA112"/>
      <c r="AB112"/>
      <c r="AC112"/>
    </row>
    <row r="113" spans="1:29" x14ac:dyDescent="0.25">
      <c r="A113" s="53">
        <v>3</v>
      </c>
      <c r="B113" s="95">
        <f>SUMIFS(TM[[#All],[Member Months]],TM[[#All],[Reporting Year]],2021,TM[[#All],[Insurance Category Code]],A113,TM[[#All],[Large Provider Entity Code]],100)</f>
        <v>0</v>
      </c>
      <c r="C113" s="302">
        <f>SUMIFS(TM[[#All],[Member Months]],TM[[#All],[Reporting Year]],2022,TM[[#All],[Insurance Category Code]],A113,TM[[#All],[Large Provider Entity Code]],100)</f>
        <v>0</v>
      </c>
      <c r="D113" s="95">
        <f>SUMIFS(TM[[#All],[Member Count with Truncated Claims]],TM[[#All],[Reporting Year]],2021,TM[[#All],[Insurance Category Code]],A113,TM[[#All],[Large Provider Entity Code]],100)</f>
        <v>0</v>
      </c>
      <c r="E113" s="302">
        <f>SUMIFS(TM[[#All],[Member Count with Truncated Claims]],TM[[#All],[Reporting Year]],2022,TM[[#All],[Insurance Category Code]],A113,TM[[#All],[Large Provider Entity Code]],100)</f>
        <v>0</v>
      </c>
      <c r="F113" s="166">
        <f>SUMIFS(TM[[#All],[Total Non-Truncated Claims Spending]],TM[[#All],[Reporting Year]],2021,TM[[#All],[Insurance Category Code]],A113,TM[[#All],[Large Provider Entity Code]],100)</f>
        <v>0</v>
      </c>
      <c r="G113" s="167">
        <f>SUMIFS(TM[[#All],[Total Non-Truncated Claims Spending]],TM[[#All],[Reporting Year]],2022,TM[[#All],[Insurance Category Code]],A113,TM[[#All],[Large Provider Entity Code]],100)</f>
        <v>0</v>
      </c>
      <c r="H113" s="166">
        <f>SUMIFS(TM[[#All],[Total Non-Claims Spending]],TM[[#All],[Reporting Year]],2021,TM[[#All],[Insurance Category Code]],A113,TM[[#All],[Large Provider Entity Code]],100)</f>
        <v>0</v>
      </c>
      <c r="I113" s="167">
        <f>SUMIFS(TM[[#All],[Total Non-Claims Spending]],TM[[#All],[Reporting Year]],2022,TM[[#All],[Insurance Category Code]],A113,TM[[#All],[Large Provider Entity Code]],100)</f>
        <v>0</v>
      </c>
      <c r="J113" s="166">
        <f>SUMIFS(TM[[#All],[Total Non-Truncated Claims and Non-Claims Spending]],TM[[#All],[Reporting Year]],2021,TM[[#All],[Insurance Category Code]],A113,TM[[#All],[Large Provider Entity Code]],100)</f>
        <v>0</v>
      </c>
      <c r="K113" s="167">
        <f>SUMIFS(TM[[#All],[Total Non-Truncated Claims and Non-Claims Spending]],TM[[#All],[Reporting Year]],2022,TM[[#All],[Insurance Category Code]],A113,TM[[#All],[Large Provider Entity Code]],100)</f>
        <v>0</v>
      </c>
      <c r="L113" s="166">
        <f>SUMIFS(TM[[#All],[Total Truncated Claims Spending]],TM[[#All],[Reporting Year]],2021,TM[[#All],[Insurance Category Code]],A113,TM[[#All],[Large Provider Entity Code]],100)</f>
        <v>0</v>
      </c>
      <c r="M113" s="167">
        <f>SUMIFS(TM[[#All],[Total Truncated Claims Spending]],TM[[#All],[Reporting Year]],2022,TM[[#All],[Insurance Category Code]],A113,TM[[#All],[Large Provider Entity Code]],100)</f>
        <v>0</v>
      </c>
      <c r="N113" s="166">
        <f>SUMIFS(TM[[#All],[Total Truncated Expenses]],TM[[#All],[Reporting Year]],2021,TM[[#All],[Insurance Category Code]],A113,TM[[#All],[Large Provider Entity Code]],100)</f>
        <v>0</v>
      </c>
      <c r="O113" s="170">
        <f>SUMIFS(TM[[#All],[Total Truncated Expenses]],TM[[#All],[Reporting Year]],2022,TM[[#All],[Insurance Category Code]],A113,TM[[#All],[Large Provider Entity Code]],100)</f>
        <v>0</v>
      </c>
      <c r="P113" s="166">
        <f>SUMIFS(TM[[#All],[Claims Amount Excluded Due to Truncation]],TM[[#All],[Reporting Year]],2021,TM[[#All],[Insurance Category Code]],A113,TM[[#All],[Large Provider Entity Code]],100)</f>
        <v>0</v>
      </c>
      <c r="Q113" s="170">
        <f>SUMIFS(TM[[#All],[Claims Amount Excluded Due to Truncation]],TM[[#All],[Reporting Year]],2022,TM[[#All],[Insurance Category Code]],A113,TM[[#All],[Large Provider Entity Code]],100)</f>
        <v>0</v>
      </c>
      <c r="R113"/>
      <c r="S113"/>
      <c r="T113"/>
      <c r="U113"/>
      <c r="V113"/>
      <c r="W113"/>
      <c r="X113"/>
      <c r="Y113"/>
      <c r="Z113"/>
      <c r="AA113"/>
      <c r="AB113"/>
      <c r="AC113"/>
    </row>
    <row r="114" spans="1:29" x14ac:dyDescent="0.25">
      <c r="A114" s="53">
        <v>4</v>
      </c>
      <c r="B114" s="95">
        <f>SUMIFS(TM[[#All],[Member Months]],TM[[#All],[Reporting Year]],2021,TM[[#All],[Insurance Category Code]],A114,TM[[#All],[Large Provider Entity Code]],100)</f>
        <v>0</v>
      </c>
      <c r="C114" s="302">
        <f>SUMIFS(TM[[#All],[Member Months]],TM[[#All],[Reporting Year]],2022,TM[[#All],[Insurance Category Code]],A114,TM[[#All],[Large Provider Entity Code]],100)</f>
        <v>0</v>
      </c>
      <c r="D114" s="95">
        <f>SUMIFS(TM[[#All],[Member Count with Truncated Claims]],TM[[#All],[Reporting Year]],2021,TM[[#All],[Insurance Category Code]],A114,TM[[#All],[Large Provider Entity Code]],100)</f>
        <v>0</v>
      </c>
      <c r="E114" s="302">
        <f>SUMIFS(TM[[#All],[Member Count with Truncated Claims]],TM[[#All],[Reporting Year]],2022,TM[[#All],[Insurance Category Code]],A114,TM[[#All],[Large Provider Entity Code]],100)</f>
        <v>0</v>
      </c>
      <c r="F114" s="166">
        <f>SUMIFS(TM[[#All],[Total Non-Truncated Claims Spending]],TM[[#All],[Reporting Year]],2021,TM[[#All],[Insurance Category Code]],A114,TM[[#All],[Large Provider Entity Code]],100)</f>
        <v>0</v>
      </c>
      <c r="G114" s="167">
        <f>SUMIFS(TM[[#All],[Total Non-Truncated Claims Spending]],TM[[#All],[Reporting Year]],2022,TM[[#All],[Insurance Category Code]],A114,TM[[#All],[Large Provider Entity Code]],100)</f>
        <v>0</v>
      </c>
      <c r="H114" s="166">
        <f>SUMIFS(TM[[#All],[Total Non-Claims Spending]],TM[[#All],[Reporting Year]],2021,TM[[#All],[Insurance Category Code]],A114,TM[[#All],[Large Provider Entity Code]],100)</f>
        <v>0</v>
      </c>
      <c r="I114" s="167">
        <f>SUMIFS(TM[[#All],[Total Non-Claims Spending]],TM[[#All],[Reporting Year]],2022,TM[[#All],[Insurance Category Code]],A114,TM[[#All],[Large Provider Entity Code]],100)</f>
        <v>0</v>
      </c>
      <c r="J114" s="166">
        <f>SUMIFS(TM[[#All],[Total Non-Truncated Claims and Non-Claims Spending]],TM[[#All],[Reporting Year]],2021,TM[[#All],[Insurance Category Code]],A114,TM[[#All],[Large Provider Entity Code]],100)</f>
        <v>0</v>
      </c>
      <c r="K114" s="167">
        <f>SUMIFS(TM[[#All],[Total Non-Truncated Claims and Non-Claims Spending]],TM[[#All],[Reporting Year]],2022,TM[[#All],[Insurance Category Code]],A114,TM[[#All],[Large Provider Entity Code]],100)</f>
        <v>0</v>
      </c>
      <c r="L114" s="166">
        <f>SUMIFS(TM[[#All],[Total Truncated Claims Spending]],TM[[#All],[Reporting Year]],2021,TM[[#All],[Insurance Category Code]],A114,TM[[#All],[Large Provider Entity Code]],100)</f>
        <v>0</v>
      </c>
      <c r="M114" s="167">
        <f>SUMIFS(TM[[#All],[Total Truncated Claims Spending]],TM[[#All],[Reporting Year]],2022,TM[[#All],[Insurance Category Code]],A114,TM[[#All],[Large Provider Entity Code]],100)</f>
        <v>0</v>
      </c>
      <c r="N114" s="166">
        <f>SUMIFS(TM[[#All],[Total Truncated Expenses]],TM[[#All],[Reporting Year]],2021,TM[[#All],[Insurance Category Code]],A114,TM[[#All],[Large Provider Entity Code]],100)</f>
        <v>0</v>
      </c>
      <c r="O114" s="170">
        <f>SUMIFS(TM[[#All],[Total Truncated Expenses]],TM[[#All],[Reporting Year]],2022,TM[[#All],[Insurance Category Code]],A114,TM[[#All],[Large Provider Entity Code]],100)</f>
        <v>0</v>
      </c>
      <c r="P114" s="166">
        <f>SUMIFS(TM[[#All],[Claims Amount Excluded Due to Truncation]],TM[[#All],[Reporting Year]],2021,TM[[#All],[Insurance Category Code]],A114,TM[[#All],[Large Provider Entity Code]],100)</f>
        <v>0</v>
      </c>
      <c r="Q114" s="170">
        <f>SUMIFS(TM[[#All],[Claims Amount Excluded Due to Truncation]],TM[[#All],[Reporting Year]],2022,TM[[#All],[Insurance Category Code]],A114,TM[[#All],[Large Provider Entity Code]],100)</f>
        <v>0</v>
      </c>
      <c r="R114"/>
      <c r="S114"/>
      <c r="T114"/>
      <c r="U114"/>
      <c r="V114"/>
      <c r="W114"/>
      <c r="X114"/>
      <c r="Y114"/>
      <c r="Z114"/>
      <c r="AA114"/>
      <c r="AB114"/>
      <c r="AC114"/>
    </row>
    <row r="115" spans="1:29" x14ac:dyDescent="0.25">
      <c r="A115" s="53">
        <v>5</v>
      </c>
      <c r="B115" s="95">
        <f>SUMIFS(TM[[#All],[Member Months]],TM[[#All],[Reporting Year]],2021,TM[[#All],[Insurance Category Code]],A115,TM[[#All],[Large Provider Entity Code]],100)</f>
        <v>0</v>
      </c>
      <c r="C115" s="302">
        <f>SUMIFS(TM[[#All],[Member Months]],TM[[#All],[Reporting Year]],2022,TM[[#All],[Insurance Category Code]],A115,TM[[#All],[Large Provider Entity Code]],100)</f>
        <v>0</v>
      </c>
      <c r="D115" s="95">
        <f>SUMIFS(TM[[#All],[Member Count with Truncated Claims]],TM[[#All],[Reporting Year]],2021,TM[[#All],[Insurance Category Code]],A115,TM[[#All],[Large Provider Entity Code]],100)</f>
        <v>0</v>
      </c>
      <c r="E115" s="302">
        <f>SUMIFS(TM[[#All],[Member Count with Truncated Claims]],TM[[#All],[Reporting Year]],2022,TM[[#All],[Insurance Category Code]],A115,TM[[#All],[Large Provider Entity Code]],100)</f>
        <v>0</v>
      </c>
      <c r="F115" s="166">
        <f>SUMIFS(TM[[#All],[Total Non-Truncated Claims Spending]],TM[[#All],[Reporting Year]],2021,TM[[#All],[Insurance Category Code]],A115,TM[[#All],[Large Provider Entity Code]],100)</f>
        <v>0</v>
      </c>
      <c r="G115" s="167">
        <f>SUMIFS(TM[[#All],[Total Non-Truncated Claims Spending]],TM[[#All],[Reporting Year]],2022,TM[[#All],[Insurance Category Code]],A115,TM[[#All],[Large Provider Entity Code]],100)</f>
        <v>0</v>
      </c>
      <c r="H115" s="166">
        <f>SUMIFS(TM[[#All],[Total Non-Claims Spending]],TM[[#All],[Reporting Year]],2021,TM[[#All],[Insurance Category Code]],A115,TM[[#All],[Large Provider Entity Code]],100)</f>
        <v>0</v>
      </c>
      <c r="I115" s="167">
        <f>SUMIFS(TM[[#All],[Total Non-Claims Spending]],TM[[#All],[Reporting Year]],2022,TM[[#All],[Insurance Category Code]],A115,TM[[#All],[Large Provider Entity Code]],100)</f>
        <v>0</v>
      </c>
      <c r="J115" s="166">
        <f>SUMIFS(TM[[#All],[Total Non-Truncated Claims and Non-Claims Spending]],TM[[#All],[Reporting Year]],2021,TM[[#All],[Insurance Category Code]],A115,TM[[#All],[Large Provider Entity Code]],100)</f>
        <v>0</v>
      </c>
      <c r="K115" s="167">
        <f>SUMIFS(TM[[#All],[Total Non-Truncated Claims and Non-Claims Spending]],TM[[#All],[Reporting Year]],2022,TM[[#All],[Insurance Category Code]],A115,TM[[#All],[Large Provider Entity Code]],100)</f>
        <v>0</v>
      </c>
      <c r="L115" s="166">
        <f>SUMIFS(TM[[#All],[Total Truncated Claims Spending]],TM[[#All],[Reporting Year]],2021,TM[[#All],[Insurance Category Code]],A115,TM[[#All],[Large Provider Entity Code]],100)</f>
        <v>0</v>
      </c>
      <c r="M115" s="167">
        <f>SUMIFS(TM[[#All],[Total Truncated Claims Spending]],TM[[#All],[Reporting Year]],2022,TM[[#All],[Insurance Category Code]],A115,TM[[#All],[Large Provider Entity Code]],100)</f>
        <v>0</v>
      </c>
      <c r="N115" s="166">
        <f>SUMIFS(TM[[#All],[Total Truncated Expenses]],TM[[#All],[Reporting Year]],2021,TM[[#All],[Insurance Category Code]],A115,TM[[#All],[Large Provider Entity Code]],100)</f>
        <v>0</v>
      </c>
      <c r="O115" s="170">
        <f>SUMIFS(TM[[#All],[Total Truncated Expenses]],TM[[#All],[Reporting Year]],2022,TM[[#All],[Insurance Category Code]],A115,TM[[#All],[Large Provider Entity Code]],100)</f>
        <v>0</v>
      </c>
      <c r="P115" s="166">
        <f>SUMIFS(TM[[#All],[Claims Amount Excluded Due to Truncation]],TM[[#All],[Reporting Year]],2021,TM[[#All],[Insurance Category Code]],A115,TM[[#All],[Large Provider Entity Code]],100)</f>
        <v>0</v>
      </c>
      <c r="Q115" s="170">
        <f>SUMIFS(TM[[#All],[Claims Amount Excluded Due to Truncation]],TM[[#All],[Reporting Year]],2022,TM[[#All],[Insurance Category Code]],A115,TM[[#All],[Large Provider Entity Code]],100)</f>
        <v>0</v>
      </c>
      <c r="R115"/>
      <c r="S115"/>
      <c r="T115"/>
      <c r="U115"/>
      <c r="V115"/>
      <c r="W115"/>
      <c r="X115"/>
      <c r="Y115"/>
      <c r="Z115"/>
      <c r="AA115"/>
      <c r="AB115"/>
      <c r="AC115"/>
    </row>
    <row r="116" spans="1:29" x14ac:dyDescent="0.25">
      <c r="A116" s="53">
        <v>6</v>
      </c>
      <c r="B116" s="95">
        <f>SUMIFS(TM[[#All],[Member Months]],TM[[#All],[Reporting Year]],2021,TM[[#All],[Insurance Category Code]],A116,TM[[#All],[Large Provider Entity Code]],100)</f>
        <v>0</v>
      </c>
      <c r="C116" s="302">
        <f>SUMIFS(TM[[#All],[Member Months]],TM[[#All],[Reporting Year]],2022,TM[[#All],[Insurance Category Code]],A116,TM[[#All],[Large Provider Entity Code]],100)</f>
        <v>0</v>
      </c>
      <c r="D116" s="95">
        <f>SUMIFS(TM[[#All],[Member Count with Truncated Claims]],TM[[#All],[Reporting Year]],2021,TM[[#All],[Insurance Category Code]],A116,TM[[#All],[Large Provider Entity Code]],100)</f>
        <v>0</v>
      </c>
      <c r="E116" s="302">
        <f>SUMIFS(TM[[#All],[Member Count with Truncated Claims]],TM[[#All],[Reporting Year]],2022,TM[[#All],[Insurance Category Code]],A116,TM[[#All],[Large Provider Entity Code]],100)</f>
        <v>0</v>
      </c>
      <c r="F116" s="166">
        <f>SUMIFS(TM[[#All],[Total Non-Truncated Claims Spending]],TM[[#All],[Reporting Year]],2021,TM[[#All],[Insurance Category Code]],A116,TM[[#All],[Large Provider Entity Code]],100)</f>
        <v>0</v>
      </c>
      <c r="G116" s="167">
        <f>SUMIFS(TM[[#All],[Total Non-Truncated Claims Spending]],TM[[#All],[Reporting Year]],2022,TM[[#All],[Insurance Category Code]],A116,TM[[#All],[Large Provider Entity Code]],100)</f>
        <v>0</v>
      </c>
      <c r="H116" s="166">
        <f>SUMIFS(TM[[#All],[Total Non-Claims Spending]],TM[[#All],[Reporting Year]],2021,TM[[#All],[Insurance Category Code]],A116,TM[[#All],[Large Provider Entity Code]],100)</f>
        <v>0</v>
      </c>
      <c r="I116" s="167">
        <f>SUMIFS(TM[[#All],[Total Non-Claims Spending]],TM[[#All],[Reporting Year]],2022,TM[[#All],[Insurance Category Code]],A116,TM[[#All],[Large Provider Entity Code]],100)</f>
        <v>0</v>
      </c>
      <c r="J116" s="166">
        <f>SUMIFS(TM[[#All],[Total Non-Truncated Claims and Non-Claims Spending]],TM[[#All],[Reporting Year]],2021,TM[[#All],[Insurance Category Code]],A116,TM[[#All],[Large Provider Entity Code]],100)</f>
        <v>0</v>
      </c>
      <c r="K116" s="167">
        <f>SUMIFS(TM[[#All],[Total Non-Truncated Claims and Non-Claims Spending]],TM[[#All],[Reporting Year]],2022,TM[[#All],[Insurance Category Code]],A116,TM[[#All],[Large Provider Entity Code]],100)</f>
        <v>0</v>
      </c>
      <c r="L116" s="166">
        <f>SUMIFS(TM[[#All],[Total Truncated Claims Spending]],TM[[#All],[Reporting Year]],2021,TM[[#All],[Insurance Category Code]],A116,TM[[#All],[Large Provider Entity Code]],100)</f>
        <v>0</v>
      </c>
      <c r="M116" s="167">
        <f>SUMIFS(TM[[#All],[Total Truncated Claims Spending]],TM[[#All],[Reporting Year]],2022,TM[[#All],[Insurance Category Code]],A116,TM[[#All],[Large Provider Entity Code]],100)</f>
        <v>0</v>
      </c>
      <c r="N116" s="166">
        <f>SUMIFS(TM[[#All],[Total Truncated Expenses]],TM[[#All],[Reporting Year]],2021,TM[[#All],[Insurance Category Code]],A116,TM[[#All],[Large Provider Entity Code]],100)</f>
        <v>0</v>
      </c>
      <c r="O116" s="170">
        <f>SUMIFS(TM[[#All],[Total Truncated Expenses]],TM[[#All],[Reporting Year]],2022,TM[[#All],[Insurance Category Code]],A116,TM[[#All],[Large Provider Entity Code]],100)</f>
        <v>0</v>
      </c>
      <c r="P116" s="166">
        <f>SUMIFS(TM[[#All],[Claims Amount Excluded Due to Truncation]],TM[[#All],[Reporting Year]],2021,TM[[#All],[Insurance Category Code]],A116,TM[[#All],[Large Provider Entity Code]],100)</f>
        <v>0</v>
      </c>
      <c r="Q116" s="170">
        <f>SUMIFS(TM[[#All],[Claims Amount Excluded Due to Truncation]],TM[[#All],[Reporting Year]],2022,TM[[#All],[Insurance Category Code]],A116,TM[[#All],[Large Provider Entity Code]],100)</f>
        <v>0</v>
      </c>
      <c r="R116"/>
      <c r="S116"/>
      <c r="T116"/>
      <c r="U116"/>
      <c r="V116"/>
      <c r="W116"/>
      <c r="X116"/>
      <c r="Y116"/>
      <c r="Z116"/>
      <c r="AA116"/>
      <c r="AB116"/>
      <c r="AC116"/>
    </row>
    <row r="117" spans="1:29" x14ac:dyDescent="0.25">
      <c r="A117" s="53">
        <v>7</v>
      </c>
      <c r="B117" s="95">
        <f>SUMIFS(TM[[#All],[Member Months]],TM[[#All],[Reporting Year]],2021,TM[[#All],[Insurance Category Code]],A117,TM[[#All],[Large Provider Entity Code]],100)</f>
        <v>0</v>
      </c>
      <c r="C117" s="302">
        <f>SUMIFS(TM[[#All],[Member Months]],TM[[#All],[Reporting Year]],2022,TM[[#All],[Insurance Category Code]],A117,TM[[#All],[Large Provider Entity Code]],100)</f>
        <v>0</v>
      </c>
      <c r="D117" s="95">
        <f>SUMIFS(TM[[#All],[Member Count with Truncated Claims]],TM[[#All],[Reporting Year]],2021,TM[[#All],[Insurance Category Code]],A117,TM[[#All],[Large Provider Entity Code]],100)</f>
        <v>0</v>
      </c>
      <c r="E117" s="302">
        <f>SUMIFS(TM[[#All],[Member Count with Truncated Claims]],TM[[#All],[Reporting Year]],2022,TM[[#All],[Insurance Category Code]],A117,TM[[#All],[Large Provider Entity Code]],100)</f>
        <v>0</v>
      </c>
      <c r="F117" s="166">
        <f>SUMIFS(TM[[#All],[Total Non-Truncated Claims Spending]],TM[[#All],[Reporting Year]],2021,TM[[#All],[Insurance Category Code]],A117,TM[[#All],[Large Provider Entity Code]],100)</f>
        <v>0</v>
      </c>
      <c r="G117" s="167">
        <f>SUMIFS(TM[[#All],[Total Non-Truncated Claims Spending]],TM[[#All],[Reporting Year]],2022,TM[[#All],[Insurance Category Code]],A117,TM[[#All],[Large Provider Entity Code]],100)</f>
        <v>0</v>
      </c>
      <c r="H117" s="166">
        <f>SUMIFS(TM[[#All],[Total Non-Claims Spending]],TM[[#All],[Reporting Year]],2021,TM[[#All],[Insurance Category Code]],A117,TM[[#All],[Large Provider Entity Code]],100)</f>
        <v>0</v>
      </c>
      <c r="I117" s="167">
        <f>SUMIFS(TM[[#All],[Total Non-Claims Spending]],TM[[#All],[Reporting Year]],2022,TM[[#All],[Insurance Category Code]],A117,TM[[#All],[Large Provider Entity Code]],100)</f>
        <v>0</v>
      </c>
      <c r="J117" s="166">
        <f>SUMIFS(TM[[#All],[Total Non-Truncated Claims and Non-Claims Spending]],TM[[#All],[Reporting Year]],2021,TM[[#All],[Insurance Category Code]],A117,TM[[#All],[Large Provider Entity Code]],100)</f>
        <v>0</v>
      </c>
      <c r="K117" s="167">
        <f>SUMIFS(TM[[#All],[Total Non-Truncated Claims and Non-Claims Spending]],TM[[#All],[Reporting Year]],2022,TM[[#All],[Insurance Category Code]],A117,TM[[#All],[Large Provider Entity Code]],100)</f>
        <v>0</v>
      </c>
      <c r="L117" s="166">
        <f>SUMIFS(TM[[#All],[Total Truncated Claims Spending]],TM[[#All],[Reporting Year]],2021,TM[[#All],[Insurance Category Code]],A117,TM[[#All],[Large Provider Entity Code]],100)</f>
        <v>0</v>
      </c>
      <c r="M117" s="167">
        <f>SUMIFS(TM[[#All],[Total Truncated Claims Spending]],TM[[#All],[Reporting Year]],2022,TM[[#All],[Insurance Category Code]],A117,TM[[#All],[Large Provider Entity Code]],100)</f>
        <v>0</v>
      </c>
      <c r="N117" s="166">
        <f>SUMIFS(TM[[#All],[Total Truncated Expenses]],TM[[#All],[Reporting Year]],2021,TM[[#All],[Insurance Category Code]],A117,TM[[#All],[Large Provider Entity Code]],100)</f>
        <v>0</v>
      </c>
      <c r="O117" s="170">
        <f>SUMIFS(TM[[#All],[Total Truncated Expenses]],TM[[#All],[Reporting Year]],2022,TM[[#All],[Insurance Category Code]],A117,TM[[#All],[Large Provider Entity Code]],100)</f>
        <v>0</v>
      </c>
      <c r="P117" s="166">
        <f>SUMIFS(TM[[#All],[Claims Amount Excluded Due to Truncation]],TM[[#All],[Reporting Year]],2021,TM[[#All],[Insurance Category Code]],A117,TM[[#All],[Large Provider Entity Code]],100)</f>
        <v>0</v>
      </c>
      <c r="Q117" s="170">
        <f>SUMIFS(TM[[#All],[Claims Amount Excluded Due to Truncation]],TM[[#All],[Reporting Year]],2022,TM[[#All],[Insurance Category Code]],A117,TM[[#All],[Large Provider Entity Code]],100)</f>
        <v>0</v>
      </c>
      <c r="R117"/>
      <c r="S117"/>
      <c r="T117"/>
      <c r="U117"/>
      <c r="V117"/>
      <c r="W117"/>
      <c r="X117"/>
      <c r="Y117"/>
      <c r="Z117"/>
      <c r="AA117"/>
      <c r="AB117"/>
      <c r="AC117"/>
    </row>
    <row r="118" spans="1:29" x14ac:dyDescent="0.25">
      <c r="A118" s="53">
        <v>8</v>
      </c>
      <c r="B118" s="95">
        <f>SUMIFS(TM[[#All],[Member Months]],TM[[#All],[Reporting Year]],2021,TM[[#All],[Insurance Category Code]],A118,TM[[#All],[Large Provider Entity Code]],100)</f>
        <v>0</v>
      </c>
      <c r="C118" s="302">
        <f>SUMIFS(TM[[#All],[Member Months]],TM[[#All],[Reporting Year]],2022,TM[[#All],[Insurance Category Code]],A118,TM[[#All],[Large Provider Entity Code]],100)</f>
        <v>0</v>
      </c>
      <c r="D118" s="95">
        <f>SUMIFS(TM[[#All],[Member Count with Truncated Claims]],TM[[#All],[Reporting Year]],2021,TM[[#All],[Insurance Category Code]],A118,TM[[#All],[Large Provider Entity Code]],100)</f>
        <v>0</v>
      </c>
      <c r="E118" s="302">
        <f>SUMIFS(TM[[#All],[Member Count with Truncated Claims]],TM[[#All],[Reporting Year]],2022,TM[[#All],[Insurance Category Code]],A118,TM[[#All],[Large Provider Entity Code]],100)</f>
        <v>0</v>
      </c>
      <c r="F118" s="166">
        <f>SUMIFS(TM[[#All],[Total Non-Truncated Claims Spending]],TM[[#All],[Reporting Year]],2021,TM[[#All],[Insurance Category Code]],A118,TM[[#All],[Large Provider Entity Code]],100)</f>
        <v>0</v>
      </c>
      <c r="G118" s="167">
        <f>SUMIFS(TM[[#All],[Total Non-Truncated Claims Spending]],TM[[#All],[Reporting Year]],2022,TM[[#All],[Insurance Category Code]],A118,TM[[#All],[Large Provider Entity Code]],100)</f>
        <v>0</v>
      </c>
      <c r="H118" s="166">
        <f>SUMIFS(TM[[#All],[Total Non-Claims Spending]],TM[[#All],[Reporting Year]],2021,TM[[#All],[Insurance Category Code]],A118,TM[[#All],[Large Provider Entity Code]],100)</f>
        <v>0</v>
      </c>
      <c r="I118" s="167">
        <f>SUMIFS(TM[[#All],[Total Non-Claims Spending]],TM[[#All],[Reporting Year]],2022,TM[[#All],[Insurance Category Code]],A118,TM[[#All],[Large Provider Entity Code]],100)</f>
        <v>0</v>
      </c>
      <c r="J118" s="166">
        <f>SUMIFS(TM[[#All],[Total Non-Truncated Claims and Non-Claims Spending]],TM[[#All],[Reporting Year]],2021,TM[[#All],[Insurance Category Code]],A118,TM[[#All],[Large Provider Entity Code]],100)</f>
        <v>0</v>
      </c>
      <c r="K118" s="167">
        <f>SUMIFS(TM[[#All],[Total Non-Truncated Claims and Non-Claims Spending]],TM[[#All],[Reporting Year]],2022,TM[[#All],[Insurance Category Code]],A118,TM[[#All],[Large Provider Entity Code]],100)</f>
        <v>0</v>
      </c>
      <c r="L118" s="166">
        <f>SUMIFS(TM[[#All],[Total Truncated Claims Spending]],TM[[#All],[Reporting Year]],2021,TM[[#All],[Insurance Category Code]],A118,TM[[#All],[Large Provider Entity Code]],100)</f>
        <v>0</v>
      </c>
      <c r="M118" s="167">
        <f>SUMIFS(TM[[#All],[Total Truncated Claims Spending]],TM[[#All],[Reporting Year]],2022,TM[[#All],[Insurance Category Code]],A118,TM[[#All],[Large Provider Entity Code]],100)</f>
        <v>0</v>
      </c>
      <c r="N118" s="166">
        <f>SUMIFS(TM[[#All],[Total Truncated Expenses]],TM[[#All],[Reporting Year]],2021,TM[[#All],[Insurance Category Code]],A118,TM[[#All],[Large Provider Entity Code]],100)</f>
        <v>0</v>
      </c>
      <c r="O118" s="170">
        <f>SUMIFS(TM[[#All],[Total Truncated Expenses]],TM[[#All],[Reporting Year]],2022,TM[[#All],[Insurance Category Code]],A118,TM[[#All],[Large Provider Entity Code]],100)</f>
        <v>0</v>
      </c>
      <c r="P118" s="166">
        <f>SUMIFS(TM[[#All],[Claims Amount Excluded Due to Truncation]],TM[[#All],[Reporting Year]],2021,TM[[#All],[Insurance Category Code]],A118,TM[[#All],[Large Provider Entity Code]],100)</f>
        <v>0</v>
      </c>
      <c r="Q118" s="170">
        <f>SUMIFS(TM[[#All],[Claims Amount Excluded Due to Truncation]],TM[[#All],[Reporting Year]],2022,TM[[#All],[Insurance Category Code]],A118,TM[[#All],[Large Provider Entity Code]],100)</f>
        <v>0</v>
      </c>
      <c r="R118"/>
      <c r="S118"/>
      <c r="T118"/>
      <c r="U118"/>
      <c r="V118"/>
      <c r="W118"/>
      <c r="X118"/>
      <c r="Y118"/>
      <c r="Z118"/>
      <c r="AA118"/>
      <c r="AB118"/>
      <c r="AC118"/>
    </row>
    <row r="119" spans="1:29" x14ac:dyDescent="0.25">
      <c r="A119" s="1"/>
      <c r="B119" s="115"/>
      <c r="C119" s="115"/>
      <c r="D119" s="115"/>
      <c r="E119" s="115"/>
      <c r="F119" s="183"/>
      <c r="G119" s="183"/>
      <c r="H119" s="183"/>
      <c r="I119" s="183"/>
      <c r="J119" s="183"/>
      <c r="K119" s="183"/>
      <c r="L119" s="183"/>
      <c r="M119" s="183"/>
      <c r="N119" s="183"/>
      <c r="O119" s="183"/>
      <c r="P119"/>
      <c r="Q119"/>
      <c r="R119"/>
      <c r="S119"/>
      <c r="T119"/>
      <c r="U119"/>
      <c r="V119"/>
      <c r="W119"/>
      <c r="X119"/>
      <c r="Y119"/>
      <c r="Z119"/>
      <c r="AA119"/>
      <c r="AB119"/>
      <c r="AC119"/>
    </row>
    <row r="120" spans="1:29" x14ac:dyDescent="0.25">
      <c r="A120" s="2"/>
      <c r="B120" s="303"/>
      <c r="C120" s="303"/>
      <c r="D120"/>
      <c r="E120"/>
      <c r="F120"/>
      <c r="G120"/>
      <c r="H120"/>
      <c r="I120"/>
      <c r="J120"/>
      <c r="K120"/>
      <c r="L120"/>
      <c r="M120"/>
      <c r="N120"/>
      <c r="O120"/>
      <c r="P120"/>
      <c r="Q120"/>
      <c r="R120"/>
      <c r="S120"/>
      <c r="T120"/>
      <c r="U120"/>
      <c r="V120"/>
      <c r="W120"/>
      <c r="X120"/>
      <c r="Y120"/>
      <c r="Z120"/>
      <c r="AA120"/>
      <c r="AB120"/>
      <c r="AC120"/>
    </row>
    <row r="121" spans="1:29" x14ac:dyDescent="0.25">
      <c r="A121" s="4" t="s">
        <v>445</v>
      </c>
      <c r="B121"/>
      <c r="C121"/>
      <c r="D121"/>
      <c r="E121"/>
      <c r="F121"/>
      <c r="G121"/>
      <c r="H121"/>
      <c r="I121"/>
      <c r="J121"/>
      <c r="K121"/>
      <c r="L121" s="150"/>
      <c r="M121" s="150"/>
      <c r="N121"/>
      <c r="O121"/>
      <c r="P121"/>
      <c r="Q121"/>
      <c r="R121"/>
      <c r="S121"/>
      <c r="T121"/>
      <c r="U121"/>
      <c r="V121"/>
      <c r="W121"/>
      <c r="X121"/>
      <c r="Y121"/>
      <c r="Z121"/>
      <c r="AA121"/>
      <c r="AB121"/>
      <c r="AC121"/>
    </row>
    <row r="122" spans="1:29" ht="15.75" thickBot="1" x14ac:dyDescent="0.3">
      <c r="A122" s="659" t="s">
        <v>61</v>
      </c>
      <c r="B122" s="198">
        <v>2021</v>
      </c>
      <c r="C122" s="199">
        <v>2022</v>
      </c>
      <c r="D122" s="198">
        <v>2021</v>
      </c>
      <c r="E122" s="199">
        <v>2022</v>
      </c>
      <c r="F122" s="198">
        <v>2021</v>
      </c>
      <c r="G122" s="199">
        <v>2022</v>
      </c>
      <c r="H122" s="198">
        <v>2021</v>
      </c>
      <c r="I122" s="199">
        <v>2022</v>
      </c>
      <c r="J122" s="198">
        <v>2021</v>
      </c>
      <c r="K122" s="199">
        <v>2022</v>
      </c>
      <c r="L122" s="198">
        <v>2021</v>
      </c>
      <c r="M122" s="200">
        <v>2022</v>
      </c>
      <c r="N122" s="198">
        <v>2021</v>
      </c>
      <c r="O122" s="199">
        <v>2022</v>
      </c>
      <c r="P122"/>
      <c r="Q122"/>
      <c r="R122"/>
      <c r="S122"/>
      <c r="T122"/>
      <c r="U122"/>
      <c r="V122"/>
      <c r="W122"/>
      <c r="X122"/>
      <c r="Y122"/>
      <c r="Z122"/>
      <c r="AA122"/>
      <c r="AB122"/>
      <c r="AC122"/>
    </row>
    <row r="123" spans="1:29" x14ac:dyDescent="0.25">
      <c r="A123" s="660"/>
      <c r="B123" s="648" t="s">
        <v>181</v>
      </c>
      <c r="C123" s="651"/>
      <c r="D123" s="650" t="s">
        <v>198</v>
      </c>
      <c r="E123" s="651"/>
      <c r="F123" s="650" t="s">
        <v>199</v>
      </c>
      <c r="G123" s="651"/>
      <c r="H123" s="650" t="s">
        <v>202</v>
      </c>
      <c r="I123" s="651"/>
      <c r="J123" s="648" t="s">
        <v>446</v>
      </c>
      <c r="K123" s="651"/>
      <c r="L123" s="648" t="s">
        <v>447</v>
      </c>
      <c r="M123" s="649"/>
      <c r="N123" s="650" t="s">
        <v>197</v>
      </c>
      <c r="O123" s="649"/>
      <c r="P123"/>
      <c r="Q123"/>
      <c r="R123"/>
      <c r="S123"/>
      <c r="T123"/>
      <c r="U123"/>
      <c r="V123"/>
      <c r="W123"/>
      <c r="X123"/>
      <c r="Y123"/>
      <c r="Z123"/>
      <c r="AA123"/>
      <c r="AB123"/>
      <c r="AC123"/>
    </row>
    <row r="124" spans="1:29" x14ac:dyDescent="0.25">
      <c r="A124" s="53">
        <v>1</v>
      </c>
      <c r="B124" s="95">
        <f>SUMIFS(AS[[#All],[Member Months]],AS[[#All],[Reporting Year]],2021,AS[[#All],[Insurance Category Code]],A124,AS[[#All],[Large Provider Entity Code]],100)</f>
        <v>0</v>
      </c>
      <c r="C124" s="302">
        <f>SUMIFS(AS[[#All],[Member Months]],AS[[#All],[Reporting Year]],2022,AS[[#All],[Insurance Category Code]],A124,AS[[#All],[Large Provider Entity Code]],100)</f>
        <v>0</v>
      </c>
      <c r="D124" s="95">
        <f>SUMIFS(AS[[#All],[Member Count with Truncated Claims]],AS[[#All],[Reporting Year]],2021,AS[[#All],[Insurance Category Code]],A124,AS[[#All],[Large Provider Entity Code]],100)</f>
        <v>0</v>
      </c>
      <c r="E124" s="302">
        <f>SUMIFS(AS[[#All],[Member Count with Truncated Claims]],AS[[#All],[Reporting Year]],2022,AS[[#All],[Insurance Category Code]],A124,AS[[#All],[Large Provider Entity Code]],100)</f>
        <v>0</v>
      </c>
      <c r="F124" s="185">
        <f>SUMIFS(AS[[#All],[Total Non-Truncated Claims Spending]],AS[[#All],[Reporting Year]],2021,AS[[#All],[Insurance Category Code]],A124,AS[[#All],[Large Provider Entity Code]],100)</f>
        <v>0</v>
      </c>
      <c r="G124" s="96">
        <f>SUMIFS(AS[[#All],[Total Non-Truncated Claims Spending]],AS[[#All],[Reporting Year]],2022,AS[[#All],[Insurance Category Code]],A124,AS[[#All],[Large Provider Entity Code]],100)</f>
        <v>0</v>
      </c>
      <c r="H124" s="185">
        <f>SUMIFS(AS[[#All],[Total Truncated Claims Spending]],AS[[#All],[Reporting Year]],2021,AS[[#All],[Insurance Category Code]],A124,AS[[#All],[Large Provider Entity Code]],100)</f>
        <v>0</v>
      </c>
      <c r="I124" s="96">
        <f>SUMIFS(AS[[#All],[Total Truncated Claims Spending]],AS[[#All],[Reporting Year]],2022,AS[[#All],[Insurance Category Code]],A124,AS[[#All],[Large Provider Entity Code]],100)</f>
        <v>0</v>
      </c>
      <c r="J124" s="95">
        <f>SUMIFS(AS[[#All],[Member Months]],AS[[#All],[Reporting Year]],2021,AS[[#All],[Insurance Category Code]],A124,AS[[#All],[Large Provider Entity Code]],100,AS[[#All],[Sex Code]],1)</f>
        <v>0</v>
      </c>
      <c r="K124" s="302">
        <f>SUMIFS(AS[[#All],[Member Months]],AS[[#All],[Reporting Year]],2022,AS[[#All],[Insurance Category Code]],A124,AS[[#All],[Large Provider Entity Code]],100,AS[[#All],[Sex Code]],1)</f>
        <v>0</v>
      </c>
      <c r="L124" s="95">
        <f>SUMIFS(AS[[#All],[Member Months]],AS[[#All],[Reporting Year]],2021,AS[[#All],[Insurance Category Code]],A124,AS[[#All],[Large Provider Entity Code]],100,AS[[#All],[Sex Code]],2)</f>
        <v>0</v>
      </c>
      <c r="M124" s="8">
        <f>SUMIFS(AS[[#All],[Member Months]],AS[[#All],[Reporting Year]],2022,AS[[#All],[Insurance Category Code]],A124,AS[[#All],[Large Provider Entity Code]],100,AS[[#All],[Sex Code]],2)</f>
        <v>0</v>
      </c>
      <c r="N124" s="185">
        <f>SUMIFS(AS[[#All],[Claims Amount Excluded Due to Truncation]],AS[[#All],[Reporting Year]],2021,AS[[#All],[Insurance Category Code]],A124,AS[[#All],[Large Provider Entity Code]],100)</f>
        <v>0</v>
      </c>
      <c r="O124" s="96">
        <f>SUMIFS(AS[[#All],[Claims Amount Excluded Due to Truncation]],AS[[#All],[Reporting Year]],2022,AS[[#All],[Insurance Category Code]],A124,AS[[#All],[Large Provider Entity Code]],100)</f>
        <v>0</v>
      </c>
      <c r="P124"/>
      <c r="Q124"/>
      <c r="R124"/>
      <c r="S124"/>
      <c r="T124"/>
      <c r="U124"/>
      <c r="V124"/>
      <c r="W124"/>
      <c r="X124"/>
      <c r="Y124"/>
      <c r="Z124"/>
      <c r="AA124"/>
      <c r="AB124"/>
      <c r="AC124"/>
    </row>
    <row r="125" spans="1:29" x14ac:dyDescent="0.25">
      <c r="A125" s="53">
        <v>2</v>
      </c>
      <c r="B125" s="95">
        <f>SUMIFS(AS[[#All],[Member Months]],AS[[#All],[Reporting Year]],2021,AS[[#All],[Insurance Category Code]],A125,AS[[#All],[Large Provider Entity Code]],100)</f>
        <v>0</v>
      </c>
      <c r="C125" s="302">
        <f>SUMIFS(AS[[#All],[Member Months]],AS[[#All],[Reporting Year]],2022,AS[[#All],[Insurance Category Code]],A125,AS[[#All],[Large Provider Entity Code]],100)</f>
        <v>0</v>
      </c>
      <c r="D125" s="95">
        <f>SUMIFS(AS[[#All],[Member Count with Truncated Claims]],AS[[#All],[Reporting Year]],2021,AS[[#All],[Insurance Category Code]],A125,AS[[#All],[Large Provider Entity Code]],100)</f>
        <v>0</v>
      </c>
      <c r="E125" s="302">
        <f>SUMIFS(AS[[#All],[Member Count with Truncated Claims]],AS[[#All],[Reporting Year]],2022,AS[[#All],[Insurance Category Code]],A125,AS[[#All],[Large Provider Entity Code]],100)</f>
        <v>0</v>
      </c>
      <c r="F125" s="185">
        <f>SUMIFS(AS[[#All],[Total Non-Truncated Claims Spending]],AS[[#All],[Reporting Year]],2021,AS[[#All],[Insurance Category Code]],A125,AS[[#All],[Large Provider Entity Code]],100)</f>
        <v>0</v>
      </c>
      <c r="G125" s="96">
        <f>SUMIFS(AS[[#All],[Total Non-Truncated Claims Spending]],AS[[#All],[Reporting Year]],2022,AS[[#All],[Insurance Category Code]],A125,AS[[#All],[Large Provider Entity Code]],100)</f>
        <v>0</v>
      </c>
      <c r="H125" s="185">
        <f>SUMIFS(AS[[#All],[Total Truncated Claims Spending]],AS[[#All],[Reporting Year]],2021,AS[[#All],[Insurance Category Code]],A125,AS[[#All],[Large Provider Entity Code]],100)</f>
        <v>0</v>
      </c>
      <c r="I125" s="96">
        <f>SUMIFS(AS[[#All],[Total Truncated Claims Spending]],AS[[#All],[Reporting Year]],2022,AS[[#All],[Insurance Category Code]],A125,AS[[#All],[Large Provider Entity Code]],100)</f>
        <v>0</v>
      </c>
      <c r="J125" s="95">
        <f>SUMIFS(AS[[#All],[Member Months]],AS[[#All],[Reporting Year]],2021,AS[[#All],[Insurance Category Code]],A125,AS[[#All],[Large Provider Entity Code]],100,AS[[#All],[Sex Code]],1)</f>
        <v>0</v>
      </c>
      <c r="K125" s="302">
        <f>SUMIFS(AS[[#All],[Member Months]],AS[[#All],[Reporting Year]],2022,AS[[#All],[Insurance Category Code]],A125,AS[[#All],[Large Provider Entity Code]],100,AS[[#All],[Sex Code]],1)</f>
        <v>0</v>
      </c>
      <c r="L125" s="95">
        <f>SUMIFS(AS[[#All],[Member Months]],AS[[#All],[Reporting Year]],2021,AS[[#All],[Insurance Category Code]],A125,AS[[#All],[Large Provider Entity Code]],100,AS[[#All],[Sex Code]],2)</f>
        <v>0</v>
      </c>
      <c r="M125" s="8">
        <f>SUMIFS(AS[[#All],[Member Months]],AS[[#All],[Reporting Year]],2022,AS[[#All],[Insurance Category Code]],A125,AS[[#All],[Large Provider Entity Code]],100,AS[[#All],[Sex Code]],2)</f>
        <v>0</v>
      </c>
      <c r="N125" s="185">
        <f>SUMIFS(AS[[#All],[Claims Amount Excluded Due to Truncation]],AS[[#All],[Reporting Year]],2021,AS[[#All],[Insurance Category Code]],A125,AS[[#All],[Large Provider Entity Code]],100)</f>
        <v>0</v>
      </c>
      <c r="O125" s="96">
        <f>SUMIFS(AS[[#All],[Claims Amount Excluded Due to Truncation]],AS[[#All],[Reporting Year]],2022,AS[[#All],[Insurance Category Code]],A125,AS[[#All],[Large Provider Entity Code]],100)</f>
        <v>0</v>
      </c>
      <c r="P125"/>
      <c r="Q125"/>
      <c r="R125"/>
      <c r="S125"/>
      <c r="T125"/>
      <c r="U125"/>
      <c r="V125"/>
      <c r="W125"/>
      <c r="X125"/>
      <c r="Y125"/>
      <c r="Z125"/>
      <c r="AA125"/>
      <c r="AB125"/>
      <c r="AC125"/>
    </row>
    <row r="126" spans="1:29" x14ac:dyDescent="0.25">
      <c r="A126" s="53">
        <v>3</v>
      </c>
      <c r="B126" s="95">
        <f>SUMIFS(AS[[#All],[Member Months]],AS[[#All],[Reporting Year]],2021,AS[[#All],[Insurance Category Code]],A126,AS[[#All],[Large Provider Entity Code]],100)</f>
        <v>0</v>
      </c>
      <c r="C126" s="302">
        <f>SUMIFS(AS[[#All],[Member Months]],AS[[#All],[Reporting Year]],2022,AS[[#All],[Insurance Category Code]],A126,AS[[#All],[Large Provider Entity Code]],100)</f>
        <v>0</v>
      </c>
      <c r="D126" s="95">
        <f>SUMIFS(AS[[#All],[Member Count with Truncated Claims]],AS[[#All],[Reporting Year]],2021,AS[[#All],[Insurance Category Code]],A126,AS[[#All],[Large Provider Entity Code]],100)</f>
        <v>0</v>
      </c>
      <c r="E126" s="302">
        <f>SUMIFS(AS[[#All],[Member Count with Truncated Claims]],AS[[#All],[Reporting Year]],2022,AS[[#All],[Insurance Category Code]],A126,AS[[#All],[Large Provider Entity Code]],100)</f>
        <v>0</v>
      </c>
      <c r="F126" s="185">
        <f>SUMIFS(AS[[#All],[Total Non-Truncated Claims Spending]],AS[[#All],[Reporting Year]],2021,AS[[#All],[Insurance Category Code]],A126,AS[[#All],[Large Provider Entity Code]],100)</f>
        <v>0</v>
      </c>
      <c r="G126" s="96">
        <f>SUMIFS(AS[[#All],[Total Non-Truncated Claims Spending]],AS[[#All],[Reporting Year]],2022,AS[[#All],[Insurance Category Code]],A126,AS[[#All],[Large Provider Entity Code]],100)</f>
        <v>0</v>
      </c>
      <c r="H126" s="185">
        <f>SUMIFS(AS[[#All],[Total Truncated Claims Spending]],AS[[#All],[Reporting Year]],2021,AS[[#All],[Insurance Category Code]],A126,AS[[#All],[Large Provider Entity Code]],100)</f>
        <v>0</v>
      </c>
      <c r="I126" s="96">
        <f>SUMIFS(AS[[#All],[Total Truncated Claims Spending]],AS[[#All],[Reporting Year]],2022,AS[[#All],[Insurance Category Code]],A126,AS[[#All],[Large Provider Entity Code]],100)</f>
        <v>0</v>
      </c>
      <c r="J126" s="95">
        <f>SUMIFS(AS[[#All],[Member Months]],AS[[#All],[Reporting Year]],2021,AS[[#All],[Insurance Category Code]],A126,AS[[#All],[Large Provider Entity Code]],100,AS[[#All],[Sex Code]],1)</f>
        <v>0</v>
      </c>
      <c r="K126" s="302">
        <f>SUMIFS(AS[[#All],[Member Months]],AS[[#All],[Reporting Year]],2022,AS[[#All],[Insurance Category Code]],A126,AS[[#All],[Large Provider Entity Code]],100,AS[[#All],[Sex Code]],1)</f>
        <v>0</v>
      </c>
      <c r="L126" s="95">
        <f>SUMIFS(AS[[#All],[Member Months]],AS[[#All],[Reporting Year]],2021,AS[[#All],[Insurance Category Code]],A126,AS[[#All],[Large Provider Entity Code]],100,AS[[#All],[Sex Code]],2)</f>
        <v>0</v>
      </c>
      <c r="M126" s="8">
        <f>SUMIFS(AS[[#All],[Member Months]],AS[[#All],[Reporting Year]],2022,AS[[#All],[Insurance Category Code]],A126,AS[[#All],[Large Provider Entity Code]],100,AS[[#All],[Sex Code]],2)</f>
        <v>0</v>
      </c>
      <c r="N126" s="185">
        <f>SUMIFS(AS[[#All],[Claims Amount Excluded Due to Truncation]],AS[[#All],[Reporting Year]],2021,AS[[#All],[Insurance Category Code]],A126,AS[[#All],[Large Provider Entity Code]],100)</f>
        <v>0</v>
      </c>
      <c r="O126" s="96">
        <f>SUMIFS(AS[[#All],[Claims Amount Excluded Due to Truncation]],AS[[#All],[Reporting Year]],2022,AS[[#All],[Insurance Category Code]],A126,AS[[#All],[Large Provider Entity Code]],100)</f>
        <v>0</v>
      </c>
      <c r="P126"/>
      <c r="Q126"/>
      <c r="R126"/>
      <c r="S126"/>
      <c r="T126"/>
      <c r="U126"/>
      <c r="V126"/>
      <c r="W126"/>
      <c r="X126"/>
      <c r="Y126"/>
      <c r="Z126"/>
      <c r="AA126"/>
      <c r="AB126"/>
      <c r="AC126"/>
    </row>
    <row r="127" spans="1:29" x14ac:dyDescent="0.25">
      <c r="A127" s="53">
        <v>4</v>
      </c>
      <c r="B127" s="95">
        <f>SUMIFS(AS[[#All],[Member Months]],AS[[#All],[Reporting Year]],2021,AS[[#All],[Insurance Category Code]],A127,AS[[#All],[Large Provider Entity Code]],100)</f>
        <v>0</v>
      </c>
      <c r="C127" s="302">
        <f>SUMIFS(AS[[#All],[Member Months]],AS[[#All],[Reporting Year]],2022,AS[[#All],[Insurance Category Code]],A127,AS[[#All],[Large Provider Entity Code]],100)</f>
        <v>0</v>
      </c>
      <c r="D127" s="95">
        <f>SUMIFS(AS[[#All],[Member Count with Truncated Claims]],AS[[#All],[Reporting Year]],2021,AS[[#All],[Insurance Category Code]],A127,AS[[#All],[Large Provider Entity Code]],100)</f>
        <v>0</v>
      </c>
      <c r="E127" s="302">
        <f>SUMIFS(AS[[#All],[Member Count with Truncated Claims]],AS[[#All],[Reporting Year]],2022,AS[[#All],[Insurance Category Code]],A127,AS[[#All],[Large Provider Entity Code]],100)</f>
        <v>0</v>
      </c>
      <c r="F127" s="185">
        <f>SUMIFS(AS[[#All],[Total Non-Truncated Claims Spending]],AS[[#All],[Reporting Year]],2021,AS[[#All],[Insurance Category Code]],A127,AS[[#All],[Large Provider Entity Code]],100)</f>
        <v>0</v>
      </c>
      <c r="G127" s="96">
        <f>SUMIFS(AS[[#All],[Total Non-Truncated Claims Spending]],AS[[#All],[Reporting Year]],2022,AS[[#All],[Insurance Category Code]],A127,AS[[#All],[Large Provider Entity Code]],100)</f>
        <v>0</v>
      </c>
      <c r="H127" s="185">
        <f>SUMIFS(AS[[#All],[Total Truncated Claims Spending]],AS[[#All],[Reporting Year]],2021,AS[[#All],[Insurance Category Code]],A127,AS[[#All],[Large Provider Entity Code]],100)</f>
        <v>0</v>
      </c>
      <c r="I127" s="96">
        <f>SUMIFS(AS[[#All],[Total Truncated Claims Spending]],AS[[#All],[Reporting Year]],2022,AS[[#All],[Insurance Category Code]],A127,AS[[#All],[Large Provider Entity Code]],100)</f>
        <v>0</v>
      </c>
      <c r="J127" s="95">
        <f>SUMIFS(AS[[#All],[Member Months]],AS[[#All],[Reporting Year]],2021,AS[[#All],[Insurance Category Code]],A127,AS[[#All],[Large Provider Entity Code]],100,AS[[#All],[Sex Code]],1)</f>
        <v>0</v>
      </c>
      <c r="K127" s="302">
        <f>SUMIFS(AS[[#All],[Member Months]],AS[[#All],[Reporting Year]],2022,AS[[#All],[Insurance Category Code]],A127,AS[[#All],[Large Provider Entity Code]],100,AS[[#All],[Sex Code]],1)</f>
        <v>0</v>
      </c>
      <c r="L127" s="95">
        <f>SUMIFS(AS[[#All],[Member Months]],AS[[#All],[Reporting Year]],2021,AS[[#All],[Insurance Category Code]],A127,AS[[#All],[Large Provider Entity Code]],100,AS[[#All],[Sex Code]],2)</f>
        <v>0</v>
      </c>
      <c r="M127" s="8">
        <f>SUMIFS(AS[[#All],[Member Months]],AS[[#All],[Reporting Year]],2022,AS[[#All],[Insurance Category Code]],A127,AS[[#All],[Large Provider Entity Code]],100,AS[[#All],[Sex Code]],2)</f>
        <v>0</v>
      </c>
      <c r="N127" s="185">
        <f>SUMIFS(AS[[#All],[Claims Amount Excluded Due to Truncation]],AS[[#All],[Reporting Year]],2021,AS[[#All],[Insurance Category Code]],A127,AS[[#All],[Large Provider Entity Code]],100)</f>
        <v>0</v>
      </c>
      <c r="O127" s="96">
        <f>SUMIFS(AS[[#All],[Claims Amount Excluded Due to Truncation]],AS[[#All],[Reporting Year]],2022,AS[[#All],[Insurance Category Code]],A127,AS[[#All],[Large Provider Entity Code]],100)</f>
        <v>0</v>
      </c>
      <c r="P127"/>
      <c r="Q127"/>
      <c r="R127"/>
      <c r="S127"/>
      <c r="T127"/>
      <c r="U127"/>
      <c r="V127"/>
      <c r="W127"/>
      <c r="X127"/>
      <c r="Y127"/>
      <c r="Z127"/>
      <c r="AA127"/>
      <c r="AB127"/>
      <c r="AC127"/>
    </row>
    <row r="128" spans="1:29" x14ac:dyDescent="0.25">
      <c r="A128" s="53">
        <v>5</v>
      </c>
      <c r="B128" s="95">
        <f>SUMIFS(AS[[#All],[Member Months]],AS[[#All],[Reporting Year]],2021,AS[[#All],[Insurance Category Code]],A128,AS[[#All],[Large Provider Entity Code]],100)</f>
        <v>0</v>
      </c>
      <c r="C128" s="302">
        <f>SUMIFS(AS[[#All],[Member Months]],AS[[#All],[Reporting Year]],2022,AS[[#All],[Insurance Category Code]],A128,AS[[#All],[Large Provider Entity Code]],100)</f>
        <v>0</v>
      </c>
      <c r="D128" s="95">
        <f>SUMIFS(AS[[#All],[Member Count with Truncated Claims]],AS[[#All],[Reporting Year]],2021,AS[[#All],[Insurance Category Code]],A128,AS[[#All],[Large Provider Entity Code]],100)</f>
        <v>0</v>
      </c>
      <c r="E128" s="302">
        <f>SUMIFS(AS[[#All],[Member Count with Truncated Claims]],AS[[#All],[Reporting Year]],2022,AS[[#All],[Insurance Category Code]],A128,AS[[#All],[Large Provider Entity Code]],100)</f>
        <v>0</v>
      </c>
      <c r="F128" s="185">
        <f>SUMIFS(AS[[#All],[Total Non-Truncated Claims Spending]],AS[[#All],[Reporting Year]],2021,AS[[#All],[Insurance Category Code]],A128,AS[[#All],[Large Provider Entity Code]],100)</f>
        <v>0</v>
      </c>
      <c r="G128" s="96">
        <f>SUMIFS(AS[[#All],[Total Non-Truncated Claims Spending]],AS[[#All],[Reporting Year]],2022,AS[[#All],[Insurance Category Code]],A128,AS[[#All],[Large Provider Entity Code]],100)</f>
        <v>0</v>
      </c>
      <c r="H128" s="185">
        <f>SUMIFS(AS[[#All],[Total Truncated Claims Spending]],AS[[#All],[Reporting Year]],2021,AS[[#All],[Insurance Category Code]],A128,AS[[#All],[Large Provider Entity Code]],100)</f>
        <v>0</v>
      </c>
      <c r="I128" s="96">
        <f>SUMIFS(AS[[#All],[Total Truncated Claims Spending]],AS[[#All],[Reporting Year]],2022,AS[[#All],[Insurance Category Code]],A128,AS[[#All],[Large Provider Entity Code]],100)</f>
        <v>0</v>
      </c>
      <c r="J128" s="95">
        <f>SUMIFS(AS[[#All],[Member Months]],AS[[#All],[Reporting Year]],2021,AS[[#All],[Insurance Category Code]],A128,AS[[#All],[Large Provider Entity Code]],100,AS[[#All],[Sex Code]],1)</f>
        <v>0</v>
      </c>
      <c r="K128" s="302">
        <f>SUMIFS(AS[[#All],[Member Months]],AS[[#All],[Reporting Year]],2022,AS[[#All],[Insurance Category Code]],A128,AS[[#All],[Large Provider Entity Code]],100,AS[[#All],[Sex Code]],1)</f>
        <v>0</v>
      </c>
      <c r="L128" s="95">
        <f>SUMIFS(AS[[#All],[Member Months]],AS[[#All],[Reporting Year]],2021,AS[[#All],[Insurance Category Code]],A128,AS[[#All],[Large Provider Entity Code]],100,AS[[#All],[Sex Code]],2)</f>
        <v>0</v>
      </c>
      <c r="M128" s="8">
        <f>SUMIFS(AS[[#All],[Member Months]],AS[[#All],[Reporting Year]],2022,AS[[#All],[Insurance Category Code]],A128,AS[[#All],[Large Provider Entity Code]],100,AS[[#All],[Sex Code]],2)</f>
        <v>0</v>
      </c>
      <c r="N128" s="185">
        <f>SUMIFS(AS[[#All],[Claims Amount Excluded Due to Truncation]],AS[[#All],[Reporting Year]],2021,AS[[#All],[Insurance Category Code]],A128,AS[[#All],[Large Provider Entity Code]],100)</f>
        <v>0</v>
      </c>
      <c r="O128" s="96">
        <f>SUMIFS(AS[[#All],[Claims Amount Excluded Due to Truncation]],AS[[#All],[Reporting Year]],2022,AS[[#All],[Insurance Category Code]],A128,AS[[#All],[Large Provider Entity Code]],100)</f>
        <v>0</v>
      </c>
      <c r="P128"/>
      <c r="Q128"/>
      <c r="R128"/>
      <c r="S128"/>
      <c r="T128"/>
      <c r="U128"/>
      <c r="V128"/>
      <c r="W128"/>
      <c r="X128"/>
      <c r="Y128"/>
      <c r="Z128"/>
      <c r="AA128"/>
      <c r="AB128"/>
      <c r="AC128"/>
    </row>
    <row r="129" spans="1:51" x14ac:dyDescent="0.25">
      <c r="A129" s="53">
        <v>6</v>
      </c>
      <c r="B129" s="95">
        <f>SUMIFS(AS[[#All],[Member Months]],AS[[#All],[Reporting Year]],2021,AS[[#All],[Insurance Category Code]],A129,AS[[#All],[Large Provider Entity Code]],100)</f>
        <v>0</v>
      </c>
      <c r="C129" s="302">
        <f>SUMIFS(AS[[#All],[Member Months]],AS[[#All],[Reporting Year]],2022,AS[[#All],[Insurance Category Code]],A129,AS[[#All],[Large Provider Entity Code]],100)</f>
        <v>0</v>
      </c>
      <c r="D129" s="95">
        <f>SUMIFS(AS[[#All],[Member Count with Truncated Claims]],AS[[#All],[Reporting Year]],2021,AS[[#All],[Insurance Category Code]],A129,AS[[#All],[Large Provider Entity Code]],100)</f>
        <v>0</v>
      </c>
      <c r="E129" s="302">
        <f>SUMIFS(AS[[#All],[Member Count with Truncated Claims]],AS[[#All],[Reporting Year]],2022,AS[[#All],[Insurance Category Code]],A129,AS[[#All],[Large Provider Entity Code]],100)</f>
        <v>0</v>
      </c>
      <c r="F129" s="185">
        <f>SUMIFS(AS[[#All],[Total Non-Truncated Claims Spending]],AS[[#All],[Reporting Year]],2021,AS[[#All],[Insurance Category Code]],A129,AS[[#All],[Large Provider Entity Code]],100)</f>
        <v>0</v>
      </c>
      <c r="G129" s="96">
        <f>SUMIFS(AS[[#All],[Total Non-Truncated Claims Spending]],AS[[#All],[Reporting Year]],2022,AS[[#All],[Insurance Category Code]],A129,AS[[#All],[Large Provider Entity Code]],100)</f>
        <v>0</v>
      </c>
      <c r="H129" s="185">
        <f>SUMIFS(AS[[#All],[Total Truncated Claims Spending]],AS[[#All],[Reporting Year]],2021,AS[[#All],[Insurance Category Code]],A129,AS[[#All],[Large Provider Entity Code]],100)</f>
        <v>0</v>
      </c>
      <c r="I129" s="96">
        <f>SUMIFS(AS[[#All],[Total Truncated Claims Spending]],AS[[#All],[Reporting Year]],2022,AS[[#All],[Insurance Category Code]],A129,AS[[#All],[Large Provider Entity Code]],100)</f>
        <v>0</v>
      </c>
      <c r="J129" s="95">
        <f>SUMIFS(AS[[#All],[Member Months]],AS[[#All],[Reporting Year]],2021,AS[[#All],[Insurance Category Code]],A129,AS[[#All],[Large Provider Entity Code]],100,AS[[#All],[Sex Code]],1)</f>
        <v>0</v>
      </c>
      <c r="K129" s="302">
        <f>SUMIFS(AS[[#All],[Member Months]],AS[[#All],[Reporting Year]],2022,AS[[#All],[Insurance Category Code]],A129,AS[[#All],[Large Provider Entity Code]],100,AS[[#All],[Sex Code]],1)</f>
        <v>0</v>
      </c>
      <c r="L129" s="95">
        <f>SUMIFS(AS[[#All],[Member Months]],AS[[#All],[Reporting Year]],2021,AS[[#All],[Insurance Category Code]],A129,AS[[#All],[Large Provider Entity Code]],100,AS[[#All],[Sex Code]],2)</f>
        <v>0</v>
      </c>
      <c r="M129" s="8">
        <f>SUMIFS(AS[[#All],[Member Months]],AS[[#All],[Reporting Year]],2022,AS[[#All],[Insurance Category Code]],A129,AS[[#All],[Large Provider Entity Code]],100,AS[[#All],[Sex Code]],2)</f>
        <v>0</v>
      </c>
      <c r="N129" s="185">
        <f>SUMIFS(AS[[#All],[Claims Amount Excluded Due to Truncation]],AS[[#All],[Reporting Year]],2021,AS[[#All],[Insurance Category Code]],A129,AS[[#All],[Large Provider Entity Code]],100)</f>
        <v>0</v>
      </c>
      <c r="O129" s="96">
        <f>SUMIFS(AS[[#All],[Claims Amount Excluded Due to Truncation]],AS[[#All],[Reporting Year]],2022,AS[[#All],[Insurance Category Code]],A129,AS[[#All],[Large Provider Entity Code]],100)</f>
        <v>0</v>
      </c>
      <c r="P129"/>
      <c r="Q129"/>
      <c r="R129"/>
      <c r="S129"/>
      <c r="T129"/>
      <c r="U129"/>
      <c r="V129"/>
      <c r="W129"/>
      <c r="X129"/>
      <c r="Y129"/>
      <c r="Z129"/>
      <c r="AA129"/>
      <c r="AB129"/>
      <c r="AC129"/>
    </row>
    <row r="130" spans="1:51" x14ac:dyDescent="0.25">
      <c r="A130" s="53">
        <v>7</v>
      </c>
      <c r="B130" s="95">
        <f>SUMIFS(AS[[#All],[Member Months]],AS[[#All],[Reporting Year]],2021,AS[[#All],[Insurance Category Code]],A130,AS[[#All],[Large Provider Entity Code]],100)</f>
        <v>0</v>
      </c>
      <c r="C130" s="302">
        <f>SUMIFS(AS[[#All],[Member Months]],AS[[#All],[Reporting Year]],2022,AS[[#All],[Insurance Category Code]],A130,AS[[#All],[Large Provider Entity Code]],100)</f>
        <v>0</v>
      </c>
      <c r="D130" s="95">
        <f>SUMIFS(AS[[#All],[Member Count with Truncated Claims]],AS[[#All],[Reporting Year]],2021,AS[[#All],[Insurance Category Code]],A130,AS[[#All],[Large Provider Entity Code]],100)</f>
        <v>0</v>
      </c>
      <c r="E130" s="302">
        <f>SUMIFS(AS[[#All],[Member Count with Truncated Claims]],AS[[#All],[Reporting Year]],2022,AS[[#All],[Insurance Category Code]],A130,AS[[#All],[Large Provider Entity Code]],100)</f>
        <v>0</v>
      </c>
      <c r="F130" s="185">
        <f>SUMIFS(AS[[#All],[Total Non-Truncated Claims Spending]],AS[[#All],[Reporting Year]],2021,AS[[#All],[Insurance Category Code]],A130,AS[[#All],[Large Provider Entity Code]],100)</f>
        <v>0</v>
      </c>
      <c r="G130" s="96">
        <f>SUMIFS(AS[[#All],[Total Non-Truncated Claims Spending]],AS[[#All],[Reporting Year]],2022,AS[[#All],[Insurance Category Code]],A130,AS[[#All],[Large Provider Entity Code]],100)</f>
        <v>0</v>
      </c>
      <c r="H130" s="185">
        <f>SUMIFS(AS[[#All],[Total Truncated Claims Spending]],AS[[#All],[Reporting Year]],2021,AS[[#All],[Insurance Category Code]],A130,AS[[#All],[Large Provider Entity Code]],100)</f>
        <v>0</v>
      </c>
      <c r="I130" s="96">
        <f>SUMIFS(AS[[#All],[Total Truncated Claims Spending]],AS[[#All],[Reporting Year]],2022,AS[[#All],[Insurance Category Code]],A130,AS[[#All],[Large Provider Entity Code]],100)</f>
        <v>0</v>
      </c>
      <c r="J130" s="95">
        <f>SUMIFS(AS[[#All],[Member Months]],AS[[#All],[Reporting Year]],2021,AS[[#All],[Insurance Category Code]],A130,AS[[#All],[Large Provider Entity Code]],100,AS[[#All],[Sex Code]],1)</f>
        <v>0</v>
      </c>
      <c r="K130" s="302">
        <f>SUMIFS(AS[[#All],[Member Months]],AS[[#All],[Reporting Year]],2022,AS[[#All],[Insurance Category Code]],A130,AS[[#All],[Large Provider Entity Code]],100,AS[[#All],[Sex Code]],1)</f>
        <v>0</v>
      </c>
      <c r="L130" s="95">
        <f>SUMIFS(AS[[#All],[Member Months]],AS[[#All],[Reporting Year]],2021,AS[[#All],[Insurance Category Code]],A130,AS[[#All],[Large Provider Entity Code]],100,AS[[#All],[Sex Code]],2)</f>
        <v>0</v>
      </c>
      <c r="M130" s="8">
        <f>SUMIFS(AS[[#All],[Member Months]],AS[[#All],[Reporting Year]],2022,AS[[#All],[Insurance Category Code]],A130,AS[[#All],[Large Provider Entity Code]],100,AS[[#All],[Sex Code]],2)</f>
        <v>0</v>
      </c>
      <c r="N130" s="185">
        <f>SUMIFS(AS[[#All],[Claims Amount Excluded Due to Truncation]],AS[[#All],[Reporting Year]],2021,AS[[#All],[Insurance Category Code]],A130,AS[[#All],[Large Provider Entity Code]],100)</f>
        <v>0</v>
      </c>
      <c r="O130" s="96">
        <f>SUMIFS(AS[[#All],[Claims Amount Excluded Due to Truncation]],AS[[#All],[Reporting Year]],2022,AS[[#All],[Insurance Category Code]],A130,AS[[#All],[Large Provider Entity Code]],100)</f>
        <v>0</v>
      </c>
      <c r="P130"/>
      <c r="Q130"/>
      <c r="R130"/>
      <c r="S130"/>
      <c r="T130"/>
      <c r="U130"/>
      <c r="V130"/>
      <c r="W130"/>
      <c r="X130"/>
      <c r="Y130"/>
      <c r="Z130"/>
      <c r="AA130"/>
      <c r="AB130"/>
      <c r="AC130"/>
    </row>
    <row r="131" spans="1:51" x14ac:dyDescent="0.25">
      <c r="A131" s="304">
        <v>8</v>
      </c>
      <c r="B131" s="95">
        <f>SUMIFS(AS[[#All],[Member Months]],AS[[#All],[Reporting Year]],2021,AS[[#All],[Insurance Category Code]],A131,AS[[#All],[Large Provider Entity Code]],100)</f>
        <v>0</v>
      </c>
      <c r="C131" s="302">
        <f>SUMIFS(AS[[#All],[Member Months]],AS[[#All],[Reporting Year]],2022,AS[[#All],[Insurance Category Code]],A131,AS[[#All],[Large Provider Entity Code]],100)</f>
        <v>0</v>
      </c>
      <c r="D131" s="95">
        <f>SUMIFS(AS[[#All],[Member Count with Truncated Claims]],AS[[#All],[Reporting Year]],2021,AS[[#All],[Insurance Category Code]],A131,AS[[#All],[Large Provider Entity Code]],100)</f>
        <v>0</v>
      </c>
      <c r="E131" s="302">
        <f>SUMIFS(AS[[#All],[Member Count with Truncated Claims]],AS[[#All],[Reporting Year]],2022,AS[[#All],[Insurance Category Code]],A131,AS[[#All],[Large Provider Entity Code]],100)</f>
        <v>0</v>
      </c>
      <c r="F131" s="185">
        <f>SUMIFS(AS[[#All],[Total Non-Truncated Claims Spending]],AS[[#All],[Reporting Year]],2021,AS[[#All],[Insurance Category Code]],A131,AS[[#All],[Large Provider Entity Code]],100)</f>
        <v>0</v>
      </c>
      <c r="G131" s="96">
        <f>SUMIFS(AS[[#All],[Total Non-Truncated Claims Spending]],AS[[#All],[Reporting Year]],2022,AS[[#All],[Insurance Category Code]],A131,AS[[#All],[Large Provider Entity Code]],100)</f>
        <v>0</v>
      </c>
      <c r="H131" s="185">
        <f>SUMIFS(AS[[#All],[Total Truncated Claims Spending]],AS[[#All],[Reporting Year]],2021,AS[[#All],[Insurance Category Code]],A131,AS[[#All],[Large Provider Entity Code]],100)</f>
        <v>0</v>
      </c>
      <c r="I131" s="96">
        <f>SUMIFS(AS[[#All],[Total Truncated Claims Spending]],AS[[#All],[Reporting Year]],2022,AS[[#All],[Insurance Category Code]],A131,AS[[#All],[Large Provider Entity Code]],100)</f>
        <v>0</v>
      </c>
      <c r="J131" s="95">
        <f>SUMIFS(AS[[#All],[Member Months]],AS[[#All],[Reporting Year]],2021,AS[[#All],[Insurance Category Code]],A131,AS[[#All],[Large Provider Entity Code]],100,AS[[#All],[Sex Code]],1)</f>
        <v>0</v>
      </c>
      <c r="K131" s="302">
        <f>SUMIFS(AS[[#All],[Member Months]],AS[[#All],[Reporting Year]],2022,AS[[#All],[Insurance Category Code]],A131,AS[[#All],[Large Provider Entity Code]],100,AS[[#All],[Sex Code]],1)</f>
        <v>0</v>
      </c>
      <c r="L131" s="95">
        <f>SUMIFS(AS[[#All],[Member Months]],AS[[#All],[Reporting Year]],2021,AS[[#All],[Insurance Category Code]],A131,AS[[#All],[Large Provider Entity Code]],100,AS[[#All],[Sex Code]],2)</f>
        <v>0</v>
      </c>
      <c r="M131" s="8">
        <f>SUMIFS(AS[[#All],[Member Months]],AS[[#All],[Reporting Year]],2022,AS[[#All],[Insurance Category Code]],A131,AS[[#All],[Large Provider Entity Code]],100,AS[[#All],[Sex Code]],2)</f>
        <v>0</v>
      </c>
      <c r="N131" s="185">
        <f>SUMIFS(AS[[#All],[Claims Amount Excluded Due to Truncation]],AS[[#All],[Reporting Year]],2021,AS[[#All],[Insurance Category Code]],A131,AS[[#All],[Large Provider Entity Code]],100)</f>
        <v>0</v>
      </c>
      <c r="O131" s="96">
        <f>SUMIFS(AS[[#All],[Claims Amount Excluded Due to Truncation]],AS[[#All],[Reporting Year]],2022,AS[[#All],[Insurance Category Code]],A131,AS[[#All],[Large Provider Entity Code]],100)</f>
        <v>0</v>
      </c>
      <c r="P131"/>
      <c r="Q131"/>
      <c r="R131"/>
      <c r="S131"/>
      <c r="T131"/>
      <c r="U131"/>
      <c r="V131"/>
      <c r="W131"/>
      <c r="X131"/>
      <c r="Y131"/>
      <c r="Z131"/>
      <c r="AA131"/>
      <c r="AB131"/>
      <c r="AC131"/>
    </row>
    <row r="132" spans="1:51" x14ac:dyDescent="0.25">
      <c r="A132" s="1"/>
      <c r="B132" s="115"/>
      <c r="C132" s="115"/>
      <c r="D132" s="115"/>
      <c r="E132" s="115"/>
      <c r="F132" s="116"/>
      <c r="G132" s="116"/>
      <c r="H132" s="116"/>
      <c r="I132" s="116"/>
      <c r="J132" s="115"/>
      <c r="K132" s="115"/>
      <c r="L132" s="115"/>
      <c r="M132" s="115"/>
      <c r="N132" s="115"/>
      <c r="O132" s="115"/>
      <c r="P132" s="115"/>
      <c r="Q132" s="115"/>
      <c r="R132" s="115"/>
      <c r="S132" s="115"/>
      <c r="T132" s="115"/>
      <c r="U132" s="115"/>
      <c r="V132" s="115"/>
      <c r="W132" s="115"/>
      <c r="X132" s="115"/>
      <c r="Y132" s="115"/>
      <c r="Z132" s="115"/>
      <c r="AA132" s="115"/>
      <c r="AB132" s="115"/>
      <c r="AC132" s="115"/>
      <c r="AD132" s="184"/>
      <c r="AE132" s="184"/>
      <c r="AF132" s="184"/>
      <c r="AG132" s="184"/>
      <c r="AH132" s="305"/>
      <c r="AI132" s="305"/>
      <c r="AJ132" s="305"/>
      <c r="AK132" s="305"/>
      <c r="AL132" s="184"/>
      <c r="AM132" s="184"/>
      <c r="AN132" s="184"/>
      <c r="AO132" s="184"/>
      <c r="AP132" s="184"/>
      <c r="AQ132" s="184"/>
      <c r="AR132" s="184"/>
      <c r="AS132" s="184"/>
      <c r="AT132" s="184"/>
      <c r="AU132" s="184"/>
      <c r="AV132" s="184"/>
      <c r="AW132" s="184"/>
      <c r="AX132" s="184"/>
      <c r="AY132" s="184"/>
    </row>
    <row r="133" spans="1:51" x14ac:dyDescent="0.25">
      <c r="A133"/>
      <c r="B133"/>
      <c r="C133"/>
      <c r="D133"/>
      <c r="E133"/>
      <c r="F133"/>
      <c r="G133"/>
      <c r="H133"/>
      <c r="I133"/>
      <c r="J133"/>
      <c r="K133"/>
      <c r="L133"/>
      <c r="M133"/>
      <c r="N133"/>
      <c r="O133"/>
      <c r="P133"/>
      <c r="Q133"/>
      <c r="R133"/>
      <c r="S133"/>
      <c r="T133"/>
      <c r="U133"/>
      <c r="V133"/>
      <c r="W133"/>
      <c r="X133"/>
      <c r="Y133"/>
      <c r="Z133"/>
      <c r="AA133"/>
      <c r="AB133"/>
      <c r="AC133"/>
    </row>
    <row r="134" spans="1:51" x14ac:dyDescent="0.25">
      <c r="A134" s="4" t="s">
        <v>448</v>
      </c>
      <c r="B134"/>
      <c r="C134"/>
      <c r="D134"/>
      <c r="E134"/>
      <c r="F134"/>
      <c r="G134"/>
      <c r="H134"/>
      <c r="I134"/>
      <c r="J134"/>
      <c r="K134"/>
      <c r="L134" s="150"/>
      <c r="M134" s="150"/>
      <c r="N134"/>
      <c r="O134"/>
      <c r="P134"/>
      <c r="Q134"/>
      <c r="R134"/>
      <c r="S134"/>
      <c r="T134"/>
      <c r="U134"/>
      <c r="V134"/>
      <c r="W134"/>
      <c r="X134"/>
      <c r="Y134"/>
      <c r="Z134"/>
      <c r="AA134"/>
      <c r="AB134"/>
      <c r="AC134"/>
    </row>
    <row r="135" spans="1:51" ht="15.75" thickBot="1" x14ac:dyDescent="0.3">
      <c r="A135" s="659" t="s">
        <v>61</v>
      </c>
      <c r="B135" s="198">
        <v>2021</v>
      </c>
      <c r="C135" s="199">
        <v>2022</v>
      </c>
      <c r="D135" s="198">
        <v>2021</v>
      </c>
      <c r="E135" s="199">
        <v>2022</v>
      </c>
      <c r="F135" s="198">
        <v>2021</v>
      </c>
      <c r="G135" s="199">
        <v>2022</v>
      </c>
      <c r="H135" s="198">
        <v>2021</v>
      </c>
      <c r="I135" s="199">
        <v>2022</v>
      </c>
      <c r="J135" s="198">
        <v>2021</v>
      </c>
      <c r="K135" s="199">
        <v>2022</v>
      </c>
      <c r="L135" s="198">
        <v>2021</v>
      </c>
      <c r="M135" s="199">
        <v>2022</v>
      </c>
      <c r="N135" s="198">
        <v>2021</v>
      </c>
      <c r="O135" s="199">
        <v>2022</v>
      </c>
      <c r="P135" s="198">
        <v>2021</v>
      </c>
      <c r="Q135" s="199">
        <v>2022</v>
      </c>
      <c r="R135" s="198">
        <v>2021</v>
      </c>
      <c r="S135" s="199">
        <v>2022</v>
      </c>
      <c r="T135" s="198">
        <v>2021</v>
      </c>
      <c r="U135" s="199">
        <v>2022</v>
      </c>
      <c r="V135" s="198">
        <v>2021</v>
      </c>
      <c r="W135" s="199">
        <v>2022</v>
      </c>
      <c r="X135" s="198">
        <v>2021</v>
      </c>
      <c r="Y135" s="200">
        <v>2022</v>
      </c>
      <c r="Z135"/>
      <c r="AA135"/>
      <c r="AB135"/>
      <c r="AC135"/>
    </row>
    <row r="136" spans="1:51" s="49" customFormat="1" ht="30" customHeight="1" x14ac:dyDescent="0.25">
      <c r="A136" s="660"/>
      <c r="B136" s="648" t="s">
        <v>449</v>
      </c>
      <c r="C136" s="651"/>
      <c r="D136" s="648" t="s">
        <v>450</v>
      </c>
      <c r="E136" s="651"/>
      <c r="F136" s="648" t="s">
        <v>451</v>
      </c>
      <c r="G136" s="651"/>
      <c r="H136" s="648" t="s">
        <v>452</v>
      </c>
      <c r="I136" s="651"/>
      <c r="J136" s="648" t="s">
        <v>453</v>
      </c>
      <c r="K136" s="651"/>
      <c r="L136" s="648" t="s">
        <v>454</v>
      </c>
      <c r="M136" s="651"/>
      <c r="N136" s="648" t="s">
        <v>455</v>
      </c>
      <c r="O136" s="651"/>
      <c r="P136" s="648" t="s">
        <v>456</v>
      </c>
      <c r="Q136" s="651"/>
      <c r="R136" s="648" t="s">
        <v>457</v>
      </c>
      <c r="S136" s="651"/>
      <c r="T136" s="648" t="s">
        <v>458</v>
      </c>
      <c r="U136" s="651"/>
      <c r="V136" s="648" t="s">
        <v>459</v>
      </c>
      <c r="W136" s="651"/>
      <c r="X136" s="648" t="s">
        <v>460</v>
      </c>
      <c r="Y136" s="649"/>
      <c r="Z136" s="48"/>
      <c r="AA136" s="48"/>
      <c r="AB136" s="48"/>
      <c r="AC136" s="48"/>
    </row>
    <row r="137" spans="1:51" x14ac:dyDescent="0.25">
      <c r="A137" s="53">
        <v>1</v>
      </c>
      <c r="B137" s="95">
        <f>SUMIFS(AS[[#All],[Member Months]],AS[[#All],[Reporting Year]],2021,AS[[#All],[Insurance Category Code]],A137,AS[[#All],[Large Provider Entity Code]],100,AS[[#All],[Age Band Code]],1)</f>
        <v>0</v>
      </c>
      <c r="C137" s="302">
        <f>SUMIFS(AS[[#All],[Member Months]],AS[[#All],[Reporting Year]],2022,AS[[#All],[Insurance Category Code]],A137,AS[[#All],[Large Provider Entity Code]],100,AS[[#All],[Age Band Code]],1)</f>
        <v>0</v>
      </c>
      <c r="D137" s="95">
        <f>SUMIFS(AS[[#All],[Member Months]],AS[[#All],[Reporting Year]],2021,AS[[#All],[Insurance Category Code]],A137,AS[[#All],[Large Provider Entity Code]],100,AS[[#All],[Age Band Code]],2)</f>
        <v>0</v>
      </c>
      <c r="E137" s="302">
        <f>SUMIFS(AS[[#All],[Member Months]],AS[[#All],[Reporting Year]],2022,AS[[#All],[Insurance Category Code]],A137,AS[[#All],[Large Provider Entity Code]],100,AS[[#All],[Age Band Code]],2)</f>
        <v>0</v>
      </c>
      <c r="F137" s="95">
        <f>SUMIFS(AS[[#All],[Member Months]],AS[[#All],[Reporting Year]],2021,AS[[#All],[Insurance Category Code]],A137,AS[[#All],[Large Provider Entity Code]],100,AS[[#All],[Age Band Code]],3)</f>
        <v>0</v>
      </c>
      <c r="G137" s="302">
        <f>SUMIFS(AS[[#All],[Member Months]],AS[[#All],[Reporting Year]],2022,AS[[#All],[Insurance Category Code]],A137,AS[[#All],[Large Provider Entity Code]],100,AS[[#All],[Age Band Code]],3)</f>
        <v>0</v>
      </c>
      <c r="H137" s="95">
        <f>SUMIFS(AS[[#All],[Member Months]],AS[[#All],[Reporting Year]],2021,AS[[#All],[Insurance Category Code]],A137,AS[[#All],[Large Provider Entity Code]],100,AS[[#All],[Age Band Code]],3,AS[[#All],[Sex Code]],1)</f>
        <v>0</v>
      </c>
      <c r="I137" s="302">
        <f>SUMIFS(AS[[#All],[Member Months]],AS[[#All],[Reporting Year]],2022,AS[[#All],[Insurance Category Code]],A137,AS[[#All],[Large Provider Entity Code]],100,AS[[#All],[Age Band Code]],3,AS[[#All],[Sex Code]],1)</f>
        <v>0</v>
      </c>
      <c r="J137" s="95">
        <f>SUMIFS(AS[[#All],[Member Months]],AS[[#All],[Reporting Year]],2021,AS[[#All],[Insurance Category Code]],A137,AS[[#All],[Large Provider Entity Code]],100,AS[[#All],[Age Band Code]],3,AS[[#All],[Sex Code]],2)</f>
        <v>0</v>
      </c>
      <c r="K137" s="302">
        <f>SUMIFS(AS[[#All],[Member Months]],AS[[#All],[Reporting Year]],2022,AS[[#All],[Insurance Category Code]],A137,AS[[#All],[Large Provider Entity Code]],100,AS[[#All],[Age Band Code]],3,AS[[#All],[Sex Code]],2)</f>
        <v>0</v>
      </c>
      <c r="L137" s="95">
        <f>SUMIFS(AS[[#All],[Member Months]],AS[[#All],[Reporting Year]],2021,AS[[#All],[Insurance Category Code]],A137,AS[[#All],[Large Provider Entity Code]],100,AS[[#All],[Age Band Code]],4)</f>
        <v>0</v>
      </c>
      <c r="M137" s="302">
        <f>SUMIFS(AS[[#All],[Member Months]],AS[[#All],[Reporting Year]],2022,AS[[#All],[Insurance Category Code]],A137,AS[[#All],[Large Provider Entity Code]],100,AS[[#All],[Age Band Code]],4)</f>
        <v>0</v>
      </c>
      <c r="N137" s="95">
        <f>SUMIFS(AS[[#All],[Member Months]],AS[[#All],[Reporting Year]],2021,AS[[#All],[Insurance Category Code]],A137,AS[[#All],[Large Provider Entity Code]],100,AS[[#All],[Age Band Code]],5)</f>
        <v>0</v>
      </c>
      <c r="O137" s="302">
        <f>SUMIFS(AS[[#All],[Member Months]],AS[[#All],[Reporting Year]],2022,AS[[#All],[Insurance Category Code]],A137,AS[[#All],[Large Provider Entity Code]],100,AS[[#All],[Age Band Code]],5)</f>
        <v>0</v>
      </c>
      <c r="P137" s="95">
        <f>SUMIFS(AS[[#All],[Member Months]],AS[[#All],[Reporting Year]],2021,AS[[#All],[Insurance Category Code]],A137,AS[[#All],[Large Provider Entity Code]],100,AS[[#All],[Age Band Code]],6)</f>
        <v>0</v>
      </c>
      <c r="Q137" s="302">
        <f>SUMIFS(AS[[#All],[Member Months]],AS[[#All],[Reporting Year]],2022,AS[[#All],[Insurance Category Code]],A137,AS[[#All],[Large Provider Entity Code]],100,AS[[#All],[Age Band Code]],6)</f>
        <v>0</v>
      </c>
      <c r="R137" s="95">
        <f>SUMIFS(AS[[#All],[Member Months]],AS[[#All],[Reporting Year]],2021,AS[[#All],[Insurance Category Code]],A137,AS[[#All],[Large Provider Entity Code]],100,AS[[#All],[Age Band Code]],7)</f>
        <v>0</v>
      </c>
      <c r="S137" s="302">
        <f>SUMIFS(AS[[#All],[Member Months]],AS[[#All],[Reporting Year]],2022,AS[[#All],[Insurance Category Code]],A137,AS[[#All],[Large Provider Entity Code]],100,AS[[#All],[Age Band Code]],7)</f>
        <v>0</v>
      </c>
      <c r="T137" s="95">
        <f>SUMIFS(AS[[#All],[Member Months]],AS[[#All],[Reporting Year]],2021,AS[[#All],[Insurance Category Code]],A137,AS[[#All],[Large Provider Entity Code]],100,AS[[#All],[Age Band Code]],8)</f>
        <v>0</v>
      </c>
      <c r="U137" s="302">
        <f>SUMIFS(AS[[#All],[Member Months]],AS[[#All],[Reporting Year]],2022,AS[[#All],[Insurance Category Code]],A137,AS[[#All],[Large Provider Entity Code]],100,AS[[#All],[Age Band Code]],8)</f>
        <v>0</v>
      </c>
      <c r="V137" s="95">
        <f t="shared" ref="V137:V144" si="61">(B137+D137+F137+L137+N137)</f>
        <v>0</v>
      </c>
      <c r="W137" s="302">
        <f t="shared" ref="W137:W144" si="62">C137+E137+G137+M137+O137</f>
        <v>0</v>
      </c>
      <c r="X137" s="95">
        <f>(P137+R137+T137)</f>
        <v>0</v>
      </c>
      <c r="Y137" s="8">
        <f>(Q137+S137+U137)</f>
        <v>0</v>
      </c>
      <c r="Z137"/>
      <c r="AA137"/>
      <c r="AB137"/>
      <c r="AC137"/>
    </row>
    <row r="138" spans="1:51" x14ac:dyDescent="0.25">
      <c r="A138" s="53">
        <v>2</v>
      </c>
      <c r="B138" s="95">
        <f>SUMIFS(AS[[#All],[Member Months]],AS[[#All],[Reporting Year]],2021,AS[[#All],[Insurance Category Code]],A138,AS[[#All],[Large Provider Entity Code]],100,AS[[#All],[Age Band Code]],1)</f>
        <v>0</v>
      </c>
      <c r="C138" s="302">
        <f>SUMIFS(AS[[#All],[Member Months]],AS[[#All],[Reporting Year]],2022,AS[[#All],[Insurance Category Code]],A138,AS[[#All],[Large Provider Entity Code]],100,AS[[#All],[Age Band Code]],1)</f>
        <v>0</v>
      </c>
      <c r="D138" s="95">
        <f>SUMIFS(AS[[#All],[Member Months]],AS[[#All],[Reporting Year]],2021,AS[[#All],[Insurance Category Code]],A138,AS[[#All],[Large Provider Entity Code]],100,AS[[#All],[Age Band Code]],2)</f>
        <v>0</v>
      </c>
      <c r="E138" s="302">
        <f>SUMIFS(AS[[#All],[Member Months]],AS[[#All],[Reporting Year]],2022,AS[[#All],[Insurance Category Code]],A138,AS[[#All],[Large Provider Entity Code]],100,AS[[#All],[Age Band Code]],2)</f>
        <v>0</v>
      </c>
      <c r="F138" s="95">
        <f>SUMIFS(AS[[#All],[Member Months]],AS[[#All],[Reporting Year]],2021,AS[[#All],[Insurance Category Code]],A138,AS[[#All],[Large Provider Entity Code]],100,AS[[#All],[Age Band Code]],3)</f>
        <v>0</v>
      </c>
      <c r="G138" s="302">
        <f>SUMIFS(AS[[#All],[Member Months]],AS[[#All],[Reporting Year]],2022,AS[[#All],[Insurance Category Code]],A138,AS[[#All],[Large Provider Entity Code]],100,AS[[#All],[Age Band Code]],3)</f>
        <v>0</v>
      </c>
      <c r="H138" s="95">
        <f>SUMIFS(AS[[#All],[Member Months]],AS[[#All],[Reporting Year]],2021,AS[[#All],[Insurance Category Code]],A138,AS[[#All],[Large Provider Entity Code]],100,AS[[#All],[Age Band Code]],3,AS[[#All],[Sex Code]],1)</f>
        <v>0</v>
      </c>
      <c r="I138" s="302">
        <f>SUMIFS(AS[[#All],[Member Months]],AS[[#All],[Reporting Year]],2022,AS[[#All],[Insurance Category Code]],A138,AS[[#All],[Large Provider Entity Code]],100,AS[[#All],[Age Band Code]],3,AS[[#All],[Sex Code]],1)</f>
        <v>0</v>
      </c>
      <c r="J138" s="95">
        <f>SUMIFS(AS[[#All],[Member Months]],AS[[#All],[Reporting Year]],2021,AS[[#All],[Insurance Category Code]],A138,AS[[#All],[Large Provider Entity Code]],100,AS[[#All],[Age Band Code]],3,AS[[#All],[Sex Code]],2)</f>
        <v>0</v>
      </c>
      <c r="K138" s="302">
        <f>SUMIFS(AS[[#All],[Member Months]],AS[[#All],[Reporting Year]],2022,AS[[#All],[Insurance Category Code]],A138,AS[[#All],[Large Provider Entity Code]],100,AS[[#All],[Age Band Code]],3,AS[[#All],[Sex Code]],2)</f>
        <v>0</v>
      </c>
      <c r="L138" s="95">
        <f>SUMIFS(AS[[#All],[Member Months]],AS[[#All],[Reporting Year]],2021,AS[[#All],[Insurance Category Code]],A138,AS[[#All],[Large Provider Entity Code]],100,AS[[#All],[Age Band Code]],4)</f>
        <v>0</v>
      </c>
      <c r="M138" s="302">
        <f>SUMIFS(AS[[#All],[Member Months]],AS[[#All],[Reporting Year]],2022,AS[[#All],[Insurance Category Code]],A138,AS[[#All],[Large Provider Entity Code]],100,AS[[#All],[Age Band Code]],4)</f>
        <v>0</v>
      </c>
      <c r="N138" s="95">
        <f>SUMIFS(AS[[#All],[Member Months]],AS[[#All],[Reporting Year]],2021,AS[[#All],[Insurance Category Code]],A138,AS[[#All],[Large Provider Entity Code]],100,AS[[#All],[Age Band Code]],5)</f>
        <v>0</v>
      </c>
      <c r="O138" s="302">
        <f>SUMIFS(AS[[#All],[Member Months]],AS[[#All],[Reporting Year]],2022,AS[[#All],[Insurance Category Code]],A138,AS[[#All],[Large Provider Entity Code]],100,AS[[#All],[Age Band Code]],5)</f>
        <v>0</v>
      </c>
      <c r="P138" s="95">
        <f>SUMIFS(AS[[#All],[Member Months]],AS[[#All],[Reporting Year]],2021,AS[[#All],[Insurance Category Code]],A138,AS[[#All],[Large Provider Entity Code]],100,AS[[#All],[Age Band Code]],6)</f>
        <v>0</v>
      </c>
      <c r="Q138" s="302">
        <f>SUMIFS(AS[[#All],[Member Months]],AS[[#All],[Reporting Year]],2022,AS[[#All],[Insurance Category Code]],A138,AS[[#All],[Large Provider Entity Code]],100,AS[[#All],[Age Band Code]],6)</f>
        <v>0</v>
      </c>
      <c r="R138" s="95">
        <f>SUMIFS(AS[[#All],[Member Months]],AS[[#All],[Reporting Year]],2021,AS[[#All],[Insurance Category Code]],A138,AS[[#All],[Large Provider Entity Code]],100,AS[[#All],[Age Band Code]],7)</f>
        <v>0</v>
      </c>
      <c r="S138" s="302">
        <f>SUMIFS(AS[[#All],[Member Months]],AS[[#All],[Reporting Year]],2022,AS[[#All],[Insurance Category Code]],A138,AS[[#All],[Large Provider Entity Code]],100,AS[[#All],[Age Band Code]],7)</f>
        <v>0</v>
      </c>
      <c r="T138" s="95">
        <f>SUMIFS(AS[[#All],[Member Months]],AS[[#All],[Reporting Year]],2021,AS[[#All],[Insurance Category Code]],A138,AS[[#All],[Large Provider Entity Code]],100,AS[[#All],[Age Band Code]],8)</f>
        <v>0</v>
      </c>
      <c r="U138" s="302">
        <f>SUMIFS(AS[[#All],[Member Months]],AS[[#All],[Reporting Year]],2022,AS[[#All],[Insurance Category Code]],A138,AS[[#All],[Large Provider Entity Code]],100,AS[[#All],[Age Band Code]],8)</f>
        <v>0</v>
      </c>
      <c r="V138" s="95">
        <f t="shared" si="61"/>
        <v>0</v>
      </c>
      <c r="W138" s="302">
        <f t="shared" si="62"/>
        <v>0</v>
      </c>
      <c r="X138" s="95">
        <f t="shared" ref="X138:X144" si="63">(P138+R138+T138)</f>
        <v>0</v>
      </c>
      <c r="Y138" s="8">
        <f t="shared" ref="Y138:Y144" si="64">(Q138+S138+U138)</f>
        <v>0</v>
      </c>
      <c r="Z138"/>
      <c r="AA138"/>
      <c r="AB138"/>
      <c r="AC138"/>
    </row>
    <row r="139" spans="1:51" x14ac:dyDescent="0.25">
      <c r="A139" s="53">
        <v>3</v>
      </c>
      <c r="B139" s="95">
        <f>SUMIFS(AS[[#All],[Member Months]],AS[[#All],[Reporting Year]],2021,AS[[#All],[Insurance Category Code]],A139,AS[[#All],[Large Provider Entity Code]],100,AS[[#All],[Age Band Code]],1)</f>
        <v>0</v>
      </c>
      <c r="C139" s="302">
        <f>SUMIFS(AS[[#All],[Member Months]],AS[[#All],[Reporting Year]],2022,AS[[#All],[Insurance Category Code]],A139,AS[[#All],[Large Provider Entity Code]],100,AS[[#All],[Age Band Code]],1)</f>
        <v>0</v>
      </c>
      <c r="D139" s="95">
        <f>SUMIFS(AS[[#All],[Member Months]],AS[[#All],[Reporting Year]],2021,AS[[#All],[Insurance Category Code]],A139,AS[[#All],[Large Provider Entity Code]],100,AS[[#All],[Age Band Code]],2)</f>
        <v>0</v>
      </c>
      <c r="E139" s="302">
        <f>SUMIFS(AS[[#All],[Member Months]],AS[[#All],[Reporting Year]],2022,AS[[#All],[Insurance Category Code]],A139,AS[[#All],[Large Provider Entity Code]],100,AS[[#All],[Age Band Code]],2)</f>
        <v>0</v>
      </c>
      <c r="F139" s="95">
        <f>SUMIFS(AS[[#All],[Member Months]],AS[[#All],[Reporting Year]],2021,AS[[#All],[Insurance Category Code]],A139,AS[[#All],[Large Provider Entity Code]],100,AS[[#All],[Age Band Code]],3)</f>
        <v>0</v>
      </c>
      <c r="G139" s="302">
        <f>SUMIFS(AS[[#All],[Member Months]],AS[[#All],[Reporting Year]],2022,AS[[#All],[Insurance Category Code]],A139,AS[[#All],[Large Provider Entity Code]],100,AS[[#All],[Age Band Code]],3)</f>
        <v>0</v>
      </c>
      <c r="H139" s="95">
        <f>SUMIFS(AS[[#All],[Member Months]],AS[[#All],[Reporting Year]],2021,AS[[#All],[Insurance Category Code]],A139,AS[[#All],[Large Provider Entity Code]],100,AS[[#All],[Age Band Code]],3,AS[[#All],[Sex Code]],1)</f>
        <v>0</v>
      </c>
      <c r="I139" s="302">
        <f>SUMIFS(AS[[#All],[Member Months]],AS[[#All],[Reporting Year]],2022,AS[[#All],[Insurance Category Code]],A139,AS[[#All],[Large Provider Entity Code]],100,AS[[#All],[Age Band Code]],3,AS[[#All],[Sex Code]],1)</f>
        <v>0</v>
      </c>
      <c r="J139" s="95">
        <f>SUMIFS(AS[[#All],[Member Months]],AS[[#All],[Reporting Year]],2021,AS[[#All],[Insurance Category Code]],A139,AS[[#All],[Large Provider Entity Code]],100,AS[[#All],[Age Band Code]],3,AS[[#All],[Sex Code]],2)</f>
        <v>0</v>
      </c>
      <c r="K139" s="302">
        <f>SUMIFS(AS[[#All],[Member Months]],AS[[#All],[Reporting Year]],2022,AS[[#All],[Insurance Category Code]],A139,AS[[#All],[Large Provider Entity Code]],100,AS[[#All],[Age Band Code]],3,AS[[#All],[Sex Code]],2)</f>
        <v>0</v>
      </c>
      <c r="L139" s="95">
        <f>SUMIFS(AS[[#All],[Member Months]],AS[[#All],[Reporting Year]],2021,AS[[#All],[Insurance Category Code]],A139,AS[[#All],[Large Provider Entity Code]],100,AS[[#All],[Age Band Code]],4)</f>
        <v>0</v>
      </c>
      <c r="M139" s="302">
        <f>SUMIFS(AS[[#All],[Member Months]],AS[[#All],[Reporting Year]],2022,AS[[#All],[Insurance Category Code]],A139,AS[[#All],[Large Provider Entity Code]],100,AS[[#All],[Age Band Code]],4)</f>
        <v>0</v>
      </c>
      <c r="N139" s="95">
        <f>SUMIFS(AS[[#All],[Member Months]],AS[[#All],[Reporting Year]],2021,AS[[#All],[Insurance Category Code]],A139,AS[[#All],[Large Provider Entity Code]],100,AS[[#All],[Age Band Code]],5)</f>
        <v>0</v>
      </c>
      <c r="O139" s="302">
        <f>SUMIFS(AS[[#All],[Member Months]],AS[[#All],[Reporting Year]],2022,AS[[#All],[Insurance Category Code]],A139,AS[[#All],[Large Provider Entity Code]],100,AS[[#All],[Age Band Code]],5)</f>
        <v>0</v>
      </c>
      <c r="P139" s="95">
        <f>SUMIFS(AS[[#All],[Member Months]],AS[[#All],[Reporting Year]],2021,AS[[#All],[Insurance Category Code]],A139,AS[[#All],[Large Provider Entity Code]],100,AS[[#All],[Age Band Code]],6)</f>
        <v>0</v>
      </c>
      <c r="Q139" s="302">
        <f>SUMIFS(AS[[#All],[Member Months]],AS[[#All],[Reporting Year]],2022,AS[[#All],[Insurance Category Code]],A139,AS[[#All],[Large Provider Entity Code]],100,AS[[#All],[Age Band Code]],6)</f>
        <v>0</v>
      </c>
      <c r="R139" s="95">
        <f>SUMIFS(AS[[#All],[Member Months]],AS[[#All],[Reporting Year]],2021,AS[[#All],[Insurance Category Code]],A139,AS[[#All],[Large Provider Entity Code]],100,AS[[#All],[Age Band Code]],7)</f>
        <v>0</v>
      </c>
      <c r="S139" s="302">
        <f>SUMIFS(AS[[#All],[Member Months]],AS[[#All],[Reporting Year]],2022,AS[[#All],[Insurance Category Code]],A139,AS[[#All],[Large Provider Entity Code]],100,AS[[#All],[Age Band Code]],7)</f>
        <v>0</v>
      </c>
      <c r="T139" s="95">
        <f>SUMIFS(AS[[#All],[Member Months]],AS[[#All],[Reporting Year]],2021,AS[[#All],[Insurance Category Code]],A139,AS[[#All],[Large Provider Entity Code]],100,AS[[#All],[Age Band Code]],8)</f>
        <v>0</v>
      </c>
      <c r="U139" s="302">
        <f>SUMIFS(AS[[#All],[Member Months]],AS[[#All],[Reporting Year]],2022,AS[[#All],[Insurance Category Code]],A139,AS[[#All],[Large Provider Entity Code]],100,AS[[#All],[Age Band Code]],8)</f>
        <v>0</v>
      </c>
      <c r="V139" s="95">
        <f t="shared" si="61"/>
        <v>0</v>
      </c>
      <c r="W139" s="302">
        <f t="shared" si="62"/>
        <v>0</v>
      </c>
      <c r="X139" s="95">
        <f t="shared" si="63"/>
        <v>0</v>
      </c>
      <c r="Y139" s="8">
        <f t="shared" si="64"/>
        <v>0</v>
      </c>
      <c r="Z139"/>
      <c r="AA139"/>
      <c r="AB139"/>
      <c r="AC139"/>
    </row>
    <row r="140" spans="1:51" x14ac:dyDescent="0.25">
      <c r="A140" s="53">
        <v>4</v>
      </c>
      <c r="B140" s="95">
        <f>SUMIFS(AS[[#All],[Member Months]],AS[[#All],[Reporting Year]],2021,AS[[#All],[Insurance Category Code]],A140,AS[[#All],[Large Provider Entity Code]],100,AS[[#All],[Age Band Code]],1)</f>
        <v>0</v>
      </c>
      <c r="C140" s="302">
        <f>SUMIFS(AS[[#All],[Member Months]],AS[[#All],[Reporting Year]],2022,AS[[#All],[Insurance Category Code]],A140,AS[[#All],[Large Provider Entity Code]],100,AS[[#All],[Age Band Code]],1)</f>
        <v>0</v>
      </c>
      <c r="D140" s="95">
        <f>SUMIFS(AS[[#All],[Member Months]],AS[[#All],[Reporting Year]],2021,AS[[#All],[Insurance Category Code]],A140,AS[[#All],[Large Provider Entity Code]],100,AS[[#All],[Age Band Code]],2)</f>
        <v>0</v>
      </c>
      <c r="E140" s="302">
        <f>SUMIFS(AS[[#All],[Member Months]],AS[[#All],[Reporting Year]],2022,AS[[#All],[Insurance Category Code]],A140,AS[[#All],[Large Provider Entity Code]],100,AS[[#All],[Age Band Code]],2)</f>
        <v>0</v>
      </c>
      <c r="F140" s="95">
        <f>SUMIFS(AS[[#All],[Member Months]],AS[[#All],[Reporting Year]],2021,AS[[#All],[Insurance Category Code]],A140,AS[[#All],[Large Provider Entity Code]],100,AS[[#All],[Age Band Code]],3)</f>
        <v>0</v>
      </c>
      <c r="G140" s="302">
        <f>SUMIFS(AS[[#All],[Member Months]],AS[[#All],[Reporting Year]],2022,AS[[#All],[Insurance Category Code]],A140,AS[[#All],[Large Provider Entity Code]],100,AS[[#All],[Age Band Code]],3)</f>
        <v>0</v>
      </c>
      <c r="H140" s="95">
        <f>SUMIFS(AS[[#All],[Member Months]],AS[[#All],[Reporting Year]],2021,AS[[#All],[Insurance Category Code]],A140,AS[[#All],[Large Provider Entity Code]],100,AS[[#All],[Age Band Code]],3,AS[[#All],[Sex Code]],1)</f>
        <v>0</v>
      </c>
      <c r="I140" s="302">
        <f>SUMIFS(AS[[#All],[Member Months]],AS[[#All],[Reporting Year]],2022,AS[[#All],[Insurance Category Code]],A140,AS[[#All],[Large Provider Entity Code]],100,AS[[#All],[Age Band Code]],3,AS[[#All],[Sex Code]],1)</f>
        <v>0</v>
      </c>
      <c r="J140" s="95">
        <f>SUMIFS(AS[[#All],[Member Months]],AS[[#All],[Reporting Year]],2021,AS[[#All],[Insurance Category Code]],A140,AS[[#All],[Large Provider Entity Code]],100,AS[[#All],[Age Band Code]],3,AS[[#All],[Sex Code]],2)</f>
        <v>0</v>
      </c>
      <c r="K140" s="302">
        <f>SUMIFS(AS[[#All],[Member Months]],AS[[#All],[Reporting Year]],2022,AS[[#All],[Insurance Category Code]],A140,AS[[#All],[Large Provider Entity Code]],100,AS[[#All],[Age Band Code]],3,AS[[#All],[Sex Code]],2)</f>
        <v>0</v>
      </c>
      <c r="L140" s="95">
        <f>SUMIFS(AS[[#All],[Member Months]],AS[[#All],[Reporting Year]],2021,AS[[#All],[Insurance Category Code]],A140,AS[[#All],[Large Provider Entity Code]],100,AS[[#All],[Age Band Code]],4)</f>
        <v>0</v>
      </c>
      <c r="M140" s="302">
        <f>SUMIFS(AS[[#All],[Member Months]],AS[[#All],[Reporting Year]],2022,AS[[#All],[Insurance Category Code]],A140,AS[[#All],[Large Provider Entity Code]],100,AS[[#All],[Age Band Code]],4)</f>
        <v>0</v>
      </c>
      <c r="N140" s="95">
        <f>SUMIFS(AS[[#All],[Member Months]],AS[[#All],[Reporting Year]],2021,AS[[#All],[Insurance Category Code]],A140,AS[[#All],[Large Provider Entity Code]],100,AS[[#All],[Age Band Code]],5)</f>
        <v>0</v>
      </c>
      <c r="O140" s="302">
        <f>SUMIFS(AS[[#All],[Member Months]],AS[[#All],[Reporting Year]],2022,AS[[#All],[Insurance Category Code]],A140,AS[[#All],[Large Provider Entity Code]],100,AS[[#All],[Age Band Code]],5)</f>
        <v>0</v>
      </c>
      <c r="P140" s="95">
        <f>SUMIFS(AS[[#All],[Member Months]],AS[[#All],[Reporting Year]],2021,AS[[#All],[Insurance Category Code]],A140,AS[[#All],[Large Provider Entity Code]],100,AS[[#All],[Age Band Code]],6)</f>
        <v>0</v>
      </c>
      <c r="Q140" s="302">
        <f>SUMIFS(AS[[#All],[Member Months]],AS[[#All],[Reporting Year]],2022,AS[[#All],[Insurance Category Code]],A140,AS[[#All],[Large Provider Entity Code]],100,AS[[#All],[Age Band Code]],6)</f>
        <v>0</v>
      </c>
      <c r="R140" s="95">
        <f>SUMIFS(AS[[#All],[Member Months]],AS[[#All],[Reporting Year]],2021,AS[[#All],[Insurance Category Code]],A140,AS[[#All],[Large Provider Entity Code]],100,AS[[#All],[Age Band Code]],7)</f>
        <v>0</v>
      </c>
      <c r="S140" s="302">
        <f>SUMIFS(AS[[#All],[Member Months]],AS[[#All],[Reporting Year]],2022,AS[[#All],[Insurance Category Code]],A140,AS[[#All],[Large Provider Entity Code]],100,AS[[#All],[Age Band Code]],7)</f>
        <v>0</v>
      </c>
      <c r="T140" s="95">
        <f>SUMIFS(AS[[#All],[Member Months]],AS[[#All],[Reporting Year]],2021,AS[[#All],[Insurance Category Code]],A140,AS[[#All],[Large Provider Entity Code]],100,AS[[#All],[Age Band Code]],8)</f>
        <v>0</v>
      </c>
      <c r="U140" s="302">
        <f>SUMIFS(AS[[#All],[Member Months]],AS[[#All],[Reporting Year]],2022,AS[[#All],[Insurance Category Code]],A140,AS[[#All],[Large Provider Entity Code]],100,AS[[#All],[Age Band Code]],8)</f>
        <v>0</v>
      </c>
      <c r="V140" s="95">
        <f t="shared" si="61"/>
        <v>0</v>
      </c>
      <c r="W140" s="302">
        <f t="shared" si="62"/>
        <v>0</v>
      </c>
      <c r="X140" s="95">
        <f t="shared" si="63"/>
        <v>0</v>
      </c>
      <c r="Y140" s="8">
        <f t="shared" si="64"/>
        <v>0</v>
      </c>
      <c r="Z140"/>
      <c r="AA140"/>
      <c r="AB140"/>
      <c r="AC140"/>
    </row>
    <row r="141" spans="1:51" x14ac:dyDescent="0.25">
      <c r="A141" s="53">
        <v>5</v>
      </c>
      <c r="B141" s="95">
        <f>SUMIFS(AS[[#All],[Member Months]],AS[[#All],[Reporting Year]],2021,AS[[#All],[Insurance Category Code]],A141,AS[[#All],[Large Provider Entity Code]],100,AS[[#All],[Age Band Code]],1)</f>
        <v>0</v>
      </c>
      <c r="C141" s="302">
        <f>SUMIFS(AS[[#All],[Member Months]],AS[[#All],[Reporting Year]],2022,AS[[#All],[Insurance Category Code]],A141,AS[[#All],[Large Provider Entity Code]],100,AS[[#All],[Age Band Code]],1)</f>
        <v>0</v>
      </c>
      <c r="D141" s="95">
        <f>SUMIFS(AS[[#All],[Member Months]],AS[[#All],[Reporting Year]],2021,AS[[#All],[Insurance Category Code]],A141,AS[[#All],[Large Provider Entity Code]],100,AS[[#All],[Age Band Code]],2)</f>
        <v>0</v>
      </c>
      <c r="E141" s="302">
        <f>SUMIFS(AS[[#All],[Member Months]],AS[[#All],[Reporting Year]],2022,AS[[#All],[Insurance Category Code]],A141,AS[[#All],[Large Provider Entity Code]],100,AS[[#All],[Age Band Code]],2)</f>
        <v>0</v>
      </c>
      <c r="F141" s="95">
        <f>SUMIFS(AS[[#All],[Member Months]],AS[[#All],[Reporting Year]],2021,AS[[#All],[Insurance Category Code]],A141,AS[[#All],[Large Provider Entity Code]],100,AS[[#All],[Age Band Code]],3)</f>
        <v>0</v>
      </c>
      <c r="G141" s="302">
        <f>SUMIFS(AS[[#All],[Member Months]],AS[[#All],[Reporting Year]],2022,AS[[#All],[Insurance Category Code]],A141,AS[[#All],[Large Provider Entity Code]],100,AS[[#All],[Age Band Code]],3)</f>
        <v>0</v>
      </c>
      <c r="H141" s="95">
        <f>SUMIFS(AS[[#All],[Member Months]],AS[[#All],[Reporting Year]],2021,AS[[#All],[Insurance Category Code]],A141,AS[[#All],[Large Provider Entity Code]],100,AS[[#All],[Age Band Code]],3,AS[[#All],[Sex Code]],1)</f>
        <v>0</v>
      </c>
      <c r="I141" s="302">
        <f>SUMIFS(AS[[#All],[Member Months]],AS[[#All],[Reporting Year]],2022,AS[[#All],[Insurance Category Code]],A141,AS[[#All],[Large Provider Entity Code]],100,AS[[#All],[Age Band Code]],3,AS[[#All],[Sex Code]],1)</f>
        <v>0</v>
      </c>
      <c r="J141" s="95">
        <f>SUMIFS(AS[[#All],[Member Months]],AS[[#All],[Reporting Year]],2021,AS[[#All],[Insurance Category Code]],A141,AS[[#All],[Large Provider Entity Code]],100,AS[[#All],[Age Band Code]],3,AS[[#All],[Sex Code]],2)</f>
        <v>0</v>
      </c>
      <c r="K141" s="302">
        <f>SUMIFS(AS[[#All],[Member Months]],AS[[#All],[Reporting Year]],2022,AS[[#All],[Insurance Category Code]],A141,AS[[#All],[Large Provider Entity Code]],100,AS[[#All],[Age Band Code]],3,AS[[#All],[Sex Code]],2)</f>
        <v>0</v>
      </c>
      <c r="L141" s="95">
        <f>SUMIFS(AS[[#All],[Member Months]],AS[[#All],[Reporting Year]],2021,AS[[#All],[Insurance Category Code]],A141,AS[[#All],[Large Provider Entity Code]],100,AS[[#All],[Age Band Code]],4)</f>
        <v>0</v>
      </c>
      <c r="M141" s="302">
        <f>SUMIFS(AS[[#All],[Member Months]],AS[[#All],[Reporting Year]],2022,AS[[#All],[Insurance Category Code]],A141,AS[[#All],[Large Provider Entity Code]],100,AS[[#All],[Age Band Code]],4)</f>
        <v>0</v>
      </c>
      <c r="N141" s="95">
        <f>SUMIFS(AS[[#All],[Member Months]],AS[[#All],[Reporting Year]],2021,AS[[#All],[Insurance Category Code]],A141,AS[[#All],[Large Provider Entity Code]],100,AS[[#All],[Age Band Code]],5)</f>
        <v>0</v>
      </c>
      <c r="O141" s="302">
        <f>SUMIFS(AS[[#All],[Member Months]],AS[[#All],[Reporting Year]],2022,AS[[#All],[Insurance Category Code]],A141,AS[[#All],[Large Provider Entity Code]],100,AS[[#All],[Age Band Code]],5)</f>
        <v>0</v>
      </c>
      <c r="P141" s="95">
        <f>SUMIFS(AS[[#All],[Member Months]],AS[[#All],[Reporting Year]],2021,AS[[#All],[Insurance Category Code]],A141,AS[[#All],[Large Provider Entity Code]],100,AS[[#All],[Age Band Code]],6)</f>
        <v>0</v>
      </c>
      <c r="Q141" s="302">
        <f>SUMIFS(AS[[#All],[Member Months]],AS[[#All],[Reporting Year]],2022,AS[[#All],[Insurance Category Code]],A141,AS[[#All],[Large Provider Entity Code]],100,AS[[#All],[Age Band Code]],6)</f>
        <v>0</v>
      </c>
      <c r="R141" s="95">
        <f>SUMIFS(AS[[#All],[Member Months]],AS[[#All],[Reporting Year]],2021,AS[[#All],[Insurance Category Code]],A141,AS[[#All],[Large Provider Entity Code]],100,AS[[#All],[Age Band Code]],7)</f>
        <v>0</v>
      </c>
      <c r="S141" s="302">
        <f>SUMIFS(AS[[#All],[Member Months]],AS[[#All],[Reporting Year]],2022,AS[[#All],[Insurance Category Code]],A141,AS[[#All],[Large Provider Entity Code]],100,AS[[#All],[Age Band Code]],7)</f>
        <v>0</v>
      </c>
      <c r="T141" s="95">
        <f>SUMIFS(AS[[#All],[Member Months]],AS[[#All],[Reporting Year]],2021,AS[[#All],[Insurance Category Code]],A141,AS[[#All],[Large Provider Entity Code]],100,AS[[#All],[Age Band Code]],8)</f>
        <v>0</v>
      </c>
      <c r="U141" s="302">
        <f>SUMIFS(AS[[#All],[Member Months]],AS[[#All],[Reporting Year]],2022,AS[[#All],[Insurance Category Code]],A141,AS[[#All],[Large Provider Entity Code]],100,AS[[#All],[Age Band Code]],8)</f>
        <v>0</v>
      </c>
      <c r="V141" s="95">
        <f t="shared" si="61"/>
        <v>0</v>
      </c>
      <c r="W141" s="302">
        <f t="shared" si="62"/>
        <v>0</v>
      </c>
      <c r="X141" s="95">
        <f t="shared" si="63"/>
        <v>0</v>
      </c>
      <c r="Y141" s="8">
        <f t="shared" si="64"/>
        <v>0</v>
      </c>
      <c r="Z141"/>
      <c r="AA141"/>
      <c r="AB141"/>
      <c r="AC141"/>
    </row>
    <row r="142" spans="1:51" x14ac:dyDescent="0.25">
      <c r="A142" s="53">
        <v>6</v>
      </c>
      <c r="B142" s="95">
        <f>SUMIFS(AS[[#All],[Member Months]],AS[[#All],[Reporting Year]],2021,AS[[#All],[Insurance Category Code]],A142,AS[[#All],[Large Provider Entity Code]],100,AS[[#All],[Age Band Code]],1)</f>
        <v>0</v>
      </c>
      <c r="C142" s="302">
        <f>SUMIFS(AS[[#All],[Member Months]],AS[[#All],[Reporting Year]],2022,AS[[#All],[Insurance Category Code]],A142,AS[[#All],[Large Provider Entity Code]],100,AS[[#All],[Age Band Code]],1)</f>
        <v>0</v>
      </c>
      <c r="D142" s="95">
        <f>SUMIFS(AS[[#All],[Member Months]],AS[[#All],[Reporting Year]],2021,AS[[#All],[Insurance Category Code]],A142,AS[[#All],[Large Provider Entity Code]],100,AS[[#All],[Age Band Code]],2)</f>
        <v>0</v>
      </c>
      <c r="E142" s="302">
        <f>SUMIFS(AS[[#All],[Member Months]],AS[[#All],[Reporting Year]],2022,AS[[#All],[Insurance Category Code]],A142,AS[[#All],[Large Provider Entity Code]],100,AS[[#All],[Age Band Code]],2)</f>
        <v>0</v>
      </c>
      <c r="F142" s="95">
        <f>SUMIFS(AS[[#All],[Member Months]],AS[[#All],[Reporting Year]],2021,AS[[#All],[Insurance Category Code]],A142,AS[[#All],[Large Provider Entity Code]],100,AS[[#All],[Age Band Code]],3)</f>
        <v>0</v>
      </c>
      <c r="G142" s="302">
        <f>SUMIFS(AS[[#All],[Member Months]],AS[[#All],[Reporting Year]],2022,AS[[#All],[Insurance Category Code]],A142,AS[[#All],[Large Provider Entity Code]],100,AS[[#All],[Age Band Code]],3)</f>
        <v>0</v>
      </c>
      <c r="H142" s="95">
        <f>SUMIFS(AS[[#All],[Member Months]],AS[[#All],[Reporting Year]],2021,AS[[#All],[Insurance Category Code]],A142,AS[[#All],[Large Provider Entity Code]],100,AS[[#All],[Age Band Code]],3,AS[[#All],[Sex Code]],1)</f>
        <v>0</v>
      </c>
      <c r="I142" s="302">
        <f>SUMIFS(AS[[#All],[Member Months]],AS[[#All],[Reporting Year]],2022,AS[[#All],[Insurance Category Code]],A142,AS[[#All],[Large Provider Entity Code]],100,AS[[#All],[Age Band Code]],3,AS[[#All],[Sex Code]],1)</f>
        <v>0</v>
      </c>
      <c r="J142" s="95">
        <f>SUMIFS(AS[[#All],[Member Months]],AS[[#All],[Reporting Year]],2021,AS[[#All],[Insurance Category Code]],A142,AS[[#All],[Large Provider Entity Code]],100,AS[[#All],[Age Band Code]],3,AS[[#All],[Sex Code]],2)</f>
        <v>0</v>
      </c>
      <c r="K142" s="302">
        <f>SUMIFS(AS[[#All],[Member Months]],AS[[#All],[Reporting Year]],2022,AS[[#All],[Insurance Category Code]],A142,AS[[#All],[Large Provider Entity Code]],100,AS[[#All],[Age Band Code]],3,AS[[#All],[Sex Code]],2)</f>
        <v>0</v>
      </c>
      <c r="L142" s="95">
        <f>SUMIFS(AS[[#All],[Member Months]],AS[[#All],[Reporting Year]],2021,AS[[#All],[Insurance Category Code]],A142,AS[[#All],[Large Provider Entity Code]],100,AS[[#All],[Age Band Code]],4)</f>
        <v>0</v>
      </c>
      <c r="M142" s="302">
        <f>SUMIFS(AS[[#All],[Member Months]],AS[[#All],[Reporting Year]],2022,AS[[#All],[Insurance Category Code]],A142,AS[[#All],[Large Provider Entity Code]],100,AS[[#All],[Age Band Code]],4)</f>
        <v>0</v>
      </c>
      <c r="N142" s="95">
        <f>SUMIFS(AS[[#All],[Member Months]],AS[[#All],[Reporting Year]],2021,AS[[#All],[Insurance Category Code]],A142,AS[[#All],[Large Provider Entity Code]],100,AS[[#All],[Age Band Code]],5)</f>
        <v>0</v>
      </c>
      <c r="O142" s="302">
        <f>SUMIFS(AS[[#All],[Member Months]],AS[[#All],[Reporting Year]],2022,AS[[#All],[Insurance Category Code]],A142,AS[[#All],[Large Provider Entity Code]],100,AS[[#All],[Age Band Code]],5)</f>
        <v>0</v>
      </c>
      <c r="P142" s="95">
        <f>SUMIFS(AS[[#All],[Member Months]],AS[[#All],[Reporting Year]],2021,AS[[#All],[Insurance Category Code]],A142,AS[[#All],[Large Provider Entity Code]],100,AS[[#All],[Age Band Code]],6)</f>
        <v>0</v>
      </c>
      <c r="Q142" s="302">
        <f>SUMIFS(AS[[#All],[Member Months]],AS[[#All],[Reporting Year]],2022,AS[[#All],[Insurance Category Code]],A142,AS[[#All],[Large Provider Entity Code]],100,AS[[#All],[Age Band Code]],6)</f>
        <v>0</v>
      </c>
      <c r="R142" s="95">
        <f>SUMIFS(AS[[#All],[Member Months]],AS[[#All],[Reporting Year]],2021,AS[[#All],[Insurance Category Code]],A142,AS[[#All],[Large Provider Entity Code]],100,AS[[#All],[Age Band Code]],7)</f>
        <v>0</v>
      </c>
      <c r="S142" s="302">
        <f>SUMIFS(AS[[#All],[Member Months]],AS[[#All],[Reporting Year]],2022,AS[[#All],[Insurance Category Code]],A142,AS[[#All],[Large Provider Entity Code]],100,AS[[#All],[Age Band Code]],7)</f>
        <v>0</v>
      </c>
      <c r="T142" s="95">
        <f>SUMIFS(AS[[#All],[Member Months]],AS[[#All],[Reporting Year]],2021,AS[[#All],[Insurance Category Code]],A142,AS[[#All],[Large Provider Entity Code]],100,AS[[#All],[Age Band Code]],8)</f>
        <v>0</v>
      </c>
      <c r="U142" s="302">
        <f>SUMIFS(AS[[#All],[Member Months]],AS[[#All],[Reporting Year]],2022,AS[[#All],[Insurance Category Code]],A142,AS[[#All],[Large Provider Entity Code]],100,AS[[#All],[Age Band Code]],8)</f>
        <v>0</v>
      </c>
      <c r="V142" s="95">
        <f t="shared" si="61"/>
        <v>0</v>
      </c>
      <c r="W142" s="302">
        <f t="shared" si="62"/>
        <v>0</v>
      </c>
      <c r="X142" s="95">
        <f t="shared" si="63"/>
        <v>0</v>
      </c>
      <c r="Y142" s="8">
        <f t="shared" si="64"/>
        <v>0</v>
      </c>
      <c r="Z142"/>
      <c r="AA142"/>
      <c r="AB142"/>
      <c r="AC142"/>
    </row>
    <row r="143" spans="1:51" x14ac:dyDescent="0.25">
      <c r="A143" s="53">
        <v>7</v>
      </c>
      <c r="B143" s="95">
        <f>SUMIFS(AS[[#All],[Member Months]],AS[[#All],[Reporting Year]],2021,AS[[#All],[Insurance Category Code]],A143,AS[[#All],[Large Provider Entity Code]],100,AS[[#All],[Age Band Code]],1)</f>
        <v>0</v>
      </c>
      <c r="C143" s="302">
        <f>SUMIFS(AS[[#All],[Member Months]],AS[[#All],[Reporting Year]],2022,AS[[#All],[Insurance Category Code]],A143,AS[[#All],[Large Provider Entity Code]],100,AS[[#All],[Age Band Code]],1)</f>
        <v>0</v>
      </c>
      <c r="D143" s="95">
        <f>SUMIFS(AS[[#All],[Member Months]],AS[[#All],[Reporting Year]],2021,AS[[#All],[Insurance Category Code]],A143,AS[[#All],[Large Provider Entity Code]],100,AS[[#All],[Age Band Code]],2)</f>
        <v>0</v>
      </c>
      <c r="E143" s="302">
        <f>SUMIFS(AS[[#All],[Member Months]],AS[[#All],[Reporting Year]],2022,AS[[#All],[Insurance Category Code]],A143,AS[[#All],[Large Provider Entity Code]],100,AS[[#All],[Age Band Code]],2)</f>
        <v>0</v>
      </c>
      <c r="F143" s="95">
        <f>SUMIFS(AS[[#All],[Member Months]],AS[[#All],[Reporting Year]],2021,AS[[#All],[Insurance Category Code]],A143,AS[[#All],[Large Provider Entity Code]],100,AS[[#All],[Age Band Code]],3)</f>
        <v>0</v>
      </c>
      <c r="G143" s="302">
        <f>SUMIFS(AS[[#All],[Member Months]],AS[[#All],[Reporting Year]],2022,AS[[#All],[Insurance Category Code]],A143,AS[[#All],[Large Provider Entity Code]],100,AS[[#All],[Age Band Code]],3)</f>
        <v>0</v>
      </c>
      <c r="H143" s="95">
        <f>SUMIFS(AS[[#All],[Member Months]],AS[[#All],[Reporting Year]],2021,AS[[#All],[Insurance Category Code]],A143,AS[[#All],[Large Provider Entity Code]],100,AS[[#All],[Age Band Code]],3,AS[[#All],[Sex Code]],1)</f>
        <v>0</v>
      </c>
      <c r="I143" s="302">
        <f>SUMIFS(AS[[#All],[Member Months]],AS[[#All],[Reporting Year]],2022,AS[[#All],[Insurance Category Code]],A143,AS[[#All],[Large Provider Entity Code]],100,AS[[#All],[Age Band Code]],3,AS[[#All],[Sex Code]],1)</f>
        <v>0</v>
      </c>
      <c r="J143" s="95">
        <f>SUMIFS(AS[[#All],[Member Months]],AS[[#All],[Reporting Year]],2021,AS[[#All],[Insurance Category Code]],A143,AS[[#All],[Large Provider Entity Code]],100,AS[[#All],[Age Band Code]],3,AS[[#All],[Sex Code]],2)</f>
        <v>0</v>
      </c>
      <c r="K143" s="302">
        <f>SUMIFS(AS[[#All],[Member Months]],AS[[#All],[Reporting Year]],2022,AS[[#All],[Insurance Category Code]],A143,AS[[#All],[Large Provider Entity Code]],100,AS[[#All],[Age Band Code]],3,AS[[#All],[Sex Code]],2)</f>
        <v>0</v>
      </c>
      <c r="L143" s="95">
        <f>SUMIFS(AS[[#All],[Member Months]],AS[[#All],[Reporting Year]],2021,AS[[#All],[Insurance Category Code]],A143,AS[[#All],[Large Provider Entity Code]],100,AS[[#All],[Age Band Code]],4)</f>
        <v>0</v>
      </c>
      <c r="M143" s="302">
        <f>SUMIFS(AS[[#All],[Member Months]],AS[[#All],[Reporting Year]],2022,AS[[#All],[Insurance Category Code]],A143,AS[[#All],[Large Provider Entity Code]],100,AS[[#All],[Age Band Code]],4)</f>
        <v>0</v>
      </c>
      <c r="N143" s="95">
        <f>SUMIFS(AS[[#All],[Member Months]],AS[[#All],[Reporting Year]],2021,AS[[#All],[Insurance Category Code]],A143,AS[[#All],[Large Provider Entity Code]],100,AS[[#All],[Age Band Code]],5)</f>
        <v>0</v>
      </c>
      <c r="O143" s="302">
        <f>SUMIFS(AS[[#All],[Member Months]],AS[[#All],[Reporting Year]],2022,AS[[#All],[Insurance Category Code]],A143,AS[[#All],[Large Provider Entity Code]],100,AS[[#All],[Age Band Code]],5)</f>
        <v>0</v>
      </c>
      <c r="P143" s="95">
        <f>SUMIFS(AS[[#All],[Member Months]],AS[[#All],[Reporting Year]],2021,AS[[#All],[Insurance Category Code]],A143,AS[[#All],[Large Provider Entity Code]],100,AS[[#All],[Age Band Code]],6)</f>
        <v>0</v>
      </c>
      <c r="Q143" s="302">
        <f>SUMIFS(AS[[#All],[Member Months]],AS[[#All],[Reporting Year]],2022,AS[[#All],[Insurance Category Code]],A143,AS[[#All],[Large Provider Entity Code]],100,AS[[#All],[Age Band Code]],6)</f>
        <v>0</v>
      </c>
      <c r="R143" s="95">
        <f>SUMIFS(AS[[#All],[Member Months]],AS[[#All],[Reporting Year]],2021,AS[[#All],[Insurance Category Code]],A143,AS[[#All],[Large Provider Entity Code]],100,AS[[#All],[Age Band Code]],7)</f>
        <v>0</v>
      </c>
      <c r="S143" s="302">
        <f>SUMIFS(AS[[#All],[Member Months]],AS[[#All],[Reporting Year]],2022,AS[[#All],[Insurance Category Code]],A143,AS[[#All],[Large Provider Entity Code]],100,AS[[#All],[Age Band Code]],7)</f>
        <v>0</v>
      </c>
      <c r="T143" s="95">
        <f>SUMIFS(AS[[#All],[Member Months]],AS[[#All],[Reporting Year]],2021,AS[[#All],[Insurance Category Code]],A143,AS[[#All],[Large Provider Entity Code]],100,AS[[#All],[Age Band Code]],8)</f>
        <v>0</v>
      </c>
      <c r="U143" s="302">
        <f>SUMIFS(AS[[#All],[Member Months]],AS[[#All],[Reporting Year]],2022,AS[[#All],[Insurance Category Code]],A143,AS[[#All],[Large Provider Entity Code]],100,AS[[#All],[Age Band Code]],8)</f>
        <v>0</v>
      </c>
      <c r="V143" s="95">
        <f t="shared" si="61"/>
        <v>0</v>
      </c>
      <c r="W143" s="302">
        <f t="shared" si="62"/>
        <v>0</v>
      </c>
      <c r="X143" s="95">
        <f t="shared" si="63"/>
        <v>0</v>
      </c>
      <c r="Y143" s="8">
        <f t="shared" si="64"/>
        <v>0</v>
      </c>
      <c r="Z143"/>
      <c r="AA143"/>
      <c r="AB143"/>
      <c r="AC143"/>
    </row>
    <row r="144" spans="1:51" x14ac:dyDescent="0.25">
      <c r="A144" s="304">
        <v>8</v>
      </c>
      <c r="B144" s="95">
        <f>SUMIFS(AS[[#All],[Member Months]],AS[[#All],[Reporting Year]],2021,AS[[#All],[Insurance Category Code]],A144,AS[[#All],[Large Provider Entity Code]],100,AS[[#All],[Age Band Code]],1)</f>
        <v>0</v>
      </c>
      <c r="C144" s="302">
        <f>SUMIFS(AS[[#All],[Member Months]],AS[[#All],[Reporting Year]],2022,AS[[#All],[Insurance Category Code]],A144,AS[[#All],[Large Provider Entity Code]],100,AS[[#All],[Age Band Code]],1)</f>
        <v>0</v>
      </c>
      <c r="D144" s="95">
        <f>SUMIFS(AS[[#All],[Member Months]],AS[[#All],[Reporting Year]],2021,AS[[#All],[Insurance Category Code]],A144,AS[[#All],[Large Provider Entity Code]],100,AS[[#All],[Age Band Code]],2)</f>
        <v>0</v>
      </c>
      <c r="E144" s="302">
        <f>SUMIFS(AS[[#All],[Member Months]],AS[[#All],[Reporting Year]],2022,AS[[#All],[Insurance Category Code]],A144,AS[[#All],[Large Provider Entity Code]],100,AS[[#All],[Age Band Code]],2)</f>
        <v>0</v>
      </c>
      <c r="F144" s="95">
        <f>SUMIFS(AS[[#All],[Member Months]],AS[[#All],[Reporting Year]],2021,AS[[#All],[Insurance Category Code]],A144,AS[[#All],[Large Provider Entity Code]],100,AS[[#All],[Age Band Code]],3)</f>
        <v>0</v>
      </c>
      <c r="G144" s="302">
        <f>SUMIFS(AS[[#All],[Member Months]],AS[[#All],[Reporting Year]],2022,AS[[#All],[Insurance Category Code]],A144,AS[[#All],[Large Provider Entity Code]],100,AS[[#All],[Age Band Code]],3)</f>
        <v>0</v>
      </c>
      <c r="H144" s="95">
        <f>SUMIFS(AS[[#All],[Member Months]],AS[[#All],[Reporting Year]],2021,AS[[#All],[Insurance Category Code]],A144,AS[[#All],[Large Provider Entity Code]],100,AS[[#All],[Age Band Code]],3,AS[[#All],[Sex Code]],1)</f>
        <v>0</v>
      </c>
      <c r="I144" s="302">
        <f>SUMIFS(AS[[#All],[Member Months]],AS[[#All],[Reporting Year]],2022,AS[[#All],[Insurance Category Code]],A144,AS[[#All],[Large Provider Entity Code]],100,AS[[#All],[Age Band Code]],3,AS[[#All],[Sex Code]],1)</f>
        <v>0</v>
      </c>
      <c r="J144" s="95">
        <f>SUMIFS(AS[[#All],[Member Months]],AS[[#All],[Reporting Year]],2021,AS[[#All],[Insurance Category Code]],A144,AS[[#All],[Large Provider Entity Code]],100,AS[[#All],[Age Band Code]],3,AS[[#All],[Sex Code]],2)</f>
        <v>0</v>
      </c>
      <c r="K144" s="302">
        <f>SUMIFS(AS[[#All],[Member Months]],AS[[#All],[Reporting Year]],2022,AS[[#All],[Insurance Category Code]],A144,AS[[#All],[Large Provider Entity Code]],100,AS[[#All],[Age Band Code]],3,AS[[#All],[Sex Code]],2)</f>
        <v>0</v>
      </c>
      <c r="L144" s="95">
        <f>SUMIFS(AS[[#All],[Member Months]],AS[[#All],[Reporting Year]],2021,AS[[#All],[Insurance Category Code]],A144,AS[[#All],[Large Provider Entity Code]],100,AS[[#All],[Age Band Code]],4)</f>
        <v>0</v>
      </c>
      <c r="M144" s="302">
        <f>SUMIFS(AS[[#All],[Member Months]],AS[[#All],[Reporting Year]],2022,AS[[#All],[Insurance Category Code]],A144,AS[[#All],[Large Provider Entity Code]],100,AS[[#All],[Age Band Code]],4)</f>
        <v>0</v>
      </c>
      <c r="N144" s="95">
        <f>SUMIFS(AS[[#All],[Member Months]],AS[[#All],[Reporting Year]],2021,AS[[#All],[Insurance Category Code]],A144,AS[[#All],[Large Provider Entity Code]],100,AS[[#All],[Age Band Code]],5)</f>
        <v>0</v>
      </c>
      <c r="O144" s="302">
        <f>SUMIFS(AS[[#All],[Member Months]],AS[[#All],[Reporting Year]],2022,AS[[#All],[Insurance Category Code]],A144,AS[[#All],[Large Provider Entity Code]],100,AS[[#All],[Age Band Code]],5)</f>
        <v>0</v>
      </c>
      <c r="P144" s="95">
        <f>SUMIFS(AS[[#All],[Member Months]],AS[[#All],[Reporting Year]],2021,AS[[#All],[Insurance Category Code]],A144,AS[[#All],[Large Provider Entity Code]],100,AS[[#All],[Age Band Code]],6)</f>
        <v>0</v>
      </c>
      <c r="Q144" s="302">
        <f>SUMIFS(AS[[#All],[Member Months]],AS[[#All],[Reporting Year]],2022,AS[[#All],[Insurance Category Code]],A144,AS[[#All],[Large Provider Entity Code]],100,AS[[#All],[Age Band Code]],6)</f>
        <v>0</v>
      </c>
      <c r="R144" s="95">
        <f>SUMIFS(AS[[#All],[Member Months]],AS[[#All],[Reporting Year]],2021,AS[[#All],[Insurance Category Code]],A144,AS[[#All],[Large Provider Entity Code]],100,AS[[#All],[Age Band Code]],7)</f>
        <v>0</v>
      </c>
      <c r="S144" s="302">
        <f>SUMIFS(AS[[#All],[Member Months]],AS[[#All],[Reporting Year]],2022,AS[[#All],[Insurance Category Code]],A144,AS[[#All],[Large Provider Entity Code]],100,AS[[#All],[Age Band Code]],7)</f>
        <v>0</v>
      </c>
      <c r="T144" s="95">
        <f>SUMIFS(AS[[#All],[Member Months]],AS[[#All],[Reporting Year]],2021,AS[[#All],[Insurance Category Code]],A144,AS[[#All],[Large Provider Entity Code]],100,AS[[#All],[Age Band Code]],8)</f>
        <v>0</v>
      </c>
      <c r="U144" s="302">
        <f>SUMIFS(AS[[#All],[Member Months]],AS[[#All],[Reporting Year]],2022,AS[[#All],[Insurance Category Code]],A144,AS[[#All],[Large Provider Entity Code]],100,AS[[#All],[Age Band Code]],8)</f>
        <v>0</v>
      </c>
      <c r="V144" s="95">
        <f t="shared" si="61"/>
        <v>0</v>
      </c>
      <c r="W144" s="302">
        <f t="shared" si="62"/>
        <v>0</v>
      </c>
      <c r="X144" s="95">
        <f t="shared" si="63"/>
        <v>0</v>
      </c>
      <c r="Y144" s="8">
        <f t="shared" si="64"/>
        <v>0</v>
      </c>
      <c r="Z144"/>
      <c r="AA144"/>
      <c r="AB144"/>
      <c r="AC144"/>
    </row>
    <row r="145" spans="1:51" x14ac:dyDescent="0.25">
      <c r="A145" s="1"/>
      <c r="B145" s="115"/>
      <c r="C145" s="115"/>
      <c r="D145" s="115"/>
      <c r="E145" s="115"/>
      <c r="F145" s="116"/>
      <c r="G145" s="116"/>
      <c r="H145" s="116"/>
      <c r="I145" s="116"/>
      <c r="J145" s="115"/>
      <c r="K145" s="115"/>
      <c r="L145" s="115"/>
      <c r="M145" s="115"/>
      <c r="N145" s="115"/>
      <c r="O145" s="115"/>
      <c r="P145" s="115"/>
      <c r="Q145" s="115"/>
      <c r="R145" s="115"/>
      <c r="S145" s="115"/>
      <c r="T145" s="115"/>
      <c r="U145" s="115"/>
      <c r="V145" s="115"/>
      <c r="W145" s="115"/>
      <c r="X145" s="115"/>
      <c r="Y145" s="115"/>
      <c r="Z145" s="115"/>
      <c r="AA145" s="115"/>
      <c r="AB145" s="115"/>
      <c r="AC145" s="115"/>
      <c r="AD145" s="184"/>
      <c r="AE145" s="184"/>
      <c r="AF145" s="184"/>
      <c r="AG145" s="184"/>
      <c r="AH145" s="305"/>
      <c r="AI145" s="305"/>
      <c r="AJ145" s="305"/>
      <c r="AK145" s="305"/>
      <c r="AL145" s="184"/>
      <c r="AM145" s="184"/>
      <c r="AN145" s="184"/>
      <c r="AO145" s="184"/>
      <c r="AP145" s="184"/>
      <c r="AQ145" s="184"/>
      <c r="AR145" s="184"/>
      <c r="AS145" s="184"/>
      <c r="AT145" s="184"/>
      <c r="AU145" s="184"/>
      <c r="AV145" s="184"/>
      <c r="AW145" s="184"/>
      <c r="AX145" s="184"/>
      <c r="AY145" s="184"/>
    </row>
    <row r="146" spans="1:51" x14ac:dyDescent="0.25">
      <c r="A146"/>
      <c r="B146"/>
      <c r="C146"/>
      <c r="D146"/>
      <c r="E146"/>
      <c r="F146"/>
      <c r="G146"/>
      <c r="H146"/>
      <c r="I146"/>
      <c r="J146"/>
      <c r="K146"/>
      <c r="L146"/>
      <c r="M146"/>
      <c r="N146"/>
      <c r="O146"/>
      <c r="P146"/>
      <c r="Q146"/>
      <c r="R146"/>
      <c r="S146"/>
      <c r="T146"/>
      <c r="U146"/>
      <c r="V146"/>
      <c r="W146"/>
      <c r="X146"/>
      <c r="Y146"/>
      <c r="Z146"/>
      <c r="AA146"/>
      <c r="AB146"/>
      <c r="AC146"/>
    </row>
    <row r="147" spans="1:51" x14ac:dyDescent="0.25">
      <c r="A147" s="4" t="s">
        <v>461</v>
      </c>
      <c r="B147"/>
      <c r="C147"/>
      <c r="D147"/>
      <c r="E147"/>
      <c r="F147"/>
      <c r="G147"/>
      <c r="H147"/>
      <c r="I147"/>
      <c r="J147"/>
      <c r="K147"/>
      <c r="L147" s="150"/>
      <c r="M147" s="150"/>
      <c r="N147"/>
      <c r="O147"/>
      <c r="P147"/>
      <c r="Q147"/>
      <c r="R147"/>
      <c r="S147"/>
      <c r="T147"/>
      <c r="U147"/>
      <c r="V147"/>
      <c r="W147"/>
      <c r="X147"/>
      <c r="Y147"/>
      <c r="Z147"/>
      <c r="AA147"/>
      <c r="AB147"/>
      <c r="AC147"/>
    </row>
    <row r="148" spans="1:51" ht="15.75" thickBot="1" x14ac:dyDescent="0.3">
      <c r="A148" s="659" t="s">
        <v>61</v>
      </c>
      <c r="B148" s="198">
        <v>2021</v>
      </c>
      <c r="C148" s="199">
        <v>2022</v>
      </c>
      <c r="D148" s="198">
        <v>2021</v>
      </c>
      <c r="E148" s="199">
        <v>2022</v>
      </c>
      <c r="F148" s="198">
        <v>2021</v>
      </c>
      <c r="G148" s="199">
        <v>2022</v>
      </c>
      <c r="H148" s="201">
        <v>2021</v>
      </c>
      <c r="I148" s="202">
        <v>2022</v>
      </c>
      <c r="J148" s="201">
        <v>2021</v>
      </c>
      <c r="K148" s="202">
        <v>2022</v>
      </c>
      <c r="L148" s="198">
        <v>2021</v>
      </c>
      <c r="M148" s="199">
        <v>2022</v>
      </c>
      <c r="N148" s="198">
        <v>2021</v>
      </c>
      <c r="O148" s="199">
        <v>2022</v>
      </c>
      <c r="P148" s="198">
        <v>2021</v>
      </c>
      <c r="Q148" s="199">
        <v>2022</v>
      </c>
      <c r="R148" s="198">
        <v>2021</v>
      </c>
      <c r="S148" s="199">
        <v>2022</v>
      </c>
      <c r="T148" s="198">
        <v>2021</v>
      </c>
      <c r="U148" s="199">
        <v>2022</v>
      </c>
      <c r="V148" s="198">
        <v>2021</v>
      </c>
      <c r="W148" s="200">
        <v>2022</v>
      </c>
      <c r="X148" s="198">
        <v>2021</v>
      </c>
      <c r="Y148" s="200">
        <v>2022</v>
      </c>
      <c r="Z148"/>
      <c r="AA148"/>
      <c r="AB148"/>
      <c r="AC148"/>
    </row>
    <row r="149" spans="1:51" ht="30" customHeight="1" x14ac:dyDescent="0.25">
      <c r="A149" s="660"/>
      <c r="B149" s="650" t="s">
        <v>462</v>
      </c>
      <c r="C149" s="651"/>
      <c r="D149" s="650" t="s">
        <v>463</v>
      </c>
      <c r="E149" s="651"/>
      <c r="F149" s="648" t="s">
        <v>464</v>
      </c>
      <c r="G149" s="651"/>
      <c r="H149" s="648" t="s">
        <v>433</v>
      </c>
      <c r="I149" s="651"/>
      <c r="J149" s="648" t="s">
        <v>434</v>
      </c>
      <c r="K149" s="651"/>
      <c r="L149" s="648" t="s">
        <v>465</v>
      </c>
      <c r="M149" s="651"/>
      <c r="N149" s="648" t="s">
        <v>466</v>
      </c>
      <c r="O149" s="651"/>
      <c r="P149" s="648" t="s">
        <v>467</v>
      </c>
      <c r="Q149" s="651"/>
      <c r="R149" s="648" t="s">
        <v>468</v>
      </c>
      <c r="S149" s="651"/>
      <c r="T149" s="648" t="s">
        <v>469</v>
      </c>
      <c r="U149" s="651"/>
      <c r="V149" s="648" t="s">
        <v>470</v>
      </c>
      <c r="W149" s="649"/>
      <c r="X149" s="648" t="s">
        <v>471</v>
      </c>
      <c r="Y149" s="649"/>
      <c r="Z149"/>
      <c r="AA149"/>
      <c r="AB149"/>
      <c r="AC149"/>
    </row>
    <row r="150" spans="1:51" x14ac:dyDescent="0.25">
      <c r="A150" s="53">
        <v>1</v>
      </c>
      <c r="B150" s="185">
        <f>SUMIFS(AS[[#All],[Total Non-Truncated Claims Spending]],AS[[#All],[Reporting Year]],2021,AS[[#All],[Insurance Category Code]],A150,AS[[#All],[Large Provider Entity Code]],100,AS[[#All],[Age Band Code]],1)</f>
        <v>0</v>
      </c>
      <c r="C150" s="96">
        <f>SUMIFS(AS[[#All],[Total Non-Truncated Claims Spending]],AS[[#All],[Reporting Year]],2022,AS[[#All],[Insurance Category Code]],A150,AS[[#All],[Large Provider Entity Code]],100,AS[[#All],[Age Band Code]],1)</f>
        <v>0</v>
      </c>
      <c r="D150" s="185">
        <f>SUMIFS(AS[[#All],[Total Non-Truncated Claims Spending]],AS[[#All],[Reporting Year]],2021,AS[[#All],[Insurance Category Code]],A150,AS[[#All],[Large Provider Entity Code]],100,AS[[#All],[Age Band Code]],2)</f>
        <v>0</v>
      </c>
      <c r="E150" s="96">
        <f>SUMIFS(AS[[#All],[Total Non-Truncated Claims Spending]],AS[[#All],[Reporting Year]],2022,AS[[#All],[Insurance Category Code]],A150,AS[[#All],[Large Provider Entity Code]],100,AS[[#All],[Age Band Code]],2)</f>
        <v>0</v>
      </c>
      <c r="F150" s="185">
        <f>SUMIFS(AS[[#All],[Total Non-Truncated Claims Spending]],AS[[#All],[Reporting Year]],2021,AS[[#All],[Insurance Category Code]],A150,AS[[#All],[Large Provider Entity Code]],100,AS[[#All],[Age Band Code]],3)</f>
        <v>0</v>
      </c>
      <c r="G150" s="96">
        <f>SUMIFS(AS[[#All],[Total Non-Truncated Claims Spending]],AS[[#All],[Reporting Year]],2022,AS[[#All],[Insurance Category Code]],A150,AS[[#All],[Large Provider Entity Code]],100,AS[[#All],[Age Band Code]],3)</f>
        <v>0</v>
      </c>
      <c r="H150" s="185">
        <f>SUMIFS(AS[[#All],[Total Non-Truncated Claims Spending]],AS[[#All],[Reporting Year]],2021,AS[[#All],[Insurance Category Code]],A150,AS[[#All],[Large Provider Entity Code]],100,AS[[#All],[Age Band Code]],3,AS[[#All],[Sex Code]],1)</f>
        <v>0</v>
      </c>
      <c r="I150" s="96">
        <f>SUMIFS(AS[[#All],[Total Non-Truncated Claims Spending]],AS[[#All],[Reporting Year]],2022,AS[[#All],[Insurance Category Code]],A150,AS[[#All],[Large Provider Entity Code]],100,AS[[#All],[Age Band Code]],3,AS[[#All],[Sex Code]],1)</f>
        <v>0</v>
      </c>
      <c r="J150" s="185">
        <f>SUMIFS(AS[[#All],[Total Non-Truncated Claims Spending]],AS[[#All],[Reporting Year]],2021,AS[[#All],[Insurance Category Code]],A150,AS[[#All],[Large Provider Entity Code]],100,AS[[#All],[Age Band Code]],3,AS[[#All],[Sex Code]],2)</f>
        <v>0</v>
      </c>
      <c r="K150" s="96">
        <f>SUMIFS(AS[[#All],[Total Non-Truncated Claims Spending]],AS[[#All],[Reporting Year]],2022,AS[[#All],[Insurance Category Code]],A150,AS[[#All],[Large Provider Entity Code]],100,AS[[#All],[Age Band Code]],3,AS[[#All],[Sex Code]],2)</f>
        <v>0</v>
      </c>
      <c r="L150" s="185">
        <f>SUMIFS(AS[[#All],[Total Non-Truncated Claims Spending]],AS[[#All],[Reporting Year]],2021,AS[[#All],[Insurance Category Code]],A150,AS[[#All],[Large Provider Entity Code]],100,AS[[#All],[Age Band Code]],4)</f>
        <v>0</v>
      </c>
      <c r="M150" s="96">
        <f>SUMIFS(AS[[#All],[Total Non-Truncated Claims Spending]],AS[[#All],[Reporting Year]],2022,AS[[#All],[Insurance Category Code]],A150,AS[[#All],[Large Provider Entity Code]],100,AS[[#All],[Age Band Code]],4)</f>
        <v>0</v>
      </c>
      <c r="N150" s="185">
        <f>SUMIFS(AS[[#All],[Total Non-Truncated Claims Spending]],AS[[#All],[Reporting Year]],2021,AS[[#All],[Insurance Category Code]],A150,AS[[#All],[Large Provider Entity Code]],100,AS[[#All],[Age Band Code]],5)</f>
        <v>0</v>
      </c>
      <c r="O150" s="96">
        <f>SUMIFS(AS[[#All],[Total Non-Truncated Claims Spending]],AS[[#All],[Reporting Year]],2022,AS[[#All],[Insurance Category Code]],A150,AS[[#All],[Large Provider Entity Code]],100,AS[[#All],[Age Band Code]],5)</f>
        <v>0</v>
      </c>
      <c r="P150" s="185">
        <f>SUMIFS(AS[[#All],[Total Non-Truncated Claims Spending]],AS[[#All],[Reporting Year]],2021,AS[[#All],[Insurance Category Code]],A150,AS[[#All],[Large Provider Entity Code]],100,AS[[#All],[Age Band Code]],6)</f>
        <v>0</v>
      </c>
      <c r="Q150" s="96">
        <f>SUMIFS(AS[[#All],[Total Non-Truncated Claims Spending]],AS[[#All],[Reporting Year]],2022,AS[[#All],[Insurance Category Code]],A150,AS[[#All],[Large Provider Entity Code]],100,AS[[#All],[Age Band Code]],6)</f>
        <v>0</v>
      </c>
      <c r="R150" s="185">
        <f>SUMIFS(AS[[#All],[Total Non-Truncated Claims Spending]],AS[[#All],[Reporting Year]],2021,AS[[#All],[Insurance Category Code]],A150,AS[[#All],[Large Provider Entity Code]],100,AS[[#All],[Age Band Code]],7)</f>
        <v>0</v>
      </c>
      <c r="S150" s="96">
        <f>SUMIFS(AS[[#All],[Total Non-Truncated Claims Spending]],AS[[#All],[Reporting Year]],2022,AS[[#All],[Insurance Category Code]],A150,AS[[#All],[Large Provider Entity Code]],100,AS[[#All],[Age Band Code]],7)</f>
        <v>0</v>
      </c>
      <c r="T150" s="185">
        <f>SUMIFS(AS[[#All],[Total Non-Truncated Claims Spending]],AS[[#All],[Reporting Year]],2021,AS[[#All],[Insurance Category Code]],A150,AS[[#All],[Large Provider Entity Code]],100,AS[[#All],[Age Band Code]],8)</f>
        <v>0</v>
      </c>
      <c r="U150" s="96">
        <f>SUMIFS(AS[[#All],[Total Non-Truncated Claims Spending]],AS[[#All],[Reporting Year]],2022,AS[[#All],[Insurance Category Code]],A150,AS[[#All],[Large Provider Entity Code]],100,AS[[#All],[Age Band Code]],8)</f>
        <v>0</v>
      </c>
      <c r="V150" s="185">
        <f t="shared" ref="V150:V157" si="65">(B150+D150+F150+L150+N150)</f>
        <v>0</v>
      </c>
      <c r="W150" s="7">
        <f t="shared" ref="W150:W157" si="66">C150+E150+G150+M150+O150</f>
        <v>0</v>
      </c>
      <c r="X150" s="185">
        <f>(P150+R150+T150)</f>
        <v>0</v>
      </c>
      <c r="Y150" s="7">
        <f>Q150+S150+U150</f>
        <v>0</v>
      </c>
      <c r="Z150"/>
      <c r="AA150"/>
      <c r="AB150"/>
      <c r="AC150"/>
    </row>
    <row r="151" spans="1:51" x14ac:dyDescent="0.25">
      <c r="A151" s="53">
        <v>2</v>
      </c>
      <c r="B151" s="185">
        <f>SUMIFS(AS[[#All],[Total Non-Truncated Claims Spending]],AS[[#All],[Reporting Year]],2021,AS[[#All],[Insurance Category Code]],A151,AS[[#All],[Large Provider Entity Code]],100,AS[[#All],[Age Band Code]],1)</f>
        <v>0</v>
      </c>
      <c r="C151" s="96">
        <f>SUMIFS(AS[[#All],[Total Non-Truncated Claims Spending]],AS[[#All],[Reporting Year]],2022,AS[[#All],[Insurance Category Code]],A151,AS[[#All],[Large Provider Entity Code]],100,AS[[#All],[Age Band Code]],1)</f>
        <v>0</v>
      </c>
      <c r="D151" s="185">
        <f>SUMIFS(AS[[#All],[Total Non-Truncated Claims Spending]],AS[[#All],[Reporting Year]],2021,AS[[#All],[Insurance Category Code]],A151,AS[[#All],[Large Provider Entity Code]],100,AS[[#All],[Age Band Code]],2)</f>
        <v>0</v>
      </c>
      <c r="E151" s="96">
        <f>SUMIFS(AS[[#All],[Total Non-Truncated Claims Spending]],AS[[#All],[Reporting Year]],2022,AS[[#All],[Insurance Category Code]],A151,AS[[#All],[Large Provider Entity Code]],100,AS[[#All],[Age Band Code]],2)</f>
        <v>0</v>
      </c>
      <c r="F151" s="185">
        <f>SUMIFS(AS[[#All],[Total Non-Truncated Claims Spending]],AS[[#All],[Reporting Year]],2021,AS[[#All],[Insurance Category Code]],A151,AS[[#All],[Large Provider Entity Code]],100,AS[[#All],[Age Band Code]],3)</f>
        <v>0</v>
      </c>
      <c r="G151" s="96">
        <f>SUMIFS(AS[[#All],[Total Non-Truncated Claims Spending]],AS[[#All],[Reporting Year]],2022,AS[[#All],[Insurance Category Code]],A151,AS[[#All],[Large Provider Entity Code]],100,AS[[#All],[Age Band Code]],3)</f>
        <v>0</v>
      </c>
      <c r="H151" s="185">
        <f>SUMIFS(AS[[#All],[Total Non-Truncated Claims Spending]],AS[[#All],[Reporting Year]],2021,AS[[#All],[Insurance Category Code]],A151,AS[[#All],[Large Provider Entity Code]],100,AS[[#All],[Age Band Code]],3,AS[[#All],[Sex Code]],1)</f>
        <v>0</v>
      </c>
      <c r="I151" s="96">
        <f>SUMIFS(AS[[#All],[Total Non-Truncated Claims Spending]],AS[[#All],[Reporting Year]],2022,AS[[#All],[Insurance Category Code]],A151,AS[[#All],[Large Provider Entity Code]],100,AS[[#All],[Age Band Code]],3,AS[[#All],[Sex Code]],1)</f>
        <v>0</v>
      </c>
      <c r="J151" s="185">
        <f>SUMIFS(AS[[#All],[Total Non-Truncated Claims Spending]],AS[[#All],[Reporting Year]],2021,AS[[#All],[Insurance Category Code]],A151,AS[[#All],[Large Provider Entity Code]],100,AS[[#All],[Age Band Code]],3,AS[[#All],[Sex Code]],2)</f>
        <v>0</v>
      </c>
      <c r="K151" s="96">
        <f>SUMIFS(AS[[#All],[Total Non-Truncated Claims Spending]],AS[[#All],[Reporting Year]],2022,AS[[#All],[Insurance Category Code]],A151,AS[[#All],[Large Provider Entity Code]],100,AS[[#All],[Age Band Code]],3,AS[[#All],[Sex Code]],2)</f>
        <v>0</v>
      </c>
      <c r="L151" s="185">
        <f>SUMIFS(AS[[#All],[Total Non-Truncated Claims Spending]],AS[[#All],[Reporting Year]],2021,AS[[#All],[Insurance Category Code]],A151,AS[[#All],[Large Provider Entity Code]],100,AS[[#All],[Age Band Code]],4)</f>
        <v>0</v>
      </c>
      <c r="M151" s="96">
        <f>SUMIFS(AS[[#All],[Total Non-Truncated Claims Spending]],AS[[#All],[Reporting Year]],2022,AS[[#All],[Insurance Category Code]],A151,AS[[#All],[Large Provider Entity Code]],100,AS[[#All],[Age Band Code]],4)</f>
        <v>0</v>
      </c>
      <c r="N151" s="185">
        <f>SUMIFS(AS[[#All],[Total Non-Truncated Claims Spending]],AS[[#All],[Reporting Year]],2021,AS[[#All],[Insurance Category Code]],A151,AS[[#All],[Large Provider Entity Code]],100,AS[[#All],[Age Band Code]],5)</f>
        <v>0</v>
      </c>
      <c r="O151" s="96">
        <f>SUMIFS(AS[[#All],[Total Non-Truncated Claims Spending]],AS[[#All],[Reporting Year]],2022,AS[[#All],[Insurance Category Code]],A151,AS[[#All],[Large Provider Entity Code]],100,AS[[#All],[Age Band Code]],5)</f>
        <v>0</v>
      </c>
      <c r="P151" s="185">
        <f>SUMIFS(AS[[#All],[Total Non-Truncated Claims Spending]],AS[[#All],[Reporting Year]],2021,AS[[#All],[Insurance Category Code]],A151,AS[[#All],[Large Provider Entity Code]],100,AS[[#All],[Age Band Code]],6)</f>
        <v>0</v>
      </c>
      <c r="Q151" s="96">
        <f>SUMIFS(AS[[#All],[Total Non-Truncated Claims Spending]],AS[[#All],[Reporting Year]],2022,AS[[#All],[Insurance Category Code]],A151,AS[[#All],[Large Provider Entity Code]],100,AS[[#All],[Age Band Code]],6)</f>
        <v>0</v>
      </c>
      <c r="R151" s="185">
        <f>SUMIFS(AS[[#All],[Total Non-Truncated Claims Spending]],AS[[#All],[Reporting Year]],2021,AS[[#All],[Insurance Category Code]],A151,AS[[#All],[Large Provider Entity Code]],100,AS[[#All],[Age Band Code]],7)</f>
        <v>0</v>
      </c>
      <c r="S151" s="96">
        <f>SUMIFS(AS[[#All],[Total Non-Truncated Claims Spending]],AS[[#All],[Reporting Year]],2022,AS[[#All],[Insurance Category Code]],A151,AS[[#All],[Large Provider Entity Code]],100,AS[[#All],[Age Band Code]],7)</f>
        <v>0</v>
      </c>
      <c r="T151" s="185">
        <f>SUMIFS(AS[[#All],[Total Non-Truncated Claims Spending]],AS[[#All],[Reporting Year]],2021,AS[[#All],[Insurance Category Code]],A151,AS[[#All],[Large Provider Entity Code]],100,AS[[#All],[Age Band Code]],8)</f>
        <v>0</v>
      </c>
      <c r="U151" s="96">
        <f>SUMIFS(AS[[#All],[Total Non-Truncated Claims Spending]],AS[[#All],[Reporting Year]],2022,AS[[#All],[Insurance Category Code]],A151,AS[[#All],[Large Provider Entity Code]],100,AS[[#All],[Age Band Code]],8)</f>
        <v>0</v>
      </c>
      <c r="V151" s="185">
        <f t="shared" si="65"/>
        <v>0</v>
      </c>
      <c r="W151" s="7">
        <f t="shared" si="66"/>
        <v>0</v>
      </c>
      <c r="X151" s="185">
        <f>(P151+R151+T151)</f>
        <v>0</v>
      </c>
      <c r="Y151" s="7">
        <f>Q151+S151+U151</f>
        <v>0</v>
      </c>
      <c r="Z151"/>
      <c r="AA151"/>
      <c r="AB151"/>
      <c r="AC151"/>
    </row>
    <row r="152" spans="1:51" x14ac:dyDescent="0.25">
      <c r="A152" s="53">
        <v>3</v>
      </c>
      <c r="B152" s="185">
        <f>SUMIFS(AS[[#All],[Total Non-Truncated Claims Spending]],AS[[#All],[Reporting Year]],2021,AS[[#All],[Insurance Category Code]],A152,AS[[#All],[Large Provider Entity Code]],100,AS[[#All],[Age Band Code]],1)</f>
        <v>0</v>
      </c>
      <c r="C152" s="96">
        <f>SUMIFS(AS[[#All],[Total Non-Truncated Claims Spending]],AS[[#All],[Reporting Year]],2022,AS[[#All],[Insurance Category Code]],A152,AS[[#All],[Large Provider Entity Code]],100,AS[[#All],[Age Band Code]],1)</f>
        <v>0</v>
      </c>
      <c r="D152" s="185">
        <f>SUMIFS(AS[[#All],[Total Non-Truncated Claims Spending]],AS[[#All],[Reporting Year]],2021,AS[[#All],[Insurance Category Code]],A152,AS[[#All],[Large Provider Entity Code]],100,AS[[#All],[Age Band Code]],2)</f>
        <v>0</v>
      </c>
      <c r="E152" s="96">
        <f>SUMIFS(AS[[#All],[Total Non-Truncated Claims Spending]],AS[[#All],[Reporting Year]],2022,AS[[#All],[Insurance Category Code]],A152,AS[[#All],[Large Provider Entity Code]],100,AS[[#All],[Age Band Code]],2)</f>
        <v>0</v>
      </c>
      <c r="F152" s="185">
        <f>SUMIFS(AS[[#All],[Total Non-Truncated Claims Spending]],AS[[#All],[Reporting Year]],2021,AS[[#All],[Insurance Category Code]],A152,AS[[#All],[Large Provider Entity Code]],100,AS[[#All],[Age Band Code]],3)</f>
        <v>0</v>
      </c>
      <c r="G152" s="96">
        <f>SUMIFS(AS[[#All],[Total Non-Truncated Claims Spending]],AS[[#All],[Reporting Year]],2022,AS[[#All],[Insurance Category Code]],A152,AS[[#All],[Large Provider Entity Code]],100,AS[[#All],[Age Band Code]],3)</f>
        <v>0</v>
      </c>
      <c r="H152" s="185">
        <f>SUMIFS(AS[[#All],[Total Non-Truncated Claims Spending]],AS[[#All],[Reporting Year]],2021,AS[[#All],[Insurance Category Code]],A152,AS[[#All],[Large Provider Entity Code]],100,AS[[#All],[Age Band Code]],3,AS[[#All],[Sex Code]],1)</f>
        <v>0</v>
      </c>
      <c r="I152" s="96">
        <f>SUMIFS(AS[[#All],[Total Non-Truncated Claims Spending]],AS[[#All],[Reporting Year]],2022,AS[[#All],[Insurance Category Code]],A152,AS[[#All],[Large Provider Entity Code]],100,AS[[#All],[Age Band Code]],3,AS[[#All],[Sex Code]],1)</f>
        <v>0</v>
      </c>
      <c r="J152" s="185">
        <f>SUMIFS(AS[[#All],[Total Non-Truncated Claims Spending]],AS[[#All],[Reporting Year]],2021,AS[[#All],[Insurance Category Code]],A152,AS[[#All],[Large Provider Entity Code]],100,AS[[#All],[Age Band Code]],3,AS[[#All],[Sex Code]],2)</f>
        <v>0</v>
      </c>
      <c r="K152" s="96">
        <f>SUMIFS(AS[[#All],[Total Non-Truncated Claims Spending]],AS[[#All],[Reporting Year]],2022,AS[[#All],[Insurance Category Code]],A152,AS[[#All],[Large Provider Entity Code]],100,AS[[#All],[Age Band Code]],3,AS[[#All],[Sex Code]],2)</f>
        <v>0</v>
      </c>
      <c r="L152" s="185">
        <f>SUMIFS(AS[[#All],[Total Non-Truncated Claims Spending]],AS[[#All],[Reporting Year]],2021,AS[[#All],[Insurance Category Code]],A152,AS[[#All],[Large Provider Entity Code]],100,AS[[#All],[Age Band Code]],4)</f>
        <v>0</v>
      </c>
      <c r="M152" s="96">
        <f>SUMIFS(AS[[#All],[Total Non-Truncated Claims Spending]],AS[[#All],[Reporting Year]],2022,AS[[#All],[Insurance Category Code]],A152,AS[[#All],[Large Provider Entity Code]],100,AS[[#All],[Age Band Code]],4)</f>
        <v>0</v>
      </c>
      <c r="N152" s="185">
        <f>SUMIFS(AS[[#All],[Total Non-Truncated Claims Spending]],AS[[#All],[Reporting Year]],2021,AS[[#All],[Insurance Category Code]],A152,AS[[#All],[Large Provider Entity Code]],100,AS[[#All],[Age Band Code]],5)</f>
        <v>0</v>
      </c>
      <c r="O152" s="96">
        <f>SUMIFS(AS[[#All],[Total Non-Truncated Claims Spending]],AS[[#All],[Reporting Year]],2022,AS[[#All],[Insurance Category Code]],A152,AS[[#All],[Large Provider Entity Code]],100,AS[[#All],[Age Band Code]],5)</f>
        <v>0</v>
      </c>
      <c r="P152" s="185">
        <f>SUMIFS(AS[[#All],[Total Non-Truncated Claims Spending]],AS[[#All],[Reporting Year]],2021,AS[[#All],[Insurance Category Code]],A152,AS[[#All],[Large Provider Entity Code]],100,AS[[#All],[Age Band Code]],6)</f>
        <v>0</v>
      </c>
      <c r="Q152" s="96">
        <f>SUMIFS(AS[[#All],[Total Non-Truncated Claims Spending]],AS[[#All],[Reporting Year]],2022,AS[[#All],[Insurance Category Code]],A152,AS[[#All],[Large Provider Entity Code]],100,AS[[#All],[Age Band Code]],6)</f>
        <v>0</v>
      </c>
      <c r="R152" s="185">
        <f>SUMIFS(AS[[#All],[Total Non-Truncated Claims Spending]],AS[[#All],[Reporting Year]],2021,AS[[#All],[Insurance Category Code]],A152,AS[[#All],[Large Provider Entity Code]],100,AS[[#All],[Age Band Code]],7)</f>
        <v>0</v>
      </c>
      <c r="S152" s="96">
        <f>SUMIFS(AS[[#All],[Total Non-Truncated Claims Spending]],AS[[#All],[Reporting Year]],2022,AS[[#All],[Insurance Category Code]],A152,AS[[#All],[Large Provider Entity Code]],100,AS[[#All],[Age Band Code]],7)</f>
        <v>0</v>
      </c>
      <c r="T152" s="185">
        <f>SUMIFS(AS[[#All],[Total Non-Truncated Claims Spending]],AS[[#All],[Reporting Year]],2021,AS[[#All],[Insurance Category Code]],A152,AS[[#All],[Large Provider Entity Code]],100,AS[[#All],[Age Band Code]],8)</f>
        <v>0</v>
      </c>
      <c r="U152" s="96">
        <f>SUMIFS(AS[[#All],[Total Non-Truncated Claims Spending]],AS[[#All],[Reporting Year]],2022,AS[[#All],[Insurance Category Code]],A152,AS[[#All],[Large Provider Entity Code]],100,AS[[#All],[Age Band Code]],8)</f>
        <v>0</v>
      </c>
      <c r="V152" s="185">
        <f t="shared" si="65"/>
        <v>0</v>
      </c>
      <c r="W152" s="7">
        <f t="shared" si="66"/>
        <v>0</v>
      </c>
      <c r="X152" s="185">
        <f t="shared" ref="X152:X157" si="67">(P152+R152+T152)</f>
        <v>0</v>
      </c>
      <c r="Y152" s="7">
        <f t="shared" ref="Y152:Y157" si="68">Q152+S152+U152</f>
        <v>0</v>
      </c>
      <c r="Z152"/>
      <c r="AA152"/>
      <c r="AB152"/>
      <c r="AC152"/>
    </row>
    <row r="153" spans="1:51" x14ac:dyDescent="0.25">
      <c r="A153" s="53">
        <v>4</v>
      </c>
      <c r="B153" s="185">
        <f>SUMIFS(AS[[#All],[Total Non-Truncated Claims Spending]],AS[[#All],[Reporting Year]],2021,AS[[#All],[Insurance Category Code]],A153,AS[[#All],[Large Provider Entity Code]],100,AS[[#All],[Age Band Code]],1)</f>
        <v>0</v>
      </c>
      <c r="C153" s="96">
        <f>SUMIFS(AS[[#All],[Total Non-Truncated Claims Spending]],AS[[#All],[Reporting Year]],2022,AS[[#All],[Insurance Category Code]],A153,AS[[#All],[Large Provider Entity Code]],100,AS[[#All],[Age Band Code]],1)</f>
        <v>0</v>
      </c>
      <c r="D153" s="185">
        <f>SUMIFS(AS[[#All],[Total Non-Truncated Claims Spending]],AS[[#All],[Reporting Year]],2021,AS[[#All],[Insurance Category Code]],A153,AS[[#All],[Large Provider Entity Code]],100,AS[[#All],[Age Band Code]],2)</f>
        <v>0</v>
      </c>
      <c r="E153" s="96">
        <f>SUMIFS(AS[[#All],[Total Non-Truncated Claims Spending]],AS[[#All],[Reporting Year]],2022,AS[[#All],[Insurance Category Code]],A153,AS[[#All],[Large Provider Entity Code]],100,AS[[#All],[Age Band Code]],2)</f>
        <v>0</v>
      </c>
      <c r="F153" s="185">
        <f>SUMIFS(AS[[#All],[Total Non-Truncated Claims Spending]],AS[[#All],[Reporting Year]],2021,AS[[#All],[Insurance Category Code]],A153,AS[[#All],[Large Provider Entity Code]],100,AS[[#All],[Age Band Code]],3)</f>
        <v>0</v>
      </c>
      <c r="G153" s="96">
        <f>SUMIFS(AS[[#All],[Total Non-Truncated Claims Spending]],AS[[#All],[Reporting Year]],2022,AS[[#All],[Insurance Category Code]],A153,AS[[#All],[Large Provider Entity Code]],100,AS[[#All],[Age Band Code]],3)</f>
        <v>0</v>
      </c>
      <c r="H153" s="185">
        <f>SUMIFS(AS[[#All],[Total Non-Truncated Claims Spending]],AS[[#All],[Reporting Year]],2021,AS[[#All],[Insurance Category Code]],A153,AS[[#All],[Large Provider Entity Code]],100,AS[[#All],[Age Band Code]],3,AS[[#All],[Sex Code]],1)</f>
        <v>0</v>
      </c>
      <c r="I153" s="96">
        <f>SUMIFS(AS[[#All],[Total Non-Truncated Claims Spending]],AS[[#All],[Reporting Year]],2022,AS[[#All],[Insurance Category Code]],A153,AS[[#All],[Large Provider Entity Code]],100,AS[[#All],[Age Band Code]],3,AS[[#All],[Sex Code]],1)</f>
        <v>0</v>
      </c>
      <c r="J153" s="185">
        <f>SUMIFS(AS[[#All],[Total Non-Truncated Claims Spending]],AS[[#All],[Reporting Year]],2021,AS[[#All],[Insurance Category Code]],A153,AS[[#All],[Large Provider Entity Code]],100,AS[[#All],[Age Band Code]],3,AS[[#All],[Sex Code]],2)</f>
        <v>0</v>
      </c>
      <c r="K153" s="96">
        <f>SUMIFS(AS[[#All],[Total Non-Truncated Claims Spending]],AS[[#All],[Reporting Year]],2022,AS[[#All],[Insurance Category Code]],A153,AS[[#All],[Large Provider Entity Code]],100,AS[[#All],[Age Band Code]],3,AS[[#All],[Sex Code]],2)</f>
        <v>0</v>
      </c>
      <c r="L153" s="185">
        <f>SUMIFS(AS[[#All],[Total Non-Truncated Claims Spending]],AS[[#All],[Reporting Year]],2021,AS[[#All],[Insurance Category Code]],A153,AS[[#All],[Large Provider Entity Code]],100,AS[[#All],[Age Band Code]],4)</f>
        <v>0</v>
      </c>
      <c r="M153" s="96">
        <f>SUMIFS(AS[[#All],[Total Non-Truncated Claims Spending]],AS[[#All],[Reporting Year]],2022,AS[[#All],[Insurance Category Code]],A153,AS[[#All],[Large Provider Entity Code]],100,AS[[#All],[Age Band Code]],4)</f>
        <v>0</v>
      </c>
      <c r="N153" s="185">
        <f>SUMIFS(AS[[#All],[Total Non-Truncated Claims Spending]],AS[[#All],[Reporting Year]],2021,AS[[#All],[Insurance Category Code]],A153,AS[[#All],[Large Provider Entity Code]],100,AS[[#All],[Age Band Code]],5)</f>
        <v>0</v>
      </c>
      <c r="O153" s="96">
        <f>SUMIFS(AS[[#All],[Total Non-Truncated Claims Spending]],AS[[#All],[Reporting Year]],2022,AS[[#All],[Insurance Category Code]],A153,AS[[#All],[Large Provider Entity Code]],100,AS[[#All],[Age Band Code]],5)</f>
        <v>0</v>
      </c>
      <c r="P153" s="185">
        <f>SUMIFS(AS[[#All],[Total Non-Truncated Claims Spending]],AS[[#All],[Reporting Year]],2021,AS[[#All],[Insurance Category Code]],A153,AS[[#All],[Large Provider Entity Code]],100,AS[[#All],[Age Band Code]],6)</f>
        <v>0</v>
      </c>
      <c r="Q153" s="96">
        <f>SUMIFS(AS[[#All],[Total Non-Truncated Claims Spending]],AS[[#All],[Reporting Year]],2022,AS[[#All],[Insurance Category Code]],A153,AS[[#All],[Large Provider Entity Code]],100,AS[[#All],[Age Band Code]],6)</f>
        <v>0</v>
      </c>
      <c r="R153" s="185">
        <f>SUMIFS(AS[[#All],[Total Non-Truncated Claims Spending]],AS[[#All],[Reporting Year]],2021,AS[[#All],[Insurance Category Code]],A153,AS[[#All],[Large Provider Entity Code]],100,AS[[#All],[Age Band Code]],7)</f>
        <v>0</v>
      </c>
      <c r="S153" s="96">
        <f>SUMIFS(AS[[#All],[Total Non-Truncated Claims Spending]],AS[[#All],[Reporting Year]],2022,AS[[#All],[Insurance Category Code]],A153,AS[[#All],[Large Provider Entity Code]],100,AS[[#All],[Age Band Code]],7)</f>
        <v>0</v>
      </c>
      <c r="T153" s="185">
        <f>SUMIFS(AS[[#All],[Total Non-Truncated Claims Spending]],AS[[#All],[Reporting Year]],2021,AS[[#All],[Insurance Category Code]],A153,AS[[#All],[Large Provider Entity Code]],100,AS[[#All],[Age Band Code]],8)</f>
        <v>0</v>
      </c>
      <c r="U153" s="96">
        <f>SUMIFS(AS[[#All],[Total Non-Truncated Claims Spending]],AS[[#All],[Reporting Year]],2022,AS[[#All],[Insurance Category Code]],A153,AS[[#All],[Large Provider Entity Code]],100,AS[[#All],[Age Band Code]],8)</f>
        <v>0</v>
      </c>
      <c r="V153" s="185">
        <f t="shared" si="65"/>
        <v>0</v>
      </c>
      <c r="W153" s="7">
        <f t="shared" si="66"/>
        <v>0</v>
      </c>
      <c r="X153" s="185">
        <f>(P153+R153+T153)</f>
        <v>0</v>
      </c>
      <c r="Y153" s="7">
        <f t="shared" si="68"/>
        <v>0</v>
      </c>
      <c r="Z153"/>
      <c r="AA153"/>
      <c r="AB153"/>
      <c r="AC153"/>
    </row>
    <row r="154" spans="1:51" x14ac:dyDescent="0.25">
      <c r="A154" s="53">
        <v>5</v>
      </c>
      <c r="B154" s="185">
        <f>SUMIFS(AS[[#All],[Total Non-Truncated Claims Spending]],AS[[#All],[Reporting Year]],2021,AS[[#All],[Insurance Category Code]],A154,AS[[#All],[Large Provider Entity Code]],100,AS[[#All],[Age Band Code]],1)</f>
        <v>0</v>
      </c>
      <c r="C154" s="96">
        <f>SUMIFS(AS[[#All],[Total Non-Truncated Claims Spending]],AS[[#All],[Reporting Year]],2022,AS[[#All],[Insurance Category Code]],A154,AS[[#All],[Large Provider Entity Code]],100,AS[[#All],[Age Band Code]],1)</f>
        <v>0</v>
      </c>
      <c r="D154" s="185">
        <f>SUMIFS(AS[[#All],[Total Non-Truncated Claims Spending]],AS[[#All],[Reporting Year]],2021,AS[[#All],[Insurance Category Code]],A154,AS[[#All],[Large Provider Entity Code]],100,AS[[#All],[Age Band Code]],2)</f>
        <v>0</v>
      </c>
      <c r="E154" s="96">
        <f>SUMIFS(AS[[#All],[Total Non-Truncated Claims Spending]],AS[[#All],[Reporting Year]],2022,AS[[#All],[Insurance Category Code]],A154,AS[[#All],[Large Provider Entity Code]],100,AS[[#All],[Age Band Code]],2)</f>
        <v>0</v>
      </c>
      <c r="F154" s="185">
        <f>SUMIFS(AS[[#All],[Total Non-Truncated Claims Spending]],AS[[#All],[Reporting Year]],2021,AS[[#All],[Insurance Category Code]],A154,AS[[#All],[Large Provider Entity Code]],100,AS[[#All],[Age Band Code]],3)</f>
        <v>0</v>
      </c>
      <c r="G154" s="96">
        <f>SUMIFS(AS[[#All],[Total Non-Truncated Claims Spending]],AS[[#All],[Reporting Year]],2022,AS[[#All],[Insurance Category Code]],A154,AS[[#All],[Large Provider Entity Code]],100,AS[[#All],[Age Band Code]],3)</f>
        <v>0</v>
      </c>
      <c r="H154" s="185">
        <f>SUMIFS(AS[[#All],[Total Non-Truncated Claims Spending]],AS[[#All],[Reporting Year]],2021,AS[[#All],[Insurance Category Code]],A154,AS[[#All],[Large Provider Entity Code]],100,AS[[#All],[Age Band Code]],3,AS[[#All],[Sex Code]],1)</f>
        <v>0</v>
      </c>
      <c r="I154" s="96">
        <f>SUMIFS(AS[[#All],[Total Non-Truncated Claims Spending]],AS[[#All],[Reporting Year]],2022,AS[[#All],[Insurance Category Code]],A154,AS[[#All],[Large Provider Entity Code]],100,AS[[#All],[Age Band Code]],3,AS[[#All],[Sex Code]],1)</f>
        <v>0</v>
      </c>
      <c r="J154" s="185">
        <f>SUMIFS(AS[[#All],[Total Non-Truncated Claims Spending]],AS[[#All],[Reporting Year]],2021,AS[[#All],[Insurance Category Code]],A154,AS[[#All],[Large Provider Entity Code]],100,AS[[#All],[Age Band Code]],3,AS[[#All],[Sex Code]],2)</f>
        <v>0</v>
      </c>
      <c r="K154" s="96">
        <f>SUMIFS(AS[[#All],[Total Non-Truncated Claims Spending]],AS[[#All],[Reporting Year]],2022,AS[[#All],[Insurance Category Code]],A154,AS[[#All],[Large Provider Entity Code]],100,AS[[#All],[Age Band Code]],3,AS[[#All],[Sex Code]],2)</f>
        <v>0</v>
      </c>
      <c r="L154" s="185">
        <f>SUMIFS(AS[[#All],[Total Non-Truncated Claims Spending]],AS[[#All],[Reporting Year]],2021,AS[[#All],[Insurance Category Code]],A154,AS[[#All],[Large Provider Entity Code]],100,AS[[#All],[Age Band Code]],4)</f>
        <v>0</v>
      </c>
      <c r="M154" s="96">
        <f>SUMIFS(AS[[#All],[Total Non-Truncated Claims Spending]],AS[[#All],[Reporting Year]],2022,AS[[#All],[Insurance Category Code]],A154,AS[[#All],[Large Provider Entity Code]],100,AS[[#All],[Age Band Code]],4)</f>
        <v>0</v>
      </c>
      <c r="N154" s="185">
        <f>SUMIFS(AS[[#All],[Total Non-Truncated Claims Spending]],AS[[#All],[Reporting Year]],2021,AS[[#All],[Insurance Category Code]],A154,AS[[#All],[Large Provider Entity Code]],100,AS[[#All],[Age Band Code]],5)</f>
        <v>0</v>
      </c>
      <c r="O154" s="96">
        <f>SUMIFS(AS[[#All],[Total Non-Truncated Claims Spending]],AS[[#All],[Reporting Year]],2022,AS[[#All],[Insurance Category Code]],A154,AS[[#All],[Large Provider Entity Code]],100,AS[[#All],[Age Band Code]],5)</f>
        <v>0</v>
      </c>
      <c r="P154" s="185">
        <f>SUMIFS(AS[[#All],[Total Non-Truncated Claims Spending]],AS[[#All],[Reporting Year]],2021,AS[[#All],[Insurance Category Code]],A154,AS[[#All],[Large Provider Entity Code]],100,AS[[#All],[Age Band Code]],6)</f>
        <v>0</v>
      </c>
      <c r="Q154" s="96">
        <f>SUMIFS(AS[[#All],[Total Non-Truncated Claims Spending]],AS[[#All],[Reporting Year]],2022,AS[[#All],[Insurance Category Code]],A154,AS[[#All],[Large Provider Entity Code]],100,AS[[#All],[Age Band Code]],6)</f>
        <v>0</v>
      </c>
      <c r="R154" s="185">
        <f>SUMIFS(AS[[#All],[Total Non-Truncated Claims Spending]],AS[[#All],[Reporting Year]],2021,AS[[#All],[Insurance Category Code]],A154,AS[[#All],[Large Provider Entity Code]],100,AS[[#All],[Age Band Code]],7)</f>
        <v>0</v>
      </c>
      <c r="S154" s="96">
        <f>SUMIFS(AS[[#All],[Total Non-Truncated Claims Spending]],AS[[#All],[Reporting Year]],2022,AS[[#All],[Insurance Category Code]],A154,AS[[#All],[Large Provider Entity Code]],100,AS[[#All],[Age Band Code]],7)</f>
        <v>0</v>
      </c>
      <c r="T154" s="185">
        <f>SUMIFS(AS[[#All],[Total Non-Truncated Claims Spending]],AS[[#All],[Reporting Year]],2021,AS[[#All],[Insurance Category Code]],A154,AS[[#All],[Large Provider Entity Code]],100,AS[[#All],[Age Band Code]],8)</f>
        <v>0</v>
      </c>
      <c r="U154" s="96">
        <f>SUMIFS(AS[[#All],[Total Non-Truncated Claims Spending]],AS[[#All],[Reporting Year]],2022,AS[[#All],[Insurance Category Code]],A154,AS[[#All],[Large Provider Entity Code]],100,AS[[#All],[Age Band Code]],8)</f>
        <v>0</v>
      </c>
      <c r="V154" s="185">
        <f t="shared" si="65"/>
        <v>0</v>
      </c>
      <c r="W154" s="7">
        <f t="shared" si="66"/>
        <v>0</v>
      </c>
      <c r="X154" s="185">
        <f t="shared" si="67"/>
        <v>0</v>
      </c>
      <c r="Y154" s="7">
        <f t="shared" si="68"/>
        <v>0</v>
      </c>
      <c r="Z154"/>
      <c r="AA154"/>
      <c r="AB154"/>
      <c r="AC154"/>
    </row>
    <row r="155" spans="1:51" x14ac:dyDescent="0.25">
      <c r="A155" s="53">
        <v>6</v>
      </c>
      <c r="B155" s="185">
        <f>SUMIFS(AS[[#All],[Total Non-Truncated Claims Spending]],AS[[#All],[Reporting Year]],2021,AS[[#All],[Insurance Category Code]],A155,AS[[#All],[Large Provider Entity Code]],100,AS[[#All],[Age Band Code]],1)</f>
        <v>0</v>
      </c>
      <c r="C155" s="96">
        <f>SUMIFS(AS[[#All],[Total Non-Truncated Claims Spending]],AS[[#All],[Reporting Year]],2022,AS[[#All],[Insurance Category Code]],A155,AS[[#All],[Large Provider Entity Code]],100,AS[[#All],[Age Band Code]],1)</f>
        <v>0</v>
      </c>
      <c r="D155" s="185">
        <f>SUMIFS(AS[[#All],[Total Non-Truncated Claims Spending]],AS[[#All],[Reporting Year]],2021,AS[[#All],[Insurance Category Code]],A155,AS[[#All],[Large Provider Entity Code]],100,AS[[#All],[Age Band Code]],2)</f>
        <v>0</v>
      </c>
      <c r="E155" s="96">
        <f>SUMIFS(AS[[#All],[Total Non-Truncated Claims Spending]],AS[[#All],[Reporting Year]],2022,AS[[#All],[Insurance Category Code]],A155,AS[[#All],[Large Provider Entity Code]],100,AS[[#All],[Age Band Code]],2)</f>
        <v>0</v>
      </c>
      <c r="F155" s="185">
        <f>SUMIFS(AS[[#All],[Total Non-Truncated Claims Spending]],AS[[#All],[Reporting Year]],2021,AS[[#All],[Insurance Category Code]],A155,AS[[#All],[Large Provider Entity Code]],100,AS[[#All],[Age Band Code]],3)</f>
        <v>0</v>
      </c>
      <c r="G155" s="96">
        <f>SUMIFS(AS[[#All],[Total Non-Truncated Claims Spending]],AS[[#All],[Reporting Year]],2022,AS[[#All],[Insurance Category Code]],A155,AS[[#All],[Large Provider Entity Code]],100,AS[[#All],[Age Band Code]],3)</f>
        <v>0</v>
      </c>
      <c r="H155" s="185">
        <f>SUMIFS(AS[[#All],[Total Non-Truncated Claims Spending]],AS[[#All],[Reporting Year]],2021,AS[[#All],[Insurance Category Code]],A155,AS[[#All],[Large Provider Entity Code]],100,AS[[#All],[Age Band Code]],3,AS[[#All],[Sex Code]],1)</f>
        <v>0</v>
      </c>
      <c r="I155" s="96">
        <f>SUMIFS(AS[[#All],[Total Non-Truncated Claims Spending]],AS[[#All],[Reporting Year]],2022,AS[[#All],[Insurance Category Code]],A155,AS[[#All],[Large Provider Entity Code]],100,AS[[#All],[Age Band Code]],3,AS[[#All],[Sex Code]],1)</f>
        <v>0</v>
      </c>
      <c r="J155" s="185">
        <f>SUMIFS(AS[[#All],[Total Non-Truncated Claims Spending]],AS[[#All],[Reporting Year]],2021,AS[[#All],[Insurance Category Code]],A155,AS[[#All],[Large Provider Entity Code]],100,AS[[#All],[Age Band Code]],3,AS[[#All],[Sex Code]],2)</f>
        <v>0</v>
      </c>
      <c r="K155" s="96">
        <f>SUMIFS(AS[[#All],[Total Non-Truncated Claims Spending]],AS[[#All],[Reporting Year]],2022,AS[[#All],[Insurance Category Code]],A155,AS[[#All],[Large Provider Entity Code]],100,AS[[#All],[Age Band Code]],3,AS[[#All],[Sex Code]],2)</f>
        <v>0</v>
      </c>
      <c r="L155" s="185">
        <f>SUMIFS(AS[[#All],[Total Non-Truncated Claims Spending]],AS[[#All],[Reporting Year]],2021,AS[[#All],[Insurance Category Code]],A155,AS[[#All],[Large Provider Entity Code]],100,AS[[#All],[Age Band Code]],4)</f>
        <v>0</v>
      </c>
      <c r="M155" s="96">
        <f>SUMIFS(AS[[#All],[Total Non-Truncated Claims Spending]],AS[[#All],[Reporting Year]],2022,AS[[#All],[Insurance Category Code]],A155,AS[[#All],[Large Provider Entity Code]],100,AS[[#All],[Age Band Code]],4)</f>
        <v>0</v>
      </c>
      <c r="N155" s="185">
        <f>SUMIFS(AS[[#All],[Total Non-Truncated Claims Spending]],AS[[#All],[Reporting Year]],2021,AS[[#All],[Insurance Category Code]],A155,AS[[#All],[Large Provider Entity Code]],100,AS[[#All],[Age Band Code]],5)</f>
        <v>0</v>
      </c>
      <c r="O155" s="96">
        <f>SUMIFS(AS[[#All],[Total Non-Truncated Claims Spending]],AS[[#All],[Reporting Year]],2022,AS[[#All],[Insurance Category Code]],A155,AS[[#All],[Large Provider Entity Code]],100,AS[[#All],[Age Band Code]],5)</f>
        <v>0</v>
      </c>
      <c r="P155" s="185">
        <f>SUMIFS(AS[[#All],[Total Non-Truncated Claims Spending]],AS[[#All],[Reporting Year]],2021,AS[[#All],[Insurance Category Code]],A155,AS[[#All],[Large Provider Entity Code]],100,AS[[#All],[Age Band Code]],6)</f>
        <v>0</v>
      </c>
      <c r="Q155" s="96">
        <f>SUMIFS(AS[[#All],[Total Non-Truncated Claims Spending]],AS[[#All],[Reporting Year]],2022,AS[[#All],[Insurance Category Code]],A155,AS[[#All],[Large Provider Entity Code]],100,AS[[#All],[Age Band Code]],6)</f>
        <v>0</v>
      </c>
      <c r="R155" s="185">
        <f>SUMIFS(AS[[#All],[Total Non-Truncated Claims Spending]],AS[[#All],[Reporting Year]],2021,AS[[#All],[Insurance Category Code]],A155,AS[[#All],[Large Provider Entity Code]],100,AS[[#All],[Age Band Code]],7)</f>
        <v>0</v>
      </c>
      <c r="S155" s="96">
        <f>SUMIFS(AS[[#All],[Total Non-Truncated Claims Spending]],AS[[#All],[Reporting Year]],2022,AS[[#All],[Insurance Category Code]],A155,AS[[#All],[Large Provider Entity Code]],100,AS[[#All],[Age Band Code]],7)</f>
        <v>0</v>
      </c>
      <c r="T155" s="185">
        <f>SUMIFS(AS[[#All],[Total Non-Truncated Claims Spending]],AS[[#All],[Reporting Year]],2021,AS[[#All],[Insurance Category Code]],A155,AS[[#All],[Large Provider Entity Code]],100,AS[[#All],[Age Band Code]],8)</f>
        <v>0</v>
      </c>
      <c r="U155" s="96">
        <f>SUMIFS(AS[[#All],[Total Non-Truncated Claims Spending]],AS[[#All],[Reporting Year]],2022,AS[[#All],[Insurance Category Code]],A155,AS[[#All],[Large Provider Entity Code]],100,AS[[#All],[Age Band Code]],8)</f>
        <v>0</v>
      </c>
      <c r="V155" s="185">
        <f t="shared" si="65"/>
        <v>0</v>
      </c>
      <c r="W155" s="7">
        <f t="shared" si="66"/>
        <v>0</v>
      </c>
      <c r="X155" s="185">
        <f t="shared" si="67"/>
        <v>0</v>
      </c>
      <c r="Y155" s="7">
        <f t="shared" si="68"/>
        <v>0</v>
      </c>
      <c r="Z155"/>
      <c r="AA155"/>
      <c r="AB155"/>
      <c r="AC155"/>
    </row>
    <row r="156" spans="1:51" x14ac:dyDescent="0.25">
      <c r="A156" s="53">
        <v>7</v>
      </c>
      <c r="B156" s="185">
        <f>SUMIFS(AS[[#All],[Total Non-Truncated Claims Spending]],AS[[#All],[Reporting Year]],2021,AS[[#All],[Insurance Category Code]],A156,AS[[#All],[Large Provider Entity Code]],100,AS[[#All],[Age Band Code]],1)</f>
        <v>0</v>
      </c>
      <c r="C156" s="96">
        <f>SUMIFS(AS[[#All],[Total Non-Truncated Claims Spending]],AS[[#All],[Reporting Year]],2022,AS[[#All],[Insurance Category Code]],A156,AS[[#All],[Large Provider Entity Code]],100,AS[[#All],[Age Band Code]],1)</f>
        <v>0</v>
      </c>
      <c r="D156" s="185">
        <f>SUMIFS(AS[[#All],[Total Non-Truncated Claims Spending]],AS[[#All],[Reporting Year]],2021,AS[[#All],[Insurance Category Code]],A156,AS[[#All],[Large Provider Entity Code]],100,AS[[#All],[Age Band Code]],2)</f>
        <v>0</v>
      </c>
      <c r="E156" s="96">
        <f>SUMIFS(AS[[#All],[Total Non-Truncated Claims Spending]],AS[[#All],[Reporting Year]],2022,AS[[#All],[Insurance Category Code]],A156,AS[[#All],[Large Provider Entity Code]],100,AS[[#All],[Age Band Code]],2)</f>
        <v>0</v>
      </c>
      <c r="F156" s="185">
        <f>SUMIFS(AS[[#All],[Total Non-Truncated Claims Spending]],AS[[#All],[Reporting Year]],2021,AS[[#All],[Insurance Category Code]],A156,AS[[#All],[Large Provider Entity Code]],100,AS[[#All],[Age Band Code]],3)</f>
        <v>0</v>
      </c>
      <c r="G156" s="96">
        <f>SUMIFS(AS[[#All],[Total Non-Truncated Claims Spending]],AS[[#All],[Reporting Year]],2022,AS[[#All],[Insurance Category Code]],A156,AS[[#All],[Large Provider Entity Code]],100,AS[[#All],[Age Band Code]],3)</f>
        <v>0</v>
      </c>
      <c r="H156" s="185">
        <f>SUMIFS(AS[[#All],[Total Non-Truncated Claims Spending]],AS[[#All],[Reporting Year]],2021,AS[[#All],[Insurance Category Code]],A156,AS[[#All],[Large Provider Entity Code]],100,AS[[#All],[Age Band Code]],3,AS[[#All],[Sex Code]],1)</f>
        <v>0</v>
      </c>
      <c r="I156" s="96">
        <f>SUMIFS(AS[[#All],[Total Non-Truncated Claims Spending]],AS[[#All],[Reporting Year]],2022,AS[[#All],[Insurance Category Code]],A156,AS[[#All],[Large Provider Entity Code]],100,AS[[#All],[Age Band Code]],3,AS[[#All],[Sex Code]],1)</f>
        <v>0</v>
      </c>
      <c r="J156" s="185">
        <f>SUMIFS(AS[[#All],[Total Non-Truncated Claims Spending]],AS[[#All],[Reporting Year]],2021,AS[[#All],[Insurance Category Code]],A156,AS[[#All],[Large Provider Entity Code]],100,AS[[#All],[Age Band Code]],3,AS[[#All],[Sex Code]],2)</f>
        <v>0</v>
      </c>
      <c r="K156" s="96">
        <f>SUMIFS(AS[[#All],[Total Non-Truncated Claims Spending]],AS[[#All],[Reporting Year]],2022,AS[[#All],[Insurance Category Code]],A156,AS[[#All],[Large Provider Entity Code]],100,AS[[#All],[Age Band Code]],3,AS[[#All],[Sex Code]],2)</f>
        <v>0</v>
      </c>
      <c r="L156" s="185">
        <f>SUMIFS(AS[[#All],[Total Non-Truncated Claims Spending]],AS[[#All],[Reporting Year]],2021,AS[[#All],[Insurance Category Code]],A156,AS[[#All],[Large Provider Entity Code]],100,AS[[#All],[Age Band Code]],4)</f>
        <v>0</v>
      </c>
      <c r="M156" s="96">
        <f>SUMIFS(AS[[#All],[Total Non-Truncated Claims Spending]],AS[[#All],[Reporting Year]],2022,AS[[#All],[Insurance Category Code]],A156,AS[[#All],[Large Provider Entity Code]],100,AS[[#All],[Age Band Code]],4)</f>
        <v>0</v>
      </c>
      <c r="N156" s="185">
        <f>SUMIFS(AS[[#All],[Total Non-Truncated Claims Spending]],AS[[#All],[Reporting Year]],2021,AS[[#All],[Insurance Category Code]],A156,AS[[#All],[Large Provider Entity Code]],100,AS[[#All],[Age Band Code]],5)</f>
        <v>0</v>
      </c>
      <c r="O156" s="96">
        <f>SUMIFS(AS[[#All],[Total Non-Truncated Claims Spending]],AS[[#All],[Reporting Year]],2022,AS[[#All],[Insurance Category Code]],A156,AS[[#All],[Large Provider Entity Code]],100,AS[[#All],[Age Band Code]],5)</f>
        <v>0</v>
      </c>
      <c r="P156" s="185">
        <f>SUMIFS(AS[[#All],[Total Non-Truncated Claims Spending]],AS[[#All],[Reporting Year]],2021,AS[[#All],[Insurance Category Code]],A156,AS[[#All],[Large Provider Entity Code]],100,AS[[#All],[Age Band Code]],6)</f>
        <v>0</v>
      </c>
      <c r="Q156" s="96">
        <f>SUMIFS(AS[[#All],[Total Non-Truncated Claims Spending]],AS[[#All],[Reporting Year]],2022,AS[[#All],[Insurance Category Code]],A156,AS[[#All],[Large Provider Entity Code]],100,AS[[#All],[Age Band Code]],6)</f>
        <v>0</v>
      </c>
      <c r="R156" s="185">
        <f>SUMIFS(AS[[#All],[Total Non-Truncated Claims Spending]],AS[[#All],[Reporting Year]],2021,AS[[#All],[Insurance Category Code]],A156,AS[[#All],[Large Provider Entity Code]],100,AS[[#All],[Age Band Code]],7)</f>
        <v>0</v>
      </c>
      <c r="S156" s="96">
        <f>SUMIFS(AS[[#All],[Total Non-Truncated Claims Spending]],AS[[#All],[Reporting Year]],2022,AS[[#All],[Insurance Category Code]],A156,AS[[#All],[Large Provider Entity Code]],100,AS[[#All],[Age Band Code]],7)</f>
        <v>0</v>
      </c>
      <c r="T156" s="185">
        <f>SUMIFS(AS[[#All],[Total Non-Truncated Claims Spending]],AS[[#All],[Reporting Year]],2021,AS[[#All],[Insurance Category Code]],A156,AS[[#All],[Large Provider Entity Code]],100,AS[[#All],[Age Band Code]],8)</f>
        <v>0</v>
      </c>
      <c r="U156" s="96">
        <f>SUMIFS(AS[[#All],[Total Non-Truncated Claims Spending]],AS[[#All],[Reporting Year]],2022,AS[[#All],[Insurance Category Code]],A156,AS[[#All],[Large Provider Entity Code]],100,AS[[#All],[Age Band Code]],8)</f>
        <v>0</v>
      </c>
      <c r="V156" s="185">
        <f t="shared" si="65"/>
        <v>0</v>
      </c>
      <c r="W156" s="7">
        <f t="shared" si="66"/>
        <v>0</v>
      </c>
      <c r="X156" s="185">
        <f t="shared" si="67"/>
        <v>0</v>
      </c>
      <c r="Y156" s="7">
        <f t="shared" si="68"/>
        <v>0</v>
      </c>
      <c r="Z156"/>
      <c r="AA156"/>
      <c r="AB156"/>
      <c r="AC156"/>
    </row>
    <row r="157" spans="1:51" x14ac:dyDescent="0.25">
      <c r="A157" s="304">
        <v>8</v>
      </c>
      <c r="B157" s="185">
        <f>SUMIFS(AS[[#All],[Total Non-Truncated Claims Spending]],AS[[#All],[Reporting Year]],2021,AS[[#All],[Insurance Category Code]],A157,AS[[#All],[Large Provider Entity Code]],100,AS[[#All],[Age Band Code]],1)</f>
        <v>0</v>
      </c>
      <c r="C157" s="96">
        <f>SUMIFS(AS[[#All],[Total Non-Truncated Claims Spending]],AS[[#All],[Reporting Year]],2022,AS[[#All],[Insurance Category Code]],A157,AS[[#All],[Large Provider Entity Code]],100,AS[[#All],[Age Band Code]],1)</f>
        <v>0</v>
      </c>
      <c r="D157" s="185">
        <f>SUMIFS(AS[[#All],[Total Non-Truncated Claims Spending]],AS[[#All],[Reporting Year]],2021,AS[[#All],[Insurance Category Code]],A157,AS[[#All],[Large Provider Entity Code]],100,AS[[#All],[Age Band Code]],2)</f>
        <v>0</v>
      </c>
      <c r="E157" s="96">
        <f>SUMIFS(AS[[#All],[Total Non-Truncated Claims Spending]],AS[[#All],[Reporting Year]],2022,AS[[#All],[Insurance Category Code]],A157,AS[[#All],[Large Provider Entity Code]],100,AS[[#All],[Age Band Code]],2)</f>
        <v>0</v>
      </c>
      <c r="F157" s="185">
        <f>SUMIFS(AS[[#All],[Total Non-Truncated Claims Spending]],AS[[#All],[Reporting Year]],2021,AS[[#All],[Insurance Category Code]],A157,AS[[#All],[Large Provider Entity Code]],100,AS[[#All],[Age Band Code]],3)</f>
        <v>0</v>
      </c>
      <c r="G157" s="96">
        <f>SUMIFS(AS[[#All],[Total Non-Truncated Claims Spending]],AS[[#All],[Reporting Year]],2022,AS[[#All],[Insurance Category Code]],A157,AS[[#All],[Large Provider Entity Code]],100,AS[[#All],[Age Band Code]],3)</f>
        <v>0</v>
      </c>
      <c r="H157" s="185">
        <f>SUMIFS(AS[[#All],[Total Non-Truncated Claims Spending]],AS[[#All],[Reporting Year]],2021,AS[[#All],[Insurance Category Code]],A157,AS[[#All],[Large Provider Entity Code]],100,AS[[#All],[Age Band Code]],3,AS[[#All],[Sex Code]],1)</f>
        <v>0</v>
      </c>
      <c r="I157" s="96">
        <f>SUMIFS(AS[[#All],[Total Non-Truncated Claims Spending]],AS[[#All],[Reporting Year]],2022,AS[[#All],[Insurance Category Code]],A157,AS[[#All],[Large Provider Entity Code]],100,AS[[#All],[Age Band Code]],3,AS[[#All],[Sex Code]],1)</f>
        <v>0</v>
      </c>
      <c r="J157" s="185">
        <f>SUMIFS(AS[[#All],[Total Non-Truncated Claims Spending]],AS[[#All],[Reporting Year]],2021,AS[[#All],[Insurance Category Code]],A157,AS[[#All],[Large Provider Entity Code]],100,AS[[#All],[Age Band Code]],3,AS[[#All],[Sex Code]],2)</f>
        <v>0</v>
      </c>
      <c r="K157" s="96">
        <f>SUMIFS(AS[[#All],[Total Non-Truncated Claims Spending]],AS[[#All],[Reporting Year]],2022,AS[[#All],[Insurance Category Code]],A157,AS[[#All],[Large Provider Entity Code]],100,AS[[#All],[Age Band Code]],3,AS[[#All],[Sex Code]],2)</f>
        <v>0</v>
      </c>
      <c r="L157" s="185">
        <f>SUMIFS(AS[[#All],[Total Non-Truncated Claims Spending]],AS[[#All],[Reporting Year]],2021,AS[[#All],[Insurance Category Code]],A157,AS[[#All],[Large Provider Entity Code]],100,AS[[#All],[Age Band Code]],4)</f>
        <v>0</v>
      </c>
      <c r="M157" s="96">
        <f>SUMIFS(AS[[#All],[Total Non-Truncated Claims Spending]],AS[[#All],[Reporting Year]],2022,AS[[#All],[Insurance Category Code]],A157,AS[[#All],[Large Provider Entity Code]],100,AS[[#All],[Age Band Code]],4)</f>
        <v>0</v>
      </c>
      <c r="N157" s="185">
        <f>SUMIFS(AS[[#All],[Total Non-Truncated Claims Spending]],AS[[#All],[Reporting Year]],2021,AS[[#All],[Insurance Category Code]],A157,AS[[#All],[Large Provider Entity Code]],100,AS[[#All],[Age Band Code]],5)</f>
        <v>0</v>
      </c>
      <c r="O157" s="96">
        <f>SUMIFS(AS[[#All],[Total Non-Truncated Claims Spending]],AS[[#All],[Reporting Year]],2022,AS[[#All],[Insurance Category Code]],A157,AS[[#All],[Large Provider Entity Code]],100,AS[[#All],[Age Band Code]],5)</f>
        <v>0</v>
      </c>
      <c r="P157" s="185">
        <f>SUMIFS(AS[[#All],[Total Non-Truncated Claims Spending]],AS[[#All],[Reporting Year]],2021,AS[[#All],[Insurance Category Code]],A157,AS[[#All],[Large Provider Entity Code]],100,AS[[#All],[Age Band Code]],6)</f>
        <v>0</v>
      </c>
      <c r="Q157" s="96">
        <f>SUMIFS(AS[[#All],[Total Non-Truncated Claims Spending]],AS[[#All],[Reporting Year]],2022,AS[[#All],[Insurance Category Code]],A157,AS[[#All],[Large Provider Entity Code]],100,AS[[#All],[Age Band Code]],6)</f>
        <v>0</v>
      </c>
      <c r="R157" s="185">
        <f>SUMIFS(AS[[#All],[Total Non-Truncated Claims Spending]],AS[[#All],[Reporting Year]],2021,AS[[#All],[Insurance Category Code]],A157,AS[[#All],[Large Provider Entity Code]],100,AS[[#All],[Age Band Code]],7)</f>
        <v>0</v>
      </c>
      <c r="S157" s="96">
        <f>SUMIFS(AS[[#All],[Total Non-Truncated Claims Spending]],AS[[#All],[Reporting Year]],2022,AS[[#All],[Insurance Category Code]],A157,AS[[#All],[Large Provider Entity Code]],100,AS[[#All],[Age Band Code]],7)</f>
        <v>0</v>
      </c>
      <c r="T157" s="185">
        <f>SUMIFS(AS[[#All],[Total Non-Truncated Claims Spending]],AS[[#All],[Reporting Year]],2021,AS[[#All],[Insurance Category Code]],A157,AS[[#All],[Large Provider Entity Code]],100,AS[[#All],[Age Band Code]],8)</f>
        <v>0</v>
      </c>
      <c r="U157" s="96">
        <f>SUMIFS(AS[[#All],[Total Non-Truncated Claims Spending]],AS[[#All],[Reporting Year]],2022,AS[[#All],[Insurance Category Code]],A157,AS[[#All],[Large Provider Entity Code]],100,AS[[#All],[Age Band Code]],8)</f>
        <v>0</v>
      </c>
      <c r="V157" s="185">
        <f t="shared" si="65"/>
        <v>0</v>
      </c>
      <c r="W157" s="7">
        <f t="shared" si="66"/>
        <v>0</v>
      </c>
      <c r="X157" s="185">
        <f t="shared" si="67"/>
        <v>0</v>
      </c>
      <c r="Y157" s="7">
        <f t="shared" si="68"/>
        <v>0</v>
      </c>
      <c r="Z157"/>
      <c r="AA157"/>
      <c r="AB157"/>
      <c r="AC157"/>
    </row>
    <row r="158" spans="1:51" x14ac:dyDescent="0.25">
      <c r="A158" s="1"/>
      <c r="B158" s="115"/>
      <c r="C158" s="115"/>
      <c r="D158" s="115"/>
      <c r="E158" s="115"/>
      <c r="F158" s="116"/>
      <c r="G158" s="116"/>
      <c r="H158" s="116"/>
      <c r="I158" s="116"/>
      <c r="J158" s="115"/>
      <c r="K158" s="115"/>
      <c r="L158" s="115"/>
      <c r="M158" s="115"/>
      <c r="N158"/>
      <c r="O158"/>
      <c r="P158"/>
      <c r="Q158"/>
      <c r="R158"/>
      <c r="S158"/>
      <c r="T158"/>
      <c r="U158"/>
      <c r="V158"/>
      <c r="W158"/>
      <c r="X158"/>
      <c r="Y158"/>
      <c r="Z158"/>
      <c r="AA158"/>
      <c r="AB158"/>
      <c r="AC158"/>
      <c r="AD158" s="184"/>
      <c r="AE158" s="184"/>
      <c r="AF158" s="184"/>
      <c r="AG158" s="184"/>
      <c r="AH158" s="305"/>
      <c r="AI158" s="305"/>
      <c r="AJ158" s="305"/>
      <c r="AK158" s="305"/>
      <c r="AL158" s="184"/>
      <c r="AM158" s="184"/>
      <c r="AN158" s="184"/>
      <c r="AO158" s="184"/>
      <c r="AP158" s="184"/>
      <c r="AQ158" s="184"/>
      <c r="AR158" s="184"/>
      <c r="AS158" s="184"/>
      <c r="AT158" s="184"/>
      <c r="AU158" s="184"/>
      <c r="AV158" s="184"/>
      <c r="AW158" s="184"/>
      <c r="AX158" s="184"/>
      <c r="AY158" s="184"/>
    </row>
    <row r="159" spans="1:51" x14ac:dyDescent="0.25">
      <c r="A159"/>
      <c r="B159"/>
      <c r="C159"/>
      <c r="D159"/>
      <c r="E159"/>
      <c r="F159"/>
      <c r="G159"/>
      <c r="H159"/>
      <c r="I159"/>
      <c r="J159"/>
      <c r="K159"/>
      <c r="L159"/>
      <c r="M159"/>
      <c r="N159"/>
      <c r="O159"/>
      <c r="P159"/>
      <c r="Q159"/>
      <c r="R159"/>
      <c r="S159"/>
      <c r="T159"/>
      <c r="U159"/>
      <c r="V159"/>
      <c r="W159"/>
      <c r="X159"/>
      <c r="Y159"/>
      <c r="Z159"/>
      <c r="AA159"/>
      <c r="AB159"/>
      <c r="AC159"/>
    </row>
    <row r="160" spans="1:51" x14ac:dyDescent="0.25">
      <c r="A160" s="4" t="s">
        <v>472</v>
      </c>
      <c r="B160"/>
      <c r="C160"/>
      <c r="D160"/>
      <c r="E160"/>
      <c r="F160"/>
      <c r="G160"/>
      <c r="H160"/>
      <c r="I160"/>
      <c r="J160"/>
      <c r="K160"/>
      <c r="L160"/>
      <c r="M160"/>
      <c r="N160"/>
      <c r="O160"/>
      <c r="P160"/>
      <c r="Q160"/>
      <c r="R160"/>
      <c r="S160"/>
      <c r="T160"/>
      <c r="U160"/>
      <c r="V160"/>
      <c r="W160"/>
      <c r="X160"/>
      <c r="Y160"/>
      <c r="Z160"/>
      <c r="AA160"/>
      <c r="AB160"/>
      <c r="AC160"/>
    </row>
    <row r="161" spans="1:59" ht="15.75" thickBot="1" x14ac:dyDescent="0.3">
      <c r="A161" s="659" t="s">
        <v>96</v>
      </c>
      <c r="B161" s="198">
        <v>2021</v>
      </c>
      <c r="C161" s="199">
        <v>2022</v>
      </c>
      <c r="D161" s="198">
        <v>2021</v>
      </c>
      <c r="E161" s="200">
        <v>2022</v>
      </c>
      <c r="F161"/>
      <c r="G161"/>
      <c r="H161"/>
      <c r="I161"/>
      <c r="J161"/>
      <c r="K161"/>
      <c r="L161"/>
      <c r="M161"/>
      <c r="N161"/>
      <c r="O161"/>
      <c r="P161"/>
      <c r="Q161"/>
      <c r="R161"/>
      <c r="S161"/>
      <c r="T161"/>
      <c r="U161"/>
      <c r="V161"/>
      <c r="W161"/>
      <c r="X161"/>
      <c r="Y161"/>
      <c r="Z161"/>
      <c r="AA161"/>
      <c r="AB161"/>
      <c r="AC161"/>
    </row>
    <row r="162" spans="1:59" ht="15" customHeight="1" x14ac:dyDescent="0.25">
      <c r="A162" s="660"/>
      <c r="B162" s="648" t="s">
        <v>181</v>
      </c>
      <c r="C162" s="651"/>
      <c r="D162" s="650" t="s">
        <v>202</v>
      </c>
      <c r="E162" s="649"/>
      <c r="F162"/>
      <c r="G162"/>
      <c r="H162"/>
      <c r="I162"/>
      <c r="J162"/>
      <c r="K162"/>
      <c r="L162"/>
      <c r="M162"/>
      <c r="N162"/>
      <c r="O162"/>
      <c r="P162"/>
      <c r="Q162"/>
      <c r="R162"/>
      <c r="S162"/>
      <c r="T162"/>
      <c r="U162"/>
      <c r="V162"/>
      <c r="W162"/>
      <c r="X162"/>
      <c r="Y162"/>
      <c r="Z162"/>
      <c r="AA162"/>
      <c r="AB162"/>
      <c r="AC162"/>
    </row>
    <row r="163" spans="1:59" x14ac:dyDescent="0.25">
      <c r="A163" s="53">
        <v>1</v>
      </c>
      <c r="B163" s="95">
        <f>SUMIFS(SD[[#All],[Member Months]],SD[[#All],[Reporting Year]],2021,SD[[#All],[Market Code]],A163,SD[[#All],[Large Provider Entity Code]],100)</f>
        <v>0</v>
      </c>
      <c r="C163" s="302">
        <f>SUMIFS(SD[[#All],[Member Months]],SD[[#All],[Reporting Year]],2022,SD[[#All],[Market Code]],A163,SD[[#All],[Large Provider Entity Code]],100)</f>
        <v>0</v>
      </c>
      <c r="D163" s="166">
        <f>SUMIFS(SD[[#All],[Total Truncated Claims Spending]],SD[[#All],[Reporting Year]],2021,SD[[#All],[Market Code]],A163,SD[[#All],[Large Provider Entity Code]],100)</f>
        <v>0</v>
      </c>
      <c r="E163" s="170">
        <f>SUMIFS(SD[[#All],[Total Truncated Claims Spending]],SD[[#All],[Reporting Year]],2022,SD[[#All],[Market Code]],A163,SD[[#All],[Large Provider Entity Code]],100)</f>
        <v>0</v>
      </c>
      <c r="F163"/>
      <c r="G163"/>
      <c r="H163"/>
      <c r="I163"/>
      <c r="J163"/>
      <c r="K163"/>
      <c r="L163"/>
      <c r="M163"/>
      <c r="N163"/>
      <c r="O163"/>
      <c r="P163"/>
      <c r="Q163"/>
      <c r="R163"/>
      <c r="S163"/>
      <c r="T163"/>
      <c r="U163"/>
      <c r="V163"/>
      <c r="W163"/>
      <c r="X163"/>
      <c r="Y163"/>
      <c r="Z163"/>
      <c r="AA163"/>
      <c r="AB163"/>
      <c r="AC163"/>
    </row>
    <row r="164" spans="1:59" x14ac:dyDescent="0.25">
      <c r="A164" s="53">
        <v>2</v>
      </c>
      <c r="B164" s="95">
        <f>SUMIFS(SD[[#All],[Member Months]],SD[[#All],[Reporting Year]],2021,SD[[#All],[Market Code]],A164,SD[[#All],[Large Provider Entity Code]],100)</f>
        <v>0</v>
      </c>
      <c r="C164" s="302">
        <f>SUMIFS(SD[[#All],[Member Months]],SD[[#All],[Reporting Year]],2022,SD[[#All],[Market Code]],A164,SD[[#All],[Large Provider Entity Code]],100)</f>
        <v>0</v>
      </c>
      <c r="D164" s="166">
        <f>SUMIFS(SD[[#All],[Total Truncated Claims Spending]],SD[[#All],[Reporting Year]],2021,SD[[#All],[Market Code]],A164,SD[[#All],[Large Provider Entity Code]],100)</f>
        <v>0</v>
      </c>
      <c r="E164" s="170">
        <f>SUMIFS(SD[[#All],[Total Truncated Claims Spending]],SD[[#All],[Reporting Year]],2022,SD[[#All],[Market Code]],A164,SD[[#All],[Large Provider Entity Code]],100)</f>
        <v>0</v>
      </c>
      <c r="F164"/>
      <c r="G164"/>
      <c r="H164"/>
      <c r="I164"/>
      <c r="J164"/>
      <c r="K164"/>
      <c r="L164"/>
      <c r="M164"/>
      <c r="N164"/>
      <c r="O164"/>
      <c r="P164"/>
      <c r="Q164"/>
      <c r="R164"/>
      <c r="S164"/>
      <c r="T164"/>
      <c r="U164"/>
      <c r="V164"/>
      <c r="W164"/>
      <c r="X164"/>
      <c r="Y164"/>
      <c r="Z164"/>
      <c r="AA164"/>
      <c r="AB164"/>
      <c r="AC164"/>
    </row>
    <row r="165" spans="1:59" x14ac:dyDescent="0.25">
      <c r="A165" s="53">
        <v>3</v>
      </c>
      <c r="B165" s="95">
        <f>SUMIFS(SD[[#All],[Member Months]],SD[[#All],[Reporting Year]],2021,SD[[#All],[Market Code]],A165,SD[[#All],[Large Provider Entity Code]],100)</f>
        <v>0</v>
      </c>
      <c r="C165" s="302">
        <f>SUMIFS(SD[[#All],[Member Months]],SD[[#All],[Reporting Year]],2022,SD[[#All],[Market Code]],A165,SD[[#All],[Large Provider Entity Code]],100)</f>
        <v>0</v>
      </c>
      <c r="D165" s="166">
        <f>SUMIFS(SD[[#All],[Total Truncated Claims Spending]],SD[[#All],[Reporting Year]],2021,SD[[#All],[Market Code]],A165,SD[[#All],[Large Provider Entity Code]],100)</f>
        <v>0</v>
      </c>
      <c r="E165" s="170">
        <f>SUMIFS(SD[[#All],[Total Truncated Claims Spending]],SD[[#All],[Reporting Year]],2022,SD[[#All],[Market Code]],A165,SD[[#All],[Large Provider Entity Code]],100)</f>
        <v>0</v>
      </c>
      <c r="F165"/>
      <c r="G165"/>
      <c r="H165"/>
      <c r="I165"/>
      <c r="J165"/>
      <c r="K165"/>
      <c r="L165"/>
      <c r="M165"/>
      <c r="N165"/>
      <c r="O165"/>
      <c r="P165"/>
      <c r="Q165"/>
      <c r="R165"/>
      <c r="S165"/>
      <c r="T165"/>
      <c r="U165"/>
      <c r="V165"/>
      <c r="W165"/>
      <c r="X165"/>
      <c r="Y165"/>
      <c r="Z165"/>
      <c r="AA165"/>
      <c r="AB165"/>
      <c r="AC165"/>
    </row>
    <row r="166" spans="1:59" x14ac:dyDescent="0.25">
      <c r="A166" s="1"/>
      <c r="B166" s="115"/>
      <c r="C166" s="115"/>
      <c r="D166" s="183"/>
      <c r="E166" s="183"/>
      <c r="F166"/>
      <c r="G166"/>
      <c r="H166"/>
      <c r="I166"/>
      <c r="J166"/>
      <c r="K166"/>
      <c r="L166"/>
      <c r="M166"/>
      <c r="N166"/>
      <c r="O166"/>
      <c r="P166"/>
      <c r="Q166"/>
      <c r="R166"/>
      <c r="S166"/>
      <c r="T166"/>
      <c r="U166"/>
      <c r="V166"/>
      <c r="W166"/>
      <c r="X166"/>
      <c r="Y166"/>
      <c r="Z166"/>
      <c r="AA166"/>
      <c r="AB166"/>
      <c r="AC166"/>
    </row>
    <row r="167" spans="1:59" x14ac:dyDescent="0.25">
      <c r="A167" s="2"/>
      <c r="B167" s="303"/>
      <c r="C167" s="303"/>
      <c r="D167"/>
      <c r="E167"/>
      <c r="F167"/>
      <c r="G167"/>
      <c r="H167"/>
      <c r="I167"/>
      <c r="J167"/>
      <c r="K167"/>
      <c r="L167"/>
      <c r="M167"/>
      <c r="N167"/>
      <c r="O167"/>
      <c r="P167"/>
      <c r="Q167"/>
      <c r="R167"/>
      <c r="S167"/>
      <c r="T167"/>
      <c r="U167"/>
      <c r="V167"/>
      <c r="W167"/>
      <c r="X167"/>
      <c r="Y167"/>
      <c r="Z167"/>
      <c r="AA167"/>
      <c r="AB167"/>
      <c r="AC167"/>
      <c r="AY167" s="49"/>
      <c r="BA167" s="49"/>
      <c r="BC167" s="49"/>
      <c r="BE167" s="49"/>
      <c r="BG167" s="49"/>
    </row>
    <row r="168" spans="1:59" x14ac:dyDescent="0.25">
      <c r="A168" s="4" t="s">
        <v>473</v>
      </c>
      <c r="B168"/>
      <c r="C168"/>
      <c r="D168"/>
      <c r="E168"/>
      <c r="F168"/>
      <c r="G168"/>
      <c r="H168"/>
      <c r="I168"/>
      <c r="J168"/>
      <c r="K168"/>
      <c r="L168"/>
      <c r="M168"/>
      <c r="N168"/>
      <c r="O168"/>
      <c r="P168"/>
      <c r="Q168"/>
      <c r="R168"/>
      <c r="S168"/>
      <c r="T168"/>
      <c r="U168"/>
      <c r="V168"/>
      <c r="W168"/>
      <c r="X168"/>
      <c r="Y168"/>
      <c r="Z168"/>
      <c r="AA168"/>
      <c r="AB168"/>
      <c r="AC168"/>
    </row>
    <row r="169" spans="1:59" ht="15.75" thickBot="1" x14ac:dyDescent="0.3">
      <c r="A169" s="657" t="s">
        <v>474</v>
      </c>
      <c r="B169" s="203">
        <v>2021</v>
      </c>
      <c r="C169" s="200">
        <v>2022</v>
      </c>
      <c r="D169"/>
      <c r="E169"/>
      <c r="F169"/>
      <c r="G169"/>
      <c r="H169"/>
      <c r="I169"/>
      <c r="J169"/>
      <c r="K169"/>
      <c r="L169"/>
      <c r="M169"/>
      <c r="N169"/>
      <c r="O169"/>
      <c r="P169"/>
      <c r="Q169"/>
      <c r="R169"/>
      <c r="S169"/>
      <c r="T169"/>
      <c r="U169"/>
      <c r="V169"/>
      <c r="W169"/>
      <c r="X169"/>
      <c r="Y169"/>
      <c r="Z169"/>
      <c r="AA169"/>
      <c r="AB169"/>
      <c r="AC169"/>
    </row>
    <row r="170" spans="1:59" x14ac:dyDescent="0.25">
      <c r="A170" s="658"/>
      <c r="B170" s="692" t="s">
        <v>181</v>
      </c>
      <c r="C170" s="649"/>
      <c r="D170"/>
      <c r="E170"/>
      <c r="F170"/>
      <c r="G170"/>
      <c r="H170"/>
      <c r="I170"/>
      <c r="J170"/>
      <c r="K170"/>
      <c r="L170"/>
      <c r="M170"/>
      <c r="N170"/>
      <c r="O170"/>
      <c r="P170"/>
      <c r="Q170"/>
      <c r="R170"/>
      <c r="S170"/>
      <c r="T170"/>
      <c r="U170"/>
      <c r="V170"/>
      <c r="W170"/>
      <c r="X170"/>
      <c r="Y170"/>
      <c r="Z170"/>
      <c r="AA170"/>
      <c r="AB170"/>
      <c r="AC170"/>
    </row>
    <row r="171" spans="1:59" x14ac:dyDescent="0.25">
      <c r="A171" s="6">
        <v>1</v>
      </c>
      <c r="B171" s="8">
        <f>SUMIFS(LB[[#All],[Member Months]],LB[[#All],[Reporting Year]],2021,LB[[#All],[Line of Business Category Code]],A171)</f>
        <v>0</v>
      </c>
      <c r="C171" s="8">
        <f>SUMIFS(LB[[#All],[Member Months]],LB[[#All],[Reporting Year]],2022,LB[[#All],[Line of Business Category Code]],A171)</f>
        <v>0</v>
      </c>
      <c r="D171"/>
      <c r="E171"/>
      <c r="F171"/>
      <c r="G171"/>
      <c r="H171"/>
      <c r="I171"/>
      <c r="J171"/>
      <c r="K171"/>
      <c r="L171"/>
      <c r="M171"/>
      <c r="N171"/>
      <c r="O171"/>
      <c r="P171"/>
      <c r="Q171"/>
      <c r="R171"/>
      <c r="S171"/>
      <c r="T171"/>
      <c r="U171"/>
      <c r="V171"/>
      <c r="W171"/>
      <c r="X171"/>
      <c r="Y171"/>
      <c r="Z171"/>
      <c r="AA171"/>
      <c r="AB171"/>
      <c r="AC171"/>
    </row>
    <row r="172" spans="1:59" x14ac:dyDescent="0.25">
      <c r="A172" s="6">
        <v>2</v>
      </c>
      <c r="B172" s="8">
        <f>SUMIFS(LB[[#All],[Member Months]],LB[[#All],[Reporting Year]],2021,LB[[#All],[Line of Business Category Code]],A172)</f>
        <v>0</v>
      </c>
      <c r="C172" s="8">
        <f>SUMIFS(LB[[#All],[Member Months]],LB[[#All],[Reporting Year]],2022,LB[[#All],[Line of Business Category Code]],A172)</f>
        <v>0</v>
      </c>
      <c r="D172"/>
      <c r="E172"/>
      <c r="F172"/>
      <c r="G172"/>
      <c r="H172"/>
      <c r="I172"/>
      <c r="J172"/>
      <c r="K172"/>
      <c r="L172"/>
      <c r="M172"/>
      <c r="N172"/>
      <c r="O172"/>
      <c r="P172"/>
      <c r="Q172"/>
      <c r="R172"/>
      <c r="S172"/>
      <c r="T172"/>
      <c r="U172"/>
      <c r="V172"/>
      <c r="W172"/>
      <c r="X172"/>
      <c r="Y172"/>
      <c r="Z172"/>
      <c r="AA172"/>
      <c r="AB172"/>
      <c r="AC172"/>
    </row>
    <row r="173" spans="1:59" x14ac:dyDescent="0.25">
      <c r="A173" s="6">
        <v>3</v>
      </c>
      <c r="B173" s="8">
        <f>SUMIFS(LB[[#All],[Member Months]],LB[[#All],[Reporting Year]],2021,LB[[#All],[Line of Business Category Code]],A173)</f>
        <v>0</v>
      </c>
      <c r="C173" s="8">
        <f>SUMIFS(LB[[#All],[Member Months]],LB[[#All],[Reporting Year]],2022,LB[[#All],[Line of Business Category Code]],A173)</f>
        <v>0</v>
      </c>
      <c r="D173"/>
      <c r="E173"/>
      <c r="F173"/>
      <c r="G173"/>
      <c r="H173"/>
      <c r="I173"/>
      <c r="J173"/>
      <c r="K173"/>
      <c r="L173"/>
      <c r="M173"/>
      <c r="N173"/>
      <c r="O173"/>
      <c r="P173"/>
      <c r="Q173"/>
      <c r="R173"/>
      <c r="S173"/>
      <c r="T173"/>
      <c r="U173"/>
      <c r="V173"/>
      <c r="W173"/>
      <c r="X173"/>
      <c r="Y173"/>
      <c r="Z173"/>
      <c r="AA173"/>
      <c r="AB173"/>
      <c r="AC173"/>
    </row>
    <row r="174" spans="1:59" x14ac:dyDescent="0.25">
      <c r="A174" s="6">
        <v>4</v>
      </c>
      <c r="B174" s="8">
        <f>SUMIFS(LB[[#All],[Member Months]],LB[[#All],[Reporting Year]],2021,LB[[#All],[Line of Business Category Code]],A174)</f>
        <v>0</v>
      </c>
      <c r="C174" s="8">
        <f>SUMIFS(LB[[#All],[Member Months]],LB[[#All],[Reporting Year]],2022,LB[[#All],[Line of Business Category Code]],A174)</f>
        <v>0</v>
      </c>
      <c r="D174"/>
      <c r="E174"/>
      <c r="F174"/>
      <c r="G174"/>
      <c r="H174"/>
      <c r="I174"/>
      <c r="J174"/>
      <c r="K174"/>
      <c r="L174"/>
      <c r="M174"/>
      <c r="N174"/>
      <c r="O174"/>
      <c r="P174"/>
      <c r="Q174"/>
      <c r="R174"/>
      <c r="S174"/>
      <c r="T174"/>
      <c r="U174"/>
      <c r="V174"/>
      <c r="W174"/>
      <c r="X174"/>
      <c r="Y174"/>
      <c r="Z174"/>
      <c r="AA174"/>
      <c r="AB174"/>
      <c r="AC174"/>
    </row>
    <row r="175" spans="1:59" x14ac:dyDescent="0.25">
      <c r="A175" s="6">
        <v>5</v>
      </c>
      <c r="B175" s="8">
        <f>SUMIFS(LB[[#All],[Member Months]],LB[[#All],[Reporting Year]],2021,LB[[#All],[Line of Business Category Code]],A175)</f>
        <v>0</v>
      </c>
      <c r="C175" s="8">
        <f>SUMIFS(LB[[#All],[Member Months]],LB[[#All],[Reporting Year]],2022,LB[[#All],[Line of Business Category Code]],A175)</f>
        <v>0</v>
      </c>
      <c r="D175"/>
      <c r="E175"/>
      <c r="F175"/>
      <c r="G175"/>
      <c r="H175"/>
      <c r="I175"/>
      <c r="J175"/>
      <c r="K175"/>
      <c r="L175"/>
      <c r="M175"/>
      <c r="N175"/>
      <c r="O175"/>
      <c r="P175"/>
      <c r="Q175"/>
      <c r="R175"/>
      <c r="S175"/>
      <c r="T175"/>
      <c r="U175"/>
      <c r="V175"/>
      <c r="W175"/>
      <c r="X175"/>
      <c r="Y175"/>
      <c r="Z175"/>
      <c r="AA175"/>
      <c r="AB175"/>
      <c r="AC175"/>
    </row>
    <row r="176" spans="1:59" x14ac:dyDescent="0.25">
      <c r="A176" s="6">
        <v>6</v>
      </c>
      <c r="B176" s="8">
        <f>SUMIFS(LB[[#All],[Member Months]],LB[[#All],[Reporting Year]],2021,LB[[#All],[Line of Business Category Code]],A176)</f>
        <v>0</v>
      </c>
      <c r="C176" s="8">
        <f>SUMIFS(LB[[#All],[Member Months]],LB[[#All],[Reporting Year]],2022,LB[[#All],[Line of Business Category Code]],A176)</f>
        <v>0</v>
      </c>
      <c r="D176"/>
      <c r="E176"/>
      <c r="F176"/>
      <c r="G176"/>
      <c r="H176"/>
      <c r="I176"/>
      <c r="J176"/>
      <c r="K176"/>
      <c r="L176"/>
      <c r="M176"/>
      <c r="N176"/>
      <c r="O176"/>
      <c r="P176"/>
      <c r="Q176"/>
      <c r="R176"/>
      <c r="S176"/>
      <c r="T176"/>
      <c r="U176"/>
      <c r="V176"/>
      <c r="W176"/>
      <c r="X176"/>
      <c r="Y176"/>
      <c r="Z176"/>
      <c r="AA176"/>
      <c r="AB176"/>
      <c r="AC176"/>
    </row>
    <row r="177" spans="1:29" x14ac:dyDescent="0.25">
      <c r="A177" s="6">
        <v>7</v>
      </c>
      <c r="B177" s="8">
        <f>SUMIFS(LB[[#All],[Member Months]],LB[[#All],[Reporting Year]],2021,LB[[#All],[Line of Business Category Code]],A177)</f>
        <v>0</v>
      </c>
      <c r="C177" s="8">
        <f>SUMIFS(LB[[#All],[Member Months]],LB[[#All],[Reporting Year]],2022,LB[[#All],[Line of Business Category Code]],A177)</f>
        <v>0</v>
      </c>
      <c r="D177"/>
      <c r="E177"/>
      <c r="F177"/>
      <c r="G177"/>
      <c r="H177"/>
      <c r="I177"/>
      <c r="J177"/>
      <c r="K177"/>
      <c r="L177"/>
      <c r="M177"/>
      <c r="N177"/>
      <c r="O177"/>
      <c r="P177"/>
      <c r="Q177"/>
      <c r="R177"/>
      <c r="S177"/>
      <c r="T177"/>
      <c r="U177"/>
      <c r="V177"/>
      <c r="W177"/>
      <c r="X177"/>
      <c r="Y177"/>
      <c r="Z177"/>
      <c r="AA177"/>
      <c r="AB177"/>
      <c r="AC177"/>
    </row>
    <row r="178" spans="1:29" x14ac:dyDescent="0.25">
      <c r="A178" s="6">
        <v>8</v>
      </c>
      <c r="B178" s="8">
        <f>SUMIFS(LB[[#All],[Member Months]],LB[[#All],[Reporting Year]],2021,LB[[#All],[Line of Business Category Code]],A178)</f>
        <v>0</v>
      </c>
      <c r="C178" s="8">
        <f>SUMIFS(LB[[#All],[Member Months]],LB[[#All],[Reporting Year]],2022,LB[[#All],[Line of Business Category Code]],A178)</f>
        <v>0</v>
      </c>
      <c r="D178"/>
      <c r="E178"/>
      <c r="F178"/>
      <c r="G178"/>
      <c r="H178"/>
      <c r="I178"/>
      <c r="J178"/>
      <c r="K178"/>
      <c r="L178"/>
      <c r="M178"/>
      <c r="N178"/>
      <c r="O178"/>
      <c r="P178"/>
      <c r="Q178"/>
      <c r="R178"/>
      <c r="S178"/>
      <c r="T178"/>
      <c r="U178"/>
      <c r="V178"/>
      <c r="W178"/>
      <c r="X178"/>
      <c r="Y178"/>
      <c r="Z178"/>
      <c r="AA178"/>
      <c r="AB178"/>
      <c r="AC178"/>
    </row>
    <row r="179" spans="1:29" x14ac:dyDescent="0.25">
      <c r="A179" s="6">
        <v>9</v>
      </c>
      <c r="B179" s="8">
        <f>SUMIFS(LB[[#All],[Member Months]],LB[[#All],[Reporting Year]],2021,LB[[#All],[Line of Business Category Code]],A179)</f>
        <v>0</v>
      </c>
      <c r="C179" s="8">
        <f>SUMIFS(LB[[#All],[Member Months]],LB[[#All],[Reporting Year]],2022,LB[[#All],[Line of Business Category Code]],A179)</f>
        <v>0</v>
      </c>
      <c r="D179"/>
      <c r="E179"/>
      <c r="F179"/>
      <c r="G179"/>
      <c r="H179"/>
      <c r="I179"/>
      <c r="J179"/>
      <c r="K179"/>
      <c r="L179"/>
      <c r="M179"/>
      <c r="N179"/>
      <c r="O179"/>
      <c r="P179"/>
      <c r="Q179"/>
      <c r="R179"/>
      <c r="S179"/>
      <c r="T179"/>
      <c r="U179"/>
      <c r="V179"/>
      <c r="W179"/>
      <c r="X179"/>
      <c r="Y179"/>
      <c r="Z179"/>
      <c r="AA179"/>
      <c r="AB179"/>
      <c r="AC179"/>
    </row>
    <row r="180" spans="1:29" x14ac:dyDescent="0.25">
      <c r="A180" s="6">
        <v>10</v>
      </c>
      <c r="B180" s="8">
        <f>SUMIFS(LB[[#All],[Member Months]],LB[[#All],[Reporting Year]],2021,LB[[#All],[Line of Business Category Code]],A180)</f>
        <v>0</v>
      </c>
      <c r="C180" s="8">
        <f>SUMIFS(LB[[#All],[Member Months]],LB[[#All],[Reporting Year]],2022,LB[[#All],[Line of Business Category Code]],A180)</f>
        <v>0</v>
      </c>
      <c r="D180"/>
      <c r="E180"/>
      <c r="F180"/>
      <c r="G180"/>
      <c r="H180"/>
      <c r="I180"/>
      <c r="J180"/>
      <c r="K180"/>
      <c r="L180"/>
      <c r="M180"/>
      <c r="N180"/>
      <c r="O180"/>
      <c r="P180"/>
      <c r="Q180"/>
      <c r="R180"/>
      <c r="S180"/>
      <c r="T180"/>
      <c r="U180"/>
      <c r="V180"/>
      <c r="W180"/>
      <c r="X180"/>
      <c r="Y180"/>
      <c r="Z180"/>
      <c r="AA180"/>
      <c r="AB180"/>
      <c r="AC180"/>
    </row>
    <row r="181" spans="1:29" x14ac:dyDescent="0.25">
      <c r="A181" s="6">
        <v>11</v>
      </c>
      <c r="B181" s="8">
        <f>SUMIFS(LB[[#All],[Member Months]],LB[[#All],[Reporting Year]],2021,LB[[#All],[Line of Business Category Code]],A181)</f>
        <v>0</v>
      </c>
      <c r="C181" s="8">
        <f>SUMIFS(LB[[#All],[Member Months]],LB[[#All],[Reporting Year]],2022,LB[[#All],[Line of Business Category Code]],A181)</f>
        <v>0</v>
      </c>
      <c r="D181"/>
      <c r="E181"/>
      <c r="F181"/>
      <c r="G181"/>
      <c r="H181"/>
      <c r="I181"/>
      <c r="J181"/>
      <c r="K181"/>
      <c r="L181"/>
      <c r="M181"/>
      <c r="N181"/>
      <c r="O181"/>
      <c r="P181"/>
      <c r="Q181"/>
      <c r="R181"/>
      <c r="S181"/>
      <c r="T181"/>
      <c r="U181"/>
      <c r="V181"/>
      <c r="W181"/>
      <c r="X181"/>
      <c r="Y181"/>
      <c r="Z181"/>
      <c r="AA181"/>
      <c r="AB181"/>
      <c r="AC181"/>
    </row>
    <row r="182" spans="1:29" x14ac:dyDescent="0.25">
      <c r="A182" s="1"/>
      <c r="B182" s="115"/>
      <c r="C182" s="115"/>
      <c r="D182"/>
      <c r="E182"/>
      <c r="F182"/>
      <c r="G182"/>
      <c r="H182"/>
      <c r="I182"/>
      <c r="J182"/>
      <c r="K182"/>
      <c r="L182"/>
      <c r="M182"/>
      <c r="N182"/>
      <c r="O182"/>
      <c r="P182"/>
      <c r="Q182"/>
      <c r="R182"/>
      <c r="S182"/>
      <c r="T182"/>
      <c r="U182"/>
      <c r="V182"/>
      <c r="W182"/>
      <c r="X182"/>
      <c r="Y182"/>
      <c r="Z182"/>
      <c r="AA182"/>
      <c r="AB182"/>
      <c r="AC182"/>
    </row>
    <row r="183" spans="1:29" x14ac:dyDescent="0.25">
      <c r="A183"/>
      <c r="B183"/>
      <c r="C183"/>
      <c r="D183"/>
      <c r="E183"/>
      <c r="F183"/>
      <c r="G183"/>
      <c r="H183"/>
      <c r="I183"/>
      <c r="J183"/>
      <c r="K183"/>
      <c r="L183"/>
      <c r="M183"/>
      <c r="N183"/>
      <c r="O183"/>
      <c r="P183"/>
      <c r="Q183"/>
      <c r="R183"/>
      <c r="S183"/>
      <c r="T183"/>
      <c r="U183"/>
      <c r="V183"/>
      <c r="W183"/>
      <c r="X183"/>
      <c r="Y183"/>
      <c r="Z183"/>
      <c r="AA183"/>
      <c r="AB183"/>
      <c r="AC183"/>
    </row>
    <row r="184" spans="1:29" x14ac:dyDescent="0.25">
      <c r="A184" s="3" t="s">
        <v>475</v>
      </c>
      <c r="B184"/>
      <c r="C184"/>
      <c r="D184"/>
      <c r="E184"/>
      <c r="F184"/>
      <c r="G184"/>
      <c r="H184"/>
      <c r="I184"/>
      <c r="J184"/>
      <c r="K184"/>
      <c r="L184"/>
      <c r="M184"/>
      <c r="N184"/>
      <c r="O184"/>
      <c r="P184"/>
      <c r="Q184"/>
      <c r="R184"/>
      <c r="S184"/>
      <c r="T184"/>
      <c r="U184"/>
      <c r="V184"/>
      <c r="W184"/>
      <c r="X184"/>
      <c r="Y184"/>
      <c r="Z184"/>
      <c r="AA184"/>
      <c r="AB184"/>
      <c r="AC184"/>
    </row>
    <row r="185" spans="1:29" x14ac:dyDescent="0.25">
      <c r="A185" s="355" t="s">
        <v>476</v>
      </c>
      <c r="B185" s="355"/>
      <c r="C185" s="355"/>
      <c r="D185" s="355"/>
      <c r="E185" s="355"/>
      <c r="F185" s="355"/>
      <c r="G185" s="355"/>
      <c r="H185" s="355"/>
      <c r="I185" s="355"/>
      <c r="J185" s="291"/>
      <c r="K185" s="291"/>
      <c r="L185" s="291"/>
      <c r="M185" s="291"/>
      <c r="N185" s="291"/>
      <c r="O185" s="291"/>
      <c r="P185" s="291"/>
      <c r="Q185" s="291"/>
      <c r="R185" s="291"/>
      <c r="S185" s="291"/>
      <c r="T185" s="291"/>
      <c r="U185" s="291"/>
      <c r="V185" s="291"/>
      <c r="W185" s="291"/>
      <c r="X185" s="291"/>
      <c r="Y185" s="291"/>
      <c r="Z185"/>
      <c r="AA185"/>
      <c r="AB185"/>
      <c r="AC185"/>
    </row>
    <row r="186" spans="1:29" ht="15.75" thickBot="1" x14ac:dyDescent="0.3">
      <c r="A186" s="655" t="s">
        <v>61</v>
      </c>
      <c r="B186" s="652">
        <v>2021</v>
      </c>
      <c r="C186" s="653"/>
      <c r="D186" s="653"/>
      <c r="E186" s="653"/>
      <c r="F186" s="653"/>
      <c r="G186" s="653"/>
      <c r="H186" s="653"/>
      <c r="I186" s="653"/>
      <c r="J186" s="653"/>
      <c r="K186" s="653"/>
      <c r="L186" s="653"/>
      <c r="M186" s="654"/>
      <c r="N186" s="646">
        <v>2022</v>
      </c>
      <c r="O186" s="647"/>
      <c r="P186" s="647"/>
      <c r="Q186" s="647"/>
      <c r="R186" s="647"/>
      <c r="S186" s="647"/>
      <c r="T186" s="647"/>
      <c r="U186" s="647"/>
      <c r="V186" s="647"/>
      <c r="W186" s="647"/>
      <c r="X186" s="647"/>
      <c r="Y186" s="647"/>
      <c r="Z186"/>
      <c r="AA186"/>
      <c r="AB186"/>
      <c r="AC186"/>
    </row>
    <row r="187" spans="1:29" ht="57.75" customHeight="1" x14ac:dyDescent="0.25">
      <c r="A187" s="656"/>
      <c r="B187" s="80" t="s">
        <v>352</v>
      </c>
      <c r="C187" s="81" t="s">
        <v>353</v>
      </c>
      <c r="D187" s="78" t="s">
        <v>354</v>
      </c>
      <c r="E187" s="78" t="s">
        <v>355</v>
      </c>
      <c r="F187" s="81" t="s">
        <v>477</v>
      </c>
      <c r="G187" s="81" t="s">
        <v>478</v>
      </c>
      <c r="H187" s="78" t="s">
        <v>354</v>
      </c>
      <c r="I187" s="78" t="s">
        <v>355</v>
      </c>
      <c r="J187" s="81" t="s">
        <v>479</v>
      </c>
      <c r="K187" s="81" t="s">
        <v>480</v>
      </c>
      <c r="L187" s="78" t="s">
        <v>354</v>
      </c>
      <c r="M187" s="78" t="s">
        <v>355</v>
      </c>
      <c r="N187" s="83" t="s">
        <v>352</v>
      </c>
      <c r="O187" s="84" t="s">
        <v>353</v>
      </c>
      <c r="P187" s="85" t="s">
        <v>354</v>
      </c>
      <c r="Q187" s="85" t="s">
        <v>355</v>
      </c>
      <c r="R187" s="83" t="s">
        <v>477</v>
      </c>
      <c r="S187" s="84" t="s">
        <v>478</v>
      </c>
      <c r="T187" s="85" t="s">
        <v>354</v>
      </c>
      <c r="U187" s="85" t="s">
        <v>355</v>
      </c>
      <c r="V187" s="83" t="s">
        <v>479</v>
      </c>
      <c r="W187" s="84" t="s">
        <v>480</v>
      </c>
      <c r="X187" s="85" t="s">
        <v>354</v>
      </c>
      <c r="Y187" s="85" t="s">
        <v>355</v>
      </c>
      <c r="Z187"/>
      <c r="AA187"/>
      <c r="AB187"/>
      <c r="AC187"/>
    </row>
    <row r="188" spans="1:29" x14ac:dyDescent="0.25">
      <c r="A188" s="54">
        <v>1</v>
      </c>
      <c r="B188" s="294">
        <f t="shared" ref="B188:B195" si="69">B111</f>
        <v>0</v>
      </c>
      <c r="C188" s="295">
        <f t="shared" ref="C188:C195" si="70">B124</f>
        <v>0</v>
      </c>
      <c r="D188" s="296" t="str">
        <f t="shared" ref="D188:D195" si="71">IF(((ABS(B188-C188))&lt;10),"Yes", "No")</f>
        <v>Yes</v>
      </c>
      <c r="E188" s="295">
        <f t="shared" ref="E188:E193" si="72">ABS(B188-C188)</f>
        <v>0</v>
      </c>
      <c r="F188" s="413">
        <f>P111</f>
        <v>0</v>
      </c>
      <c r="G188" s="413">
        <f>N124</f>
        <v>0</v>
      </c>
      <c r="H188" s="296" t="str">
        <f t="shared" ref="H188:H195" si="73">IF(((ABS(F188-G188))&lt;10),"Yes", "No")</f>
        <v>Yes</v>
      </c>
      <c r="I188" s="295">
        <f t="shared" ref="I188:I194" si="74">ABS(F188-G188)</f>
        <v>0</v>
      </c>
      <c r="J188" s="414">
        <f>D111</f>
        <v>0</v>
      </c>
      <c r="K188" s="414">
        <f>D124</f>
        <v>0</v>
      </c>
      <c r="L188" s="296" t="str">
        <f t="shared" ref="L188:L195" si="75">IF(((ABS(J188-K188))&lt;10),"Yes", "No")</f>
        <v>Yes</v>
      </c>
      <c r="M188" s="295">
        <f t="shared" ref="M188:M195" si="76">ABS(J188-K188)</f>
        <v>0</v>
      </c>
      <c r="N188" s="294">
        <f>C111</f>
        <v>0</v>
      </c>
      <c r="O188" s="295">
        <f>C124</f>
        <v>0</v>
      </c>
      <c r="P188" s="296" t="str">
        <f t="shared" ref="P188:P195" si="77">IF(((ABS(N188-O188))&lt;10),"Yes", "No")</f>
        <v>Yes</v>
      </c>
      <c r="Q188" s="295">
        <f>ABS(N188-O188)</f>
        <v>0</v>
      </c>
      <c r="R188" s="413">
        <f>Q111</f>
        <v>0</v>
      </c>
      <c r="S188" s="413">
        <f>O124</f>
        <v>0</v>
      </c>
      <c r="T188" s="296" t="str">
        <f t="shared" ref="T188:T195" si="78">IF(((ABS(R188-S188))&lt;10),"Yes", "No")</f>
        <v>Yes</v>
      </c>
      <c r="U188" s="295">
        <f>ABS(R188-S188)</f>
        <v>0</v>
      </c>
      <c r="V188" s="414">
        <f>E111</f>
        <v>0</v>
      </c>
      <c r="W188" s="414">
        <f>E124</f>
        <v>0</v>
      </c>
      <c r="X188" s="296" t="str">
        <f t="shared" ref="X188:X195" si="79">IF(((ABS(V188-W188))&lt;10),"Yes", "No")</f>
        <v>Yes</v>
      </c>
      <c r="Y188" s="295">
        <f>ABS(V188-W188)</f>
        <v>0</v>
      </c>
      <c r="Z188"/>
      <c r="AA188"/>
      <c r="AB188"/>
      <c r="AC188"/>
    </row>
    <row r="189" spans="1:29" x14ac:dyDescent="0.25">
      <c r="A189" s="54">
        <v>2</v>
      </c>
      <c r="B189" s="294">
        <f>B112</f>
        <v>0</v>
      </c>
      <c r="C189" s="295">
        <f t="shared" si="70"/>
        <v>0</v>
      </c>
      <c r="D189" s="296" t="str">
        <f>IF(((ABS(B189-C189))&lt;10),"Yes", "No")</f>
        <v>Yes</v>
      </c>
      <c r="E189" s="295">
        <f t="shared" si="72"/>
        <v>0</v>
      </c>
      <c r="F189" s="413">
        <f>P112</f>
        <v>0</v>
      </c>
      <c r="G189" s="413">
        <f t="shared" ref="G189:G195" si="80">N125</f>
        <v>0</v>
      </c>
      <c r="H189" s="296" t="str">
        <f t="shared" si="73"/>
        <v>Yes</v>
      </c>
      <c r="I189" s="295">
        <f t="shared" si="74"/>
        <v>0</v>
      </c>
      <c r="J189" s="414">
        <f t="shared" ref="J189:J195" si="81">D112</f>
        <v>0</v>
      </c>
      <c r="K189" s="414">
        <f t="shared" ref="K189:K195" si="82">D125</f>
        <v>0</v>
      </c>
      <c r="L189" s="296" t="str">
        <f t="shared" si="75"/>
        <v>Yes</v>
      </c>
      <c r="M189" s="295">
        <f t="shared" si="76"/>
        <v>0</v>
      </c>
      <c r="N189" s="294">
        <f t="shared" ref="N189:N195" si="83">C112</f>
        <v>0</v>
      </c>
      <c r="O189" s="295">
        <f t="shared" ref="O189:O195" si="84">C125</f>
        <v>0</v>
      </c>
      <c r="P189" s="296" t="str">
        <f t="shared" si="77"/>
        <v>Yes</v>
      </c>
      <c r="Q189" s="295">
        <f>ABS(N189-O189)</f>
        <v>0</v>
      </c>
      <c r="R189" s="413">
        <f t="shared" ref="R189:R195" si="85">Q112</f>
        <v>0</v>
      </c>
      <c r="S189" s="413">
        <f t="shared" ref="S189:S195" si="86">O125</f>
        <v>0</v>
      </c>
      <c r="T189" s="296" t="str">
        <f t="shared" si="78"/>
        <v>Yes</v>
      </c>
      <c r="U189" s="295">
        <f>ABS(R189-S189)</f>
        <v>0</v>
      </c>
      <c r="V189" s="414">
        <f>E112</f>
        <v>0</v>
      </c>
      <c r="W189" s="414">
        <f t="shared" ref="W189:W195" si="87">E125</f>
        <v>0</v>
      </c>
      <c r="X189" s="296" t="str">
        <f t="shared" si="79"/>
        <v>Yes</v>
      </c>
      <c r="Y189" s="295">
        <f>ABS(V189-W189)</f>
        <v>0</v>
      </c>
      <c r="Z189"/>
      <c r="AA189"/>
      <c r="AB189"/>
      <c r="AC189"/>
    </row>
    <row r="190" spans="1:29" x14ac:dyDescent="0.25">
      <c r="A190" s="54">
        <v>3</v>
      </c>
      <c r="B190" s="294">
        <f t="shared" si="69"/>
        <v>0</v>
      </c>
      <c r="C190" s="295">
        <f t="shared" si="70"/>
        <v>0</v>
      </c>
      <c r="D190" s="296" t="str">
        <f t="shared" si="71"/>
        <v>Yes</v>
      </c>
      <c r="E190" s="295">
        <f t="shared" si="72"/>
        <v>0</v>
      </c>
      <c r="F190" s="413">
        <f t="shared" ref="F190:F195" si="88">P113</f>
        <v>0</v>
      </c>
      <c r="G190" s="413">
        <f t="shared" si="80"/>
        <v>0</v>
      </c>
      <c r="H190" s="296" t="str">
        <f t="shared" si="73"/>
        <v>Yes</v>
      </c>
      <c r="I190" s="295">
        <f t="shared" si="74"/>
        <v>0</v>
      </c>
      <c r="J190" s="414">
        <f t="shared" si="81"/>
        <v>0</v>
      </c>
      <c r="K190" s="414">
        <f t="shared" si="82"/>
        <v>0</v>
      </c>
      <c r="L190" s="296" t="str">
        <f t="shared" si="75"/>
        <v>Yes</v>
      </c>
      <c r="M190" s="295">
        <f t="shared" si="76"/>
        <v>0</v>
      </c>
      <c r="N190" s="294">
        <f t="shared" si="83"/>
        <v>0</v>
      </c>
      <c r="O190" s="295">
        <f t="shared" si="84"/>
        <v>0</v>
      </c>
      <c r="P190" s="296" t="str">
        <f t="shared" si="77"/>
        <v>Yes</v>
      </c>
      <c r="Q190" s="295">
        <f t="shared" ref="Q190" si="89">ABS(N190-O190)</f>
        <v>0</v>
      </c>
      <c r="R190" s="413">
        <f t="shared" si="85"/>
        <v>0</v>
      </c>
      <c r="S190" s="413">
        <f t="shared" si="86"/>
        <v>0</v>
      </c>
      <c r="T190" s="296" t="str">
        <f t="shared" si="78"/>
        <v>Yes</v>
      </c>
      <c r="U190" s="295">
        <f t="shared" ref="U190:U191" si="90">ABS(R190-S190)</f>
        <v>0</v>
      </c>
      <c r="V190" s="414">
        <f t="shared" ref="V190:V195" si="91">E113</f>
        <v>0</v>
      </c>
      <c r="W190" s="414">
        <f t="shared" si="87"/>
        <v>0</v>
      </c>
      <c r="X190" s="296" t="str">
        <f t="shared" si="79"/>
        <v>Yes</v>
      </c>
      <c r="Y190" s="295">
        <f t="shared" ref="Y190:Y191" si="92">ABS(V190-W190)</f>
        <v>0</v>
      </c>
      <c r="Z190"/>
      <c r="AA190"/>
      <c r="AB190"/>
      <c r="AC190"/>
    </row>
    <row r="191" spans="1:29" x14ac:dyDescent="0.25">
      <c r="A191" s="54">
        <v>4</v>
      </c>
      <c r="B191" s="294">
        <f t="shared" si="69"/>
        <v>0</v>
      </c>
      <c r="C191" s="295">
        <f t="shared" si="70"/>
        <v>0</v>
      </c>
      <c r="D191" s="296" t="str">
        <f t="shared" si="71"/>
        <v>Yes</v>
      </c>
      <c r="E191" s="295">
        <f t="shared" si="72"/>
        <v>0</v>
      </c>
      <c r="F191" s="413">
        <f t="shared" si="88"/>
        <v>0</v>
      </c>
      <c r="G191" s="413">
        <f>N127</f>
        <v>0</v>
      </c>
      <c r="H191" s="296" t="str">
        <f t="shared" si="73"/>
        <v>Yes</v>
      </c>
      <c r="I191" s="295">
        <f t="shared" si="74"/>
        <v>0</v>
      </c>
      <c r="J191" s="414">
        <f t="shared" si="81"/>
        <v>0</v>
      </c>
      <c r="K191" s="414">
        <f t="shared" si="82"/>
        <v>0</v>
      </c>
      <c r="L191" s="296" t="str">
        <f t="shared" si="75"/>
        <v>Yes</v>
      </c>
      <c r="M191" s="295">
        <f>ABS(J191-K191)</f>
        <v>0</v>
      </c>
      <c r="N191" s="294">
        <f t="shared" si="83"/>
        <v>0</v>
      </c>
      <c r="O191" s="295">
        <f t="shared" si="84"/>
        <v>0</v>
      </c>
      <c r="P191" s="296" t="str">
        <f t="shared" si="77"/>
        <v>Yes</v>
      </c>
      <c r="Q191" s="295">
        <f t="shared" ref="Q191:Q195" si="93">ABS(N191-O191)</f>
        <v>0</v>
      </c>
      <c r="R191" s="413">
        <f t="shared" si="85"/>
        <v>0</v>
      </c>
      <c r="S191" s="413">
        <f t="shared" si="86"/>
        <v>0</v>
      </c>
      <c r="T191" s="296" t="str">
        <f t="shared" si="78"/>
        <v>Yes</v>
      </c>
      <c r="U191" s="295">
        <f t="shared" si="90"/>
        <v>0</v>
      </c>
      <c r="V191" s="414">
        <f t="shared" si="91"/>
        <v>0</v>
      </c>
      <c r="W191" s="414">
        <f t="shared" si="87"/>
        <v>0</v>
      </c>
      <c r="X191" s="296" t="str">
        <f t="shared" si="79"/>
        <v>Yes</v>
      </c>
      <c r="Y191" s="295">
        <f t="shared" si="92"/>
        <v>0</v>
      </c>
      <c r="Z191"/>
      <c r="AA191"/>
      <c r="AB191"/>
      <c r="AC191"/>
    </row>
    <row r="192" spans="1:29" x14ac:dyDescent="0.25">
      <c r="A192" s="54">
        <v>5</v>
      </c>
      <c r="B192" s="294">
        <f t="shared" si="69"/>
        <v>0</v>
      </c>
      <c r="C192" s="295">
        <f t="shared" si="70"/>
        <v>0</v>
      </c>
      <c r="D192" s="296" t="str">
        <f t="shared" si="71"/>
        <v>Yes</v>
      </c>
      <c r="E192" s="295">
        <f>ABS(B192-C192)</f>
        <v>0</v>
      </c>
      <c r="F192" s="413">
        <f>P115</f>
        <v>0</v>
      </c>
      <c r="G192" s="413">
        <f t="shared" si="80"/>
        <v>0</v>
      </c>
      <c r="H192" s="296" t="str">
        <f t="shared" si="73"/>
        <v>Yes</v>
      </c>
      <c r="I192" s="295">
        <f>ABS(F192-G192)</f>
        <v>0</v>
      </c>
      <c r="J192" s="414">
        <f t="shared" si="81"/>
        <v>0</v>
      </c>
      <c r="K192" s="414">
        <f t="shared" si="82"/>
        <v>0</v>
      </c>
      <c r="L192" s="296" t="str">
        <f t="shared" si="75"/>
        <v>Yes</v>
      </c>
      <c r="M192" s="295">
        <f t="shared" si="76"/>
        <v>0</v>
      </c>
      <c r="N192" s="294">
        <f t="shared" si="83"/>
        <v>0</v>
      </c>
      <c r="O192" s="295">
        <f t="shared" si="84"/>
        <v>0</v>
      </c>
      <c r="P192" s="296" t="str">
        <f t="shared" si="77"/>
        <v>Yes</v>
      </c>
      <c r="Q192" s="295">
        <f>ABS(N192-O192)</f>
        <v>0</v>
      </c>
      <c r="R192" s="413">
        <f t="shared" si="85"/>
        <v>0</v>
      </c>
      <c r="S192" s="413">
        <f t="shared" si="86"/>
        <v>0</v>
      </c>
      <c r="T192" s="296" t="str">
        <f t="shared" si="78"/>
        <v>Yes</v>
      </c>
      <c r="U192" s="295">
        <f>ABS(R192-S192)</f>
        <v>0</v>
      </c>
      <c r="V192" s="414">
        <f t="shared" si="91"/>
        <v>0</v>
      </c>
      <c r="W192" s="414">
        <f t="shared" si="87"/>
        <v>0</v>
      </c>
      <c r="X192" s="296" t="str">
        <f t="shared" si="79"/>
        <v>Yes</v>
      </c>
      <c r="Y192" s="295">
        <f>ABS(V192-W192)</f>
        <v>0</v>
      </c>
      <c r="Z192"/>
      <c r="AA192"/>
      <c r="AB192"/>
      <c r="AC192"/>
    </row>
    <row r="193" spans="1:33" x14ac:dyDescent="0.25">
      <c r="A193" s="54">
        <v>6</v>
      </c>
      <c r="B193" s="294">
        <f t="shared" si="69"/>
        <v>0</v>
      </c>
      <c r="C193" s="295">
        <f t="shared" si="70"/>
        <v>0</v>
      </c>
      <c r="D193" s="296" t="str">
        <f t="shared" si="71"/>
        <v>Yes</v>
      </c>
      <c r="E193" s="295">
        <f t="shared" si="72"/>
        <v>0</v>
      </c>
      <c r="F193" s="413">
        <f t="shared" si="88"/>
        <v>0</v>
      </c>
      <c r="G193" s="413">
        <f>N129</f>
        <v>0</v>
      </c>
      <c r="H193" s="296" t="str">
        <f t="shared" si="73"/>
        <v>Yes</v>
      </c>
      <c r="I193" s="295">
        <f t="shared" si="74"/>
        <v>0</v>
      </c>
      <c r="J193" s="414">
        <f t="shared" si="81"/>
        <v>0</v>
      </c>
      <c r="K193" s="414">
        <f t="shared" si="82"/>
        <v>0</v>
      </c>
      <c r="L193" s="296" t="str">
        <f t="shared" si="75"/>
        <v>Yes</v>
      </c>
      <c r="M193" s="295">
        <f t="shared" si="76"/>
        <v>0</v>
      </c>
      <c r="N193" s="294">
        <f t="shared" si="83"/>
        <v>0</v>
      </c>
      <c r="O193" s="295">
        <f t="shared" si="84"/>
        <v>0</v>
      </c>
      <c r="P193" s="296" t="str">
        <f t="shared" si="77"/>
        <v>Yes</v>
      </c>
      <c r="Q193" s="295">
        <f>ABS(N193-O193)</f>
        <v>0</v>
      </c>
      <c r="R193" s="413">
        <f t="shared" si="85"/>
        <v>0</v>
      </c>
      <c r="S193" s="413">
        <f t="shared" si="86"/>
        <v>0</v>
      </c>
      <c r="T193" s="296" t="str">
        <f t="shared" si="78"/>
        <v>Yes</v>
      </c>
      <c r="U193" s="295">
        <f>ABS(R193-S193)</f>
        <v>0</v>
      </c>
      <c r="V193" s="414">
        <f t="shared" si="91"/>
        <v>0</v>
      </c>
      <c r="W193" s="414">
        <f t="shared" si="87"/>
        <v>0</v>
      </c>
      <c r="X193" s="296" t="str">
        <f t="shared" si="79"/>
        <v>Yes</v>
      </c>
      <c r="Y193" s="295">
        <f>ABS(V193-W193)</f>
        <v>0</v>
      </c>
      <c r="Z193"/>
      <c r="AA193"/>
      <c r="AB193"/>
      <c r="AC193"/>
    </row>
    <row r="194" spans="1:33" x14ac:dyDescent="0.25">
      <c r="A194" s="54">
        <v>7</v>
      </c>
      <c r="B194" s="411">
        <f t="shared" si="69"/>
        <v>0</v>
      </c>
      <c r="C194" s="412">
        <f>B130</f>
        <v>0</v>
      </c>
      <c r="D194" s="296" t="str">
        <f t="shared" si="71"/>
        <v>Yes</v>
      </c>
      <c r="E194" s="295">
        <f t="shared" ref="E194:E195" si="94">ABS(B194-C194)</f>
        <v>0</v>
      </c>
      <c r="F194" s="413">
        <f t="shared" si="88"/>
        <v>0</v>
      </c>
      <c r="G194" s="413">
        <f t="shared" si="80"/>
        <v>0</v>
      </c>
      <c r="H194" s="296" t="str">
        <f t="shared" si="73"/>
        <v>Yes</v>
      </c>
      <c r="I194" s="295">
        <f t="shared" si="74"/>
        <v>0</v>
      </c>
      <c r="J194" s="414">
        <f t="shared" si="81"/>
        <v>0</v>
      </c>
      <c r="K194" s="414">
        <f t="shared" si="82"/>
        <v>0</v>
      </c>
      <c r="L194" s="296" t="str">
        <f t="shared" si="75"/>
        <v>Yes</v>
      </c>
      <c r="M194" s="412">
        <f t="shared" si="76"/>
        <v>0</v>
      </c>
      <c r="N194" s="294">
        <f t="shared" si="83"/>
        <v>0</v>
      </c>
      <c r="O194" s="295">
        <f t="shared" si="84"/>
        <v>0</v>
      </c>
      <c r="P194" s="296" t="str">
        <f t="shared" si="77"/>
        <v>Yes</v>
      </c>
      <c r="Q194" s="295">
        <f t="shared" si="93"/>
        <v>0</v>
      </c>
      <c r="R194" s="413">
        <f t="shared" si="85"/>
        <v>0</v>
      </c>
      <c r="S194" s="413">
        <f t="shared" si="86"/>
        <v>0</v>
      </c>
      <c r="T194" s="296" t="str">
        <f t="shared" si="78"/>
        <v>Yes</v>
      </c>
      <c r="U194" s="295">
        <f t="shared" ref="U194:U195" si="95">ABS(R194-S194)</f>
        <v>0</v>
      </c>
      <c r="V194" s="414">
        <f t="shared" si="91"/>
        <v>0</v>
      </c>
      <c r="W194" s="414">
        <f t="shared" si="87"/>
        <v>0</v>
      </c>
      <c r="X194" s="296" t="str">
        <f t="shared" si="79"/>
        <v>Yes</v>
      </c>
      <c r="Y194" s="295">
        <f t="shared" ref="Y194:Y195" si="96">ABS(V194-W194)</f>
        <v>0</v>
      </c>
      <c r="Z194"/>
      <c r="AA194"/>
      <c r="AB194"/>
      <c r="AC194"/>
    </row>
    <row r="195" spans="1:33" x14ac:dyDescent="0.25">
      <c r="A195" s="54">
        <v>8</v>
      </c>
      <c r="B195" s="294">
        <f t="shared" si="69"/>
        <v>0</v>
      </c>
      <c r="C195" s="295">
        <f t="shared" si="70"/>
        <v>0</v>
      </c>
      <c r="D195" s="296" t="str">
        <f t="shared" si="71"/>
        <v>Yes</v>
      </c>
      <c r="E195" s="295">
        <f t="shared" si="94"/>
        <v>0</v>
      </c>
      <c r="F195" s="413">
        <f t="shared" si="88"/>
        <v>0</v>
      </c>
      <c r="G195" s="413">
        <f t="shared" si="80"/>
        <v>0</v>
      </c>
      <c r="H195" s="296" t="str">
        <f t="shared" si="73"/>
        <v>Yes</v>
      </c>
      <c r="I195" s="295">
        <f>ABS(F195-G195)</f>
        <v>0</v>
      </c>
      <c r="J195" s="414">
        <f t="shared" si="81"/>
        <v>0</v>
      </c>
      <c r="K195" s="414">
        <f t="shared" si="82"/>
        <v>0</v>
      </c>
      <c r="L195" s="296" t="str">
        <f t="shared" si="75"/>
        <v>Yes</v>
      </c>
      <c r="M195" s="295">
        <f t="shared" si="76"/>
        <v>0</v>
      </c>
      <c r="N195" s="294">
        <f t="shared" si="83"/>
        <v>0</v>
      </c>
      <c r="O195" s="295">
        <f t="shared" si="84"/>
        <v>0</v>
      </c>
      <c r="P195" s="296" t="str">
        <f t="shared" si="77"/>
        <v>Yes</v>
      </c>
      <c r="Q195" s="295">
        <f t="shared" si="93"/>
        <v>0</v>
      </c>
      <c r="R195" s="413">
        <f t="shared" si="85"/>
        <v>0</v>
      </c>
      <c r="S195" s="413">
        <f t="shared" si="86"/>
        <v>0</v>
      </c>
      <c r="T195" s="296" t="str">
        <f t="shared" si="78"/>
        <v>Yes</v>
      </c>
      <c r="U195" s="295">
        <f t="shared" si="95"/>
        <v>0</v>
      </c>
      <c r="V195" s="414">
        <f t="shared" si="91"/>
        <v>0</v>
      </c>
      <c r="W195" s="414">
        <f t="shared" si="87"/>
        <v>0</v>
      </c>
      <c r="X195" s="296" t="str">
        <f t="shared" si="79"/>
        <v>Yes</v>
      </c>
      <c r="Y195" s="295">
        <f t="shared" si="96"/>
        <v>0</v>
      </c>
      <c r="Z195"/>
      <c r="AA195"/>
      <c r="AB195"/>
      <c r="AC195"/>
    </row>
    <row r="196" spans="1:33" x14ac:dyDescent="0.25">
      <c r="A196"/>
      <c r="B196"/>
      <c r="C196"/>
      <c r="D196"/>
      <c r="E196"/>
      <c r="F196"/>
      <c r="G196"/>
      <c r="H196"/>
      <c r="I196"/>
      <c r="J196"/>
      <c r="K196"/>
      <c r="L196"/>
      <c r="M196"/>
      <c r="N196"/>
      <c r="O196"/>
      <c r="P196"/>
      <c r="Q196"/>
      <c r="R196"/>
      <c r="S196"/>
      <c r="T196"/>
      <c r="U196"/>
      <c r="V196"/>
      <c r="W196"/>
      <c r="X196"/>
      <c r="Y196"/>
      <c r="Z196"/>
      <c r="AA196"/>
      <c r="AB196"/>
      <c r="AC196"/>
    </row>
    <row r="197" spans="1:33" x14ac:dyDescent="0.25">
      <c r="A197"/>
      <c r="B197"/>
      <c r="C197"/>
      <c r="D197"/>
      <c r="E197"/>
      <c r="F197"/>
      <c r="G197"/>
      <c r="H197"/>
      <c r="I197"/>
      <c r="J197"/>
      <c r="K197"/>
      <c r="L197"/>
      <c r="M197"/>
      <c r="N197"/>
      <c r="O197"/>
      <c r="P197"/>
      <c r="Q197"/>
      <c r="R197"/>
      <c r="S197"/>
      <c r="T197"/>
      <c r="U197"/>
      <c r="V197"/>
      <c r="W197"/>
      <c r="X197"/>
      <c r="Y197"/>
      <c r="Z197"/>
      <c r="AA197"/>
      <c r="AB197"/>
      <c r="AC197"/>
    </row>
    <row r="198" spans="1:33" x14ac:dyDescent="0.25">
      <c r="A198" s="3" t="s">
        <v>481</v>
      </c>
      <c r="B198"/>
      <c r="C198"/>
      <c r="D198"/>
      <c r="E198"/>
      <c r="F198"/>
      <c r="G198"/>
      <c r="H198"/>
      <c r="I198"/>
      <c r="J198"/>
      <c r="K198"/>
      <c r="L198"/>
      <c r="M198"/>
      <c r="N198"/>
      <c r="O198"/>
      <c r="P198"/>
      <c r="Q198"/>
      <c r="R198"/>
      <c r="S198"/>
      <c r="T198"/>
      <c r="U198"/>
      <c r="V198"/>
      <c r="W198"/>
      <c r="X198"/>
      <c r="Y198"/>
      <c r="Z198"/>
      <c r="AA198"/>
      <c r="AB198"/>
      <c r="AC198"/>
      <c r="AG198" s="11" t="s">
        <v>371</v>
      </c>
    </row>
    <row r="199" spans="1:33" x14ac:dyDescent="0.25">
      <c r="A199" s="535"/>
      <c r="B199" s="653">
        <v>2021</v>
      </c>
      <c r="C199" s="653"/>
      <c r="D199" s="653"/>
      <c r="E199" s="653"/>
      <c r="F199" s="653"/>
      <c r="G199" s="653"/>
      <c r="H199" s="688">
        <v>2022</v>
      </c>
      <c r="I199" s="688"/>
      <c r="J199" s="688"/>
      <c r="K199" s="688"/>
      <c r="L199" s="688"/>
      <c r="M199" s="689"/>
      <c r="N199"/>
      <c r="O199"/>
      <c r="P199"/>
      <c r="Q199"/>
      <c r="R199"/>
      <c r="S199"/>
      <c r="T199"/>
      <c r="U199"/>
      <c r="V199"/>
      <c r="W199"/>
      <c r="X199"/>
      <c r="Y199"/>
      <c r="Z199"/>
      <c r="AA199"/>
      <c r="AB199"/>
      <c r="AC199"/>
    </row>
    <row r="200" spans="1:33" ht="45" x14ac:dyDescent="0.25">
      <c r="A200" s="534" t="s">
        <v>345</v>
      </c>
      <c r="B200" s="429" t="s">
        <v>482</v>
      </c>
      <c r="C200" s="367" t="s">
        <v>483</v>
      </c>
      <c r="D200" s="369" t="s">
        <v>484</v>
      </c>
      <c r="E200" s="367" t="s">
        <v>485</v>
      </c>
      <c r="F200" s="367" t="s">
        <v>486</v>
      </c>
      <c r="G200" s="369" t="s">
        <v>487</v>
      </c>
      <c r="H200" s="368" t="s">
        <v>488</v>
      </c>
      <c r="I200" s="368" t="s">
        <v>489</v>
      </c>
      <c r="J200" s="370" t="s">
        <v>490</v>
      </c>
      <c r="K200" s="368" t="s">
        <v>491</v>
      </c>
      <c r="L200" s="368" t="s">
        <v>492</v>
      </c>
      <c r="M200" s="371" t="s">
        <v>493</v>
      </c>
      <c r="N200"/>
      <c r="O200"/>
      <c r="P200"/>
      <c r="Q200"/>
      <c r="R200"/>
      <c r="S200"/>
      <c r="T200"/>
      <c r="U200"/>
      <c r="V200"/>
      <c r="W200"/>
      <c r="X200"/>
      <c r="Y200"/>
      <c r="Z200"/>
      <c r="AA200"/>
      <c r="AB200"/>
      <c r="AC200"/>
    </row>
    <row r="201" spans="1:33" x14ac:dyDescent="0.25">
      <c r="A201" s="430">
        <f>'2. Total Medical Expenses'!A12</f>
        <v>0</v>
      </c>
      <c r="B201" s="373">
        <f>IFERROR(B18,"NA")</f>
        <v>0</v>
      </c>
      <c r="C201" s="372" t="str" cm="1">
        <f t="array" ref="C201">IFERROR(INDEX(MA_2021[Enrolled_Totals],MATCH(PAD[Carrier Inputted Insurer Code (Field ID TM01)],MA_2021[INSURER_CODE],0)),"-")</f>
        <v>-</v>
      </c>
      <c r="D201" s="420" t="str">
        <f>IFERROR(ABS(PAD[[#This Row],[TME Tab Member Months for MA (Insurance Category Codes 1+5+8)]]-PAD[[#This Row],[CMS Member Months for MA]]),"NA")</f>
        <v>NA</v>
      </c>
      <c r="E201" s="372">
        <f>IFERROR((B22/12),"NA")</f>
        <v>0</v>
      </c>
      <c r="F201" s="372" t="str" cm="1">
        <f t="array" ref="F201">IFERROR(INDEX(MC_2021[Enrolled_Totals],MATCH(PAD[Carrier Inputted Insurer Code (Field ID TM01)],MC_2021[INSURER_CODE],0)),"-")</f>
        <v>-</v>
      </c>
      <c r="G201" s="420" t="str">
        <f>IFERROR(ABS(PAD[[#This Row],[TME Tab Member Count (Member Months Divided by 12) for Medicaid MCO (Insurance Category Codes 2+6)]]-PAD[[#This Row],[CMS Member Count for Medicaid MCO]]),"NA")</f>
        <v>NA</v>
      </c>
      <c r="H201" s="372">
        <f>IFERROR(I18,"NA")</f>
        <v>0</v>
      </c>
      <c r="I201" s="372" t="str" cm="1">
        <f t="array" ref="I201">IFERROR(INDEX(MA_2022[Enrolled_Totals],MATCH(PAD[Carrier Inputted Insurer Code (Field ID TM01)],MA_2022[INSURER_CODE],0)),"-")</f>
        <v>-</v>
      </c>
      <c r="J201" s="420" t="str">
        <f>IFERROR(ABS(PAD[[#This Row],[TME Tab Member Months for MA (Insurance Category Codes 1+5+8) ]]-PAD[[#This Row],[CMS Member Months for MA ]]),"NA")</f>
        <v>NA</v>
      </c>
      <c r="K201" s="372">
        <f>IFERROR((I22/12),"NA")</f>
        <v>0</v>
      </c>
      <c r="L201" s="372" t="str" cm="1">
        <f t="array" ref="L201">IFERROR(INDEX(MC_2022[Enrolled_Totals],MATCH(PAD[Carrier Inputted Insurer Code (Field ID TM01)],MC_2022[INSURER_CODE],0)),"-")</f>
        <v>-</v>
      </c>
      <c r="M201" s="421" t="str">
        <f>IFERROR(ABS(PAD[[#This Row],[TME Tab Member Count (Member Months Divided by 12) for Medicaid MCO (Insurance Category Codes 2+6) ]]-PAD[[#This Row],[CMS Member Count for Medicaid MCO ]]),"NA")</f>
        <v>NA</v>
      </c>
      <c r="N201"/>
      <c r="O201"/>
      <c r="P201"/>
      <c r="Q201"/>
      <c r="R201"/>
      <c r="S201"/>
      <c r="T201"/>
      <c r="U201"/>
      <c r="V201"/>
      <c r="W201"/>
      <c r="X201"/>
      <c r="Y201"/>
      <c r="Z201"/>
      <c r="AA201"/>
      <c r="AB201"/>
      <c r="AC201"/>
    </row>
    <row r="202" spans="1:33" ht="15" customHeight="1" x14ac:dyDescent="0.25">
      <c r="A202" s="661" t="s">
        <v>494</v>
      </c>
      <c r="B202" s="661"/>
      <c r="C202" s="661"/>
      <c r="D202" s="661"/>
      <c r="E202" s="661"/>
      <c r="F202" s="661"/>
      <c r="G202" s="661"/>
      <c r="H202" s="661"/>
      <c r="I202" s="661"/>
      <c r="J202" s="661"/>
      <c r="K202" s="661"/>
      <c r="L202" s="661"/>
      <c r="M202" s="661"/>
      <c r="N202"/>
      <c r="O202"/>
      <c r="P202"/>
      <c r="Q202"/>
      <c r="R202"/>
      <c r="S202"/>
      <c r="T202"/>
      <c r="U202"/>
      <c r="V202"/>
      <c r="W202"/>
      <c r="X202"/>
      <c r="Y202"/>
      <c r="Z202"/>
      <c r="AA202"/>
      <c r="AB202"/>
      <c r="AC202"/>
    </row>
  </sheetData>
  <mergeCells count="86">
    <mergeCell ref="B199:G199"/>
    <mergeCell ref="H199:M199"/>
    <mergeCell ref="A202:M202"/>
    <mergeCell ref="B92:K92"/>
    <mergeCell ref="L92:U92"/>
    <mergeCell ref="J136:K136"/>
    <mergeCell ref="J149:K149"/>
    <mergeCell ref="B170:C170"/>
    <mergeCell ref="L110:M110"/>
    <mergeCell ref="B162:C162"/>
    <mergeCell ref="L149:M149"/>
    <mergeCell ref="N149:O149"/>
    <mergeCell ref="P149:Q149"/>
    <mergeCell ref="B149:C149"/>
    <mergeCell ref="D149:E149"/>
    <mergeCell ref="F149:G149"/>
    <mergeCell ref="A12:O12"/>
    <mergeCell ref="A6:D6"/>
    <mergeCell ref="I13:O13"/>
    <mergeCell ref="R149:S149"/>
    <mergeCell ref="T149:U149"/>
    <mergeCell ref="P29:AC29"/>
    <mergeCell ref="A54:A55"/>
    <mergeCell ref="L54:U54"/>
    <mergeCell ref="A52:U52"/>
    <mergeCell ref="A92:A93"/>
    <mergeCell ref="A80:E80"/>
    <mergeCell ref="A53:U53"/>
    <mergeCell ref="A70:G70"/>
    <mergeCell ref="A13:A14"/>
    <mergeCell ref="B13:H13"/>
    <mergeCell ref="F123:G123"/>
    <mergeCell ref="A28:AC28"/>
    <mergeCell ref="B29:O29"/>
    <mergeCell ref="A38:Q38"/>
    <mergeCell ref="A71:A72"/>
    <mergeCell ref="B71:D71"/>
    <mergeCell ref="E71:G71"/>
    <mergeCell ref="K39:S39"/>
    <mergeCell ref="A88:E88"/>
    <mergeCell ref="A69:G69"/>
    <mergeCell ref="A82:A83"/>
    <mergeCell ref="H123:I123"/>
    <mergeCell ref="A29:A30"/>
    <mergeCell ref="A39:A40"/>
    <mergeCell ref="B54:K54"/>
    <mergeCell ref="A109:A110"/>
    <mergeCell ref="B110:C110"/>
    <mergeCell ref="B82:C82"/>
    <mergeCell ref="D82:E82"/>
    <mergeCell ref="A81:E81"/>
    <mergeCell ref="F110:G110"/>
    <mergeCell ref="D110:E110"/>
    <mergeCell ref="B39:J39"/>
    <mergeCell ref="A186:A187"/>
    <mergeCell ref="A169:A170"/>
    <mergeCell ref="D162:E162"/>
    <mergeCell ref="J123:K123"/>
    <mergeCell ref="L123:M123"/>
    <mergeCell ref="A161:A162"/>
    <mergeCell ref="A122:A123"/>
    <mergeCell ref="B123:C123"/>
    <mergeCell ref="A148:A149"/>
    <mergeCell ref="L136:M136"/>
    <mergeCell ref="H149:I149"/>
    <mergeCell ref="A135:A136"/>
    <mergeCell ref="B136:C136"/>
    <mergeCell ref="D136:E136"/>
    <mergeCell ref="F136:G136"/>
    <mergeCell ref="H136:I136"/>
    <mergeCell ref="N186:Y186"/>
    <mergeCell ref="X149:Y149"/>
    <mergeCell ref="H110:I110"/>
    <mergeCell ref="D123:E123"/>
    <mergeCell ref="B186:M186"/>
    <mergeCell ref="P110:Q110"/>
    <mergeCell ref="N123:O123"/>
    <mergeCell ref="V149:W149"/>
    <mergeCell ref="J110:K110"/>
    <mergeCell ref="N110:O110"/>
    <mergeCell ref="N136:O136"/>
    <mergeCell ref="V136:W136"/>
    <mergeCell ref="X136:Y136"/>
    <mergeCell ref="P136:Q136"/>
    <mergeCell ref="R136:S136"/>
    <mergeCell ref="T136:U136"/>
  </mergeCells>
  <conditionalFormatting sqref="D15:D24 J41:J48 E41:E48 N41:N48">
    <cfRule type="cellIs" dxfId="555" priority="435" operator="equal">
      <formula>"Yes"</formula>
    </cfRule>
    <cfRule type="cellIs" dxfId="554" priority="436" operator="equal">
      <formula>"No"</formula>
    </cfRule>
  </conditionalFormatting>
  <conditionalFormatting sqref="G15:G24">
    <cfRule type="cellIs" dxfId="553" priority="439" operator="equal">
      <formula>"Yes"</formula>
    </cfRule>
    <cfRule type="cellIs" dxfId="552" priority="440" operator="equal">
      <formula>"No"</formula>
    </cfRule>
  </conditionalFormatting>
  <conditionalFormatting sqref="H15:H24">
    <cfRule type="cellIs" dxfId="551" priority="441" operator="equal">
      <formula>0</formula>
    </cfRule>
    <cfRule type="cellIs" dxfId="550" priority="442" operator="notEqual">
      <formula>0</formula>
    </cfRule>
  </conditionalFormatting>
  <conditionalFormatting sqref="K15:K24">
    <cfRule type="cellIs" dxfId="549" priority="443" operator="equal">
      <formula>"Yes"</formula>
    </cfRule>
    <cfRule type="cellIs" dxfId="548" priority="444" operator="equal">
      <formula>"No"</formula>
    </cfRule>
  </conditionalFormatting>
  <conditionalFormatting sqref="N15:N24">
    <cfRule type="cellIs" dxfId="547" priority="448" operator="equal">
      <formula>"Yes"</formula>
    </cfRule>
    <cfRule type="cellIs" dxfId="546" priority="451" operator="notEqual">
      <formula>0</formula>
    </cfRule>
  </conditionalFormatting>
  <conditionalFormatting sqref="L15:L24">
    <cfRule type="cellIs" dxfId="545" priority="445" operator="equal">
      <formula>0</formula>
    </cfRule>
    <cfRule type="cellIs" dxfId="544" priority="447" operator="notEqual">
      <formula>0</formula>
    </cfRule>
  </conditionalFormatting>
  <conditionalFormatting sqref="O15:O24">
    <cfRule type="cellIs" dxfId="543" priority="452" operator="equal">
      <formula>0</formula>
    </cfRule>
    <cfRule type="cellIs" dxfId="542" priority="457" operator="notEqual">
      <formula>0</formula>
    </cfRule>
  </conditionalFormatting>
  <conditionalFormatting sqref="D31:D33 G31:G33 K31:K33 N31:N33 R31:R33 U31:U33 Y31:Y33 AB31:AB33">
    <cfRule type="cellIs" dxfId="541" priority="458" operator="equal">
      <formula>"Yes"</formula>
    </cfRule>
    <cfRule type="cellIs" dxfId="540" priority="459" operator="equal">
      <formula>"No"</formula>
    </cfRule>
  </conditionalFormatting>
  <conditionalFormatting sqref="D41:D48 I41:I48 M41:M48 R41:R48">
    <cfRule type="cellIs" dxfId="539" priority="466" operator="equal">
      <formula>"Yes"</formula>
    </cfRule>
    <cfRule type="cellIs" dxfId="538" priority="467" operator="equal">
      <formula>"No"</formula>
    </cfRule>
  </conditionalFormatting>
  <conditionalFormatting sqref="B65:U65">
    <cfRule type="cellIs" dxfId="537" priority="434" operator="equal">
      <formula>"Yes"</formula>
    </cfRule>
    <cfRule type="cellIs" dxfId="536" priority="469" operator="equal">
      <formula>"No"</formula>
    </cfRule>
  </conditionalFormatting>
  <conditionalFormatting sqref="D109:E119">
    <cfRule type="expression" priority="428">
      <formula xml:space="preserve"> "NA"</formula>
    </cfRule>
  </conditionalFormatting>
  <conditionalFormatting sqref="F109:G119">
    <cfRule type="expression" priority="427">
      <formula xml:space="preserve"> "NA"</formula>
    </cfRule>
  </conditionalFormatting>
  <conditionalFormatting sqref="H109:I119">
    <cfRule type="expression" priority="426">
      <formula xml:space="preserve"> "NA"</formula>
    </cfRule>
  </conditionalFormatting>
  <conditionalFormatting sqref="J109:K119">
    <cfRule type="expression" priority="425">
      <formula xml:space="preserve"> "NA"</formula>
    </cfRule>
  </conditionalFormatting>
  <conditionalFormatting sqref="L109:M119">
    <cfRule type="expression" priority="424">
      <formula xml:space="preserve"> "NA"</formula>
    </cfRule>
  </conditionalFormatting>
  <conditionalFormatting sqref="N109:O119">
    <cfRule type="expression" priority="423">
      <formula xml:space="preserve"> "NA"</formula>
    </cfRule>
  </conditionalFormatting>
  <conditionalFormatting sqref="D122:E122 D124:E132">
    <cfRule type="expression" priority="422">
      <formula xml:space="preserve"> "NA"</formula>
    </cfRule>
  </conditionalFormatting>
  <conditionalFormatting sqref="F122:G122 F124:G132">
    <cfRule type="expression" priority="421">
      <formula xml:space="preserve"> "NA"</formula>
    </cfRule>
  </conditionalFormatting>
  <conditionalFormatting sqref="H122:I122 H124:I132">
    <cfRule type="expression" priority="420">
      <formula xml:space="preserve"> "NA"</formula>
    </cfRule>
  </conditionalFormatting>
  <conditionalFormatting sqref="D123:E123">
    <cfRule type="expression" priority="419">
      <formula xml:space="preserve"> "NA"</formula>
    </cfRule>
  </conditionalFormatting>
  <conditionalFormatting sqref="F123:G123">
    <cfRule type="expression" priority="418">
      <formula xml:space="preserve"> "NA"</formula>
    </cfRule>
  </conditionalFormatting>
  <conditionalFormatting sqref="H123:I123">
    <cfRule type="expression" priority="417">
      <formula xml:space="preserve"> "NA"</formula>
    </cfRule>
  </conditionalFormatting>
  <conditionalFormatting sqref="D161:E161 D163:E166">
    <cfRule type="expression" priority="416">
      <formula xml:space="preserve"> "NA"</formula>
    </cfRule>
  </conditionalFormatting>
  <conditionalFormatting sqref="D162:E162">
    <cfRule type="expression" priority="415">
      <formula xml:space="preserve"> "NA"</formula>
    </cfRule>
  </conditionalFormatting>
  <conditionalFormatting sqref="E31:E33">
    <cfRule type="expression" priority="414">
      <formula xml:space="preserve"> "#VALUE!"</formula>
    </cfRule>
  </conditionalFormatting>
  <conditionalFormatting sqref="B41:R48">
    <cfRule type="cellIs" dxfId="535" priority="408" operator="equal">
      <formula>"Equal"</formula>
    </cfRule>
  </conditionalFormatting>
  <conditionalFormatting sqref="C73:C76">
    <cfRule type="cellIs" dxfId="534" priority="403" operator="greaterThan">
      <formula>0.7</formula>
    </cfRule>
    <cfRule type="cellIs" dxfId="533" priority="404" operator="lessThan">
      <formula>0.4</formula>
    </cfRule>
  </conditionalFormatting>
  <conditionalFormatting sqref="J122:K132">
    <cfRule type="expression" priority="401">
      <formula xml:space="preserve"> "NA"</formula>
    </cfRule>
  </conditionalFormatting>
  <conditionalFormatting sqref="L122:M132">
    <cfRule type="expression" priority="400">
      <formula xml:space="preserve"> "NA"</formula>
    </cfRule>
  </conditionalFormatting>
  <conditionalFormatting sqref="N132:O132">
    <cfRule type="expression" priority="399">
      <formula xml:space="preserve"> "NA"</formula>
    </cfRule>
  </conditionalFormatting>
  <conditionalFormatting sqref="P132:Q132">
    <cfRule type="expression" priority="398">
      <formula xml:space="preserve"> "NA"</formula>
    </cfRule>
  </conditionalFormatting>
  <conditionalFormatting sqref="R132:U132">
    <cfRule type="expression" priority="391">
      <formula xml:space="preserve"> "NA"</formula>
    </cfRule>
  </conditionalFormatting>
  <conditionalFormatting sqref="V132:W132">
    <cfRule type="expression" priority="390">
      <formula xml:space="preserve"> "NA"</formula>
    </cfRule>
  </conditionalFormatting>
  <conditionalFormatting sqref="X132:Y132">
    <cfRule type="expression" priority="389">
      <formula xml:space="preserve"> "NA"</formula>
    </cfRule>
  </conditionalFormatting>
  <conditionalFormatting sqref="Z132:AA132">
    <cfRule type="expression" priority="388">
      <formula xml:space="preserve"> "NA"</formula>
    </cfRule>
  </conditionalFormatting>
  <conditionalFormatting sqref="AB132:AC132">
    <cfRule type="expression" priority="387">
      <formula xml:space="preserve"> "NA"</formula>
    </cfRule>
  </conditionalFormatting>
  <conditionalFormatting sqref="AD132:AE132">
    <cfRule type="expression" priority="386">
      <formula xml:space="preserve"> "NA"</formula>
    </cfRule>
  </conditionalFormatting>
  <conditionalFormatting sqref="A51:A52">
    <cfRule type="expression" priority="385">
      <formula xml:space="preserve"> "NA"</formula>
    </cfRule>
  </conditionalFormatting>
  <conditionalFormatting sqref="F73:F76">
    <cfRule type="cellIs" dxfId="532" priority="382" operator="greaterThan">
      <formula>0.7</formula>
    </cfRule>
    <cfRule type="cellIs" dxfId="531" priority="383" operator="lessThan">
      <formula>0.4</formula>
    </cfRule>
  </conditionalFormatting>
  <conditionalFormatting sqref="AF132:AG132">
    <cfRule type="expression" priority="379">
      <formula xml:space="preserve"> "NA"</formula>
    </cfRule>
  </conditionalFormatting>
  <conditionalFormatting sqref="AF132">
    <cfRule type="expression" priority="378">
      <formula xml:space="preserve"> "NA"</formula>
    </cfRule>
  </conditionalFormatting>
  <conditionalFormatting sqref="AG132">
    <cfRule type="expression" priority="377">
      <formula xml:space="preserve"> "NA"</formula>
    </cfRule>
  </conditionalFormatting>
  <conditionalFormatting sqref="AH132:AI132">
    <cfRule type="expression" priority="376">
      <formula xml:space="preserve"> "NA"</formula>
    </cfRule>
  </conditionalFormatting>
  <conditionalFormatting sqref="AJ132:AO132">
    <cfRule type="expression" priority="374">
      <formula xml:space="preserve"> "NA"</formula>
    </cfRule>
  </conditionalFormatting>
  <conditionalFormatting sqref="AP132:AQ132">
    <cfRule type="expression" priority="367">
      <formula xml:space="preserve"> "NA"</formula>
    </cfRule>
  </conditionalFormatting>
  <conditionalFormatting sqref="AR132:AS132">
    <cfRule type="expression" priority="366">
      <formula xml:space="preserve"> "NA"</formula>
    </cfRule>
  </conditionalFormatting>
  <conditionalFormatting sqref="AT132:AU132">
    <cfRule type="expression" priority="365">
      <formula xml:space="preserve"> "NA"</formula>
    </cfRule>
  </conditionalFormatting>
  <conditionalFormatting sqref="AV132:AW132">
    <cfRule type="expression" priority="364">
      <formula xml:space="preserve"> "NA"</formula>
    </cfRule>
  </conditionalFormatting>
  <conditionalFormatting sqref="AX132:AY132">
    <cfRule type="expression" priority="363">
      <formula xml:space="preserve"> "NA"</formula>
    </cfRule>
  </conditionalFormatting>
  <conditionalFormatting sqref="AL132:AO132">
    <cfRule type="expression" priority="361">
      <formula xml:space="preserve"> "NA"</formula>
    </cfRule>
  </conditionalFormatting>
  <conditionalFormatting sqref="T132">
    <cfRule type="expression" priority="360">
      <formula xml:space="preserve"> "NA"</formula>
    </cfRule>
  </conditionalFormatting>
  <conditionalFormatting sqref="U132">
    <cfRule type="expression" priority="359">
      <formula xml:space="preserve"> "NA"</formula>
    </cfRule>
  </conditionalFormatting>
  <conditionalFormatting sqref="B91:U91 A92:B92 Y77:XFD78 A77:H78 Q77:U78">
    <cfRule type="expression" priority="355">
      <formula xml:space="preserve"> "NA"</formula>
    </cfRule>
  </conditionalFormatting>
  <conditionalFormatting sqref="A91">
    <cfRule type="expression" priority="354">
      <formula xml:space="preserve"> "NA"</formula>
    </cfRule>
  </conditionalFormatting>
  <conditionalFormatting sqref="AD159:XFD159 A159:L159">
    <cfRule type="expression" priority="350">
      <formula xml:space="preserve"> "NA"</formula>
    </cfRule>
  </conditionalFormatting>
  <conditionalFormatting sqref="D158:E158">
    <cfRule type="expression" priority="349">
      <formula xml:space="preserve"> "NA"</formula>
    </cfRule>
  </conditionalFormatting>
  <conditionalFormatting sqref="F158:G158">
    <cfRule type="expression" priority="348">
      <formula xml:space="preserve"> "NA"</formula>
    </cfRule>
  </conditionalFormatting>
  <conditionalFormatting sqref="H158:I158">
    <cfRule type="expression" priority="347">
      <formula xml:space="preserve"> "NA"</formula>
    </cfRule>
  </conditionalFormatting>
  <conditionalFormatting sqref="J158:K158">
    <cfRule type="expression" priority="343">
      <formula xml:space="preserve"> "NA"</formula>
    </cfRule>
  </conditionalFormatting>
  <conditionalFormatting sqref="L158:M158">
    <cfRule type="expression" priority="342">
      <formula xml:space="preserve"> "NA"</formula>
    </cfRule>
  </conditionalFormatting>
  <conditionalFormatting sqref="F135:I137">
    <cfRule type="expression" priority="339">
      <formula xml:space="preserve"> "NA"</formula>
    </cfRule>
  </conditionalFormatting>
  <conditionalFormatting sqref="L135:M137">
    <cfRule type="expression" priority="338">
      <formula xml:space="preserve"> "NA"</formula>
    </cfRule>
  </conditionalFormatting>
  <conditionalFormatting sqref="N135:O137">
    <cfRule type="expression" priority="337">
      <formula xml:space="preserve"> "NA"</formula>
    </cfRule>
  </conditionalFormatting>
  <conditionalFormatting sqref="P135:Q137">
    <cfRule type="expression" priority="336">
      <formula xml:space="preserve"> "NA"</formula>
    </cfRule>
  </conditionalFormatting>
  <conditionalFormatting sqref="R135:S137">
    <cfRule type="expression" priority="335">
      <formula xml:space="preserve"> "NA"</formula>
    </cfRule>
  </conditionalFormatting>
  <conditionalFormatting sqref="T135:U137">
    <cfRule type="expression" priority="334">
      <formula xml:space="preserve"> "NA"</formula>
    </cfRule>
  </conditionalFormatting>
  <conditionalFormatting sqref="V135:W137">
    <cfRule type="expression" priority="327">
      <formula xml:space="preserve"> "NA"</formula>
    </cfRule>
  </conditionalFormatting>
  <conditionalFormatting sqref="R146:XFD146 A146:L146 A145:XFD145 A147:XFD147 AP148:XFD157">
    <cfRule type="expression" priority="303">
      <formula xml:space="preserve"> "NA"</formula>
    </cfRule>
  </conditionalFormatting>
  <conditionalFormatting sqref="D145:E145">
    <cfRule type="expression" priority="302">
      <formula xml:space="preserve"> "NA"</formula>
    </cfRule>
  </conditionalFormatting>
  <conditionalFormatting sqref="F145:G145">
    <cfRule type="expression" priority="301">
      <formula xml:space="preserve"> "NA"</formula>
    </cfRule>
  </conditionalFormatting>
  <conditionalFormatting sqref="H145:I145">
    <cfRule type="expression" priority="300">
      <formula xml:space="preserve"> "NA"</formula>
    </cfRule>
  </conditionalFormatting>
  <conditionalFormatting sqref="J145:K145">
    <cfRule type="expression" priority="299">
      <formula xml:space="preserve"> "NA"</formula>
    </cfRule>
  </conditionalFormatting>
  <conditionalFormatting sqref="L145:M145">
    <cfRule type="expression" priority="298">
      <formula xml:space="preserve"> "NA"</formula>
    </cfRule>
  </conditionalFormatting>
  <conditionalFormatting sqref="N145:O145">
    <cfRule type="expression" priority="297">
      <formula xml:space="preserve"> "NA"</formula>
    </cfRule>
  </conditionalFormatting>
  <conditionalFormatting sqref="P145:Q145">
    <cfRule type="expression" priority="296">
      <formula xml:space="preserve"> "NA"</formula>
    </cfRule>
  </conditionalFormatting>
  <conditionalFormatting sqref="R145:U145">
    <cfRule type="expression" priority="295">
      <formula xml:space="preserve"> "NA"</formula>
    </cfRule>
  </conditionalFormatting>
  <conditionalFormatting sqref="V145:W145">
    <cfRule type="expression" priority="294">
      <formula xml:space="preserve"> "NA"</formula>
    </cfRule>
  </conditionalFormatting>
  <conditionalFormatting sqref="X145:Y145">
    <cfRule type="expression" priority="293">
      <formula xml:space="preserve"> "NA"</formula>
    </cfRule>
  </conditionalFormatting>
  <conditionalFormatting sqref="Z145:AA145">
    <cfRule type="expression" priority="292">
      <formula xml:space="preserve"> "NA"</formula>
    </cfRule>
  </conditionalFormatting>
  <conditionalFormatting sqref="AB145:AC145">
    <cfRule type="expression" priority="291">
      <formula xml:space="preserve"> "NA"</formula>
    </cfRule>
  </conditionalFormatting>
  <conditionalFormatting sqref="AD145:AE145">
    <cfRule type="expression" priority="290">
      <formula xml:space="preserve"> "NA"</formula>
    </cfRule>
  </conditionalFormatting>
  <conditionalFormatting sqref="AF145:AG145">
    <cfRule type="expression" priority="289">
      <formula xml:space="preserve"> "NA"</formula>
    </cfRule>
  </conditionalFormatting>
  <conditionalFormatting sqref="AF145">
    <cfRule type="expression" priority="288">
      <formula xml:space="preserve"> "NA"</formula>
    </cfRule>
  </conditionalFormatting>
  <conditionalFormatting sqref="AG145">
    <cfRule type="expression" priority="287">
      <formula xml:space="preserve"> "NA"</formula>
    </cfRule>
  </conditionalFormatting>
  <conditionalFormatting sqref="AH145:AI145">
    <cfRule type="expression" priority="286">
      <formula xml:space="preserve"> "NA"</formula>
    </cfRule>
  </conditionalFormatting>
  <conditionalFormatting sqref="AJ145:AO145">
    <cfRule type="expression" priority="285">
      <formula xml:space="preserve"> "NA"</formula>
    </cfRule>
  </conditionalFormatting>
  <conditionalFormatting sqref="AP145:AQ145">
    <cfRule type="expression" priority="284">
      <formula xml:space="preserve"> "NA"</formula>
    </cfRule>
  </conditionalFormatting>
  <conditionalFormatting sqref="AR145:AS145">
    <cfRule type="expression" priority="283">
      <formula xml:space="preserve"> "NA"</formula>
    </cfRule>
  </conditionalFormatting>
  <conditionalFormatting sqref="AT145:AU145">
    <cfRule type="expression" priority="282">
      <formula xml:space="preserve"> "NA"</formula>
    </cfRule>
  </conditionalFormatting>
  <conditionalFormatting sqref="AV145:AW145">
    <cfRule type="expression" priority="281">
      <formula xml:space="preserve"> "NA"</formula>
    </cfRule>
  </conditionalFormatting>
  <conditionalFormatting sqref="AX145:AY145">
    <cfRule type="expression" priority="280">
      <formula xml:space="preserve"> "NA"</formula>
    </cfRule>
  </conditionalFormatting>
  <conditionalFormatting sqref="AL145:AO145">
    <cfRule type="expression" priority="279">
      <formula xml:space="preserve"> "NA"</formula>
    </cfRule>
  </conditionalFormatting>
  <conditionalFormatting sqref="T145">
    <cfRule type="expression" priority="278">
      <formula xml:space="preserve"> "NA"</formula>
    </cfRule>
  </conditionalFormatting>
  <conditionalFormatting sqref="U145">
    <cfRule type="expression" priority="277">
      <formula xml:space="preserve"> "NA"</formula>
    </cfRule>
  </conditionalFormatting>
  <conditionalFormatting sqref="F148:I150">
    <cfRule type="expression" priority="276">
      <formula xml:space="preserve"> "NA"</formula>
    </cfRule>
  </conditionalFormatting>
  <conditionalFormatting sqref="L148:M150">
    <cfRule type="expression" priority="275">
      <formula xml:space="preserve"> "NA"</formula>
    </cfRule>
  </conditionalFormatting>
  <conditionalFormatting sqref="N148:O150">
    <cfRule type="expression" priority="274">
      <formula xml:space="preserve"> "NA"</formula>
    </cfRule>
  </conditionalFormatting>
  <conditionalFormatting sqref="P148:Q150">
    <cfRule type="expression" priority="273">
      <formula xml:space="preserve"> "NA"</formula>
    </cfRule>
  </conditionalFormatting>
  <conditionalFormatting sqref="R148:S150">
    <cfRule type="expression" priority="272">
      <formula xml:space="preserve"> "NA"</formula>
    </cfRule>
  </conditionalFormatting>
  <conditionalFormatting sqref="T148:U150">
    <cfRule type="expression" priority="271">
      <formula xml:space="preserve"> "NA"</formula>
    </cfRule>
  </conditionalFormatting>
  <conditionalFormatting sqref="V148:W150">
    <cfRule type="expression" priority="270">
      <formula xml:space="preserve"> "NA"</formula>
    </cfRule>
  </conditionalFormatting>
  <conditionalFormatting sqref="B148:C148">
    <cfRule type="expression" priority="259">
      <formula xml:space="preserve"> "NA"</formula>
    </cfRule>
  </conditionalFormatting>
  <conditionalFormatting sqref="B149:C149">
    <cfRule type="expression" priority="258">
      <formula xml:space="preserve"> "NA"</formula>
    </cfRule>
  </conditionalFormatting>
  <conditionalFormatting sqref="D148:K148">
    <cfRule type="expression" priority="257">
      <formula xml:space="preserve"> "NA"</formula>
    </cfRule>
  </conditionalFormatting>
  <conditionalFormatting sqref="D149:K149">
    <cfRule type="expression" priority="256">
      <formula xml:space="preserve"> "NA"</formula>
    </cfRule>
  </conditionalFormatting>
  <conditionalFormatting sqref="L148:M150">
    <cfRule type="expression" priority="255">
      <formula xml:space="preserve"> "NA"</formula>
    </cfRule>
  </conditionalFormatting>
  <conditionalFormatting sqref="N148:O150">
    <cfRule type="expression" priority="254">
      <formula xml:space="preserve"> "NA"</formula>
    </cfRule>
  </conditionalFormatting>
  <conditionalFormatting sqref="P148:Q150">
    <cfRule type="expression" priority="253">
      <formula xml:space="preserve"> "NA"</formula>
    </cfRule>
  </conditionalFormatting>
  <conditionalFormatting sqref="R148:S150">
    <cfRule type="expression" priority="252">
      <formula xml:space="preserve"> "NA"</formula>
    </cfRule>
  </conditionalFormatting>
  <conditionalFormatting sqref="T148:U150">
    <cfRule type="expression" priority="251">
      <formula xml:space="preserve"> "NA"</formula>
    </cfRule>
  </conditionalFormatting>
  <conditionalFormatting sqref="F148:I150">
    <cfRule type="expression" priority="250">
      <formula xml:space="preserve"> "NA"</formula>
    </cfRule>
  </conditionalFormatting>
  <conditionalFormatting sqref="F151:I157">
    <cfRule type="expression" priority="249">
      <formula xml:space="preserve"> "NA"</formula>
    </cfRule>
  </conditionalFormatting>
  <conditionalFormatting sqref="L151:M157">
    <cfRule type="expression" priority="248">
      <formula xml:space="preserve"> "NA"</formula>
    </cfRule>
  </conditionalFormatting>
  <conditionalFormatting sqref="N151:O157">
    <cfRule type="expression" priority="247">
      <formula xml:space="preserve"> "NA"</formula>
    </cfRule>
  </conditionalFormatting>
  <conditionalFormatting sqref="P151:Q157">
    <cfRule type="expression" priority="246">
      <formula xml:space="preserve"> "NA"</formula>
    </cfRule>
  </conditionalFormatting>
  <conditionalFormatting sqref="R151:S157">
    <cfRule type="expression" priority="245">
      <formula xml:space="preserve"> "NA"</formula>
    </cfRule>
  </conditionalFormatting>
  <conditionalFormatting sqref="T151:U157">
    <cfRule type="expression" priority="244">
      <formula xml:space="preserve"> "NA"</formula>
    </cfRule>
  </conditionalFormatting>
  <conditionalFormatting sqref="L151:M157">
    <cfRule type="expression" priority="243">
      <formula xml:space="preserve"> "NA"</formula>
    </cfRule>
  </conditionalFormatting>
  <conditionalFormatting sqref="N151:O157">
    <cfRule type="expression" priority="242">
      <formula xml:space="preserve"> "NA"</formula>
    </cfRule>
  </conditionalFormatting>
  <conditionalFormatting sqref="P151:Q157">
    <cfRule type="expression" priority="241">
      <formula xml:space="preserve"> "NA"</formula>
    </cfRule>
  </conditionalFormatting>
  <conditionalFormatting sqref="R151:S157">
    <cfRule type="expression" priority="240">
      <formula xml:space="preserve"> "NA"</formula>
    </cfRule>
  </conditionalFormatting>
  <conditionalFormatting sqref="T151:U157">
    <cfRule type="expression" priority="239">
      <formula xml:space="preserve"> "NA"</formula>
    </cfRule>
  </conditionalFormatting>
  <conditionalFormatting sqref="F151:I157">
    <cfRule type="expression" priority="238">
      <formula xml:space="preserve"> "NA"</formula>
    </cfRule>
  </conditionalFormatting>
  <conditionalFormatting sqref="D73:D76">
    <cfRule type="cellIs" dxfId="530" priority="195" operator="lessThan">
      <formula>0.3</formula>
    </cfRule>
    <cfRule type="cellIs" dxfId="529" priority="228" operator="greaterThan">
      <formula>0.6</formula>
    </cfRule>
  </conditionalFormatting>
  <conditionalFormatting sqref="G73:G76">
    <cfRule type="cellIs" dxfId="528" priority="172" operator="lessThan">
      <formula>0.3</formula>
    </cfRule>
    <cfRule type="cellIs" dxfId="527" priority="226" operator="greaterThan">
      <formula>0.6</formula>
    </cfRule>
  </conditionalFormatting>
  <conditionalFormatting sqref="X135:Y144">
    <cfRule type="expression" priority="225">
      <formula xml:space="preserve"> "NA"</formula>
    </cfRule>
  </conditionalFormatting>
  <conditionalFormatting sqref="X135:Y137">
    <cfRule type="expression" priority="224">
      <formula xml:space="preserve"> "NA"</formula>
    </cfRule>
  </conditionalFormatting>
  <conditionalFormatting sqref="A53:U53">
    <cfRule type="expression" priority="221">
      <formula xml:space="preserve"> "NA"</formula>
    </cfRule>
  </conditionalFormatting>
  <conditionalFormatting sqref="A53">
    <cfRule type="expression" priority="220">
      <formula xml:space="preserve"> "NA"</formula>
    </cfRule>
  </conditionalFormatting>
  <conditionalFormatting sqref="Y88:XFD88 H88 Q88:U88">
    <cfRule type="expression" priority="215">
      <formula xml:space="preserve"> "NA"</formula>
    </cfRule>
  </conditionalFormatting>
  <conditionalFormatting sqref="A88 F88:G88">
    <cfRule type="expression" priority="203">
      <formula xml:space="preserve"> "NA"</formula>
    </cfRule>
  </conditionalFormatting>
  <conditionalFormatting sqref="C84">
    <cfRule type="cellIs" dxfId="526" priority="197" operator="greaterThan">
      <formula>0.2</formula>
    </cfRule>
  </conditionalFormatting>
  <conditionalFormatting sqref="C85">
    <cfRule type="cellIs" dxfId="525" priority="196" operator="greaterThan">
      <formula>0.6</formula>
    </cfRule>
  </conditionalFormatting>
  <conditionalFormatting sqref="E84">
    <cfRule type="cellIs" dxfId="524" priority="192" operator="greaterThan">
      <formula>0.2</formula>
    </cfRule>
  </conditionalFormatting>
  <conditionalFormatting sqref="E86:E87">
    <cfRule type="cellIs" dxfId="523" priority="193" operator="lessThan">
      <formula>0.8</formula>
    </cfRule>
  </conditionalFormatting>
  <conditionalFormatting sqref="E85">
    <cfRule type="cellIs" dxfId="522" priority="191" operator="greaterThan">
      <formula>0.6</formula>
    </cfRule>
  </conditionalFormatting>
  <conditionalFormatting sqref="C86:C87">
    <cfRule type="cellIs" dxfId="521" priority="190" operator="lessThan">
      <formula>0.8</formula>
    </cfRule>
  </conditionalFormatting>
  <conditionalFormatting sqref="D8">
    <cfRule type="cellIs" dxfId="520" priority="188" operator="equal">
      <formula>"Yes"</formula>
    </cfRule>
    <cfRule type="cellIs" dxfId="519" priority="189" operator="equal">
      <formula>"No"</formula>
    </cfRule>
  </conditionalFormatting>
  <conditionalFormatting sqref="X148:Y157">
    <cfRule type="expression" priority="179">
      <formula xml:space="preserve"> "NA"</formula>
    </cfRule>
  </conditionalFormatting>
  <conditionalFormatting sqref="X148:Y150">
    <cfRule type="expression" priority="178">
      <formula xml:space="preserve"> "NA"</formula>
    </cfRule>
  </conditionalFormatting>
  <conditionalFormatting sqref="V151:V157">
    <cfRule type="expression" priority="177">
      <formula xml:space="preserve"> "NA"</formula>
    </cfRule>
  </conditionalFormatting>
  <conditionalFormatting sqref="W151:W157">
    <cfRule type="expression" priority="176">
      <formula xml:space="preserve"> "NA"</formula>
    </cfRule>
  </conditionalFormatting>
  <conditionalFormatting sqref="X151:X157">
    <cfRule type="expression" priority="175">
      <formula xml:space="preserve"> "NA"</formula>
    </cfRule>
  </conditionalFormatting>
  <conditionalFormatting sqref="Y151:Y157">
    <cfRule type="expression" priority="174">
      <formula xml:space="preserve"> "NA"</formula>
    </cfRule>
  </conditionalFormatting>
  <conditionalFormatting sqref="W138:W144">
    <cfRule type="expression" priority="171">
      <formula xml:space="preserve"> "NA"</formula>
    </cfRule>
  </conditionalFormatting>
  <conditionalFormatting sqref="X138:X144">
    <cfRule type="expression" priority="170">
      <formula xml:space="preserve"> "NA"</formula>
    </cfRule>
  </conditionalFormatting>
  <conditionalFormatting sqref="Y138:Y144">
    <cfRule type="expression" priority="169">
      <formula xml:space="preserve"> "NA"</formula>
    </cfRule>
  </conditionalFormatting>
  <conditionalFormatting sqref="S40">
    <cfRule type="expression" priority="152">
      <formula xml:space="preserve"> "NA"</formula>
    </cfRule>
  </conditionalFormatting>
  <conditionalFormatting sqref="S41:S48">
    <cfRule type="cellIs" dxfId="518" priority="149" operator="equal">
      <formula>"Yes"</formula>
    </cfRule>
    <cfRule type="cellIs" dxfId="517" priority="150" operator="equal">
      <formula>"No"</formula>
    </cfRule>
  </conditionalFormatting>
  <conditionalFormatting sqref="S41:S48">
    <cfRule type="expression" priority="148">
      <formula xml:space="preserve"> "NA"</formula>
    </cfRule>
  </conditionalFormatting>
  <conditionalFormatting sqref="S41:S48">
    <cfRule type="cellIs" dxfId="516" priority="147" operator="equal">
      <formula>"Equal"</formula>
    </cfRule>
  </conditionalFormatting>
  <conditionalFormatting sqref="A202">
    <cfRule type="expression" priority="137">
      <formula xml:space="preserve"> "NA"</formula>
    </cfRule>
  </conditionalFormatting>
  <conditionalFormatting sqref="J135:K137">
    <cfRule type="expression" priority="136">
      <formula xml:space="preserve"> "NA"</formula>
    </cfRule>
  </conditionalFormatting>
  <conditionalFormatting sqref="J137:K137">
    <cfRule type="expression" priority="135">
      <formula xml:space="preserve"> "NA"</formula>
    </cfRule>
  </conditionalFormatting>
  <conditionalFormatting sqref="J138:J144">
    <cfRule type="expression" priority="134">
      <formula xml:space="preserve"> "NA"</formula>
    </cfRule>
  </conditionalFormatting>
  <conditionalFormatting sqref="J138:J144">
    <cfRule type="expression" priority="133">
      <formula xml:space="preserve"> "NA"</formula>
    </cfRule>
  </conditionalFormatting>
  <conditionalFormatting sqref="K137:K144">
    <cfRule type="expression" priority="132">
      <formula xml:space="preserve"> "NA"</formula>
    </cfRule>
  </conditionalFormatting>
  <conditionalFormatting sqref="K138:K144">
    <cfRule type="expression" priority="131">
      <formula xml:space="preserve"> "NA"</formula>
    </cfRule>
  </conditionalFormatting>
  <conditionalFormatting sqref="K138:K144">
    <cfRule type="expression" priority="130">
      <formula xml:space="preserve"> "NA"</formula>
    </cfRule>
  </conditionalFormatting>
  <conditionalFormatting sqref="J148:K150">
    <cfRule type="expression" priority="129">
      <formula xml:space="preserve"> "NA"</formula>
    </cfRule>
  </conditionalFormatting>
  <conditionalFormatting sqref="J148:K150">
    <cfRule type="expression" priority="128">
      <formula xml:space="preserve"> "NA"</formula>
    </cfRule>
  </conditionalFormatting>
  <conditionalFormatting sqref="J151:J157">
    <cfRule type="expression" priority="127">
      <formula xml:space="preserve"> "NA"</formula>
    </cfRule>
  </conditionalFormatting>
  <conditionalFormatting sqref="J151:J157">
    <cfRule type="expression" priority="126">
      <formula xml:space="preserve"> "NA"</formula>
    </cfRule>
  </conditionalFormatting>
  <conditionalFormatting sqref="J150:K150">
    <cfRule type="expression" priority="125">
      <formula xml:space="preserve"> "NA"</formula>
    </cfRule>
  </conditionalFormatting>
  <conditionalFormatting sqref="J150:K150">
    <cfRule type="expression" priority="124">
      <formula xml:space="preserve"> "NA"</formula>
    </cfRule>
  </conditionalFormatting>
  <conditionalFormatting sqref="J151:J157">
    <cfRule type="expression" priority="123">
      <formula xml:space="preserve"> "NA"</formula>
    </cfRule>
  </conditionalFormatting>
  <conditionalFormatting sqref="J151:J157">
    <cfRule type="expression" priority="122">
      <formula xml:space="preserve"> "NA"</formula>
    </cfRule>
  </conditionalFormatting>
  <conditionalFormatting sqref="J151:J157">
    <cfRule type="expression" priority="121">
      <formula xml:space="preserve"> "NA"</formula>
    </cfRule>
  </conditionalFormatting>
  <conditionalFormatting sqref="J151:J157">
    <cfRule type="expression" priority="120">
      <formula xml:space="preserve"> "NA"</formula>
    </cfRule>
  </conditionalFormatting>
  <conditionalFormatting sqref="J151:J157">
    <cfRule type="expression" priority="119">
      <formula xml:space="preserve"> "NA"</formula>
    </cfRule>
  </conditionalFormatting>
  <conditionalFormatting sqref="J151:J157">
    <cfRule type="expression" priority="118">
      <formula xml:space="preserve"> "NA"</formula>
    </cfRule>
  </conditionalFormatting>
  <conditionalFormatting sqref="A73:H87">
    <cfRule type="expression" priority="100">
      <formula>ISNA($A$73:$H$87)</formula>
    </cfRule>
  </conditionalFormatting>
  <conditionalFormatting sqref="P109:Q118">
    <cfRule type="expression" priority="87">
      <formula xml:space="preserve"> "NA"</formula>
    </cfRule>
  </conditionalFormatting>
  <conditionalFormatting sqref="N122:O122 N124:O131">
    <cfRule type="expression" priority="86">
      <formula xml:space="preserve"> "NA"</formula>
    </cfRule>
  </conditionalFormatting>
  <conditionalFormatting sqref="N122:O122 N124:O131">
    <cfRule type="expression" priority="85">
      <formula xml:space="preserve"> "NA"</formula>
    </cfRule>
  </conditionalFormatting>
  <conditionalFormatting sqref="N123:O123">
    <cfRule type="expression" priority="83">
      <formula xml:space="preserve"> "NA"</formula>
    </cfRule>
  </conditionalFormatting>
  <conditionalFormatting sqref="N123:O123">
    <cfRule type="expression" priority="82">
      <formula xml:space="preserve"> "NA"</formula>
    </cfRule>
  </conditionalFormatting>
  <conditionalFormatting sqref="X188:X195">
    <cfRule type="cellIs" dxfId="515" priority="36" operator="equal">
      <formula>"Yes"</formula>
    </cfRule>
    <cfRule type="cellIs" dxfId="514" priority="37" operator="equal">
      <formula>"No"</formula>
    </cfRule>
  </conditionalFormatting>
  <conditionalFormatting sqref="T188:T195">
    <cfRule type="cellIs" dxfId="513" priority="34" operator="equal">
      <formula>"Yes"</formula>
    </cfRule>
    <cfRule type="cellIs" dxfId="512" priority="35" operator="equal">
      <formula>"No"</formula>
    </cfRule>
  </conditionalFormatting>
  <conditionalFormatting sqref="P188:P195">
    <cfRule type="cellIs" dxfId="511" priority="32" operator="equal">
      <formula>"Yes"</formula>
    </cfRule>
    <cfRule type="cellIs" dxfId="510" priority="33" operator="equal">
      <formula>"No"</formula>
    </cfRule>
  </conditionalFormatting>
  <conditionalFormatting sqref="L188:L195">
    <cfRule type="cellIs" dxfId="509" priority="30" operator="equal">
      <formula>"Yes"</formula>
    </cfRule>
    <cfRule type="cellIs" dxfId="508" priority="31" operator="equal">
      <formula>"No"</formula>
    </cfRule>
  </conditionalFormatting>
  <conditionalFormatting sqref="H188:H195">
    <cfRule type="cellIs" dxfId="507" priority="28" operator="equal">
      <formula>"Yes"</formula>
    </cfRule>
    <cfRule type="cellIs" dxfId="506" priority="29" operator="equal">
      <formula>"No"</formula>
    </cfRule>
  </conditionalFormatting>
  <conditionalFormatting sqref="D188:D195">
    <cfRule type="cellIs" dxfId="505" priority="26" operator="equal">
      <formula>"Yes"</formula>
    </cfRule>
    <cfRule type="cellIs" dxfId="504" priority="27" operator="equal">
      <formula>"No"</formula>
    </cfRule>
  </conditionalFormatting>
  <conditionalFormatting sqref="T56:T63">
    <cfRule type="cellIs" dxfId="503" priority="23" operator="lessThan">
      <formula>10</formula>
    </cfRule>
  </conditionalFormatting>
  <conditionalFormatting sqref="Q56:Q57">
    <cfRule type="cellIs" dxfId="502" priority="22" operator="lessThan">
      <formula>10</formula>
    </cfRule>
  </conditionalFormatting>
  <conditionalFormatting sqref="Q60:Q63">
    <cfRule type="cellIs" dxfId="501" priority="21" operator="lessThan">
      <formula>10</formula>
    </cfRule>
  </conditionalFormatting>
  <conditionalFormatting sqref="K151:K157">
    <cfRule type="expression" priority="18">
      <formula xml:space="preserve"> "NA"</formula>
    </cfRule>
  </conditionalFormatting>
  <conditionalFormatting sqref="K151:K157">
    <cfRule type="expression" priority="17">
      <formula xml:space="preserve"> "NA"</formula>
    </cfRule>
  </conditionalFormatting>
  <conditionalFormatting sqref="K151:K157">
    <cfRule type="expression" priority="16">
      <formula xml:space="preserve"> "NA"</formula>
    </cfRule>
  </conditionalFormatting>
  <conditionalFormatting sqref="K151:K157">
    <cfRule type="expression" priority="15">
      <formula xml:space="preserve"> "NA"</formula>
    </cfRule>
  </conditionalFormatting>
  <conditionalFormatting sqref="B56:F63 H56:I63 K56:P63 R56:S63 U56:U63">
    <cfRule type="cellIs" dxfId="500" priority="5" operator="lessThan">
      <formula>10</formula>
    </cfRule>
  </conditionalFormatting>
  <conditionalFormatting sqref="E41:E48">
    <cfRule type="cellIs" priority="1" stopIfTrue="1" operator="equal">
      <formula>"NA"</formula>
    </cfRule>
    <cfRule type="cellIs" dxfId="499" priority="4" operator="greaterThan">
      <formula>0.0309</formula>
    </cfRule>
  </conditionalFormatting>
  <conditionalFormatting sqref="N41:N48">
    <cfRule type="cellIs" priority="2" stopIfTrue="1" operator="equal">
      <formula>"NA"</formula>
    </cfRule>
    <cfRule type="cellIs" dxfId="498" priority="3" operator="greaterThan">
      <formula>0.0309</formula>
    </cfRule>
  </conditionalFormatting>
  <pageMargins left="0.7" right="0.7" top="0.75" bottom="0.75" header="0.3" footer="0.3"/>
  <pageSetup scale="11" orientation="landscape" r:id="rId1"/>
  <headerFooter>
    <oddFooter>&amp;L&amp;"-,Bold"Carrier Benchmark Data Submission Template&amp;"-,Regular" | NJ Hart Program&amp;RPage &amp;P</oddFooter>
  </headerFooter>
  <ignoredErrors>
    <ignoredError sqref="W151:W155 W157 X152 X154:X157" formula="1"/>
  </ignoredErrors>
  <tableParts count="2">
    <tablePart r:id="rId2"/>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EDA9A-38A2-4D00-8F75-6392DA17FA2F}">
  <sheetPr>
    <tabColor theme="8" tint="0.39997558519241921"/>
    <pageSetUpPr fitToPage="1"/>
  </sheetPr>
  <dimension ref="A1:BG202"/>
  <sheetViews>
    <sheetView showGridLines="0" topLeftCell="A115" zoomScale="30" zoomScaleNormal="30" zoomScaleSheetLayoutView="50" workbookViewId="0">
      <selection activeCell="AD11" sqref="AD1:XFD1048576"/>
    </sheetView>
  </sheetViews>
  <sheetFormatPr defaultColWidth="8.85546875" defaultRowHeight="15" x14ac:dyDescent="0.25"/>
  <cols>
    <col min="1" max="1" width="57.5703125" style="11" customWidth="1"/>
    <col min="2" max="23" width="40.7109375" style="11" customWidth="1"/>
    <col min="24" max="33" width="30.7109375" style="11" customWidth="1"/>
    <col min="34" max="35" width="20.7109375" style="11" customWidth="1"/>
    <col min="36" max="48" width="19.42578125" style="11" customWidth="1"/>
    <col min="49" max="58" width="21.42578125" style="11" customWidth="1"/>
    <col min="59" max="16384" width="8.85546875" style="11"/>
  </cols>
  <sheetData>
    <row r="1" spans="1:29" ht="18.75" x14ac:dyDescent="0.3">
      <c r="A1" s="5" t="s">
        <v>43</v>
      </c>
      <c r="B1"/>
      <c r="C1"/>
      <c r="D1"/>
      <c r="E1"/>
      <c r="F1"/>
      <c r="G1"/>
      <c r="H1"/>
      <c r="I1"/>
      <c r="J1"/>
      <c r="K1"/>
      <c r="L1"/>
      <c r="M1"/>
      <c r="N1"/>
      <c r="O1"/>
      <c r="P1"/>
      <c r="Q1"/>
      <c r="R1"/>
      <c r="S1"/>
      <c r="T1"/>
      <c r="U1"/>
      <c r="V1"/>
      <c r="W1"/>
      <c r="X1"/>
      <c r="Y1"/>
      <c r="Z1"/>
      <c r="AA1"/>
      <c r="AB1"/>
      <c r="AC1"/>
    </row>
    <row r="2" spans="1:29" x14ac:dyDescent="0.25">
      <c r="A2" t="s">
        <v>342</v>
      </c>
      <c r="B2"/>
      <c r="C2"/>
      <c r="D2"/>
      <c r="E2"/>
      <c r="F2"/>
      <c r="G2"/>
      <c r="H2"/>
      <c r="I2"/>
      <c r="J2"/>
      <c r="K2"/>
      <c r="L2"/>
      <c r="M2"/>
      <c r="N2"/>
      <c r="O2"/>
      <c r="P2"/>
      <c r="Q2"/>
      <c r="R2"/>
      <c r="S2"/>
      <c r="T2"/>
      <c r="U2"/>
      <c r="V2"/>
      <c r="W2"/>
      <c r="X2"/>
      <c r="Y2"/>
      <c r="Z2"/>
      <c r="AA2"/>
      <c r="AB2"/>
      <c r="AC2"/>
    </row>
    <row r="3" spans="1:29" x14ac:dyDescent="0.25">
      <c r="A3"/>
      <c r="B3"/>
      <c r="C3"/>
      <c r="D3"/>
      <c r="E3"/>
      <c r="F3"/>
      <c r="G3"/>
      <c r="H3"/>
      <c r="I3"/>
      <c r="J3"/>
      <c r="K3"/>
      <c r="L3"/>
      <c r="M3"/>
      <c r="N3"/>
      <c r="O3"/>
      <c r="P3"/>
      <c r="Q3"/>
      <c r="R3"/>
      <c r="S3"/>
      <c r="T3"/>
      <c r="U3"/>
      <c r="V3"/>
      <c r="W3"/>
      <c r="X3"/>
      <c r="Y3"/>
      <c r="Z3"/>
      <c r="AA3"/>
      <c r="AB3"/>
      <c r="AC3"/>
    </row>
    <row r="4" spans="1:29" x14ac:dyDescent="0.25">
      <c r="A4"/>
      <c r="B4"/>
      <c r="C4"/>
      <c r="D4"/>
      <c r="E4"/>
      <c r="F4"/>
      <c r="G4"/>
      <c r="H4"/>
      <c r="I4"/>
      <c r="J4"/>
      <c r="K4"/>
      <c r="L4"/>
      <c r="M4"/>
      <c r="N4"/>
      <c r="O4"/>
      <c r="P4"/>
      <c r="Q4"/>
      <c r="R4"/>
      <c r="S4"/>
      <c r="T4"/>
      <c r="U4"/>
      <c r="V4"/>
      <c r="W4"/>
      <c r="X4"/>
      <c r="Y4"/>
      <c r="Z4"/>
      <c r="AA4"/>
      <c r="AB4"/>
      <c r="AC4"/>
    </row>
    <row r="5" spans="1:29" x14ac:dyDescent="0.25">
      <c r="A5" s="3" t="s">
        <v>343</v>
      </c>
      <c r="B5"/>
      <c r="C5"/>
      <c r="D5"/>
      <c r="E5"/>
      <c r="F5"/>
      <c r="G5"/>
      <c r="H5"/>
      <c r="I5"/>
      <c r="J5"/>
      <c r="K5"/>
      <c r="L5"/>
      <c r="M5"/>
      <c r="N5"/>
      <c r="O5"/>
      <c r="P5"/>
      <c r="Q5"/>
      <c r="R5"/>
      <c r="S5"/>
      <c r="T5"/>
      <c r="U5"/>
      <c r="V5"/>
      <c r="W5"/>
      <c r="X5"/>
      <c r="Y5"/>
      <c r="Z5"/>
      <c r="AA5"/>
      <c r="AB5"/>
      <c r="AC5"/>
    </row>
    <row r="6" spans="1:29" ht="30" customHeight="1" x14ac:dyDescent="0.25">
      <c r="A6" s="680" t="s">
        <v>344</v>
      </c>
      <c r="B6" s="680"/>
      <c r="C6" s="680"/>
      <c r="D6" s="680"/>
      <c r="E6"/>
      <c r="F6"/>
      <c r="G6"/>
      <c r="H6"/>
      <c r="I6"/>
      <c r="J6"/>
      <c r="K6"/>
      <c r="L6"/>
      <c r="M6"/>
      <c r="N6"/>
      <c r="O6"/>
      <c r="P6"/>
      <c r="Q6"/>
      <c r="R6"/>
      <c r="S6"/>
      <c r="T6"/>
      <c r="U6"/>
      <c r="V6"/>
      <c r="W6"/>
      <c r="X6"/>
      <c r="Y6"/>
      <c r="Z6"/>
      <c r="AA6"/>
      <c r="AB6"/>
      <c r="AC6"/>
    </row>
    <row r="7" spans="1:29" ht="78" customHeight="1" x14ac:dyDescent="0.25">
      <c r="A7" s="109" t="s">
        <v>345</v>
      </c>
      <c r="B7" s="222" t="s">
        <v>346</v>
      </c>
      <c r="C7" s="222" t="s">
        <v>347</v>
      </c>
      <c r="D7" s="223" t="s">
        <v>348</v>
      </c>
      <c r="E7"/>
      <c r="F7"/>
      <c r="G7"/>
      <c r="H7"/>
      <c r="I7"/>
      <c r="J7"/>
      <c r="K7"/>
      <c r="L7"/>
      <c r="M7"/>
      <c r="N7"/>
      <c r="O7"/>
      <c r="P7"/>
      <c r="Q7"/>
      <c r="R7"/>
      <c r="S7"/>
      <c r="T7"/>
      <c r="U7"/>
      <c r="V7"/>
      <c r="W7"/>
      <c r="X7"/>
      <c r="Y7"/>
      <c r="Z7"/>
      <c r="AA7"/>
      <c r="AB7"/>
      <c r="AC7"/>
    </row>
    <row r="8" spans="1:29" x14ac:dyDescent="0.25">
      <c r="A8" s="224">
        <f>'2. Total Medical Expenses'!A12</f>
        <v>0</v>
      </c>
      <c r="B8" s="292">
        <f>'1. Cover Page'!C17</f>
        <v>0</v>
      </c>
      <c r="C8" s="292" t="e" cm="1">
        <f t="array" ref="C8">INDEX(INS_Code[Description],MATCH(INS_CD39[Carrier Inputted Insurer Name (Field ID CP01)],INS_Code[Description],0))</f>
        <v>#N/A</v>
      </c>
      <c r="D8" s="197" t="e">
        <f>IF(AND(B8=C8),"Yes", "No")</f>
        <v>#N/A</v>
      </c>
      <c r="E8"/>
      <c r="F8"/>
      <c r="G8"/>
      <c r="H8"/>
      <c r="I8"/>
      <c r="J8"/>
      <c r="K8"/>
      <c r="L8"/>
      <c r="M8"/>
      <c r="N8"/>
      <c r="O8"/>
      <c r="P8"/>
      <c r="Q8"/>
      <c r="R8"/>
      <c r="S8"/>
      <c r="T8"/>
      <c r="U8"/>
      <c r="V8"/>
      <c r="W8"/>
      <c r="X8"/>
      <c r="Y8"/>
      <c r="Z8"/>
      <c r="AA8"/>
      <c r="AB8"/>
      <c r="AC8"/>
    </row>
    <row r="9" spans="1:29" x14ac:dyDescent="0.25">
      <c r="A9"/>
      <c r="B9"/>
      <c r="C9"/>
      <c r="D9"/>
      <c r="E9"/>
      <c r="F9"/>
      <c r="G9"/>
      <c r="H9"/>
      <c r="I9"/>
      <c r="J9"/>
      <c r="K9"/>
      <c r="L9"/>
      <c r="M9"/>
      <c r="N9"/>
      <c r="O9"/>
      <c r="P9"/>
      <c r="Q9"/>
      <c r="R9"/>
      <c r="S9"/>
      <c r="T9"/>
      <c r="U9"/>
      <c r="V9"/>
      <c r="W9"/>
      <c r="X9"/>
      <c r="Y9"/>
      <c r="Z9"/>
      <c r="AA9"/>
      <c r="AB9"/>
      <c r="AC9"/>
    </row>
    <row r="10" spans="1:29" x14ac:dyDescent="0.25">
      <c r="A10"/>
      <c r="B10"/>
      <c r="C10"/>
      <c r="D10"/>
      <c r="E10"/>
      <c r="F10"/>
      <c r="G10"/>
      <c r="H10"/>
      <c r="I10"/>
      <c r="J10"/>
      <c r="K10"/>
      <c r="L10"/>
      <c r="M10"/>
      <c r="N10"/>
      <c r="O10"/>
      <c r="P10"/>
      <c r="Q10"/>
      <c r="R10"/>
      <c r="S10"/>
      <c r="T10"/>
      <c r="U10"/>
      <c r="V10"/>
      <c r="W10"/>
      <c r="X10"/>
      <c r="Y10"/>
      <c r="Z10"/>
      <c r="AA10"/>
      <c r="AB10"/>
      <c r="AC10"/>
    </row>
    <row r="11" spans="1:29" x14ac:dyDescent="0.25">
      <c r="A11" s="3" t="s">
        <v>349</v>
      </c>
      <c r="B11"/>
      <c r="C11"/>
      <c r="D11"/>
      <c r="E11"/>
      <c r="F11"/>
      <c r="G11"/>
      <c r="H11"/>
      <c r="I11"/>
      <c r="J11"/>
      <c r="K11"/>
      <c r="L11"/>
      <c r="M11"/>
      <c r="N11"/>
      <c r="O11"/>
      <c r="P11"/>
      <c r="Q11"/>
      <c r="R11"/>
      <c r="S11"/>
      <c r="T11"/>
      <c r="U11"/>
      <c r="V11"/>
      <c r="W11"/>
      <c r="X11"/>
      <c r="Y11"/>
      <c r="Z11"/>
      <c r="AA11"/>
      <c r="AB11"/>
      <c r="AC11"/>
    </row>
    <row r="12" spans="1:29" x14ac:dyDescent="0.25">
      <c r="A12" s="676" t="s">
        <v>350</v>
      </c>
      <c r="B12" s="676"/>
      <c r="C12" s="676"/>
      <c r="D12" s="676"/>
      <c r="E12" s="676"/>
      <c r="F12" s="676"/>
      <c r="G12" s="676"/>
      <c r="H12" s="676"/>
      <c r="I12" s="676"/>
      <c r="J12" s="676"/>
      <c r="K12" s="676"/>
      <c r="L12" s="676"/>
      <c r="M12" s="676"/>
      <c r="N12" s="676"/>
      <c r="O12" s="676"/>
      <c r="P12"/>
      <c r="Q12"/>
      <c r="R12"/>
      <c r="S12"/>
      <c r="T12"/>
      <c r="U12"/>
      <c r="V12"/>
      <c r="W12"/>
      <c r="X12"/>
      <c r="Y12"/>
      <c r="Z12"/>
      <c r="AA12"/>
      <c r="AB12"/>
      <c r="AC12"/>
    </row>
    <row r="13" spans="1:29" ht="15.75" thickBot="1" x14ac:dyDescent="0.3">
      <c r="A13" s="655" t="s">
        <v>351</v>
      </c>
      <c r="B13" s="652">
        <v>2022</v>
      </c>
      <c r="C13" s="652"/>
      <c r="D13" s="652"/>
      <c r="E13" s="652"/>
      <c r="F13" s="652"/>
      <c r="G13" s="652"/>
      <c r="H13" s="652"/>
      <c r="I13" s="681">
        <v>2023</v>
      </c>
      <c r="J13" s="681"/>
      <c r="K13" s="681"/>
      <c r="L13" s="681"/>
      <c r="M13" s="681"/>
      <c r="N13" s="681"/>
      <c r="O13" s="682"/>
      <c r="P13"/>
      <c r="Q13"/>
      <c r="R13"/>
      <c r="S13"/>
      <c r="T13"/>
      <c r="U13"/>
      <c r="V13"/>
      <c r="W13"/>
      <c r="X13"/>
      <c r="Y13"/>
      <c r="Z13"/>
      <c r="AA13"/>
      <c r="AB13"/>
      <c r="AC13"/>
    </row>
    <row r="14" spans="1:29" ht="57.75" customHeight="1" x14ac:dyDescent="0.25">
      <c r="A14" s="656"/>
      <c r="B14" s="80" t="s">
        <v>352</v>
      </c>
      <c r="C14" s="81" t="s">
        <v>353</v>
      </c>
      <c r="D14" s="78" t="s">
        <v>354</v>
      </c>
      <c r="E14" s="78" t="s">
        <v>355</v>
      </c>
      <c r="F14" s="81" t="s">
        <v>356</v>
      </c>
      <c r="G14" s="78" t="s">
        <v>357</v>
      </c>
      <c r="H14" s="79" t="s">
        <v>358</v>
      </c>
      <c r="I14" s="83" t="s">
        <v>352</v>
      </c>
      <c r="J14" s="84" t="s">
        <v>353</v>
      </c>
      <c r="K14" s="85" t="s">
        <v>354</v>
      </c>
      <c r="L14" s="85" t="s">
        <v>355</v>
      </c>
      <c r="M14" s="84" t="s">
        <v>356</v>
      </c>
      <c r="N14" s="85" t="s">
        <v>357</v>
      </c>
      <c r="O14" s="85" t="s">
        <v>359</v>
      </c>
      <c r="P14"/>
      <c r="Q14"/>
      <c r="R14"/>
      <c r="S14"/>
      <c r="T14"/>
      <c r="U14"/>
      <c r="V14"/>
      <c r="W14"/>
      <c r="X14"/>
      <c r="Y14"/>
      <c r="Z14"/>
      <c r="AA14"/>
      <c r="AB14"/>
      <c r="AC14"/>
    </row>
    <row r="15" spans="1:29" s="155" customFormat="1" x14ac:dyDescent="0.25">
      <c r="A15" s="190" t="s">
        <v>360</v>
      </c>
      <c r="B15" s="151">
        <f>SUM(B16:B17)</f>
        <v>0</v>
      </c>
      <c r="C15" s="152">
        <f>SUM(C16:C17)</f>
        <v>0</v>
      </c>
      <c r="D15" s="153" t="str">
        <f>IF(AND(B15=C15),"Yes", "No")</f>
        <v>Yes</v>
      </c>
      <c r="E15" s="154">
        <f>ABS(B15-C15)</f>
        <v>0</v>
      </c>
      <c r="F15" s="152">
        <f>SUM(F16:F17)</f>
        <v>0</v>
      </c>
      <c r="G15" s="153" t="str">
        <f>IF(AND(B15=F15),"Yes", "No")</f>
        <v>Yes</v>
      </c>
      <c r="H15" s="171">
        <f>ABS(B15-F15)</f>
        <v>0</v>
      </c>
      <c r="I15" s="151">
        <f>SUM(I16:I17)</f>
        <v>0</v>
      </c>
      <c r="J15" s="152">
        <f>SUM(J16:J17)</f>
        <v>0</v>
      </c>
      <c r="K15" s="153" t="str">
        <f>IF(AND(I15=J15),"Yes", "No")</f>
        <v>Yes</v>
      </c>
      <c r="L15" s="154">
        <f>ABS(I15-J15)</f>
        <v>0</v>
      </c>
      <c r="M15" s="152">
        <f>SUM(M16:M17)</f>
        <v>0</v>
      </c>
      <c r="N15" s="153" t="str">
        <f t="shared" ref="N15:N24" si="0">IF(AND(I15=M15),"Yes", "No")</f>
        <v>Yes</v>
      </c>
      <c r="O15" s="194">
        <f t="shared" ref="O15:O24" si="1">ABS(I15-M15)</f>
        <v>0</v>
      </c>
      <c r="P15" s="3"/>
      <c r="Q15" s="3"/>
      <c r="R15" s="3"/>
      <c r="S15" s="3"/>
      <c r="T15" s="3"/>
      <c r="U15" s="3"/>
      <c r="V15" s="3"/>
      <c r="W15" s="3"/>
      <c r="X15" s="3"/>
      <c r="Y15" s="3"/>
      <c r="Z15" s="3"/>
      <c r="AA15" s="3"/>
      <c r="AB15" s="3"/>
      <c r="AC15" s="3"/>
    </row>
    <row r="16" spans="1:29" ht="30" x14ac:dyDescent="0.25">
      <c r="A16" s="293" t="s">
        <v>361</v>
      </c>
      <c r="B16" s="294">
        <f>SUM(B113:B114)</f>
        <v>0</v>
      </c>
      <c r="C16" s="295">
        <f>SUM(B126:B127)</f>
        <v>0</v>
      </c>
      <c r="D16" s="296" t="str">
        <f t="shared" ref="D16:D24" si="2">IF(AND(B16=C16),"Yes", "No")</f>
        <v>Yes</v>
      </c>
      <c r="E16" s="295">
        <f>ABS(B16-C16)</f>
        <v>0</v>
      </c>
      <c r="F16" s="295">
        <f>SUM(B171:B175)</f>
        <v>0</v>
      </c>
      <c r="G16" s="297" t="str">
        <f>IF(AND(B16=F16),"Yes", "No")</f>
        <v>Yes</v>
      </c>
      <c r="H16" s="172">
        <f t="shared" ref="H16:H23" si="3">ABS(B16-F16)</f>
        <v>0</v>
      </c>
      <c r="I16" s="294">
        <f>SUM(C113:C114)</f>
        <v>0</v>
      </c>
      <c r="J16" s="295">
        <f>SUM(C126:C127)</f>
        <v>0</v>
      </c>
      <c r="K16" s="296" t="str">
        <f t="shared" ref="K16:K24" si="4">IF(AND(I16=J16),"Yes", "No")</f>
        <v>Yes</v>
      </c>
      <c r="L16" s="295">
        <f t="shared" ref="L16:L24" si="5">ABS(I16-J16)</f>
        <v>0</v>
      </c>
      <c r="M16" s="295">
        <f>SUM(C171:C175)</f>
        <v>0</v>
      </c>
      <c r="N16" s="297" t="str">
        <f t="shared" si="0"/>
        <v>Yes</v>
      </c>
      <c r="O16" s="195">
        <f>ABS(I16-M16)</f>
        <v>0</v>
      </c>
      <c r="P16"/>
      <c r="Q16"/>
      <c r="R16"/>
      <c r="S16"/>
      <c r="T16"/>
      <c r="U16"/>
      <c r="V16"/>
      <c r="W16"/>
      <c r="X16"/>
      <c r="Y16"/>
      <c r="Z16"/>
      <c r="AA16"/>
      <c r="AB16"/>
      <c r="AC16"/>
    </row>
    <row r="17" spans="1:33" ht="30" x14ac:dyDescent="0.25">
      <c r="A17" s="293" t="s">
        <v>362</v>
      </c>
      <c r="B17" s="294">
        <f>B117</f>
        <v>0</v>
      </c>
      <c r="C17" s="295">
        <f>B130</f>
        <v>0</v>
      </c>
      <c r="D17" s="296" t="str">
        <f t="shared" si="2"/>
        <v>Yes</v>
      </c>
      <c r="E17" s="295">
        <f t="shared" ref="E17:E24" si="6">ABS(B17-C17)</f>
        <v>0</v>
      </c>
      <c r="F17" s="295">
        <f>B180</f>
        <v>0</v>
      </c>
      <c r="G17" s="297" t="str">
        <f>IF(AND(B17=F17),"Yes", "No")</f>
        <v>Yes</v>
      </c>
      <c r="H17" s="172">
        <f t="shared" si="3"/>
        <v>0</v>
      </c>
      <c r="I17" s="294">
        <f>C117</f>
        <v>0</v>
      </c>
      <c r="J17" s="295">
        <f>C130</f>
        <v>0</v>
      </c>
      <c r="K17" s="296" t="str">
        <f t="shared" si="4"/>
        <v>Yes</v>
      </c>
      <c r="L17" s="295">
        <f t="shared" si="5"/>
        <v>0</v>
      </c>
      <c r="M17" s="295">
        <f>C180</f>
        <v>0</v>
      </c>
      <c r="N17" s="297" t="str">
        <f t="shared" si="0"/>
        <v>Yes</v>
      </c>
      <c r="O17" s="195">
        <f t="shared" si="1"/>
        <v>0</v>
      </c>
      <c r="P17"/>
      <c r="Q17"/>
      <c r="R17"/>
      <c r="S17"/>
      <c r="T17"/>
      <c r="U17"/>
      <c r="V17"/>
      <c r="W17"/>
      <c r="X17"/>
      <c r="Y17"/>
      <c r="Z17"/>
      <c r="AA17"/>
      <c r="AB17"/>
      <c r="AC17"/>
    </row>
    <row r="18" spans="1:33" s="155" customFormat="1" x14ac:dyDescent="0.25">
      <c r="A18" s="196" t="s">
        <v>363</v>
      </c>
      <c r="B18" s="156">
        <f>SUM(B19:B21)</f>
        <v>0</v>
      </c>
      <c r="C18" s="154">
        <f>SUM(C19:C21)</f>
        <v>0</v>
      </c>
      <c r="D18" s="153" t="str">
        <f t="shared" si="2"/>
        <v>Yes</v>
      </c>
      <c r="E18" s="154">
        <f t="shared" si="6"/>
        <v>0</v>
      </c>
      <c r="F18" s="154">
        <f>SUM(F19:F21)</f>
        <v>0</v>
      </c>
      <c r="G18" s="153" t="str">
        <f t="shared" ref="G18:G23" si="7">IF(AND(B18=F18),"Yes", "No")</f>
        <v>Yes</v>
      </c>
      <c r="H18" s="171">
        <f t="shared" si="3"/>
        <v>0</v>
      </c>
      <c r="I18" s="156">
        <f>SUM(I19:I21)</f>
        <v>0</v>
      </c>
      <c r="J18" s="154">
        <f>SUM(J19:J21)</f>
        <v>0</v>
      </c>
      <c r="K18" s="153" t="str">
        <f t="shared" si="4"/>
        <v>Yes</v>
      </c>
      <c r="L18" s="154">
        <f t="shared" si="5"/>
        <v>0</v>
      </c>
      <c r="M18" s="154">
        <f>SUM(M19:M21)</f>
        <v>0</v>
      </c>
      <c r="N18" s="153" t="str">
        <f t="shared" si="0"/>
        <v>Yes</v>
      </c>
      <c r="O18" s="194">
        <f t="shared" si="1"/>
        <v>0</v>
      </c>
      <c r="P18" s="3"/>
      <c r="Q18" s="3"/>
      <c r="R18" s="3"/>
      <c r="S18" s="3"/>
      <c r="T18" s="3"/>
      <c r="U18" s="3"/>
      <c r="V18" s="3"/>
      <c r="W18" s="3"/>
      <c r="X18" s="3"/>
      <c r="Y18" s="3"/>
      <c r="Z18" s="3"/>
      <c r="AA18" s="3"/>
      <c r="AB18" s="3"/>
      <c r="AC18" s="3"/>
    </row>
    <row r="19" spans="1:33" ht="59.25" customHeight="1" x14ac:dyDescent="0.25">
      <c r="A19" s="293" t="s">
        <v>364</v>
      </c>
      <c r="B19" s="294">
        <f>B111</f>
        <v>0</v>
      </c>
      <c r="C19" s="295">
        <f>B124</f>
        <v>0</v>
      </c>
      <c r="D19" s="296" t="str">
        <f t="shared" si="2"/>
        <v>Yes</v>
      </c>
      <c r="E19" s="295">
        <f t="shared" si="6"/>
        <v>0</v>
      </c>
      <c r="F19" s="295">
        <f>B176</f>
        <v>0</v>
      </c>
      <c r="G19" s="297" t="str">
        <f t="shared" si="7"/>
        <v>Yes</v>
      </c>
      <c r="H19" s="172">
        <f t="shared" si="3"/>
        <v>0</v>
      </c>
      <c r="I19" s="294">
        <f>C111</f>
        <v>0</v>
      </c>
      <c r="J19" s="295">
        <f>C124</f>
        <v>0</v>
      </c>
      <c r="K19" s="296" t="str">
        <f t="shared" si="4"/>
        <v>Yes</v>
      </c>
      <c r="L19" s="295">
        <f t="shared" si="5"/>
        <v>0</v>
      </c>
      <c r="M19" s="295">
        <f>C176</f>
        <v>0</v>
      </c>
      <c r="N19" s="297" t="str">
        <f t="shared" si="0"/>
        <v>Yes</v>
      </c>
      <c r="O19" s="195">
        <f t="shared" si="1"/>
        <v>0</v>
      </c>
      <c r="P19"/>
      <c r="Q19"/>
      <c r="R19"/>
      <c r="S19"/>
      <c r="T19"/>
      <c r="U19"/>
      <c r="V19"/>
      <c r="W19"/>
      <c r="X19"/>
      <c r="Y19"/>
      <c r="Z19"/>
      <c r="AA19"/>
      <c r="AB19"/>
      <c r="AC19"/>
    </row>
    <row r="20" spans="1:33" ht="30" x14ac:dyDescent="0.25">
      <c r="A20" s="293" t="s">
        <v>365</v>
      </c>
      <c r="B20" s="294">
        <f>B115</f>
        <v>0</v>
      </c>
      <c r="C20" s="295">
        <f>B128</f>
        <v>0</v>
      </c>
      <c r="D20" s="296" t="str">
        <f t="shared" si="2"/>
        <v>Yes</v>
      </c>
      <c r="E20" s="295">
        <f t="shared" si="6"/>
        <v>0</v>
      </c>
      <c r="F20" s="295">
        <f>B178</f>
        <v>0</v>
      </c>
      <c r="G20" s="297" t="str">
        <f t="shared" si="7"/>
        <v>Yes</v>
      </c>
      <c r="H20" s="172">
        <f t="shared" si="3"/>
        <v>0</v>
      </c>
      <c r="I20" s="294">
        <f>C115</f>
        <v>0</v>
      </c>
      <c r="J20" s="295">
        <f>C128</f>
        <v>0</v>
      </c>
      <c r="K20" s="296" t="str">
        <f t="shared" si="4"/>
        <v>Yes</v>
      </c>
      <c r="L20" s="295">
        <f t="shared" si="5"/>
        <v>0</v>
      </c>
      <c r="M20" s="295">
        <f>C178</f>
        <v>0</v>
      </c>
      <c r="N20" s="297" t="str">
        <f t="shared" si="0"/>
        <v>Yes</v>
      </c>
      <c r="O20" s="195">
        <f t="shared" si="1"/>
        <v>0</v>
      </c>
      <c r="P20"/>
      <c r="Q20"/>
      <c r="R20"/>
      <c r="S20"/>
      <c r="T20"/>
      <c r="U20"/>
      <c r="V20"/>
      <c r="W20"/>
      <c r="X20"/>
      <c r="Y20"/>
      <c r="Z20"/>
      <c r="AA20"/>
      <c r="AB20"/>
      <c r="AC20"/>
    </row>
    <row r="21" spans="1:33" ht="30" x14ac:dyDescent="0.25">
      <c r="A21" s="293" t="s">
        <v>366</v>
      </c>
      <c r="B21" s="294">
        <f>B118</f>
        <v>0</v>
      </c>
      <c r="C21" s="295">
        <f>B131</f>
        <v>0</v>
      </c>
      <c r="D21" s="296" t="str">
        <f t="shared" si="2"/>
        <v>Yes</v>
      </c>
      <c r="E21" s="295">
        <f t="shared" si="6"/>
        <v>0</v>
      </c>
      <c r="F21" s="295">
        <f>B181</f>
        <v>0</v>
      </c>
      <c r="G21" s="297" t="str">
        <f t="shared" si="7"/>
        <v>Yes</v>
      </c>
      <c r="H21" s="172">
        <f t="shared" si="3"/>
        <v>0</v>
      </c>
      <c r="I21" s="294">
        <f>C118</f>
        <v>0</v>
      </c>
      <c r="J21" s="295">
        <f>C131</f>
        <v>0</v>
      </c>
      <c r="K21" s="296" t="str">
        <f t="shared" si="4"/>
        <v>Yes</v>
      </c>
      <c r="L21" s="295">
        <f t="shared" si="5"/>
        <v>0</v>
      </c>
      <c r="M21" s="295">
        <f>C181</f>
        <v>0</v>
      </c>
      <c r="N21" s="297" t="str">
        <f t="shared" si="0"/>
        <v>Yes</v>
      </c>
      <c r="O21" s="195">
        <f t="shared" si="1"/>
        <v>0</v>
      </c>
      <c r="P21"/>
      <c r="Q21"/>
      <c r="R21"/>
      <c r="S21"/>
      <c r="T21"/>
      <c r="U21"/>
      <c r="V21"/>
      <c r="W21"/>
      <c r="X21"/>
      <c r="Y21"/>
      <c r="Z21"/>
      <c r="AA21"/>
      <c r="AB21"/>
      <c r="AC21"/>
    </row>
    <row r="22" spans="1:33" s="155" customFormat="1" x14ac:dyDescent="0.25">
      <c r="A22" s="190" t="s">
        <v>367</v>
      </c>
      <c r="B22" s="156">
        <f>SUM(B23:B24)</f>
        <v>0</v>
      </c>
      <c r="C22" s="154">
        <f>SUM(C23:C24)</f>
        <v>0</v>
      </c>
      <c r="D22" s="153" t="str">
        <f t="shared" si="2"/>
        <v>Yes</v>
      </c>
      <c r="E22" s="154">
        <f t="shared" si="6"/>
        <v>0</v>
      </c>
      <c r="F22" s="154">
        <f>SUM(F23:F24)</f>
        <v>0</v>
      </c>
      <c r="G22" s="153" t="str">
        <f t="shared" si="7"/>
        <v>Yes</v>
      </c>
      <c r="H22" s="171">
        <f t="shared" si="3"/>
        <v>0</v>
      </c>
      <c r="I22" s="156">
        <f>SUM(I23:I24)</f>
        <v>0</v>
      </c>
      <c r="J22" s="154">
        <f>SUM(J23:J24)</f>
        <v>0</v>
      </c>
      <c r="K22" s="153" t="str">
        <f t="shared" si="4"/>
        <v>Yes</v>
      </c>
      <c r="L22" s="154">
        <f t="shared" si="5"/>
        <v>0</v>
      </c>
      <c r="M22" s="154">
        <f>SUM(M23:M24)</f>
        <v>0</v>
      </c>
      <c r="N22" s="153" t="str">
        <f t="shared" si="0"/>
        <v>Yes</v>
      </c>
      <c r="O22" s="194">
        <f t="shared" si="1"/>
        <v>0</v>
      </c>
      <c r="P22" s="3"/>
      <c r="Q22" s="3"/>
      <c r="R22" s="3"/>
      <c r="S22" s="3"/>
      <c r="T22" s="3"/>
      <c r="U22" s="3"/>
      <c r="V22" s="3"/>
      <c r="W22" s="3"/>
      <c r="X22" s="3"/>
      <c r="Y22" s="3"/>
      <c r="Z22" s="3"/>
      <c r="AA22" s="3"/>
      <c r="AB22" s="3"/>
      <c r="AC22" s="3"/>
    </row>
    <row r="23" spans="1:33" ht="30" x14ac:dyDescent="0.25">
      <c r="A23" s="293" t="s">
        <v>368</v>
      </c>
      <c r="B23" s="294">
        <f>B112</f>
        <v>0</v>
      </c>
      <c r="C23" s="295">
        <f>B125</f>
        <v>0</v>
      </c>
      <c r="D23" s="296" t="str">
        <f t="shared" si="2"/>
        <v>Yes</v>
      </c>
      <c r="E23" s="295">
        <f t="shared" si="6"/>
        <v>0</v>
      </c>
      <c r="F23" s="295">
        <f>B177</f>
        <v>0</v>
      </c>
      <c r="G23" s="297" t="str">
        <f t="shared" si="7"/>
        <v>Yes</v>
      </c>
      <c r="H23" s="172">
        <f t="shared" si="3"/>
        <v>0</v>
      </c>
      <c r="I23" s="294">
        <f>C112</f>
        <v>0</v>
      </c>
      <c r="J23" s="295">
        <f>C125</f>
        <v>0</v>
      </c>
      <c r="K23" s="296" t="str">
        <f t="shared" si="4"/>
        <v>Yes</v>
      </c>
      <c r="L23" s="295">
        <f t="shared" si="5"/>
        <v>0</v>
      </c>
      <c r="M23" s="295">
        <f>C177</f>
        <v>0</v>
      </c>
      <c r="N23" s="297" t="str">
        <f>IF(AND(I23=M23),"Yes", "No")</f>
        <v>Yes</v>
      </c>
      <c r="O23" s="195">
        <f t="shared" si="1"/>
        <v>0</v>
      </c>
      <c r="P23"/>
      <c r="Q23"/>
      <c r="R23"/>
      <c r="S23"/>
      <c r="T23"/>
      <c r="U23"/>
      <c r="V23"/>
      <c r="W23"/>
      <c r="X23"/>
      <c r="Y23"/>
      <c r="Z23"/>
      <c r="AA23"/>
      <c r="AB23"/>
      <c r="AC23"/>
    </row>
    <row r="24" spans="1:33" ht="30" x14ac:dyDescent="0.25">
      <c r="A24" s="293" t="s">
        <v>369</v>
      </c>
      <c r="B24" s="294">
        <f>B116</f>
        <v>0</v>
      </c>
      <c r="C24" s="295">
        <f>B129</f>
        <v>0</v>
      </c>
      <c r="D24" s="296" t="str">
        <f t="shared" si="2"/>
        <v>Yes</v>
      </c>
      <c r="E24" s="295">
        <f t="shared" si="6"/>
        <v>0</v>
      </c>
      <c r="F24" s="295">
        <f>B179</f>
        <v>0</v>
      </c>
      <c r="G24" s="297" t="str">
        <f>IF(AND(B24=F24),"Yes", "No")</f>
        <v>Yes</v>
      </c>
      <c r="H24" s="172">
        <f>ABS(B24-F24)</f>
        <v>0</v>
      </c>
      <c r="I24" s="294">
        <f>C116</f>
        <v>0</v>
      </c>
      <c r="J24" s="295">
        <f>C129</f>
        <v>0</v>
      </c>
      <c r="K24" s="296" t="str">
        <f t="shared" si="4"/>
        <v>Yes</v>
      </c>
      <c r="L24" s="295">
        <f t="shared" si="5"/>
        <v>0</v>
      </c>
      <c r="M24" s="295">
        <f>C179</f>
        <v>0</v>
      </c>
      <c r="N24" s="297" t="str">
        <f t="shared" si="0"/>
        <v>Yes</v>
      </c>
      <c r="O24" s="195">
        <f t="shared" si="1"/>
        <v>0</v>
      </c>
      <c r="P24"/>
      <c r="Q24"/>
      <c r="R24"/>
      <c r="S24"/>
      <c r="T24"/>
      <c r="U24"/>
      <c r="V24"/>
      <c r="W24"/>
      <c r="X24"/>
      <c r="Y24"/>
      <c r="Z24"/>
      <c r="AA24"/>
      <c r="AB24"/>
      <c r="AC24"/>
    </row>
    <row r="25" spans="1:33" x14ac:dyDescent="0.25">
      <c r="A25"/>
      <c r="B25"/>
      <c r="C25"/>
      <c r="D25"/>
      <c r="E25"/>
      <c r="F25"/>
      <c r="G25"/>
      <c r="H25"/>
      <c r="I25"/>
      <c r="J25"/>
      <c r="K25"/>
      <c r="L25"/>
      <c r="M25"/>
      <c r="N25"/>
      <c r="O25"/>
      <c r="P25"/>
      <c r="Q25"/>
      <c r="R25"/>
      <c r="S25"/>
      <c r="T25"/>
      <c r="U25"/>
      <c r="V25"/>
      <c r="W25"/>
      <c r="X25"/>
      <c r="Y25"/>
      <c r="Z25"/>
      <c r="AA25"/>
      <c r="AB25"/>
      <c r="AC25"/>
    </row>
    <row r="26" spans="1:33" x14ac:dyDescent="0.25">
      <c r="A26"/>
      <c r="B26"/>
      <c r="C26"/>
      <c r="D26"/>
      <c r="E26"/>
      <c r="F26"/>
      <c r="G26"/>
      <c r="H26"/>
      <c r="I26"/>
      <c r="J26"/>
      <c r="K26"/>
      <c r="L26"/>
      <c r="M26"/>
      <c r="N26"/>
      <c r="O26"/>
      <c r="P26"/>
      <c r="Q26"/>
      <c r="R26"/>
      <c r="S26"/>
      <c r="T26"/>
      <c r="U26"/>
      <c r="V26"/>
      <c r="W26"/>
      <c r="X26"/>
      <c r="Y26"/>
      <c r="Z26"/>
      <c r="AA26"/>
      <c r="AB26"/>
      <c r="AC26"/>
    </row>
    <row r="27" spans="1:33" x14ac:dyDescent="0.25">
      <c r="A27" s="3" t="s">
        <v>370</v>
      </c>
      <c r="B27"/>
      <c r="C27"/>
      <c r="D27"/>
      <c r="E27"/>
      <c r="F27"/>
      <c r="G27"/>
      <c r="H27"/>
      <c r="I27"/>
      <c r="J27"/>
      <c r="K27"/>
      <c r="L27"/>
      <c r="M27"/>
      <c r="N27"/>
      <c r="O27"/>
      <c r="P27"/>
      <c r="Q27"/>
      <c r="R27"/>
      <c r="S27"/>
      <c r="T27"/>
      <c r="U27"/>
      <c r="V27"/>
      <c r="W27"/>
      <c r="X27"/>
      <c r="Y27"/>
      <c r="Z27"/>
      <c r="AA27"/>
      <c r="AB27"/>
      <c r="AC27"/>
      <c r="AG27" s="11" t="s">
        <v>371</v>
      </c>
    </row>
    <row r="28" spans="1:33" x14ac:dyDescent="0.25">
      <c r="A28" s="676" t="s">
        <v>372</v>
      </c>
      <c r="B28" s="676"/>
      <c r="C28" s="676"/>
      <c r="D28" s="676"/>
      <c r="E28" s="676"/>
      <c r="F28" s="676"/>
      <c r="G28" s="676"/>
      <c r="H28" s="676"/>
      <c r="I28" s="676"/>
      <c r="J28" s="676"/>
      <c r="K28" s="676"/>
      <c r="L28" s="676"/>
      <c r="M28" s="676"/>
      <c r="N28" s="676"/>
      <c r="O28" s="676"/>
      <c r="P28" s="676"/>
      <c r="Q28" s="676"/>
      <c r="R28" s="676"/>
      <c r="S28" s="676"/>
      <c r="T28" s="676"/>
      <c r="U28" s="676"/>
      <c r="V28" s="676"/>
      <c r="W28" s="676"/>
      <c r="X28" s="676"/>
      <c r="Y28" s="676"/>
      <c r="Z28" s="676"/>
      <c r="AA28" s="676"/>
      <c r="AB28" s="676"/>
      <c r="AC28" s="676"/>
    </row>
    <row r="29" spans="1:33" x14ac:dyDescent="0.25">
      <c r="A29" s="655" t="s">
        <v>373</v>
      </c>
      <c r="B29" s="664">
        <v>2022</v>
      </c>
      <c r="C29" s="665"/>
      <c r="D29" s="665"/>
      <c r="E29" s="665"/>
      <c r="F29" s="665"/>
      <c r="G29" s="665"/>
      <c r="H29" s="665"/>
      <c r="I29" s="665"/>
      <c r="J29" s="665"/>
      <c r="K29" s="665"/>
      <c r="L29" s="665"/>
      <c r="M29" s="665"/>
      <c r="N29" s="665"/>
      <c r="O29" s="666"/>
      <c r="P29" s="670">
        <v>2023</v>
      </c>
      <c r="Q29" s="677"/>
      <c r="R29" s="677"/>
      <c r="S29" s="677"/>
      <c r="T29" s="677"/>
      <c r="U29" s="677"/>
      <c r="V29" s="677"/>
      <c r="W29" s="677"/>
      <c r="X29" s="677"/>
      <c r="Y29" s="677"/>
      <c r="Z29" s="677"/>
      <c r="AA29" s="677"/>
      <c r="AB29" s="677"/>
      <c r="AC29" s="671"/>
      <c r="AG29" s="129"/>
    </row>
    <row r="30" spans="1:33" ht="65.25" customHeight="1" x14ac:dyDescent="0.25">
      <c r="A30" s="655"/>
      <c r="B30" s="80" t="s">
        <v>374</v>
      </c>
      <c r="C30" s="81" t="s">
        <v>375</v>
      </c>
      <c r="D30" s="78" t="s">
        <v>376</v>
      </c>
      <c r="E30" s="78" t="s">
        <v>377</v>
      </c>
      <c r="F30" s="81" t="s">
        <v>378</v>
      </c>
      <c r="G30" s="78" t="s">
        <v>379</v>
      </c>
      <c r="H30" s="78" t="s">
        <v>380</v>
      </c>
      <c r="I30" s="81" t="s">
        <v>352</v>
      </c>
      <c r="J30" s="81" t="s">
        <v>353</v>
      </c>
      <c r="K30" s="78" t="s">
        <v>381</v>
      </c>
      <c r="L30" s="78" t="s">
        <v>382</v>
      </c>
      <c r="M30" s="81" t="s">
        <v>383</v>
      </c>
      <c r="N30" s="78" t="s">
        <v>384</v>
      </c>
      <c r="O30" s="79" t="s">
        <v>382</v>
      </c>
      <c r="P30" s="83" t="s">
        <v>374</v>
      </c>
      <c r="Q30" s="84" t="s">
        <v>375</v>
      </c>
      <c r="R30" s="85" t="s">
        <v>354</v>
      </c>
      <c r="S30" s="85" t="s">
        <v>355</v>
      </c>
      <c r="T30" s="84" t="s">
        <v>378</v>
      </c>
      <c r="U30" s="85" t="s">
        <v>385</v>
      </c>
      <c r="V30" s="85" t="s">
        <v>386</v>
      </c>
      <c r="W30" s="84" t="s">
        <v>352</v>
      </c>
      <c r="X30" s="84" t="s">
        <v>353</v>
      </c>
      <c r="Y30" s="85" t="s">
        <v>354</v>
      </c>
      <c r="Z30" s="85" t="s">
        <v>355</v>
      </c>
      <c r="AA30" s="84" t="s">
        <v>383</v>
      </c>
      <c r="AB30" s="85" t="s">
        <v>385</v>
      </c>
      <c r="AC30" s="85" t="s">
        <v>386</v>
      </c>
    </row>
    <row r="31" spans="1:33" ht="30" customHeight="1" x14ac:dyDescent="0.25">
      <c r="A31" s="54" t="s">
        <v>387</v>
      </c>
      <c r="B31" s="168">
        <f>SUM(L111,L115,L118)</f>
        <v>0</v>
      </c>
      <c r="C31" s="169">
        <f>SUM(H124,H128,H131)</f>
        <v>0</v>
      </c>
      <c r="D31" s="298" t="str">
        <f>IFERROR(IF(AND(E31&lt;1),"Yes","No"),"NA")</f>
        <v>Yes</v>
      </c>
      <c r="E31" s="170">
        <f>IFERROR(ABS(B31-C31),"NA")</f>
        <v>0</v>
      </c>
      <c r="F31" s="170">
        <f>D163</f>
        <v>0</v>
      </c>
      <c r="G31" s="298" t="str">
        <f>IFERROR(IF(AND(H31&lt;1),"Yes","No"),"NA")</f>
        <v>Yes</v>
      </c>
      <c r="H31" s="170">
        <f>IFERROR(ABS(B31-F31),"NA")</f>
        <v>0</v>
      </c>
      <c r="I31" s="8">
        <f>SUM(B111,B115,B118)</f>
        <v>0</v>
      </c>
      <c r="J31" s="8">
        <f>SUM(B124,B128,B131)</f>
        <v>0</v>
      </c>
      <c r="K31" s="298" t="str">
        <f>IFERROR(IF(AND(L31&lt;1),"Yes","No"),"NA")</f>
        <v>Yes</v>
      </c>
      <c r="L31" s="298">
        <f>IFERROR(ABS(I31-J31),"NA")</f>
        <v>0</v>
      </c>
      <c r="M31" s="8">
        <f>B163</f>
        <v>0</v>
      </c>
      <c r="N31" s="298" t="str">
        <f>IFERROR(IF(AND(O31&lt;1),"Yes","No"),"NA")</f>
        <v>Yes</v>
      </c>
      <c r="O31" s="440">
        <f>IFERROR(ABS(I31-M31),"NA")</f>
        <v>0</v>
      </c>
      <c r="P31" s="168">
        <f>SUM(M111,M115,M118)</f>
        <v>0</v>
      </c>
      <c r="Q31" s="94">
        <f>SUM(I124,I128,I131)</f>
        <v>0</v>
      </c>
      <c r="R31" s="298" t="str">
        <f>IFERROR(IF(AND(S31&lt;1),"Yes","No"),"NA")</f>
        <v>Yes</v>
      </c>
      <c r="S31" s="170">
        <f>IFERROR(ABS(P31-Q31),"NA")</f>
        <v>0</v>
      </c>
      <c r="T31" s="170">
        <f>E163</f>
        <v>0</v>
      </c>
      <c r="U31" s="298" t="str">
        <f>IFERROR(IF(AND(V31&lt;1),"Yes","No"),"NA")</f>
        <v>Yes</v>
      </c>
      <c r="V31" s="170">
        <f>IFERROR(ABS(P31-T31),"NA")</f>
        <v>0</v>
      </c>
      <c r="W31" s="8">
        <f>SUM(C111,C115,C118)</f>
        <v>0</v>
      </c>
      <c r="X31" s="8">
        <f>SUM(C124,C128,C131)</f>
        <v>0</v>
      </c>
      <c r="Y31" s="298" t="str">
        <f>IFERROR(IF(AND(Z31&lt;1),"Yes","No"),"NA")</f>
        <v>Yes</v>
      </c>
      <c r="Z31" s="298">
        <f>IFERROR(ABS(W31-X31),"NA")</f>
        <v>0</v>
      </c>
      <c r="AA31" s="8">
        <f>C163</f>
        <v>0</v>
      </c>
      <c r="AB31" s="298" t="str">
        <f>IFERROR(IF(AND(AC31&lt;1),"Yes","No"),"NA")</f>
        <v>Yes</v>
      </c>
      <c r="AC31" s="8">
        <f>IFERROR(ABS(W31-AA31),"NA")</f>
        <v>0</v>
      </c>
    </row>
    <row r="32" spans="1:33" ht="30" customHeight="1" x14ac:dyDescent="0.25">
      <c r="A32" s="54" t="s">
        <v>388</v>
      </c>
      <c r="B32" s="168">
        <f>SUM(L112,L116)</f>
        <v>0</v>
      </c>
      <c r="C32" s="169">
        <f>SUM(H125,H129)</f>
        <v>0</v>
      </c>
      <c r="D32" s="298" t="str">
        <f t="shared" ref="D32:D33" si="8">IFERROR(IF(AND(E32&lt;1),"Yes","No"),"NA")</f>
        <v>Yes</v>
      </c>
      <c r="E32" s="170">
        <f>IFERROR(ABS(B32-C32),"NA")</f>
        <v>0</v>
      </c>
      <c r="F32" s="170">
        <f>D164</f>
        <v>0</v>
      </c>
      <c r="G32" s="298" t="str">
        <f t="shared" ref="G32" si="9">IFERROR(IF(AND(H32&lt;1),"Yes","No"),"NA")</f>
        <v>Yes</v>
      </c>
      <c r="H32" s="170">
        <f>IFERROR(ABS(B32-F32),"NA")</f>
        <v>0</v>
      </c>
      <c r="I32" s="8">
        <f>SUM(B112,B116)</f>
        <v>0</v>
      </c>
      <c r="J32" s="8">
        <f>SUM(B125,B129)</f>
        <v>0</v>
      </c>
      <c r="K32" s="298" t="str">
        <f t="shared" ref="K32:K33" si="10">IFERROR(IF(AND(L32&lt;1),"Yes","No"),"NA")</f>
        <v>Yes</v>
      </c>
      <c r="L32" s="298">
        <f>IFERROR(ABS(I32-J32),"NA")</f>
        <v>0</v>
      </c>
      <c r="M32" s="8">
        <f>B164</f>
        <v>0</v>
      </c>
      <c r="N32" s="298" t="str">
        <f t="shared" ref="N32:N33" si="11">IFERROR(IF(AND(O32&lt;1),"Yes","No"),"NA")</f>
        <v>Yes</v>
      </c>
      <c r="O32" s="440">
        <f>IFERROR(ABS(I32-M32),"NA")</f>
        <v>0</v>
      </c>
      <c r="P32" s="168">
        <f>SUM(M112,M116)</f>
        <v>0</v>
      </c>
      <c r="Q32" s="169">
        <f>SUM(I125,I129)</f>
        <v>0</v>
      </c>
      <c r="R32" s="298" t="str">
        <f t="shared" ref="R32:R33" si="12">IFERROR(IF(AND(S32&lt;1),"Yes","No"),"NA")</f>
        <v>Yes</v>
      </c>
      <c r="S32" s="170">
        <f>IFERROR(ABS(P32-Q32),"NA")</f>
        <v>0</v>
      </c>
      <c r="T32" s="170">
        <f>E164</f>
        <v>0</v>
      </c>
      <c r="U32" s="298" t="str">
        <f t="shared" ref="U32:U33" si="13">IFERROR(IF(AND(V32&lt;1),"Yes","No"),"NA")</f>
        <v>Yes</v>
      </c>
      <c r="V32" s="170">
        <f>IFERROR(ABS(P32-T32),"NA")</f>
        <v>0</v>
      </c>
      <c r="W32" s="8">
        <f>SUM(C112,C116)</f>
        <v>0</v>
      </c>
      <c r="X32" s="8">
        <f>SUM(C125,C129)</f>
        <v>0</v>
      </c>
      <c r="Y32" s="298" t="str">
        <f t="shared" ref="Y32:Y33" si="14">IFERROR(IF(AND(Z32&lt;1),"Yes","No"),"NA")</f>
        <v>Yes</v>
      </c>
      <c r="Z32" s="298">
        <f>IFERROR(ABS(W32-X32),"NA")</f>
        <v>0</v>
      </c>
      <c r="AA32" s="8">
        <f>C164</f>
        <v>0</v>
      </c>
      <c r="AB32" s="298" t="str">
        <f t="shared" ref="AB32:AB33" si="15">IFERROR(IF(AND(AC32&lt;1),"Yes","No"),"NA")</f>
        <v>Yes</v>
      </c>
      <c r="AC32" s="8">
        <f>IFERROR(ABS(W32-AA32),"NA")</f>
        <v>0</v>
      </c>
    </row>
    <row r="33" spans="1:29" ht="30" customHeight="1" x14ac:dyDescent="0.25">
      <c r="A33" s="54" t="s">
        <v>389</v>
      </c>
      <c r="B33" s="168">
        <f>SUM(L113,L114,L117)</f>
        <v>0</v>
      </c>
      <c r="C33" s="169">
        <f>SUM(H126,H127,H130)</f>
        <v>0</v>
      </c>
      <c r="D33" s="298" t="str">
        <f t="shared" si="8"/>
        <v>Yes</v>
      </c>
      <c r="E33" s="170">
        <f>IFERROR(ABS(B33-C33),"NA")</f>
        <v>0</v>
      </c>
      <c r="F33" s="170">
        <f>D165</f>
        <v>0</v>
      </c>
      <c r="G33" s="298" t="str">
        <f>IFERROR(IF(AND(H33&lt;1),"Yes","No"),"NA")</f>
        <v>Yes</v>
      </c>
      <c r="H33" s="170">
        <f>IFERROR(ABS(B33-F33),"NA")</f>
        <v>0</v>
      </c>
      <c r="I33" s="8">
        <f>SUM(B113, B114,B117)</f>
        <v>0</v>
      </c>
      <c r="J33" s="8">
        <f>SUM(B126,B127,B130)</f>
        <v>0</v>
      </c>
      <c r="K33" s="298" t="str">
        <f t="shared" si="10"/>
        <v>Yes</v>
      </c>
      <c r="L33" s="298">
        <f>IFERROR(ABS(I33-J33),"NA")</f>
        <v>0</v>
      </c>
      <c r="M33" s="8">
        <f>B165</f>
        <v>0</v>
      </c>
      <c r="N33" s="298" t="str">
        <f t="shared" si="11"/>
        <v>Yes</v>
      </c>
      <c r="O33" s="440">
        <f>IFERROR(ABS(I33-M33),"NA")</f>
        <v>0</v>
      </c>
      <c r="P33" s="168">
        <f>SUM(M113,M114,M117)</f>
        <v>0</v>
      </c>
      <c r="Q33" s="169">
        <f>SUM(I126,I127,I130)</f>
        <v>0</v>
      </c>
      <c r="R33" s="298" t="str">
        <f t="shared" si="12"/>
        <v>Yes</v>
      </c>
      <c r="S33" s="170">
        <f>IFERROR(ABS(P33-Q33),"NA")</f>
        <v>0</v>
      </c>
      <c r="T33" s="170">
        <f>E165</f>
        <v>0</v>
      </c>
      <c r="U33" s="298" t="str">
        <f t="shared" si="13"/>
        <v>Yes</v>
      </c>
      <c r="V33" s="170">
        <f>IFERROR(ABS(P33-T33),"NA")</f>
        <v>0</v>
      </c>
      <c r="W33" s="8">
        <f>SUM(C113,C114,C117)</f>
        <v>0</v>
      </c>
      <c r="X33" s="8">
        <f>SUM(C126,C127,C130)</f>
        <v>0</v>
      </c>
      <c r="Y33" s="298" t="str">
        <f t="shared" si="14"/>
        <v>Yes</v>
      </c>
      <c r="Z33" s="298">
        <f>IFERROR(ABS(W33-X33),"NA")</f>
        <v>0</v>
      </c>
      <c r="AA33" s="8">
        <f>C165</f>
        <v>0</v>
      </c>
      <c r="AB33" s="298" t="str">
        <f t="shared" si="15"/>
        <v>Yes</v>
      </c>
      <c r="AC33" s="8">
        <f>IFERROR(ABS(W33-AA33),"NA")</f>
        <v>0</v>
      </c>
    </row>
    <row r="34" spans="1:29" x14ac:dyDescent="0.25">
      <c r="A34"/>
      <c r="B34" s="132"/>
      <c r="C34"/>
      <c r="D34" s="2"/>
      <c r="E34"/>
      <c r="F34"/>
      <c r="G34"/>
      <c r="H34"/>
      <c r="I34"/>
      <c r="J34"/>
      <c r="K34"/>
      <c r="L34"/>
      <c r="M34"/>
      <c r="N34"/>
      <c r="O34"/>
      <c r="P34"/>
      <c r="Q34"/>
      <c r="R34"/>
      <c r="S34"/>
      <c r="T34"/>
      <c r="U34"/>
      <c r="V34"/>
      <c r="W34"/>
      <c r="X34"/>
      <c r="Y34"/>
      <c r="Z34"/>
      <c r="AA34"/>
      <c r="AB34"/>
      <c r="AC34"/>
    </row>
    <row r="35" spans="1:29" x14ac:dyDescent="0.25">
      <c r="A35"/>
      <c r="B35"/>
      <c r="C35" s="150"/>
      <c r="D35" s="2"/>
      <c r="E35"/>
      <c r="F35"/>
      <c r="G35"/>
      <c r="H35"/>
      <c r="I35"/>
      <c r="J35"/>
      <c r="K35"/>
      <c r="L35"/>
      <c r="M35"/>
      <c r="N35"/>
      <c r="O35"/>
      <c r="P35"/>
      <c r="Q35"/>
      <c r="R35"/>
      <c r="S35"/>
      <c r="T35"/>
      <c r="U35"/>
      <c r="V35"/>
      <c r="W35"/>
      <c r="X35"/>
      <c r="Y35"/>
      <c r="Z35"/>
      <c r="AA35"/>
      <c r="AB35"/>
      <c r="AC35"/>
    </row>
    <row r="36" spans="1:29" x14ac:dyDescent="0.25">
      <c r="A36" s="4" t="s">
        <v>390</v>
      </c>
      <c r="B36"/>
      <c r="C36"/>
      <c r="D36"/>
      <c r="E36"/>
      <c r="F36"/>
      <c r="G36"/>
      <c r="H36"/>
      <c r="I36"/>
      <c r="J36"/>
      <c r="K36"/>
      <c r="L36"/>
      <c r="M36"/>
      <c r="N36"/>
      <c r="O36"/>
      <c r="P36"/>
      <c r="Q36"/>
      <c r="R36"/>
      <c r="S36" s="441"/>
      <c r="T36"/>
      <c r="U36"/>
      <c r="V36"/>
      <c r="W36"/>
      <c r="X36"/>
      <c r="Y36"/>
      <c r="Z36"/>
      <c r="AA36"/>
      <c r="AB36"/>
      <c r="AC36"/>
    </row>
    <row r="37" spans="1:29" x14ac:dyDescent="0.25">
      <c r="A37" s="189" t="s">
        <v>391</v>
      </c>
      <c r="B37" s="291"/>
      <c r="C37" s="291"/>
      <c r="D37" s="291"/>
      <c r="E37" s="291"/>
      <c r="F37" s="291"/>
      <c r="G37" s="291"/>
      <c r="H37" s="291"/>
      <c r="I37" s="291"/>
      <c r="J37" s="291"/>
      <c r="K37" s="291"/>
      <c r="L37" s="291"/>
      <c r="M37" s="291"/>
      <c r="N37" s="291"/>
      <c r="O37" s="291"/>
      <c r="P37" s="291"/>
      <c r="Q37" s="291"/>
      <c r="R37" s="291"/>
      <c r="S37" s="538"/>
      <c r="T37"/>
      <c r="U37"/>
      <c r="V37"/>
      <c r="W37"/>
      <c r="X37"/>
      <c r="Y37"/>
      <c r="Z37"/>
      <c r="AA37"/>
      <c r="AB37"/>
      <c r="AC37"/>
    </row>
    <row r="38" spans="1:29" s="300" customFormat="1" ht="60" customHeight="1" x14ac:dyDescent="0.25">
      <c r="A38" s="672" t="s">
        <v>392</v>
      </c>
      <c r="B38" s="672"/>
      <c r="C38" s="672"/>
      <c r="D38" s="672"/>
      <c r="E38" s="672"/>
      <c r="F38" s="672"/>
      <c r="G38" s="672"/>
      <c r="H38" s="672"/>
      <c r="I38" s="672"/>
      <c r="J38" s="672"/>
      <c r="K38" s="672"/>
      <c r="L38" s="672"/>
      <c r="M38" s="672"/>
      <c r="N38" s="672"/>
      <c r="O38" s="672"/>
      <c r="P38" s="672"/>
      <c r="Q38" s="672"/>
      <c r="R38" s="539"/>
      <c r="S38" s="540"/>
      <c r="T38" s="299"/>
      <c r="U38" s="299"/>
      <c r="V38" s="299"/>
      <c r="W38" s="299"/>
      <c r="X38" s="299"/>
      <c r="Y38" s="299"/>
      <c r="Z38" s="299"/>
      <c r="AA38" s="299"/>
      <c r="AB38" s="299"/>
      <c r="AC38" s="299"/>
    </row>
    <row r="39" spans="1:29" x14ac:dyDescent="0.25">
      <c r="A39" s="663" t="s">
        <v>61</v>
      </c>
      <c r="B39" s="673">
        <v>2022</v>
      </c>
      <c r="C39" s="674"/>
      <c r="D39" s="674"/>
      <c r="E39" s="674"/>
      <c r="F39" s="674"/>
      <c r="G39" s="674"/>
      <c r="H39" s="674"/>
      <c r="I39" s="674"/>
      <c r="J39" s="675"/>
      <c r="K39" s="678">
        <v>2023</v>
      </c>
      <c r="L39" s="679"/>
      <c r="M39" s="679"/>
      <c r="N39" s="679"/>
      <c r="O39" s="679"/>
      <c r="P39" s="679"/>
      <c r="Q39" s="679"/>
      <c r="R39" s="679"/>
      <c r="S39" s="679"/>
      <c r="T39"/>
      <c r="U39"/>
      <c r="V39"/>
      <c r="W39"/>
      <c r="X39"/>
      <c r="Y39"/>
      <c r="Z39"/>
      <c r="AA39"/>
      <c r="AB39"/>
      <c r="AC39"/>
    </row>
    <row r="40" spans="1:29" ht="142.5" customHeight="1" x14ac:dyDescent="0.25">
      <c r="A40" s="663"/>
      <c r="B40" s="91" t="s">
        <v>393</v>
      </c>
      <c r="C40" s="91" t="s">
        <v>198</v>
      </c>
      <c r="D40" s="93" t="s">
        <v>394</v>
      </c>
      <c r="E40" s="93" t="s">
        <v>395</v>
      </c>
      <c r="F40" s="91" t="s">
        <v>396</v>
      </c>
      <c r="G40" s="91" t="s">
        <v>397</v>
      </c>
      <c r="H40" s="91" t="s">
        <v>374</v>
      </c>
      <c r="I40" s="93" t="s">
        <v>398</v>
      </c>
      <c r="J40" s="93" t="s">
        <v>399</v>
      </c>
      <c r="K40" s="88" t="s">
        <v>393</v>
      </c>
      <c r="L40" s="88" t="s">
        <v>198</v>
      </c>
      <c r="M40" s="86" t="s">
        <v>394</v>
      </c>
      <c r="N40" s="86" t="s">
        <v>395</v>
      </c>
      <c r="O40" s="88" t="s">
        <v>396</v>
      </c>
      <c r="P40" s="88" t="s">
        <v>397</v>
      </c>
      <c r="Q40" s="88" t="s">
        <v>374</v>
      </c>
      <c r="R40" s="86" t="s">
        <v>398</v>
      </c>
      <c r="S40" s="86" t="s">
        <v>399</v>
      </c>
      <c r="T40"/>
      <c r="U40"/>
      <c r="V40"/>
      <c r="W40"/>
      <c r="X40"/>
      <c r="Y40"/>
      <c r="Z40"/>
      <c r="AA40"/>
      <c r="AB40"/>
      <c r="AC40"/>
    </row>
    <row r="41" spans="1:29" x14ac:dyDescent="0.25">
      <c r="A41" s="6">
        <v>1</v>
      </c>
      <c r="B41" s="352">
        <f t="shared" ref="B41:B48" si="16">B111/12</f>
        <v>0</v>
      </c>
      <c r="C41" s="301">
        <f t="shared" ref="C41:C48" si="17">D111</f>
        <v>0</v>
      </c>
      <c r="D41" s="298" t="str" cm="1">
        <f t="array" ref="D41">_xlfn.IFS(B41&gt;C41,"Yes",B41&lt;C41,"No", B41=0,"NA")</f>
        <v>NA</v>
      </c>
      <c r="E41" s="173" t="str">
        <f>IFERROR(C41/B41,"NA")</f>
        <v>NA</v>
      </c>
      <c r="F41" s="170">
        <f>F111</f>
        <v>0</v>
      </c>
      <c r="G41" s="170">
        <f>F124</f>
        <v>0</v>
      </c>
      <c r="H41" s="170">
        <f t="shared" ref="H41:H48" si="18">L111</f>
        <v>0</v>
      </c>
      <c r="I41" s="298" t="str" cm="1">
        <f t="array" ref="I41">_xlfn.IFS(F41&gt;H41,"Yes",F41&lt;H41,"No",F41=0,"NA",F41=H41,"Equal")</f>
        <v>NA</v>
      </c>
      <c r="J41" s="298" t="str">
        <f>IFERROR(IF(AND((ABS(F41-G41)&lt;1)),"Yes","No"),"NA")</f>
        <v>Yes</v>
      </c>
      <c r="K41" s="8">
        <f t="shared" ref="K41:K48" si="19">C111/12</f>
        <v>0</v>
      </c>
      <c r="L41" s="8">
        <f t="shared" ref="L41:L48" si="20">E111</f>
        <v>0</v>
      </c>
      <c r="M41" s="298" t="str" cm="1">
        <f t="array" ref="M41">_xlfn.IFS(K41&gt;L41,"Yes",K41&lt;L41,"No",K41=0,"NA")</f>
        <v>NA</v>
      </c>
      <c r="N41" s="173" t="str">
        <f>IFERROR(L41/K41,"NA")</f>
        <v>NA</v>
      </c>
      <c r="O41" s="170">
        <f>G111</f>
        <v>0</v>
      </c>
      <c r="P41" s="170">
        <f>G124</f>
        <v>0</v>
      </c>
      <c r="Q41" s="170">
        <f t="shared" ref="Q41:Q48" si="21">M111</f>
        <v>0</v>
      </c>
      <c r="R41" s="298" t="str" cm="1">
        <f t="array" ref="R41">_xlfn.IFS(O41&gt;Q41,"Yes",O41&lt;Q41,"No",O41=0,"NA",O41=Q41,"Equal")</f>
        <v>NA</v>
      </c>
      <c r="S41" s="298" t="str">
        <f>IFERROR(IF(AND((ABS(O41-P41)&lt;1)),"Yes","No"),"NA")</f>
        <v>Yes</v>
      </c>
      <c r="T41"/>
      <c r="U41"/>
      <c r="V41"/>
      <c r="W41"/>
      <c r="X41"/>
      <c r="Y41"/>
      <c r="Z41"/>
      <c r="AA41"/>
      <c r="AB41"/>
      <c r="AC41"/>
    </row>
    <row r="42" spans="1:29" x14ac:dyDescent="0.25">
      <c r="A42" s="6">
        <v>2</v>
      </c>
      <c r="B42" s="352">
        <f t="shared" si="16"/>
        <v>0</v>
      </c>
      <c r="C42" s="301">
        <f t="shared" si="17"/>
        <v>0</v>
      </c>
      <c r="D42" s="298" t="str" cm="1">
        <f t="array" ref="D42">_xlfn.IFS(B42&gt;C42,"Yes",B42&lt;C42,"No", B42=0,"NA")</f>
        <v>NA</v>
      </c>
      <c r="E42" s="173" t="str">
        <f t="shared" ref="E42:E48" si="22">IFERROR(C42/B42,"NA")</f>
        <v>NA</v>
      </c>
      <c r="F42" s="170">
        <f t="shared" ref="F42:F47" si="23">F112</f>
        <v>0</v>
      </c>
      <c r="G42" s="170">
        <f t="shared" ref="G42:G47" si="24">F125</f>
        <v>0</v>
      </c>
      <c r="H42" s="170">
        <f t="shared" si="18"/>
        <v>0</v>
      </c>
      <c r="I42" s="298" t="str" cm="1">
        <f t="array" ref="I42">_xlfn.IFS(F42&gt;H42,"Yes",F42&lt;H42,"No",F42=0,"NA",F42=H42,"Equal")</f>
        <v>NA</v>
      </c>
      <c r="J42" s="298" t="str">
        <f t="shared" ref="J42:J48" si="25">IFERROR(IF(AND((ABS(F42-G42)&lt;1)),"Yes","No"),"NA")</f>
        <v>Yes</v>
      </c>
      <c r="K42" s="8">
        <f t="shared" si="19"/>
        <v>0</v>
      </c>
      <c r="L42" s="8">
        <f t="shared" si="20"/>
        <v>0</v>
      </c>
      <c r="M42" s="298" t="str" cm="1">
        <f t="array" ref="M42">_xlfn.IFS(K42&gt;L42,"Yes",K42&lt;L42,"No",K42=0,"NA")</f>
        <v>NA</v>
      </c>
      <c r="N42" s="173" t="str">
        <f t="shared" ref="N42:N48" si="26">IFERROR(L42/K42,"NA")</f>
        <v>NA</v>
      </c>
      <c r="O42" s="170">
        <f t="shared" ref="O42:O48" si="27">G112</f>
        <v>0</v>
      </c>
      <c r="P42" s="170">
        <f t="shared" ref="P42:P43" si="28">G125</f>
        <v>0</v>
      </c>
      <c r="Q42" s="170">
        <f t="shared" si="21"/>
        <v>0</v>
      </c>
      <c r="R42" s="298" t="str" cm="1">
        <f t="array" ref="R42">_xlfn.IFS(O42&gt;Q42,"Yes",O42&lt;Q42,"No",O42=0,"NA",O42=Q42,"Equal")</f>
        <v>NA</v>
      </c>
      <c r="S42" s="298" t="str">
        <f t="shared" ref="S42:S48" si="29">IFERROR(IF(AND((ABS(O42-P42)&lt;1)),"Yes","No"),"NA")</f>
        <v>Yes</v>
      </c>
      <c r="T42"/>
      <c r="U42"/>
      <c r="V42"/>
      <c r="W42"/>
      <c r="X42"/>
      <c r="Y42"/>
      <c r="Z42"/>
      <c r="AA42"/>
      <c r="AB42"/>
      <c r="AC42"/>
    </row>
    <row r="43" spans="1:29" x14ac:dyDescent="0.25">
      <c r="A43" s="6">
        <v>3</v>
      </c>
      <c r="B43" s="352">
        <f t="shared" si="16"/>
        <v>0</v>
      </c>
      <c r="C43" s="301">
        <f t="shared" si="17"/>
        <v>0</v>
      </c>
      <c r="D43" s="298" t="str" cm="1">
        <f t="array" ref="D43">_xlfn.IFS(B43&gt;C43,"Yes",B43&lt;C43,"No", B43=0,"NA")</f>
        <v>NA</v>
      </c>
      <c r="E43" s="173" t="str">
        <f t="shared" si="22"/>
        <v>NA</v>
      </c>
      <c r="F43" s="170">
        <f t="shared" si="23"/>
        <v>0</v>
      </c>
      <c r="G43" s="170">
        <f t="shared" si="24"/>
        <v>0</v>
      </c>
      <c r="H43" s="170">
        <f t="shared" si="18"/>
        <v>0</v>
      </c>
      <c r="I43" s="298" t="str" cm="1">
        <f t="array" ref="I43">_xlfn.IFS(F43&gt;H43,"Yes",F43&lt;H43,"No",F43=0,"NA",F43=H43,"Equal")</f>
        <v>NA</v>
      </c>
      <c r="J43" s="298" t="str">
        <f t="shared" si="25"/>
        <v>Yes</v>
      </c>
      <c r="K43" s="8">
        <f t="shared" si="19"/>
        <v>0</v>
      </c>
      <c r="L43" s="8">
        <f t="shared" si="20"/>
        <v>0</v>
      </c>
      <c r="M43" s="298" t="str" cm="1">
        <f t="array" ref="M43">_xlfn.IFS(K43&gt;L43,"Yes",K43&lt;L43,"No",K43=0,"NA")</f>
        <v>NA</v>
      </c>
      <c r="N43" s="173" t="str">
        <f t="shared" si="26"/>
        <v>NA</v>
      </c>
      <c r="O43" s="170">
        <f t="shared" si="27"/>
        <v>0</v>
      </c>
      <c r="P43" s="170">
        <f t="shared" si="28"/>
        <v>0</v>
      </c>
      <c r="Q43" s="170">
        <f t="shared" si="21"/>
        <v>0</v>
      </c>
      <c r="R43" s="298" t="str" cm="1">
        <f t="array" ref="R43">_xlfn.IFS(O43&gt;Q43,"Yes",O43&lt;Q43,"No",O43=0,"NA",O43=Q43,"Equal")</f>
        <v>NA</v>
      </c>
      <c r="S43" s="298" t="str">
        <f t="shared" si="29"/>
        <v>Yes</v>
      </c>
      <c r="T43"/>
      <c r="U43"/>
      <c r="V43"/>
      <c r="W43"/>
      <c r="X43"/>
      <c r="Y43"/>
      <c r="Z43"/>
      <c r="AA43"/>
      <c r="AB43"/>
      <c r="AC43"/>
    </row>
    <row r="44" spans="1:29" x14ac:dyDescent="0.25">
      <c r="A44" s="6">
        <v>4</v>
      </c>
      <c r="B44" s="352">
        <f t="shared" si="16"/>
        <v>0</v>
      </c>
      <c r="C44" s="301">
        <f t="shared" si="17"/>
        <v>0</v>
      </c>
      <c r="D44" s="298" t="str" cm="1">
        <f t="array" ref="D44">_xlfn.IFS(B44&gt;C44,"Yes",B44&lt;C44,"No", B44=0,"NA")</f>
        <v>NA</v>
      </c>
      <c r="E44" s="173" t="str">
        <f t="shared" si="22"/>
        <v>NA</v>
      </c>
      <c r="F44" s="170">
        <f t="shared" si="23"/>
        <v>0</v>
      </c>
      <c r="G44" s="170">
        <f t="shared" si="24"/>
        <v>0</v>
      </c>
      <c r="H44" s="170">
        <f t="shared" si="18"/>
        <v>0</v>
      </c>
      <c r="I44" s="298" t="str" cm="1">
        <f t="array" ref="I44">_xlfn.IFS(F44&gt;H44,"Yes",F44&lt;H44,"No",F44=0,"NA",F44=H44,"Equal")</f>
        <v>NA</v>
      </c>
      <c r="J44" s="298" t="str">
        <f t="shared" si="25"/>
        <v>Yes</v>
      </c>
      <c r="K44" s="8">
        <f t="shared" si="19"/>
        <v>0</v>
      </c>
      <c r="L44" s="8">
        <f t="shared" si="20"/>
        <v>0</v>
      </c>
      <c r="M44" s="298" t="str" cm="1">
        <f t="array" ref="M44">_xlfn.IFS(K44&gt;L44,"Yes",K44&lt;L44,"No",K44=0,"NA")</f>
        <v>NA</v>
      </c>
      <c r="N44" s="173" t="str">
        <f t="shared" si="26"/>
        <v>NA</v>
      </c>
      <c r="O44" s="170">
        <f t="shared" si="27"/>
        <v>0</v>
      </c>
      <c r="P44" s="170">
        <f>G127</f>
        <v>0</v>
      </c>
      <c r="Q44" s="170">
        <f t="shared" si="21"/>
        <v>0</v>
      </c>
      <c r="R44" s="298" t="str" cm="1">
        <f t="array" ref="R44">_xlfn.IFS(O44&gt;Q44,"Yes",O44&lt;Q44,"No",O44=0,"NA",O44=Q44,"Equal")</f>
        <v>NA</v>
      </c>
      <c r="S44" s="298" t="str">
        <f t="shared" si="29"/>
        <v>Yes</v>
      </c>
      <c r="T44"/>
      <c r="U44"/>
      <c r="V44"/>
      <c r="W44"/>
      <c r="X44"/>
      <c r="Y44"/>
      <c r="Z44"/>
      <c r="AA44"/>
      <c r="AB44"/>
      <c r="AC44"/>
    </row>
    <row r="45" spans="1:29" x14ac:dyDescent="0.25">
      <c r="A45" s="6">
        <v>5</v>
      </c>
      <c r="B45" s="352">
        <f t="shared" si="16"/>
        <v>0</v>
      </c>
      <c r="C45" s="301">
        <f t="shared" si="17"/>
        <v>0</v>
      </c>
      <c r="D45" s="298" t="str" cm="1">
        <f t="array" ref="D45">_xlfn.IFS(B45&gt;C45,"Yes",B45&lt;C45,"No", B45=0,"NA")</f>
        <v>NA</v>
      </c>
      <c r="E45" s="173" t="str">
        <f t="shared" si="22"/>
        <v>NA</v>
      </c>
      <c r="F45" s="170">
        <f t="shared" si="23"/>
        <v>0</v>
      </c>
      <c r="G45" s="170">
        <f t="shared" si="24"/>
        <v>0</v>
      </c>
      <c r="H45" s="170">
        <f t="shared" si="18"/>
        <v>0</v>
      </c>
      <c r="I45" s="298" t="str" cm="1">
        <f t="array" ref="I45">_xlfn.IFS(F45&gt;H45,"Yes",F45&lt;H45,"No",F45=0,"NA",F45=H45,"Equal")</f>
        <v>NA</v>
      </c>
      <c r="J45" s="298" t="str">
        <f t="shared" si="25"/>
        <v>Yes</v>
      </c>
      <c r="K45" s="8">
        <f t="shared" si="19"/>
        <v>0</v>
      </c>
      <c r="L45" s="8">
        <f t="shared" si="20"/>
        <v>0</v>
      </c>
      <c r="M45" s="298" t="str" cm="1">
        <f t="array" ref="M45">_xlfn.IFS(K45&gt;L45,"Yes",K45&lt;L45,"No",K45=0,"NA")</f>
        <v>NA</v>
      </c>
      <c r="N45" s="173" t="str">
        <f t="shared" si="26"/>
        <v>NA</v>
      </c>
      <c r="O45" s="170">
        <f t="shared" si="27"/>
        <v>0</v>
      </c>
      <c r="P45" s="170">
        <f t="shared" ref="P45:P48" si="30">G128</f>
        <v>0</v>
      </c>
      <c r="Q45" s="170">
        <f t="shared" si="21"/>
        <v>0</v>
      </c>
      <c r="R45" s="298" t="str" cm="1">
        <f t="array" ref="R45">_xlfn.IFS(O45&gt;Q45,"Yes",O45&lt;Q45,"No",O45=0,"NA",O45=Q45,"Equal")</f>
        <v>NA</v>
      </c>
      <c r="S45" s="298" t="str">
        <f t="shared" si="29"/>
        <v>Yes</v>
      </c>
      <c r="T45"/>
      <c r="U45"/>
      <c r="V45"/>
      <c r="W45"/>
      <c r="X45"/>
      <c r="Y45"/>
      <c r="Z45"/>
      <c r="AA45"/>
      <c r="AB45"/>
      <c r="AC45"/>
    </row>
    <row r="46" spans="1:29" x14ac:dyDescent="0.25">
      <c r="A46" s="6">
        <v>6</v>
      </c>
      <c r="B46" s="352">
        <f t="shared" si="16"/>
        <v>0</v>
      </c>
      <c r="C46" s="301">
        <f t="shared" si="17"/>
        <v>0</v>
      </c>
      <c r="D46" s="298" t="str" cm="1">
        <f t="array" ref="D46">_xlfn.IFS(B46&gt;C46,"Yes",B46&lt;C46,"No", B46=0,"NA")</f>
        <v>NA</v>
      </c>
      <c r="E46" s="173" t="str">
        <f t="shared" si="22"/>
        <v>NA</v>
      </c>
      <c r="F46" s="170">
        <f t="shared" si="23"/>
        <v>0</v>
      </c>
      <c r="G46" s="170">
        <f t="shared" si="24"/>
        <v>0</v>
      </c>
      <c r="H46" s="170">
        <f t="shared" si="18"/>
        <v>0</v>
      </c>
      <c r="I46" s="298" t="str" cm="1">
        <f t="array" ref="I46">_xlfn.IFS(F46&gt;H46,"Yes",F46&lt;H46,"No",F46=0,"NA",F46=H46,"Equal")</f>
        <v>NA</v>
      </c>
      <c r="J46" s="298" t="str">
        <f t="shared" si="25"/>
        <v>Yes</v>
      </c>
      <c r="K46" s="8">
        <f t="shared" si="19"/>
        <v>0</v>
      </c>
      <c r="L46" s="8">
        <f t="shared" si="20"/>
        <v>0</v>
      </c>
      <c r="M46" s="298" t="str" cm="1">
        <f t="array" ref="M46">_xlfn.IFS(K46&gt;L46,"Yes",K46&lt;L46,"No",K46=0,"NA")</f>
        <v>NA</v>
      </c>
      <c r="N46" s="173" t="str">
        <f t="shared" si="26"/>
        <v>NA</v>
      </c>
      <c r="O46" s="170">
        <f t="shared" si="27"/>
        <v>0</v>
      </c>
      <c r="P46" s="170">
        <f t="shared" si="30"/>
        <v>0</v>
      </c>
      <c r="Q46" s="170">
        <f t="shared" si="21"/>
        <v>0</v>
      </c>
      <c r="R46" s="298" t="str" cm="1">
        <f t="array" ref="R46">_xlfn.IFS(O46&gt;Q46,"Yes",O46&lt;Q46,"No",O46=0,"NA",O46=Q46,"Equal")</f>
        <v>NA</v>
      </c>
      <c r="S46" s="298" t="str">
        <f t="shared" si="29"/>
        <v>Yes</v>
      </c>
      <c r="T46"/>
      <c r="U46"/>
      <c r="V46"/>
      <c r="W46"/>
      <c r="X46"/>
      <c r="Y46"/>
      <c r="Z46"/>
      <c r="AA46"/>
      <c r="AB46"/>
      <c r="AC46"/>
    </row>
    <row r="47" spans="1:29" x14ac:dyDescent="0.25">
      <c r="A47" s="6">
        <v>7</v>
      </c>
      <c r="B47" s="352">
        <f t="shared" si="16"/>
        <v>0</v>
      </c>
      <c r="C47" s="301">
        <f t="shared" si="17"/>
        <v>0</v>
      </c>
      <c r="D47" s="298" t="str" cm="1">
        <f t="array" ref="D47">_xlfn.IFS(B47&gt;C47,"Yes",B47&lt;C47,"No", B47=0,"NA")</f>
        <v>NA</v>
      </c>
      <c r="E47" s="173" t="str">
        <f t="shared" si="22"/>
        <v>NA</v>
      </c>
      <c r="F47" s="170">
        <f t="shared" si="23"/>
        <v>0</v>
      </c>
      <c r="G47" s="170">
        <f t="shared" si="24"/>
        <v>0</v>
      </c>
      <c r="H47" s="170">
        <f t="shared" si="18"/>
        <v>0</v>
      </c>
      <c r="I47" s="298" t="str" cm="1">
        <f t="array" ref="I47">_xlfn.IFS(F47&gt;H47,"Yes",F47&lt;H47,"No",F47=0,"NA",F47=H47,"Equal")</f>
        <v>NA</v>
      </c>
      <c r="J47" s="298" t="str">
        <f t="shared" si="25"/>
        <v>Yes</v>
      </c>
      <c r="K47" s="8">
        <f t="shared" si="19"/>
        <v>0</v>
      </c>
      <c r="L47" s="8">
        <f t="shared" si="20"/>
        <v>0</v>
      </c>
      <c r="M47" s="298" t="str" cm="1">
        <f t="array" ref="M47">_xlfn.IFS(K47&gt;L47,"Yes",K47&lt;L47,"No",K47=0,"NA")</f>
        <v>NA</v>
      </c>
      <c r="N47" s="173" t="str">
        <f t="shared" si="26"/>
        <v>NA</v>
      </c>
      <c r="O47" s="170">
        <f t="shared" si="27"/>
        <v>0</v>
      </c>
      <c r="P47" s="170">
        <f t="shared" si="30"/>
        <v>0</v>
      </c>
      <c r="Q47" s="170">
        <f t="shared" si="21"/>
        <v>0</v>
      </c>
      <c r="R47" s="298" t="str" cm="1">
        <f t="array" ref="R47">_xlfn.IFS(O47&gt;Q47,"Yes",O47&lt;Q47,"No",O47=0,"NA",O47=Q47,"Equal")</f>
        <v>NA</v>
      </c>
      <c r="S47" s="298" t="str">
        <f t="shared" si="29"/>
        <v>Yes</v>
      </c>
      <c r="T47"/>
      <c r="U47"/>
      <c r="V47"/>
      <c r="W47"/>
      <c r="X47"/>
      <c r="Y47"/>
      <c r="Z47"/>
      <c r="AA47"/>
      <c r="AB47"/>
      <c r="AC47"/>
    </row>
    <row r="48" spans="1:29" x14ac:dyDescent="0.25">
      <c r="A48" s="6">
        <v>8</v>
      </c>
      <c r="B48" s="352">
        <f t="shared" si="16"/>
        <v>0</v>
      </c>
      <c r="C48" s="301">
        <f t="shared" si="17"/>
        <v>0</v>
      </c>
      <c r="D48" s="298" t="str" cm="1">
        <f t="array" ref="D48">_xlfn.IFS(B48&gt;C48,"Yes",B48&lt;C48,"No", B48=0,"NA")</f>
        <v>NA</v>
      </c>
      <c r="E48" s="173" t="str">
        <f t="shared" si="22"/>
        <v>NA</v>
      </c>
      <c r="F48" s="170">
        <f>F118</f>
        <v>0</v>
      </c>
      <c r="G48" s="170">
        <f>F131</f>
        <v>0</v>
      </c>
      <c r="H48" s="170">
        <f t="shared" si="18"/>
        <v>0</v>
      </c>
      <c r="I48" s="298" t="str" cm="1">
        <f t="array" ref="I48">_xlfn.IFS(F48&gt;H48,"Yes",F48&lt;H48,"No",F48=0,"NA",F48=H48,"Equal")</f>
        <v>NA</v>
      </c>
      <c r="J48" s="298" t="str">
        <f t="shared" si="25"/>
        <v>Yes</v>
      </c>
      <c r="K48" s="8">
        <f t="shared" si="19"/>
        <v>0</v>
      </c>
      <c r="L48" s="8">
        <f t="shared" si="20"/>
        <v>0</v>
      </c>
      <c r="M48" s="298" t="str" cm="1">
        <f t="array" ref="M48">_xlfn.IFS(K48&gt;L48,"Yes",K48&lt;L48,"No",K48=0,"NA")</f>
        <v>NA</v>
      </c>
      <c r="N48" s="173" t="str">
        <f t="shared" si="26"/>
        <v>NA</v>
      </c>
      <c r="O48" s="170">
        <f t="shared" si="27"/>
        <v>0</v>
      </c>
      <c r="P48" s="170">
        <f t="shared" si="30"/>
        <v>0</v>
      </c>
      <c r="Q48" s="170">
        <f t="shared" si="21"/>
        <v>0</v>
      </c>
      <c r="R48" s="298" t="str" cm="1">
        <f t="array" ref="R48">_xlfn.IFS(O48&gt;Q48,"Yes",O48&lt;Q48,"No",O48=0,"NA",O48=Q48,"Equal")</f>
        <v>NA</v>
      </c>
      <c r="S48" s="298" t="str">
        <f t="shared" si="29"/>
        <v>Yes</v>
      </c>
      <c r="T48"/>
      <c r="U48"/>
      <c r="V48"/>
      <c r="W48"/>
      <c r="X48"/>
      <c r="Y48"/>
      <c r="Z48"/>
      <c r="AA48"/>
      <c r="AB48"/>
      <c r="AC48"/>
    </row>
    <row r="49" spans="1:29" x14ac:dyDescent="0.25">
      <c r="A49"/>
      <c r="B49"/>
      <c r="C49"/>
      <c r="D49"/>
      <c r="E49"/>
      <c r="F49"/>
      <c r="G49"/>
      <c r="H49"/>
      <c r="I49"/>
      <c r="J49"/>
      <c r="K49"/>
      <c r="L49"/>
      <c r="M49"/>
      <c r="N49"/>
      <c r="O49"/>
      <c r="P49"/>
      <c r="Q49"/>
      <c r="R49"/>
      <c r="S49"/>
      <c r="T49"/>
      <c r="U49"/>
      <c r="V49"/>
      <c r="W49"/>
      <c r="X49"/>
      <c r="Y49"/>
      <c r="Z49"/>
      <c r="AA49"/>
      <c r="AB49"/>
      <c r="AC49"/>
    </row>
    <row r="50" spans="1:29" x14ac:dyDescent="0.25">
      <c r="A50"/>
      <c r="B50"/>
      <c r="C50"/>
      <c r="D50"/>
      <c r="E50"/>
      <c r="F50"/>
      <c r="G50"/>
      <c r="H50"/>
      <c r="I50"/>
      <c r="J50"/>
      <c r="K50"/>
      <c r="L50"/>
      <c r="M50"/>
      <c r="N50"/>
      <c r="O50"/>
      <c r="P50"/>
      <c r="Q50"/>
      <c r="R50"/>
      <c r="S50"/>
      <c r="T50"/>
      <c r="U50"/>
      <c r="V50"/>
      <c r="W50"/>
      <c r="X50"/>
      <c r="Y50"/>
      <c r="Z50"/>
      <c r="AA50"/>
      <c r="AB50"/>
      <c r="AC50"/>
    </row>
    <row r="51" spans="1:29" x14ac:dyDescent="0.25">
      <c r="A51" s="3" t="s">
        <v>400</v>
      </c>
      <c r="B51"/>
      <c r="C51"/>
      <c r="D51"/>
      <c r="E51"/>
      <c r="F51"/>
      <c r="G51"/>
      <c r="H51"/>
      <c r="I51"/>
      <c r="J51"/>
      <c r="K51"/>
      <c r="L51"/>
      <c r="M51"/>
      <c r="N51"/>
      <c r="O51"/>
      <c r="P51"/>
      <c r="Q51"/>
      <c r="R51"/>
      <c r="S51"/>
      <c r="T51"/>
      <c r="U51"/>
      <c r="V51"/>
      <c r="W51"/>
      <c r="X51"/>
      <c r="Y51"/>
      <c r="Z51"/>
      <c r="AA51"/>
      <c r="AB51"/>
      <c r="AC51"/>
    </row>
    <row r="52" spans="1:29" x14ac:dyDescent="0.25">
      <c r="A52" s="685" t="s">
        <v>401</v>
      </c>
      <c r="B52" s="685"/>
      <c r="C52" s="685"/>
      <c r="D52" s="685"/>
      <c r="E52" s="685"/>
      <c r="F52" s="685"/>
      <c r="G52" s="685"/>
      <c r="H52" s="685"/>
      <c r="I52" s="685"/>
      <c r="J52" s="685"/>
      <c r="K52" s="685"/>
      <c r="L52" s="685"/>
      <c r="M52" s="685"/>
      <c r="N52" s="685"/>
      <c r="O52" s="685"/>
      <c r="P52" s="685"/>
      <c r="Q52" s="685"/>
      <c r="R52" s="685"/>
      <c r="S52" s="685"/>
      <c r="T52" s="685"/>
      <c r="U52" s="685"/>
      <c r="V52"/>
      <c r="W52"/>
      <c r="X52"/>
      <c r="Y52"/>
      <c r="Z52"/>
      <c r="AA52"/>
      <c r="AB52"/>
      <c r="AC52"/>
    </row>
    <row r="53" spans="1:29" s="300" customFormat="1" ht="30" customHeight="1" x14ac:dyDescent="0.25">
      <c r="A53" s="686" t="s">
        <v>495</v>
      </c>
      <c r="B53" s="686"/>
      <c r="C53" s="686"/>
      <c r="D53" s="686"/>
      <c r="E53" s="686"/>
      <c r="F53" s="686"/>
      <c r="G53" s="686"/>
      <c r="H53" s="686"/>
      <c r="I53" s="686"/>
      <c r="J53" s="686"/>
      <c r="K53" s="686"/>
      <c r="L53" s="686"/>
      <c r="M53" s="686"/>
      <c r="N53" s="686"/>
      <c r="O53" s="686"/>
      <c r="P53" s="686"/>
      <c r="Q53" s="686"/>
      <c r="R53" s="686"/>
      <c r="S53" s="686"/>
      <c r="T53" s="686"/>
      <c r="U53" s="686"/>
      <c r="V53" s="299"/>
      <c r="W53" s="299"/>
      <c r="X53" s="299"/>
      <c r="Y53" s="299"/>
      <c r="Z53" s="299"/>
      <c r="AA53" s="299"/>
      <c r="AB53" s="299"/>
      <c r="AC53" s="299"/>
    </row>
    <row r="54" spans="1:29" x14ac:dyDescent="0.25">
      <c r="A54" s="659" t="s">
        <v>61</v>
      </c>
      <c r="B54" s="664">
        <v>2022</v>
      </c>
      <c r="C54" s="665"/>
      <c r="D54" s="665"/>
      <c r="E54" s="665"/>
      <c r="F54" s="665"/>
      <c r="G54" s="665"/>
      <c r="H54" s="665"/>
      <c r="I54" s="665"/>
      <c r="J54" s="665"/>
      <c r="K54" s="666"/>
      <c r="L54" s="683">
        <v>2023</v>
      </c>
      <c r="M54" s="684"/>
      <c r="N54" s="684"/>
      <c r="O54" s="684"/>
      <c r="P54" s="684"/>
      <c r="Q54" s="684"/>
      <c r="R54" s="684"/>
      <c r="S54" s="684"/>
      <c r="T54" s="684"/>
      <c r="U54" s="684"/>
      <c r="V54"/>
      <c r="W54"/>
      <c r="X54"/>
      <c r="Y54"/>
      <c r="Z54"/>
      <c r="AA54"/>
      <c r="AB54"/>
      <c r="AC54"/>
    </row>
    <row r="55" spans="1:29" ht="73.5" customHeight="1" x14ac:dyDescent="0.25">
      <c r="A55" s="659"/>
      <c r="B55" s="90" t="s">
        <v>403</v>
      </c>
      <c r="C55" s="91" t="s">
        <v>404</v>
      </c>
      <c r="D55" s="91" t="s">
        <v>405</v>
      </c>
      <c r="E55" s="91" t="s">
        <v>406</v>
      </c>
      <c r="F55" s="91" t="s">
        <v>407</v>
      </c>
      <c r="G55" s="91" t="s">
        <v>408</v>
      </c>
      <c r="H55" s="91" t="s">
        <v>409</v>
      </c>
      <c r="I55" s="91" t="s">
        <v>410</v>
      </c>
      <c r="J55" s="91" t="s">
        <v>411</v>
      </c>
      <c r="K55" s="92" t="s">
        <v>412</v>
      </c>
      <c r="L55" s="87" t="s">
        <v>403</v>
      </c>
      <c r="M55" s="88" t="s">
        <v>404</v>
      </c>
      <c r="N55" s="88" t="s">
        <v>405</v>
      </c>
      <c r="O55" s="88" t="s">
        <v>406</v>
      </c>
      <c r="P55" s="88" t="s">
        <v>407</v>
      </c>
      <c r="Q55" s="88" t="s">
        <v>408</v>
      </c>
      <c r="R55" s="88" t="s">
        <v>409</v>
      </c>
      <c r="S55" s="88" t="s">
        <v>410</v>
      </c>
      <c r="T55" s="88" t="s">
        <v>411</v>
      </c>
      <c r="U55" s="88" t="s">
        <v>412</v>
      </c>
      <c r="V55"/>
      <c r="W55"/>
      <c r="X55"/>
      <c r="Y55"/>
      <c r="Z55"/>
      <c r="AA55"/>
      <c r="AB55"/>
      <c r="AC55"/>
    </row>
    <row r="56" spans="1:29" x14ac:dyDescent="0.25">
      <c r="A56" s="53">
        <v>1</v>
      </c>
      <c r="B56" s="528" t="str">
        <f>IF(B111&lt;&gt;0,((SUMIFS(TM[[#All],[Claims: Hospital Inpatient]],TM[[#All],[Reporting Year]],2022,TM[[#All],[Insurance Category Code]],A56,TM[[#All],[Large Provider Entity Code]],100))/'Data Validation Checks 2022-23'!B111),"NA")</f>
        <v>NA</v>
      </c>
      <c r="C56" s="529" t="str">
        <f>IF(B111&lt;&gt;0,((SUMIFS(TM[[#All],[Claims: Hospital Outpatient]],TM[[#All],[Reporting Year]],2022,TM[[#All],[Insurance Category Code]],'Data Validation Checks 2022-23'!A56,TM[[#All],[Large Provider Entity Code]],100))/'Data Validation Checks 2022-23'!B111),"NA")</f>
        <v>NA</v>
      </c>
      <c r="D56" s="529" t="str">
        <f>IF(B111&lt;&gt;0,((SUMIFS(TM[[#All],[Claims: Professional, Primary Care Providers]],TM[[#All],[Reporting Year]],2022,TM[[#All],[Insurance Category Code]],'Data Validation Checks 2022-23'!A56,TM[[#All],[Large Provider Entity Code]],100))/'Data Validation Checks 2022-23'!B111),"NA")</f>
        <v>NA</v>
      </c>
      <c r="E56" s="529" t="str">
        <f>IF(B111&lt;&gt;0,((SUMIFS(TM[[#All],[Claims: Professional, Specialty Providers]],TM[[#All],[Reporting Year]],2022,TM[[#All],[Insurance Category Code]],'Data Validation Checks 2022-23'!A56,TM[[#All],[Large Provider Entity Code]],100))/'Data Validation Checks 2022-23'!B111),"NA")</f>
        <v>NA</v>
      </c>
      <c r="F56" s="529" t="str">
        <f>IF(B111&lt;&gt;0,((SUMIFS(TM[[#All],[Claims: Professional, Other Providers]],TM[[#All],[Reporting Year]],2022,TM[[#All],[Insurance Category Code]],'Data Validation Checks 2022-23'!A56,TM[[#All],[Large Provider Entity Code]],100))/'Data Validation Checks 2022-23'!B111),"NA")</f>
        <v>NA</v>
      </c>
      <c r="G56" s="7" t="str">
        <f>IF(B111&lt;&gt;0,((SUMIFS(TM[[#All],[Claims: Long-Term Care]],TM[[#All],[Reporting Year]],2022,TM[[#All],[Insurance Category Code]],'Data Validation Checks 2022-23'!A56,TM[[#All],[Large Provider Entity Code]],100))/'Data Validation Checks 2022-23'!B111),"NA")</f>
        <v>NA</v>
      </c>
      <c r="H56" s="7" t="str">
        <f>IF(B111&lt;&gt;0,((SUMIFS(TM[[#All],[Claims: Retail Pharmacy]],TM[[#All],[Reporting Year]],2022,TM[[#All],[Insurance Category Code]],'Data Validation Checks 2022-23'!A56,TM[[#All],[Large Provider Entity Code]],100))/'Data Validation Checks 2022-23'!B111),"NA")</f>
        <v>NA</v>
      </c>
      <c r="I56" s="7" t="str">
        <f>IF(B111&lt;&gt;0,((SUMIFS(TM[[#All],[Claims: Other]],TM[[#All],[Reporting Year]],2022,TM[[#All],[Insurance Category Code]],'Data Validation Checks 2022-23'!A56,TM[[#All],[Large Provider Entity Code]],100))/'Data Validation Checks 2022-23'!B111),"NA")</f>
        <v>NA</v>
      </c>
      <c r="J56" s="7" t="str">
        <f>IF(B111&lt;&gt;0,((SUMIFS(TM[[#All],[Total Non-Claims Spending]],TM[[#All],[Reporting Year]],2022,TM[[#All],[Insurance Category Code]],'Data Validation Checks 2022-23'!A56,TM[[#All],[Large Provider Entity Code]],100))/'Data Validation Checks 2022-23'!B111),"NA")</f>
        <v>NA</v>
      </c>
      <c r="K56" s="96" t="str">
        <f>IF(B111&lt;&gt;0,((SUMIFS(TM[[#All],[Total Non-Truncated Claims and Non-Claims Spending]],TM[[#All],[Reporting Year]],2022,TM[[#All],[Insurance Category Code]],'Data Validation Checks 2022-23'!A56,TM[[#All],[Large Provider Entity Code]],100))/'Data Validation Checks 2022-23'!B111),"NA")</f>
        <v>NA</v>
      </c>
      <c r="L56" s="185" t="str">
        <f>IF(C111&lt;&gt;0,((SUMIFS(TM[[#All],[Claims: Hospital Inpatient]],TM[[#All],[Reporting Year]],2023,TM[[#All],[Insurance Category Code]],'Data Validation Checks 2022-23'!A56,TM[[#All],[Large Provider Entity Code]],100))/'Data Validation Checks 2022-23'!C111),"NA")</f>
        <v>NA</v>
      </c>
      <c r="M56" s="7" t="str">
        <f>IF(C111&lt;&gt;0,((SUMIFS(TM[[#All],[Claims: Hospital Outpatient]],TM[[#All],[Reporting Year]],2023,TM[[#All],[Insurance Category Code]],'Data Validation Checks 2022-23'!A56,TM[[#All],[Large Provider Entity Code]],100))/'Data Validation Checks 2022-23'!C111),"NA")</f>
        <v>NA</v>
      </c>
      <c r="N56" s="7" t="str">
        <f>IF(C111&lt;&gt;0,((SUMIFS(TM[[#All],[Claims: Professional, Primary Care Providers]],TM[[#All],[Reporting Year]],2023,TM[[#All],[Insurance Category Code]],'Data Validation Checks 2022-23'!A56,TM[[#All],[Large Provider Entity Code]],100))/'Data Validation Checks 2022-23'!C111),"NA")</f>
        <v>NA</v>
      </c>
      <c r="O56" s="7" t="str">
        <f>IF(C111&lt;&gt;0,((SUMIFS(TM[[#All],[Claims: Professional, Specialty Providers]],TM[[#All],[Reporting Year]],2023,TM[[#All],[Insurance Category Code]],'Data Validation Checks 2022-23'!A56,TM[[#All],[Large Provider Entity Code]],100))/'Data Validation Checks 2022-23'!C111),"NA")</f>
        <v>NA</v>
      </c>
      <c r="P56" s="7" t="str">
        <f>IF(C111&lt;&gt;0,((SUMIFS(TM[[#All],[Claims: Professional, Other Providers]],TM[[#All],[Reporting Year]],2023,TM[[#All],[Insurance Category Code]],'Data Validation Checks 2022-23'!A56,TM[[#All],[Large Provider Entity Code]],100))/'Data Validation Checks 2022-23'!C111),"NA")</f>
        <v>NA</v>
      </c>
      <c r="Q56" s="7" t="str">
        <f>IF(C111&lt;&gt;0,((SUMIFS(TM[[#All],[Claims: Long-Term Care]],TM[[#All],[Reporting Year]],2023,TM[[#All],[Insurance Category Code]],'Data Validation Checks 2022-23'!A56,TM[[#All],[Large Provider Entity Code]],100))/'Data Validation Checks 2022-23'!C111),"NA")</f>
        <v>NA</v>
      </c>
      <c r="R56" s="7" t="str">
        <f>IF(C111&lt;&gt;0,((SUMIFS(TM[[#All],[Claims: Retail Pharmacy]],TM[[#All],[Reporting Year]],2023,TM[[#All],[Insurance Category Code]],'Data Validation Checks 2022-23'!A56,TM[[#All],[Large Provider Entity Code]],100))/'Data Validation Checks 2022-23'!C111),"NA")</f>
        <v>NA</v>
      </c>
      <c r="S56" s="7" t="str">
        <f>IF(C111&lt;&gt;0,((SUMIFS(TM[[#All],[Claims: Other]],TM[[#All],[Reporting Year]],2023,TM[[#All],[Insurance Category Code]],'Data Validation Checks 2022-23'!A56,TM[[#All],[Large Provider Entity Code]],100))/'Data Validation Checks 2022-23'!C111),"NA")</f>
        <v>NA</v>
      </c>
      <c r="T56" s="7" t="str">
        <f>IF(C111&lt;&gt;0,((SUMIFS(TM[[#All],[Total Non-Claims Spending]],TM[[#All],[Reporting Year]],2023,TM[[#All],[Insurance Category Code]],'Data Validation Checks 2022-23'!A56,TM[[#All],[Large Provider Entity Code]],100))/'Data Validation Checks 2022-23'!C111),"NA")</f>
        <v>NA</v>
      </c>
      <c r="U56" s="7" t="str">
        <f>IF(C111&lt;&gt;0,((SUMIFS(TM[[#All],[Total Non-Truncated Claims and Non-Claims Spending]],TM[[#All],[Reporting Year]],2023,TM[[#All],[Insurance Category Code]],'Data Validation Checks 2022-23'!A56,TM[[#All],[Large Provider Entity Code]],100))/'Data Validation Checks 2022-23'!C111),"NA")</f>
        <v>NA</v>
      </c>
      <c r="V56"/>
      <c r="W56"/>
      <c r="X56"/>
      <c r="Y56"/>
      <c r="Z56"/>
      <c r="AA56"/>
      <c r="AB56"/>
      <c r="AC56"/>
    </row>
    <row r="57" spans="1:29" x14ac:dyDescent="0.25">
      <c r="A57" s="53">
        <v>2</v>
      </c>
      <c r="B57" s="528" t="str">
        <f>IF(B112&lt;&gt;0,((SUMIFS(TM[[#All],[Claims: Hospital Inpatient]],TM[[#All],[Reporting Year]],2022,TM[[#All],[Insurance Category Code]],'Data Validation Checks 2022-23'!A57,TM[[#All],[Large Provider Entity Code]],100))/'Data Validation Checks 2022-23'!B112),"NA")</f>
        <v>NA</v>
      </c>
      <c r="C57" s="529" t="str">
        <f>IF(B112&lt;&gt;0,((SUMIFS(TM[[#All],[Claims: Hospital Outpatient]],TM[[#All],[Reporting Year]],2022,TM[[#All],[Insurance Category Code]],'Data Validation Checks 2022-23'!A57,TM[[#All],[Large Provider Entity Code]],100))/'Data Validation Checks 2022-23'!B112),"NA")</f>
        <v>NA</v>
      </c>
      <c r="D57" s="529" t="str">
        <f>IF(B112&lt;&gt;0,((SUMIFS(TM[[#All],[Claims: Professional, Primary Care Providers]],TM[[#All],[Reporting Year]],2022,TM[[#All],[Insurance Category Code]],'Data Validation Checks 2022-23'!A57,TM[[#All],[Large Provider Entity Code]],100))/'Data Validation Checks 2022-23'!B112),"NA")</f>
        <v>NA</v>
      </c>
      <c r="E57" s="529" t="str">
        <f>IF(B112&lt;&gt;0,((SUMIFS(TM[[#All],[Claims: Professional, Specialty Providers]],TM[[#All],[Reporting Year]],2022,TM[[#All],[Insurance Category Code]],'Data Validation Checks 2022-23'!A57,TM[[#All],[Large Provider Entity Code]],100))/'Data Validation Checks 2022-23'!B112),"NA")</f>
        <v>NA</v>
      </c>
      <c r="F57" s="529" t="str">
        <f>IF(B112&lt;&gt;0,((SUMIFS(TM[[#All],[Claims: Professional, Other Providers]],TM[[#All],[Reporting Year]],2022,TM[[#All],[Insurance Category Code]],'Data Validation Checks 2022-23'!A57,TM[[#All],[Large Provider Entity Code]],100))/'Data Validation Checks 2022-23'!B112),"NA")</f>
        <v>NA</v>
      </c>
      <c r="G57" s="7" t="str">
        <f>IF(B112&lt;&gt;0,((SUMIFS(TM[[#All],[Claims: Long-Term Care]],TM[[#All],[Reporting Year]],2022,TM[[#All],[Insurance Category Code]],'Data Validation Checks 2022-23'!A57,TM[[#All],[Large Provider Entity Code]],100))/'Data Validation Checks 2022-23'!B112),"NA")</f>
        <v>NA</v>
      </c>
      <c r="H57" s="7" t="str">
        <f>IF(B112&lt;&gt;0,((SUMIFS(TM[[#All],[Claims: Retail Pharmacy]],TM[[#All],[Reporting Year]],2022,TM[[#All],[Insurance Category Code]],'Data Validation Checks 2022-23'!A57,TM[[#All],[Large Provider Entity Code]],100))/'Data Validation Checks 2022-23'!B112),"NA")</f>
        <v>NA</v>
      </c>
      <c r="I57" s="7" t="str">
        <f>IF(B112&lt;&gt;0,((SUMIFS(TM[[#All],[Claims: Other]],TM[[#All],[Reporting Year]],2022,TM[[#All],[Insurance Category Code]],'Data Validation Checks 2022-23'!A57,TM[[#All],[Large Provider Entity Code]],100))/'Data Validation Checks 2022-23'!B112),"NA")</f>
        <v>NA</v>
      </c>
      <c r="J57" s="7" t="str">
        <f>IF(B112&lt;&gt;0,((SUMIFS(TM[[#All],[Total Non-Claims Spending]],TM[[#All],[Reporting Year]],2022,TM[[#All],[Insurance Category Code]],'Data Validation Checks 2022-23'!A57,TM[[#All],[Large Provider Entity Code]],100))/'Data Validation Checks 2022-23'!B112),"NA")</f>
        <v>NA</v>
      </c>
      <c r="K57" s="96" t="str">
        <f>IF(B112&lt;&gt;0,((SUMIFS(TM[[#All],[Total Non-Truncated Claims and Non-Claims Spending]],TM[[#All],[Reporting Year]],2022,TM[[#All],[Insurance Category Code]],'Data Validation Checks 2022-23'!A57,TM[[#All],[Large Provider Entity Code]],100))/'Data Validation Checks 2022-23'!B112),"NA")</f>
        <v>NA</v>
      </c>
      <c r="L57" s="185" t="str">
        <f>IF(C112&lt;&gt;0,((SUMIFS(TM[[#All],[Claims: Hospital Inpatient]],TM[[#All],[Reporting Year]],2023,TM[[#All],[Insurance Category Code]],'Data Validation Checks 2022-23'!A57,TM[[#All],[Large Provider Entity Code]],100))/'Data Validation Checks 2022-23'!C112),"NA")</f>
        <v>NA</v>
      </c>
      <c r="M57" s="7" t="str">
        <f>IF(C112&lt;&gt;0,((SUMIFS(TM[[#All],[Claims: Hospital Outpatient]],TM[[#All],[Reporting Year]],2023,TM[[#All],[Insurance Category Code]],'Data Validation Checks 2022-23'!A57,TM[[#All],[Large Provider Entity Code]],100))/'Data Validation Checks 2022-23'!C112),"NA")</f>
        <v>NA</v>
      </c>
      <c r="N57" s="7" t="str">
        <f>IF(C112&lt;&gt;0,((SUMIFS(TM[[#All],[Claims: Professional, Primary Care Providers]],TM[[#All],[Reporting Year]],2023,TM[[#All],[Insurance Category Code]],'Data Validation Checks 2022-23'!A57,TM[[#All],[Large Provider Entity Code]],100))/'Data Validation Checks 2022-23'!C112),"NA")</f>
        <v>NA</v>
      </c>
      <c r="O57" s="7" t="str">
        <f>IF(C112&lt;&gt;0,((SUMIFS(TM[[#All],[Claims: Professional, Specialty Providers]],TM[[#All],[Reporting Year]],2023,TM[[#All],[Insurance Category Code]],'Data Validation Checks 2022-23'!A57,TM[[#All],[Large Provider Entity Code]],100))/'Data Validation Checks 2022-23'!C112),"NA")</f>
        <v>NA</v>
      </c>
      <c r="P57" s="7" t="str">
        <f>IF(C112&lt;&gt;0,((SUMIFS(TM[[#All],[Claims: Professional, Other Providers]],TM[[#All],[Reporting Year]],2023,TM[[#All],[Insurance Category Code]],'Data Validation Checks 2022-23'!A57,TM[[#All],[Large Provider Entity Code]],100))/'Data Validation Checks 2022-23'!C112),"NA")</f>
        <v>NA</v>
      </c>
      <c r="Q57" s="7" t="str">
        <f>IF(C112&lt;&gt;0,((SUMIFS(TM[[#All],[Claims: Long-Term Care]],TM[[#All],[Reporting Year]],2023,TM[[#All],[Insurance Category Code]],'Data Validation Checks 2022-23'!A57,TM[[#All],[Large Provider Entity Code]],100))/'Data Validation Checks 2022-23'!C112),"NA")</f>
        <v>NA</v>
      </c>
      <c r="R57" s="7" t="str">
        <f>IF(C112&lt;&gt;0,((SUMIFS(TM[[#All],[Claims: Retail Pharmacy]],TM[[#All],[Reporting Year]],2023,TM[[#All],[Insurance Category Code]],'Data Validation Checks 2022-23'!A57,TM[[#All],[Large Provider Entity Code]],100))/'Data Validation Checks 2022-23'!C112),"NA")</f>
        <v>NA</v>
      </c>
      <c r="S57" s="7" t="str">
        <f>IF(C112&lt;&gt;0,((SUMIFS(TM[[#All],[Claims: Other]],TM[[#All],[Reporting Year]],2023,TM[[#All],[Insurance Category Code]],'Data Validation Checks 2022-23'!A57,TM[[#All],[Large Provider Entity Code]],100))/'Data Validation Checks 2022-23'!C112),"NA")</f>
        <v>NA</v>
      </c>
      <c r="T57" s="7" t="str">
        <f>IF(C112&lt;&gt;0,((SUMIFS(TM[[#All],[Total Non-Claims Spending]],TM[[#All],[Reporting Year]],2023,TM[[#All],[Insurance Category Code]],'Data Validation Checks 2022-23'!A57,TM[[#All],[Large Provider Entity Code]],100))/'Data Validation Checks 2022-23'!C112),"NA")</f>
        <v>NA</v>
      </c>
      <c r="U57" s="7" t="str">
        <f>IF(C112&lt;&gt;0,((SUMIFS(TM[[#All],[Total Non-Truncated Claims and Non-Claims Spending]],TM[[#All],[Reporting Year]],2023,TM[[#All],[Insurance Category Code]],'Data Validation Checks 2022-23'!A57,TM[[#All],[Large Provider Entity Code]],100))/'Data Validation Checks 2022-23'!C112),"NA")</f>
        <v>NA</v>
      </c>
      <c r="V57"/>
      <c r="W57"/>
      <c r="X57"/>
      <c r="Y57"/>
      <c r="Z57"/>
      <c r="AA57"/>
      <c r="AB57"/>
      <c r="AC57"/>
    </row>
    <row r="58" spans="1:29" x14ac:dyDescent="0.25">
      <c r="A58" s="53">
        <v>3</v>
      </c>
      <c r="B58" s="528" t="str">
        <f>IF(B113&lt;&gt;0,((SUMIFS(TM[[#All],[Claims: Hospital Inpatient]],TM[[#All],[Reporting Year]],2022,TM[[#All],[Insurance Category Code]],'Data Validation Checks 2022-23'!A58,TM[[#All],[Large Provider Entity Code]],100))/'Data Validation Checks 2022-23'!B113),"NA")</f>
        <v>NA</v>
      </c>
      <c r="C58" s="529" t="str">
        <f>IF(B113&lt;&gt;0,((SUMIFS(TM[[#All],[Claims: Hospital Outpatient]],TM[[#All],[Reporting Year]],2022,TM[[#All],[Insurance Category Code]],'Data Validation Checks 2022-23'!A58,TM[[#All],[Large Provider Entity Code]],100))/'Data Validation Checks 2022-23'!B113),"NA")</f>
        <v>NA</v>
      </c>
      <c r="D58" s="529" t="str">
        <f>IF(B113&lt;&gt;0,((SUMIFS(TM[[#All],[Claims: Professional, Primary Care Providers]],TM[[#All],[Reporting Year]],2022,TM[[#All],[Insurance Category Code]],'Data Validation Checks 2022-23'!A58,TM[[#All],[Large Provider Entity Code]],100))/'Data Validation Checks 2022-23'!B113),"NA")</f>
        <v>NA</v>
      </c>
      <c r="E58" s="529" t="str">
        <f>IF(B113&lt;&gt;0,((SUMIFS(TM[[#All],[Claims: Professional, Specialty Providers]],TM[[#All],[Reporting Year]],2022,TM[[#All],[Insurance Category Code]],'Data Validation Checks 2022-23'!A58,TM[[#All],[Large Provider Entity Code]],100))/'Data Validation Checks 2022-23'!B113),"NA")</f>
        <v>NA</v>
      </c>
      <c r="F58" s="529" t="str">
        <f>IF(B113&lt;&gt;0,((SUMIFS(TM[[#All],[Claims: Professional, Other Providers]],TM[[#All],[Reporting Year]],2022,TM[[#All],[Insurance Category Code]],'Data Validation Checks 2022-23'!A58,TM[[#All],[Large Provider Entity Code]],100))/'Data Validation Checks 2022-23'!B113),"NA")</f>
        <v>NA</v>
      </c>
      <c r="G58" s="7" t="str">
        <f>IF(B113&lt;&gt;0,((SUMIFS(TM[[#All],[Claims: Long-Term Care]],TM[[#All],[Reporting Year]],2022,TM[[#All],[Insurance Category Code]],'Data Validation Checks 2022-23'!A58,TM[[#All],[Large Provider Entity Code]],100))/'Data Validation Checks 2022-23'!B113),"NA")</f>
        <v>NA</v>
      </c>
      <c r="H58" s="7" t="str">
        <f>IF(B113&lt;&gt;0,((SUMIFS(TM[[#All],[Claims: Retail Pharmacy]],TM[[#All],[Reporting Year]],2022,TM[[#All],[Insurance Category Code]],'Data Validation Checks 2022-23'!A58,TM[[#All],[Large Provider Entity Code]],100))/'Data Validation Checks 2022-23'!B113),"NA")</f>
        <v>NA</v>
      </c>
      <c r="I58" s="7" t="str">
        <f>IF(B113&lt;&gt;0,((SUMIFS(TM[[#All],[Claims: Other]],TM[[#All],[Reporting Year]],2022,TM[[#All],[Insurance Category Code]],'Data Validation Checks 2022-23'!A58,TM[[#All],[Large Provider Entity Code]],100))/'Data Validation Checks 2022-23'!B113),"NA")</f>
        <v>NA</v>
      </c>
      <c r="J58" s="7" t="str">
        <f>IF(B113&lt;&gt;0,((SUMIFS(TM[[#All],[Total Non-Claims Spending]],TM[[#All],[Reporting Year]],2022,TM[[#All],[Insurance Category Code]],'Data Validation Checks 2022-23'!A58,TM[[#All],[Large Provider Entity Code]],100))/'Data Validation Checks 2022-23'!B113),"NA")</f>
        <v>NA</v>
      </c>
      <c r="K58" s="96" t="str">
        <f>IF(B113&lt;&gt;0,((SUMIFS(TM[[#All],[Total Non-Truncated Claims and Non-Claims Spending]],TM[[#All],[Reporting Year]],2022,TM[[#All],[Insurance Category Code]],'Data Validation Checks 2022-23'!A58,TM[[#All],[Large Provider Entity Code]],100))/'Data Validation Checks 2022-23'!B113),"NA")</f>
        <v>NA</v>
      </c>
      <c r="L58" s="185" t="str">
        <f>IF(C113&lt;&gt;0,((SUMIFS(TM[[#All],[Claims: Hospital Inpatient]],TM[[#All],[Reporting Year]],2023,TM[[#All],[Insurance Category Code]],'Data Validation Checks 2022-23'!A58,TM[[#All],[Large Provider Entity Code]],100))/'Data Validation Checks 2022-23'!C113),"NA")</f>
        <v>NA</v>
      </c>
      <c r="M58" s="7" t="str">
        <f>IF(C113&lt;&gt;0,((SUMIFS(TM[[#All],[Claims: Hospital Outpatient]],TM[[#All],[Reporting Year]],2023,TM[[#All],[Insurance Category Code]],'Data Validation Checks 2022-23'!A58,TM[[#All],[Large Provider Entity Code]],100))/'Data Validation Checks 2022-23'!C113),"NA")</f>
        <v>NA</v>
      </c>
      <c r="N58" s="7" t="str">
        <f>IF(C113&lt;&gt;0,((SUMIFS(TM[[#All],[Claims: Professional, Primary Care Providers]],TM[[#All],[Reporting Year]],2023,TM[[#All],[Insurance Category Code]],'Data Validation Checks 2022-23'!A58,TM[[#All],[Large Provider Entity Code]],100))/'Data Validation Checks 2022-23'!C113),"NA")</f>
        <v>NA</v>
      </c>
      <c r="O58" s="7" t="str">
        <f>IF(C113&lt;&gt;0,((SUMIFS(TM[[#All],[Claims: Professional, Specialty Providers]],TM[[#All],[Reporting Year]],2023,TM[[#All],[Insurance Category Code]],'Data Validation Checks 2022-23'!A58,TM[[#All],[Large Provider Entity Code]],100))/'Data Validation Checks 2022-23'!C113),"NA")</f>
        <v>NA</v>
      </c>
      <c r="P58" s="7" t="str">
        <f>IF(C113&lt;&gt;0,((SUMIFS(TM[[#All],[Claims: Professional, Other Providers]],TM[[#All],[Reporting Year]],2023,TM[[#All],[Insurance Category Code]],'Data Validation Checks 2022-23'!A58,TM[[#All],[Large Provider Entity Code]],100))/'Data Validation Checks 2022-23'!C113),"NA")</f>
        <v>NA</v>
      </c>
      <c r="Q58" s="7" t="str">
        <f>IF(C113&lt;&gt;0,((SUMIFS(TM[[#All],[Claims: Long-Term Care]],TM[[#All],[Reporting Year]],2023,TM[[#All],[Insurance Category Code]],'Data Validation Checks 2022-23'!A58,TM[[#All],[Large Provider Entity Code]],100))/'Data Validation Checks 2022-23'!C113),"NA")</f>
        <v>NA</v>
      </c>
      <c r="R58" s="7" t="str">
        <f>IF(C113&lt;&gt;0,((SUMIFS(TM[[#All],[Claims: Retail Pharmacy]],TM[[#All],[Reporting Year]],2023,TM[[#All],[Insurance Category Code]],'Data Validation Checks 2022-23'!A58,TM[[#All],[Large Provider Entity Code]],100))/'Data Validation Checks 2022-23'!C113),"NA")</f>
        <v>NA</v>
      </c>
      <c r="S58" s="7" t="str">
        <f>IF(C113&lt;&gt;0,((SUMIFS(TM[[#All],[Claims: Other]],TM[[#All],[Reporting Year]],2023,TM[[#All],[Insurance Category Code]],'Data Validation Checks 2022-23'!A58,TM[[#All],[Large Provider Entity Code]],100))/'Data Validation Checks 2022-23'!C113),"NA")</f>
        <v>NA</v>
      </c>
      <c r="T58" s="7" t="str">
        <f>IF(C113&lt;&gt;0,((SUMIFS(TM[[#All],[Total Non-Claims Spending]],TM[[#All],[Reporting Year]],2023,TM[[#All],[Insurance Category Code]],'Data Validation Checks 2022-23'!A58,TM[[#All],[Large Provider Entity Code]],100))/'Data Validation Checks 2022-23'!C113),"NA")</f>
        <v>NA</v>
      </c>
      <c r="U58" s="7" t="str">
        <f>IF(C113&lt;&gt;0,((SUMIFS(TM[[#All],[Total Non-Truncated Claims and Non-Claims Spending]],TM[[#All],[Reporting Year]],2023,TM[[#All],[Insurance Category Code]],'Data Validation Checks 2022-23'!A58,TM[[#All],[Large Provider Entity Code]],100))/'Data Validation Checks 2022-23'!C113),"NA")</f>
        <v>NA</v>
      </c>
      <c r="V58"/>
      <c r="W58"/>
      <c r="X58"/>
      <c r="Y58"/>
      <c r="Z58"/>
      <c r="AA58"/>
      <c r="AB58"/>
      <c r="AC58"/>
    </row>
    <row r="59" spans="1:29" x14ac:dyDescent="0.25">
      <c r="A59" s="53">
        <v>4</v>
      </c>
      <c r="B59" s="528" t="str">
        <f>IF(B114&lt;&gt;0,((SUMIFS(TM[[#All],[Claims: Hospital Inpatient]],TM[[#All],[Reporting Year]],2022,TM[[#All],[Insurance Category Code]],'Data Validation Checks 2022-23'!A59,TM[[#All],[Large Provider Entity Code]],100))/'Data Validation Checks 2022-23'!B114),"NA")</f>
        <v>NA</v>
      </c>
      <c r="C59" s="529" t="str">
        <f>IF(B114&lt;&gt;0,((SUMIFS(TM[[#All],[Claims: Hospital Outpatient]],TM[[#All],[Reporting Year]],2022,TM[[#All],[Insurance Category Code]],'Data Validation Checks 2022-23'!A59,TM[[#All],[Large Provider Entity Code]],100))/'Data Validation Checks 2022-23'!B114),"NA")</f>
        <v>NA</v>
      </c>
      <c r="D59" s="529" t="str">
        <f>IF(B114&lt;&gt;0,((SUMIFS(TM[[#All],[Claims: Professional, Primary Care Providers]],TM[[#All],[Reporting Year]],2022,TM[[#All],[Insurance Category Code]],'Data Validation Checks 2022-23'!A59,TM[[#All],[Large Provider Entity Code]],100))/'Data Validation Checks 2022-23'!B114),"NA")</f>
        <v>NA</v>
      </c>
      <c r="E59" s="529" t="str">
        <f>IF(B114&lt;&gt;0,((SUMIFS(TM[[#All],[Claims: Professional, Specialty Providers]],TM[[#All],[Reporting Year]],2022,TM[[#All],[Insurance Category Code]],'Data Validation Checks 2022-23'!A59,TM[[#All],[Large Provider Entity Code]],100))/'Data Validation Checks 2022-23'!B114),"NA")</f>
        <v>NA</v>
      </c>
      <c r="F59" s="529" t="str">
        <f>IF(B114&lt;&gt;0,((SUMIFS(TM[[#All],[Claims: Professional, Other Providers]],TM[[#All],[Reporting Year]],2022,TM[[#All],[Insurance Category Code]],'Data Validation Checks 2022-23'!A59,TM[[#All],[Large Provider Entity Code]],100))/'Data Validation Checks 2022-23'!B114),"NA")</f>
        <v>NA</v>
      </c>
      <c r="G59" s="7" t="str">
        <f>IF(B114&lt;&gt;0,((SUMIFS(TM[[#All],[Claims: Long-Term Care]],TM[[#All],[Reporting Year]],2022,TM[[#All],[Insurance Category Code]],'Data Validation Checks 2022-23'!A59,TM[[#All],[Large Provider Entity Code]],100))/'Data Validation Checks 2022-23'!B114),"NA")</f>
        <v>NA</v>
      </c>
      <c r="H59" s="7" t="str">
        <f>IF(B114&lt;&gt;0,((SUMIFS(TM[[#All],[Claims: Retail Pharmacy]],TM[[#All],[Reporting Year]],2022,TM[[#All],[Insurance Category Code]],'Data Validation Checks 2022-23'!A59,TM[[#All],[Large Provider Entity Code]],100))/'Data Validation Checks 2022-23'!B114),"NA")</f>
        <v>NA</v>
      </c>
      <c r="I59" s="7" t="str">
        <f>IF(B114&lt;&gt;0,((SUMIFS(TM[[#All],[Claims: Other]],TM[[#All],[Reporting Year]],2022,TM[[#All],[Insurance Category Code]],'Data Validation Checks 2022-23'!A59,TM[[#All],[Large Provider Entity Code]],100))/'Data Validation Checks 2022-23'!B114),"NA")</f>
        <v>NA</v>
      </c>
      <c r="J59" s="7" t="str">
        <f>IF(B114&lt;&gt;0,((SUMIFS(TM[[#All],[Total Non-Claims Spending]],TM[[#All],[Reporting Year]],2022,TM[[#All],[Insurance Category Code]],'Data Validation Checks 2022-23'!A59,TM[[#All],[Large Provider Entity Code]],100))/'Data Validation Checks 2022-23'!B114),"NA")</f>
        <v>NA</v>
      </c>
      <c r="K59" s="96" t="str">
        <f>IF(B114&lt;&gt;0,((SUMIFS(TM[[#All],[Total Non-Truncated Claims and Non-Claims Spending]],TM[[#All],[Reporting Year]],2022,TM[[#All],[Insurance Category Code]],'Data Validation Checks 2022-23'!A59,TM[[#All],[Large Provider Entity Code]],100))/'Data Validation Checks 2022-23'!B114),"NA")</f>
        <v>NA</v>
      </c>
      <c r="L59" s="185" t="str">
        <f>IF(C114&lt;&gt;0,((SUMIFS(TM[[#All],[Claims: Hospital Inpatient]],TM[[#All],[Reporting Year]],2023,TM[[#All],[Insurance Category Code]],'Data Validation Checks 2022-23'!A59,TM[[#All],[Large Provider Entity Code]],100))/'Data Validation Checks 2022-23'!C114),"NA")</f>
        <v>NA</v>
      </c>
      <c r="M59" s="7" t="str">
        <f>IF(C114&lt;&gt;0,((SUMIFS(TM[[#All],[Claims: Hospital Outpatient]],TM[[#All],[Reporting Year]],2023,TM[[#All],[Insurance Category Code]],'Data Validation Checks 2022-23'!A59,TM[[#All],[Large Provider Entity Code]],100))/'Data Validation Checks 2022-23'!C114),"NA")</f>
        <v>NA</v>
      </c>
      <c r="N59" s="7" t="str">
        <f>IF(C114&lt;&gt;0,((SUMIFS(TM[[#All],[Claims: Professional, Primary Care Providers]],TM[[#All],[Reporting Year]],2023,TM[[#All],[Insurance Category Code]],'Data Validation Checks 2022-23'!A59,TM[[#All],[Large Provider Entity Code]],100))/'Data Validation Checks 2022-23'!C114),"NA")</f>
        <v>NA</v>
      </c>
      <c r="O59" s="7" t="str">
        <f>IF(C114&lt;&gt;0,((SUMIFS(TM[[#All],[Claims: Professional, Specialty Providers]],TM[[#All],[Reporting Year]],2023,TM[[#All],[Insurance Category Code]],'Data Validation Checks 2022-23'!A59,TM[[#All],[Large Provider Entity Code]],100))/'Data Validation Checks 2022-23'!C114),"NA")</f>
        <v>NA</v>
      </c>
      <c r="P59" s="7" t="str">
        <f>IF(C114&lt;&gt;0,((SUMIFS(TM[[#All],[Claims: Professional, Other Providers]],TM[[#All],[Reporting Year]],2023,TM[[#All],[Insurance Category Code]],'Data Validation Checks 2022-23'!A59,TM[[#All],[Large Provider Entity Code]],100))/'Data Validation Checks 2022-23'!C114),"NA")</f>
        <v>NA</v>
      </c>
      <c r="Q59" s="7" t="str">
        <f>IF(C114&lt;&gt;0,((SUMIFS(TM[[#All],[Claims: Long-Term Care]],TM[[#All],[Reporting Year]],2023,TM[[#All],[Insurance Category Code]],'Data Validation Checks 2022-23'!A59,TM[[#All],[Large Provider Entity Code]],100))/'Data Validation Checks 2022-23'!C114),"NA")</f>
        <v>NA</v>
      </c>
      <c r="R59" s="7" t="str">
        <f>IF(C114&lt;&gt;0,((SUMIFS(TM[[#All],[Claims: Retail Pharmacy]],TM[[#All],[Reporting Year]],2023,TM[[#All],[Insurance Category Code]],'Data Validation Checks 2022-23'!A59,TM[[#All],[Large Provider Entity Code]],100))/'Data Validation Checks 2022-23'!C114),"NA")</f>
        <v>NA</v>
      </c>
      <c r="S59" s="7" t="str">
        <f>IF(C114&lt;&gt;0,((SUMIFS(TM[[#All],[Claims: Other]],TM[[#All],[Reporting Year]],2023,TM[[#All],[Insurance Category Code]],'Data Validation Checks 2022-23'!A59,TM[[#All],[Large Provider Entity Code]],100))/'Data Validation Checks 2022-23'!C114),"NA")</f>
        <v>NA</v>
      </c>
      <c r="T59" s="7" t="str">
        <f>IF(C114&lt;&gt;0,((SUMIFS(TM[[#All],[Total Non-Claims Spending]],TM[[#All],[Reporting Year]],2023,TM[[#All],[Insurance Category Code]],'Data Validation Checks 2022-23'!A59,TM[[#All],[Large Provider Entity Code]],100))/'Data Validation Checks 2022-23'!C114),"NA")</f>
        <v>NA</v>
      </c>
      <c r="U59" s="7" t="str">
        <f>IF(C114&lt;&gt;0,((SUMIFS(TM[[#All],[Total Non-Truncated Claims and Non-Claims Spending]],TM[[#All],[Reporting Year]],2023,TM[[#All],[Insurance Category Code]],'Data Validation Checks 2022-23'!A59,TM[[#All],[Large Provider Entity Code]],100))/'Data Validation Checks 2022-23'!C114),"NA")</f>
        <v>NA</v>
      </c>
      <c r="V59"/>
      <c r="W59"/>
      <c r="X59"/>
      <c r="Y59"/>
      <c r="Z59"/>
      <c r="AA59"/>
      <c r="AB59"/>
      <c r="AC59"/>
    </row>
    <row r="60" spans="1:29" x14ac:dyDescent="0.25">
      <c r="A60" s="53">
        <v>5</v>
      </c>
      <c r="B60" s="528" t="str">
        <f>IF(B115&lt;&gt;0,((SUMIFS(TM[[#All],[Claims: Hospital Inpatient]],TM[[#All],[Reporting Year]],2022,TM[[#All],[Insurance Category Code]],'Data Validation Checks 2022-23'!A60,TM[[#All],[Large Provider Entity Code]],100))/'Data Validation Checks 2022-23'!B115),"NA")</f>
        <v>NA</v>
      </c>
      <c r="C60" s="529" t="str">
        <f>IF(B115&lt;&gt;0,((SUMIFS(TM[[#All],[Claims: Hospital Outpatient]],TM[[#All],[Reporting Year]],2022,TM[[#All],[Insurance Category Code]],'Data Validation Checks 2022-23'!A60,TM[[#All],[Large Provider Entity Code]],100))/'Data Validation Checks 2022-23'!B115),"NA")</f>
        <v>NA</v>
      </c>
      <c r="D60" s="529" t="str">
        <f>IF(B115&lt;&gt;0,((SUMIFS(TM[[#All],[Claims: Professional, Primary Care Providers]],TM[[#All],[Reporting Year]],2022,TM[[#All],[Insurance Category Code]],'Data Validation Checks 2022-23'!A60,TM[[#All],[Large Provider Entity Code]],100))/'Data Validation Checks 2022-23'!B115),"NA")</f>
        <v>NA</v>
      </c>
      <c r="E60" s="529" t="str">
        <f>IF(B115&lt;&gt;0,((SUMIFS(TM[[#All],[Claims: Professional, Specialty Providers]],TM[[#All],[Reporting Year]],2022,TM[[#All],[Insurance Category Code]],'Data Validation Checks 2022-23'!A60,TM[[#All],[Large Provider Entity Code]],100))/'Data Validation Checks 2022-23'!B115),"NA")</f>
        <v>NA</v>
      </c>
      <c r="F60" s="529" t="str">
        <f>IF(B115&lt;&gt;0,((SUMIFS(TM[[#All],[Claims: Professional, Other Providers]],TM[[#All],[Reporting Year]],2022,TM[[#All],[Insurance Category Code]],'Data Validation Checks 2022-23'!A60,TM[[#All],[Large Provider Entity Code]],100))/'Data Validation Checks 2022-23'!B115),"NA")</f>
        <v>NA</v>
      </c>
      <c r="G60" s="7" t="str">
        <f>IF(B115&lt;&gt;0,((SUMIFS(TM[[#All],[Claims: Long-Term Care]],TM[[#All],[Reporting Year]],2022,TM[[#All],[Insurance Category Code]],'Data Validation Checks 2022-23'!A60,TM[[#All],[Large Provider Entity Code]],100))/'Data Validation Checks 2022-23'!B115),"NA")</f>
        <v>NA</v>
      </c>
      <c r="H60" s="7" t="str">
        <f>IF(B115&lt;&gt;0,((SUMIFS(TM[[#All],[Claims: Retail Pharmacy]],TM[[#All],[Reporting Year]],2022,TM[[#All],[Insurance Category Code]],'Data Validation Checks 2022-23'!A60,TM[[#All],[Large Provider Entity Code]],100))/'Data Validation Checks 2022-23'!B115),"NA")</f>
        <v>NA</v>
      </c>
      <c r="I60" s="7" t="str">
        <f>IF(B115&lt;&gt;0,((SUMIFS(TM[[#All],[Claims: Other]],TM[[#All],[Reporting Year]],2022,TM[[#All],[Insurance Category Code]],'Data Validation Checks 2022-23'!A60,TM[[#All],[Large Provider Entity Code]],100))/'Data Validation Checks 2022-23'!B115),"NA")</f>
        <v>NA</v>
      </c>
      <c r="J60" s="7" t="str">
        <f>IF(B115&lt;&gt;0,((SUMIFS(TM[[#All],[Total Non-Claims Spending]],TM[[#All],[Reporting Year]],2022,TM[[#All],[Insurance Category Code]],'Data Validation Checks 2022-23'!A60,TM[[#All],[Large Provider Entity Code]],100))/'Data Validation Checks 2022-23'!B115),"NA")</f>
        <v>NA</v>
      </c>
      <c r="K60" s="96" t="str">
        <f>IF(B115&lt;&gt;0,((SUMIFS(TM[[#All],[Total Non-Truncated Claims and Non-Claims Spending]],TM[[#All],[Reporting Year]],2022,TM[[#All],[Insurance Category Code]],'Data Validation Checks 2022-23'!A60,TM[[#All],[Large Provider Entity Code]],100))/'Data Validation Checks 2022-23'!B115),"NA")</f>
        <v>NA</v>
      </c>
      <c r="L60" s="185" t="str">
        <f>IF(C115&lt;&gt;0,((SUMIFS(TM[[#All],[Claims: Hospital Inpatient]],TM[[#All],[Reporting Year]],2023,TM[[#All],[Insurance Category Code]],'Data Validation Checks 2022-23'!A60,TM[[#All],[Large Provider Entity Code]],100))/'Data Validation Checks 2022-23'!C115),"NA")</f>
        <v>NA</v>
      </c>
      <c r="M60" s="7" t="str">
        <f>IF(C115&lt;&gt;0,((SUMIFS(TM[[#All],[Claims: Hospital Outpatient]],TM[[#All],[Reporting Year]],2023,TM[[#All],[Insurance Category Code]],'Data Validation Checks 2022-23'!A60,TM[[#All],[Large Provider Entity Code]],100))/'Data Validation Checks 2022-23'!C115),"NA")</f>
        <v>NA</v>
      </c>
      <c r="N60" s="7" t="str">
        <f>IF(C115&lt;&gt;0,((SUMIFS(TM[[#All],[Claims: Professional, Primary Care Providers]],TM[[#All],[Reporting Year]],2023,TM[[#All],[Insurance Category Code]],'Data Validation Checks 2022-23'!A60,TM[[#All],[Large Provider Entity Code]],100))/'Data Validation Checks 2022-23'!C115),"NA")</f>
        <v>NA</v>
      </c>
      <c r="O60" s="7" t="str">
        <f>IF(C115&lt;&gt;0,((SUMIFS(TM[[#All],[Claims: Professional, Specialty Providers]],TM[[#All],[Reporting Year]],2023,TM[[#All],[Insurance Category Code]],'Data Validation Checks 2022-23'!A60,TM[[#All],[Large Provider Entity Code]],100))/'Data Validation Checks 2022-23'!C115),"NA")</f>
        <v>NA</v>
      </c>
      <c r="P60" s="7" t="str">
        <f>IF(C115&lt;&gt;0,((SUMIFS(TM[[#All],[Claims: Professional, Other Providers]],TM[[#All],[Reporting Year]],2023,TM[[#All],[Insurance Category Code]],'Data Validation Checks 2022-23'!A60,TM[[#All],[Large Provider Entity Code]],100))/'Data Validation Checks 2022-23'!C115),"NA")</f>
        <v>NA</v>
      </c>
      <c r="Q60" s="7" t="str">
        <f>IF(C115&lt;&gt;0,((SUMIFS(TM[[#All],[Claims: Long-Term Care]],TM[[#All],[Reporting Year]],2023,TM[[#All],[Insurance Category Code]],'Data Validation Checks 2022-23'!A60,TM[[#All],[Large Provider Entity Code]],100))/'Data Validation Checks 2022-23'!C115),"NA")</f>
        <v>NA</v>
      </c>
      <c r="R60" s="7" t="str">
        <f>IF(C115&lt;&gt;0,((SUMIFS(TM[[#All],[Claims: Retail Pharmacy]],TM[[#All],[Reporting Year]],2023,TM[[#All],[Insurance Category Code]],'Data Validation Checks 2022-23'!A60,TM[[#All],[Large Provider Entity Code]],100))/'Data Validation Checks 2022-23'!C115),"NA")</f>
        <v>NA</v>
      </c>
      <c r="S60" s="7" t="str">
        <f>IF(C115&lt;&gt;0,((SUMIFS(TM[[#All],[Claims: Other]],TM[[#All],[Reporting Year]],2023,TM[[#All],[Insurance Category Code]],'Data Validation Checks 2022-23'!A60,TM[[#All],[Large Provider Entity Code]],100))/'Data Validation Checks 2022-23'!C115),"NA")</f>
        <v>NA</v>
      </c>
      <c r="T60" s="7" t="str">
        <f>IF(C115&lt;&gt;0,((SUMIFS(TM[[#All],[Total Non-Claims Spending]],TM[[#All],[Reporting Year]],2023,TM[[#All],[Insurance Category Code]],'Data Validation Checks 2022-23'!A60,TM[[#All],[Large Provider Entity Code]],100))/'Data Validation Checks 2022-23'!C115),"NA")</f>
        <v>NA</v>
      </c>
      <c r="U60" s="7" t="str">
        <f>IF(C115&lt;&gt;0,((SUMIFS(TM[[#All],[Total Non-Truncated Claims and Non-Claims Spending]],TM[[#All],[Reporting Year]],2023,TM[[#All],[Insurance Category Code]],'Data Validation Checks 2022-23'!A60,TM[[#All],[Large Provider Entity Code]],100))/'Data Validation Checks 2022-23'!C115),"NA")</f>
        <v>NA</v>
      </c>
      <c r="V60"/>
      <c r="W60"/>
      <c r="X60"/>
      <c r="Y60"/>
      <c r="Z60"/>
      <c r="AA60"/>
      <c r="AB60"/>
      <c r="AC60"/>
    </row>
    <row r="61" spans="1:29" x14ac:dyDescent="0.25">
      <c r="A61" s="53">
        <v>6</v>
      </c>
      <c r="B61" s="528" t="str">
        <f>IF(B116&lt;&gt;0,((SUMIFS(TM[[#All],[Claims: Hospital Inpatient]],TM[[#All],[Reporting Year]],2022,TM[[#All],[Insurance Category Code]],'Data Validation Checks 2022-23'!A61,TM[[#All],[Large Provider Entity Code]],100))/'Data Validation Checks 2022-23'!B116),"NA")</f>
        <v>NA</v>
      </c>
      <c r="C61" s="529" t="str">
        <f>IF(B116&lt;&gt;0,((SUMIFS(TM[[#All],[Claims: Hospital Outpatient]],TM[[#All],[Reporting Year]],2022,TM[[#All],[Insurance Category Code]],'Data Validation Checks 2022-23'!A61,TM[[#All],[Large Provider Entity Code]],100))/'Data Validation Checks 2022-23'!B116),"NA")</f>
        <v>NA</v>
      </c>
      <c r="D61" s="529" t="str">
        <f>IF(B116&lt;&gt;0,((SUMIFS(TM[[#All],[Claims: Professional, Primary Care Providers]],TM[[#All],[Reporting Year]],2022,TM[[#All],[Insurance Category Code]],'Data Validation Checks 2022-23'!A61,TM[[#All],[Large Provider Entity Code]],100))/'Data Validation Checks 2022-23'!B116),"NA")</f>
        <v>NA</v>
      </c>
      <c r="E61" s="529" t="str">
        <f>IF(B116&lt;&gt;0,((SUMIFS(TM[[#All],[Claims: Professional, Specialty Providers]],TM[[#All],[Reporting Year]],2022,TM[[#All],[Insurance Category Code]],'Data Validation Checks 2022-23'!A61,TM[[#All],[Large Provider Entity Code]],100))/'Data Validation Checks 2022-23'!B116),"NA")</f>
        <v>NA</v>
      </c>
      <c r="F61" s="529" t="str">
        <f>IF(B116&lt;&gt;0,((SUMIFS(TM[[#All],[Claims: Professional, Other Providers]],TM[[#All],[Reporting Year]],2022,TM[[#All],[Insurance Category Code]],'Data Validation Checks 2022-23'!A61,TM[[#All],[Large Provider Entity Code]],100))/'Data Validation Checks 2022-23'!B116),"NA")</f>
        <v>NA</v>
      </c>
      <c r="G61" s="7" t="str">
        <f>IF(B116&lt;&gt;0,((SUMIFS(TM[[#All],[Claims: Long-Term Care]],TM[[#All],[Reporting Year]],2022,TM[[#All],[Insurance Category Code]],'Data Validation Checks 2022-23'!A61,TM[[#All],[Large Provider Entity Code]],100))/'Data Validation Checks 2022-23'!B116),"NA")</f>
        <v>NA</v>
      </c>
      <c r="H61" s="7" t="str">
        <f>IF(B116&lt;&gt;0,((SUMIFS(TM[[#All],[Claims: Retail Pharmacy]],TM[[#All],[Reporting Year]],2022,TM[[#All],[Insurance Category Code]],'Data Validation Checks 2022-23'!A61,TM[[#All],[Large Provider Entity Code]],100))/'Data Validation Checks 2022-23'!B116),"NA")</f>
        <v>NA</v>
      </c>
      <c r="I61" s="7" t="str">
        <f>IF(B116&lt;&gt;0,((SUMIFS(TM[[#All],[Claims: Other]],TM[[#All],[Reporting Year]],2022,TM[[#All],[Insurance Category Code]],'Data Validation Checks 2022-23'!A61,TM[[#All],[Large Provider Entity Code]],100))/'Data Validation Checks 2022-23'!B116),"NA")</f>
        <v>NA</v>
      </c>
      <c r="J61" s="7" t="str">
        <f>IF(B116&lt;&gt;0,((SUMIFS(TM[[#All],[Total Non-Claims Spending]],TM[[#All],[Reporting Year]],2022,TM[[#All],[Insurance Category Code]],'Data Validation Checks 2022-23'!A61,TM[[#All],[Large Provider Entity Code]],100))/'Data Validation Checks 2022-23'!B116),"NA")</f>
        <v>NA</v>
      </c>
      <c r="K61" s="96" t="str">
        <f>IF(B116&lt;&gt;0,((SUMIFS(TM[[#All],[Total Non-Truncated Claims and Non-Claims Spending]],TM[[#All],[Reporting Year]],2022,TM[[#All],[Insurance Category Code]],'Data Validation Checks 2022-23'!A61,TM[[#All],[Large Provider Entity Code]],100))/'Data Validation Checks 2022-23'!B116),"NA")</f>
        <v>NA</v>
      </c>
      <c r="L61" s="185" t="str">
        <f>IF(C116&lt;&gt;0,((SUMIFS(TM[[#All],[Claims: Hospital Inpatient]],TM[[#All],[Reporting Year]],2023,TM[[#All],[Insurance Category Code]],'Data Validation Checks 2022-23'!A61,TM[[#All],[Large Provider Entity Code]],100))/'Data Validation Checks 2022-23'!C116),"NA")</f>
        <v>NA</v>
      </c>
      <c r="M61" s="7" t="str">
        <f>IF(C116&lt;&gt;0,((SUMIFS(TM[[#All],[Claims: Hospital Outpatient]],TM[[#All],[Reporting Year]],2023,TM[[#All],[Insurance Category Code]],'Data Validation Checks 2022-23'!A61,TM[[#All],[Large Provider Entity Code]],100))/'Data Validation Checks 2022-23'!C116),"NA")</f>
        <v>NA</v>
      </c>
      <c r="N61" s="7" t="str">
        <f>IF(C116&lt;&gt;0,((SUMIFS(TM[[#All],[Claims: Professional, Primary Care Providers]],TM[[#All],[Reporting Year]],2023,TM[[#All],[Insurance Category Code]],'Data Validation Checks 2022-23'!A61,TM[[#All],[Large Provider Entity Code]],100))/'Data Validation Checks 2022-23'!C116),"NA")</f>
        <v>NA</v>
      </c>
      <c r="O61" s="7" t="str">
        <f>IF(C116&lt;&gt;0,((SUMIFS(TM[[#All],[Claims: Professional, Specialty Providers]],TM[[#All],[Reporting Year]],2023,TM[[#All],[Insurance Category Code]],'Data Validation Checks 2022-23'!A61,TM[[#All],[Large Provider Entity Code]],100))/'Data Validation Checks 2022-23'!C116),"NA")</f>
        <v>NA</v>
      </c>
      <c r="P61" s="7" t="str">
        <f>IF(C116&lt;&gt;0,((SUMIFS(TM[[#All],[Claims: Professional, Other Providers]],TM[[#All],[Reporting Year]],2023,TM[[#All],[Insurance Category Code]],'Data Validation Checks 2022-23'!A61,TM[[#All],[Large Provider Entity Code]],100))/'Data Validation Checks 2022-23'!C116),"NA")</f>
        <v>NA</v>
      </c>
      <c r="Q61" s="7" t="str">
        <f>IF(C116&lt;&gt;0,((SUMIFS(TM[[#All],[Claims: Long-Term Care]],TM[[#All],[Reporting Year]],2023,TM[[#All],[Insurance Category Code]],'Data Validation Checks 2022-23'!A61,TM[[#All],[Large Provider Entity Code]],100))/'Data Validation Checks 2022-23'!C116),"NA")</f>
        <v>NA</v>
      </c>
      <c r="R61" s="7" t="str">
        <f>IF(C116&lt;&gt;0,((SUMIFS(TM[[#All],[Claims: Retail Pharmacy]],TM[[#All],[Reporting Year]],2023,TM[[#All],[Insurance Category Code]],'Data Validation Checks 2022-23'!A61,TM[[#All],[Large Provider Entity Code]],100))/'Data Validation Checks 2022-23'!C116),"NA")</f>
        <v>NA</v>
      </c>
      <c r="S61" s="7" t="str">
        <f>IF(C116&lt;&gt;0,((SUMIFS(TM[[#All],[Claims: Other]],TM[[#All],[Reporting Year]],2023,TM[[#All],[Insurance Category Code]],'Data Validation Checks 2022-23'!A61,TM[[#All],[Large Provider Entity Code]],100))/'Data Validation Checks 2022-23'!C116),"NA")</f>
        <v>NA</v>
      </c>
      <c r="T61" s="7" t="str">
        <f>IF(C116&lt;&gt;0,((SUMIFS(TM[[#All],[Total Non-Claims Spending]],TM[[#All],[Reporting Year]],2023,TM[[#All],[Insurance Category Code]],'Data Validation Checks 2022-23'!A61,TM[[#All],[Large Provider Entity Code]],100))/'Data Validation Checks 2022-23'!C116),"NA")</f>
        <v>NA</v>
      </c>
      <c r="U61" s="7" t="str">
        <f>IF(C116&lt;&gt;0,((SUMIFS(TM[[#All],[Total Non-Truncated Claims and Non-Claims Spending]],TM[[#All],[Reporting Year]],2023,TM[[#All],[Insurance Category Code]],'Data Validation Checks 2022-23'!A61,TM[[#All],[Large Provider Entity Code]],100))/'Data Validation Checks 2022-23'!C116),"NA")</f>
        <v>NA</v>
      </c>
      <c r="V61"/>
      <c r="W61"/>
      <c r="X61"/>
      <c r="Y61"/>
      <c r="Z61"/>
      <c r="AA61"/>
      <c r="AB61"/>
      <c r="AC61"/>
    </row>
    <row r="62" spans="1:29" x14ac:dyDescent="0.25">
      <c r="A62" s="53">
        <v>7</v>
      </c>
      <c r="B62" s="528" t="str">
        <f>IF(B117&lt;&gt;0,((SUMIFS(TM[[#All],[Claims: Hospital Inpatient]],TM[[#All],[Reporting Year]],2022,TM[[#All],[Insurance Category Code]],'Data Validation Checks 2022-23'!A62,TM[[#All],[Large Provider Entity Code]],100))/'Data Validation Checks 2022-23'!B117),"NA")</f>
        <v>NA</v>
      </c>
      <c r="C62" s="529" t="str">
        <f>IF(B117&lt;&gt;0,((SUMIFS(TM[[#All],[Claims: Hospital Outpatient]],TM[[#All],[Reporting Year]],2022,TM[[#All],[Insurance Category Code]],'Data Validation Checks 2022-23'!A62,TM[[#All],[Large Provider Entity Code]],100))/'Data Validation Checks 2022-23'!B117),"NA")</f>
        <v>NA</v>
      </c>
      <c r="D62" s="529" t="str">
        <f>IF(B117&lt;&gt;0,((SUMIFS(TM[[#All],[Claims: Professional, Primary Care Providers]],TM[[#All],[Reporting Year]],2022,TM[[#All],[Insurance Category Code]],'Data Validation Checks 2022-23'!A62,TM[[#All],[Large Provider Entity Code]],100))/'Data Validation Checks 2022-23'!B117),"NA")</f>
        <v>NA</v>
      </c>
      <c r="E62" s="529" t="str">
        <f>IF(B117&lt;&gt;0,((SUMIFS(TM[[#All],[Claims: Professional, Specialty Providers]],TM[[#All],[Reporting Year]],2022,TM[[#All],[Insurance Category Code]],'Data Validation Checks 2022-23'!A62,TM[[#All],[Large Provider Entity Code]],100))/'Data Validation Checks 2022-23'!B117),"NA")</f>
        <v>NA</v>
      </c>
      <c r="F62" s="529" t="str">
        <f>IF(B117&lt;&gt;0,((SUMIFS(TM[[#All],[Claims: Professional, Other Providers]],TM[[#All],[Reporting Year]],2022,TM[[#All],[Insurance Category Code]],'Data Validation Checks 2022-23'!A62,TM[[#All],[Large Provider Entity Code]],100))/'Data Validation Checks 2022-23'!B117),"NA")</f>
        <v>NA</v>
      </c>
      <c r="G62" s="7" t="str">
        <f>IF(B117&lt;&gt;0,((SUMIFS(TM[[#All],[Claims: Long-Term Care]],TM[[#All],[Reporting Year]],2022,TM[[#All],[Insurance Category Code]],'Data Validation Checks 2022-23'!A62,TM[[#All],[Large Provider Entity Code]],100))/'Data Validation Checks 2022-23'!B117),"NA")</f>
        <v>NA</v>
      </c>
      <c r="H62" s="7" t="str">
        <f>IF(B117&lt;&gt;0,((SUMIFS(TM[[#All],[Claims: Retail Pharmacy]],TM[[#All],[Reporting Year]],2022,TM[[#All],[Insurance Category Code]],'Data Validation Checks 2022-23'!A62,TM[[#All],[Large Provider Entity Code]],100))/'Data Validation Checks 2022-23'!B117),"NA")</f>
        <v>NA</v>
      </c>
      <c r="I62" s="7" t="str">
        <f>IF(B117&lt;&gt;0,((SUMIFS(TM[[#All],[Claims: Other]],TM[[#All],[Reporting Year]],2022,TM[[#All],[Insurance Category Code]],'Data Validation Checks 2022-23'!A62,TM[[#All],[Large Provider Entity Code]],100))/'Data Validation Checks 2022-23'!B117),"NA")</f>
        <v>NA</v>
      </c>
      <c r="J62" s="7" t="str">
        <f>IF(B117&lt;&gt;0,((SUMIFS(TM[[#All],[Total Non-Claims Spending]],TM[[#All],[Reporting Year]],2022,TM[[#All],[Insurance Category Code]],'Data Validation Checks 2022-23'!A62,TM[[#All],[Large Provider Entity Code]],100))/'Data Validation Checks 2022-23'!B117),"NA")</f>
        <v>NA</v>
      </c>
      <c r="K62" s="96" t="str">
        <f>IF(B117&lt;&gt;0,((SUMIFS(TM[[#All],[Total Non-Truncated Claims and Non-Claims Spending]],TM[[#All],[Reporting Year]],2022,TM[[#All],[Insurance Category Code]],'Data Validation Checks 2022-23'!A62,TM[[#All],[Large Provider Entity Code]],100))/'Data Validation Checks 2022-23'!B117),"NA")</f>
        <v>NA</v>
      </c>
      <c r="L62" s="185" t="str">
        <f>IF(C117&lt;&gt;0,((SUMIFS(TM[[#All],[Claims: Hospital Inpatient]],TM[[#All],[Reporting Year]],2023,TM[[#All],[Insurance Category Code]],'Data Validation Checks 2022-23'!A62,TM[[#All],[Large Provider Entity Code]],100))/'Data Validation Checks 2022-23'!C117),"NA")</f>
        <v>NA</v>
      </c>
      <c r="M62" s="7" t="str">
        <f>IF(C117&lt;&gt;0,((SUMIFS(TM[[#All],[Claims: Hospital Outpatient]],TM[[#All],[Reporting Year]],2023,TM[[#All],[Insurance Category Code]],'Data Validation Checks 2022-23'!A62,TM[[#All],[Large Provider Entity Code]],100))/'Data Validation Checks 2022-23'!C117),"NA")</f>
        <v>NA</v>
      </c>
      <c r="N62" s="7" t="str">
        <f>IF(C117&lt;&gt;0,((SUMIFS(TM[[#All],[Claims: Professional, Primary Care Providers]],TM[[#All],[Reporting Year]],2023,TM[[#All],[Insurance Category Code]],'Data Validation Checks 2022-23'!A62,TM[[#All],[Large Provider Entity Code]],100))/'Data Validation Checks 2022-23'!C117),"NA")</f>
        <v>NA</v>
      </c>
      <c r="O62" s="7" t="str">
        <f>IF(C117&lt;&gt;0,((SUMIFS(TM[[#All],[Claims: Professional, Specialty Providers]],TM[[#All],[Reporting Year]],2023,TM[[#All],[Insurance Category Code]],'Data Validation Checks 2022-23'!A62,TM[[#All],[Large Provider Entity Code]],100))/'Data Validation Checks 2022-23'!C117),"NA")</f>
        <v>NA</v>
      </c>
      <c r="P62" s="7" t="str">
        <f>IF(C117&lt;&gt;0,((SUMIFS(TM[[#All],[Claims: Professional, Other Providers]],TM[[#All],[Reporting Year]],2023,TM[[#All],[Insurance Category Code]],'Data Validation Checks 2022-23'!A62,TM[[#All],[Large Provider Entity Code]],100))/'Data Validation Checks 2022-23'!C117),"NA")</f>
        <v>NA</v>
      </c>
      <c r="Q62" s="7" t="str">
        <f>IF(C117&lt;&gt;0,((SUMIFS(TM[[#All],[Claims: Long-Term Care]],TM[[#All],[Reporting Year]],2023,TM[[#All],[Insurance Category Code]],'Data Validation Checks 2022-23'!A62,TM[[#All],[Large Provider Entity Code]],100))/'Data Validation Checks 2022-23'!C117),"NA")</f>
        <v>NA</v>
      </c>
      <c r="R62" s="7" t="str">
        <f>IF(C117&lt;&gt;0,((SUMIFS(TM[[#All],[Claims: Retail Pharmacy]],TM[[#All],[Reporting Year]],2023,TM[[#All],[Insurance Category Code]],'Data Validation Checks 2022-23'!A62,TM[[#All],[Large Provider Entity Code]],100))/'Data Validation Checks 2022-23'!C117),"NA")</f>
        <v>NA</v>
      </c>
      <c r="S62" s="7" t="str">
        <f>IF(C117&lt;&gt;0,((SUMIFS(TM[[#All],[Claims: Other]],TM[[#All],[Reporting Year]],2023,TM[[#All],[Insurance Category Code]],'Data Validation Checks 2022-23'!A62,TM[[#All],[Large Provider Entity Code]],100))/'Data Validation Checks 2022-23'!C117),"NA")</f>
        <v>NA</v>
      </c>
      <c r="T62" s="7" t="str">
        <f>IF(C117&lt;&gt;0,((SUMIFS(TM[[#All],[Total Non-Claims Spending]],TM[[#All],[Reporting Year]],2023,TM[[#All],[Insurance Category Code]],'Data Validation Checks 2022-23'!A62,TM[[#All],[Large Provider Entity Code]],100))/'Data Validation Checks 2022-23'!C117),"NA")</f>
        <v>NA</v>
      </c>
      <c r="U62" s="7" t="str">
        <f>IF(C117&lt;&gt;0,((SUMIFS(TM[[#All],[Total Non-Truncated Claims and Non-Claims Spending]],TM[[#All],[Reporting Year]],2023,TM[[#All],[Insurance Category Code]],'Data Validation Checks 2022-23'!A62,TM[[#All],[Large Provider Entity Code]],100))/'Data Validation Checks 2022-23'!C117),"NA")</f>
        <v>NA</v>
      </c>
      <c r="V62"/>
      <c r="W62"/>
      <c r="X62"/>
      <c r="Y62"/>
      <c r="Z62"/>
      <c r="AA62"/>
      <c r="AB62"/>
      <c r="AC62"/>
    </row>
    <row r="63" spans="1:29" x14ac:dyDescent="0.25">
      <c r="A63" s="53">
        <v>8</v>
      </c>
      <c r="B63" s="185" t="str">
        <f>IF(B118&lt;&gt;0,((SUMIFS(TM[[#All],[Claims: Hospital Inpatient]],TM[[#All],[Reporting Year]],2022,TM[[#All],[Insurance Category Code]],'Data Validation Checks 2022-23'!A63,TM[[#All],[Large Provider Entity Code]],100))/'Data Validation Checks 2022-23'!B118),"NA")</f>
        <v>NA</v>
      </c>
      <c r="C63" s="7" t="str">
        <f>IF(B118&lt;&gt;0,((SUMIFS(TM[[#All],[Claims: Hospital Outpatient]],TM[[#All],[Reporting Year]],2022,TM[[#All],[Insurance Category Code]],'Data Validation Checks 2022-23'!A63,TM[[#All],[Large Provider Entity Code]],100))/'Data Validation Checks 2022-23'!B118),"NA")</f>
        <v>NA</v>
      </c>
      <c r="D63" s="7" t="str">
        <f>IF(B118&lt;&gt;0,((SUMIFS(TM[[#All],[Claims: Professional, Primary Care Providers]],TM[[#All],[Reporting Year]],2022,TM[[#All],[Insurance Category Code]],'Data Validation Checks 2022-23'!A63,TM[[#All],[Large Provider Entity Code]],100))/'Data Validation Checks 2022-23'!B118),"NA")</f>
        <v>NA</v>
      </c>
      <c r="E63" s="7" t="str">
        <f>IF(B118&lt;&gt;0,((SUMIFS(TM[[#All],[Claims: Professional, Specialty Providers]],TM[[#All],[Reporting Year]],2022,TM[[#All],[Insurance Category Code]],'Data Validation Checks 2022-23'!A63,TM[[#All],[Large Provider Entity Code]],100))/'Data Validation Checks 2022-23'!B118),"NA")</f>
        <v>NA</v>
      </c>
      <c r="F63" s="7" t="str">
        <f>IF(B118&lt;&gt;0,((SUMIFS(TM[[#All],[Claims: Professional, Other Providers]],TM[[#All],[Reporting Year]],2022,TM[[#All],[Insurance Category Code]],'Data Validation Checks 2022-23'!A63,TM[[#All],[Large Provider Entity Code]],100))/'Data Validation Checks 2022-23'!B118),"NA")</f>
        <v>NA</v>
      </c>
      <c r="G63" s="7" t="str">
        <f>IF(B118&lt;&gt;0,((SUMIFS(TM[[#All],[Claims: Long-Term Care]],TM[[#All],[Reporting Year]],2022,TM[[#All],[Insurance Category Code]],'Data Validation Checks 2022-23'!A63,TM[[#All],[Large Provider Entity Code]],100))/'Data Validation Checks 2022-23'!B118),"NA")</f>
        <v>NA</v>
      </c>
      <c r="H63" s="7" t="str">
        <f>IF(B118&lt;&gt;0,((SUMIFS(TM[[#All],[Claims: Retail Pharmacy]],TM[[#All],[Reporting Year]],2022,TM[[#All],[Insurance Category Code]],'Data Validation Checks 2022-23'!A63,TM[[#All],[Large Provider Entity Code]],100))/'Data Validation Checks 2022-23'!B118),"NA")</f>
        <v>NA</v>
      </c>
      <c r="I63" s="7" t="str">
        <f>IF(B118&lt;&gt;0,((SUMIFS(TM[[#All],[Claims: Other]],TM[[#All],[Reporting Year]],2022,TM[[#All],[Insurance Category Code]],'Data Validation Checks 2022-23'!A63,TM[[#All],[Large Provider Entity Code]],100))/'Data Validation Checks 2022-23'!B118),"NA")</f>
        <v>NA</v>
      </c>
      <c r="J63" s="7" t="str">
        <f>IF(B118&lt;&gt;0,((SUMIFS(TM[[#All],[Total Non-Claims Spending]],TM[[#All],[Reporting Year]],2022,TM[[#All],[Insurance Category Code]],'Data Validation Checks 2022-23'!A63,TM[[#All],[Large Provider Entity Code]],100))/'Data Validation Checks 2022-23'!B118),"NA")</f>
        <v>NA</v>
      </c>
      <c r="K63" s="96" t="str">
        <f>IF(B118&lt;&gt;0,((SUMIFS(TM[[#All],[Total Non-Truncated Claims and Non-Claims Spending]],TM[[#All],[Reporting Year]],2022,TM[[#All],[Insurance Category Code]],'Data Validation Checks 2022-23'!A63,TM[[#All],[Large Provider Entity Code]],100))/'Data Validation Checks 2022-23'!B118),"NA")</f>
        <v>NA</v>
      </c>
      <c r="L63" s="185" t="str">
        <f>IF(C118&lt;&gt;0,((SUMIFS(TM[[#All],[Claims: Hospital Inpatient]],TM[[#All],[Reporting Year]],2023,TM[[#All],[Insurance Category Code]],'Data Validation Checks 2022-23'!A63,TM[[#All],[Large Provider Entity Code]],100))/'Data Validation Checks 2022-23'!C118),"NA")</f>
        <v>NA</v>
      </c>
      <c r="M63" s="7" t="str">
        <f>IF(C118&lt;&gt;0,((SUMIFS(TM[[#All],[Claims: Hospital Outpatient]],TM[[#All],[Reporting Year]],2023,TM[[#All],[Insurance Category Code]],'Data Validation Checks 2022-23'!A63,TM[[#All],[Large Provider Entity Code]],100))/'Data Validation Checks 2022-23'!C118),"NA")</f>
        <v>NA</v>
      </c>
      <c r="N63" s="7" t="str">
        <f>IF(C118&lt;&gt;0,((SUMIFS(TM[[#All],[Claims: Professional, Primary Care Providers]],TM[[#All],[Reporting Year]],2023,TM[[#All],[Insurance Category Code]],'Data Validation Checks 2022-23'!A63,TM[[#All],[Large Provider Entity Code]],100))/'Data Validation Checks 2022-23'!C118),"NA")</f>
        <v>NA</v>
      </c>
      <c r="O63" s="7" t="str">
        <f>IF(C118&lt;&gt;0,((SUMIFS(TM[[#All],[Claims: Professional, Specialty Providers]],TM[[#All],[Reporting Year]],2023,TM[[#All],[Insurance Category Code]],'Data Validation Checks 2022-23'!A63,TM[[#All],[Large Provider Entity Code]],100))/'Data Validation Checks 2022-23'!C118),"NA")</f>
        <v>NA</v>
      </c>
      <c r="P63" s="7" t="str">
        <f>IF(C118&lt;&gt;0,((SUMIFS(TM[[#All],[Claims: Professional, Other Providers]],TM[[#All],[Reporting Year]],2023,TM[[#All],[Insurance Category Code]],'Data Validation Checks 2022-23'!A63,TM[[#All],[Large Provider Entity Code]],100))/'Data Validation Checks 2022-23'!C118),"NA")</f>
        <v>NA</v>
      </c>
      <c r="Q63" s="7" t="str">
        <f>IF(C118&lt;&gt;0,((SUMIFS(TM[[#All],[Claims: Long-Term Care]],TM[[#All],[Reporting Year]],2023,TM[[#All],[Insurance Category Code]],'Data Validation Checks 2022-23'!A63,TM[[#All],[Large Provider Entity Code]],100))/'Data Validation Checks 2022-23'!C118),"NA")</f>
        <v>NA</v>
      </c>
      <c r="R63" s="7" t="str">
        <f>IF(C118&lt;&gt;0,((SUMIFS(TM[[#All],[Claims: Retail Pharmacy]],TM[[#All],[Reporting Year]],2023,TM[[#All],[Insurance Category Code]],'Data Validation Checks 2022-23'!A63,TM[[#All],[Large Provider Entity Code]],100))/'Data Validation Checks 2022-23'!C118),"NA")</f>
        <v>NA</v>
      </c>
      <c r="S63" s="7" t="str">
        <f>IF(C118&lt;&gt;0,((SUMIFS(TM[[#All],[Claims: Other]],TM[[#All],[Reporting Year]],2023,TM[[#All],[Insurance Category Code]],'Data Validation Checks 2022-23'!A63,TM[[#All],[Large Provider Entity Code]],100))/'Data Validation Checks 2022-23'!C118),"NA")</f>
        <v>NA</v>
      </c>
      <c r="T63" s="7" t="str">
        <f>IF(C118&lt;&gt;0,((SUMIFS(TM[[#All],[Total Non-Claims Spending]],TM[[#All],[Reporting Year]],2023,TM[[#All],[Insurance Category Code]],'Data Validation Checks 2022-23'!A63,TM[[#All],[Large Provider Entity Code]],100))/'Data Validation Checks 2022-23'!C118),"NA")</f>
        <v>NA</v>
      </c>
      <c r="U63" s="7" t="str">
        <f>IF(C118&lt;&gt;0,((SUMIFS(TM[[#All],[Total Non-Truncated Claims and Non-Claims Spending]],TM[[#All],[Reporting Year]],2023,TM[[#All],[Insurance Category Code]],'Data Validation Checks 2022-23'!A63,TM[[#All],[Large Provider Entity Code]],100))/'Data Validation Checks 2022-23'!C118),"NA")</f>
        <v>NA</v>
      </c>
      <c r="V63"/>
      <c r="W63"/>
      <c r="X63"/>
      <c r="Y63"/>
      <c r="Z63"/>
      <c r="AA63"/>
      <c r="AB63"/>
      <c r="AC63"/>
    </row>
    <row r="64" spans="1:29" x14ac:dyDescent="0.25">
      <c r="A64" s="196" t="s">
        <v>413</v>
      </c>
      <c r="B64" s="191" t="str">
        <f>IFERROR(ABS(B59/B58-1),"NA")</f>
        <v>NA</v>
      </c>
      <c r="C64" s="192" t="str">
        <f t="shared" ref="C64:U64" si="31">IFERROR(ABS(C59/C58-1),"NA")</f>
        <v>NA</v>
      </c>
      <c r="D64" s="192" t="str">
        <f>IFERROR(ABS(D59/D58-1),"NA")</f>
        <v>NA</v>
      </c>
      <c r="E64" s="192" t="str">
        <f t="shared" si="31"/>
        <v>NA</v>
      </c>
      <c r="F64" s="192" t="str">
        <f t="shared" si="31"/>
        <v>NA</v>
      </c>
      <c r="G64" s="192" t="str">
        <f t="shared" si="31"/>
        <v>NA</v>
      </c>
      <c r="H64" s="192" t="str">
        <f t="shared" si="31"/>
        <v>NA</v>
      </c>
      <c r="I64" s="192" t="str">
        <f t="shared" si="31"/>
        <v>NA</v>
      </c>
      <c r="J64" s="192" t="str">
        <f t="shared" si="31"/>
        <v>NA</v>
      </c>
      <c r="K64" s="193" t="str">
        <f t="shared" si="31"/>
        <v>NA</v>
      </c>
      <c r="L64" s="191" t="str">
        <f t="shared" si="31"/>
        <v>NA</v>
      </c>
      <c r="M64" s="192" t="str">
        <f t="shared" si="31"/>
        <v>NA</v>
      </c>
      <c r="N64" s="192" t="str">
        <f t="shared" si="31"/>
        <v>NA</v>
      </c>
      <c r="O64" s="192" t="str">
        <f t="shared" si="31"/>
        <v>NA</v>
      </c>
      <c r="P64" s="192" t="str">
        <f t="shared" si="31"/>
        <v>NA</v>
      </c>
      <c r="Q64" s="192" t="str">
        <f t="shared" si="31"/>
        <v>NA</v>
      </c>
      <c r="R64" s="192" t="str">
        <f t="shared" si="31"/>
        <v>NA</v>
      </c>
      <c r="S64" s="192" t="str">
        <f t="shared" si="31"/>
        <v>NA</v>
      </c>
      <c r="T64" s="192" t="str">
        <f t="shared" si="31"/>
        <v>NA</v>
      </c>
      <c r="U64" s="192" t="str">
        <f t="shared" si="31"/>
        <v>NA</v>
      </c>
      <c r="V64"/>
      <c r="W64"/>
      <c r="X64"/>
      <c r="Y64"/>
      <c r="Z64"/>
      <c r="AA64"/>
      <c r="AB64"/>
      <c r="AC64"/>
    </row>
    <row r="65" spans="1:29" x14ac:dyDescent="0.25">
      <c r="A65" s="190" t="s">
        <v>414</v>
      </c>
      <c r="B65" s="191" t="str">
        <f t="shared" ref="B65:U65" si="32">IFERROR(IF(ABS(B59/B58-1)&lt;50%,"Yes","No"),"NA")</f>
        <v>NA</v>
      </c>
      <c r="C65" s="192" t="str">
        <f t="shared" si="32"/>
        <v>NA</v>
      </c>
      <c r="D65" s="192" t="str">
        <f t="shared" si="32"/>
        <v>NA</v>
      </c>
      <c r="E65" s="192" t="str">
        <f t="shared" si="32"/>
        <v>NA</v>
      </c>
      <c r="F65" s="192" t="str">
        <f t="shared" si="32"/>
        <v>NA</v>
      </c>
      <c r="G65" s="192" t="str">
        <f t="shared" si="32"/>
        <v>NA</v>
      </c>
      <c r="H65" s="192" t="str">
        <f t="shared" si="32"/>
        <v>NA</v>
      </c>
      <c r="I65" s="192" t="str">
        <f t="shared" si="32"/>
        <v>NA</v>
      </c>
      <c r="J65" s="192" t="str">
        <f t="shared" si="32"/>
        <v>NA</v>
      </c>
      <c r="K65" s="193" t="str">
        <f t="shared" si="32"/>
        <v>NA</v>
      </c>
      <c r="L65" s="191" t="str">
        <f t="shared" si="32"/>
        <v>NA</v>
      </c>
      <c r="M65" s="192" t="str">
        <f t="shared" si="32"/>
        <v>NA</v>
      </c>
      <c r="N65" s="192" t="str">
        <f t="shared" si="32"/>
        <v>NA</v>
      </c>
      <c r="O65" s="192" t="str">
        <f t="shared" si="32"/>
        <v>NA</v>
      </c>
      <c r="P65" s="192" t="str">
        <f t="shared" si="32"/>
        <v>NA</v>
      </c>
      <c r="Q65" s="192" t="str">
        <f t="shared" si="32"/>
        <v>NA</v>
      </c>
      <c r="R65" s="192" t="str">
        <f t="shared" si="32"/>
        <v>NA</v>
      </c>
      <c r="S65" s="192" t="str">
        <f t="shared" si="32"/>
        <v>NA</v>
      </c>
      <c r="T65" s="192" t="str">
        <f t="shared" si="32"/>
        <v>NA</v>
      </c>
      <c r="U65" s="192" t="str">
        <f t="shared" si="32"/>
        <v>NA</v>
      </c>
      <c r="V65"/>
      <c r="W65"/>
      <c r="X65"/>
      <c r="Y65"/>
      <c r="Z65"/>
      <c r="AA65"/>
      <c r="AB65"/>
      <c r="AC65"/>
    </row>
    <row r="66" spans="1:29" x14ac:dyDescent="0.25">
      <c r="A66"/>
      <c r="B66" s="241"/>
      <c r="C66" s="241"/>
      <c r="D66" s="241"/>
      <c r="E66" s="241"/>
      <c r="F66" s="241"/>
      <c r="G66"/>
      <c r="H66"/>
      <c r="I66"/>
      <c r="J66"/>
      <c r="K66"/>
      <c r="L66"/>
      <c r="M66"/>
      <c r="N66"/>
      <c r="O66"/>
      <c r="P66"/>
      <c r="Q66"/>
      <c r="R66"/>
      <c r="S66"/>
      <c r="T66"/>
      <c r="U66"/>
      <c r="V66"/>
      <c r="W66"/>
      <c r="X66"/>
      <c r="Y66"/>
      <c r="Z66"/>
      <c r="AA66"/>
      <c r="AB66"/>
      <c r="AC66"/>
    </row>
    <row r="67" spans="1:29" x14ac:dyDescent="0.25">
      <c r="A67"/>
      <c r="B67"/>
      <c r="C67"/>
      <c r="D67"/>
      <c r="E67"/>
      <c r="F67"/>
      <c r="G67"/>
      <c r="H67"/>
      <c r="I67"/>
      <c r="J67"/>
      <c r="K67"/>
      <c r="L67"/>
      <c r="M67"/>
      <c r="N67"/>
      <c r="O67"/>
      <c r="P67"/>
      <c r="Q67"/>
      <c r="R67"/>
      <c r="S67"/>
      <c r="T67"/>
      <c r="U67"/>
      <c r="V67"/>
      <c r="W67"/>
      <c r="X67"/>
      <c r="Y67"/>
      <c r="Z67"/>
      <c r="AA67"/>
      <c r="AB67"/>
      <c r="AC67"/>
    </row>
    <row r="68" spans="1:29" ht="14.25" customHeight="1" x14ac:dyDescent="0.25">
      <c r="A68" s="4" t="s">
        <v>415</v>
      </c>
      <c r="B68"/>
      <c r="C68"/>
      <c r="D68"/>
      <c r="E68"/>
      <c r="F68"/>
      <c r="G68"/>
      <c r="H68"/>
      <c r="I68"/>
      <c r="J68"/>
      <c r="K68"/>
      <c r="L68"/>
      <c r="M68"/>
      <c r="N68"/>
      <c r="O68"/>
      <c r="P68"/>
      <c r="Q68"/>
      <c r="R68"/>
      <c r="S68"/>
      <c r="T68"/>
      <c r="U68"/>
      <c r="V68"/>
      <c r="W68"/>
      <c r="X68"/>
      <c r="Y68"/>
      <c r="Z68"/>
      <c r="AA68"/>
      <c r="AB68"/>
      <c r="AC68"/>
    </row>
    <row r="69" spans="1:29" ht="14.25" customHeight="1" x14ac:dyDescent="0.25">
      <c r="A69" s="662" t="s">
        <v>416</v>
      </c>
      <c r="B69" s="662"/>
      <c r="C69" s="662"/>
      <c r="D69" s="662"/>
      <c r="E69" s="662"/>
      <c r="F69" s="662"/>
      <c r="G69" s="662"/>
      <c r="H69"/>
      <c r="I69"/>
      <c r="J69"/>
      <c r="K69"/>
      <c r="L69"/>
      <c r="M69"/>
      <c r="N69"/>
      <c r="O69"/>
      <c r="P69"/>
      <c r="Q69"/>
      <c r="R69"/>
      <c r="S69"/>
      <c r="T69"/>
      <c r="U69"/>
      <c r="V69"/>
      <c r="W69"/>
      <c r="X69"/>
      <c r="Y69"/>
      <c r="Z69"/>
      <c r="AA69"/>
      <c r="AB69"/>
      <c r="AC69"/>
    </row>
    <row r="70" spans="1:29" ht="30" customHeight="1" x14ac:dyDescent="0.25">
      <c r="A70" s="687" t="s">
        <v>417</v>
      </c>
      <c r="B70" s="687"/>
      <c r="C70" s="687"/>
      <c r="D70" s="687"/>
      <c r="E70" s="687"/>
      <c r="F70" s="687"/>
      <c r="G70" s="687"/>
      <c r="H70"/>
      <c r="I70"/>
      <c r="J70"/>
      <c r="K70"/>
      <c r="L70"/>
      <c r="M70"/>
      <c r="N70"/>
      <c r="O70"/>
      <c r="P70"/>
      <c r="Q70"/>
      <c r="R70"/>
      <c r="S70"/>
      <c r="T70"/>
      <c r="U70"/>
      <c r="V70"/>
      <c r="W70"/>
      <c r="X70"/>
      <c r="Y70"/>
      <c r="Z70"/>
      <c r="AA70"/>
      <c r="AB70"/>
      <c r="AC70"/>
    </row>
    <row r="71" spans="1:29" ht="15.75" customHeight="1" x14ac:dyDescent="0.25">
      <c r="A71" s="655" t="s">
        <v>418</v>
      </c>
      <c r="B71" s="668">
        <v>2022</v>
      </c>
      <c r="C71" s="674"/>
      <c r="D71" s="674"/>
      <c r="E71" s="670">
        <v>2023</v>
      </c>
      <c r="F71" s="677"/>
      <c r="G71" s="671"/>
      <c r="H71"/>
      <c r="I71"/>
      <c r="J71"/>
      <c r="K71"/>
      <c r="L71"/>
      <c r="M71"/>
      <c r="N71"/>
      <c r="O71"/>
      <c r="P71"/>
      <c r="Q71"/>
      <c r="R71"/>
      <c r="S71"/>
      <c r="T71"/>
      <c r="U71"/>
      <c r="V71"/>
      <c r="W71"/>
      <c r="X71"/>
      <c r="Y71"/>
      <c r="Z71"/>
      <c r="AA71"/>
      <c r="AB71"/>
      <c r="AC71"/>
    </row>
    <row r="72" spans="1:29" ht="30" x14ac:dyDescent="0.25">
      <c r="A72" s="655"/>
      <c r="B72" s="90" t="s">
        <v>393</v>
      </c>
      <c r="C72" s="91" t="s">
        <v>419</v>
      </c>
      <c r="D72" s="91" t="s">
        <v>420</v>
      </c>
      <c r="E72" s="87" t="s">
        <v>393</v>
      </c>
      <c r="F72" s="88" t="s">
        <v>419</v>
      </c>
      <c r="G72" s="88" t="s">
        <v>420</v>
      </c>
      <c r="H72"/>
      <c r="I72"/>
      <c r="J72"/>
      <c r="K72"/>
      <c r="L72"/>
      <c r="M72"/>
      <c r="N72"/>
      <c r="O72"/>
      <c r="P72"/>
      <c r="Q72"/>
      <c r="R72"/>
      <c r="S72"/>
      <c r="T72"/>
      <c r="U72"/>
      <c r="V72"/>
      <c r="W72"/>
      <c r="X72"/>
      <c r="Y72"/>
      <c r="Z72"/>
      <c r="AA72"/>
      <c r="AB72"/>
      <c r="AC72"/>
    </row>
    <row r="73" spans="1:29" ht="30" x14ac:dyDescent="0.25">
      <c r="A73" s="54" t="s">
        <v>421</v>
      </c>
      <c r="B73" s="178">
        <f>(B124+B131)/12</f>
        <v>0</v>
      </c>
      <c r="C73" s="173" t="str">
        <f>IFERROR((J124+J131)/12/B73,"NA")</f>
        <v>NA</v>
      </c>
      <c r="D73" s="173" t="str">
        <f>IFERROR((L124+L131)/12/B73,"NA")</f>
        <v>NA</v>
      </c>
      <c r="E73" s="176">
        <f>(C124+C131)/12</f>
        <v>0</v>
      </c>
      <c r="F73" s="173" t="str">
        <f>IFERROR((K124+K131)/12/E73,"NA")</f>
        <v>NA</v>
      </c>
      <c r="G73" s="173" t="str">
        <f>IFERROR((M124+M131)/12/E73,"NA")</f>
        <v>NA</v>
      </c>
      <c r="H73"/>
      <c r="I73"/>
      <c r="J73"/>
      <c r="K73"/>
      <c r="L73"/>
      <c r="M73"/>
      <c r="N73"/>
      <c r="O73"/>
      <c r="P73"/>
      <c r="Q73"/>
      <c r="R73"/>
      <c r="S73"/>
      <c r="T73"/>
      <c r="U73"/>
      <c r="V73"/>
      <c r="W73"/>
      <c r="X73"/>
      <c r="Y73"/>
      <c r="Z73"/>
      <c r="AA73"/>
      <c r="AB73"/>
      <c r="AC73"/>
    </row>
    <row r="74" spans="1:29" ht="45" customHeight="1" x14ac:dyDescent="0.25">
      <c r="A74" s="55" t="s">
        <v>422</v>
      </c>
      <c r="B74" s="179">
        <f>(B128+B129)/12</f>
        <v>0</v>
      </c>
      <c r="C74" s="175" t="str">
        <f>IFERROR((J128+J129)/12/B74,"NA")</f>
        <v>NA</v>
      </c>
      <c r="D74" s="175" t="str">
        <f>IFERROR((L128+L129)/12/B74,"NA")</f>
        <v>NA</v>
      </c>
      <c r="E74" s="177">
        <f>(C128+C129)/12</f>
        <v>0</v>
      </c>
      <c r="F74" s="175" t="str">
        <f>IFERROR((K128+K129)/12/E74,"NA")</f>
        <v>NA</v>
      </c>
      <c r="G74" s="175" t="str">
        <f>IFERROR((M128+M129)/12/E74,"NA")</f>
        <v>NA</v>
      </c>
      <c r="H74"/>
      <c r="I74"/>
      <c r="J74"/>
      <c r="K74"/>
      <c r="L74"/>
      <c r="M74"/>
      <c r="N74"/>
      <c r="O74"/>
      <c r="P74"/>
      <c r="Q74"/>
      <c r="R74"/>
      <c r="S74"/>
      <c r="T74"/>
      <c r="U74"/>
      <c r="V74"/>
      <c r="W74"/>
      <c r="X74"/>
      <c r="Y74"/>
      <c r="Z74"/>
      <c r="AA74"/>
      <c r="AB74"/>
      <c r="AC74"/>
    </row>
    <row r="75" spans="1:29" ht="30" x14ac:dyDescent="0.25">
      <c r="A75" s="54" t="s">
        <v>423</v>
      </c>
      <c r="B75" s="178">
        <f>B125/12</f>
        <v>0</v>
      </c>
      <c r="C75" s="173" t="str">
        <f>IFERROR((J125/12)/B75,"NA")</f>
        <v>NA</v>
      </c>
      <c r="D75" s="173" t="str">
        <f>IFERROR((L125/12)/B75,"NA")</f>
        <v>NA</v>
      </c>
      <c r="E75" s="176">
        <f>C125/12</f>
        <v>0</v>
      </c>
      <c r="F75" s="173" t="str">
        <f>IFERROR((K125/12)/E75,"NA")</f>
        <v>NA</v>
      </c>
      <c r="G75" s="173" t="str">
        <f>IFERROR((M125/12)/E75,"NA")</f>
        <v>NA</v>
      </c>
      <c r="H75"/>
      <c r="I75"/>
      <c r="J75"/>
      <c r="K75"/>
      <c r="L75"/>
      <c r="M75"/>
      <c r="N75"/>
      <c r="O75"/>
      <c r="P75"/>
      <c r="Q75"/>
      <c r="R75"/>
      <c r="S75"/>
      <c r="T75"/>
      <c r="U75"/>
      <c r="V75"/>
      <c r="W75"/>
      <c r="X75"/>
      <c r="Y75"/>
      <c r="Z75"/>
      <c r="AA75"/>
      <c r="AB75"/>
      <c r="AC75"/>
    </row>
    <row r="76" spans="1:29" ht="45" customHeight="1" x14ac:dyDescent="0.25">
      <c r="A76" s="54" t="s">
        <v>424</v>
      </c>
      <c r="B76" s="178">
        <f>(B126+B127+B130)/12</f>
        <v>0</v>
      </c>
      <c r="C76" s="173" t="str">
        <f>IFERROR((J126+J127+J130)/12/B76,"NA")</f>
        <v>NA</v>
      </c>
      <c r="D76" s="173" t="str">
        <f>IFERROR((L126+L127+L130)/12/B76,"NA")</f>
        <v>NA</v>
      </c>
      <c r="E76" s="176">
        <f>(C126+C127+C130)/12</f>
        <v>0</v>
      </c>
      <c r="F76" s="173" t="str">
        <f>IFERROR((K126+K127+K130)/12/E76,"NA")</f>
        <v>NA</v>
      </c>
      <c r="G76" s="173" t="str">
        <f>IFERROR((M126+M127+M130)/12/E76,"NA")</f>
        <v>NA</v>
      </c>
      <c r="H76"/>
      <c r="I76"/>
      <c r="J76"/>
      <c r="K76"/>
      <c r="L76"/>
      <c r="M76"/>
      <c r="N76"/>
      <c r="O76"/>
      <c r="P76"/>
      <c r="Q76"/>
      <c r="R76"/>
      <c r="S76"/>
      <c r="T76"/>
      <c r="U76"/>
      <c r="V76"/>
      <c r="W76"/>
      <c r="X76"/>
      <c r="Y76"/>
      <c r="Z76"/>
      <c r="AA76"/>
      <c r="AB76"/>
      <c r="AC76"/>
    </row>
    <row r="77" spans="1:29" x14ac:dyDescent="0.25">
      <c r="A77" s="187"/>
      <c r="B77"/>
      <c r="C77"/>
      <c r="D77"/>
      <c r="E77"/>
      <c r="F77"/>
      <c r="G77"/>
      <c r="H77"/>
      <c r="I77"/>
      <c r="J77"/>
      <c r="K77"/>
      <c r="L77"/>
      <c r="M77"/>
      <c r="N77"/>
      <c r="O77"/>
      <c r="P77"/>
      <c r="Q77"/>
      <c r="R77"/>
      <c r="S77"/>
      <c r="T77"/>
      <c r="U77"/>
      <c r="V77"/>
      <c r="W77"/>
      <c r="X77"/>
      <c r="Y77"/>
      <c r="Z77"/>
      <c r="AA77"/>
      <c r="AB77"/>
      <c r="AC77"/>
    </row>
    <row r="78" spans="1:29" x14ac:dyDescent="0.25">
      <c r="A78" s="188"/>
      <c r="B78"/>
      <c r="C78"/>
      <c r="D78"/>
      <c r="E78"/>
      <c r="F78"/>
      <c r="G78"/>
      <c r="H78"/>
      <c r="I78"/>
      <c r="J78"/>
      <c r="K78"/>
      <c r="L78"/>
      <c r="M78"/>
      <c r="N78"/>
      <c r="O78"/>
      <c r="P78"/>
      <c r="Q78"/>
      <c r="R78"/>
      <c r="S78"/>
      <c r="T78"/>
      <c r="U78"/>
      <c r="V78"/>
      <c r="W78"/>
      <c r="X78"/>
      <c r="Y78"/>
      <c r="Z78"/>
      <c r="AA78"/>
      <c r="AB78"/>
      <c r="AC78"/>
    </row>
    <row r="79" spans="1:29" ht="14.25" customHeight="1" x14ac:dyDescent="0.25">
      <c r="A79" s="4" t="s">
        <v>425</v>
      </c>
      <c r="B79"/>
      <c r="C79"/>
      <c r="D79"/>
      <c r="E79"/>
      <c r="F79"/>
      <c r="G79"/>
      <c r="H79"/>
      <c r="I79"/>
      <c r="J79"/>
      <c r="K79"/>
      <c r="L79"/>
      <c r="M79"/>
      <c r="N79"/>
      <c r="O79"/>
      <c r="P79"/>
      <c r="Q79"/>
      <c r="R79"/>
      <c r="S79"/>
      <c r="T79"/>
      <c r="U79"/>
      <c r="V79"/>
      <c r="W79"/>
      <c r="X79"/>
      <c r="Y79"/>
      <c r="Z79"/>
      <c r="AA79"/>
      <c r="AB79"/>
      <c r="AC79"/>
    </row>
    <row r="80" spans="1:29" ht="14.25" customHeight="1" x14ac:dyDescent="0.25">
      <c r="A80" s="685" t="s">
        <v>416</v>
      </c>
      <c r="B80" s="685"/>
      <c r="C80" s="685"/>
      <c r="D80" s="685"/>
      <c r="E80" s="685"/>
      <c r="F80" s="48"/>
      <c r="G80" s="48"/>
      <c r="H80"/>
      <c r="I80"/>
      <c r="J80"/>
      <c r="K80"/>
      <c r="L80"/>
      <c r="M80"/>
      <c r="N80"/>
      <c r="O80"/>
      <c r="P80"/>
      <c r="Q80"/>
      <c r="R80"/>
      <c r="S80"/>
      <c r="T80"/>
      <c r="U80"/>
      <c r="V80"/>
      <c r="W80"/>
      <c r="X80"/>
      <c r="Y80"/>
      <c r="Z80"/>
      <c r="AA80"/>
      <c r="AB80"/>
      <c r="AC80"/>
    </row>
    <row r="81" spans="1:29" ht="45" customHeight="1" x14ac:dyDescent="0.25">
      <c r="A81" s="672" t="s">
        <v>426</v>
      </c>
      <c r="B81" s="672"/>
      <c r="C81" s="672"/>
      <c r="D81" s="672"/>
      <c r="E81" s="672"/>
      <c r="F81" s="48"/>
      <c r="G81" s="48"/>
      <c r="H81"/>
      <c r="I81"/>
      <c r="J81"/>
      <c r="K81"/>
      <c r="L81"/>
      <c r="M81"/>
      <c r="N81"/>
      <c r="O81"/>
      <c r="P81"/>
      <c r="Q81"/>
      <c r="R81"/>
      <c r="S81"/>
      <c r="T81"/>
      <c r="U81"/>
      <c r="V81"/>
      <c r="W81"/>
      <c r="X81"/>
      <c r="Y81"/>
      <c r="Z81"/>
      <c r="AA81"/>
      <c r="AB81"/>
      <c r="AC81"/>
    </row>
    <row r="82" spans="1:29" ht="15.75" customHeight="1" x14ac:dyDescent="0.25">
      <c r="A82" s="655" t="s">
        <v>418</v>
      </c>
      <c r="B82" s="668">
        <v>2022</v>
      </c>
      <c r="C82" s="669"/>
      <c r="D82" s="670">
        <v>2023</v>
      </c>
      <c r="E82" s="671"/>
      <c r="F82"/>
      <c r="G82"/>
      <c r="H82"/>
      <c r="I82"/>
      <c r="J82"/>
      <c r="K82"/>
      <c r="L82"/>
      <c r="M82"/>
      <c r="N82"/>
      <c r="O82"/>
      <c r="P82"/>
      <c r="Q82"/>
      <c r="R82"/>
      <c r="S82"/>
      <c r="T82"/>
      <c r="U82"/>
      <c r="V82"/>
      <c r="W82"/>
      <c r="X82"/>
      <c r="Y82"/>
      <c r="Z82"/>
      <c r="AA82"/>
      <c r="AB82"/>
      <c r="AC82"/>
    </row>
    <row r="83" spans="1:29" ht="30" x14ac:dyDescent="0.25">
      <c r="A83" s="655"/>
      <c r="B83" s="90" t="s">
        <v>393</v>
      </c>
      <c r="C83" s="92" t="s">
        <v>427</v>
      </c>
      <c r="D83" s="87" t="s">
        <v>393</v>
      </c>
      <c r="E83" s="88" t="s">
        <v>427</v>
      </c>
      <c r="F83"/>
      <c r="G83"/>
      <c r="H83"/>
      <c r="I83"/>
      <c r="J83"/>
      <c r="K83"/>
      <c r="L83"/>
      <c r="M83"/>
      <c r="N83"/>
      <c r="O83"/>
      <c r="P83"/>
      <c r="Q83"/>
      <c r="R83"/>
      <c r="S83"/>
      <c r="T83"/>
      <c r="U83"/>
      <c r="V83"/>
      <c r="W83"/>
      <c r="X83"/>
      <c r="Y83"/>
      <c r="Z83"/>
      <c r="AA83"/>
      <c r="AB83"/>
      <c r="AC83"/>
    </row>
    <row r="84" spans="1:29" ht="30" x14ac:dyDescent="0.25">
      <c r="A84" s="54" t="s">
        <v>421</v>
      </c>
      <c r="B84" s="178">
        <f>(B124+B131)/12</f>
        <v>0</v>
      </c>
      <c r="C84" s="174" t="str">
        <f>IFERROR((V137+V144)/12/B84,"NA")</f>
        <v>NA</v>
      </c>
      <c r="D84" s="176">
        <f>(C124+C131)/12</f>
        <v>0</v>
      </c>
      <c r="E84" s="173" t="str">
        <f>IFERROR((W137+W144)/12/D84,"NA")</f>
        <v>NA</v>
      </c>
      <c r="F84"/>
      <c r="G84"/>
      <c r="H84"/>
      <c r="I84"/>
      <c r="J84"/>
      <c r="K84"/>
      <c r="L84"/>
      <c r="M84"/>
      <c r="N84"/>
      <c r="O84"/>
      <c r="P84"/>
      <c r="Q84"/>
      <c r="R84"/>
      <c r="S84"/>
      <c r="T84"/>
      <c r="U84"/>
      <c r="V84"/>
      <c r="W84"/>
      <c r="X84"/>
      <c r="Y84"/>
      <c r="Z84"/>
      <c r="AA84"/>
      <c r="AB84"/>
      <c r="AC84"/>
    </row>
    <row r="85" spans="1:29" ht="45" customHeight="1" x14ac:dyDescent="0.25">
      <c r="A85" s="55" t="s">
        <v>422</v>
      </c>
      <c r="B85" s="179">
        <f>(B128+B129)/12</f>
        <v>0</v>
      </c>
      <c r="C85" s="174" t="str">
        <f>IFERROR((V141+V142)/12/B85,"NA")</f>
        <v>NA</v>
      </c>
      <c r="D85" s="177">
        <f>(C128+C129)/12</f>
        <v>0</v>
      </c>
      <c r="E85" s="175" t="str">
        <f>IFERROR((W141+W142)/12/D85,"NA")</f>
        <v>NA</v>
      </c>
      <c r="F85"/>
      <c r="G85"/>
      <c r="H85"/>
      <c r="I85"/>
      <c r="J85"/>
      <c r="K85"/>
      <c r="L85"/>
      <c r="M85"/>
      <c r="N85"/>
      <c r="O85"/>
      <c r="P85"/>
      <c r="Q85"/>
      <c r="R85"/>
      <c r="S85"/>
      <c r="T85"/>
      <c r="U85"/>
      <c r="V85"/>
      <c r="W85"/>
      <c r="X85"/>
      <c r="Y85"/>
      <c r="Z85"/>
      <c r="AA85"/>
      <c r="AB85"/>
      <c r="AC85"/>
    </row>
    <row r="86" spans="1:29" ht="30" x14ac:dyDescent="0.25">
      <c r="A86" s="54" t="s">
        <v>423</v>
      </c>
      <c r="B86" s="178">
        <f>B125/12</f>
        <v>0</v>
      </c>
      <c r="C86" s="174" t="str">
        <f>IFERROR((V138/12)/B86,"NA")</f>
        <v>NA</v>
      </c>
      <c r="D86" s="176">
        <f>C125/12</f>
        <v>0</v>
      </c>
      <c r="E86" s="173" t="str">
        <f>IFERROR((W138/12)/D86,"NA")</f>
        <v>NA</v>
      </c>
      <c r="F86"/>
      <c r="G86"/>
      <c r="H86"/>
      <c r="I86"/>
      <c r="J86"/>
      <c r="K86"/>
      <c r="L86"/>
      <c r="M86"/>
      <c r="N86"/>
      <c r="O86"/>
      <c r="P86"/>
      <c r="Q86"/>
      <c r="R86"/>
      <c r="S86"/>
      <c r="T86"/>
      <c r="U86"/>
      <c r="V86"/>
      <c r="W86"/>
      <c r="X86"/>
      <c r="Y86"/>
      <c r="Z86"/>
      <c r="AA86"/>
      <c r="AB86"/>
      <c r="AC86"/>
    </row>
    <row r="87" spans="1:29" ht="45" customHeight="1" x14ac:dyDescent="0.25">
      <c r="A87" s="54" t="s">
        <v>424</v>
      </c>
      <c r="B87" s="178">
        <f>(B126+B127+B130)/12</f>
        <v>0</v>
      </c>
      <c r="C87" s="174" t="str">
        <f>IFERROR((V139+V140+V143)/12/B87,"NA")</f>
        <v>NA</v>
      </c>
      <c r="D87" s="176">
        <f>(C126+C127+C130)/12</f>
        <v>0</v>
      </c>
      <c r="E87" s="173" t="str">
        <f>IFERROR((W139+W140+W143)/12/D87,"NA")</f>
        <v>NA</v>
      </c>
      <c r="F87"/>
      <c r="G87"/>
      <c r="H87"/>
      <c r="I87"/>
      <c r="J87"/>
      <c r="K87"/>
      <c r="L87"/>
      <c r="M87"/>
      <c r="N87"/>
      <c r="O87"/>
      <c r="P87"/>
      <c r="Q87"/>
      <c r="R87"/>
      <c r="S87"/>
      <c r="T87"/>
      <c r="U87"/>
      <c r="V87"/>
      <c r="W87"/>
      <c r="X87"/>
      <c r="Y87"/>
      <c r="Z87"/>
      <c r="AA87"/>
      <c r="AB87"/>
      <c r="AC87"/>
    </row>
    <row r="88" spans="1:29" ht="45" customHeight="1" x14ac:dyDescent="0.25">
      <c r="A88" s="661" t="s">
        <v>428</v>
      </c>
      <c r="B88" s="661"/>
      <c r="C88" s="661"/>
      <c r="D88" s="661"/>
      <c r="E88" s="661"/>
      <c r="F88"/>
      <c r="G88"/>
      <c r="H88"/>
      <c r="I88"/>
      <c r="J88"/>
      <c r="K88"/>
      <c r="L88"/>
      <c r="M88"/>
      <c r="N88"/>
      <c r="O88"/>
      <c r="P88"/>
      <c r="Q88"/>
      <c r="R88"/>
      <c r="S88"/>
      <c r="T88"/>
      <c r="U88"/>
      <c r="V88"/>
      <c r="W88"/>
      <c r="X88"/>
      <c r="Y88"/>
      <c r="Z88"/>
      <c r="AA88"/>
      <c r="AB88"/>
      <c r="AC88"/>
    </row>
    <row r="89" spans="1:29" x14ac:dyDescent="0.25">
      <c r="A89" s="188"/>
      <c r="B89"/>
      <c r="C89"/>
      <c r="D89"/>
      <c r="E89"/>
      <c r="F89"/>
      <c r="G89"/>
      <c r="H89"/>
      <c r="I89"/>
      <c r="J89"/>
      <c r="K89"/>
      <c r="L89"/>
      <c r="M89"/>
      <c r="N89"/>
      <c r="O89"/>
      <c r="P89"/>
      <c r="Q89"/>
      <c r="R89"/>
      <c r="S89"/>
      <c r="T89"/>
      <c r="U89"/>
      <c r="V89"/>
      <c r="W89"/>
      <c r="X89"/>
      <c r="Y89"/>
      <c r="Z89"/>
      <c r="AA89"/>
      <c r="AB89"/>
      <c r="AC89"/>
    </row>
    <row r="90" spans="1:29" x14ac:dyDescent="0.25">
      <c r="A90"/>
      <c r="B90"/>
      <c r="C90"/>
      <c r="D90"/>
      <c r="E90"/>
      <c r="F90"/>
      <c r="G90"/>
      <c r="H90"/>
      <c r="I90"/>
      <c r="J90"/>
      <c r="K90"/>
      <c r="L90"/>
      <c r="M90"/>
      <c r="N90"/>
      <c r="O90"/>
      <c r="P90"/>
      <c r="Q90"/>
      <c r="R90"/>
      <c r="S90"/>
      <c r="T90"/>
      <c r="U90"/>
      <c r="V90"/>
      <c r="W90"/>
      <c r="X90"/>
      <c r="Y90"/>
      <c r="Z90"/>
      <c r="AA90"/>
      <c r="AB90"/>
      <c r="AC90"/>
    </row>
    <row r="91" spans="1:29" x14ac:dyDescent="0.25">
      <c r="A91" s="3" t="s">
        <v>429</v>
      </c>
      <c r="B91"/>
      <c r="C91"/>
      <c r="D91"/>
      <c r="E91"/>
      <c r="F91"/>
      <c r="G91"/>
      <c r="H91"/>
      <c r="I91"/>
      <c r="J91"/>
      <c r="K91"/>
      <c r="L91"/>
      <c r="M91"/>
      <c r="N91"/>
      <c r="O91"/>
      <c r="P91"/>
      <c r="Q91"/>
      <c r="R91"/>
      <c r="S91"/>
      <c r="T91"/>
      <c r="U91"/>
      <c r="V91"/>
      <c r="W91"/>
      <c r="X91"/>
      <c r="Y91"/>
      <c r="Z91"/>
      <c r="AA91"/>
      <c r="AB91"/>
      <c r="AC91"/>
    </row>
    <row r="92" spans="1:29" x14ac:dyDescent="0.25">
      <c r="A92" s="659" t="s">
        <v>61</v>
      </c>
      <c r="B92" s="690">
        <v>2022</v>
      </c>
      <c r="C92" s="691"/>
      <c r="D92" s="691"/>
      <c r="E92" s="691"/>
      <c r="F92" s="691"/>
      <c r="G92" s="691"/>
      <c r="H92" s="691"/>
      <c r="I92" s="691"/>
      <c r="J92" s="691"/>
      <c r="K92" s="691"/>
      <c r="L92" s="679">
        <v>2023</v>
      </c>
      <c r="M92" s="679"/>
      <c r="N92" s="679"/>
      <c r="O92" s="679"/>
      <c r="P92" s="679"/>
      <c r="Q92" s="679"/>
      <c r="R92" s="679"/>
      <c r="S92" s="679"/>
      <c r="T92" s="679"/>
      <c r="U92" s="679"/>
      <c r="V92"/>
      <c r="W92"/>
      <c r="X92"/>
      <c r="Y92"/>
      <c r="Z92"/>
      <c r="AA92"/>
      <c r="AB92"/>
      <c r="AC92"/>
    </row>
    <row r="93" spans="1:29" ht="73.5" customHeight="1" x14ac:dyDescent="0.25">
      <c r="A93" s="659"/>
      <c r="B93" s="90" t="s">
        <v>430</v>
      </c>
      <c r="C93" s="91" t="s">
        <v>431</v>
      </c>
      <c r="D93" s="91" t="s">
        <v>432</v>
      </c>
      <c r="E93" s="91" t="s">
        <v>433</v>
      </c>
      <c r="F93" s="91" t="s">
        <v>434</v>
      </c>
      <c r="G93" s="91" t="s">
        <v>435</v>
      </c>
      <c r="H93" s="91" t="s">
        <v>436</v>
      </c>
      <c r="I93" s="91" t="s">
        <v>437</v>
      </c>
      <c r="J93" s="91" t="s">
        <v>438</v>
      </c>
      <c r="K93" s="92" t="s">
        <v>439</v>
      </c>
      <c r="L93" s="87" t="s">
        <v>430</v>
      </c>
      <c r="M93" s="88" t="s">
        <v>431</v>
      </c>
      <c r="N93" s="88" t="s">
        <v>432</v>
      </c>
      <c r="O93" s="88" t="s">
        <v>433</v>
      </c>
      <c r="P93" s="88" t="s">
        <v>434</v>
      </c>
      <c r="Q93" s="88" t="s">
        <v>435</v>
      </c>
      <c r="R93" s="88" t="s">
        <v>436</v>
      </c>
      <c r="S93" s="88" t="s">
        <v>437</v>
      </c>
      <c r="T93" s="88" t="s">
        <v>438</v>
      </c>
      <c r="U93" s="88" t="s">
        <v>439</v>
      </c>
      <c r="V93"/>
      <c r="W93"/>
      <c r="X93"/>
      <c r="Y93"/>
      <c r="Z93"/>
      <c r="AA93"/>
      <c r="AB93"/>
      <c r="AC93"/>
    </row>
    <row r="94" spans="1:29" x14ac:dyDescent="0.25">
      <c r="A94" s="53">
        <v>1</v>
      </c>
      <c r="B94" s="185" t="str">
        <f>IFERROR((B150/B137),"NA")</f>
        <v>NA</v>
      </c>
      <c r="C94" s="7" t="str">
        <f>IFERROR((D150/D137),"NA")</f>
        <v>NA</v>
      </c>
      <c r="D94" s="7" t="str">
        <f>IFERROR((F150/F137),"NA")</f>
        <v>NA</v>
      </c>
      <c r="E94" s="7" t="str">
        <f t="shared" ref="E94:E101" si="33">IFERROR((H150/H137),"NA")</f>
        <v>NA</v>
      </c>
      <c r="F94" s="7" t="str">
        <f>IFERROR((J150/J137),"NA")</f>
        <v>NA</v>
      </c>
      <c r="G94" s="7" t="str">
        <f t="shared" ref="G94:G101" si="34">IFERROR((L150/L137),"NA")</f>
        <v>NA</v>
      </c>
      <c r="H94" s="7" t="str">
        <f t="shared" ref="H94:H101" si="35">IFERROR((N150/N137),"NA")</f>
        <v>NA</v>
      </c>
      <c r="I94" s="7" t="str">
        <f t="shared" ref="I94:I101" si="36">IFERROR((P150/P137),"NA")</f>
        <v>NA</v>
      </c>
      <c r="J94" s="7" t="str">
        <f t="shared" ref="J94:J101" si="37">IFERROR((R150/R137),"NA")</f>
        <v>NA</v>
      </c>
      <c r="K94" s="96" t="str">
        <f>IFERROR((T150/T137),"NA")</f>
        <v>NA</v>
      </c>
      <c r="L94" s="185" t="str">
        <f>IFERROR((C150/C137),"NA")</f>
        <v>NA</v>
      </c>
      <c r="M94" s="7" t="str">
        <f>IFERROR((E150/E137),"NA")</f>
        <v>NA</v>
      </c>
      <c r="N94" s="7" t="str">
        <f>IFERROR((G150/G137),"NA")</f>
        <v>NA</v>
      </c>
      <c r="O94" s="7" t="str">
        <f>IFERROR((I150/I137),"NA")</f>
        <v>NA</v>
      </c>
      <c r="P94" s="7" t="str">
        <f>IFERROR((K150/K137),"NA")</f>
        <v>NA</v>
      </c>
      <c r="Q94" s="7" t="str">
        <f t="shared" ref="Q94:Q101" si="38">IFERROR((M150/M137),"NA")</f>
        <v>NA</v>
      </c>
      <c r="R94" s="7" t="str">
        <f t="shared" ref="R94:R101" si="39">IFERROR((O150/O137),"NA")</f>
        <v>NA</v>
      </c>
      <c r="S94" s="7" t="str">
        <f t="shared" ref="S94:S101" si="40">IFERROR((Q150/Q137),"NA")</f>
        <v>NA</v>
      </c>
      <c r="T94" s="7" t="str">
        <f>IFERROR((S150/S137),"NA")</f>
        <v>NA</v>
      </c>
      <c r="U94" s="7" t="str">
        <f>IFERROR((U150/U137),"NA")</f>
        <v>NA</v>
      </c>
      <c r="V94"/>
      <c r="W94"/>
      <c r="X94"/>
      <c r="Y94"/>
      <c r="Z94"/>
      <c r="AA94"/>
      <c r="AB94"/>
      <c r="AC94"/>
    </row>
    <row r="95" spans="1:29" x14ac:dyDescent="0.25">
      <c r="A95" s="53">
        <v>2</v>
      </c>
      <c r="B95" s="185" t="str">
        <f>IFERROR((B151/B138),"NA")</f>
        <v>NA</v>
      </c>
      <c r="C95" s="7" t="str">
        <f>IFERROR((D151/D138),"NA")</f>
        <v>NA</v>
      </c>
      <c r="D95" s="7" t="str">
        <f>IFERROR((F151/F138),"NA")</f>
        <v>NA</v>
      </c>
      <c r="E95" s="7" t="str">
        <f t="shared" si="33"/>
        <v>NA</v>
      </c>
      <c r="F95" s="7" t="str">
        <f t="shared" ref="F95:F101" si="41">IFERROR((J151/J138),"NA")</f>
        <v>NA</v>
      </c>
      <c r="G95" s="7" t="str">
        <f t="shared" si="34"/>
        <v>NA</v>
      </c>
      <c r="H95" s="7" t="str">
        <f t="shared" si="35"/>
        <v>NA</v>
      </c>
      <c r="I95" s="7" t="str">
        <f t="shared" si="36"/>
        <v>NA</v>
      </c>
      <c r="J95" s="7" t="str">
        <f t="shared" si="37"/>
        <v>NA</v>
      </c>
      <c r="K95" s="96" t="str">
        <f t="shared" ref="K95:K101" si="42">IFERROR((T151/T138),"NA")</f>
        <v>NA</v>
      </c>
      <c r="L95" s="185" t="str">
        <f>IFERROR((C151/C138),"NA")</f>
        <v>NA</v>
      </c>
      <c r="M95" s="7" t="str">
        <f>IFERROR((E151/E138),"NA")</f>
        <v>NA</v>
      </c>
      <c r="N95" s="7" t="str">
        <f>IFERROR((G151/G138),"NA")</f>
        <v>NA</v>
      </c>
      <c r="O95" s="7" t="str">
        <f>IFERROR((I151/I138),"NA")</f>
        <v>NA</v>
      </c>
      <c r="P95" s="7" t="str">
        <f t="shared" ref="P95:P101" si="43">IFERROR((K151/K138),"NA")</f>
        <v>NA</v>
      </c>
      <c r="Q95" s="7" t="str">
        <f t="shared" si="38"/>
        <v>NA</v>
      </c>
      <c r="R95" s="7" t="str">
        <f t="shared" si="39"/>
        <v>NA</v>
      </c>
      <c r="S95" s="7" t="str">
        <f t="shared" si="40"/>
        <v>NA</v>
      </c>
      <c r="T95" s="7" t="str">
        <f t="shared" ref="T95:T101" si="44">IFERROR((S151/S138),"NA")</f>
        <v>NA</v>
      </c>
      <c r="U95" s="7" t="str">
        <f t="shared" ref="U95:U101" si="45">IFERROR((U151/U138),"NA")</f>
        <v>NA</v>
      </c>
      <c r="V95"/>
      <c r="W95"/>
      <c r="X95"/>
      <c r="Y95"/>
      <c r="Z95"/>
      <c r="AA95"/>
      <c r="AB95"/>
      <c r="AC95"/>
    </row>
    <row r="96" spans="1:29" x14ac:dyDescent="0.25">
      <c r="A96" s="53">
        <v>3</v>
      </c>
      <c r="B96" s="185" t="str">
        <f>IFERROR((B152/B139),"NA")</f>
        <v>NA</v>
      </c>
      <c r="C96" s="7" t="str">
        <f>IFERROR((D152/D139),"NA")</f>
        <v>NA</v>
      </c>
      <c r="D96" s="7" t="str">
        <f>IFERROR((F152/F139),"NA")</f>
        <v>NA</v>
      </c>
      <c r="E96" s="7" t="str">
        <f t="shared" si="33"/>
        <v>NA</v>
      </c>
      <c r="F96" s="7" t="str">
        <f t="shared" si="41"/>
        <v>NA</v>
      </c>
      <c r="G96" s="7" t="str">
        <f t="shared" si="34"/>
        <v>NA</v>
      </c>
      <c r="H96" s="7" t="str">
        <f t="shared" si="35"/>
        <v>NA</v>
      </c>
      <c r="I96" s="7" t="str">
        <f t="shared" si="36"/>
        <v>NA</v>
      </c>
      <c r="J96" s="7" t="str">
        <f t="shared" si="37"/>
        <v>NA</v>
      </c>
      <c r="K96" s="96" t="str">
        <f t="shared" si="42"/>
        <v>NA</v>
      </c>
      <c r="L96" s="185" t="str">
        <f>IFERROR((C152/C139),"NA")</f>
        <v>NA</v>
      </c>
      <c r="M96" s="7" t="str">
        <f>IFERROR((E152/E139),"NA")</f>
        <v>NA</v>
      </c>
      <c r="N96" s="7" t="str">
        <f>IFERROR((G152/G139),"NA")</f>
        <v>NA</v>
      </c>
      <c r="O96" s="7" t="str">
        <f>IFERROR((I152/I139),"NA")</f>
        <v>NA</v>
      </c>
      <c r="P96" s="7" t="str">
        <f t="shared" si="43"/>
        <v>NA</v>
      </c>
      <c r="Q96" s="7" t="str">
        <f t="shared" si="38"/>
        <v>NA</v>
      </c>
      <c r="R96" s="7" t="str">
        <f t="shared" si="39"/>
        <v>NA</v>
      </c>
      <c r="S96" s="7" t="str">
        <f t="shared" si="40"/>
        <v>NA</v>
      </c>
      <c r="T96" s="7" t="str">
        <f t="shared" si="44"/>
        <v>NA</v>
      </c>
      <c r="U96" s="7" t="str">
        <f t="shared" si="45"/>
        <v>NA</v>
      </c>
      <c r="V96"/>
      <c r="W96"/>
      <c r="X96"/>
      <c r="Y96"/>
      <c r="Z96"/>
      <c r="AA96"/>
      <c r="AB96"/>
      <c r="AC96"/>
    </row>
    <row r="97" spans="1:29" x14ac:dyDescent="0.25">
      <c r="A97" s="53">
        <v>4</v>
      </c>
      <c r="B97" s="185" t="str">
        <f>IFERROR((B153/B140),"NA")</f>
        <v>NA</v>
      </c>
      <c r="C97" s="7" t="str">
        <f>IFERROR((D153/D140),"NA")</f>
        <v>NA</v>
      </c>
      <c r="D97" s="7" t="str">
        <f>IFERROR((F153/F140),"NA")</f>
        <v>NA</v>
      </c>
      <c r="E97" s="7" t="str">
        <f t="shared" si="33"/>
        <v>NA</v>
      </c>
      <c r="F97" s="7" t="str">
        <f t="shared" si="41"/>
        <v>NA</v>
      </c>
      <c r="G97" s="7" t="str">
        <f t="shared" si="34"/>
        <v>NA</v>
      </c>
      <c r="H97" s="7" t="str">
        <f t="shared" si="35"/>
        <v>NA</v>
      </c>
      <c r="I97" s="7" t="str">
        <f t="shared" si="36"/>
        <v>NA</v>
      </c>
      <c r="J97" s="7" t="str">
        <f t="shared" si="37"/>
        <v>NA</v>
      </c>
      <c r="K97" s="96" t="str">
        <f t="shared" si="42"/>
        <v>NA</v>
      </c>
      <c r="L97" s="185" t="str">
        <f>IFERROR((C153/C140),"NA")</f>
        <v>NA</v>
      </c>
      <c r="M97" s="7" t="str">
        <f>IFERROR((E153/E140),"NA")</f>
        <v>NA</v>
      </c>
      <c r="N97" s="7" t="str">
        <f>IFERROR((G153/G140),"NA")</f>
        <v>NA</v>
      </c>
      <c r="O97" s="7" t="str">
        <f>IFERROR((I153/I140),"NA")</f>
        <v>NA</v>
      </c>
      <c r="P97" s="7" t="str">
        <f t="shared" si="43"/>
        <v>NA</v>
      </c>
      <c r="Q97" s="7" t="str">
        <f t="shared" si="38"/>
        <v>NA</v>
      </c>
      <c r="R97" s="7" t="str">
        <f t="shared" si="39"/>
        <v>NA</v>
      </c>
      <c r="S97" s="7" t="str">
        <f t="shared" si="40"/>
        <v>NA</v>
      </c>
      <c r="T97" s="7" t="str">
        <f t="shared" si="44"/>
        <v>NA</v>
      </c>
      <c r="U97" s="7" t="str">
        <f t="shared" si="45"/>
        <v>NA</v>
      </c>
      <c r="V97"/>
      <c r="W97"/>
      <c r="X97"/>
      <c r="Y97"/>
      <c r="Z97"/>
      <c r="AA97"/>
      <c r="AB97"/>
      <c r="AC97"/>
    </row>
    <row r="98" spans="1:29" x14ac:dyDescent="0.25">
      <c r="A98" s="53">
        <v>5</v>
      </c>
      <c r="B98" s="185" t="str">
        <f>IFERROR((B154/B141),"NA")</f>
        <v>NA</v>
      </c>
      <c r="C98" s="7" t="str">
        <f>IFERROR((D154/D141),"NA")</f>
        <v>NA</v>
      </c>
      <c r="D98" s="7" t="str">
        <f>IFERROR((F154/F141),"NA")</f>
        <v>NA</v>
      </c>
      <c r="E98" s="7" t="str">
        <f t="shared" si="33"/>
        <v>NA</v>
      </c>
      <c r="F98" s="7" t="str">
        <f t="shared" si="41"/>
        <v>NA</v>
      </c>
      <c r="G98" s="7" t="str">
        <f t="shared" si="34"/>
        <v>NA</v>
      </c>
      <c r="H98" s="7" t="str">
        <f t="shared" si="35"/>
        <v>NA</v>
      </c>
      <c r="I98" s="7" t="str">
        <f t="shared" si="36"/>
        <v>NA</v>
      </c>
      <c r="J98" s="7" t="str">
        <f t="shared" si="37"/>
        <v>NA</v>
      </c>
      <c r="K98" s="96" t="str">
        <f t="shared" si="42"/>
        <v>NA</v>
      </c>
      <c r="L98" s="185" t="str">
        <f>IFERROR((C154/C141),"NA")</f>
        <v>NA</v>
      </c>
      <c r="M98" s="7" t="str">
        <f>IFERROR((E154/E141),"NA")</f>
        <v>NA</v>
      </c>
      <c r="N98" s="7" t="str">
        <f>IFERROR((G154/G141),"NA")</f>
        <v>NA</v>
      </c>
      <c r="O98" s="7" t="str">
        <f>IFERROR((I154/I141),"NA")</f>
        <v>NA</v>
      </c>
      <c r="P98" s="7" t="str">
        <f t="shared" si="43"/>
        <v>NA</v>
      </c>
      <c r="Q98" s="7" t="str">
        <f t="shared" si="38"/>
        <v>NA</v>
      </c>
      <c r="R98" s="7" t="str">
        <f t="shared" si="39"/>
        <v>NA</v>
      </c>
      <c r="S98" s="7" t="str">
        <f t="shared" si="40"/>
        <v>NA</v>
      </c>
      <c r="T98" s="7" t="str">
        <f t="shared" si="44"/>
        <v>NA</v>
      </c>
      <c r="U98" s="7" t="str">
        <f t="shared" si="45"/>
        <v>NA</v>
      </c>
      <c r="V98"/>
      <c r="W98"/>
      <c r="X98"/>
      <c r="Y98"/>
      <c r="Z98"/>
      <c r="AA98"/>
      <c r="AB98"/>
      <c r="AC98"/>
    </row>
    <row r="99" spans="1:29" x14ac:dyDescent="0.25">
      <c r="A99" s="53">
        <v>6</v>
      </c>
      <c r="B99" s="185" t="str">
        <f t="shared" ref="B99:B101" si="46">IFERROR((B155/B142),"NA")</f>
        <v>NA</v>
      </c>
      <c r="C99" s="7" t="str">
        <f t="shared" ref="C99:C101" si="47">IFERROR((D155/D142),"NA")</f>
        <v>NA</v>
      </c>
      <c r="D99" s="7" t="str">
        <f t="shared" ref="D99:D101" si="48">IFERROR((F155/F142),"NA")</f>
        <v>NA</v>
      </c>
      <c r="E99" s="7" t="str">
        <f t="shared" si="33"/>
        <v>NA</v>
      </c>
      <c r="F99" s="7" t="str">
        <f t="shared" si="41"/>
        <v>NA</v>
      </c>
      <c r="G99" s="7" t="str">
        <f t="shared" si="34"/>
        <v>NA</v>
      </c>
      <c r="H99" s="7" t="str">
        <f t="shared" si="35"/>
        <v>NA</v>
      </c>
      <c r="I99" s="7" t="str">
        <f t="shared" si="36"/>
        <v>NA</v>
      </c>
      <c r="J99" s="7" t="str">
        <f t="shared" si="37"/>
        <v>NA</v>
      </c>
      <c r="K99" s="96" t="str">
        <f t="shared" si="42"/>
        <v>NA</v>
      </c>
      <c r="L99" s="185" t="str">
        <f t="shared" ref="L99:L101" si="49">IFERROR((C155/C142),"NA")</f>
        <v>NA</v>
      </c>
      <c r="M99" s="7" t="str">
        <f t="shared" ref="M99:M100" si="50">IFERROR((E155/E142),"NA")</f>
        <v>NA</v>
      </c>
      <c r="N99" s="7" t="str">
        <f t="shared" ref="N99:N101" si="51">IFERROR((G155/G142),"NA")</f>
        <v>NA</v>
      </c>
      <c r="O99" s="7" t="str">
        <f t="shared" ref="O99:O101" si="52">IFERROR((I155/I142),"NA")</f>
        <v>NA</v>
      </c>
      <c r="P99" s="7" t="str">
        <f t="shared" si="43"/>
        <v>NA</v>
      </c>
      <c r="Q99" s="7" t="str">
        <f t="shared" si="38"/>
        <v>NA</v>
      </c>
      <c r="R99" s="7" t="str">
        <f t="shared" si="39"/>
        <v>NA</v>
      </c>
      <c r="S99" s="7" t="str">
        <f t="shared" si="40"/>
        <v>NA</v>
      </c>
      <c r="T99" s="7" t="str">
        <f t="shared" si="44"/>
        <v>NA</v>
      </c>
      <c r="U99" s="7" t="str">
        <f t="shared" si="45"/>
        <v>NA</v>
      </c>
      <c r="V99"/>
      <c r="W99"/>
      <c r="X99"/>
      <c r="Y99"/>
      <c r="Z99"/>
      <c r="AA99"/>
      <c r="AB99"/>
      <c r="AC99"/>
    </row>
    <row r="100" spans="1:29" x14ac:dyDescent="0.25">
      <c r="A100" s="53">
        <v>7</v>
      </c>
      <c r="B100" s="185" t="str">
        <f t="shared" si="46"/>
        <v>NA</v>
      </c>
      <c r="C100" s="7" t="str">
        <f t="shared" si="47"/>
        <v>NA</v>
      </c>
      <c r="D100" s="7" t="str">
        <f t="shared" si="48"/>
        <v>NA</v>
      </c>
      <c r="E100" s="7" t="str">
        <f t="shared" si="33"/>
        <v>NA</v>
      </c>
      <c r="F100" s="7" t="str">
        <f>IFERROR((J156/J143),"NA")</f>
        <v>NA</v>
      </c>
      <c r="G100" s="7" t="str">
        <f t="shared" si="34"/>
        <v>NA</v>
      </c>
      <c r="H100" s="7" t="str">
        <f t="shared" si="35"/>
        <v>NA</v>
      </c>
      <c r="I100" s="7" t="str">
        <f t="shared" si="36"/>
        <v>NA</v>
      </c>
      <c r="J100" s="7" t="str">
        <f t="shared" si="37"/>
        <v>NA</v>
      </c>
      <c r="K100" s="96" t="str">
        <f t="shared" si="42"/>
        <v>NA</v>
      </c>
      <c r="L100" s="185" t="str">
        <f t="shared" si="49"/>
        <v>NA</v>
      </c>
      <c r="M100" s="7" t="str">
        <f t="shared" si="50"/>
        <v>NA</v>
      </c>
      <c r="N100" s="7" t="str">
        <f t="shared" si="51"/>
        <v>NA</v>
      </c>
      <c r="O100" s="7" t="str">
        <f t="shared" si="52"/>
        <v>NA</v>
      </c>
      <c r="P100" s="7" t="str">
        <f t="shared" si="43"/>
        <v>NA</v>
      </c>
      <c r="Q100" s="7" t="str">
        <f t="shared" si="38"/>
        <v>NA</v>
      </c>
      <c r="R100" s="7" t="str">
        <f t="shared" si="39"/>
        <v>NA</v>
      </c>
      <c r="S100" s="7" t="str">
        <f t="shared" si="40"/>
        <v>NA</v>
      </c>
      <c r="T100" s="7" t="str">
        <f t="shared" si="44"/>
        <v>NA</v>
      </c>
      <c r="U100" s="7" t="str">
        <f t="shared" si="45"/>
        <v>NA</v>
      </c>
      <c r="V100"/>
      <c r="W100"/>
      <c r="X100"/>
      <c r="Y100"/>
      <c r="Z100"/>
      <c r="AA100"/>
      <c r="AB100"/>
      <c r="AC100"/>
    </row>
    <row r="101" spans="1:29" x14ac:dyDescent="0.25">
      <c r="A101" s="53">
        <v>8</v>
      </c>
      <c r="B101" s="185" t="str">
        <f t="shared" si="46"/>
        <v>NA</v>
      </c>
      <c r="C101" s="7" t="str">
        <f t="shared" si="47"/>
        <v>NA</v>
      </c>
      <c r="D101" s="7" t="str">
        <f t="shared" si="48"/>
        <v>NA</v>
      </c>
      <c r="E101" s="7" t="str">
        <f t="shared" si="33"/>
        <v>NA</v>
      </c>
      <c r="F101" s="7" t="str">
        <f t="shared" si="41"/>
        <v>NA</v>
      </c>
      <c r="G101" s="7" t="str">
        <f t="shared" si="34"/>
        <v>NA</v>
      </c>
      <c r="H101" s="7" t="str">
        <f t="shared" si="35"/>
        <v>NA</v>
      </c>
      <c r="I101" s="7" t="str">
        <f t="shared" si="36"/>
        <v>NA</v>
      </c>
      <c r="J101" s="7" t="str">
        <f t="shared" si="37"/>
        <v>NA</v>
      </c>
      <c r="K101" s="96" t="str">
        <f t="shared" si="42"/>
        <v>NA</v>
      </c>
      <c r="L101" s="185" t="str">
        <f t="shared" si="49"/>
        <v>NA</v>
      </c>
      <c r="M101" s="7" t="str">
        <f>IFERROR((E157/E144),"NA")</f>
        <v>NA</v>
      </c>
      <c r="N101" s="7" t="str">
        <f t="shared" si="51"/>
        <v>NA</v>
      </c>
      <c r="O101" s="7" t="str">
        <f t="shared" si="52"/>
        <v>NA</v>
      </c>
      <c r="P101" s="7" t="str">
        <f t="shared" si="43"/>
        <v>NA</v>
      </c>
      <c r="Q101" s="7" t="str">
        <f t="shared" si="38"/>
        <v>NA</v>
      </c>
      <c r="R101" s="7" t="str">
        <f t="shared" si="39"/>
        <v>NA</v>
      </c>
      <c r="S101" s="7" t="str">
        <f t="shared" si="40"/>
        <v>NA</v>
      </c>
      <c r="T101" s="7" t="str">
        <f t="shared" si="44"/>
        <v>NA</v>
      </c>
      <c r="U101" s="7" t="str">
        <f t="shared" si="45"/>
        <v>NA</v>
      </c>
      <c r="V101"/>
      <c r="W101"/>
      <c r="X101"/>
      <c r="Y101"/>
      <c r="Z101"/>
      <c r="AA101"/>
      <c r="AB101"/>
      <c r="AC101"/>
    </row>
    <row r="102" spans="1:29" x14ac:dyDescent="0.25">
      <c r="A102" s="265" t="s">
        <v>440</v>
      </c>
      <c r="B102" s="235" t="str">
        <f>IFERROR((AVERAGE(B94,B98,B101)),"NA")</f>
        <v>NA</v>
      </c>
      <c r="C102" s="236" t="str">
        <f t="shared" ref="C102:U102" si="53">IFERROR((AVERAGE(C94,C98,C101)),"NA")</f>
        <v>NA</v>
      </c>
      <c r="D102" s="236" t="str">
        <f t="shared" si="53"/>
        <v>NA</v>
      </c>
      <c r="E102" s="236" t="str">
        <f t="shared" si="53"/>
        <v>NA</v>
      </c>
      <c r="F102" s="236" t="str">
        <f t="shared" si="53"/>
        <v>NA</v>
      </c>
      <c r="G102" s="236" t="str">
        <f t="shared" si="53"/>
        <v>NA</v>
      </c>
      <c r="H102" s="236" t="str">
        <f t="shared" si="53"/>
        <v>NA</v>
      </c>
      <c r="I102" s="236" t="str">
        <f t="shared" si="53"/>
        <v>NA</v>
      </c>
      <c r="J102" s="236" t="str">
        <f t="shared" si="53"/>
        <v>NA</v>
      </c>
      <c r="K102" s="237" t="str">
        <f t="shared" si="53"/>
        <v>NA</v>
      </c>
      <c r="L102" s="235" t="str">
        <f t="shared" si="53"/>
        <v>NA</v>
      </c>
      <c r="M102" s="236" t="str">
        <f t="shared" si="53"/>
        <v>NA</v>
      </c>
      <c r="N102" s="236" t="str">
        <f t="shared" si="53"/>
        <v>NA</v>
      </c>
      <c r="O102" s="236" t="str">
        <f t="shared" si="53"/>
        <v>NA</v>
      </c>
      <c r="P102" s="236" t="str">
        <f>IFERROR((AVERAGE(P94,P98,P101)),"NA")</f>
        <v>NA</v>
      </c>
      <c r="Q102" s="236" t="str">
        <f t="shared" si="53"/>
        <v>NA</v>
      </c>
      <c r="R102" s="236" t="str">
        <f t="shared" si="53"/>
        <v>NA</v>
      </c>
      <c r="S102" s="236" t="str">
        <f t="shared" si="53"/>
        <v>NA</v>
      </c>
      <c r="T102" s="236" t="str">
        <f t="shared" si="53"/>
        <v>NA</v>
      </c>
      <c r="U102" s="236" t="str">
        <f t="shared" si="53"/>
        <v>NA</v>
      </c>
      <c r="V102"/>
      <c r="W102"/>
      <c r="X102"/>
      <c r="Y102"/>
      <c r="Z102"/>
      <c r="AA102"/>
      <c r="AB102"/>
      <c r="AC102"/>
    </row>
    <row r="103" spans="1:29" x14ac:dyDescent="0.25">
      <c r="A103" s="266" t="s">
        <v>441</v>
      </c>
      <c r="B103" s="238" t="str">
        <f>IFERROR((AVERAGE(B95,B99)),"NA")</f>
        <v>NA</v>
      </c>
      <c r="C103" s="239" t="str">
        <f t="shared" ref="C103:U103" si="54">IFERROR((AVERAGE(C95,C99)),"NA")</f>
        <v>NA</v>
      </c>
      <c r="D103" s="239" t="str">
        <f t="shared" si="54"/>
        <v>NA</v>
      </c>
      <c r="E103" s="239" t="str">
        <f t="shared" si="54"/>
        <v>NA</v>
      </c>
      <c r="F103" s="239" t="str">
        <f t="shared" si="54"/>
        <v>NA</v>
      </c>
      <c r="G103" s="239" t="str">
        <f t="shared" si="54"/>
        <v>NA</v>
      </c>
      <c r="H103" s="239" t="str">
        <f t="shared" si="54"/>
        <v>NA</v>
      </c>
      <c r="I103" s="239" t="str">
        <f t="shared" si="54"/>
        <v>NA</v>
      </c>
      <c r="J103" s="239" t="str">
        <f t="shared" si="54"/>
        <v>NA</v>
      </c>
      <c r="K103" s="240" t="str">
        <f t="shared" si="54"/>
        <v>NA</v>
      </c>
      <c r="L103" s="238" t="str">
        <f t="shared" si="54"/>
        <v>NA</v>
      </c>
      <c r="M103" s="239" t="str">
        <f t="shared" si="54"/>
        <v>NA</v>
      </c>
      <c r="N103" s="239" t="str">
        <f t="shared" si="54"/>
        <v>NA</v>
      </c>
      <c r="O103" s="239" t="str">
        <f t="shared" si="54"/>
        <v>NA</v>
      </c>
      <c r="P103" s="239" t="str">
        <f>IFERROR((AVERAGE(P95,P99)),"NA")</f>
        <v>NA</v>
      </c>
      <c r="Q103" s="239" t="str">
        <f t="shared" si="54"/>
        <v>NA</v>
      </c>
      <c r="R103" s="239" t="str">
        <f t="shared" si="54"/>
        <v>NA</v>
      </c>
      <c r="S103" s="239" t="str">
        <f t="shared" si="54"/>
        <v>NA</v>
      </c>
      <c r="T103" s="239" t="str">
        <f t="shared" si="54"/>
        <v>NA</v>
      </c>
      <c r="U103" s="239" t="str">
        <f t="shared" si="54"/>
        <v>NA</v>
      </c>
      <c r="V103"/>
      <c r="W103"/>
      <c r="X103"/>
      <c r="Y103"/>
      <c r="Z103"/>
      <c r="AA103"/>
      <c r="AB103"/>
      <c r="AC103"/>
    </row>
    <row r="104" spans="1:29" x14ac:dyDescent="0.25">
      <c r="A104" s="309" t="s">
        <v>442</v>
      </c>
      <c r="B104" s="238" t="str">
        <f>IFERROR((AVERAGE(B96,B97,B100)),"NA")</f>
        <v>NA</v>
      </c>
      <c r="C104" s="239" t="str">
        <f t="shared" ref="C104:U104" si="55">IFERROR((AVERAGE(C96,C97,C100)),"NA")</f>
        <v>NA</v>
      </c>
      <c r="D104" s="239" t="str">
        <f t="shared" si="55"/>
        <v>NA</v>
      </c>
      <c r="E104" s="239" t="str">
        <f t="shared" si="55"/>
        <v>NA</v>
      </c>
      <c r="F104" s="239" t="str">
        <f t="shared" si="55"/>
        <v>NA</v>
      </c>
      <c r="G104" s="239" t="str">
        <f t="shared" si="55"/>
        <v>NA</v>
      </c>
      <c r="H104" s="239" t="str">
        <f t="shared" si="55"/>
        <v>NA</v>
      </c>
      <c r="I104" s="239" t="str">
        <f t="shared" si="55"/>
        <v>NA</v>
      </c>
      <c r="J104" s="239" t="str">
        <f t="shared" si="55"/>
        <v>NA</v>
      </c>
      <c r="K104" s="308" t="str">
        <f t="shared" si="55"/>
        <v>NA</v>
      </c>
      <c r="L104" s="238" t="str">
        <f t="shared" si="55"/>
        <v>NA</v>
      </c>
      <c r="M104" s="239" t="str">
        <f t="shared" si="55"/>
        <v>NA</v>
      </c>
      <c r="N104" s="239" t="str">
        <f t="shared" si="55"/>
        <v>NA</v>
      </c>
      <c r="O104" s="239" t="str">
        <f>IFERROR((AVERAGE(O96,O97,O100)),"NA")</f>
        <v>NA</v>
      </c>
      <c r="P104" s="239" t="str">
        <f>IFERROR((AVERAGE(P96,P97,P100)),"NA")</f>
        <v>NA</v>
      </c>
      <c r="Q104" s="239" t="str">
        <f t="shared" si="55"/>
        <v>NA</v>
      </c>
      <c r="R104" s="239" t="str">
        <f t="shared" si="55"/>
        <v>NA</v>
      </c>
      <c r="S104" s="239" t="str">
        <f t="shared" si="55"/>
        <v>NA</v>
      </c>
      <c r="T104" s="239" t="str">
        <f t="shared" si="55"/>
        <v>NA</v>
      </c>
      <c r="U104" s="239" t="str">
        <f t="shared" si="55"/>
        <v>NA</v>
      </c>
      <c r="V104"/>
      <c r="W104"/>
      <c r="X104"/>
      <c r="Y104"/>
      <c r="Z104"/>
      <c r="AA104"/>
      <c r="AB104"/>
      <c r="AC104"/>
    </row>
    <row r="105" spans="1:29" ht="30" x14ac:dyDescent="0.25">
      <c r="A105" s="310" t="s">
        <v>443</v>
      </c>
      <c r="B105" s="307" t="str">
        <f>IFERROR((AVERAGE(B95,B98,B99)),"NA")</f>
        <v>NA</v>
      </c>
      <c r="C105" s="239" t="str">
        <f t="shared" ref="C105:T105" si="56">IFERROR((AVERAGE(C95,C98,C99)),"NA")</f>
        <v>NA</v>
      </c>
      <c r="D105" s="239" t="str">
        <f t="shared" si="56"/>
        <v>NA</v>
      </c>
      <c r="E105" s="239" t="str">
        <f t="shared" si="56"/>
        <v>NA</v>
      </c>
      <c r="F105" s="239" t="str">
        <f t="shared" si="56"/>
        <v>NA</v>
      </c>
      <c r="G105" s="239" t="str">
        <f t="shared" si="56"/>
        <v>NA</v>
      </c>
      <c r="H105" s="239" t="str">
        <f t="shared" si="56"/>
        <v>NA</v>
      </c>
      <c r="I105" s="239" t="str">
        <f t="shared" si="56"/>
        <v>NA</v>
      </c>
      <c r="J105" s="306" t="str">
        <f t="shared" si="56"/>
        <v>NA</v>
      </c>
      <c r="K105" s="240" t="str">
        <f t="shared" si="56"/>
        <v>NA</v>
      </c>
      <c r="L105" s="307" t="str">
        <f t="shared" si="56"/>
        <v>NA</v>
      </c>
      <c r="M105" s="239" t="str">
        <f t="shared" si="56"/>
        <v>NA</v>
      </c>
      <c r="N105" s="239" t="str">
        <f t="shared" si="56"/>
        <v>NA</v>
      </c>
      <c r="O105" s="239" t="str">
        <f t="shared" si="56"/>
        <v>NA</v>
      </c>
      <c r="P105" s="239" t="str">
        <f>IFERROR((AVERAGE(P95,P98,P99)),"NA")</f>
        <v>NA</v>
      </c>
      <c r="Q105" s="239" t="str">
        <f t="shared" si="56"/>
        <v>NA</v>
      </c>
      <c r="R105" s="239" t="str">
        <f t="shared" si="56"/>
        <v>NA</v>
      </c>
      <c r="S105" s="239" t="str">
        <f t="shared" si="56"/>
        <v>NA</v>
      </c>
      <c r="T105" s="239" t="str">
        <f t="shared" si="56"/>
        <v>NA</v>
      </c>
      <c r="U105" s="239" t="str">
        <f>IFERROR((AVERAGE(U95,U98,U99)),"NA")</f>
        <v>NA</v>
      </c>
      <c r="V105"/>
      <c r="W105"/>
      <c r="X105"/>
      <c r="Y105"/>
      <c r="Z105"/>
      <c r="AA105"/>
      <c r="AB105"/>
      <c r="AC105"/>
    </row>
    <row r="106" spans="1:29" x14ac:dyDescent="0.25">
      <c r="A106"/>
      <c r="B106"/>
      <c r="C106" s="48"/>
      <c r="D106" s="48"/>
      <c r="E106" s="48"/>
      <c r="F106" s="48"/>
      <c r="G106" s="48"/>
      <c r="H106" s="48"/>
      <c r="I106" s="48"/>
      <c r="J106" s="48"/>
      <c r="K106"/>
      <c r="L106"/>
      <c r="M106"/>
      <c r="N106"/>
      <c r="O106"/>
      <c r="P106"/>
      <c r="Q106"/>
      <c r="R106"/>
      <c r="S106"/>
      <c r="T106"/>
      <c r="U106"/>
      <c r="V106"/>
      <c r="W106"/>
      <c r="X106"/>
      <c r="Y106"/>
      <c r="Z106"/>
      <c r="AA106"/>
      <c r="AB106"/>
      <c r="AC106"/>
    </row>
    <row r="107" spans="1:29" x14ac:dyDescent="0.25">
      <c r="A107" s="2"/>
      <c r="B107"/>
      <c r="C107"/>
      <c r="D107"/>
      <c r="E107"/>
      <c r="F107"/>
      <c r="G107"/>
      <c r="H107"/>
      <c r="I107"/>
      <c r="J107"/>
      <c r="K107"/>
      <c r="L107"/>
      <c r="M107"/>
      <c r="N107"/>
      <c r="O107"/>
      <c r="P107"/>
      <c r="Q107"/>
      <c r="R107"/>
      <c r="S107"/>
      <c r="T107"/>
      <c r="U107"/>
      <c r="V107"/>
      <c r="W107"/>
      <c r="X107"/>
      <c r="Y107"/>
      <c r="Z107"/>
      <c r="AA107"/>
      <c r="AB107"/>
      <c r="AC107"/>
    </row>
    <row r="108" spans="1:29" x14ac:dyDescent="0.25">
      <c r="A108" s="4" t="s">
        <v>444</v>
      </c>
      <c r="B108"/>
      <c r="C108"/>
      <c r="D108"/>
      <c r="E108"/>
      <c r="F108"/>
      <c r="G108"/>
      <c r="H108"/>
      <c r="I108"/>
      <c r="J108"/>
      <c r="K108"/>
      <c r="L108"/>
      <c r="M108"/>
      <c r="N108"/>
      <c r="O108"/>
      <c r="P108"/>
      <c r="Q108"/>
      <c r="R108"/>
      <c r="S108"/>
      <c r="T108"/>
      <c r="U108"/>
      <c r="V108"/>
      <c r="W108"/>
      <c r="X108"/>
      <c r="Y108"/>
      <c r="Z108"/>
      <c r="AA108"/>
      <c r="AB108"/>
      <c r="AC108"/>
    </row>
    <row r="109" spans="1:29" x14ac:dyDescent="0.25">
      <c r="A109" s="667" t="s">
        <v>61</v>
      </c>
      <c r="B109" s="198">
        <v>2022</v>
      </c>
      <c r="C109" s="199">
        <v>2023</v>
      </c>
      <c r="D109" s="198">
        <v>2022</v>
      </c>
      <c r="E109" s="199">
        <v>2023</v>
      </c>
      <c r="F109" s="198">
        <v>2022</v>
      </c>
      <c r="G109" s="199">
        <v>2023</v>
      </c>
      <c r="H109" s="198">
        <v>2022</v>
      </c>
      <c r="I109" s="199">
        <v>2023</v>
      </c>
      <c r="J109" s="198">
        <v>2022</v>
      </c>
      <c r="K109" s="199">
        <v>2023</v>
      </c>
      <c r="L109" s="198">
        <v>2022</v>
      </c>
      <c r="M109" s="199">
        <v>2023</v>
      </c>
      <c r="N109" s="198">
        <v>2022</v>
      </c>
      <c r="O109" s="200">
        <v>2023</v>
      </c>
      <c r="P109" s="198">
        <v>2022</v>
      </c>
      <c r="Q109" s="200">
        <v>2023</v>
      </c>
      <c r="R109"/>
      <c r="S109"/>
      <c r="T109"/>
      <c r="U109"/>
      <c r="V109"/>
      <c r="W109"/>
      <c r="X109"/>
      <c r="Y109"/>
      <c r="Z109"/>
      <c r="AA109"/>
      <c r="AB109"/>
      <c r="AC109"/>
    </row>
    <row r="110" spans="1:29" ht="15" customHeight="1" x14ac:dyDescent="0.25">
      <c r="A110" s="667"/>
      <c r="B110" s="650" t="s">
        <v>181</v>
      </c>
      <c r="C110" s="651"/>
      <c r="D110" s="650" t="s">
        <v>198</v>
      </c>
      <c r="E110" s="651"/>
      <c r="F110" s="650" t="s">
        <v>199</v>
      </c>
      <c r="G110" s="651"/>
      <c r="H110" s="650" t="s">
        <v>200</v>
      </c>
      <c r="I110" s="651"/>
      <c r="J110" s="650" t="s">
        <v>201</v>
      </c>
      <c r="K110" s="651"/>
      <c r="L110" s="650" t="s">
        <v>202</v>
      </c>
      <c r="M110" s="651"/>
      <c r="N110" s="650" t="s">
        <v>203</v>
      </c>
      <c r="O110" s="649"/>
      <c r="P110" s="650" t="s">
        <v>197</v>
      </c>
      <c r="Q110" s="649"/>
      <c r="R110"/>
      <c r="S110"/>
      <c r="T110"/>
      <c r="U110"/>
      <c r="V110"/>
      <c r="W110"/>
      <c r="X110"/>
      <c r="Y110"/>
      <c r="Z110"/>
      <c r="AA110"/>
      <c r="AB110"/>
      <c r="AC110"/>
    </row>
    <row r="111" spans="1:29" x14ac:dyDescent="0.25">
      <c r="A111" s="53">
        <v>1</v>
      </c>
      <c r="B111" s="95">
        <f>SUMIFS(TM[[#All],[Member Months]],TM[[#All],[Reporting Year]],2022,TM[[#All],[Insurance Category Code]],A111,TM[[#All],[Large Provider Entity Code]],100)</f>
        <v>0</v>
      </c>
      <c r="C111" s="302">
        <f>SUMIFS(TM[[#All],[Member Months]],TM[[#All],[Reporting Year]],2023,TM[[#All],[Insurance Category Code]],A111,TM[[#All],[Large Provider Entity Code]],100)</f>
        <v>0</v>
      </c>
      <c r="D111" s="95">
        <f>SUMIFS(TM[[#All],[Member Count with Truncated Claims]],TM[[#All],[Reporting Year]],2022,TM[[#All],[Insurance Category Code]],A111,TM[[#All],[Large Provider Entity Code]],100)</f>
        <v>0</v>
      </c>
      <c r="E111" s="302">
        <f>SUMIFS(TM[[#All],[Member Count with Truncated Claims]],TM[[#All],[Reporting Year]],2023,TM[[#All],[Insurance Category Code]],A111,TM[[#All],[Large Provider Entity Code]],100)</f>
        <v>0</v>
      </c>
      <c r="F111" s="166">
        <f>SUMIFS(TM[[#All],[Total Non-Truncated Claims Spending]],TM[[#All],[Reporting Year]],2022,TM[[#All],[Insurance Category Code]],A111,TM[[#All],[Large Provider Entity Code]],100)</f>
        <v>0</v>
      </c>
      <c r="G111" s="167">
        <f>SUMIFS(TM[[#All],[Total Non-Truncated Claims Spending]],TM[[#All],[Reporting Year]],2023,TM[[#All],[Insurance Category Code]],A111,TM[[#All],[Large Provider Entity Code]],100)</f>
        <v>0</v>
      </c>
      <c r="H111" s="166">
        <f>SUMIFS(TM[[#All],[Total Non-Claims Spending]],TM[[#All],[Reporting Year]],2022,TM[[#All],[Insurance Category Code]],A111,TM[[#All],[Large Provider Entity Code]],100)</f>
        <v>0</v>
      </c>
      <c r="I111" s="167">
        <f>SUMIFS(TM[[#All],[Total Non-Claims Spending]],TM[[#All],[Reporting Year]],2023,TM[[#All],[Insurance Category Code]],A111,TM[[#All],[Large Provider Entity Code]],100)</f>
        <v>0</v>
      </c>
      <c r="J111" s="166">
        <f>SUMIFS(TM[[#All],[Total Non-Truncated Claims and Non-Claims Spending]],TM[[#All],[Reporting Year]],2022,TM[[#All],[Insurance Category Code]],A111,TM[[#All],[Large Provider Entity Code]],100)</f>
        <v>0</v>
      </c>
      <c r="K111" s="167">
        <f>SUMIFS(TM[[#All],[Total Non-Truncated Claims and Non-Claims Spending]],TM[[#All],[Reporting Year]],2023,TM[[#All],[Insurance Category Code]],A111,TM[[#All],[Large Provider Entity Code]],100)</f>
        <v>0</v>
      </c>
      <c r="L111" s="166">
        <f>SUMIFS(TM[[#All],[Total Truncated Claims Spending]],TM[[#All],[Reporting Year]],2022,TM[[#All],[Insurance Category Code]],A111,TM[[#All],[Large Provider Entity Code]],100)</f>
        <v>0</v>
      </c>
      <c r="M111" s="167">
        <f>SUMIFS(TM[[#All],[Total Truncated Claims Spending]],TM[[#All],[Reporting Year]],2023,TM[[#All],[Insurance Category Code]],A111,TM[[#All],[Large Provider Entity Code]],100)</f>
        <v>0</v>
      </c>
      <c r="N111" s="166">
        <f>SUMIFS(TM[[#All],[Total Truncated Expenses]],TM[[#All],[Reporting Year]],2022,TM[[#All],[Insurance Category Code]],A111,TM[[#All],[Large Provider Entity Code]],100)</f>
        <v>0</v>
      </c>
      <c r="O111" s="170">
        <f>SUMIFS(TM[[#All],[Total Truncated Expenses]],TM[[#All],[Reporting Year]],2023,TM[[#All],[Insurance Category Code]],A111,TM[[#All],[Large Provider Entity Code]],100)</f>
        <v>0</v>
      </c>
      <c r="P111" s="166">
        <f>SUMIFS(TM[[#All],[Claims Amount Excluded Due to Truncation]],TM[[#All],[Reporting Year]],2022,TM[[#All],[Insurance Category Code]],A111,TM[[#All],[Large Provider Entity Code]],100)</f>
        <v>0</v>
      </c>
      <c r="Q111" s="170">
        <f>SUMIFS(TM[[#All],[Claims Amount Excluded Due to Truncation]],TM[[#All],[Reporting Year]],2023,TM[[#All],[Insurance Category Code]],A111,TM[[#All],[Large Provider Entity Code]],100)</f>
        <v>0</v>
      </c>
      <c r="R111"/>
      <c r="S111"/>
      <c r="T111"/>
      <c r="U111"/>
      <c r="V111"/>
      <c r="W111"/>
      <c r="X111"/>
      <c r="Y111"/>
      <c r="Z111"/>
      <c r="AA111"/>
      <c r="AB111"/>
      <c r="AC111"/>
    </row>
    <row r="112" spans="1:29" x14ac:dyDescent="0.25">
      <c r="A112" s="53">
        <v>2</v>
      </c>
      <c r="B112" s="95">
        <f>SUMIFS(TM[[#All],[Member Months]],TM[[#All],[Reporting Year]],2022,TM[[#All],[Insurance Category Code]],A112,TM[[#All],[Large Provider Entity Code]],100)</f>
        <v>0</v>
      </c>
      <c r="C112" s="302">
        <f>SUMIFS(TM[[#All],[Member Months]],TM[[#All],[Reporting Year]],2023,TM[[#All],[Insurance Category Code]],A112,TM[[#All],[Large Provider Entity Code]],100)</f>
        <v>0</v>
      </c>
      <c r="D112" s="95">
        <f>SUMIFS(TM[[#All],[Member Count with Truncated Claims]],TM[[#All],[Reporting Year]],2022,TM[[#All],[Insurance Category Code]],A112,TM[[#All],[Large Provider Entity Code]],100)</f>
        <v>0</v>
      </c>
      <c r="E112" s="302">
        <f>SUMIFS(TM[[#All],[Member Count with Truncated Claims]],TM[[#All],[Reporting Year]],2023,TM[[#All],[Insurance Category Code]],A112,TM[[#All],[Large Provider Entity Code]],100)</f>
        <v>0</v>
      </c>
      <c r="F112" s="166">
        <f>SUMIFS(TM[[#All],[Total Non-Truncated Claims Spending]],TM[[#All],[Reporting Year]],2022,TM[[#All],[Insurance Category Code]],A112,TM[[#All],[Large Provider Entity Code]],100)</f>
        <v>0</v>
      </c>
      <c r="G112" s="167">
        <f>SUMIFS(TM[[#All],[Total Non-Truncated Claims Spending]],TM[[#All],[Reporting Year]],2023,TM[[#All],[Insurance Category Code]],A112,TM[[#All],[Large Provider Entity Code]],100)</f>
        <v>0</v>
      </c>
      <c r="H112" s="166">
        <f>SUMIFS(TM[[#All],[Total Non-Claims Spending]],TM[[#All],[Reporting Year]],2022,TM[[#All],[Insurance Category Code]],A112,TM[[#All],[Large Provider Entity Code]],100)</f>
        <v>0</v>
      </c>
      <c r="I112" s="167">
        <f>SUMIFS(TM[[#All],[Total Non-Claims Spending]],TM[[#All],[Reporting Year]],2023,TM[[#All],[Insurance Category Code]],A112,TM[[#All],[Large Provider Entity Code]],100)</f>
        <v>0</v>
      </c>
      <c r="J112" s="166">
        <f>SUMIFS(TM[[#All],[Total Non-Truncated Claims and Non-Claims Spending]],TM[[#All],[Reporting Year]],2022,TM[[#All],[Insurance Category Code]],A112,TM[[#All],[Large Provider Entity Code]],100)</f>
        <v>0</v>
      </c>
      <c r="K112" s="167">
        <f>SUMIFS(TM[[#All],[Total Non-Truncated Claims and Non-Claims Spending]],TM[[#All],[Reporting Year]],2023,TM[[#All],[Insurance Category Code]],A112,TM[[#All],[Large Provider Entity Code]],100)</f>
        <v>0</v>
      </c>
      <c r="L112" s="166">
        <f>SUMIFS(TM[[#All],[Total Truncated Claims Spending]],TM[[#All],[Reporting Year]],2022,TM[[#All],[Insurance Category Code]],A112,TM[[#All],[Large Provider Entity Code]],100)</f>
        <v>0</v>
      </c>
      <c r="M112" s="167">
        <f>SUMIFS(TM[[#All],[Total Truncated Claims Spending]],TM[[#All],[Reporting Year]],2023,TM[[#All],[Insurance Category Code]],A112,TM[[#All],[Large Provider Entity Code]],100)</f>
        <v>0</v>
      </c>
      <c r="N112" s="166">
        <f>SUMIFS(TM[[#All],[Total Truncated Expenses]],TM[[#All],[Reporting Year]],2022,TM[[#All],[Insurance Category Code]],A112,TM[[#All],[Large Provider Entity Code]],100)</f>
        <v>0</v>
      </c>
      <c r="O112" s="170">
        <f>SUMIFS(TM[[#All],[Total Truncated Expenses]],TM[[#All],[Reporting Year]],2023,TM[[#All],[Insurance Category Code]],A112,TM[[#All],[Large Provider Entity Code]],100)</f>
        <v>0</v>
      </c>
      <c r="P112" s="166">
        <f>SUMIFS(TM[[#All],[Claims Amount Excluded Due to Truncation]],TM[[#All],[Reporting Year]],2022,TM[[#All],[Insurance Category Code]],A112,TM[[#All],[Large Provider Entity Code]],100)</f>
        <v>0</v>
      </c>
      <c r="Q112" s="170">
        <f>SUMIFS(TM[[#All],[Claims Amount Excluded Due to Truncation]],TM[[#All],[Reporting Year]],2023,TM[[#All],[Insurance Category Code]],A112,TM[[#All],[Large Provider Entity Code]],100)</f>
        <v>0</v>
      </c>
      <c r="R112"/>
      <c r="S112"/>
      <c r="T112"/>
      <c r="U112"/>
      <c r="V112"/>
      <c r="W112"/>
      <c r="X112"/>
      <c r="Y112"/>
      <c r="Z112"/>
      <c r="AA112"/>
      <c r="AB112"/>
      <c r="AC112"/>
    </row>
    <row r="113" spans="1:29" x14ac:dyDescent="0.25">
      <c r="A113" s="53">
        <v>3</v>
      </c>
      <c r="B113" s="95">
        <f>SUMIFS(TM[[#All],[Member Months]],TM[[#All],[Reporting Year]],2022,TM[[#All],[Insurance Category Code]],A113,TM[[#All],[Large Provider Entity Code]],100)</f>
        <v>0</v>
      </c>
      <c r="C113" s="302">
        <f>SUMIFS(TM[[#All],[Member Months]],TM[[#All],[Reporting Year]],2023,TM[[#All],[Insurance Category Code]],A113,TM[[#All],[Large Provider Entity Code]],100)</f>
        <v>0</v>
      </c>
      <c r="D113" s="95">
        <f>SUMIFS(TM[[#All],[Member Count with Truncated Claims]],TM[[#All],[Reporting Year]],2022,TM[[#All],[Insurance Category Code]],A113,TM[[#All],[Large Provider Entity Code]],100)</f>
        <v>0</v>
      </c>
      <c r="E113" s="302">
        <f>SUMIFS(TM[[#All],[Member Count with Truncated Claims]],TM[[#All],[Reporting Year]],2023,TM[[#All],[Insurance Category Code]],A113,TM[[#All],[Large Provider Entity Code]],100)</f>
        <v>0</v>
      </c>
      <c r="F113" s="166">
        <f>SUMIFS(TM[[#All],[Total Non-Truncated Claims Spending]],TM[[#All],[Reporting Year]],2022,TM[[#All],[Insurance Category Code]],A113,TM[[#All],[Large Provider Entity Code]],100)</f>
        <v>0</v>
      </c>
      <c r="G113" s="167">
        <f>SUMIFS(TM[[#All],[Total Non-Truncated Claims Spending]],TM[[#All],[Reporting Year]],2023,TM[[#All],[Insurance Category Code]],A113,TM[[#All],[Large Provider Entity Code]],100)</f>
        <v>0</v>
      </c>
      <c r="H113" s="166">
        <f>SUMIFS(TM[[#All],[Total Non-Claims Spending]],TM[[#All],[Reporting Year]],2022,TM[[#All],[Insurance Category Code]],A113,TM[[#All],[Large Provider Entity Code]],100)</f>
        <v>0</v>
      </c>
      <c r="I113" s="167">
        <f>SUMIFS(TM[[#All],[Total Non-Claims Spending]],TM[[#All],[Reporting Year]],2023,TM[[#All],[Insurance Category Code]],A113,TM[[#All],[Large Provider Entity Code]],100)</f>
        <v>0</v>
      </c>
      <c r="J113" s="166">
        <f>SUMIFS(TM[[#All],[Total Non-Truncated Claims and Non-Claims Spending]],TM[[#All],[Reporting Year]],2022,TM[[#All],[Insurance Category Code]],A113,TM[[#All],[Large Provider Entity Code]],100)</f>
        <v>0</v>
      </c>
      <c r="K113" s="167">
        <f>SUMIFS(TM[[#All],[Total Non-Truncated Claims and Non-Claims Spending]],TM[[#All],[Reporting Year]],2023,TM[[#All],[Insurance Category Code]],A113,TM[[#All],[Large Provider Entity Code]],100)</f>
        <v>0</v>
      </c>
      <c r="L113" s="166">
        <f>SUMIFS(TM[[#All],[Total Truncated Claims Spending]],TM[[#All],[Reporting Year]],2022,TM[[#All],[Insurance Category Code]],A113,TM[[#All],[Large Provider Entity Code]],100)</f>
        <v>0</v>
      </c>
      <c r="M113" s="167">
        <f>SUMIFS(TM[[#All],[Total Truncated Claims Spending]],TM[[#All],[Reporting Year]],2023,TM[[#All],[Insurance Category Code]],A113,TM[[#All],[Large Provider Entity Code]],100)</f>
        <v>0</v>
      </c>
      <c r="N113" s="166">
        <f>SUMIFS(TM[[#All],[Total Truncated Expenses]],TM[[#All],[Reporting Year]],2022,TM[[#All],[Insurance Category Code]],A113,TM[[#All],[Large Provider Entity Code]],100)</f>
        <v>0</v>
      </c>
      <c r="O113" s="170">
        <f>SUMIFS(TM[[#All],[Total Truncated Expenses]],TM[[#All],[Reporting Year]],2023,TM[[#All],[Insurance Category Code]],A113,TM[[#All],[Large Provider Entity Code]],100)</f>
        <v>0</v>
      </c>
      <c r="P113" s="166">
        <f>SUMIFS(TM[[#All],[Claims Amount Excluded Due to Truncation]],TM[[#All],[Reporting Year]],2022,TM[[#All],[Insurance Category Code]],A113,TM[[#All],[Large Provider Entity Code]],100)</f>
        <v>0</v>
      </c>
      <c r="Q113" s="170">
        <f>SUMIFS(TM[[#All],[Claims Amount Excluded Due to Truncation]],TM[[#All],[Reporting Year]],2023,TM[[#All],[Insurance Category Code]],A113,TM[[#All],[Large Provider Entity Code]],100)</f>
        <v>0</v>
      </c>
      <c r="R113"/>
      <c r="S113"/>
      <c r="T113"/>
      <c r="U113"/>
      <c r="V113"/>
      <c r="W113"/>
      <c r="X113"/>
      <c r="Y113"/>
      <c r="Z113"/>
      <c r="AA113"/>
      <c r="AB113"/>
      <c r="AC113"/>
    </row>
    <row r="114" spans="1:29" x14ac:dyDescent="0.25">
      <c r="A114" s="53">
        <v>4</v>
      </c>
      <c r="B114" s="95">
        <f>SUMIFS(TM[[#All],[Member Months]],TM[[#All],[Reporting Year]],2022,TM[[#All],[Insurance Category Code]],A114,TM[[#All],[Large Provider Entity Code]],100)</f>
        <v>0</v>
      </c>
      <c r="C114" s="302">
        <f>SUMIFS(TM[[#All],[Member Months]],TM[[#All],[Reporting Year]],2023,TM[[#All],[Insurance Category Code]],A114,TM[[#All],[Large Provider Entity Code]],100)</f>
        <v>0</v>
      </c>
      <c r="D114" s="95">
        <f>SUMIFS(TM[[#All],[Member Count with Truncated Claims]],TM[[#All],[Reporting Year]],2022,TM[[#All],[Insurance Category Code]],A114,TM[[#All],[Large Provider Entity Code]],100)</f>
        <v>0</v>
      </c>
      <c r="E114" s="302">
        <f>SUMIFS(TM[[#All],[Member Count with Truncated Claims]],TM[[#All],[Reporting Year]],2023,TM[[#All],[Insurance Category Code]],A114,TM[[#All],[Large Provider Entity Code]],100)</f>
        <v>0</v>
      </c>
      <c r="F114" s="166">
        <f>SUMIFS(TM[[#All],[Total Non-Truncated Claims Spending]],TM[[#All],[Reporting Year]],2022,TM[[#All],[Insurance Category Code]],A114,TM[[#All],[Large Provider Entity Code]],100)</f>
        <v>0</v>
      </c>
      <c r="G114" s="167">
        <f>SUMIFS(TM[[#All],[Total Non-Truncated Claims Spending]],TM[[#All],[Reporting Year]],2023,TM[[#All],[Insurance Category Code]],A114,TM[[#All],[Large Provider Entity Code]],100)</f>
        <v>0</v>
      </c>
      <c r="H114" s="166">
        <f>SUMIFS(TM[[#All],[Total Non-Claims Spending]],TM[[#All],[Reporting Year]],2022,TM[[#All],[Insurance Category Code]],A114,TM[[#All],[Large Provider Entity Code]],100)</f>
        <v>0</v>
      </c>
      <c r="I114" s="167">
        <f>SUMIFS(TM[[#All],[Total Non-Claims Spending]],TM[[#All],[Reporting Year]],2023,TM[[#All],[Insurance Category Code]],A114,TM[[#All],[Large Provider Entity Code]],100)</f>
        <v>0</v>
      </c>
      <c r="J114" s="166">
        <f>SUMIFS(TM[[#All],[Total Non-Truncated Claims and Non-Claims Spending]],TM[[#All],[Reporting Year]],2022,TM[[#All],[Insurance Category Code]],A114,TM[[#All],[Large Provider Entity Code]],100)</f>
        <v>0</v>
      </c>
      <c r="K114" s="167">
        <f>SUMIFS(TM[[#All],[Total Non-Truncated Claims and Non-Claims Spending]],TM[[#All],[Reporting Year]],2023,TM[[#All],[Insurance Category Code]],A114,TM[[#All],[Large Provider Entity Code]],100)</f>
        <v>0</v>
      </c>
      <c r="L114" s="166">
        <f>SUMIFS(TM[[#All],[Total Truncated Claims Spending]],TM[[#All],[Reporting Year]],2022,TM[[#All],[Insurance Category Code]],A114,TM[[#All],[Large Provider Entity Code]],100)</f>
        <v>0</v>
      </c>
      <c r="M114" s="167">
        <f>SUMIFS(TM[[#All],[Total Truncated Claims Spending]],TM[[#All],[Reporting Year]],2023,TM[[#All],[Insurance Category Code]],A114,TM[[#All],[Large Provider Entity Code]],100)</f>
        <v>0</v>
      </c>
      <c r="N114" s="166">
        <f>SUMIFS(TM[[#All],[Total Truncated Expenses]],TM[[#All],[Reporting Year]],2022,TM[[#All],[Insurance Category Code]],A114,TM[[#All],[Large Provider Entity Code]],100)</f>
        <v>0</v>
      </c>
      <c r="O114" s="170">
        <f>SUMIFS(TM[[#All],[Total Truncated Expenses]],TM[[#All],[Reporting Year]],2023,TM[[#All],[Insurance Category Code]],A114,TM[[#All],[Large Provider Entity Code]],100)</f>
        <v>0</v>
      </c>
      <c r="P114" s="166">
        <f>SUMIFS(TM[[#All],[Claims Amount Excluded Due to Truncation]],TM[[#All],[Reporting Year]],2022,TM[[#All],[Insurance Category Code]],A114,TM[[#All],[Large Provider Entity Code]],100)</f>
        <v>0</v>
      </c>
      <c r="Q114" s="170">
        <f>SUMIFS(TM[[#All],[Claims Amount Excluded Due to Truncation]],TM[[#All],[Reporting Year]],2023,TM[[#All],[Insurance Category Code]],A114,TM[[#All],[Large Provider Entity Code]],100)</f>
        <v>0</v>
      </c>
      <c r="R114"/>
      <c r="S114"/>
      <c r="T114"/>
      <c r="U114"/>
      <c r="V114"/>
      <c r="W114"/>
      <c r="X114"/>
      <c r="Y114"/>
      <c r="Z114"/>
      <c r="AA114"/>
      <c r="AB114"/>
      <c r="AC114"/>
    </row>
    <row r="115" spans="1:29" x14ac:dyDescent="0.25">
      <c r="A115" s="53">
        <v>5</v>
      </c>
      <c r="B115" s="95">
        <f>SUMIFS(TM[[#All],[Member Months]],TM[[#All],[Reporting Year]],2022,TM[[#All],[Insurance Category Code]],A115,TM[[#All],[Large Provider Entity Code]],100)</f>
        <v>0</v>
      </c>
      <c r="C115" s="302">
        <f>SUMIFS(TM[[#All],[Member Months]],TM[[#All],[Reporting Year]],2023,TM[[#All],[Insurance Category Code]],A115,TM[[#All],[Large Provider Entity Code]],100)</f>
        <v>0</v>
      </c>
      <c r="D115" s="95">
        <f>SUMIFS(TM[[#All],[Member Count with Truncated Claims]],TM[[#All],[Reporting Year]],2022,TM[[#All],[Insurance Category Code]],A115,TM[[#All],[Large Provider Entity Code]],100)</f>
        <v>0</v>
      </c>
      <c r="E115" s="302">
        <f>SUMIFS(TM[[#All],[Member Count with Truncated Claims]],TM[[#All],[Reporting Year]],2023,TM[[#All],[Insurance Category Code]],A115,TM[[#All],[Large Provider Entity Code]],100)</f>
        <v>0</v>
      </c>
      <c r="F115" s="166">
        <f>SUMIFS(TM[[#All],[Total Non-Truncated Claims Spending]],TM[[#All],[Reporting Year]],2022,TM[[#All],[Insurance Category Code]],A115,TM[[#All],[Large Provider Entity Code]],100)</f>
        <v>0</v>
      </c>
      <c r="G115" s="167">
        <f>SUMIFS(TM[[#All],[Total Non-Truncated Claims Spending]],TM[[#All],[Reporting Year]],2023,TM[[#All],[Insurance Category Code]],A115,TM[[#All],[Large Provider Entity Code]],100)</f>
        <v>0</v>
      </c>
      <c r="H115" s="166">
        <f>SUMIFS(TM[[#All],[Total Non-Claims Spending]],TM[[#All],[Reporting Year]],2022,TM[[#All],[Insurance Category Code]],A115,TM[[#All],[Large Provider Entity Code]],100)</f>
        <v>0</v>
      </c>
      <c r="I115" s="167">
        <f>SUMIFS(TM[[#All],[Total Non-Claims Spending]],TM[[#All],[Reporting Year]],2023,TM[[#All],[Insurance Category Code]],A115,TM[[#All],[Large Provider Entity Code]],100)</f>
        <v>0</v>
      </c>
      <c r="J115" s="166">
        <f>SUMIFS(TM[[#All],[Total Non-Truncated Claims and Non-Claims Spending]],TM[[#All],[Reporting Year]],2022,TM[[#All],[Insurance Category Code]],A115,TM[[#All],[Large Provider Entity Code]],100)</f>
        <v>0</v>
      </c>
      <c r="K115" s="167">
        <f>SUMIFS(TM[[#All],[Total Non-Truncated Claims and Non-Claims Spending]],TM[[#All],[Reporting Year]],2023,TM[[#All],[Insurance Category Code]],A115,TM[[#All],[Large Provider Entity Code]],100)</f>
        <v>0</v>
      </c>
      <c r="L115" s="166">
        <f>SUMIFS(TM[[#All],[Total Truncated Claims Spending]],TM[[#All],[Reporting Year]],2022,TM[[#All],[Insurance Category Code]],A115,TM[[#All],[Large Provider Entity Code]],100)</f>
        <v>0</v>
      </c>
      <c r="M115" s="167">
        <f>SUMIFS(TM[[#All],[Total Truncated Claims Spending]],TM[[#All],[Reporting Year]],2023,TM[[#All],[Insurance Category Code]],A115,TM[[#All],[Large Provider Entity Code]],100)</f>
        <v>0</v>
      </c>
      <c r="N115" s="166">
        <f>SUMIFS(TM[[#All],[Total Truncated Expenses]],TM[[#All],[Reporting Year]],2022,TM[[#All],[Insurance Category Code]],A115,TM[[#All],[Large Provider Entity Code]],100)</f>
        <v>0</v>
      </c>
      <c r="O115" s="170">
        <f>SUMIFS(TM[[#All],[Total Truncated Expenses]],TM[[#All],[Reporting Year]],2023,TM[[#All],[Insurance Category Code]],A115,TM[[#All],[Large Provider Entity Code]],100)</f>
        <v>0</v>
      </c>
      <c r="P115" s="166">
        <f>SUMIFS(TM[[#All],[Claims Amount Excluded Due to Truncation]],TM[[#All],[Reporting Year]],2022,TM[[#All],[Insurance Category Code]],A115,TM[[#All],[Large Provider Entity Code]],100)</f>
        <v>0</v>
      </c>
      <c r="Q115" s="170">
        <f>SUMIFS(TM[[#All],[Claims Amount Excluded Due to Truncation]],TM[[#All],[Reporting Year]],2023,TM[[#All],[Insurance Category Code]],A115,TM[[#All],[Large Provider Entity Code]],100)</f>
        <v>0</v>
      </c>
      <c r="R115"/>
      <c r="S115"/>
      <c r="T115"/>
      <c r="U115"/>
      <c r="V115"/>
      <c r="W115"/>
      <c r="X115"/>
      <c r="Y115"/>
      <c r="Z115"/>
      <c r="AA115"/>
      <c r="AB115"/>
      <c r="AC115"/>
    </row>
    <row r="116" spans="1:29" x14ac:dyDescent="0.25">
      <c r="A116" s="53">
        <v>6</v>
      </c>
      <c r="B116" s="95">
        <f>SUMIFS(TM[[#All],[Member Months]],TM[[#All],[Reporting Year]],2022,TM[[#All],[Insurance Category Code]],A116,TM[[#All],[Large Provider Entity Code]],100)</f>
        <v>0</v>
      </c>
      <c r="C116" s="302">
        <f>SUMIFS(TM[[#All],[Member Months]],TM[[#All],[Reporting Year]],2023,TM[[#All],[Insurance Category Code]],A116,TM[[#All],[Large Provider Entity Code]],100)</f>
        <v>0</v>
      </c>
      <c r="D116" s="95">
        <f>SUMIFS(TM[[#All],[Member Count with Truncated Claims]],TM[[#All],[Reporting Year]],2022,TM[[#All],[Insurance Category Code]],A116,TM[[#All],[Large Provider Entity Code]],100)</f>
        <v>0</v>
      </c>
      <c r="E116" s="302">
        <f>SUMIFS(TM[[#All],[Member Count with Truncated Claims]],TM[[#All],[Reporting Year]],2023,TM[[#All],[Insurance Category Code]],A116,TM[[#All],[Large Provider Entity Code]],100)</f>
        <v>0</v>
      </c>
      <c r="F116" s="166">
        <f>SUMIFS(TM[[#All],[Total Non-Truncated Claims Spending]],TM[[#All],[Reporting Year]],2022,TM[[#All],[Insurance Category Code]],A116,TM[[#All],[Large Provider Entity Code]],100)</f>
        <v>0</v>
      </c>
      <c r="G116" s="167">
        <f>SUMIFS(TM[[#All],[Total Non-Truncated Claims Spending]],TM[[#All],[Reporting Year]],2023,TM[[#All],[Insurance Category Code]],A116,TM[[#All],[Large Provider Entity Code]],100)</f>
        <v>0</v>
      </c>
      <c r="H116" s="166">
        <f>SUMIFS(TM[[#All],[Total Non-Claims Spending]],TM[[#All],[Reporting Year]],2022,TM[[#All],[Insurance Category Code]],A116,TM[[#All],[Large Provider Entity Code]],100)</f>
        <v>0</v>
      </c>
      <c r="I116" s="167">
        <f>SUMIFS(TM[[#All],[Total Non-Claims Spending]],TM[[#All],[Reporting Year]],2023,TM[[#All],[Insurance Category Code]],A116,TM[[#All],[Large Provider Entity Code]],100)</f>
        <v>0</v>
      </c>
      <c r="J116" s="166">
        <f>SUMIFS(TM[[#All],[Total Non-Truncated Claims and Non-Claims Spending]],TM[[#All],[Reporting Year]],2022,TM[[#All],[Insurance Category Code]],A116,TM[[#All],[Large Provider Entity Code]],100)</f>
        <v>0</v>
      </c>
      <c r="K116" s="167">
        <f>SUMIFS(TM[[#All],[Total Non-Truncated Claims and Non-Claims Spending]],TM[[#All],[Reporting Year]],2023,TM[[#All],[Insurance Category Code]],A116,TM[[#All],[Large Provider Entity Code]],100)</f>
        <v>0</v>
      </c>
      <c r="L116" s="166">
        <f>SUMIFS(TM[[#All],[Total Truncated Claims Spending]],TM[[#All],[Reporting Year]],2022,TM[[#All],[Insurance Category Code]],A116,TM[[#All],[Large Provider Entity Code]],100)</f>
        <v>0</v>
      </c>
      <c r="M116" s="167">
        <f>SUMIFS(TM[[#All],[Total Truncated Claims Spending]],TM[[#All],[Reporting Year]],2023,TM[[#All],[Insurance Category Code]],A116,TM[[#All],[Large Provider Entity Code]],100)</f>
        <v>0</v>
      </c>
      <c r="N116" s="166">
        <f>SUMIFS(TM[[#All],[Total Truncated Expenses]],TM[[#All],[Reporting Year]],2022,TM[[#All],[Insurance Category Code]],A116,TM[[#All],[Large Provider Entity Code]],100)</f>
        <v>0</v>
      </c>
      <c r="O116" s="170">
        <f>SUMIFS(TM[[#All],[Total Truncated Expenses]],TM[[#All],[Reporting Year]],2023,TM[[#All],[Insurance Category Code]],A116,TM[[#All],[Large Provider Entity Code]],100)</f>
        <v>0</v>
      </c>
      <c r="P116" s="166">
        <f>SUMIFS(TM[[#All],[Claims Amount Excluded Due to Truncation]],TM[[#All],[Reporting Year]],2022,TM[[#All],[Insurance Category Code]],A116,TM[[#All],[Large Provider Entity Code]],100)</f>
        <v>0</v>
      </c>
      <c r="Q116" s="170">
        <f>SUMIFS(TM[[#All],[Claims Amount Excluded Due to Truncation]],TM[[#All],[Reporting Year]],2023,TM[[#All],[Insurance Category Code]],A116,TM[[#All],[Large Provider Entity Code]],100)</f>
        <v>0</v>
      </c>
      <c r="R116"/>
      <c r="S116"/>
      <c r="T116"/>
      <c r="U116"/>
      <c r="V116"/>
      <c r="W116"/>
      <c r="X116"/>
      <c r="Y116"/>
      <c r="Z116"/>
      <c r="AA116"/>
      <c r="AB116"/>
      <c r="AC116"/>
    </row>
    <row r="117" spans="1:29" x14ac:dyDescent="0.25">
      <c r="A117" s="53">
        <v>7</v>
      </c>
      <c r="B117" s="95">
        <f>SUMIFS(TM[[#All],[Member Months]],TM[[#All],[Reporting Year]],2022,TM[[#All],[Insurance Category Code]],A117,TM[[#All],[Large Provider Entity Code]],100)</f>
        <v>0</v>
      </c>
      <c r="C117" s="302">
        <f>SUMIFS(TM[[#All],[Member Months]],TM[[#All],[Reporting Year]],2023,TM[[#All],[Insurance Category Code]],A117,TM[[#All],[Large Provider Entity Code]],100)</f>
        <v>0</v>
      </c>
      <c r="D117" s="95">
        <f>SUMIFS(TM[[#All],[Member Count with Truncated Claims]],TM[[#All],[Reporting Year]],2022,TM[[#All],[Insurance Category Code]],A117,TM[[#All],[Large Provider Entity Code]],100)</f>
        <v>0</v>
      </c>
      <c r="E117" s="302">
        <f>SUMIFS(TM[[#All],[Member Count with Truncated Claims]],TM[[#All],[Reporting Year]],2023,TM[[#All],[Insurance Category Code]],A117,TM[[#All],[Large Provider Entity Code]],100)</f>
        <v>0</v>
      </c>
      <c r="F117" s="166">
        <f>SUMIFS(TM[[#All],[Total Non-Truncated Claims Spending]],TM[[#All],[Reporting Year]],2022,TM[[#All],[Insurance Category Code]],A117,TM[[#All],[Large Provider Entity Code]],100)</f>
        <v>0</v>
      </c>
      <c r="G117" s="167">
        <f>SUMIFS(TM[[#All],[Total Non-Truncated Claims Spending]],TM[[#All],[Reporting Year]],2023,TM[[#All],[Insurance Category Code]],A117,TM[[#All],[Large Provider Entity Code]],100)</f>
        <v>0</v>
      </c>
      <c r="H117" s="166">
        <f>SUMIFS(TM[[#All],[Total Non-Claims Spending]],TM[[#All],[Reporting Year]],2022,TM[[#All],[Insurance Category Code]],A117,TM[[#All],[Large Provider Entity Code]],100)</f>
        <v>0</v>
      </c>
      <c r="I117" s="167">
        <f>SUMIFS(TM[[#All],[Total Non-Claims Spending]],TM[[#All],[Reporting Year]],2023,TM[[#All],[Insurance Category Code]],A117,TM[[#All],[Large Provider Entity Code]],100)</f>
        <v>0</v>
      </c>
      <c r="J117" s="166">
        <f>SUMIFS(TM[[#All],[Total Non-Truncated Claims and Non-Claims Spending]],TM[[#All],[Reporting Year]],2022,TM[[#All],[Insurance Category Code]],A117,TM[[#All],[Large Provider Entity Code]],100)</f>
        <v>0</v>
      </c>
      <c r="K117" s="167">
        <f>SUMIFS(TM[[#All],[Total Non-Truncated Claims and Non-Claims Spending]],TM[[#All],[Reporting Year]],2023,TM[[#All],[Insurance Category Code]],A117,TM[[#All],[Large Provider Entity Code]],100)</f>
        <v>0</v>
      </c>
      <c r="L117" s="166">
        <f>SUMIFS(TM[[#All],[Total Truncated Claims Spending]],TM[[#All],[Reporting Year]],2022,TM[[#All],[Insurance Category Code]],A117,TM[[#All],[Large Provider Entity Code]],100)</f>
        <v>0</v>
      </c>
      <c r="M117" s="167">
        <f>SUMIFS(TM[[#All],[Total Truncated Claims Spending]],TM[[#All],[Reporting Year]],2023,TM[[#All],[Insurance Category Code]],A117,TM[[#All],[Large Provider Entity Code]],100)</f>
        <v>0</v>
      </c>
      <c r="N117" s="166">
        <f>SUMIFS(TM[[#All],[Total Truncated Expenses]],TM[[#All],[Reporting Year]],2022,TM[[#All],[Insurance Category Code]],A117,TM[[#All],[Large Provider Entity Code]],100)</f>
        <v>0</v>
      </c>
      <c r="O117" s="170">
        <f>SUMIFS(TM[[#All],[Total Truncated Expenses]],TM[[#All],[Reporting Year]],2023,TM[[#All],[Insurance Category Code]],A117,TM[[#All],[Large Provider Entity Code]],100)</f>
        <v>0</v>
      </c>
      <c r="P117" s="166">
        <f>SUMIFS(TM[[#All],[Claims Amount Excluded Due to Truncation]],TM[[#All],[Reporting Year]],2022,TM[[#All],[Insurance Category Code]],A117,TM[[#All],[Large Provider Entity Code]],100)</f>
        <v>0</v>
      </c>
      <c r="Q117" s="170">
        <f>SUMIFS(TM[[#All],[Claims Amount Excluded Due to Truncation]],TM[[#All],[Reporting Year]],2023,TM[[#All],[Insurance Category Code]],A117,TM[[#All],[Large Provider Entity Code]],100)</f>
        <v>0</v>
      </c>
      <c r="R117"/>
      <c r="S117"/>
      <c r="T117"/>
      <c r="U117"/>
      <c r="V117"/>
      <c r="W117"/>
      <c r="X117"/>
      <c r="Y117"/>
      <c r="Z117"/>
      <c r="AA117"/>
      <c r="AB117"/>
      <c r="AC117"/>
    </row>
    <row r="118" spans="1:29" x14ac:dyDescent="0.25">
      <c r="A118" s="53">
        <v>8</v>
      </c>
      <c r="B118" s="95">
        <f>SUMIFS(TM[[#All],[Member Months]],TM[[#All],[Reporting Year]],2022,TM[[#All],[Insurance Category Code]],A118,TM[[#All],[Large Provider Entity Code]],100)</f>
        <v>0</v>
      </c>
      <c r="C118" s="302">
        <f>SUMIFS(TM[[#All],[Member Months]],TM[[#All],[Reporting Year]],2023,TM[[#All],[Insurance Category Code]],A118,TM[[#All],[Large Provider Entity Code]],100)</f>
        <v>0</v>
      </c>
      <c r="D118" s="95">
        <f>SUMIFS(TM[[#All],[Member Count with Truncated Claims]],TM[[#All],[Reporting Year]],2022,TM[[#All],[Insurance Category Code]],A118,TM[[#All],[Large Provider Entity Code]],100)</f>
        <v>0</v>
      </c>
      <c r="E118" s="302">
        <f>SUMIFS(TM[[#All],[Member Count with Truncated Claims]],TM[[#All],[Reporting Year]],2023,TM[[#All],[Insurance Category Code]],A118,TM[[#All],[Large Provider Entity Code]],100)</f>
        <v>0</v>
      </c>
      <c r="F118" s="166">
        <f>SUMIFS(TM[[#All],[Total Non-Truncated Claims Spending]],TM[[#All],[Reporting Year]],2022,TM[[#All],[Insurance Category Code]],A118,TM[[#All],[Large Provider Entity Code]],100)</f>
        <v>0</v>
      </c>
      <c r="G118" s="167">
        <f>SUMIFS(TM[[#All],[Total Non-Truncated Claims Spending]],TM[[#All],[Reporting Year]],2023,TM[[#All],[Insurance Category Code]],A118,TM[[#All],[Large Provider Entity Code]],100)</f>
        <v>0</v>
      </c>
      <c r="H118" s="166">
        <f>SUMIFS(TM[[#All],[Total Non-Claims Spending]],TM[[#All],[Reporting Year]],2022,TM[[#All],[Insurance Category Code]],A118,TM[[#All],[Large Provider Entity Code]],100)</f>
        <v>0</v>
      </c>
      <c r="I118" s="167">
        <f>SUMIFS(TM[[#All],[Total Non-Claims Spending]],TM[[#All],[Reporting Year]],2023,TM[[#All],[Insurance Category Code]],A118,TM[[#All],[Large Provider Entity Code]],100)</f>
        <v>0</v>
      </c>
      <c r="J118" s="166">
        <f>SUMIFS(TM[[#All],[Total Non-Truncated Claims and Non-Claims Spending]],TM[[#All],[Reporting Year]],2022,TM[[#All],[Insurance Category Code]],A118,TM[[#All],[Large Provider Entity Code]],100)</f>
        <v>0</v>
      </c>
      <c r="K118" s="167">
        <f>SUMIFS(TM[[#All],[Total Non-Truncated Claims and Non-Claims Spending]],TM[[#All],[Reporting Year]],2023,TM[[#All],[Insurance Category Code]],A118,TM[[#All],[Large Provider Entity Code]],100)</f>
        <v>0</v>
      </c>
      <c r="L118" s="166">
        <f>SUMIFS(TM[[#All],[Total Truncated Claims Spending]],TM[[#All],[Reporting Year]],2022,TM[[#All],[Insurance Category Code]],A118,TM[[#All],[Large Provider Entity Code]],100)</f>
        <v>0</v>
      </c>
      <c r="M118" s="167">
        <f>SUMIFS(TM[[#All],[Total Truncated Claims Spending]],TM[[#All],[Reporting Year]],2023,TM[[#All],[Insurance Category Code]],A118,TM[[#All],[Large Provider Entity Code]],100)</f>
        <v>0</v>
      </c>
      <c r="N118" s="166">
        <f>SUMIFS(TM[[#All],[Total Truncated Expenses]],TM[[#All],[Reporting Year]],2022,TM[[#All],[Insurance Category Code]],A118,TM[[#All],[Large Provider Entity Code]],100)</f>
        <v>0</v>
      </c>
      <c r="O118" s="170">
        <f>SUMIFS(TM[[#All],[Total Truncated Expenses]],TM[[#All],[Reporting Year]],2023,TM[[#All],[Insurance Category Code]],A118,TM[[#All],[Large Provider Entity Code]],100)</f>
        <v>0</v>
      </c>
      <c r="P118" s="166">
        <f>SUMIFS(TM[[#All],[Claims Amount Excluded Due to Truncation]],TM[[#All],[Reporting Year]],2022,TM[[#All],[Insurance Category Code]],A118,TM[[#All],[Large Provider Entity Code]],100)</f>
        <v>0</v>
      </c>
      <c r="Q118" s="170">
        <f>SUMIFS(TM[[#All],[Claims Amount Excluded Due to Truncation]],TM[[#All],[Reporting Year]],2023,TM[[#All],[Insurance Category Code]],A118,TM[[#All],[Large Provider Entity Code]],100)</f>
        <v>0</v>
      </c>
      <c r="R118"/>
      <c r="S118"/>
      <c r="T118"/>
      <c r="U118"/>
      <c r="V118"/>
      <c r="W118"/>
      <c r="X118"/>
      <c r="Y118"/>
      <c r="Z118"/>
      <c r="AA118"/>
      <c r="AB118"/>
      <c r="AC118"/>
    </row>
    <row r="119" spans="1:29" x14ac:dyDescent="0.25">
      <c r="A119" s="1"/>
      <c r="B119" s="115"/>
      <c r="C119" s="115"/>
      <c r="D119" s="115"/>
      <c r="E119" s="115"/>
      <c r="F119" s="183"/>
      <c r="G119" s="183"/>
      <c r="H119" s="183"/>
      <c r="I119" s="183"/>
      <c r="J119" s="183"/>
      <c r="K119" s="183"/>
      <c r="L119" s="183"/>
      <c r="M119" s="183"/>
      <c r="N119" s="183"/>
      <c r="O119" s="183"/>
      <c r="P119"/>
      <c r="Q119"/>
      <c r="R119"/>
      <c r="S119"/>
      <c r="T119"/>
      <c r="U119"/>
      <c r="V119"/>
      <c r="W119"/>
      <c r="X119"/>
      <c r="Y119"/>
      <c r="Z119"/>
      <c r="AA119"/>
      <c r="AB119"/>
      <c r="AC119"/>
    </row>
    <row r="120" spans="1:29" x14ac:dyDescent="0.25">
      <c r="A120" s="2"/>
      <c r="B120" s="303"/>
      <c r="C120" s="303"/>
      <c r="D120"/>
      <c r="E120"/>
      <c r="F120"/>
      <c r="G120"/>
      <c r="H120"/>
      <c r="I120"/>
      <c r="J120"/>
      <c r="K120"/>
      <c r="L120"/>
      <c r="M120"/>
      <c r="N120"/>
      <c r="O120"/>
      <c r="P120"/>
      <c r="Q120"/>
      <c r="R120"/>
      <c r="S120"/>
      <c r="T120"/>
      <c r="U120"/>
      <c r="V120"/>
      <c r="W120"/>
      <c r="X120"/>
      <c r="Y120"/>
      <c r="Z120"/>
      <c r="AA120"/>
      <c r="AB120"/>
      <c r="AC120"/>
    </row>
    <row r="121" spans="1:29" x14ac:dyDescent="0.25">
      <c r="A121" s="4" t="s">
        <v>445</v>
      </c>
      <c r="B121"/>
      <c r="C121"/>
      <c r="D121"/>
      <c r="E121"/>
      <c r="F121"/>
      <c r="G121"/>
      <c r="H121"/>
      <c r="I121"/>
      <c r="J121"/>
      <c r="K121"/>
      <c r="L121" s="150"/>
      <c r="M121" s="150"/>
      <c r="N121"/>
      <c r="O121"/>
      <c r="P121"/>
      <c r="Q121"/>
      <c r="R121"/>
      <c r="S121"/>
      <c r="T121"/>
      <c r="U121"/>
      <c r="V121"/>
      <c r="W121"/>
      <c r="X121"/>
      <c r="Y121"/>
      <c r="Z121"/>
      <c r="AA121"/>
      <c r="AB121"/>
      <c r="AC121"/>
    </row>
    <row r="122" spans="1:29" ht="15.75" thickBot="1" x14ac:dyDescent="0.3">
      <c r="A122" s="659" t="s">
        <v>61</v>
      </c>
      <c r="B122" s="198">
        <v>2022</v>
      </c>
      <c r="C122" s="199">
        <v>2023</v>
      </c>
      <c r="D122" s="198">
        <v>2022</v>
      </c>
      <c r="E122" s="199">
        <v>2023</v>
      </c>
      <c r="F122" s="198">
        <v>2022</v>
      </c>
      <c r="G122" s="199">
        <v>2023</v>
      </c>
      <c r="H122" s="198">
        <v>2022</v>
      </c>
      <c r="I122" s="199">
        <v>2023</v>
      </c>
      <c r="J122" s="198">
        <v>2022</v>
      </c>
      <c r="K122" s="199">
        <v>2023</v>
      </c>
      <c r="L122" s="198">
        <v>2022</v>
      </c>
      <c r="M122" s="200">
        <v>2023</v>
      </c>
      <c r="N122" s="198">
        <v>2022</v>
      </c>
      <c r="O122" s="199">
        <v>2023</v>
      </c>
      <c r="P122"/>
      <c r="Q122"/>
      <c r="R122"/>
      <c r="S122"/>
      <c r="T122"/>
      <c r="U122"/>
      <c r="V122"/>
      <c r="W122"/>
      <c r="X122"/>
      <c r="Y122"/>
      <c r="Z122"/>
      <c r="AA122"/>
      <c r="AB122"/>
      <c r="AC122"/>
    </row>
    <row r="123" spans="1:29" x14ac:dyDescent="0.25">
      <c r="A123" s="660"/>
      <c r="B123" s="648" t="s">
        <v>181</v>
      </c>
      <c r="C123" s="651"/>
      <c r="D123" s="650" t="s">
        <v>198</v>
      </c>
      <c r="E123" s="651"/>
      <c r="F123" s="650" t="s">
        <v>199</v>
      </c>
      <c r="G123" s="651"/>
      <c r="H123" s="650" t="s">
        <v>202</v>
      </c>
      <c r="I123" s="651"/>
      <c r="J123" s="648" t="s">
        <v>446</v>
      </c>
      <c r="K123" s="651"/>
      <c r="L123" s="648" t="s">
        <v>447</v>
      </c>
      <c r="M123" s="649"/>
      <c r="N123" s="650" t="s">
        <v>197</v>
      </c>
      <c r="O123" s="649"/>
      <c r="P123"/>
      <c r="Q123"/>
      <c r="R123"/>
      <c r="S123"/>
      <c r="T123"/>
      <c r="U123"/>
      <c r="V123"/>
      <c r="W123"/>
      <c r="X123"/>
      <c r="Y123"/>
      <c r="Z123"/>
      <c r="AA123"/>
      <c r="AB123"/>
      <c r="AC123"/>
    </row>
    <row r="124" spans="1:29" x14ac:dyDescent="0.25">
      <c r="A124" s="53">
        <v>1</v>
      </c>
      <c r="B124" s="95">
        <f>SUMIFS(AS[[#All],[Member Months]],AS[[#All],[Reporting Year]],2022,AS[[#All],[Insurance Category Code]],A124,AS[[#All],[Large Provider Entity Code]],100)</f>
        <v>0</v>
      </c>
      <c r="C124" s="302">
        <f>SUMIFS(AS[[#All],[Member Months]],AS[[#All],[Reporting Year]],2023,AS[[#All],[Insurance Category Code]],A124,AS[[#All],[Large Provider Entity Code]],100)</f>
        <v>0</v>
      </c>
      <c r="D124" s="95">
        <f>SUMIFS(AS[[#All],[Member Count with Truncated Claims]],AS[[#All],[Reporting Year]],2022,AS[[#All],[Insurance Category Code]],A124,AS[[#All],[Large Provider Entity Code]],100)</f>
        <v>0</v>
      </c>
      <c r="E124" s="302">
        <f>SUMIFS(AS[[#All],[Member Count with Truncated Claims]],AS[[#All],[Reporting Year]],2023,AS[[#All],[Insurance Category Code]],A124,AS[[#All],[Large Provider Entity Code]],100)</f>
        <v>0</v>
      </c>
      <c r="F124" s="185">
        <f>SUMIFS(AS[[#All],[Total Non-Truncated Claims Spending]],AS[[#All],[Reporting Year]],2022,AS[[#All],[Insurance Category Code]],A124,AS[[#All],[Large Provider Entity Code]],100)</f>
        <v>0</v>
      </c>
      <c r="G124" s="96">
        <f>SUMIFS(AS[[#All],[Total Non-Truncated Claims Spending]],AS[[#All],[Reporting Year]],2023,AS[[#All],[Insurance Category Code]],A124,AS[[#All],[Large Provider Entity Code]],100)</f>
        <v>0</v>
      </c>
      <c r="H124" s="185">
        <f>SUMIFS(AS[[#All],[Total Truncated Claims Spending]],AS[[#All],[Reporting Year]],2022,AS[[#All],[Insurance Category Code]],A124,AS[[#All],[Large Provider Entity Code]],100)</f>
        <v>0</v>
      </c>
      <c r="I124" s="96">
        <f>SUMIFS(AS[[#All],[Total Truncated Claims Spending]],AS[[#All],[Reporting Year]],2023,AS[[#All],[Insurance Category Code]],A124,AS[[#All],[Large Provider Entity Code]],100)</f>
        <v>0</v>
      </c>
      <c r="J124" s="95">
        <f>SUMIFS(AS[[#All],[Member Months]],AS[[#All],[Reporting Year]],2022,AS[[#All],[Insurance Category Code]],A124,AS[[#All],[Large Provider Entity Code]],100,AS[[#All],[Sex Code]],1)</f>
        <v>0</v>
      </c>
      <c r="K124" s="302">
        <f>SUMIFS(AS[[#All],[Member Months]],AS[[#All],[Reporting Year]],2023,AS[[#All],[Insurance Category Code]],A124,AS[[#All],[Large Provider Entity Code]],100,AS[[#All],[Sex Code]],1)</f>
        <v>0</v>
      </c>
      <c r="L124" s="95">
        <f>SUMIFS(AS[[#All],[Member Months]],AS[[#All],[Reporting Year]],2022,AS[[#All],[Insurance Category Code]],A124,AS[[#All],[Large Provider Entity Code]],100,AS[[#All],[Sex Code]],2)</f>
        <v>0</v>
      </c>
      <c r="M124" s="8">
        <f>SUMIFS(AS[[#All],[Member Months]],AS[[#All],[Reporting Year]],2023,AS[[#All],[Insurance Category Code]],A124,AS[[#All],[Large Provider Entity Code]],100,AS[[#All],[Sex Code]],2)</f>
        <v>0</v>
      </c>
      <c r="N124" s="185">
        <f>SUMIFS(AS[[#All],[Claims Amount Excluded Due to Truncation]],AS[[#All],[Reporting Year]],2022,AS[[#All],[Insurance Category Code]],A124,AS[[#All],[Large Provider Entity Code]],100)</f>
        <v>0</v>
      </c>
      <c r="O124" s="96">
        <f>SUMIFS(AS[[#All],[Claims Amount Excluded Due to Truncation]],AS[[#All],[Reporting Year]],2023,AS[[#All],[Insurance Category Code]],A124,AS[[#All],[Large Provider Entity Code]],100)</f>
        <v>0</v>
      </c>
      <c r="P124"/>
      <c r="Q124"/>
      <c r="R124"/>
      <c r="S124"/>
      <c r="T124"/>
      <c r="U124"/>
      <c r="V124"/>
      <c r="W124"/>
      <c r="X124"/>
      <c r="Y124"/>
      <c r="Z124"/>
      <c r="AA124"/>
      <c r="AB124"/>
      <c r="AC124"/>
    </row>
    <row r="125" spans="1:29" x14ac:dyDescent="0.25">
      <c r="A125" s="53">
        <v>2</v>
      </c>
      <c r="B125" s="95">
        <f>SUMIFS(AS[[#All],[Member Months]],AS[[#All],[Reporting Year]],2022,AS[[#All],[Insurance Category Code]],A125,AS[[#All],[Large Provider Entity Code]],100)</f>
        <v>0</v>
      </c>
      <c r="C125" s="302">
        <f>SUMIFS(AS[[#All],[Member Months]],AS[[#All],[Reporting Year]],2023,AS[[#All],[Insurance Category Code]],A125,AS[[#All],[Large Provider Entity Code]],100)</f>
        <v>0</v>
      </c>
      <c r="D125" s="95">
        <f>SUMIFS(AS[[#All],[Member Count with Truncated Claims]],AS[[#All],[Reporting Year]],2022,AS[[#All],[Insurance Category Code]],A125,AS[[#All],[Large Provider Entity Code]],100)</f>
        <v>0</v>
      </c>
      <c r="E125" s="302">
        <f>SUMIFS(AS[[#All],[Member Count with Truncated Claims]],AS[[#All],[Reporting Year]],2023,AS[[#All],[Insurance Category Code]],A125,AS[[#All],[Large Provider Entity Code]],100)</f>
        <v>0</v>
      </c>
      <c r="F125" s="185">
        <f>SUMIFS(AS[[#All],[Total Non-Truncated Claims Spending]],AS[[#All],[Reporting Year]],2022,AS[[#All],[Insurance Category Code]],A125,AS[[#All],[Large Provider Entity Code]],100)</f>
        <v>0</v>
      </c>
      <c r="G125" s="96">
        <f>SUMIFS(AS[[#All],[Total Non-Truncated Claims Spending]],AS[[#All],[Reporting Year]],2023,AS[[#All],[Insurance Category Code]],A125,AS[[#All],[Large Provider Entity Code]],100)</f>
        <v>0</v>
      </c>
      <c r="H125" s="185">
        <f>SUMIFS(AS[[#All],[Total Truncated Claims Spending]],AS[[#All],[Reporting Year]],2022,AS[[#All],[Insurance Category Code]],A125,AS[[#All],[Large Provider Entity Code]],100)</f>
        <v>0</v>
      </c>
      <c r="I125" s="96">
        <f>SUMIFS(AS[[#All],[Total Truncated Claims Spending]],AS[[#All],[Reporting Year]],2023,AS[[#All],[Insurance Category Code]],A125,AS[[#All],[Large Provider Entity Code]],100)</f>
        <v>0</v>
      </c>
      <c r="J125" s="95">
        <f>SUMIFS(AS[[#All],[Member Months]],AS[[#All],[Reporting Year]],2022,AS[[#All],[Insurance Category Code]],A125,AS[[#All],[Large Provider Entity Code]],100,AS[[#All],[Sex Code]],1)</f>
        <v>0</v>
      </c>
      <c r="K125" s="302">
        <f>SUMIFS(AS[[#All],[Member Months]],AS[[#All],[Reporting Year]],2023,AS[[#All],[Insurance Category Code]],A125,AS[[#All],[Large Provider Entity Code]],100,AS[[#All],[Sex Code]],1)</f>
        <v>0</v>
      </c>
      <c r="L125" s="95">
        <f>SUMIFS(AS[[#All],[Member Months]],AS[[#All],[Reporting Year]],2022,AS[[#All],[Insurance Category Code]],A125,AS[[#All],[Large Provider Entity Code]],100,AS[[#All],[Sex Code]],2)</f>
        <v>0</v>
      </c>
      <c r="M125" s="8">
        <f>SUMIFS(AS[[#All],[Member Months]],AS[[#All],[Reporting Year]],2023,AS[[#All],[Insurance Category Code]],A125,AS[[#All],[Large Provider Entity Code]],100,AS[[#All],[Sex Code]],2)</f>
        <v>0</v>
      </c>
      <c r="N125" s="185">
        <f>SUMIFS(AS[[#All],[Claims Amount Excluded Due to Truncation]],AS[[#All],[Reporting Year]],2022,AS[[#All],[Insurance Category Code]],A125,AS[[#All],[Large Provider Entity Code]],100)</f>
        <v>0</v>
      </c>
      <c r="O125" s="96">
        <f>SUMIFS(AS[[#All],[Claims Amount Excluded Due to Truncation]],AS[[#All],[Reporting Year]],2023,AS[[#All],[Insurance Category Code]],A125,AS[[#All],[Large Provider Entity Code]],100)</f>
        <v>0</v>
      </c>
      <c r="P125"/>
      <c r="Q125"/>
      <c r="R125"/>
      <c r="S125"/>
      <c r="T125"/>
      <c r="U125"/>
      <c r="V125"/>
      <c r="W125"/>
      <c r="X125"/>
      <c r="Y125"/>
      <c r="Z125"/>
      <c r="AA125"/>
      <c r="AB125"/>
      <c r="AC125"/>
    </row>
    <row r="126" spans="1:29" x14ac:dyDescent="0.25">
      <c r="A126" s="53">
        <v>3</v>
      </c>
      <c r="B126" s="95">
        <f>SUMIFS(AS[[#All],[Member Months]],AS[[#All],[Reporting Year]],2022,AS[[#All],[Insurance Category Code]],A126,AS[[#All],[Large Provider Entity Code]],100)</f>
        <v>0</v>
      </c>
      <c r="C126" s="302">
        <f>SUMIFS(AS[[#All],[Member Months]],AS[[#All],[Reporting Year]],2023,AS[[#All],[Insurance Category Code]],A126,AS[[#All],[Large Provider Entity Code]],100)</f>
        <v>0</v>
      </c>
      <c r="D126" s="95">
        <f>SUMIFS(AS[[#All],[Member Count with Truncated Claims]],AS[[#All],[Reporting Year]],2022,AS[[#All],[Insurance Category Code]],A126,AS[[#All],[Large Provider Entity Code]],100)</f>
        <v>0</v>
      </c>
      <c r="E126" s="302">
        <f>SUMIFS(AS[[#All],[Member Count with Truncated Claims]],AS[[#All],[Reporting Year]],2023,AS[[#All],[Insurance Category Code]],A126,AS[[#All],[Large Provider Entity Code]],100)</f>
        <v>0</v>
      </c>
      <c r="F126" s="185">
        <f>SUMIFS(AS[[#All],[Total Non-Truncated Claims Spending]],AS[[#All],[Reporting Year]],2022,AS[[#All],[Insurance Category Code]],A126,AS[[#All],[Large Provider Entity Code]],100)</f>
        <v>0</v>
      </c>
      <c r="G126" s="96">
        <f>SUMIFS(AS[[#All],[Total Non-Truncated Claims Spending]],AS[[#All],[Reporting Year]],2023,AS[[#All],[Insurance Category Code]],A126,AS[[#All],[Large Provider Entity Code]],100)</f>
        <v>0</v>
      </c>
      <c r="H126" s="185">
        <f>SUMIFS(AS[[#All],[Total Truncated Claims Spending]],AS[[#All],[Reporting Year]],2022,AS[[#All],[Insurance Category Code]],A126,AS[[#All],[Large Provider Entity Code]],100)</f>
        <v>0</v>
      </c>
      <c r="I126" s="96">
        <f>SUMIFS(AS[[#All],[Total Truncated Claims Spending]],AS[[#All],[Reporting Year]],2023,AS[[#All],[Insurance Category Code]],A126,AS[[#All],[Large Provider Entity Code]],100)</f>
        <v>0</v>
      </c>
      <c r="J126" s="95">
        <f>SUMIFS(AS[[#All],[Member Months]],AS[[#All],[Reporting Year]],2022,AS[[#All],[Insurance Category Code]],A126,AS[[#All],[Large Provider Entity Code]],100,AS[[#All],[Sex Code]],1)</f>
        <v>0</v>
      </c>
      <c r="K126" s="302">
        <f>SUMIFS(AS[[#All],[Member Months]],AS[[#All],[Reporting Year]],2023,AS[[#All],[Insurance Category Code]],A126,AS[[#All],[Large Provider Entity Code]],100,AS[[#All],[Sex Code]],1)</f>
        <v>0</v>
      </c>
      <c r="L126" s="95">
        <f>SUMIFS(AS[[#All],[Member Months]],AS[[#All],[Reporting Year]],2022,AS[[#All],[Insurance Category Code]],A126,AS[[#All],[Large Provider Entity Code]],100,AS[[#All],[Sex Code]],2)</f>
        <v>0</v>
      </c>
      <c r="M126" s="8">
        <f>SUMIFS(AS[[#All],[Member Months]],AS[[#All],[Reporting Year]],2023,AS[[#All],[Insurance Category Code]],A126,AS[[#All],[Large Provider Entity Code]],100,AS[[#All],[Sex Code]],2)</f>
        <v>0</v>
      </c>
      <c r="N126" s="185">
        <f>SUMIFS(AS[[#All],[Claims Amount Excluded Due to Truncation]],AS[[#All],[Reporting Year]],2022,AS[[#All],[Insurance Category Code]],A126,AS[[#All],[Large Provider Entity Code]],100)</f>
        <v>0</v>
      </c>
      <c r="O126" s="96">
        <f>SUMIFS(AS[[#All],[Claims Amount Excluded Due to Truncation]],AS[[#All],[Reporting Year]],2023,AS[[#All],[Insurance Category Code]],A126,AS[[#All],[Large Provider Entity Code]],100)</f>
        <v>0</v>
      </c>
      <c r="P126"/>
      <c r="Q126"/>
      <c r="R126"/>
      <c r="S126"/>
      <c r="T126"/>
      <c r="U126"/>
      <c r="V126"/>
      <c r="W126"/>
      <c r="X126"/>
      <c r="Y126"/>
      <c r="Z126"/>
      <c r="AA126"/>
      <c r="AB126"/>
      <c r="AC126"/>
    </row>
    <row r="127" spans="1:29" x14ac:dyDescent="0.25">
      <c r="A127" s="53">
        <v>4</v>
      </c>
      <c r="B127" s="95">
        <f>SUMIFS(AS[[#All],[Member Months]],AS[[#All],[Reporting Year]],2022,AS[[#All],[Insurance Category Code]],A127,AS[[#All],[Large Provider Entity Code]],100)</f>
        <v>0</v>
      </c>
      <c r="C127" s="302">
        <f>SUMIFS(AS[[#All],[Member Months]],AS[[#All],[Reporting Year]],2023,AS[[#All],[Insurance Category Code]],A127,AS[[#All],[Large Provider Entity Code]],100)</f>
        <v>0</v>
      </c>
      <c r="D127" s="95">
        <f>SUMIFS(AS[[#All],[Member Count with Truncated Claims]],AS[[#All],[Reporting Year]],2022,AS[[#All],[Insurance Category Code]],A127,AS[[#All],[Large Provider Entity Code]],100)</f>
        <v>0</v>
      </c>
      <c r="E127" s="302">
        <f>SUMIFS(AS[[#All],[Member Count with Truncated Claims]],AS[[#All],[Reporting Year]],2023,AS[[#All],[Insurance Category Code]],A127,AS[[#All],[Large Provider Entity Code]],100)</f>
        <v>0</v>
      </c>
      <c r="F127" s="185">
        <f>SUMIFS(AS[[#All],[Total Non-Truncated Claims Spending]],AS[[#All],[Reporting Year]],2022,AS[[#All],[Insurance Category Code]],A127,AS[[#All],[Large Provider Entity Code]],100)</f>
        <v>0</v>
      </c>
      <c r="G127" s="96">
        <f>SUMIFS(AS[[#All],[Total Non-Truncated Claims Spending]],AS[[#All],[Reporting Year]],2023,AS[[#All],[Insurance Category Code]],A127,AS[[#All],[Large Provider Entity Code]],100)</f>
        <v>0</v>
      </c>
      <c r="H127" s="185">
        <f>SUMIFS(AS[[#All],[Total Truncated Claims Spending]],AS[[#All],[Reporting Year]],2022,AS[[#All],[Insurance Category Code]],A127,AS[[#All],[Large Provider Entity Code]],100)</f>
        <v>0</v>
      </c>
      <c r="I127" s="96">
        <f>SUMIFS(AS[[#All],[Total Truncated Claims Spending]],AS[[#All],[Reporting Year]],2023,AS[[#All],[Insurance Category Code]],A127,AS[[#All],[Large Provider Entity Code]],100)</f>
        <v>0</v>
      </c>
      <c r="J127" s="95">
        <f>SUMIFS(AS[[#All],[Member Months]],AS[[#All],[Reporting Year]],2022,AS[[#All],[Insurance Category Code]],A127,AS[[#All],[Large Provider Entity Code]],100,AS[[#All],[Sex Code]],1)</f>
        <v>0</v>
      </c>
      <c r="K127" s="302">
        <f>SUMIFS(AS[[#All],[Member Months]],AS[[#All],[Reporting Year]],2023,AS[[#All],[Insurance Category Code]],A127,AS[[#All],[Large Provider Entity Code]],100,AS[[#All],[Sex Code]],1)</f>
        <v>0</v>
      </c>
      <c r="L127" s="95">
        <f>SUMIFS(AS[[#All],[Member Months]],AS[[#All],[Reporting Year]],2022,AS[[#All],[Insurance Category Code]],A127,AS[[#All],[Large Provider Entity Code]],100,AS[[#All],[Sex Code]],2)</f>
        <v>0</v>
      </c>
      <c r="M127" s="8">
        <f>SUMIFS(AS[[#All],[Member Months]],AS[[#All],[Reporting Year]],2023,AS[[#All],[Insurance Category Code]],A127,AS[[#All],[Large Provider Entity Code]],100,AS[[#All],[Sex Code]],2)</f>
        <v>0</v>
      </c>
      <c r="N127" s="185">
        <f>SUMIFS(AS[[#All],[Claims Amount Excluded Due to Truncation]],AS[[#All],[Reporting Year]],2022,AS[[#All],[Insurance Category Code]],A127,AS[[#All],[Large Provider Entity Code]],100)</f>
        <v>0</v>
      </c>
      <c r="O127" s="96">
        <f>SUMIFS(AS[[#All],[Claims Amount Excluded Due to Truncation]],AS[[#All],[Reporting Year]],2023,AS[[#All],[Insurance Category Code]],A127,AS[[#All],[Large Provider Entity Code]],100)</f>
        <v>0</v>
      </c>
      <c r="P127"/>
      <c r="Q127"/>
      <c r="R127"/>
      <c r="S127"/>
      <c r="T127"/>
      <c r="U127"/>
      <c r="V127"/>
      <c r="W127"/>
      <c r="X127"/>
      <c r="Y127"/>
      <c r="Z127"/>
      <c r="AA127"/>
      <c r="AB127"/>
      <c r="AC127"/>
    </row>
    <row r="128" spans="1:29" x14ac:dyDescent="0.25">
      <c r="A128" s="53">
        <v>5</v>
      </c>
      <c r="B128" s="95">
        <f>SUMIFS(AS[[#All],[Member Months]],AS[[#All],[Reporting Year]],2022,AS[[#All],[Insurance Category Code]],A128,AS[[#All],[Large Provider Entity Code]],100)</f>
        <v>0</v>
      </c>
      <c r="C128" s="302">
        <f>SUMIFS(AS[[#All],[Member Months]],AS[[#All],[Reporting Year]],2023,AS[[#All],[Insurance Category Code]],A128,AS[[#All],[Large Provider Entity Code]],100)</f>
        <v>0</v>
      </c>
      <c r="D128" s="95">
        <f>SUMIFS(AS[[#All],[Member Count with Truncated Claims]],AS[[#All],[Reporting Year]],2022,AS[[#All],[Insurance Category Code]],A128,AS[[#All],[Large Provider Entity Code]],100)</f>
        <v>0</v>
      </c>
      <c r="E128" s="302">
        <f>SUMIFS(AS[[#All],[Member Count with Truncated Claims]],AS[[#All],[Reporting Year]],2023,AS[[#All],[Insurance Category Code]],A128,AS[[#All],[Large Provider Entity Code]],100)</f>
        <v>0</v>
      </c>
      <c r="F128" s="185">
        <f>SUMIFS(AS[[#All],[Total Non-Truncated Claims Spending]],AS[[#All],[Reporting Year]],2022,AS[[#All],[Insurance Category Code]],A128,AS[[#All],[Large Provider Entity Code]],100)</f>
        <v>0</v>
      </c>
      <c r="G128" s="96">
        <f>SUMIFS(AS[[#All],[Total Non-Truncated Claims Spending]],AS[[#All],[Reporting Year]],2023,AS[[#All],[Insurance Category Code]],A128,AS[[#All],[Large Provider Entity Code]],100)</f>
        <v>0</v>
      </c>
      <c r="H128" s="185">
        <f>SUMIFS(AS[[#All],[Total Truncated Claims Spending]],AS[[#All],[Reporting Year]],2022,AS[[#All],[Insurance Category Code]],A128,AS[[#All],[Large Provider Entity Code]],100)</f>
        <v>0</v>
      </c>
      <c r="I128" s="96">
        <f>SUMIFS(AS[[#All],[Total Truncated Claims Spending]],AS[[#All],[Reporting Year]],2023,AS[[#All],[Insurance Category Code]],A128,AS[[#All],[Large Provider Entity Code]],100)</f>
        <v>0</v>
      </c>
      <c r="J128" s="95">
        <f>SUMIFS(AS[[#All],[Member Months]],AS[[#All],[Reporting Year]],2022,AS[[#All],[Insurance Category Code]],A128,AS[[#All],[Large Provider Entity Code]],100,AS[[#All],[Sex Code]],1)</f>
        <v>0</v>
      </c>
      <c r="K128" s="302">
        <f>SUMIFS(AS[[#All],[Member Months]],AS[[#All],[Reporting Year]],2023,AS[[#All],[Insurance Category Code]],A128,AS[[#All],[Large Provider Entity Code]],100,AS[[#All],[Sex Code]],1)</f>
        <v>0</v>
      </c>
      <c r="L128" s="95">
        <f>SUMIFS(AS[[#All],[Member Months]],AS[[#All],[Reporting Year]],2022,AS[[#All],[Insurance Category Code]],A128,AS[[#All],[Large Provider Entity Code]],100,AS[[#All],[Sex Code]],2)</f>
        <v>0</v>
      </c>
      <c r="M128" s="8">
        <f>SUMIFS(AS[[#All],[Member Months]],AS[[#All],[Reporting Year]],2023,AS[[#All],[Insurance Category Code]],A128,AS[[#All],[Large Provider Entity Code]],100,AS[[#All],[Sex Code]],2)</f>
        <v>0</v>
      </c>
      <c r="N128" s="185">
        <f>SUMIFS(AS[[#All],[Claims Amount Excluded Due to Truncation]],AS[[#All],[Reporting Year]],2022,AS[[#All],[Insurance Category Code]],A128,AS[[#All],[Large Provider Entity Code]],100)</f>
        <v>0</v>
      </c>
      <c r="O128" s="96">
        <f>SUMIFS(AS[[#All],[Claims Amount Excluded Due to Truncation]],AS[[#All],[Reporting Year]],2023,AS[[#All],[Insurance Category Code]],A128,AS[[#All],[Large Provider Entity Code]],100)</f>
        <v>0</v>
      </c>
      <c r="P128"/>
      <c r="Q128"/>
      <c r="R128"/>
      <c r="S128"/>
      <c r="T128"/>
      <c r="U128"/>
      <c r="V128"/>
      <c r="W128"/>
      <c r="X128"/>
      <c r="Y128"/>
      <c r="Z128"/>
      <c r="AA128"/>
      <c r="AB128"/>
      <c r="AC128"/>
    </row>
    <row r="129" spans="1:51" x14ac:dyDescent="0.25">
      <c r="A129" s="53">
        <v>6</v>
      </c>
      <c r="B129" s="95">
        <f>SUMIFS(AS[[#All],[Member Months]],AS[[#All],[Reporting Year]],2022,AS[[#All],[Insurance Category Code]],A129,AS[[#All],[Large Provider Entity Code]],100)</f>
        <v>0</v>
      </c>
      <c r="C129" s="302">
        <f>SUMIFS(AS[[#All],[Member Months]],AS[[#All],[Reporting Year]],2023,AS[[#All],[Insurance Category Code]],A129,AS[[#All],[Large Provider Entity Code]],100)</f>
        <v>0</v>
      </c>
      <c r="D129" s="95">
        <f>SUMIFS(AS[[#All],[Member Count with Truncated Claims]],AS[[#All],[Reporting Year]],2022,AS[[#All],[Insurance Category Code]],A129,AS[[#All],[Large Provider Entity Code]],100)</f>
        <v>0</v>
      </c>
      <c r="E129" s="302">
        <f>SUMIFS(AS[[#All],[Member Count with Truncated Claims]],AS[[#All],[Reporting Year]],2023,AS[[#All],[Insurance Category Code]],A129,AS[[#All],[Large Provider Entity Code]],100)</f>
        <v>0</v>
      </c>
      <c r="F129" s="185">
        <f>SUMIFS(AS[[#All],[Total Non-Truncated Claims Spending]],AS[[#All],[Reporting Year]],2022,AS[[#All],[Insurance Category Code]],A129,AS[[#All],[Large Provider Entity Code]],100)</f>
        <v>0</v>
      </c>
      <c r="G129" s="96">
        <f>SUMIFS(AS[[#All],[Total Non-Truncated Claims Spending]],AS[[#All],[Reporting Year]],2023,AS[[#All],[Insurance Category Code]],A129,AS[[#All],[Large Provider Entity Code]],100)</f>
        <v>0</v>
      </c>
      <c r="H129" s="185">
        <f>SUMIFS(AS[[#All],[Total Truncated Claims Spending]],AS[[#All],[Reporting Year]],2022,AS[[#All],[Insurance Category Code]],A129,AS[[#All],[Large Provider Entity Code]],100)</f>
        <v>0</v>
      </c>
      <c r="I129" s="96">
        <f>SUMIFS(AS[[#All],[Total Truncated Claims Spending]],AS[[#All],[Reporting Year]],2023,AS[[#All],[Insurance Category Code]],A129,AS[[#All],[Large Provider Entity Code]],100)</f>
        <v>0</v>
      </c>
      <c r="J129" s="95">
        <f>SUMIFS(AS[[#All],[Member Months]],AS[[#All],[Reporting Year]],2022,AS[[#All],[Insurance Category Code]],A129,AS[[#All],[Large Provider Entity Code]],100,AS[[#All],[Sex Code]],1)</f>
        <v>0</v>
      </c>
      <c r="K129" s="302">
        <f>SUMIFS(AS[[#All],[Member Months]],AS[[#All],[Reporting Year]],2023,AS[[#All],[Insurance Category Code]],A129,AS[[#All],[Large Provider Entity Code]],100,AS[[#All],[Sex Code]],1)</f>
        <v>0</v>
      </c>
      <c r="L129" s="95">
        <f>SUMIFS(AS[[#All],[Member Months]],AS[[#All],[Reporting Year]],2022,AS[[#All],[Insurance Category Code]],A129,AS[[#All],[Large Provider Entity Code]],100,AS[[#All],[Sex Code]],2)</f>
        <v>0</v>
      </c>
      <c r="M129" s="8">
        <f>SUMIFS(AS[[#All],[Member Months]],AS[[#All],[Reporting Year]],2023,AS[[#All],[Insurance Category Code]],A129,AS[[#All],[Large Provider Entity Code]],100,AS[[#All],[Sex Code]],2)</f>
        <v>0</v>
      </c>
      <c r="N129" s="185">
        <f>SUMIFS(AS[[#All],[Claims Amount Excluded Due to Truncation]],AS[[#All],[Reporting Year]],2022,AS[[#All],[Insurance Category Code]],A129,AS[[#All],[Large Provider Entity Code]],100)</f>
        <v>0</v>
      </c>
      <c r="O129" s="96">
        <f>SUMIFS(AS[[#All],[Claims Amount Excluded Due to Truncation]],AS[[#All],[Reporting Year]],2023,AS[[#All],[Insurance Category Code]],A129,AS[[#All],[Large Provider Entity Code]],100)</f>
        <v>0</v>
      </c>
      <c r="P129"/>
      <c r="Q129"/>
      <c r="R129"/>
      <c r="S129"/>
      <c r="T129"/>
      <c r="U129"/>
      <c r="V129"/>
      <c r="W129"/>
      <c r="X129"/>
      <c r="Y129"/>
      <c r="Z129"/>
      <c r="AA129"/>
      <c r="AB129"/>
      <c r="AC129"/>
    </row>
    <row r="130" spans="1:51" x14ac:dyDescent="0.25">
      <c r="A130" s="53">
        <v>7</v>
      </c>
      <c r="B130" s="95">
        <f>SUMIFS(AS[[#All],[Member Months]],AS[[#All],[Reporting Year]],2022,AS[[#All],[Insurance Category Code]],A130,AS[[#All],[Large Provider Entity Code]],100)</f>
        <v>0</v>
      </c>
      <c r="C130" s="302">
        <f>SUMIFS(AS[[#All],[Member Months]],AS[[#All],[Reporting Year]],2023,AS[[#All],[Insurance Category Code]],A130,AS[[#All],[Large Provider Entity Code]],100)</f>
        <v>0</v>
      </c>
      <c r="D130" s="95">
        <f>SUMIFS(AS[[#All],[Member Count with Truncated Claims]],AS[[#All],[Reporting Year]],2022,AS[[#All],[Insurance Category Code]],A130,AS[[#All],[Large Provider Entity Code]],100)</f>
        <v>0</v>
      </c>
      <c r="E130" s="302">
        <f>SUMIFS(AS[[#All],[Member Count with Truncated Claims]],AS[[#All],[Reporting Year]],2023,AS[[#All],[Insurance Category Code]],A130,AS[[#All],[Large Provider Entity Code]],100)</f>
        <v>0</v>
      </c>
      <c r="F130" s="185">
        <f>SUMIFS(AS[[#All],[Total Non-Truncated Claims Spending]],AS[[#All],[Reporting Year]],2022,AS[[#All],[Insurance Category Code]],A130,AS[[#All],[Large Provider Entity Code]],100)</f>
        <v>0</v>
      </c>
      <c r="G130" s="96">
        <f>SUMIFS(AS[[#All],[Total Non-Truncated Claims Spending]],AS[[#All],[Reporting Year]],2023,AS[[#All],[Insurance Category Code]],A130,AS[[#All],[Large Provider Entity Code]],100)</f>
        <v>0</v>
      </c>
      <c r="H130" s="185">
        <f>SUMIFS(AS[[#All],[Total Truncated Claims Spending]],AS[[#All],[Reporting Year]],2022,AS[[#All],[Insurance Category Code]],A130,AS[[#All],[Large Provider Entity Code]],100)</f>
        <v>0</v>
      </c>
      <c r="I130" s="96">
        <f>SUMIFS(AS[[#All],[Total Truncated Claims Spending]],AS[[#All],[Reporting Year]],2023,AS[[#All],[Insurance Category Code]],A130,AS[[#All],[Large Provider Entity Code]],100)</f>
        <v>0</v>
      </c>
      <c r="J130" s="95">
        <f>SUMIFS(AS[[#All],[Member Months]],AS[[#All],[Reporting Year]],2022,AS[[#All],[Insurance Category Code]],A130,AS[[#All],[Large Provider Entity Code]],100,AS[[#All],[Sex Code]],1)</f>
        <v>0</v>
      </c>
      <c r="K130" s="302">
        <f>SUMIFS(AS[[#All],[Member Months]],AS[[#All],[Reporting Year]],2023,AS[[#All],[Insurance Category Code]],A130,AS[[#All],[Large Provider Entity Code]],100,AS[[#All],[Sex Code]],1)</f>
        <v>0</v>
      </c>
      <c r="L130" s="95">
        <f>SUMIFS(AS[[#All],[Member Months]],AS[[#All],[Reporting Year]],2022,AS[[#All],[Insurance Category Code]],A130,AS[[#All],[Large Provider Entity Code]],100,AS[[#All],[Sex Code]],2)</f>
        <v>0</v>
      </c>
      <c r="M130" s="8">
        <f>SUMIFS(AS[[#All],[Member Months]],AS[[#All],[Reporting Year]],2023,AS[[#All],[Insurance Category Code]],A130,AS[[#All],[Large Provider Entity Code]],100,AS[[#All],[Sex Code]],2)</f>
        <v>0</v>
      </c>
      <c r="N130" s="185">
        <f>SUMIFS(AS[[#All],[Claims Amount Excluded Due to Truncation]],AS[[#All],[Reporting Year]],2022,AS[[#All],[Insurance Category Code]],A130,AS[[#All],[Large Provider Entity Code]],100)</f>
        <v>0</v>
      </c>
      <c r="O130" s="96">
        <f>SUMIFS(AS[[#All],[Claims Amount Excluded Due to Truncation]],AS[[#All],[Reporting Year]],2023,AS[[#All],[Insurance Category Code]],A130,AS[[#All],[Large Provider Entity Code]],100)</f>
        <v>0</v>
      </c>
      <c r="P130"/>
      <c r="Q130"/>
      <c r="R130"/>
      <c r="S130"/>
      <c r="T130"/>
      <c r="U130"/>
      <c r="V130"/>
      <c r="W130"/>
      <c r="X130"/>
      <c r="Y130"/>
      <c r="Z130"/>
      <c r="AA130"/>
      <c r="AB130"/>
      <c r="AC130"/>
    </row>
    <row r="131" spans="1:51" x14ac:dyDescent="0.25">
      <c r="A131" s="304">
        <v>8</v>
      </c>
      <c r="B131" s="95">
        <f>SUMIFS(AS[[#All],[Member Months]],AS[[#All],[Reporting Year]],2022,AS[[#All],[Insurance Category Code]],A131,AS[[#All],[Large Provider Entity Code]],100)</f>
        <v>0</v>
      </c>
      <c r="C131" s="302">
        <f>SUMIFS(AS[[#All],[Member Months]],AS[[#All],[Reporting Year]],2023,AS[[#All],[Insurance Category Code]],A131,AS[[#All],[Large Provider Entity Code]],100)</f>
        <v>0</v>
      </c>
      <c r="D131" s="95">
        <f>SUMIFS(AS[[#All],[Member Count with Truncated Claims]],AS[[#All],[Reporting Year]],2022,AS[[#All],[Insurance Category Code]],A131,AS[[#All],[Large Provider Entity Code]],100)</f>
        <v>0</v>
      </c>
      <c r="E131" s="302">
        <f>SUMIFS(AS[[#All],[Member Count with Truncated Claims]],AS[[#All],[Reporting Year]],2023,AS[[#All],[Insurance Category Code]],A131,AS[[#All],[Large Provider Entity Code]],100)</f>
        <v>0</v>
      </c>
      <c r="F131" s="185">
        <f>SUMIFS(AS[[#All],[Total Non-Truncated Claims Spending]],AS[[#All],[Reporting Year]],2022,AS[[#All],[Insurance Category Code]],A131,AS[[#All],[Large Provider Entity Code]],100)</f>
        <v>0</v>
      </c>
      <c r="G131" s="96">
        <f>SUMIFS(AS[[#All],[Total Non-Truncated Claims Spending]],AS[[#All],[Reporting Year]],2023,AS[[#All],[Insurance Category Code]],A131,AS[[#All],[Large Provider Entity Code]],100)</f>
        <v>0</v>
      </c>
      <c r="H131" s="185">
        <f>SUMIFS(AS[[#All],[Total Truncated Claims Spending]],AS[[#All],[Reporting Year]],2022,AS[[#All],[Insurance Category Code]],A131,AS[[#All],[Large Provider Entity Code]],100)</f>
        <v>0</v>
      </c>
      <c r="I131" s="96">
        <f>SUMIFS(AS[[#All],[Total Truncated Claims Spending]],AS[[#All],[Reporting Year]],2023,AS[[#All],[Insurance Category Code]],A131,AS[[#All],[Large Provider Entity Code]],100)</f>
        <v>0</v>
      </c>
      <c r="J131" s="95">
        <f>SUMIFS(AS[[#All],[Member Months]],AS[[#All],[Reporting Year]],2022,AS[[#All],[Insurance Category Code]],A131,AS[[#All],[Large Provider Entity Code]],100,AS[[#All],[Sex Code]],1)</f>
        <v>0</v>
      </c>
      <c r="K131" s="302">
        <f>SUMIFS(AS[[#All],[Member Months]],AS[[#All],[Reporting Year]],2023,AS[[#All],[Insurance Category Code]],A131,AS[[#All],[Large Provider Entity Code]],100,AS[[#All],[Sex Code]],1)</f>
        <v>0</v>
      </c>
      <c r="L131" s="95">
        <f>SUMIFS(AS[[#All],[Member Months]],AS[[#All],[Reporting Year]],2022,AS[[#All],[Insurance Category Code]],A131,AS[[#All],[Large Provider Entity Code]],100,AS[[#All],[Sex Code]],2)</f>
        <v>0</v>
      </c>
      <c r="M131" s="8">
        <f>SUMIFS(AS[[#All],[Member Months]],AS[[#All],[Reporting Year]],2023,AS[[#All],[Insurance Category Code]],A131,AS[[#All],[Large Provider Entity Code]],100,AS[[#All],[Sex Code]],2)</f>
        <v>0</v>
      </c>
      <c r="N131" s="185">
        <f>SUMIFS(AS[[#All],[Claims Amount Excluded Due to Truncation]],AS[[#All],[Reporting Year]],2022,AS[[#All],[Insurance Category Code]],A131,AS[[#All],[Large Provider Entity Code]],100)</f>
        <v>0</v>
      </c>
      <c r="O131" s="96">
        <f>SUMIFS(AS[[#All],[Claims Amount Excluded Due to Truncation]],AS[[#All],[Reporting Year]],2023,AS[[#All],[Insurance Category Code]],A131,AS[[#All],[Large Provider Entity Code]],100)</f>
        <v>0</v>
      </c>
      <c r="P131"/>
      <c r="Q131"/>
      <c r="R131"/>
      <c r="S131"/>
      <c r="T131"/>
      <c r="U131"/>
      <c r="V131"/>
      <c r="W131"/>
      <c r="X131"/>
      <c r="Y131"/>
      <c r="Z131"/>
      <c r="AA131"/>
      <c r="AB131"/>
      <c r="AC131"/>
    </row>
    <row r="132" spans="1:51" x14ac:dyDescent="0.25">
      <c r="A132" s="1"/>
      <c r="B132" s="115"/>
      <c r="C132" s="115"/>
      <c r="D132" s="115"/>
      <c r="E132" s="115"/>
      <c r="F132" s="116"/>
      <c r="G132" s="116"/>
      <c r="H132" s="116"/>
      <c r="I132" s="116"/>
      <c r="J132" s="115"/>
      <c r="K132" s="115"/>
      <c r="L132" s="115"/>
      <c r="M132" s="115"/>
      <c r="N132" s="115"/>
      <c r="O132" s="115"/>
      <c r="P132" s="115"/>
      <c r="Q132" s="115"/>
      <c r="R132" s="115"/>
      <c r="S132" s="115"/>
      <c r="T132" s="115"/>
      <c r="U132" s="115"/>
      <c r="V132" s="115"/>
      <c r="W132" s="115"/>
      <c r="X132" s="115"/>
      <c r="Y132" s="115"/>
      <c r="Z132" s="115"/>
      <c r="AA132" s="115"/>
      <c r="AB132" s="115"/>
      <c r="AC132" s="115"/>
      <c r="AD132" s="184"/>
      <c r="AE132" s="184"/>
      <c r="AF132" s="184"/>
      <c r="AG132" s="184"/>
      <c r="AH132" s="305"/>
      <c r="AI132" s="305"/>
      <c r="AJ132" s="305"/>
      <c r="AK132" s="305"/>
      <c r="AL132" s="184"/>
      <c r="AM132" s="184"/>
      <c r="AN132" s="184"/>
      <c r="AO132" s="184"/>
      <c r="AP132" s="184"/>
      <c r="AQ132" s="184"/>
      <c r="AR132" s="184"/>
      <c r="AS132" s="184"/>
      <c r="AT132" s="184"/>
      <c r="AU132" s="184"/>
      <c r="AV132" s="184"/>
      <c r="AW132" s="184"/>
      <c r="AX132" s="184"/>
      <c r="AY132" s="184"/>
    </row>
    <row r="133" spans="1:51" x14ac:dyDescent="0.25">
      <c r="A133"/>
      <c r="B133"/>
      <c r="C133"/>
      <c r="D133"/>
      <c r="E133"/>
      <c r="F133"/>
      <c r="G133"/>
      <c r="H133"/>
      <c r="I133"/>
      <c r="J133"/>
      <c r="K133"/>
      <c r="L133"/>
      <c r="M133"/>
      <c r="N133"/>
      <c r="O133"/>
      <c r="P133"/>
      <c r="Q133"/>
      <c r="R133"/>
      <c r="S133"/>
      <c r="T133"/>
      <c r="U133"/>
      <c r="V133"/>
      <c r="W133"/>
      <c r="X133"/>
      <c r="Y133"/>
      <c r="Z133"/>
      <c r="AA133"/>
      <c r="AB133"/>
      <c r="AC133"/>
    </row>
    <row r="134" spans="1:51" x14ac:dyDescent="0.25">
      <c r="A134" s="4" t="s">
        <v>448</v>
      </c>
      <c r="B134"/>
      <c r="C134"/>
      <c r="D134"/>
      <c r="E134"/>
      <c r="F134"/>
      <c r="G134"/>
      <c r="H134"/>
      <c r="I134"/>
      <c r="J134"/>
      <c r="K134"/>
      <c r="L134" s="150"/>
      <c r="M134" s="150"/>
      <c r="N134"/>
      <c r="O134"/>
      <c r="P134"/>
      <c r="Q134"/>
      <c r="R134"/>
      <c r="S134"/>
      <c r="T134"/>
      <c r="U134"/>
      <c r="V134"/>
      <c r="W134"/>
      <c r="X134"/>
      <c r="Y134"/>
      <c r="Z134"/>
      <c r="AA134"/>
      <c r="AB134"/>
      <c r="AC134"/>
    </row>
    <row r="135" spans="1:51" ht="15.75" thickBot="1" x14ac:dyDescent="0.3">
      <c r="A135" s="659" t="s">
        <v>61</v>
      </c>
      <c r="B135" s="198">
        <v>2022</v>
      </c>
      <c r="C135" s="199">
        <v>2023</v>
      </c>
      <c r="D135" s="198">
        <v>2022</v>
      </c>
      <c r="E135" s="199">
        <v>2023</v>
      </c>
      <c r="F135" s="198">
        <v>2022</v>
      </c>
      <c r="G135" s="199">
        <v>2023</v>
      </c>
      <c r="H135" s="198">
        <v>2022</v>
      </c>
      <c r="I135" s="199">
        <v>2023</v>
      </c>
      <c r="J135" s="198">
        <v>2022</v>
      </c>
      <c r="K135" s="199">
        <v>2023</v>
      </c>
      <c r="L135" s="198">
        <v>2022</v>
      </c>
      <c r="M135" s="199">
        <v>2023</v>
      </c>
      <c r="N135" s="198">
        <v>2022</v>
      </c>
      <c r="O135" s="199">
        <v>2023</v>
      </c>
      <c r="P135" s="198">
        <v>2022</v>
      </c>
      <c r="Q135" s="199">
        <v>2023</v>
      </c>
      <c r="R135" s="198">
        <v>2022</v>
      </c>
      <c r="S135" s="199">
        <v>2023</v>
      </c>
      <c r="T135" s="198">
        <v>2022</v>
      </c>
      <c r="U135" s="199">
        <v>2023</v>
      </c>
      <c r="V135" s="198">
        <v>2022</v>
      </c>
      <c r="W135" s="199">
        <v>2023</v>
      </c>
      <c r="X135" s="198">
        <v>2022</v>
      </c>
      <c r="Y135" s="200">
        <v>2023</v>
      </c>
      <c r="Z135"/>
      <c r="AA135"/>
      <c r="AB135"/>
      <c r="AC135"/>
    </row>
    <row r="136" spans="1:51" s="49" customFormat="1" ht="30" customHeight="1" x14ac:dyDescent="0.25">
      <c r="A136" s="660"/>
      <c r="B136" s="648" t="s">
        <v>449</v>
      </c>
      <c r="C136" s="651"/>
      <c r="D136" s="648" t="s">
        <v>450</v>
      </c>
      <c r="E136" s="651"/>
      <c r="F136" s="648" t="s">
        <v>451</v>
      </c>
      <c r="G136" s="651"/>
      <c r="H136" s="648" t="s">
        <v>452</v>
      </c>
      <c r="I136" s="651"/>
      <c r="J136" s="648" t="s">
        <v>453</v>
      </c>
      <c r="K136" s="651"/>
      <c r="L136" s="648" t="s">
        <v>454</v>
      </c>
      <c r="M136" s="651"/>
      <c r="N136" s="648" t="s">
        <v>455</v>
      </c>
      <c r="O136" s="651"/>
      <c r="P136" s="648" t="s">
        <v>456</v>
      </c>
      <c r="Q136" s="651"/>
      <c r="R136" s="648" t="s">
        <v>457</v>
      </c>
      <c r="S136" s="651"/>
      <c r="T136" s="648" t="s">
        <v>458</v>
      </c>
      <c r="U136" s="651"/>
      <c r="V136" s="648" t="s">
        <v>459</v>
      </c>
      <c r="W136" s="651"/>
      <c r="X136" s="648" t="s">
        <v>460</v>
      </c>
      <c r="Y136" s="649"/>
      <c r="Z136" s="48"/>
      <c r="AA136" s="48"/>
      <c r="AB136" s="48"/>
      <c r="AC136" s="48"/>
    </row>
    <row r="137" spans="1:51" x14ac:dyDescent="0.25">
      <c r="A137" s="53">
        <v>1</v>
      </c>
      <c r="B137" s="95">
        <f>SUMIFS(AS[[#All],[Member Months]],AS[[#All],[Reporting Year]],2022,AS[[#All],[Insurance Category Code]],A137,AS[[#All],[Large Provider Entity Code]],100,AS[[#All],[Age Band Code]],1)</f>
        <v>0</v>
      </c>
      <c r="C137" s="302">
        <f>SUMIFS(AS[[#All],[Member Months]],AS[[#All],[Reporting Year]],2023,AS[[#All],[Insurance Category Code]],A137,AS[[#All],[Large Provider Entity Code]],100,AS[[#All],[Age Band Code]],1)</f>
        <v>0</v>
      </c>
      <c r="D137" s="95">
        <f>SUMIFS(AS[[#All],[Member Months]],AS[[#All],[Reporting Year]],2022,AS[[#All],[Insurance Category Code]],A137,AS[[#All],[Large Provider Entity Code]],100,AS[[#All],[Age Band Code]],2)</f>
        <v>0</v>
      </c>
      <c r="E137" s="302">
        <f>SUMIFS(AS[[#All],[Member Months]],AS[[#All],[Reporting Year]],2023,AS[[#All],[Insurance Category Code]],A137,AS[[#All],[Large Provider Entity Code]],100,AS[[#All],[Age Band Code]],2)</f>
        <v>0</v>
      </c>
      <c r="F137" s="95">
        <f>SUMIFS(AS[[#All],[Member Months]],AS[[#All],[Reporting Year]],2022,AS[[#All],[Insurance Category Code]],A137,AS[[#All],[Large Provider Entity Code]],100,AS[[#All],[Age Band Code]],3)</f>
        <v>0</v>
      </c>
      <c r="G137" s="302">
        <f>SUMIFS(AS[[#All],[Member Months]],AS[[#All],[Reporting Year]],2023,AS[[#All],[Insurance Category Code]],A137,AS[[#All],[Large Provider Entity Code]],100,AS[[#All],[Age Band Code]],3)</f>
        <v>0</v>
      </c>
      <c r="H137" s="95">
        <f>SUMIFS(AS[[#All],[Member Months]],AS[[#All],[Reporting Year]],2022,AS[[#All],[Insurance Category Code]],A137,AS[[#All],[Large Provider Entity Code]],100,AS[[#All],[Age Band Code]],3,AS[[#All],[Sex Code]],1)</f>
        <v>0</v>
      </c>
      <c r="I137" s="302">
        <f>SUMIFS(AS[[#All],[Member Months]],AS[[#All],[Reporting Year]],2023,AS[[#All],[Insurance Category Code]],A137,AS[[#All],[Large Provider Entity Code]],100,AS[[#All],[Age Band Code]],3,AS[[#All],[Sex Code]],1)</f>
        <v>0</v>
      </c>
      <c r="J137" s="95">
        <f>SUMIFS(AS[[#All],[Member Months]],AS[[#All],[Reporting Year]],2022,AS[[#All],[Insurance Category Code]],A137,AS[[#All],[Large Provider Entity Code]],100,AS[[#All],[Age Band Code]],3,AS[[#All],[Sex Code]],2)</f>
        <v>0</v>
      </c>
      <c r="K137" s="302">
        <f>SUMIFS(AS[[#All],[Member Months]],AS[[#All],[Reporting Year]],2023,AS[[#All],[Insurance Category Code]],A137,AS[[#All],[Large Provider Entity Code]],100,AS[[#All],[Age Band Code]],3,AS[[#All],[Sex Code]],2)</f>
        <v>0</v>
      </c>
      <c r="L137" s="95">
        <f>SUMIFS(AS[[#All],[Member Months]],AS[[#All],[Reporting Year]],2022,AS[[#All],[Insurance Category Code]],A137,AS[[#All],[Large Provider Entity Code]],100,AS[[#All],[Age Band Code]],4)</f>
        <v>0</v>
      </c>
      <c r="M137" s="302">
        <f>SUMIFS(AS[[#All],[Member Months]],AS[[#All],[Reporting Year]],2023,AS[[#All],[Insurance Category Code]],A137,AS[[#All],[Large Provider Entity Code]],100,AS[[#All],[Age Band Code]],4)</f>
        <v>0</v>
      </c>
      <c r="N137" s="95">
        <f>SUMIFS(AS[[#All],[Member Months]],AS[[#All],[Reporting Year]],2022,AS[[#All],[Insurance Category Code]],A137,AS[[#All],[Large Provider Entity Code]],100,AS[[#All],[Age Band Code]],5)</f>
        <v>0</v>
      </c>
      <c r="O137" s="302">
        <f>SUMIFS(AS[[#All],[Member Months]],AS[[#All],[Reporting Year]],2023,AS[[#All],[Insurance Category Code]],A137,AS[[#All],[Large Provider Entity Code]],100,AS[[#All],[Age Band Code]],5)</f>
        <v>0</v>
      </c>
      <c r="P137" s="95">
        <f>SUMIFS(AS[[#All],[Member Months]],AS[[#All],[Reporting Year]],2022,AS[[#All],[Insurance Category Code]],A137,AS[[#All],[Large Provider Entity Code]],100,AS[[#All],[Age Band Code]],6)</f>
        <v>0</v>
      </c>
      <c r="Q137" s="302">
        <f>SUMIFS(AS[[#All],[Member Months]],AS[[#All],[Reporting Year]],2023,AS[[#All],[Insurance Category Code]],A137,AS[[#All],[Large Provider Entity Code]],100,AS[[#All],[Age Band Code]],6)</f>
        <v>0</v>
      </c>
      <c r="R137" s="95">
        <f>SUMIFS(AS[[#All],[Member Months]],AS[[#All],[Reporting Year]],2022,AS[[#All],[Insurance Category Code]],A137,AS[[#All],[Large Provider Entity Code]],100,AS[[#All],[Age Band Code]],7)</f>
        <v>0</v>
      </c>
      <c r="S137" s="302">
        <f>SUMIFS(AS[[#All],[Member Months]],AS[[#All],[Reporting Year]],2023,AS[[#All],[Insurance Category Code]],A137,AS[[#All],[Large Provider Entity Code]],100,AS[[#All],[Age Band Code]],7)</f>
        <v>0</v>
      </c>
      <c r="T137" s="95">
        <f>SUMIFS(AS[[#All],[Member Months]],AS[[#All],[Reporting Year]],2022,AS[[#All],[Insurance Category Code]],A137,AS[[#All],[Large Provider Entity Code]],100,AS[[#All],[Age Band Code]],8)</f>
        <v>0</v>
      </c>
      <c r="U137" s="302">
        <f>SUMIFS(AS[[#All],[Member Months]],AS[[#All],[Reporting Year]],2023,AS[[#All],[Insurance Category Code]],A137,AS[[#All],[Large Provider Entity Code]],100,AS[[#All],[Age Band Code]],8)</f>
        <v>0</v>
      </c>
      <c r="V137" s="95">
        <f t="shared" ref="V137:V144" si="57">(B137+D137+F137+L137+N137)</f>
        <v>0</v>
      </c>
      <c r="W137" s="302">
        <f t="shared" ref="W137:W144" si="58">C137+E137+G137+M137+O137</f>
        <v>0</v>
      </c>
      <c r="X137" s="95">
        <f>(P137+R137+T137)</f>
        <v>0</v>
      </c>
      <c r="Y137" s="8">
        <f>(Q137+S137+U137)</f>
        <v>0</v>
      </c>
      <c r="Z137"/>
      <c r="AA137"/>
      <c r="AB137"/>
      <c r="AC137"/>
    </row>
    <row r="138" spans="1:51" x14ac:dyDescent="0.25">
      <c r="A138" s="53">
        <v>2</v>
      </c>
      <c r="B138" s="95">
        <f>SUMIFS(AS[[#All],[Member Months]],AS[[#All],[Reporting Year]],2022,AS[[#All],[Insurance Category Code]],A138,AS[[#All],[Large Provider Entity Code]],100,AS[[#All],[Age Band Code]],1)</f>
        <v>0</v>
      </c>
      <c r="C138" s="302">
        <f>SUMIFS(AS[[#All],[Member Months]],AS[[#All],[Reporting Year]],2023,AS[[#All],[Insurance Category Code]],A138,AS[[#All],[Large Provider Entity Code]],100,AS[[#All],[Age Band Code]],1)</f>
        <v>0</v>
      </c>
      <c r="D138" s="95">
        <f>SUMIFS(AS[[#All],[Member Months]],AS[[#All],[Reporting Year]],2022,AS[[#All],[Insurance Category Code]],A138,AS[[#All],[Large Provider Entity Code]],100,AS[[#All],[Age Band Code]],2)</f>
        <v>0</v>
      </c>
      <c r="E138" s="302">
        <f>SUMIFS(AS[[#All],[Member Months]],AS[[#All],[Reporting Year]],2023,AS[[#All],[Insurance Category Code]],A138,AS[[#All],[Large Provider Entity Code]],100,AS[[#All],[Age Band Code]],2)</f>
        <v>0</v>
      </c>
      <c r="F138" s="95">
        <f>SUMIFS(AS[[#All],[Member Months]],AS[[#All],[Reporting Year]],2022,AS[[#All],[Insurance Category Code]],A138,AS[[#All],[Large Provider Entity Code]],100,AS[[#All],[Age Band Code]],3)</f>
        <v>0</v>
      </c>
      <c r="G138" s="302">
        <f>SUMIFS(AS[[#All],[Member Months]],AS[[#All],[Reporting Year]],2023,AS[[#All],[Insurance Category Code]],A138,AS[[#All],[Large Provider Entity Code]],100,AS[[#All],[Age Band Code]],3)</f>
        <v>0</v>
      </c>
      <c r="H138" s="95">
        <f>SUMIFS(AS[[#All],[Member Months]],AS[[#All],[Reporting Year]],2022,AS[[#All],[Insurance Category Code]],A138,AS[[#All],[Large Provider Entity Code]],100,AS[[#All],[Age Band Code]],3,AS[[#All],[Sex Code]],1)</f>
        <v>0</v>
      </c>
      <c r="I138" s="302">
        <f>SUMIFS(AS[[#All],[Member Months]],AS[[#All],[Reporting Year]],2023,AS[[#All],[Insurance Category Code]],A138,AS[[#All],[Large Provider Entity Code]],100,AS[[#All],[Age Band Code]],3,AS[[#All],[Sex Code]],1)</f>
        <v>0</v>
      </c>
      <c r="J138" s="95">
        <f>SUMIFS(AS[[#All],[Member Months]],AS[[#All],[Reporting Year]],2022,AS[[#All],[Insurance Category Code]],A138,AS[[#All],[Large Provider Entity Code]],100,AS[[#All],[Age Band Code]],3,AS[[#All],[Sex Code]],2)</f>
        <v>0</v>
      </c>
      <c r="K138" s="302">
        <f>SUMIFS(AS[[#All],[Member Months]],AS[[#All],[Reporting Year]],2023,AS[[#All],[Insurance Category Code]],A138,AS[[#All],[Large Provider Entity Code]],100,AS[[#All],[Age Band Code]],3,AS[[#All],[Sex Code]],2)</f>
        <v>0</v>
      </c>
      <c r="L138" s="95">
        <f>SUMIFS(AS[[#All],[Member Months]],AS[[#All],[Reporting Year]],2022,AS[[#All],[Insurance Category Code]],A138,AS[[#All],[Large Provider Entity Code]],100,AS[[#All],[Age Band Code]],4)</f>
        <v>0</v>
      </c>
      <c r="M138" s="302">
        <f>SUMIFS(AS[[#All],[Member Months]],AS[[#All],[Reporting Year]],2023,AS[[#All],[Insurance Category Code]],A138,AS[[#All],[Large Provider Entity Code]],100,AS[[#All],[Age Band Code]],4)</f>
        <v>0</v>
      </c>
      <c r="N138" s="95">
        <f>SUMIFS(AS[[#All],[Member Months]],AS[[#All],[Reporting Year]],2022,AS[[#All],[Insurance Category Code]],A138,AS[[#All],[Large Provider Entity Code]],100,AS[[#All],[Age Band Code]],5)</f>
        <v>0</v>
      </c>
      <c r="O138" s="302">
        <f>SUMIFS(AS[[#All],[Member Months]],AS[[#All],[Reporting Year]],2023,AS[[#All],[Insurance Category Code]],A138,AS[[#All],[Large Provider Entity Code]],100,AS[[#All],[Age Band Code]],5)</f>
        <v>0</v>
      </c>
      <c r="P138" s="95">
        <f>SUMIFS(AS[[#All],[Member Months]],AS[[#All],[Reporting Year]],2022,AS[[#All],[Insurance Category Code]],A138,AS[[#All],[Large Provider Entity Code]],100,AS[[#All],[Age Band Code]],6)</f>
        <v>0</v>
      </c>
      <c r="Q138" s="302">
        <f>SUMIFS(AS[[#All],[Member Months]],AS[[#All],[Reporting Year]],2023,AS[[#All],[Insurance Category Code]],A138,AS[[#All],[Large Provider Entity Code]],100,AS[[#All],[Age Band Code]],6)</f>
        <v>0</v>
      </c>
      <c r="R138" s="95">
        <f>SUMIFS(AS[[#All],[Member Months]],AS[[#All],[Reporting Year]],2022,AS[[#All],[Insurance Category Code]],A138,AS[[#All],[Large Provider Entity Code]],100,AS[[#All],[Age Band Code]],7)</f>
        <v>0</v>
      </c>
      <c r="S138" s="302">
        <f>SUMIFS(AS[[#All],[Member Months]],AS[[#All],[Reporting Year]],2023,AS[[#All],[Insurance Category Code]],A138,AS[[#All],[Large Provider Entity Code]],100,AS[[#All],[Age Band Code]],7)</f>
        <v>0</v>
      </c>
      <c r="T138" s="95">
        <f>SUMIFS(AS[[#All],[Member Months]],AS[[#All],[Reporting Year]],2022,AS[[#All],[Insurance Category Code]],A138,AS[[#All],[Large Provider Entity Code]],100,AS[[#All],[Age Band Code]],8)</f>
        <v>0</v>
      </c>
      <c r="U138" s="302">
        <f>SUMIFS(AS[[#All],[Member Months]],AS[[#All],[Reporting Year]],2023,AS[[#All],[Insurance Category Code]],A138,AS[[#All],[Large Provider Entity Code]],100,AS[[#All],[Age Band Code]],8)</f>
        <v>0</v>
      </c>
      <c r="V138" s="95">
        <f t="shared" si="57"/>
        <v>0</v>
      </c>
      <c r="W138" s="302">
        <f t="shared" si="58"/>
        <v>0</v>
      </c>
      <c r="X138" s="95">
        <f t="shared" ref="X138:Y144" si="59">(P138+R138+T138)</f>
        <v>0</v>
      </c>
      <c r="Y138" s="8">
        <f t="shared" si="59"/>
        <v>0</v>
      </c>
      <c r="Z138"/>
      <c r="AA138"/>
      <c r="AB138"/>
      <c r="AC138"/>
    </row>
    <row r="139" spans="1:51" x14ac:dyDescent="0.25">
      <c r="A139" s="53">
        <v>3</v>
      </c>
      <c r="B139" s="95">
        <f>SUMIFS(AS[[#All],[Member Months]],AS[[#All],[Reporting Year]],2022,AS[[#All],[Insurance Category Code]],A139,AS[[#All],[Large Provider Entity Code]],100,AS[[#All],[Age Band Code]],1)</f>
        <v>0</v>
      </c>
      <c r="C139" s="302">
        <f>SUMIFS(AS[[#All],[Member Months]],AS[[#All],[Reporting Year]],2023,AS[[#All],[Insurance Category Code]],A139,AS[[#All],[Large Provider Entity Code]],100,AS[[#All],[Age Band Code]],1)</f>
        <v>0</v>
      </c>
      <c r="D139" s="95">
        <f>SUMIFS(AS[[#All],[Member Months]],AS[[#All],[Reporting Year]],2022,AS[[#All],[Insurance Category Code]],A139,AS[[#All],[Large Provider Entity Code]],100,AS[[#All],[Age Band Code]],2)</f>
        <v>0</v>
      </c>
      <c r="E139" s="302">
        <f>SUMIFS(AS[[#All],[Member Months]],AS[[#All],[Reporting Year]],2023,AS[[#All],[Insurance Category Code]],A139,AS[[#All],[Large Provider Entity Code]],100,AS[[#All],[Age Band Code]],2)</f>
        <v>0</v>
      </c>
      <c r="F139" s="95">
        <f>SUMIFS(AS[[#All],[Member Months]],AS[[#All],[Reporting Year]],2022,AS[[#All],[Insurance Category Code]],A139,AS[[#All],[Large Provider Entity Code]],100,AS[[#All],[Age Band Code]],3)</f>
        <v>0</v>
      </c>
      <c r="G139" s="302">
        <f>SUMIFS(AS[[#All],[Member Months]],AS[[#All],[Reporting Year]],2023,AS[[#All],[Insurance Category Code]],A139,AS[[#All],[Large Provider Entity Code]],100,AS[[#All],[Age Band Code]],3)</f>
        <v>0</v>
      </c>
      <c r="H139" s="95">
        <f>SUMIFS(AS[[#All],[Member Months]],AS[[#All],[Reporting Year]],2022,AS[[#All],[Insurance Category Code]],A139,AS[[#All],[Large Provider Entity Code]],100,AS[[#All],[Age Band Code]],3,AS[[#All],[Sex Code]],1)</f>
        <v>0</v>
      </c>
      <c r="I139" s="302">
        <f>SUMIFS(AS[[#All],[Member Months]],AS[[#All],[Reporting Year]],2023,AS[[#All],[Insurance Category Code]],A139,AS[[#All],[Large Provider Entity Code]],100,AS[[#All],[Age Band Code]],3,AS[[#All],[Sex Code]],1)</f>
        <v>0</v>
      </c>
      <c r="J139" s="95">
        <f>SUMIFS(AS[[#All],[Member Months]],AS[[#All],[Reporting Year]],2022,AS[[#All],[Insurance Category Code]],A139,AS[[#All],[Large Provider Entity Code]],100,AS[[#All],[Age Band Code]],3,AS[[#All],[Sex Code]],2)</f>
        <v>0</v>
      </c>
      <c r="K139" s="302">
        <f>SUMIFS(AS[[#All],[Member Months]],AS[[#All],[Reporting Year]],2023,AS[[#All],[Insurance Category Code]],A139,AS[[#All],[Large Provider Entity Code]],100,AS[[#All],[Age Band Code]],3,AS[[#All],[Sex Code]],2)</f>
        <v>0</v>
      </c>
      <c r="L139" s="95">
        <f>SUMIFS(AS[[#All],[Member Months]],AS[[#All],[Reporting Year]],2022,AS[[#All],[Insurance Category Code]],A139,AS[[#All],[Large Provider Entity Code]],100,AS[[#All],[Age Band Code]],4)</f>
        <v>0</v>
      </c>
      <c r="M139" s="302">
        <f>SUMIFS(AS[[#All],[Member Months]],AS[[#All],[Reporting Year]],2023,AS[[#All],[Insurance Category Code]],A139,AS[[#All],[Large Provider Entity Code]],100,AS[[#All],[Age Band Code]],4)</f>
        <v>0</v>
      </c>
      <c r="N139" s="95">
        <f>SUMIFS(AS[[#All],[Member Months]],AS[[#All],[Reporting Year]],2022,AS[[#All],[Insurance Category Code]],A139,AS[[#All],[Large Provider Entity Code]],100,AS[[#All],[Age Band Code]],5)</f>
        <v>0</v>
      </c>
      <c r="O139" s="302">
        <f>SUMIFS(AS[[#All],[Member Months]],AS[[#All],[Reporting Year]],2023,AS[[#All],[Insurance Category Code]],A139,AS[[#All],[Large Provider Entity Code]],100,AS[[#All],[Age Band Code]],5)</f>
        <v>0</v>
      </c>
      <c r="P139" s="95">
        <f>SUMIFS(AS[[#All],[Member Months]],AS[[#All],[Reporting Year]],2022,AS[[#All],[Insurance Category Code]],A139,AS[[#All],[Large Provider Entity Code]],100,AS[[#All],[Age Band Code]],6)</f>
        <v>0</v>
      </c>
      <c r="Q139" s="302">
        <f>SUMIFS(AS[[#All],[Member Months]],AS[[#All],[Reporting Year]],2023,AS[[#All],[Insurance Category Code]],A139,AS[[#All],[Large Provider Entity Code]],100,AS[[#All],[Age Band Code]],6)</f>
        <v>0</v>
      </c>
      <c r="R139" s="95">
        <f>SUMIFS(AS[[#All],[Member Months]],AS[[#All],[Reporting Year]],2022,AS[[#All],[Insurance Category Code]],A139,AS[[#All],[Large Provider Entity Code]],100,AS[[#All],[Age Band Code]],7)</f>
        <v>0</v>
      </c>
      <c r="S139" s="302">
        <f>SUMIFS(AS[[#All],[Member Months]],AS[[#All],[Reporting Year]],2023,AS[[#All],[Insurance Category Code]],A139,AS[[#All],[Large Provider Entity Code]],100,AS[[#All],[Age Band Code]],7)</f>
        <v>0</v>
      </c>
      <c r="T139" s="95">
        <f>SUMIFS(AS[[#All],[Member Months]],AS[[#All],[Reporting Year]],2022,AS[[#All],[Insurance Category Code]],A139,AS[[#All],[Large Provider Entity Code]],100,AS[[#All],[Age Band Code]],8)</f>
        <v>0</v>
      </c>
      <c r="U139" s="302">
        <f>SUMIFS(AS[[#All],[Member Months]],AS[[#All],[Reporting Year]],2023,AS[[#All],[Insurance Category Code]],A139,AS[[#All],[Large Provider Entity Code]],100,AS[[#All],[Age Band Code]],8)</f>
        <v>0</v>
      </c>
      <c r="V139" s="95">
        <f t="shared" si="57"/>
        <v>0</v>
      </c>
      <c r="W139" s="302">
        <f t="shared" si="58"/>
        <v>0</v>
      </c>
      <c r="X139" s="95">
        <f t="shared" si="59"/>
        <v>0</v>
      </c>
      <c r="Y139" s="8">
        <f t="shared" si="59"/>
        <v>0</v>
      </c>
      <c r="Z139"/>
      <c r="AA139"/>
      <c r="AB139"/>
      <c r="AC139"/>
    </row>
    <row r="140" spans="1:51" x14ac:dyDescent="0.25">
      <c r="A140" s="53">
        <v>4</v>
      </c>
      <c r="B140" s="95">
        <f>SUMIFS(AS[[#All],[Member Months]],AS[[#All],[Reporting Year]],2022,AS[[#All],[Insurance Category Code]],A140,AS[[#All],[Large Provider Entity Code]],100,AS[[#All],[Age Band Code]],1)</f>
        <v>0</v>
      </c>
      <c r="C140" s="302">
        <f>SUMIFS(AS[[#All],[Member Months]],AS[[#All],[Reporting Year]],2023,AS[[#All],[Insurance Category Code]],A140,AS[[#All],[Large Provider Entity Code]],100,AS[[#All],[Age Band Code]],1)</f>
        <v>0</v>
      </c>
      <c r="D140" s="95">
        <f>SUMIFS(AS[[#All],[Member Months]],AS[[#All],[Reporting Year]],2022,AS[[#All],[Insurance Category Code]],A140,AS[[#All],[Large Provider Entity Code]],100,AS[[#All],[Age Band Code]],2)</f>
        <v>0</v>
      </c>
      <c r="E140" s="302">
        <f>SUMIFS(AS[[#All],[Member Months]],AS[[#All],[Reporting Year]],2023,AS[[#All],[Insurance Category Code]],A140,AS[[#All],[Large Provider Entity Code]],100,AS[[#All],[Age Band Code]],2)</f>
        <v>0</v>
      </c>
      <c r="F140" s="95">
        <f>SUMIFS(AS[[#All],[Member Months]],AS[[#All],[Reporting Year]],2022,AS[[#All],[Insurance Category Code]],A140,AS[[#All],[Large Provider Entity Code]],100,AS[[#All],[Age Band Code]],3)</f>
        <v>0</v>
      </c>
      <c r="G140" s="302">
        <f>SUMIFS(AS[[#All],[Member Months]],AS[[#All],[Reporting Year]],2023,AS[[#All],[Insurance Category Code]],A140,AS[[#All],[Large Provider Entity Code]],100,AS[[#All],[Age Band Code]],3)</f>
        <v>0</v>
      </c>
      <c r="H140" s="95">
        <f>SUMIFS(AS[[#All],[Member Months]],AS[[#All],[Reporting Year]],2022,AS[[#All],[Insurance Category Code]],A140,AS[[#All],[Large Provider Entity Code]],100,AS[[#All],[Age Band Code]],3,AS[[#All],[Sex Code]],1)</f>
        <v>0</v>
      </c>
      <c r="I140" s="302">
        <f>SUMIFS(AS[[#All],[Member Months]],AS[[#All],[Reporting Year]],2023,AS[[#All],[Insurance Category Code]],A140,AS[[#All],[Large Provider Entity Code]],100,AS[[#All],[Age Band Code]],3,AS[[#All],[Sex Code]],1)</f>
        <v>0</v>
      </c>
      <c r="J140" s="95">
        <f>SUMIFS(AS[[#All],[Member Months]],AS[[#All],[Reporting Year]],2022,AS[[#All],[Insurance Category Code]],A140,AS[[#All],[Large Provider Entity Code]],100,AS[[#All],[Age Band Code]],3,AS[[#All],[Sex Code]],2)</f>
        <v>0</v>
      </c>
      <c r="K140" s="302">
        <f>SUMIFS(AS[[#All],[Member Months]],AS[[#All],[Reporting Year]],2023,AS[[#All],[Insurance Category Code]],A140,AS[[#All],[Large Provider Entity Code]],100,AS[[#All],[Age Band Code]],3,AS[[#All],[Sex Code]],2)</f>
        <v>0</v>
      </c>
      <c r="L140" s="95">
        <f>SUMIFS(AS[[#All],[Member Months]],AS[[#All],[Reporting Year]],2022,AS[[#All],[Insurance Category Code]],A140,AS[[#All],[Large Provider Entity Code]],100,AS[[#All],[Age Band Code]],4)</f>
        <v>0</v>
      </c>
      <c r="M140" s="302">
        <f>SUMIFS(AS[[#All],[Member Months]],AS[[#All],[Reporting Year]],2023,AS[[#All],[Insurance Category Code]],A140,AS[[#All],[Large Provider Entity Code]],100,AS[[#All],[Age Band Code]],4)</f>
        <v>0</v>
      </c>
      <c r="N140" s="95">
        <f>SUMIFS(AS[[#All],[Member Months]],AS[[#All],[Reporting Year]],2022,AS[[#All],[Insurance Category Code]],A140,AS[[#All],[Large Provider Entity Code]],100,AS[[#All],[Age Band Code]],5)</f>
        <v>0</v>
      </c>
      <c r="O140" s="302">
        <f>SUMIFS(AS[[#All],[Member Months]],AS[[#All],[Reporting Year]],2023,AS[[#All],[Insurance Category Code]],A140,AS[[#All],[Large Provider Entity Code]],100,AS[[#All],[Age Band Code]],5)</f>
        <v>0</v>
      </c>
      <c r="P140" s="95">
        <f>SUMIFS(AS[[#All],[Member Months]],AS[[#All],[Reporting Year]],2022,AS[[#All],[Insurance Category Code]],A140,AS[[#All],[Large Provider Entity Code]],100,AS[[#All],[Age Band Code]],6)</f>
        <v>0</v>
      </c>
      <c r="Q140" s="302">
        <f>SUMIFS(AS[[#All],[Member Months]],AS[[#All],[Reporting Year]],2023,AS[[#All],[Insurance Category Code]],A140,AS[[#All],[Large Provider Entity Code]],100,AS[[#All],[Age Band Code]],6)</f>
        <v>0</v>
      </c>
      <c r="R140" s="95">
        <f>SUMIFS(AS[[#All],[Member Months]],AS[[#All],[Reporting Year]],2022,AS[[#All],[Insurance Category Code]],A140,AS[[#All],[Large Provider Entity Code]],100,AS[[#All],[Age Band Code]],7)</f>
        <v>0</v>
      </c>
      <c r="S140" s="302">
        <f>SUMIFS(AS[[#All],[Member Months]],AS[[#All],[Reporting Year]],2023,AS[[#All],[Insurance Category Code]],A140,AS[[#All],[Large Provider Entity Code]],100,AS[[#All],[Age Band Code]],7)</f>
        <v>0</v>
      </c>
      <c r="T140" s="95">
        <f>SUMIFS(AS[[#All],[Member Months]],AS[[#All],[Reporting Year]],2022,AS[[#All],[Insurance Category Code]],A140,AS[[#All],[Large Provider Entity Code]],100,AS[[#All],[Age Band Code]],8)</f>
        <v>0</v>
      </c>
      <c r="U140" s="302">
        <f>SUMIFS(AS[[#All],[Member Months]],AS[[#All],[Reporting Year]],2023,AS[[#All],[Insurance Category Code]],A140,AS[[#All],[Large Provider Entity Code]],100,AS[[#All],[Age Band Code]],8)</f>
        <v>0</v>
      </c>
      <c r="V140" s="95">
        <f t="shared" si="57"/>
        <v>0</v>
      </c>
      <c r="W140" s="302">
        <f t="shared" si="58"/>
        <v>0</v>
      </c>
      <c r="X140" s="95">
        <f t="shared" si="59"/>
        <v>0</v>
      </c>
      <c r="Y140" s="8">
        <f t="shared" si="59"/>
        <v>0</v>
      </c>
      <c r="Z140"/>
      <c r="AA140"/>
      <c r="AB140"/>
      <c r="AC140"/>
    </row>
    <row r="141" spans="1:51" x14ac:dyDescent="0.25">
      <c r="A141" s="53">
        <v>5</v>
      </c>
      <c r="B141" s="95">
        <f>SUMIFS(AS[[#All],[Member Months]],AS[[#All],[Reporting Year]],2022,AS[[#All],[Insurance Category Code]],A141,AS[[#All],[Large Provider Entity Code]],100,AS[[#All],[Age Band Code]],1)</f>
        <v>0</v>
      </c>
      <c r="C141" s="302">
        <f>SUMIFS(AS[[#All],[Member Months]],AS[[#All],[Reporting Year]],2023,AS[[#All],[Insurance Category Code]],A141,AS[[#All],[Large Provider Entity Code]],100,AS[[#All],[Age Band Code]],1)</f>
        <v>0</v>
      </c>
      <c r="D141" s="95">
        <f>SUMIFS(AS[[#All],[Member Months]],AS[[#All],[Reporting Year]],2022,AS[[#All],[Insurance Category Code]],A141,AS[[#All],[Large Provider Entity Code]],100,AS[[#All],[Age Band Code]],2)</f>
        <v>0</v>
      </c>
      <c r="E141" s="302">
        <f>SUMIFS(AS[[#All],[Member Months]],AS[[#All],[Reporting Year]],2023,AS[[#All],[Insurance Category Code]],A141,AS[[#All],[Large Provider Entity Code]],100,AS[[#All],[Age Band Code]],2)</f>
        <v>0</v>
      </c>
      <c r="F141" s="95">
        <f>SUMIFS(AS[[#All],[Member Months]],AS[[#All],[Reporting Year]],2022,AS[[#All],[Insurance Category Code]],A141,AS[[#All],[Large Provider Entity Code]],100,AS[[#All],[Age Band Code]],3)</f>
        <v>0</v>
      </c>
      <c r="G141" s="302">
        <f>SUMIFS(AS[[#All],[Member Months]],AS[[#All],[Reporting Year]],2023,AS[[#All],[Insurance Category Code]],A141,AS[[#All],[Large Provider Entity Code]],100,AS[[#All],[Age Band Code]],3)</f>
        <v>0</v>
      </c>
      <c r="H141" s="95">
        <f>SUMIFS(AS[[#All],[Member Months]],AS[[#All],[Reporting Year]],2022,AS[[#All],[Insurance Category Code]],A141,AS[[#All],[Large Provider Entity Code]],100,AS[[#All],[Age Band Code]],3,AS[[#All],[Sex Code]],1)</f>
        <v>0</v>
      </c>
      <c r="I141" s="302">
        <f>SUMIFS(AS[[#All],[Member Months]],AS[[#All],[Reporting Year]],2023,AS[[#All],[Insurance Category Code]],A141,AS[[#All],[Large Provider Entity Code]],100,AS[[#All],[Age Band Code]],3,AS[[#All],[Sex Code]],1)</f>
        <v>0</v>
      </c>
      <c r="J141" s="95">
        <f>SUMIFS(AS[[#All],[Member Months]],AS[[#All],[Reporting Year]],2022,AS[[#All],[Insurance Category Code]],A141,AS[[#All],[Large Provider Entity Code]],100,AS[[#All],[Age Band Code]],3,AS[[#All],[Sex Code]],2)</f>
        <v>0</v>
      </c>
      <c r="K141" s="302">
        <f>SUMIFS(AS[[#All],[Member Months]],AS[[#All],[Reporting Year]],2023,AS[[#All],[Insurance Category Code]],A141,AS[[#All],[Large Provider Entity Code]],100,AS[[#All],[Age Band Code]],3,AS[[#All],[Sex Code]],2)</f>
        <v>0</v>
      </c>
      <c r="L141" s="95">
        <f>SUMIFS(AS[[#All],[Member Months]],AS[[#All],[Reporting Year]],2022,AS[[#All],[Insurance Category Code]],A141,AS[[#All],[Large Provider Entity Code]],100,AS[[#All],[Age Band Code]],4)</f>
        <v>0</v>
      </c>
      <c r="M141" s="302">
        <f>SUMIFS(AS[[#All],[Member Months]],AS[[#All],[Reporting Year]],2023,AS[[#All],[Insurance Category Code]],A141,AS[[#All],[Large Provider Entity Code]],100,AS[[#All],[Age Band Code]],4)</f>
        <v>0</v>
      </c>
      <c r="N141" s="95">
        <f>SUMIFS(AS[[#All],[Member Months]],AS[[#All],[Reporting Year]],2022,AS[[#All],[Insurance Category Code]],A141,AS[[#All],[Large Provider Entity Code]],100,AS[[#All],[Age Band Code]],5)</f>
        <v>0</v>
      </c>
      <c r="O141" s="302">
        <f>SUMIFS(AS[[#All],[Member Months]],AS[[#All],[Reporting Year]],2023,AS[[#All],[Insurance Category Code]],A141,AS[[#All],[Large Provider Entity Code]],100,AS[[#All],[Age Band Code]],5)</f>
        <v>0</v>
      </c>
      <c r="P141" s="95">
        <f>SUMIFS(AS[[#All],[Member Months]],AS[[#All],[Reporting Year]],2022,AS[[#All],[Insurance Category Code]],A141,AS[[#All],[Large Provider Entity Code]],100,AS[[#All],[Age Band Code]],6)</f>
        <v>0</v>
      </c>
      <c r="Q141" s="302">
        <f>SUMIFS(AS[[#All],[Member Months]],AS[[#All],[Reporting Year]],2023,AS[[#All],[Insurance Category Code]],A141,AS[[#All],[Large Provider Entity Code]],100,AS[[#All],[Age Band Code]],6)</f>
        <v>0</v>
      </c>
      <c r="R141" s="95">
        <f>SUMIFS(AS[[#All],[Member Months]],AS[[#All],[Reporting Year]],2022,AS[[#All],[Insurance Category Code]],A141,AS[[#All],[Large Provider Entity Code]],100,AS[[#All],[Age Band Code]],7)</f>
        <v>0</v>
      </c>
      <c r="S141" s="302">
        <f>SUMIFS(AS[[#All],[Member Months]],AS[[#All],[Reporting Year]],2023,AS[[#All],[Insurance Category Code]],A141,AS[[#All],[Large Provider Entity Code]],100,AS[[#All],[Age Band Code]],7)</f>
        <v>0</v>
      </c>
      <c r="T141" s="95">
        <f>SUMIFS(AS[[#All],[Member Months]],AS[[#All],[Reporting Year]],2022,AS[[#All],[Insurance Category Code]],A141,AS[[#All],[Large Provider Entity Code]],100,AS[[#All],[Age Band Code]],8)</f>
        <v>0</v>
      </c>
      <c r="U141" s="302">
        <f>SUMIFS(AS[[#All],[Member Months]],AS[[#All],[Reporting Year]],2023,AS[[#All],[Insurance Category Code]],A141,AS[[#All],[Large Provider Entity Code]],100,AS[[#All],[Age Band Code]],8)</f>
        <v>0</v>
      </c>
      <c r="V141" s="95">
        <f t="shared" si="57"/>
        <v>0</v>
      </c>
      <c r="W141" s="302">
        <f t="shared" si="58"/>
        <v>0</v>
      </c>
      <c r="X141" s="95">
        <f t="shared" si="59"/>
        <v>0</v>
      </c>
      <c r="Y141" s="8">
        <f t="shared" si="59"/>
        <v>0</v>
      </c>
      <c r="Z141"/>
      <c r="AA141"/>
      <c r="AB141"/>
      <c r="AC141"/>
    </row>
    <row r="142" spans="1:51" x14ac:dyDescent="0.25">
      <c r="A142" s="53">
        <v>6</v>
      </c>
      <c r="B142" s="95">
        <f>SUMIFS(AS[[#All],[Member Months]],AS[[#All],[Reporting Year]],2022,AS[[#All],[Insurance Category Code]],A142,AS[[#All],[Large Provider Entity Code]],100,AS[[#All],[Age Band Code]],1)</f>
        <v>0</v>
      </c>
      <c r="C142" s="302">
        <f>SUMIFS(AS[[#All],[Member Months]],AS[[#All],[Reporting Year]],2023,AS[[#All],[Insurance Category Code]],A142,AS[[#All],[Large Provider Entity Code]],100,AS[[#All],[Age Band Code]],1)</f>
        <v>0</v>
      </c>
      <c r="D142" s="95">
        <f>SUMIFS(AS[[#All],[Member Months]],AS[[#All],[Reporting Year]],2022,AS[[#All],[Insurance Category Code]],A142,AS[[#All],[Large Provider Entity Code]],100,AS[[#All],[Age Band Code]],2)</f>
        <v>0</v>
      </c>
      <c r="E142" s="302">
        <f>SUMIFS(AS[[#All],[Member Months]],AS[[#All],[Reporting Year]],2023,AS[[#All],[Insurance Category Code]],A142,AS[[#All],[Large Provider Entity Code]],100,AS[[#All],[Age Band Code]],2)</f>
        <v>0</v>
      </c>
      <c r="F142" s="95">
        <f>SUMIFS(AS[[#All],[Member Months]],AS[[#All],[Reporting Year]],2022,AS[[#All],[Insurance Category Code]],A142,AS[[#All],[Large Provider Entity Code]],100,AS[[#All],[Age Band Code]],3)</f>
        <v>0</v>
      </c>
      <c r="G142" s="302">
        <f>SUMIFS(AS[[#All],[Member Months]],AS[[#All],[Reporting Year]],2023,AS[[#All],[Insurance Category Code]],A142,AS[[#All],[Large Provider Entity Code]],100,AS[[#All],[Age Band Code]],3)</f>
        <v>0</v>
      </c>
      <c r="H142" s="95">
        <f>SUMIFS(AS[[#All],[Member Months]],AS[[#All],[Reporting Year]],2022,AS[[#All],[Insurance Category Code]],A142,AS[[#All],[Large Provider Entity Code]],100,AS[[#All],[Age Band Code]],3,AS[[#All],[Sex Code]],1)</f>
        <v>0</v>
      </c>
      <c r="I142" s="302">
        <f>SUMIFS(AS[[#All],[Member Months]],AS[[#All],[Reporting Year]],2023,AS[[#All],[Insurance Category Code]],A142,AS[[#All],[Large Provider Entity Code]],100,AS[[#All],[Age Band Code]],3,AS[[#All],[Sex Code]],1)</f>
        <v>0</v>
      </c>
      <c r="J142" s="95">
        <f>SUMIFS(AS[[#All],[Member Months]],AS[[#All],[Reporting Year]],2022,AS[[#All],[Insurance Category Code]],A142,AS[[#All],[Large Provider Entity Code]],100,AS[[#All],[Age Band Code]],3,AS[[#All],[Sex Code]],2)</f>
        <v>0</v>
      </c>
      <c r="K142" s="302">
        <f>SUMIFS(AS[[#All],[Member Months]],AS[[#All],[Reporting Year]],2023,AS[[#All],[Insurance Category Code]],A142,AS[[#All],[Large Provider Entity Code]],100,AS[[#All],[Age Band Code]],3,AS[[#All],[Sex Code]],2)</f>
        <v>0</v>
      </c>
      <c r="L142" s="95">
        <f>SUMIFS(AS[[#All],[Member Months]],AS[[#All],[Reporting Year]],2022,AS[[#All],[Insurance Category Code]],A142,AS[[#All],[Large Provider Entity Code]],100,AS[[#All],[Age Band Code]],4)</f>
        <v>0</v>
      </c>
      <c r="M142" s="302">
        <f>SUMIFS(AS[[#All],[Member Months]],AS[[#All],[Reporting Year]],2023,AS[[#All],[Insurance Category Code]],A142,AS[[#All],[Large Provider Entity Code]],100,AS[[#All],[Age Band Code]],4)</f>
        <v>0</v>
      </c>
      <c r="N142" s="95">
        <f>SUMIFS(AS[[#All],[Member Months]],AS[[#All],[Reporting Year]],2022,AS[[#All],[Insurance Category Code]],A142,AS[[#All],[Large Provider Entity Code]],100,AS[[#All],[Age Band Code]],5)</f>
        <v>0</v>
      </c>
      <c r="O142" s="302">
        <f>SUMIFS(AS[[#All],[Member Months]],AS[[#All],[Reporting Year]],2023,AS[[#All],[Insurance Category Code]],A142,AS[[#All],[Large Provider Entity Code]],100,AS[[#All],[Age Band Code]],5)</f>
        <v>0</v>
      </c>
      <c r="P142" s="95">
        <f>SUMIFS(AS[[#All],[Member Months]],AS[[#All],[Reporting Year]],2022,AS[[#All],[Insurance Category Code]],A142,AS[[#All],[Large Provider Entity Code]],100,AS[[#All],[Age Band Code]],6)</f>
        <v>0</v>
      </c>
      <c r="Q142" s="302">
        <f>SUMIFS(AS[[#All],[Member Months]],AS[[#All],[Reporting Year]],2023,AS[[#All],[Insurance Category Code]],A142,AS[[#All],[Large Provider Entity Code]],100,AS[[#All],[Age Band Code]],6)</f>
        <v>0</v>
      </c>
      <c r="R142" s="95">
        <f>SUMIFS(AS[[#All],[Member Months]],AS[[#All],[Reporting Year]],2022,AS[[#All],[Insurance Category Code]],A142,AS[[#All],[Large Provider Entity Code]],100,AS[[#All],[Age Band Code]],7)</f>
        <v>0</v>
      </c>
      <c r="S142" s="302">
        <f>SUMIFS(AS[[#All],[Member Months]],AS[[#All],[Reporting Year]],2023,AS[[#All],[Insurance Category Code]],A142,AS[[#All],[Large Provider Entity Code]],100,AS[[#All],[Age Band Code]],7)</f>
        <v>0</v>
      </c>
      <c r="T142" s="95">
        <f>SUMIFS(AS[[#All],[Member Months]],AS[[#All],[Reporting Year]],2022,AS[[#All],[Insurance Category Code]],A142,AS[[#All],[Large Provider Entity Code]],100,AS[[#All],[Age Band Code]],8)</f>
        <v>0</v>
      </c>
      <c r="U142" s="302">
        <f>SUMIFS(AS[[#All],[Member Months]],AS[[#All],[Reporting Year]],2023,AS[[#All],[Insurance Category Code]],A142,AS[[#All],[Large Provider Entity Code]],100,AS[[#All],[Age Band Code]],8)</f>
        <v>0</v>
      </c>
      <c r="V142" s="95">
        <f t="shared" si="57"/>
        <v>0</v>
      </c>
      <c r="W142" s="302">
        <f t="shared" si="58"/>
        <v>0</v>
      </c>
      <c r="X142" s="95">
        <f t="shared" si="59"/>
        <v>0</v>
      </c>
      <c r="Y142" s="8">
        <f t="shared" si="59"/>
        <v>0</v>
      </c>
      <c r="Z142"/>
      <c r="AA142"/>
      <c r="AB142"/>
      <c r="AC142"/>
    </row>
    <row r="143" spans="1:51" x14ac:dyDescent="0.25">
      <c r="A143" s="53">
        <v>7</v>
      </c>
      <c r="B143" s="95">
        <f>SUMIFS(AS[[#All],[Member Months]],AS[[#All],[Reporting Year]],2022,AS[[#All],[Insurance Category Code]],A143,AS[[#All],[Large Provider Entity Code]],100,AS[[#All],[Age Band Code]],1)</f>
        <v>0</v>
      </c>
      <c r="C143" s="302">
        <f>SUMIFS(AS[[#All],[Member Months]],AS[[#All],[Reporting Year]],2023,AS[[#All],[Insurance Category Code]],A143,AS[[#All],[Large Provider Entity Code]],100,AS[[#All],[Age Band Code]],1)</f>
        <v>0</v>
      </c>
      <c r="D143" s="95">
        <f>SUMIFS(AS[[#All],[Member Months]],AS[[#All],[Reporting Year]],2022,AS[[#All],[Insurance Category Code]],A143,AS[[#All],[Large Provider Entity Code]],100,AS[[#All],[Age Band Code]],2)</f>
        <v>0</v>
      </c>
      <c r="E143" s="302">
        <f>SUMIFS(AS[[#All],[Member Months]],AS[[#All],[Reporting Year]],2023,AS[[#All],[Insurance Category Code]],A143,AS[[#All],[Large Provider Entity Code]],100,AS[[#All],[Age Band Code]],2)</f>
        <v>0</v>
      </c>
      <c r="F143" s="95">
        <f>SUMIFS(AS[[#All],[Member Months]],AS[[#All],[Reporting Year]],2022,AS[[#All],[Insurance Category Code]],A143,AS[[#All],[Large Provider Entity Code]],100,AS[[#All],[Age Band Code]],3)</f>
        <v>0</v>
      </c>
      <c r="G143" s="302">
        <f>SUMIFS(AS[[#All],[Member Months]],AS[[#All],[Reporting Year]],2023,AS[[#All],[Insurance Category Code]],A143,AS[[#All],[Large Provider Entity Code]],100,AS[[#All],[Age Band Code]],3)</f>
        <v>0</v>
      </c>
      <c r="H143" s="95">
        <f>SUMIFS(AS[[#All],[Member Months]],AS[[#All],[Reporting Year]],2022,AS[[#All],[Insurance Category Code]],A143,AS[[#All],[Large Provider Entity Code]],100,AS[[#All],[Age Band Code]],3,AS[[#All],[Sex Code]],1)</f>
        <v>0</v>
      </c>
      <c r="I143" s="302">
        <f>SUMIFS(AS[[#All],[Member Months]],AS[[#All],[Reporting Year]],2023,AS[[#All],[Insurance Category Code]],A143,AS[[#All],[Large Provider Entity Code]],100,AS[[#All],[Age Band Code]],3,AS[[#All],[Sex Code]],1)</f>
        <v>0</v>
      </c>
      <c r="J143" s="95">
        <f>SUMIFS(AS[[#All],[Member Months]],AS[[#All],[Reporting Year]],2022,AS[[#All],[Insurance Category Code]],A143,AS[[#All],[Large Provider Entity Code]],100,AS[[#All],[Age Band Code]],3,AS[[#All],[Sex Code]],2)</f>
        <v>0</v>
      </c>
      <c r="K143" s="302">
        <f>SUMIFS(AS[[#All],[Member Months]],AS[[#All],[Reporting Year]],2023,AS[[#All],[Insurance Category Code]],A143,AS[[#All],[Large Provider Entity Code]],100,AS[[#All],[Age Band Code]],3,AS[[#All],[Sex Code]],2)</f>
        <v>0</v>
      </c>
      <c r="L143" s="95">
        <f>SUMIFS(AS[[#All],[Member Months]],AS[[#All],[Reporting Year]],2022,AS[[#All],[Insurance Category Code]],A143,AS[[#All],[Large Provider Entity Code]],100,AS[[#All],[Age Band Code]],4)</f>
        <v>0</v>
      </c>
      <c r="M143" s="302">
        <f>SUMIFS(AS[[#All],[Member Months]],AS[[#All],[Reporting Year]],2023,AS[[#All],[Insurance Category Code]],A143,AS[[#All],[Large Provider Entity Code]],100,AS[[#All],[Age Band Code]],4)</f>
        <v>0</v>
      </c>
      <c r="N143" s="95">
        <f>SUMIFS(AS[[#All],[Member Months]],AS[[#All],[Reporting Year]],2022,AS[[#All],[Insurance Category Code]],A143,AS[[#All],[Large Provider Entity Code]],100,AS[[#All],[Age Band Code]],5)</f>
        <v>0</v>
      </c>
      <c r="O143" s="302">
        <f>SUMIFS(AS[[#All],[Member Months]],AS[[#All],[Reporting Year]],2023,AS[[#All],[Insurance Category Code]],A143,AS[[#All],[Large Provider Entity Code]],100,AS[[#All],[Age Band Code]],5)</f>
        <v>0</v>
      </c>
      <c r="P143" s="95">
        <f>SUMIFS(AS[[#All],[Member Months]],AS[[#All],[Reporting Year]],2022,AS[[#All],[Insurance Category Code]],A143,AS[[#All],[Large Provider Entity Code]],100,AS[[#All],[Age Band Code]],6)</f>
        <v>0</v>
      </c>
      <c r="Q143" s="302">
        <f>SUMIFS(AS[[#All],[Member Months]],AS[[#All],[Reporting Year]],2023,AS[[#All],[Insurance Category Code]],A143,AS[[#All],[Large Provider Entity Code]],100,AS[[#All],[Age Band Code]],6)</f>
        <v>0</v>
      </c>
      <c r="R143" s="95">
        <f>SUMIFS(AS[[#All],[Member Months]],AS[[#All],[Reporting Year]],2022,AS[[#All],[Insurance Category Code]],A143,AS[[#All],[Large Provider Entity Code]],100,AS[[#All],[Age Band Code]],7)</f>
        <v>0</v>
      </c>
      <c r="S143" s="302">
        <f>SUMIFS(AS[[#All],[Member Months]],AS[[#All],[Reporting Year]],2023,AS[[#All],[Insurance Category Code]],A143,AS[[#All],[Large Provider Entity Code]],100,AS[[#All],[Age Band Code]],7)</f>
        <v>0</v>
      </c>
      <c r="T143" s="95">
        <f>SUMIFS(AS[[#All],[Member Months]],AS[[#All],[Reporting Year]],2022,AS[[#All],[Insurance Category Code]],A143,AS[[#All],[Large Provider Entity Code]],100,AS[[#All],[Age Band Code]],8)</f>
        <v>0</v>
      </c>
      <c r="U143" s="302">
        <f>SUMIFS(AS[[#All],[Member Months]],AS[[#All],[Reporting Year]],2023,AS[[#All],[Insurance Category Code]],A143,AS[[#All],[Large Provider Entity Code]],100,AS[[#All],[Age Band Code]],8)</f>
        <v>0</v>
      </c>
      <c r="V143" s="95">
        <f t="shared" si="57"/>
        <v>0</v>
      </c>
      <c r="W143" s="302">
        <f t="shared" si="58"/>
        <v>0</v>
      </c>
      <c r="X143" s="95">
        <f t="shared" si="59"/>
        <v>0</v>
      </c>
      <c r="Y143" s="8">
        <f t="shared" si="59"/>
        <v>0</v>
      </c>
      <c r="Z143"/>
      <c r="AA143"/>
      <c r="AB143"/>
      <c r="AC143"/>
    </row>
    <row r="144" spans="1:51" x14ac:dyDescent="0.25">
      <c r="A144" s="304">
        <v>8</v>
      </c>
      <c r="B144" s="95">
        <f>SUMIFS(AS[[#All],[Member Months]],AS[[#All],[Reporting Year]],2022,AS[[#All],[Insurance Category Code]],A144,AS[[#All],[Large Provider Entity Code]],100,AS[[#All],[Age Band Code]],1)</f>
        <v>0</v>
      </c>
      <c r="C144" s="302">
        <f>SUMIFS(AS[[#All],[Member Months]],AS[[#All],[Reporting Year]],2023,AS[[#All],[Insurance Category Code]],A144,AS[[#All],[Large Provider Entity Code]],100,AS[[#All],[Age Band Code]],1)</f>
        <v>0</v>
      </c>
      <c r="D144" s="95">
        <f>SUMIFS(AS[[#All],[Member Months]],AS[[#All],[Reporting Year]],2022,AS[[#All],[Insurance Category Code]],A144,AS[[#All],[Large Provider Entity Code]],100,AS[[#All],[Age Band Code]],2)</f>
        <v>0</v>
      </c>
      <c r="E144" s="302">
        <f>SUMIFS(AS[[#All],[Member Months]],AS[[#All],[Reporting Year]],2023,AS[[#All],[Insurance Category Code]],A144,AS[[#All],[Large Provider Entity Code]],100,AS[[#All],[Age Band Code]],2)</f>
        <v>0</v>
      </c>
      <c r="F144" s="95">
        <f>SUMIFS(AS[[#All],[Member Months]],AS[[#All],[Reporting Year]],2022,AS[[#All],[Insurance Category Code]],A144,AS[[#All],[Large Provider Entity Code]],100,AS[[#All],[Age Band Code]],3)</f>
        <v>0</v>
      </c>
      <c r="G144" s="302">
        <f>SUMIFS(AS[[#All],[Member Months]],AS[[#All],[Reporting Year]],2023,AS[[#All],[Insurance Category Code]],A144,AS[[#All],[Large Provider Entity Code]],100,AS[[#All],[Age Band Code]],3)</f>
        <v>0</v>
      </c>
      <c r="H144" s="95">
        <f>SUMIFS(AS[[#All],[Member Months]],AS[[#All],[Reporting Year]],2022,AS[[#All],[Insurance Category Code]],A144,AS[[#All],[Large Provider Entity Code]],100,AS[[#All],[Age Band Code]],3,AS[[#All],[Sex Code]],1)</f>
        <v>0</v>
      </c>
      <c r="I144" s="302">
        <f>SUMIFS(AS[[#All],[Member Months]],AS[[#All],[Reporting Year]],2023,AS[[#All],[Insurance Category Code]],A144,AS[[#All],[Large Provider Entity Code]],100,AS[[#All],[Age Band Code]],3,AS[[#All],[Sex Code]],1)</f>
        <v>0</v>
      </c>
      <c r="J144" s="95">
        <f>SUMIFS(AS[[#All],[Member Months]],AS[[#All],[Reporting Year]],2022,AS[[#All],[Insurance Category Code]],A144,AS[[#All],[Large Provider Entity Code]],100,AS[[#All],[Age Band Code]],3,AS[[#All],[Sex Code]],2)</f>
        <v>0</v>
      </c>
      <c r="K144" s="302">
        <f>SUMIFS(AS[[#All],[Member Months]],AS[[#All],[Reporting Year]],2023,AS[[#All],[Insurance Category Code]],A144,AS[[#All],[Large Provider Entity Code]],100,AS[[#All],[Age Band Code]],3,AS[[#All],[Sex Code]],2)</f>
        <v>0</v>
      </c>
      <c r="L144" s="95">
        <f>SUMIFS(AS[[#All],[Member Months]],AS[[#All],[Reporting Year]],2022,AS[[#All],[Insurance Category Code]],A144,AS[[#All],[Large Provider Entity Code]],100,AS[[#All],[Age Band Code]],4)</f>
        <v>0</v>
      </c>
      <c r="M144" s="302">
        <f>SUMIFS(AS[[#All],[Member Months]],AS[[#All],[Reporting Year]],2023,AS[[#All],[Insurance Category Code]],A144,AS[[#All],[Large Provider Entity Code]],100,AS[[#All],[Age Band Code]],4)</f>
        <v>0</v>
      </c>
      <c r="N144" s="95">
        <f>SUMIFS(AS[[#All],[Member Months]],AS[[#All],[Reporting Year]],2022,AS[[#All],[Insurance Category Code]],A144,AS[[#All],[Large Provider Entity Code]],100,AS[[#All],[Age Band Code]],5)</f>
        <v>0</v>
      </c>
      <c r="O144" s="302">
        <f>SUMIFS(AS[[#All],[Member Months]],AS[[#All],[Reporting Year]],2023,AS[[#All],[Insurance Category Code]],A144,AS[[#All],[Large Provider Entity Code]],100,AS[[#All],[Age Band Code]],5)</f>
        <v>0</v>
      </c>
      <c r="P144" s="95">
        <f>SUMIFS(AS[[#All],[Member Months]],AS[[#All],[Reporting Year]],2022,AS[[#All],[Insurance Category Code]],A144,AS[[#All],[Large Provider Entity Code]],100,AS[[#All],[Age Band Code]],6)</f>
        <v>0</v>
      </c>
      <c r="Q144" s="302">
        <f>SUMIFS(AS[[#All],[Member Months]],AS[[#All],[Reporting Year]],2023,AS[[#All],[Insurance Category Code]],A144,AS[[#All],[Large Provider Entity Code]],100,AS[[#All],[Age Band Code]],6)</f>
        <v>0</v>
      </c>
      <c r="R144" s="95">
        <f>SUMIFS(AS[[#All],[Member Months]],AS[[#All],[Reporting Year]],2022,AS[[#All],[Insurance Category Code]],A144,AS[[#All],[Large Provider Entity Code]],100,AS[[#All],[Age Band Code]],7)</f>
        <v>0</v>
      </c>
      <c r="S144" s="302">
        <f>SUMIFS(AS[[#All],[Member Months]],AS[[#All],[Reporting Year]],2023,AS[[#All],[Insurance Category Code]],A144,AS[[#All],[Large Provider Entity Code]],100,AS[[#All],[Age Band Code]],7)</f>
        <v>0</v>
      </c>
      <c r="T144" s="95">
        <f>SUMIFS(AS[[#All],[Member Months]],AS[[#All],[Reporting Year]],2022,AS[[#All],[Insurance Category Code]],A144,AS[[#All],[Large Provider Entity Code]],100,AS[[#All],[Age Band Code]],8)</f>
        <v>0</v>
      </c>
      <c r="U144" s="302">
        <f>SUMIFS(AS[[#All],[Member Months]],AS[[#All],[Reporting Year]],2023,AS[[#All],[Insurance Category Code]],A144,AS[[#All],[Large Provider Entity Code]],100,AS[[#All],[Age Band Code]],8)</f>
        <v>0</v>
      </c>
      <c r="V144" s="95">
        <f t="shared" si="57"/>
        <v>0</v>
      </c>
      <c r="W144" s="302">
        <f t="shared" si="58"/>
        <v>0</v>
      </c>
      <c r="X144" s="95">
        <f t="shared" si="59"/>
        <v>0</v>
      </c>
      <c r="Y144" s="8">
        <f t="shared" si="59"/>
        <v>0</v>
      </c>
      <c r="Z144"/>
      <c r="AA144"/>
      <c r="AB144"/>
      <c r="AC144"/>
    </row>
    <row r="145" spans="1:51" x14ac:dyDescent="0.25">
      <c r="A145" s="1"/>
      <c r="B145" s="115"/>
      <c r="C145" s="115"/>
      <c r="D145" s="115"/>
      <c r="E145" s="115"/>
      <c r="F145" s="116"/>
      <c r="G145" s="116"/>
      <c r="H145" s="116"/>
      <c r="I145" s="116"/>
      <c r="J145" s="115"/>
      <c r="K145" s="115"/>
      <c r="L145" s="115"/>
      <c r="M145" s="115"/>
      <c r="N145" s="115"/>
      <c r="O145" s="115"/>
      <c r="P145" s="115"/>
      <c r="Q145" s="115"/>
      <c r="R145" s="115"/>
      <c r="S145" s="115"/>
      <c r="T145" s="115"/>
      <c r="U145" s="115"/>
      <c r="V145" s="115"/>
      <c r="W145" s="115"/>
      <c r="X145" s="115"/>
      <c r="Y145" s="115"/>
      <c r="Z145" s="115"/>
      <c r="AA145" s="115"/>
      <c r="AB145" s="115"/>
      <c r="AC145" s="115"/>
      <c r="AD145" s="184"/>
      <c r="AE145" s="184"/>
      <c r="AF145" s="184"/>
      <c r="AG145" s="184"/>
      <c r="AH145" s="305"/>
      <c r="AI145" s="305"/>
      <c r="AJ145" s="305"/>
      <c r="AK145" s="305"/>
      <c r="AL145" s="184"/>
      <c r="AM145" s="184"/>
      <c r="AN145" s="184"/>
      <c r="AO145" s="184"/>
      <c r="AP145" s="184"/>
      <c r="AQ145" s="184"/>
      <c r="AR145" s="184"/>
      <c r="AS145" s="184"/>
      <c r="AT145" s="184"/>
      <c r="AU145" s="184"/>
      <c r="AV145" s="184"/>
      <c r="AW145" s="184"/>
      <c r="AX145" s="184"/>
      <c r="AY145" s="184"/>
    </row>
    <row r="146" spans="1:51" x14ac:dyDescent="0.25">
      <c r="A146"/>
      <c r="B146"/>
      <c r="C146"/>
      <c r="D146"/>
      <c r="E146"/>
      <c r="F146"/>
      <c r="G146"/>
      <c r="H146"/>
      <c r="I146"/>
      <c r="J146"/>
      <c r="K146"/>
      <c r="L146"/>
      <c r="M146"/>
      <c r="N146"/>
      <c r="O146"/>
      <c r="P146"/>
      <c r="Q146"/>
      <c r="R146"/>
      <c r="S146"/>
      <c r="T146"/>
      <c r="U146"/>
      <c r="V146"/>
      <c r="W146"/>
      <c r="X146"/>
      <c r="Y146"/>
      <c r="Z146"/>
      <c r="AA146"/>
      <c r="AB146"/>
      <c r="AC146"/>
    </row>
    <row r="147" spans="1:51" x14ac:dyDescent="0.25">
      <c r="A147" s="4" t="s">
        <v>461</v>
      </c>
      <c r="B147"/>
      <c r="C147"/>
      <c r="D147"/>
      <c r="E147"/>
      <c r="F147"/>
      <c r="G147"/>
      <c r="H147"/>
      <c r="I147"/>
      <c r="J147"/>
      <c r="K147"/>
      <c r="L147" s="150"/>
      <c r="M147" s="150"/>
      <c r="N147"/>
      <c r="O147"/>
      <c r="P147"/>
      <c r="Q147"/>
      <c r="R147"/>
      <c r="S147"/>
      <c r="T147"/>
      <c r="U147"/>
      <c r="V147"/>
      <c r="W147"/>
      <c r="X147"/>
      <c r="Y147"/>
      <c r="Z147"/>
      <c r="AA147"/>
      <c r="AB147"/>
      <c r="AC147"/>
    </row>
    <row r="148" spans="1:51" ht="15.75" thickBot="1" x14ac:dyDescent="0.3">
      <c r="A148" s="659" t="s">
        <v>61</v>
      </c>
      <c r="B148" s="198">
        <v>2022</v>
      </c>
      <c r="C148" s="199">
        <v>2023</v>
      </c>
      <c r="D148" s="198">
        <v>2022</v>
      </c>
      <c r="E148" s="199">
        <v>2023</v>
      </c>
      <c r="F148" s="198">
        <v>2022</v>
      </c>
      <c r="G148" s="199">
        <v>2023</v>
      </c>
      <c r="H148" s="201">
        <v>2022</v>
      </c>
      <c r="I148" s="202">
        <v>2023</v>
      </c>
      <c r="J148" s="201">
        <v>2022</v>
      </c>
      <c r="K148" s="202">
        <v>2023</v>
      </c>
      <c r="L148" s="198">
        <v>2022</v>
      </c>
      <c r="M148" s="199">
        <v>2023</v>
      </c>
      <c r="N148" s="198">
        <v>2022</v>
      </c>
      <c r="O148" s="199">
        <v>2023</v>
      </c>
      <c r="P148" s="198">
        <v>2022</v>
      </c>
      <c r="Q148" s="199">
        <v>2023</v>
      </c>
      <c r="R148" s="198">
        <v>2022</v>
      </c>
      <c r="S148" s="199">
        <v>2023</v>
      </c>
      <c r="T148" s="198">
        <v>2022</v>
      </c>
      <c r="U148" s="199">
        <v>2023</v>
      </c>
      <c r="V148" s="198">
        <v>2022</v>
      </c>
      <c r="W148" s="200">
        <v>2023</v>
      </c>
      <c r="X148" s="198">
        <v>2022</v>
      </c>
      <c r="Y148" s="200">
        <v>2023</v>
      </c>
      <c r="Z148"/>
      <c r="AA148"/>
      <c r="AB148"/>
      <c r="AC148"/>
    </row>
    <row r="149" spans="1:51" ht="30" customHeight="1" x14ac:dyDescent="0.25">
      <c r="A149" s="660"/>
      <c r="B149" s="650" t="s">
        <v>462</v>
      </c>
      <c r="C149" s="651"/>
      <c r="D149" s="650" t="s">
        <v>463</v>
      </c>
      <c r="E149" s="651"/>
      <c r="F149" s="648" t="s">
        <v>464</v>
      </c>
      <c r="G149" s="651"/>
      <c r="H149" s="648" t="s">
        <v>433</v>
      </c>
      <c r="I149" s="651"/>
      <c r="J149" s="648" t="s">
        <v>434</v>
      </c>
      <c r="K149" s="651"/>
      <c r="L149" s="648" t="s">
        <v>465</v>
      </c>
      <c r="M149" s="651"/>
      <c r="N149" s="648" t="s">
        <v>466</v>
      </c>
      <c r="O149" s="651"/>
      <c r="P149" s="648" t="s">
        <v>467</v>
      </c>
      <c r="Q149" s="651"/>
      <c r="R149" s="648" t="s">
        <v>468</v>
      </c>
      <c r="S149" s="651"/>
      <c r="T149" s="648" t="s">
        <v>469</v>
      </c>
      <c r="U149" s="651"/>
      <c r="V149" s="648" t="s">
        <v>470</v>
      </c>
      <c r="W149" s="649"/>
      <c r="X149" s="648" t="s">
        <v>471</v>
      </c>
      <c r="Y149" s="649"/>
      <c r="Z149"/>
      <c r="AA149"/>
      <c r="AB149"/>
      <c r="AC149"/>
    </row>
    <row r="150" spans="1:51" x14ac:dyDescent="0.25">
      <c r="A150" s="53">
        <v>1</v>
      </c>
      <c r="B150" s="185">
        <f>SUMIFS(AS[[#All],[Total Non-Truncated Claims Spending]],AS[[#All],[Reporting Year]],2022,AS[[#All],[Insurance Category Code]],A150,AS[[#All],[Large Provider Entity Code]],100,AS[[#All],[Age Band Code]],1)</f>
        <v>0</v>
      </c>
      <c r="C150" s="96">
        <f>SUMIFS(AS[[#All],[Total Non-Truncated Claims Spending]],AS[[#All],[Reporting Year]],2023,AS[[#All],[Insurance Category Code]],A150,AS[[#All],[Large Provider Entity Code]],100,AS[[#All],[Age Band Code]],1)</f>
        <v>0</v>
      </c>
      <c r="D150" s="185">
        <f>SUMIFS(AS[[#All],[Total Non-Truncated Claims Spending]],AS[[#All],[Reporting Year]],2022,AS[[#All],[Insurance Category Code]],A150,AS[[#All],[Large Provider Entity Code]],100,AS[[#All],[Age Band Code]],2)</f>
        <v>0</v>
      </c>
      <c r="E150" s="96">
        <f>SUMIFS(AS[[#All],[Total Non-Truncated Claims Spending]],AS[[#All],[Reporting Year]],2023,AS[[#All],[Insurance Category Code]],A150,AS[[#All],[Large Provider Entity Code]],100,AS[[#All],[Age Band Code]],2)</f>
        <v>0</v>
      </c>
      <c r="F150" s="185">
        <f>SUMIFS(AS[[#All],[Total Non-Truncated Claims Spending]],AS[[#All],[Reporting Year]],2022,AS[[#All],[Insurance Category Code]],A150,AS[[#All],[Large Provider Entity Code]],100,AS[[#All],[Age Band Code]],3)</f>
        <v>0</v>
      </c>
      <c r="G150" s="96">
        <f>SUMIFS(AS[[#All],[Total Non-Truncated Claims Spending]],AS[[#All],[Reporting Year]],2023,AS[[#All],[Insurance Category Code]],A150,AS[[#All],[Large Provider Entity Code]],100,AS[[#All],[Age Band Code]],3)</f>
        <v>0</v>
      </c>
      <c r="H150" s="185">
        <f>SUMIFS(AS[[#All],[Total Non-Truncated Claims Spending]],AS[[#All],[Reporting Year]],2022,AS[[#All],[Insurance Category Code]],A150,AS[[#All],[Large Provider Entity Code]],100,AS[[#All],[Age Band Code]],3,AS[[#All],[Sex Code]],1)</f>
        <v>0</v>
      </c>
      <c r="I150" s="96">
        <f>SUMIFS(AS[[#All],[Total Non-Truncated Claims Spending]],AS[[#All],[Reporting Year]],2023,AS[[#All],[Insurance Category Code]],A150,AS[[#All],[Large Provider Entity Code]],100,AS[[#All],[Age Band Code]],3,AS[[#All],[Sex Code]],1)</f>
        <v>0</v>
      </c>
      <c r="J150" s="185">
        <f>SUMIFS(AS[[#All],[Total Non-Truncated Claims Spending]],AS[[#All],[Reporting Year]],2022,AS[[#All],[Insurance Category Code]],A150,AS[[#All],[Large Provider Entity Code]],100,AS[[#All],[Age Band Code]],3,AS[[#All],[Sex Code]],2)</f>
        <v>0</v>
      </c>
      <c r="K150" s="96">
        <f>SUMIFS(AS[[#All],[Total Non-Truncated Claims Spending]],AS[[#All],[Reporting Year]],2023,AS[[#All],[Insurance Category Code]],A150,AS[[#All],[Large Provider Entity Code]],100,AS[[#All],[Age Band Code]],3,AS[[#All],[Sex Code]],2)</f>
        <v>0</v>
      </c>
      <c r="L150" s="185">
        <f>SUMIFS(AS[[#All],[Total Non-Truncated Claims Spending]],AS[[#All],[Reporting Year]],2022,AS[[#All],[Insurance Category Code]],A150,AS[[#All],[Large Provider Entity Code]],100,AS[[#All],[Age Band Code]],4)</f>
        <v>0</v>
      </c>
      <c r="M150" s="96">
        <f>SUMIFS(AS[[#All],[Total Non-Truncated Claims Spending]],AS[[#All],[Reporting Year]],2023,AS[[#All],[Insurance Category Code]],A150,AS[[#All],[Large Provider Entity Code]],100,AS[[#All],[Age Band Code]],4)</f>
        <v>0</v>
      </c>
      <c r="N150" s="185">
        <f>SUMIFS(AS[[#All],[Total Non-Truncated Claims Spending]],AS[[#All],[Reporting Year]],2022,AS[[#All],[Insurance Category Code]],A150,AS[[#All],[Large Provider Entity Code]],100,AS[[#All],[Age Band Code]],5)</f>
        <v>0</v>
      </c>
      <c r="O150" s="96">
        <f>SUMIFS(AS[[#All],[Total Non-Truncated Claims Spending]],AS[[#All],[Reporting Year]],2023,AS[[#All],[Insurance Category Code]],A150,AS[[#All],[Large Provider Entity Code]],100,AS[[#All],[Age Band Code]],5)</f>
        <v>0</v>
      </c>
      <c r="P150" s="185">
        <f>SUMIFS(AS[[#All],[Total Non-Truncated Claims Spending]],AS[[#All],[Reporting Year]],2022,AS[[#All],[Insurance Category Code]],A150,AS[[#All],[Large Provider Entity Code]],100,AS[[#All],[Age Band Code]],6)</f>
        <v>0</v>
      </c>
      <c r="Q150" s="96">
        <f>SUMIFS(AS[[#All],[Total Non-Truncated Claims Spending]],AS[[#All],[Reporting Year]],2023,AS[[#All],[Insurance Category Code]],A150,AS[[#All],[Large Provider Entity Code]],100,AS[[#All],[Age Band Code]],6)</f>
        <v>0</v>
      </c>
      <c r="R150" s="185">
        <f>SUMIFS(AS[[#All],[Total Non-Truncated Claims Spending]],AS[[#All],[Reporting Year]],2022,AS[[#All],[Insurance Category Code]],A150,AS[[#All],[Large Provider Entity Code]],100,AS[[#All],[Age Band Code]],7)</f>
        <v>0</v>
      </c>
      <c r="S150" s="96">
        <f>SUMIFS(AS[[#All],[Total Non-Truncated Claims Spending]],AS[[#All],[Reporting Year]],2023,AS[[#All],[Insurance Category Code]],A150,AS[[#All],[Large Provider Entity Code]],100,AS[[#All],[Age Band Code]],7)</f>
        <v>0</v>
      </c>
      <c r="T150" s="185">
        <f>SUMIFS(AS[[#All],[Total Non-Truncated Claims Spending]],AS[[#All],[Reporting Year]],2022,AS[[#All],[Insurance Category Code]],A150,AS[[#All],[Large Provider Entity Code]],100,AS[[#All],[Age Band Code]],8)</f>
        <v>0</v>
      </c>
      <c r="U150" s="96">
        <f>SUMIFS(AS[[#All],[Total Non-Truncated Claims Spending]],AS[[#All],[Reporting Year]],2023,AS[[#All],[Insurance Category Code]],A150,AS[[#All],[Large Provider Entity Code]],100,AS[[#All],[Age Band Code]],8)</f>
        <v>0</v>
      </c>
      <c r="V150" s="185">
        <f t="shared" ref="V150:V157" si="60">(B150+D150+F150+L150+N150)</f>
        <v>0</v>
      </c>
      <c r="W150" s="7">
        <f t="shared" ref="W150:W157" si="61">C150+E150+G150+M150+O150</f>
        <v>0</v>
      </c>
      <c r="X150" s="185">
        <f>(P150+R150+T150)</f>
        <v>0</v>
      </c>
      <c r="Y150" s="7">
        <f>Q150+S150+U150</f>
        <v>0</v>
      </c>
      <c r="Z150"/>
      <c r="AA150"/>
      <c r="AB150"/>
      <c r="AC150"/>
    </row>
    <row r="151" spans="1:51" x14ac:dyDescent="0.25">
      <c r="A151" s="53">
        <v>2</v>
      </c>
      <c r="B151" s="185">
        <f>SUMIFS(AS[[#All],[Total Non-Truncated Claims Spending]],AS[[#All],[Reporting Year]],2022,AS[[#All],[Insurance Category Code]],A151,AS[[#All],[Large Provider Entity Code]],100,AS[[#All],[Age Band Code]],1)</f>
        <v>0</v>
      </c>
      <c r="C151" s="96">
        <f>SUMIFS(AS[[#All],[Total Non-Truncated Claims Spending]],AS[[#All],[Reporting Year]],2023,AS[[#All],[Insurance Category Code]],A151,AS[[#All],[Large Provider Entity Code]],100,AS[[#All],[Age Band Code]],1)</f>
        <v>0</v>
      </c>
      <c r="D151" s="185">
        <f>SUMIFS(AS[[#All],[Total Non-Truncated Claims Spending]],AS[[#All],[Reporting Year]],2022,AS[[#All],[Insurance Category Code]],A151,AS[[#All],[Large Provider Entity Code]],100,AS[[#All],[Age Band Code]],2)</f>
        <v>0</v>
      </c>
      <c r="E151" s="96">
        <f>SUMIFS(AS[[#All],[Total Non-Truncated Claims Spending]],AS[[#All],[Reporting Year]],2023,AS[[#All],[Insurance Category Code]],A151,AS[[#All],[Large Provider Entity Code]],100,AS[[#All],[Age Band Code]],2)</f>
        <v>0</v>
      </c>
      <c r="F151" s="185">
        <f>SUMIFS(AS[[#All],[Total Non-Truncated Claims Spending]],AS[[#All],[Reporting Year]],2022,AS[[#All],[Insurance Category Code]],A151,AS[[#All],[Large Provider Entity Code]],100,AS[[#All],[Age Band Code]],3)</f>
        <v>0</v>
      </c>
      <c r="G151" s="96">
        <f>SUMIFS(AS[[#All],[Total Non-Truncated Claims Spending]],AS[[#All],[Reporting Year]],2023,AS[[#All],[Insurance Category Code]],A151,AS[[#All],[Large Provider Entity Code]],100,AS[[#All],[Age Band Code]],3)</f>
        <v>0</v>
      </c>
      <c r="H151" s="185">
        <f>SUMIFS(AS[[#All],[Total Non-Truncated Claims Spending]],AS[[#All],[Reporting Year]],2022,AS[[#All],[Insurance Category Code]],A151,AS[[#All],[Large Provider Entity Code]],100,AS[[#All],[Age Band Code]],3,AS[[#All],[Sex Code]],1)</f>
        <v>0</v>
      </c>
      <c r="I151" s="96">
        <f>SUMIFS(AS[[#All],[Total Non-Truncated Claims Spending]],AS[[#All],[Reporting Year]],2023,AS[[#All],[Insurance Category Code]],A151,AS[[#All],[Large Provider Entity Code]],100,AS[[#All],[Age Band Code]],3,AS[[#All],[Sex Code]],1)</f>
        <v>0</v>
      </c>
      <c r="J151" s="185">
        <f>SUMIFS(AS[[#All],[Total Non-Truncated Claims Spending]],AS[[#All],[Reporting Year]],2022,AS[[#All],[Insurance Category Code]],A151,AS[[#All],[Large Provider Entity Code]],100,AS[[#All],[Age Band Code]],3,AS[[#All],[Sex Code]],2)</f>
        <v>0</v>
      </c>
      <c r="K151" s="96">
        <f>SUMIFS(AS[[#All],[Total Non-Truncated Claims Spending]],AS[[#All],[Reporting Year]],2023,AS[[#All],[Insurance Category Code]],A151,AS[[#All],[Large Provider Entity Code]],100,AS[[#All],[Age Band Code]],3,AS[[#All],[Sex Code]],2)</f>
        <v>0</v>
      </c>
      <c r="L151" s="185">
        <f>SUMIFS(AS[[#All],[Total Non-Truncated Claims Spending]],AS[[#All],[Reporting Year]],2022,AS[[#All],[Insurance Category Code]],A151,AS[[#All],[Large Provider Entity Code]],100,AS[[#All],[Age Band Code]],4)</f>
        <v>0</v>
      </c>
      <c r="M151" s="96">
        <f>SUMIFS(AS[[#All],[Total Non-Truncated Claims Spending]],AS[[#All],[Reporting Year]],2023,AS[[#All],[Insurance Category Code]],A151,AS[[#All],[Large Provider Entity Code]],100,AS[[#All],[Age Band Code]],4)</f>
        <v>0</v>
      </c>
      <c r="N151" s="185">
        <f>SUMIFS(AS[[#All],[Total Non-Truncated Claims Spending]],AS[[#All],[Reporting Year]],2022,AS[[#All],[Insurance Category Code]],A151,AS[[#All],[Large Provider Entity Code]],100,AS[[#All],[Age Band Code]],5)</f>
        <v>0</v>
      </c>
      <c r="O151" s="96">
        <f>SUMIFS(AS[[#All],[Total Non-Truncated Claims Spending]],AS[[#All],[Reporting Year]],2023,AS[[#All],[Insurance Category Code]],A151,AS[[#All],[Large Provider Entity Code]],100,AS[[#All],[Age Band Code]],5)</f>
        <v>0</v>
      </c>
      <c r="P151" s="185">
        <f>SUMIFS(AS[[#All],[Total Non-Truncated Claims Spending]],AS[[#All],[Reporting Year]],2022,AS[[#All],[Insurance Category Code]],A151,AS[[#All],[Large Provider Entity Code]],100,AS[[#All],[Age Band Code]],6)</f>
        <v>0</v>
      </c>
      <c r="Q151" s="96">
        <f>SUMIFS(AS[[#All],[Total Non-Truncated Claims Spending]],AS[[#All],[Reporting Year]],2023,AS[[#All],[Insurance Category Code]],A151,AS[[#All],[Large Provider Entity Code]],100,AS[[#All],[Age Band Code]],6)</f>
        <v>0</v>
      </c>
      <c r="R151" s="185">
        <f>SUMIFS(AS[[#All],[Total Non-Truncated Claims Spending]],AS[[#All],[Reporting Year]],2022,AS[[#All],[Insurance Category Code]],A151,AS[[#All],[Large Provider Entity Code]],100,AS[[#All],[Age Band Code]],7)</f>
        <v>0</v>
      </c>
      <c r="S151" s="96">
        <f>SUMIFS(AS[[#All],[Total Non-Truncated Claims Spending]],AS[[#All],[Reporting Year]],2023,AS[[#All],[Insurance Category Code]],A151,AS[[#All],[Large Provider Entity Code]],100,AS[[#All],[Age Band Code]],7)</f>
        <v>0</v>
      </c>
      <c r="T151" s="185">
        <f>SUMIFS(AS[[#All],[Total Non-Truncated Claims Spending]],AS[[#All],[Reporting Year]],2022,AS[[#All],[Insurance Category Code]],A151,AS[[#All],[Large Provider Entity Code]],100,AS[[#All],[Age Band Code]],8)</f>
        <v>0</v>
      </c>
      <c r="U151" s="96">
        <f>SUMIFS(AS[[#All],[Total Non-Truncated Claims Spending]],AS[[#All],[Reporting Year]],2023,AS[[#All],[Insurance Category Code]],A151,AS[[#All],[Large Provider Entity Code]],100,AS[[#All],[Age Band Code]],8)</f>
        <v>0</v>
      </c>
      <c r="V151" s="185">
        <f t="shared" si="60"/>
        <v>0</v>
      </c>
      <c r="W151" s="7">
        <f t="shared" si="61"/>
        <v>0</v>
      </c>
      <c r="X151" s="185">
        <f>(P151+R151+T151)</f>
        <v>0</v>
      </c>
      <c r="Y151" s="7">
        <f>Q151+S151+U151</f>
        <v>0</v>
      </c>
      <c r="Z151"/>
      <c r="AA151"/>
      <c r="AB151"/>
      <c r="AC151"/>
    </row>
    <row r="152" spans="1:51" x14ac:dyDescent="0.25">
      <c r="A152" s="53">
        <v>3</v>
      </c>
      <c r="B152" s="185">
        <f>SUMIFS(AS[[#All],[Total Non-Truncated Claims Spending]],AS[[#All],[Reporting Year]],2022,AS[[#All],[Insurance Category Code]],A152,AS[[#All],[Large Provider Entity Code]],100,AS[[#All],[Age Band Code]],1)</f>
        <v>0</v>
      </c>
      <c r="C152" s="96">
        <f>SUMIFS(AS[[#All],[Total Non-Truncated Claims Spending]],AS[[#All],[Reporting Year]],2023,AS[[#All],[Insurance Category Code]],A152,AS[[#All],[Large Provider Entity Code]],100,AS[[#All],[Age Band Code]],1)</f>
        <v>0</v>
      </c>
      <c r="D152" s="185">
        <f>SUMIFS(AS[[#All],[Total Non-Truncated Claims Spending]],AS[[#All],[Reporting Year]],2022,AS[[#All],[Insurance Category Code]],A152,AS[[#All],[Large Provider Entity Code]],100,AS[[#All],[Age Band Code]],2)</f>
        <v>0</v>
      </c>
      <c r="E152" s="96">
        <f>SUMIFS(AS[[#All],[Total Non-Truncated Claims Spending]],AS[[#All],[Reporting Year]],2023,AS[[#All],[Insurance Category Code]],A152,AS[[#All],[Large Provider Entity Code]],100,AS[[#All],[Age Band Code]],2)</f>
        <v>0</v>
      </c>
      <c r="F152" s="185">
        <f>SUMIFS(AS[[#All],[Total Non-Truncated Claims Spending]],AS[[#All],[Reporting Year]],2022,AS[[#All],[Insurance Category Code]],A152,AS[[#All],[Large Provider Entity Code]],100,AS[[#All],[Age Band Code]],3)</f>
        <v>0</v>
      </c>
      <c r="G152" s="96">
        <f>SUMIFS(AS[[#All],[Total Non-Truncated Claims Spending]],AS[[#All],[Reporting Year]],2023,AS[[#All],[Insurance Category Code]],A152,AS[[#All],[Large Provider Entity Code]],100,AS[[#All],[Age Band Code]],3)</f>
        <v>0</v>
      </c>
      <c r="H152" s="185">
        <f>SUMIFS(AS[[#All],[Total Non-Truncated Claims Spending]],AS[[#All],[Reporting Year]],2022,AS[[#All],[Insurance Category Code]],A152,AS[[#All],[Large Provider Entity Code]],100,AS[[#All],[Age Band Code]],3,AS[[#All],[Sex Code]],1)</f>
        <v>0</v>
      </c>
      <c r="I152" s="96">
        <f>SUMIFS(AS[[#All],[Total Non-Truncated Claims Spending]],AS[[#All],[Reporting Year]],2023,AS[[#All],[Insurance Category Code]],A152,AS[[#All],[Large Provider Entity Code]],100,AS[[#All],[Age Band Code]],3,AS[[#All],[Sex Code]],1)</f>
        <v>0</v>
      </c>
      <c r="J152" s="185">
        <f>SUMIFS(AS[[#All],[Total Non-Truncated Claims Spending]],AS[[#All],[Reporting Year]],2022,AS[[#All],[Insurance Category Code]],A152,AS[[#All],[Large Provider Entity Code]],100,AS[[#All],[Age Band Code]],3,AS[[#All],[Sex Code]],2)</f>
        <v>0</v>
      </c>
      <c r="K152" s="96">
        <f>SUMIFS(AS[[#All],[Total Non-Truncated Claims Spending]],AS[[#All],[Reporting Year]],2023,AS[[#All],[Insurance Category Code]],A152,AS[[#All],[Large Provider Entity Code]],100,AS[[#All],[Age Band Code]],3,AS[[#All],[Sex Code]],2)</f>
        <v>0</v>
      </c>
      <c r="L152" s="185">
        <f>SUMIFS(AS[[#All],[Total Non-Truncated Claims Spending]],AS[[#All],[Reporting Year]],2022,AS[[#All],[Insurance Category Code]],A152,AS[[#All],[Large Provider Entity Code]],100,AS[[#All],[Age Band Code]],4)</f>
        <v>0</v>
      </c>
      <c r="M152" s="96">
        <f>SUMIFS(AS[[#All],[Total Non-Truncated Claims Spending]],AS[[#All],[Reporting Year]],2023,AS[[#All],[Insurance Category Code]],A152,AS[[#All],[Large Provider Entity Code]],100,AS[[#All],[Age Band Code]],4)</f>
        <v>0</v>
      </c>
      <c r="N152" s="185">
        <f>SUMIFS(AS[[#All],[Total Non-Truncated Claims Spending]],AS[[#All],[Reporting Year]],2022,AS[[#All],[Insurance Category Code]],A152,AS[[#All],[Large Provider Entity Code]],100,AS[[#All],[Age Band Code]],5)</f>
        <v>0</v>
      </c>
      <c r="O152" s="96">
        <f>SUMIFS(AS[[#All],[Total Non-Truncated Claims Spending]],AS[[#All],[Reporting Year]],2023,AS[[#All],[Insurance Category Code]],A152,AS[[#All],[Large Provider Entity Code]],100,AS[[#All],[Age Band Code]],5)</f>
        <v>0</v>
      </c>
      <c r="P152" s="185">
        <f>SUMIFS(AS[[#All],[Total Non-Truncated Claims Spending]],AS[[#All],[Reporting Year]],2022,AS[[#All],[Insurance Category Code]],A152,AS[[#All],[Large Provider Entity Code]],100,AS[[#All],[Age Band Code]],6)</f>
        <v>0</v>
      </c>
      <c r="Q152" s="96">
        <f>SUMIFS(AS[[#All],[Total Non-Truncated Claims Spending]],AS[[#All],[Reporting Year]],2023,AS[[#All],[Insurance Category Code]],A152,AS[[#All],[Large Provider Entity Code]],100,AS[[#All],[Age Band Code]],6)</f>
        <v>0</v>
      </c>
      <c r="R152" s="185">
        <f>SUMIFS(AS[[#All],[Total Non-Truncated Claims Spending]],AS[[#All],[Reporting Year]],2022,AS[[#All],[Insurance Category Code]],A152,AS[[#All],[Large Provider Entity Code]],100,AS[[#All],[Age Band Code]],7)</f>
        <v>0</v>
      </c>
      <c r="S152" s="96">
        <f>SUMIFS(AS[[#All],[Total Non-Truncated Claims Spending]],AS[[#All],[Reporting Year]],2023,AS[[#All],[Insurance Category Code]],A152,AS[[#All],[Large Provider Entity Code]],100,AS[[#All],[Age Band Code]],7)</f>
        <v>0</v>
      </c>
      <c r="T152" s="185">
        <f>SUMIFS(AS[[#All],[Total Non-Truncated Claims Spending]],AS[[#All],[Reporting Year]],2022,AS[[#All],[Insurance Category Code]],A152,AS[[#All],[Large Provider Entity Code]],100,AS[[#All],[Age Band Code]],8)</f>
        <v>0</v>
      </c>
      <c r="U152" s="96">
        <f>SUMIFS(AS[[#All],[Total Non-Truncated Claims Spending]],AS[[#All],[Reporting Year]],2023,AS[[#All],[Insurance Category Code]],A152,AS[[#All],[Large Provider Entity Code]],100,AS[[#All],[Age Band Code]],8)</f>
        <v>0</v>
      </c>
      <c r="V152" s="185">
        <f t="shared" si="60"/>
        <v>0</v>
      </c>
      <c r="W152" s="7">
        <f t="shared" si="61"/>
        <v>0</v>
      </c>
      <c r="X152" s="185">
        <f t="shared" ref="X152:X157" si="62">(P152+R152+T152)</f>
        <v>0</v>
      </c>
      <c r="Y152" s="7">
        <f t="shared" ref="Y152:Y157" si="63">Q152+S152+U152</f>
        <v>0</v>
      </c>
      <c r="Z152"/>
      <c r="AA152"/>
      <c r="AB152"/>
      <c r="AC152"/>
    </row>
    <row r="153" spans="1:51" x14ac:dyDescent="0.25">
      <c r="A153" s="53">
        <v>4</v>
      </c>
      <c r="B153" s="185">
        <f>SUMIFS(AS[[#All],[Total Non-Truncated Claims Spending]],AS[[#All],[Reporting Year]],2022,AS[[#All],[Insurance Category Code]],A153,AS[[#All],[Large Provider Entity Code]],100,AS[[#All],[Age Band Code]],1)</f>
        <v>0</v>
      </c>
      <c r="C153" s="96">
        <f>SUMIFS(AS[[#All],[Total Non-Truncated Claims Spending]],AS[[#All],[Reporting Year]],2023,AS[[#All],[Insurance Category Code]],A153,AS[[#All],[Large Provider Entity Code]],100,AS[[#All],[Age Band Code]],1)</f>
        <v>0</v>
      </c>
      <c r="D153" s="185">
        <f>SUMIFS(AS[[#All],[Total Non-Truncated Claims Spending]],AS[[#All],[Reporting Year]],2022,AS[[#All],[Insurance Category Code]],A153,AS[[#All],[Large Provider Entity Code]],100,AS[[#All],[Age Band Code]],2)</f>
        <v>0</v>
      </c>
      <c r="E153" s="96">
        <f>SUMIFS(AS[[#All],[Total Non-Truncated Claims Spending]],AS[[#All],[Reporting Year]],2023,AS[[#All],[Insurance Category Code]],A153,AS[[#All],[Large Provider Entity Code]],100,AS[[#All],[Age Band Code]],2)</f>
        <v>0</v>
      </c>
      <c r="F153" s="185">
        <f>SUMIFS(AS[[#All],[Total Non-Truncated Claims Spending]],AS[[#All],[Reporting Year]],2022,AS[[#All],[Insurance Category Code]],A153,AS[[#All],[Large Provider Entity Code]],100,AS[[#All],[Age Band Code]],3)</f>
        <v>0</v>
      </c>
      <c r="G153" s="96">
        <f>SUMIFS(AS[[#All],[Total Non-Truncated Claims Spending]],AS[[#All],[Reporting Year]],2023,AS[[#All],[Insurance Category Code]],A153,AS[[#All],[Large Provider Entity Code]],100,AS[[#All],[Age Band Code]],3)</f>
        <v>0</v>
      </c>
      <c r="H153" s="185">
        <f>SUMIFS(AS[[#All],[Total Non-Truncated Claims Spending]],AS[[#All],[Reporting Year]],2022,AS[[#All],[Insurance Category Code]],A153,AS[[#All],[Large Provider Entity Code]],100,AS[[#All],[Age Band Code]],3,AS[[#All],[Sex Code]],1)</f>
        <v>0</v>
      </c>
      <c r="I153" s="96">
        <f>SUMIFS(AS[[#All],[Total Non-Truncated Claims Spending]],AS[[#All],[Reporting Year]],2023,AS[[#All],[Insurance Category Code]],A153,AS[[#All],[Large Provider Entity Code]],100,AS[[#All],[Age Band Code]],3,AS[[#All],[Sex Code]],1)</f>
        <v>0</v>
      </c>
      <c r="J153" s="185">
        <f>SUMIFS(AS[[#All],[Total Non-Truncated Claims Spending]],AS[[#All],[Reporting Year]],2022,AS[[#All],[Insurance Category Code]],A153,AS[[#All],[Large Provider Entity Code]],100,AS[[#All],[Age Band Code]],3,AS[[#All],[Sex Code]],2)</f>
        <v>0</v>
      </c>
      <c r="K153" s="96">
        <f>SUMIFS(AS[[#All],[Total Non-Truncated Claims Spending]],AS[[#All],[Reporting Year]],2023,AS[[#All],[Insurance Category Code]],A153,AS[[#All],[Large Provider Entity Code]],100,AS[[#All],[Age Band Code]],3,AS[[#All],[Sex Code]],2)</f>
        <v>0</v>
      </c>
      <c r="L153" s="185">
        <f>SUMIFS(AS[[#All],[Total Non-Truncated Claims Spending]],AS[[#All],[Reporting Year]],2022,AS[[#All],[Insurance Category Code]],A153,AS[[#All],[Large Provider Entity Code]],100,AS[[#All],[Age Band Code]],4)</f>
        <v>0</v>
      </c>
      <c r="M153" s="96">
        <f>SUMIFS(AS[[#All],[Total Non-Truncated Claims Spending]],AS[[#All],[Reporting Year]],2023,AS[[#All],[Insurance Category Code]],A153,AS[[#All],[Large Provider Entity Code]],100,AS[[#All],[Age Band Code]],4)</f>
        <v>0</v>
      </c>
      <c r="N153" s="185">
        <f>SUMIFS(AS[[#All],[Total Non-Truncated Claims Spending]],AS[[#All],[Reporting Year]],2022,AS[[#All],[Insurance Category Code]],A153,AS[[#All],[Large Provider Entity Code]],100,AS[[#All],[Age Band Code]],5)</f>
        <v>0</v>
      </c>
      <c r="O153" s="96">
        <f>SUMIFS(AS[[#All],[Total Non-Truncated Claims Spending]],AS[[#All],[Reporting Year]],2023,AS[[#All],[Insurance Category Code]],A153,AS[[#All],[Large Provider Entity Code]],100,AS[[#All],[Age Band Code]],5)</f>
        <v>0</v>
      </c>
      <c r="P153" s="185">
        <f>SUMIFS(AS[[#All],[Total Non-Truncated Claims Spending]],AS[[#All],[Reporting Year]],2022,AS[[#All],[Insurance Category Code]],A153,AS[[#All],[Large Provider Entity Code]],100,AS[[#All],[Age Band Code]],6)</f>
        <v>0</v>
      </c>
      <c r="Q153" s="96">
        <f>SUMIFS(AS[[#All],[Total Non-Truncated Claims Spending]],AS[[#All],[Reporting Year]],2023,AS[[#All],[Insurance Category Code]],A153,AS[[#All],[Large Provider Entity Code]],100,AS[[#All],[Age Band Code]],6)</f>
        <v>0</v>
      </c>
      <c r="R153" s="185">
        <f>SUMIFS(AS[[#All],[Total Non-Truncated Claims Spending]],AS[[#All],[Reporting Year]],2022,AS[[#All],[Insurance Category Code]],A153,AS[[#All],[Large Provider Entity Code]],100,AS[[#All],[Age Band Code]],7)</f>
        <v>0</v>
      </c>
      <c r="S153" s="96">
        <f>SUMIFS(AS[[#All],[Total Non-Truncated Claims Spending]],AS[[#All],[Reporting Year]],2023,AS[[#All],[Insurance Category Code]],A153,AS[[#All],[Large Provider Entity Code]],100,AS[[#All],[Age Band Code]],7)</f>
        <v>0</v>
      </c>
      <c r="T153" s="185">
        <f>SUMIFS(AS[[#All],[Total Non-Truncated Claims Spending]],AS[[#All],[Reporting Year]],2022,AS[[#All],[Insurance Category Code]],A153,AS[[#All],[Large Provider Entity Code]],100,AS[[#All],[Age Band Code]],8)</f>
        <v>0</v>
      </c>
      <c r="U153" s="96">
        <f>SUMIFS(AS[[#All],[Total Non-Truncated Claims Spending]],AS[[#All],[Reporting Year]],2023,AS[[#All],[Insurance Category Code]],A153,AS[[#All],[Large Provider Entity Code]],100,AS[[#All],[Age Band Code]],8)</f>
        <v>0</v>
      </c>
      <c r="V153" s="185">
        <f t="shared" si="60"/>
        <v>0</v>
      </c>
      <c r="W153" s="7">
        <f t="shared" si="61"/>
        <v>0</v>
      </c>
      <c r="X153" s="185">
        <f>(P153+R153+T153)</f>
        <v>0</v>
      </c>
      <c r="Y153" s="7">
        <f t="shared" si="63"/>
        <v>0</v>
      </c>
      <c r="Z153"/>
      <c r="AA153"/>
      <c r="AB153"/>
      <c r="AC153"/>
    </row>
    <row r="154" spans="1:51" x14ac:dyDescent="0.25">
      <c r="A154" s="53">
        <v>5</v>
      </c>
      <c r="B154" s="185">
        <f>SUMIFS(AS[[#All],[Total Non-Truncated Claims Spending]],AS[[#All],[Reporting Year]],2022,AS[[#All],[Insurance Category Code]],A154,AS[[#All],[Large Provider Entity Code]],100,AS[[#All],[Age Band Code]],1)</f>
        <v>0</v>
      </c>
      <c r="C154" s="96">
        <f>SUMIFS(AS[[#All],[Total Non-Truncated Claims Spending]],AS[[#All],[Reporting Year]],2023,AS[[#All],[Insurance Category Code]],A154,AS[[#All],[Large Provider Entity Code]],100,AS[[#All],[Age Band Code]],1)</f>
        <v>0</v>
      </c>
      <c r="D154" s="185">
        <f>SUMIFS(AS[[#All],[Total Non-Truncated Claims Spending]],AS[[#All],[Reporting Year]],2022,AS[[#All],[Insurance Category Code]],A154,AS[[#All],[Large Provider Entity Code]],100,AS[[#All],[Age Band Code]],2)</f>
        <v>0</v>
      </c>
      <c r="E154" s="96">
        <f>SUMIFS(AS[[#All],[Total Non-Truncated Claims Spending]],AS[[#All],[Reporting Year]],2023,AS[[#All],[Insurance Category Code]],A154,AS[[#All],[Large Provider Entity Code]],100,AS[[#All],[Age Band Code]],2)</f>
        <v>0</v>
      </c>
      <c r="F154" s="185">
        <f>SUMIFS(AS[[#All],[Total Non-Truncated Claims Spending]],AS[[#All],[Reporting Year]],2022,AS[[#All],[Insurance Category Code]],A154,AS[[#All],[Large Provider Entity Code]],100,AS[[#All],[Age Band Code]],3)</f>
        <v>0</v>
      </c>
      <c r="G154" s="96">
        <f>SUMIFS(AS[[#All],[Total Non-Truncated Claims Spending]],AS[[#All],[Reporting Year]],2023,AS[[#All],[Insurance Category Code]],A154,AS[[#All],[Large Provider Entity Code]],100,AS[[#All],[Age Band Code]],3)</f>
        <v>0</v>
      </c>
      <c r="H154" s="185">
        <f>SUMIFS(AS[[#All],[Total Non-Truncated Claims Spending]],AS[[#All],[Reporting Year]],2022,AS[[#All],[Insurance Category Code]],A154,AS[[#All],[Large Provider Entity Code]],100,AS[[#All],[Age Band Code]],3,AS[[#All],[Sex Code]],1)</f>
        <v>0</v>
      </c>
      <c r="I154" s="96">
        <f>SUMIFS(AS[[#All],[Total Non-Truncated Claims Spending]],AS[[#All],[Reporting Year]],2023,AS[[#All],[Insurance Category Code]],A154,AS[[#All],[Large Provider Entity Code]],100,AS[[#All],[Age Band Code]],3,AS[[#All],[Sex Code]],1)</f>
        <v>0</v>
      </c>
      <c r="J154" s="185">
        <f>SUMIFS(AS[[#All],[Total Non-Truncated Claims Spending]],AS[[#All],[Reporting Year]],2022,AS[[#All],[Insurance Category Code]],A154,AS[[#All],[Large Provider Entity Code]],100,AS[[#All],[Age Band Code]],3,AS[[#All],[Sex Code]],2)</f>
        <v>0</v>
      </c>
      <c r="K154" s="96">
        <f>SUMIFS(AS[[#All],[Total Non-Truncated Claims Spending]],AS[[#All],[Reporting Year]],2023,AS[[#All],[Insurance Category Code]],A154,AS[[#All],[Large Provider Entity Code]],100,AS[[#All],[Age Band Code]],3,AS[[#All],[Sex Code]],2)</f>
        <v>0</v>
      </c>
      <c r="L154" s="185">
        <f>SUMIFS(AS[[#All],[Total Non-Truncated Claims Spending]],AS[[#All],[Reporting Year]],2022,AS[[#All],[Insurance Category Code]],A154,AS[[#All],[Large Provider Entity Code]],100,AS[[#All],[Age Band Code]],4)</f>
        <v>0</v>
      </c>
      <c r="M154" s="96">
        <f>SUMIFS(AS[[#All],[Total Non-Truncated Claims Spending]],AS[[#All],[Reporting Year]],2023,AS[[#All],[Insurance Category Code]],A154,AS[[#All],[Large Provider Entity Code]],100,AS[[#All],[Age Band Code]],4)</f>
        <v>0</v>
      </c>
      <c r="N154" s="185">
        <f>SUMIFS(AS[[#All],[Total Non-Truncated Claims Spending]],AS[[#All],[Reporting Year]],2022,AS[[#All],[Insurance Category Code]],A154,AS[[#All],[Large Provider Entity Code]],100,AS[[#All],[Age Band Code]],5)</f>
        <v>0</v>
      </c>
      <c r="O154" s="96">
        <f>SUMIFS(AS[[#All],[Total Non-Truncated Claims Spending]],AS[[#All],[Reporting Year]],2023,AS[[#All],[Insurance Category Code]],A154,AS[[#All],[Large Provider Entity Code]],100,AS[[#All],[Age Band Code]],5)</f>
        <v>0</v>
      </c>
      <c r="P154" s="185">
        <f>SUMIFS(AS[[#All],[Total Non-Truncated Claims Spending]],AS[[#All],[Reporting Year]],2022,AS[[#All],[Insurance Category Code]],A154,AS[[#All],[Large Provider Entity Code]],100,AS[[#All],[Age Band Code]],6)</f>
        <v>0</v>
      </c>
      <c r="Q154" s="96">
        <f>SUMIFS(AS[[#All],[Total Non-Truncated Claims Spending]],AS[[#All],[Reporting Year]],2023,AS[[#All],[Insurance Category Code]],A154,AS[[#All],[Large Provider Entity Code]],100,AS[[#All],[Age Band Code]],6)</f>
        <v>0</v>
      </c>
      <c r="R154" s="185">
        <f>SUMIFS(AS[[#All],[Total Non-Truncated Claims Spending]],AS[[#All],[Reporting Year]],2022,AS[[#All],[Insurance Category Code]],A154,AS[[#All],[Large Provider Entity Code]],100,AS[[#All],[Age Band Code]],7)</f>
        <v>0</v>
      </c>
      <c r="S154" s="96">
        <f>SUMIFS(AS[[#All],[Total Non-Truncated Claims Spending]],AS[[#All],[Reporting Year]],2023,AS[[#All],[Insurance Category Code]],A154,AS[[#All],[Large Provider Entity Code]],100,AS[[#All],[Age Band Code]],7)</f>
        <v>0</v>
      </c>
      <c r="T154" s="185">
        <f>SUMIFS(AS[[#All],[Total Non-Truncated Claims Spending]],AS[[#All],[Reporting Year]],2022,AS[[#All],[Insurance Category Code]],A154,AS[[#All],[Large Provider Entity Code]],100,AS[[#All],[Age Band Code]],8)</f>
        <v>0</v>
      </c>
      <c r="U154" s="96">
        <f>SUMIFS(AS[[#All],[Total Non-Truncated Claims Spending]],AS[[#All],[Reporting Year]],2023,AS[[#All],[Insurance Category Code]],A154,AS[[#All],[Large Provider Entity Code]],100,AS[[#All],[Age Band Code]],8)</f>
        <v>0</v>
      </c>
      <c r="V154" s="185">
        <f t="shared" si="60"/>
        <v>0</v>
      </c>
      <c r="W154" s="7">
        <f t="shared" si="61"/>
        <v>0</v>
      </c>
      <c r="X154" s="185">
        <f t="shared" si="62"/>
        <v>0</v>
      </c>
      <c r="Y154" s="7">
        <f t="shared" si="63"/>
        <v>0</v>
      </c>
      <c r="Z154"/>
      <c r="AA154"/>
      <c r="AB154"/>
      <c r="AC154"/>
    </row>
    <row r="155" spans="1:51" x14ac:dyDescent="0.25">
      <c r="A155" s="53">
        <v>6</v>
      </c>
      <c r="B155" s="185">
        <f>SUMIFS(AS[[#All],[Total Non-Truncated Claims Spending]],AS[[#All],[Reporting Year]],2022,AS[[#All],[Insurance Category Code]],A155,AS[[#All],[Large Provider Entity Code]],100,AS[[#All],[Age Band Code]],1)</f>
        <v>0</v>
      </c>
      <c r="C155" s="96">
        <f>SUMIFS(AS[[#All],[Total Non-Truncated Claims Spending]],AS[[#All],[Reporting Year]],2023,AS[[#All],[Insurance Category Code]],A155,AS[[#All],[Large Provider Entity Code]],100,AS[[#All],[Age Band Code]],1)</f>
        <v>0</v>
      </c>
      <c r="D155" s="185">
        <f>SUMIFS(AS[[#All],[Total Non-Truncated Claims Spending]],AS[[#All],[Reporting Year]],2022,AS[[#All],[Insurance Category Code]],A155,AS[[#All],[Large Provider Entity Code]],100,AS[[#All],[Age Band Code]],2)</f>
        <v>0</v>
      </c>
      <c r="E155" s="96">
        <f>SUMIFS(AS[[#All],[Total Non-Truncated Claims Spending]],AS[[#All],[Reporting Year]],2023,AS[[#All],[Insurance Category Code]],A155,AS[[#All],[Large Provider Entity Code]],100,AS[[#All],[Age Band Code]],2)</f>
        <v>0</v>
      </c>
      <c r="F155" s="185">
        <f>SUMIFS(AS[[#All],[Total Non-Truncated Claims Spending]],AS[[#All],[Reporting Year]],2022,AS[[#All],[Insurance Category Code]],A155,AS[[#All],[Large Provider Entity Code]],100,AS[[#All],[Age Band Code]],3)</f>
        <v>0</v>
      </c>
      <c r="G155" s="96">
        <f>SUMIFS(AS[[#All],[Total Non-Truncated Claims Spending]],AS[[#All],[Reporting Year]],2023,AS[[#All],[Insurance Category Code]],A155,AS[[#All],[Large Provider Entity Code]],100,AS[[#All],[Age Band Code]],3)</f>
        <v>0</v>
      </c>
      <c r="H155" s="185">
        <f>SUMIFS(AS[[#All],[Total Non-Truncated Claims Spending]],AS[[#All],[Reporting Year]],2022,AS[[#All],[Insurance Category Code]],A155,AS[[#All],[Large Provider Entity Code]],100,AS[[#All],[Age Band Code]],3,AS[[#All],[Sex Code]],1)</f>
        <v>0</v>
      </c>
      <c r="I155" s="96">
        <f>SUMIFS(AS[[#All],[Total Non-Truncated Claims Spending]],AS[[#All],[Reporting Year]],2023,AS[[#All],[Insurance Category Code]],A155,AS[[#All],[Large Provider Entity Code]],100,AS[[#All],[Age Band Code]],3,AS[[#All],[Sex Code]],1)</f>
        <v>0</v>
      </c>
      <c r="J155" s="185">
        <f>SUMIFS(AS[[#All],[Total Non-Truncated Claims Spending]],AS[[#All],[Reporting Year]],2022,AS[[#All],[Insurance Category Code]],A155,AS[[#All],[Large Provider Entity Code]],100,AS[[#All],[Age Band Code]],3,AS[[#All],[Sex Code]],2)</f>
        <v>0</v>
      </c>
      <c r="K155" s="96">
        <f>SUMIFS(AS[[#All],[Total Non-Truncated Claims Spending]],AS[[#All],[Reporting Year]],2023,AS[[#All],[Insurance Category Code]],A155,AS[[#All],[Large Provider Entity Code]],100,AS[[#All],[Age Band Code]],3,AS[[#All],[Sex Code]],2)</f>
        <v>0</v>
      </c>
      <c r="L155" s="185">
        <f>SUMIFS(AS[[#All],[Total Non-Truncated Claims Spending]],AS[[#All],[Reporting Year]],2022,AS[[#All],[Insurance Category Code]],A155,AS[[#All],[Large Provider Entity Code]],100,AS[[#All],[Age Band Code]],4)</f>
        <v>0</v>
      </c>
      <c r="M155" s="96">
        <f>SUMIFS(AS[[#All],[Total Non-Truncated Claims Spending]],AS[[#All],[Reporting Year]],2023,AS[[#All],[Insurance Category Code]],A155,AS[[#All],[Large Provider Entity Code]],100,AS[[#All],[Age Band Code]],4)</f>
        <v>0</v>
      </c>
      <c r="N155" s="185">
        <f>SUMIFS(AS[[#All],[Total Non-Truncated Claims Spending]],AS[[#All],[Reporting Year]],2022,AS[[#All],[Insurance Category Code]],A155,AS[[#All],[Large Provider Entity Code]],100,AS[[#All],[Age Band Code]],5)</f>
        <v>0</v>
      </c>
      <c r="O155" s="96">
        <f>SUMIFS(AS[[#All],[Total Non-Truncated Claims Spending]],AS[[#All],[Reporting Year]],2023,AS[[#All],[Insurance Category Code]],A155,AS[[#All],[Large Provider Entity Code]],100,AS[[#All],[Age Band Code]],5)</f>
        <v>0</v>
      </c>
      <c r="P155" s="185">
        <f>SUMIFS(AS[[#All],[Total Non-Truncated Claims Spending]],AS[[#All],[Reporting Year]],2022,AS[[#All],[Insurance Category Code]],A155,AS[[#All],[Large Provider Entity Code]],100,AS[[#All],[Age Band Code]],6)</f>
        <v>0</v>
      </c>
      <c r="Q155" s="96">
        <f>SUMIFS(AS[[#All],[Total Non-Truncated Claims Spending]],AS[[#All],[Reporting Year]],2023,AS[[#All],[Insurance Category Code]],A155,AS[[#All],[Large Provider Entity Code]],100,AS[[#All],[Age Band Code]],6)</f>
        <v>0</v>
      </c>
      <c r="R155" s="185">
        <f>SUMIFS(AS[[#All],[Total Non-Truncated Claims Spending]],AS[[#All],[Reporting Year]],2022,AS[[#All],[Insurance Category Code]],A155,AS[[#All],[Large Provider Entity Code]],100,AS[[#All],[Age Band Code]],7)</f>
        <v>0</v>
      </c>
      <c r="S155" s="96">
        <f>SUMIFS(AS[[#All],[Total Non-Truncated Claims Spending]],AS[[#All],[Reporting Year]],2023,AS[[#All],[Insurance Category Code]],A155,AS[[#All],[Large Provider Entity Code]],100,AS[[#All],[Age Band Code]],7)</f>
        <v>0</v>
      </c>
      <c r="T155" s="185">
        <f>SUMIFS(AS[[#All],[Total Non-Truncated Claims Spending]],AS[[#All],[Reporting Year]],2022,AS[[#All],[Insurance Category Code]],A155,AS[[#All],[Large Provider Entity Code]],100,AS[[#All],[Age Band Code]],8)</f>
        <v>0</v>
      </c>
      <c r="U155" s="96">
        <f>SUMIFS(AS[[#All],[Total Non-Truncated Claims Spending]],AS[[#All],[Reporting Year]],2023,AS[[#All],[Insurance Category Code]],A155,AS[[#All],[Large Provider Entity Code]],100,AS[[#All],[Age Band Code]],8)</f>
        <v>0</v>
      </c>
      <c r="V155" s="185">
        <f t="shared" si="60"/>
        <v>0</v>
      </c>
      <c r="W155" s="7">
        <f t="shared" si="61"/>
        <v>0</v>
      </c>
      <c r="X155" s="185">
        <f t="shared" si="62"/>
        <v>0</v>
      </c>
      <c r="Y155" s="7">
        <f t="shared" si="63"/>
        <v>0</v>
      </c>
      <c r="Z155"/>
      <c r="AA155"/>
      <c r="AB155"/>
      <c r="AC155"/>
    </row>
    <row r="156" spans="1:51" x14ac:dyDescent="0.25">
      <c r="A156" s="53">
        <v>7</v>
      </c>
      <c r="B156" s="185">
        <f>SUMIFS(AS[[#All],[Total Non-Truncated Claims Spending]],AS[[#All],[Reporting Year]],2022,AS[[#All],[Insurance Category Code]],A156,AS[[#All],[Large Provider Entity Code]],100,AS[[#All],[Age Band Code]],1)</f>
        <v>0</v>
      </c>
      <c r="C156" s="96">
        <f>SUMIFS(AS[[#All],[Total Non-Truncated Claims Spending]],AS[[#All],[Reporting Year]],2023,AS[[#All],[Insurance Category Code]],A156,AS[[#All],[Large Provider Entity Code]],100,AS[[#All],[Age Band Code]],1)</f>
        <v>0</v>
      </c>
      <c r="D156" s="185">
        <f>SUMIFS(AS[[#All],[Total Non-Truncated Claims Spending]],AS[[#All],[Reporting Year]],2022,AS[[#All],[Insurance Category Code]],A156,AS[[#All],[Large Provider Entity Code]],100,AS[[#All],[Age Band Code]],2)</f>
        <v>0</v>
      </c>
      <c r="E156" s="96">
        <f>SUMIFS(AS[[#All],[Total Non-Truncated Claims Spending]],AS[[#All],[Reporting Year]],2023,AS[[#All],[Insurance Category Code]],A156,AS[[#All],[Large Provider Entity Code]],100,AS[[#All],[Age Band Code]],2)</f>
        <v>0</v>
      </c>
      <c r="F156" s="185">
        <f>SUMIFS(AS[[#All],[Total Non-Truncated Claims Spending]],AS[[#All],[Reporting Year]],2022,AS[[#All],[Insurance Category Code]],A156,AS[[#All],[Large Provider Entity Code]],100,AS[[#All],[Age Band Code]],3)</f>
        <v>0</v>
      </c>
      <c r="G156" s="96">
        <f>SUMIFS(AS[[#All],[Total Non-Truncated Claims Spending]],AS[[#All],[Reporting Year]],2023,AS[[#All],[Insurance Category Code]],A156,AS[[#All],[Large Provider Entity Code]],100,AS[[#All],[Age Band Code]],3)</f>
        <v>0</v>
      </c>
      <c r="H156" s="185">
        <f>SUMIFS(AS[[#All],[Total Non-Truncated Claims Spending]],AS[[#All],[Reporting Year]],2022,AS[[#All],[Insurance Category Code]],A156,AS[[#All],[Large Provider Entity Code]],100,AS[[#All],[Age Band Code]],3,AS[[#All],[Sex Code]],1)</f>
        <v>0</v>
      </c>
      <c r="I156" s="96">
        <f>SUMIFS(AS[[#All],[Total Non-Truncated Claims Spending]],AS[[#All],[Reporting Year]],2023,AS[[#All],[Insurance Category Code]],A156,AS[[#All],[Large Provider Entity Code]],100,AS[[#All],[Age Band Code]],3,AS[[#All],[Sex Code]],1)</f>
        <v>0</v>
      </c>
      <c r="J156" s="185">
        <f>SUMIFS(AS[[#All],[Total Non-Truncated Claims Spending]],AS[[#All],[Reporting Year]],2022,AS[[#All],[Insurance Category Code]],A156,AS[[#All],[Large Provider Entity Code]],100,AS[[#All],[Age Band Code]],3,AS[[#All],[Sex Code]],2)</f>
        <v>0</v>
      </c>
      <c r="K156" s="96">
        <f>SUMIFS(AS[[#All],[Total Non-Truncated Claims Spending]],AS[[#All],[Reporting Year]],2023,AS[[#All],[Insurance Category Code]],A156,AS[[#All],[Large Provider Entity Code]],100,AS[[#All],[Age Band Code]],3,AS[[#All],[Sex Code]],2)</f>
        <v>0</v>
      </c>
      <c r="L156" s="185">
        <f>SUMIFS(AS[[#All],[Total Non-Truncated Claims Spending]],AS[[#All],[Reporting Year]],2022,AS[[#All],[Insurance Category Code]],A156,AS[[#All],[Large Provider Entity Code]],100,AS[[#All],[Age Band Code]],4)</f>
        <v>0</v>
      </c>
      <c r="M156" s="96">
        <f>SUMIFS(AS[[#All],[Total Non-Truncated Claims Spending]],AS[[#All],[Reporting Year]],2023,AS[[#All],[Insurance Category Code]],A156,AS[[#All],[Large Provider Entity Code]],100,AS[[#All],[Age Band Code]],4)</f>
        <v>0</v>
      </c>
      <c r="N156" s="185">
        <f>SUMIFS(AS[[#All],[Total Non-Truncated Claims Spending]],AS[[#All],[Reporting Year]],2022,AS[[#All],[Insurance Category Code]],A156,AS[[#All],[Large Provider Entity Code]],100,AS[[#All],[Age Band Code]],5)</f>
        <v>0</v>
      </c>
      <c r="O156" s="96">
        <f>SUMIFS(AS[[#All],[Total Non-Truncated Claims Spending]],AS[[#All],[Reporting Year]],2023,AS[[#All],[Insurance Category Code]],A156,AS[[#All],[Large Provider Entity Code]],100,AS[[#All],[Age Band Code]],5)</f>
        <v>0</v>
      </c>
      <c r="P156" s="185">
        <f>SUMIFS(AS[[#All],[Total Non-Truncated Claims Spending]],AS[[#All],[Reporting Year]],2022,AS[[#All],[Insurance Category Code]],A156,AS[[#All],[Large Provider Entity Code]],100,AS[[#All],[Age Band Code]],6)</f>
        <v>0</v>
      </c>
      <c r="Q156" s="96">
        <f>SUMIFS(AS[[#All],[Total Non-Truncated Claims Spending]],AS[[#All],[Reporting Year]],2023,AS[[#All],[Insurance Category Code]],A156,AS[[#All],[Large Provider Entity Code]],100,AS[[#All],[Age Band Code]],6)</f>
        <v>0</v>
      </c>
      <c r="R156" s="185">
        <f>SUMIFS(AS[[#All],[Total Non-Truncated Claims Spending]],AS[[#All],[Reporting Year]],2022,AS[[#All],[Insurance Category Code]],A156,AS[[#All],[Large Provider Entity Code]],100,AS[[#All],[Age Band Code]],7)</f>
        <v>0</v>
      </c>
      <c r="S156" s="96">
        <f>SUMIFS(AS[[#All],[Total Non-Truncated Claims Spending]],AS[[#All],[Reporting Year]],2023,AS[[#All],[Insurance Category Code]],A156,AS[[#All],[Large Provider Entity Code]],100,AS[[#All],[Age Band Code]],7)</f>
        <v>0</v>
      </c>
      <c r="T156" s="185">
        <f>SUMIFS(AS[[#All],[Total Non-Truncated Claims Spending]],AS[[#All],[Reporting Year]],2022,AS[[#All],[Insurance Category Code]],A156,AS[[#All],[Large Provider Entity Code]],100,AS[[#All],[Age Band Code]],8)</f>
        <v>0</v>
      </c>
      <c r="U156" s="96">
        <f>SUMIFS(AS[[#All],[Total Non-Truncated Claims Spending]],AS[[#All],[Reporting Year]],2023,AS[[#All],[Insurance Category Code]],A156,AS[[#All],[Large Provider Entity Code]],100,AS[[#All],[Age Band Code]],8)</f>
        <v>0</v>
      </c>
      <c r="V156" s="185">
        <f t="shared" si="60"/>
        <v>0</v>
      </c>
      <c r="W156" s="7">
        <f t="shared" si="61"/>
        <v>0</v>
      </c>
      <c r="X156" s="185">
        <f t="shared" si="62"/>
        <v>0</v>
      </c>
      <c r="Y156" s="7">
        <f t="shared" si="63"/>
        <v>0</v>
      </c>
      <c r="Z156"/>
      <c r="AA156"/>
      <c r="AB156"/>
      <c r="AC156"/>
    </row>
    <row r="157" spans="1:51" x14ac:dyDescent="0.25">
      <c r="A157" s="304">
        <v>8</v>
      </c>
      <c r="B157" s="185">
        <f>SUMIFS(AS[[#All],[Total Non-Truncated Claims Spending]],AS[[#All],[Reporting Year]],2022,AS[[#All],[Insurance Category Code]],A157,AS[[#All],[Large Provider Entity Code]],100,AS[[#All],[Age Band Code]],1)</f>
        <v>0</v>
      </c>
      <c r="C157" s="96">
        <f>SUMIFS(AS[[#All],[Total Non-Truncated Claims Spending]],AS[[#All],[Reporting Year]],2023,AS[[#All],[Insurance Category Code]],A157,AS[[#All],[Large Provider Entity Code]],100,AS[[#All],[Age Band Code]],1)</f>
        <v>0</v>
      </c>
      <c r="D157" s="185">
        <f>SUMIFS(AS[[#All],[Total Non-Truncated Claims Spending]],AS[[#All],[Reporting Year]],2022,AS[[#All],[Insurance Category Code]],A157,AS[[#All],[Large Provider Entity Code]],100,AS[[#All],[Age Band Code]],2)</f>
        <v>0</v>
      </c>
      <c r="E157" s="96">
        <f>SUMIFS(AS[[#All],[Total Non-Truncated Claims Spending]],AS[[#All],[Reporting Year]],2023,AS[[#All],[Insurance Category Code]],A157,AS[[#All],[Large Provider Entity Code]],100,AS[[#All],[Age Band Code]],2)</f>
        <v>0</v>
      </c>
      <c r="F157" s="185">
        <f>SUMIFS(AS[[#All],[Total Non-Truncated Claims Spending]],AS[[#All],[Reporting Year]],2022,AS[[#All],[Insurance Category Code]],A157,AS[[#All],[Large Provider Entity Code]],100,AS[[#All],[Age Band Code]],3)</f>
        <v>0</v>
      </c>
      <c r="G157" s="96">
        <f>SUMIFS(AS[[#All],[Total Non-Truncated Claims Spending]],AS[[#All],[Reporting Year]],2023,AS[[#All],[Insurance Category Code]],A157,AS[[#All],[Large Provider Entity Code]],100,AS[[#All],[Age Band Code]],3)</f>
        <v>0</v>
      </c>
      <c r="H157" s="185">
        <f>SUMIFS(AS[[#All],[Total Non-Truncated Claims Spending]],AS[[#All],[Reporting Year]],2022,AS[[#All],[Insurance Category Code]],A157,AS[[#All],[Large Provider Entity Code]],100,AS[[#All],[Age Band Code]],3,AS[[#All],[Sex Code]],1)</f>
        <v>0</v>
      </c>
      <c r="I157" s="96">
        <f>SUMIFS(AS[[#All],[Total Non-Truncated Claims Spending]],AS[[#All],[Reporting Year]],2023,AS[[#All],[Insurance Category Code]],A157,AS[[#All],[Large Provider Entity Code]],100,AS[[#All],[Age Band Code]],3,AS[[#All],[Sex Code]],1)</f>
        <v>0</v>
      </c>
      <c r="J157" s="185">
        <f>SUMIFS(AS[[#All],[Total Non-Truncated Claims Spending]],AS[[#All],[Reporting Year]],2022,AS[[#All],[Insurance Category Code]],A157,AS[[#All],[Large Provider Entity Code]],100,AS[[#All],[Age Band Code]],3,AS[[#All],[Sex Code]],2)</f>
        <v>0</v>
      </c>
      <c r="K157" s="96">
        <f>SUMIFS(AS[[#All],[Total Non-Truncated Claims Spending]],AS[[#All],[Reporting Year]],2023,AS[[#All],[Insurance Category Code]],A157,AS[[#All],[Large Provider Entity Code]],100,AS[[#All],[Age Band Code]],3,AS[[#All],[Sex Code]],2)</f>
        <v>0</v>
      </c>
      <c r="L157" s="185">
        <f>SUMIFS(AS[[#All],[Total Non-Truncated Claims Spending]],AS[[#All],[Reporting Year]],2022,AS[[#All],[Insurance Category Code]],A157,AS[[#All],[Large Provider Entity Code]],100,AS[[#All],[Age Band Code]],4)</f>
        <v>0</v>
      </c>
      <c r="M157" s="96">
        <f>SUMIFS(AS[[#All],[Total Non-Truncated Claims Spending]],AS[[#All],[Reporting Year]],2023,AS[[#All],[Insurance Category Code]],A157,AS[[#All],[Large Provider Entity Code]],100,AS[[#All],[Age Band Code]],4)</f>
        <v>0</v>
      </c>
      <c r="N157" s="185">
        <f>SUMIFS(AS[[#All],[Total Non-Truncated Claims Spending]],AS[[#All],[Reporting Year]],2022,AS[[#All],[Insurance Category Code]],A157,AS[[#All],[Large Provider Entity Code]],100,AS[[#All],[Age Band Code]],5)</f>
        <v>0</v>
      </c>
      <c r="O157" s="96">
        <f>SUMIFS(AS[[#All],[Total Non-Truncated Claims Spending]],AS[[#All],[Reporting Year]],2023,AS[[#All],[Insurance Category Code]],A157,AS[[#All],[Large Provider Entity Code]],100,AS[[#All],[Age Band Code]],5)</f>
        <v>0</v>
      </c>
      <c r="P157" s="185">
        <f>SUMIFS(AS[[#All],[Total Non-Truncated Claims Spending]],AS[[#All],[Reporting Year]],2022,AS[[#All],[Insurance Category Code]],A157,AS[[#All],[Large Provider Entity Code]],100,AS[[#All],[Age Band Code]],6)</f>
        <v>0</v>
      </c>
      <c r="Q157" s="96">
        <f>SUMIFS(AS[[#All],[Total Non-Truncated Claims Spending]],AS[[#All],[Reporting Year]],2023,AS[[#All],[Insurance Category Code]],A157,AS[[#All],[Large Provider Entity Code]],100,AS[[#All],[Age Band Code]],6)</f>
        <v>0</v>
      </c>
      <c r="R157" s="185">
        <f>SUMIFS(AS[[#All],[Total Non-Truncated Claims Spending]],AS[[#All],[Reporting Year]],2022,AS[[#All],[Insurance Category Code]],A157,AS[[#All],[Large Provider Entity Code]],100,AS[[#All],[Age Band Code]],7)</f>
        <v>0</v>
      </c>
      <c r="S157" s="96">
        <f>SUMIFS(AS[[#All],[Total Non-Truncated Claims Spending]],AS[[#All],[Reporting Year]],2023,AS[[#All],[Insurance Category Code]],A157,AS[[#All],[Large Provider Entity Code]],100,AS[[#All],[Age Band Code]],7)</f>
        <v>0</v>
      </c>
      <c r="T157" s="185">
        <f>SUMIFS(AS[[#All],[Total Non-Truncated Claims Spending]],AS[[#All],[Reporting Year]],2022,AS[[#All],[Insurance Category Code]],A157,AS[[#All],[Large Provider Entity Code]],100,AS[[#All],[Age Band Code]],8)</f>
        <v>0</v>
      </c>
      <c r="U157" s="96">
        <f>SUMIFS(AS[[#All],[Total Non-Truncated Claims Spending]],AS[[#All],[Reporting Year]],2023,AS[[#All],[Insurance Category Code]],A157,AS[[#All],[Large Provider Entity Code]],100,AS[[#All],[Age Band Code]],8)</f>
        <v>0</v>
      </c>
      <c r="V157" s="185">
        <f t="shared" si="60"/>
        <v>0</v>
      </c>
      <c r="W157" s="7">
        <f t="shared" si="61"/>
        <v>0</v>
      </c>
      <c r="X157" s="185">
        <f t="shared" si="62"/>
        <v>0</v>
      </c>
      <c r="Y157" s="7">
        <f t="shared" si="63"/>
        <v>0</v>
      </c>
      <c r="Z157"/>
      <c r="AA157"/>
      <c r="AB157"/>
      <c r="AC157"/>
    </row>
    <row r="158" spans="1:51" x14ac:dyDescent="0.25">
      <c r="A158" s="1"/>
      <c r="B158" s="115"/>
      <c r="C158" s="115"/>
      <c r="D158" s="115"/>
      <c r="E158" s="115"/>
      <c r="F158" s="116"/>
      <c r="G158" s="116"/>
      <c r="H158" s="116"/>
      <c r="I158" s="116"/>
      <c r="J158" s="115"/>
      <c r="K158" s="115"/>
      <c r="L158" s="115"/>
      <c r="M158" s="115"/>
      <c r="N158"/>
      <c r="O158"/>
      <c r="P158"/>
      <c r="Q158"/>
      <c r="R158"/>
      <c r="S158"/>
      <c r="T158"/>
      <c r="U158"/>
      <c r="V158"/>
      <c r="W158"/>
      <c r="X158"/>
      <c r="Y158"/>
      <c r="Z158"/>
      <c r="AA158"/>
      <c r="AB158"/>
      <c r="AC158"/>
      <c r="AD158" s="184"/>
      <c r="AE158" s="184"/>
      <c r="AF158" s="184"/>
      <c r="AG158" s="184"/>
      <c r="AH158" s="305"/>
      <c r="AI158" s="305"/>
      <c r="AJ158" s="305"/>
      <c r="AK158" s="305"/>
      <c r="AL158" s="184"/>
      <c r="AM158" s="184"/>
      <c r="AN158" s="184"/>
      <c r="AO158" s="184"/>
      <c r="AP158" s="184"/>
      <c r="AQ158" s="184"/>
      <c r="AR158" s="184"/>
      <c r="AS158" s="184"/>
      <c r="AT158" s="184"/>
      <c r="AU158" s="184"/>
      <c r="AV158" s="184"/>
      <c r="AW158" s="184"/>
      <c r="AX158" s="184"/>
      <c r="AY158" s="184"/>
    </row>
    <row r="159" spans="1:51" x14ac:dyDescent="0.25">
      <c r="A159"/>
      <c r="B159"/>
      <c r="C159"/>
      <c r="D159"/>
      <c r="E159"/>
      <c r="F159"/>
      <c r="G159"/>
      <c r="H159"/>
      <c r="I159"/>
      <c r="J159"/>
      <c r="K159"/>
      <c r="L159"/>
      <c r="M159"/>
      <c r="N159"/>
      <c r="O159"/>
      <c r="P159"/>
      <c r="Q159"/>
      <c r="R159"/>
      <c r="S159"/>
      <c r="T159"/>
      <c r="U159"/>
      <c r="V159"/>
      <c r="W159"/>
      <c r="X159"/>
      <c r="Y159"/>
      <c r="Z159"/>
      <c r="AA159"/>
      <c r="AB159"/>
      <c r="AC159"/>
    </row>
    <row r="160" spans="1:51" x14ac:dyDescent="0.25">
      <c r="A160" s="4" t="s">
        <v>472</v>
      </c>
      <c r="B160"/>
      <c r="C160"/>
      <c r="D160"/>
      <c r="E160"/>
      <c r="F160"/>
      <c r="G160"/>
      <c r="H160"/>
      <c r="I160"/>
      <c r="J160"/>
      <c r="K160"/>
      <c r="L160"/>
      <c r="M160"/>
      <c r="N160"/>
      <c r="O160"/>
      <c r="P160"/>
      <c r="Q160"/>
      <c r="R160"/>
      <c r="S160"/>
      <c r="T160"/>
      <c r="U160"/>
      <c r="V160"/>
      <c r="W160"/>
      <c r="X160"/>
      <c r="Y160"/>
      <c r="Z160"/>
      <c r="AA160"/>
      <c r="AB160"/>
      <c r="AC160"/>
    </row>
    <row r="161" spans="1:59" ht="15.75" thickBot="1" x14ac:dyDescent="0.3">
      <c r="A161" s="659" t="s">
        <v>96</v>
      </c>
      <c r="B161" s="198">
        <v>2022</v>
      </c>
      <c r="C161" s="199">
        <v>2023</v>
      </c>
      <c r="D161" s="198">
        <v>2022</v>
      </c>
      <c r="E161" s="200">
        <v>2023</v>
      </c>
      <c r="F161"/>
      <c r="G161"/>
      <c r="H161"/>
      <c r="I161"/>
      <c r="J161"/>
      <c r="K161"/>
      <c r="L161"/>
      <c r="M161"/>
      <c r="N161"/>
      <c r="O161"/>
      <c r="P161"/>
      <c r="Q161"/>
      <c r="R161"/>
      <c r="S161"/>
      <c r="T161"/>
      <c r="U161"/>
      <c r="V161"/>
      <c r="W161"/>
      <c r="X161"/>
      <c r="Y161"/>
      <c r="Z161"/>
      <c r="AA161"/>
      <c r="AB161"/>
      <c r="AC161"/>
    </row>
    <row r="162" spans="1:59" ht="15" customHeight="1" x14ac:dyDescent="0.25">
      <c r="A162" s="660"/>
      <c r="B162" s="648" t="s">
        <v>181</v>
      </c>
      <c r="C162" s="651"/>
      <c r="D162" s="650" t="s">
        <v>202</v>
      </c>
      <c r="E162" s="649"/>
      <c r="F162"/>
      <c r="G162"/>
      <c r="H162"/>
      <c r="I162"/>
      <c r="J162"/>
      <c r="K162"/>
      <c r="L162"/>
      <c r="M162"/>
      <c r="N162"/>
      <c r="O162"/>
      <c r="P162"/>
      <c r="Q162"/>
      <c r="R162"/>
      <c r="S162"/>
      <c r="T162"/>
      <c r="U162"/>
      <c r="V162"/>
      <c r="W162"/>
      <c r="X162"/>
      <c r="Y162"/>
      <c r="Z162"/>
      <c r="AA162"/>
      <c r="AB162"/>
      <c r="AC162"/>
    </row>
    <row r="163" spans="1:59" x14ac:dyDescent="0.25">
      <c r="A163" s="53">
        <v>1</v>
      </c>
      <c r="B163" s="95">
        <f>SUMIFS(SD[[#All],[Member Months]],SD[[#All],[Reporting Year]],2022,SD[[#All],[Market Code]],A163,SD[[#All],[Large Provider Entity Code]],100)</f>
        <v>0</v>
      </c>
      <c r="C163" s="302">
        <f>SUMIFS(SD[[#All],[Member Months]],SD[[#All],[Reporting Year]],2023,SD[[#All],[Market Code]],A163,SD[[#All],[Large Provider Entity Code]],100)</f>
        <v>0</v>
      </c>
      <c r="D163" s="166">
        <f>SUMIFS(SD[[#All],[Total Truncated Claims Spending]],SD[[#All],[Reporting Year]],2022,SD[[#All],[Market Code]],A163,SD[[#All],[Large Provider Entity Code]],100)</f>
        <v>0</v>
      </c>
      <c r="E163" s="170">
        <f>SUMIFS(SD[[#All],[Total Truncated Claims Spending]],SD[[#All],[Reporting Year]],2023,SD[[#All],[Market Code]],A163,SD[[#All],[Large Provider Entity Code]],100)</f>
        <v>0</v>
      </c>
      <c r="F163"/>
      <c r="G163"/>
      <c r="H163"/>
      <c r="I163"/>
      <c r="J163"/>
      <c r="K163"/>
      <c r="L163"/>
      <c r="M163"/>
      <c r="N163"/>
      <c r="O163"/>
      <c r="P163"/>
      <c r="Q163"/>
      <c r="R163"/>
      <c r="S163"/>
      <c r="T163"/>
      <c r="U163"/>
      <c r="V163"/>
      <c r="W163"/>
      <c r="X163"/>
      <c r="Y163"/>
      <c r="Z163"/>
      <c r="AA163"/>
      <c r="AB163"/>
      <c r="AC163"/>
    </row>
    <row r="164" spans="1:59" x14ac:dyDescent="0.25">
      <c r="A164" s="53">
        <v>2</v>
      </c>
      <c r="B164" s="95">
        <f>SUMIFS(SD[[#All],[Member Months]],SD[[#All],[Reporting Year]],2022,SD[[#All],[Market Code]],A164,SD[[#All],[Large Provider Entity Code]],100)</f>
        <v>0</v>
      </c>
      <c r="C164" s="302">
        <f>SUMIFS(SD[[#All],[Member Months]],SD[[#All],[Reporting Year]],2023,SD[[#All],[Market Code]],A164,SD[[#All],[Large Provider Entity Code]],100)</f>
        <v>0</v>
      </c>
      <c r="D164" s="166">
        <f>SUMIFS(SD[[#All],[Total Truncated Claims Spending]],SD[[#All],[Reporting Year]],2022,SD[[#All],[Market Code]],A164,SD[[#All],[Large Provider Entity Code]],100)</f>
        <v>0</v>
      </c>
      <c r="E164" s="170">
        <f>SUMIFS(SD[[#All],[Total Truncated Claims Spending]],SD[[#All],[Reporting Year]],2023,SD[[#All],[Market Code]],A164,SD[[#All],[Large Provider Entity Code]],100)</f>
        <v>0</v>
      </c>
      <c r="F164"/>
      <c r="G164"/>
      <c r="H164"/>
      <c r="I164"/>
      <c r="J164"/>
      <c r="K164"/>
      <c r="L164"/>
      <c r="M164"/>
      <c r="N164"/>
      <c r="O164"/>
      <c r="P164"/>
      <c r="Q164"/>
      <c r="R164"/>
      <c r="S164"/>
      <c r="T164"/>
      <c r="U164"/>
      <c r="V164"/>
      <c r="W164"/>
      <c r="X164"/>
      <c r="Y164"/>
      <c r="Z164"/>
      <c r="AA164"/>
      <c r="AB164"/>
      <c r="AC164"/>
    </row>
    <row r="165" spans="1:59" x14ac:dyDescent="0.25">
      <c r="A165" s="53">
        <v>3</v>
      </c>
      <c r="B165" s="95">
        <f>SUMIFS(SD[[#All],[Member Months]],SD[[#All],[Reporting Year]],2022,SD[[#All],[Market Code]],A165,SD[[#All],[Large Provider Entity Code]],100)</f>
        <v>0</v>
      </c>
      <c r="C165" s="302">
        <f>SUMIFS(SD[[#All],[Member Months]],SD[[#All],[Reporting Year]],2023,SD[[#All],[Market Code]],A165,SD[[#All],[Large Provider Entity Code]],100)</f>
        <v>0</v>
      </c>
      <c r="D165" s="166">
        <f>SUMIFS(SD[[#All],[Total Truncated Claims Spending]],SD[[#All],[Reporting Year]],2022,SD[[#All],[Market Code]],A165,SD[[#All],[Large Provider Entity Code]],100)</f>
        <v>0</v>
      </c>
      <c r="E165" s="170">
        <f>SUMIFS(SD[[#All],[Total Truncated Claims Spending]],SD[[#All],[Reporting Year]],2023,SD[[#All],[Market Code]],A165,SD[[#All],[Large Provider Entity Code]],100)</f>
        <v>0</v>
      </c>
      <c r="F165"/>
      <c r="G165"/>
      <c r="H165"/>
      <c r="I165"/>
      <c r="J165"/>
      <c r="K165"/>
      <c r="L165"/>
      <c r="M165"/>
      <c r="N165"/>
      <c r="O165"/>
      <c r="P165"/>
      <c r="Q165"/>
      <c r="R165"/>
      <c r="S165"/>
      <c r="T165"/>
      <c r="U165"/>
      <c r="V165"/>
      <c r="W165"/>
      <c r="X165"/>
      <c r="Y165"/>
      <c r="Z165"/>
      <c r="AA165"/>
      <c r="AB165"/>
      <c r="AC165"/>
    </row>
    <row r="166" spans="1:59" x14ac:dyDescent="0.25">
      <c r="A166" s="1"/>
      <c r="B166" s="115"/>
      <c r="C166" s="115"/>
      <c r="D166" s="183"/>
      <c r="E166" s="183"/>
      <c r="F166"/>
      <c r="G166"/>
      <c r="H166"/>
      <c r="I166"/>
      <c r="J166"/>
      <c r="K166"/>
      <c r="L166"/>
      <c r="M166"/>
      <c r="N166"/>
      <c r="O166"/>
      <c r="P166"/>
      <c r="Q166"/>
      <c r="R166"/>
      <c r="S166"/>
      <c r="T166"/>
      <c r="U166"/>
      <c r="V166"/>
      <c r="W166"/>
      <c r="X166"/>
      <c r="Y166"/>
      <c r="Z166"/>
      <c r="AA166"/>
      <c r="AB166"/>
      <c r="AC166"/>
    </row>
    <row r="167" spans="1:59" x14ac:dyDescent="0.25">
      <c r="A167" s="2"/>
      <c r="B167" s="303"/>
      <c r="C167" s="303"/>
      <c r="D167"/>
      <c r="E167"/>
      <c r="F167"/>
      <c r="G167"/>
      <c r="H167"/>
      <c r="I167"/>
      <c r="J167"/>
      <c r="K167"/>
      <c r="L167"/>
      <c r="M167"/>
      <c r="N167"/>
      <c r="O167"/>
      <c r="P167"/>
      <c r="Q167"/>
      <c r="R167"/>
      <c r="S167"/>
      <c r="T167"/>
      <c r="U167"/>
      <c r="V167"/>
      <c r="W167"/>
      <c r="X167"/>
      <c r="Y167"/>
      <c r="Z167"/>
      <c r="AA167"/>
      <c r="AB167"/>
      <c r="AC167"/>
      <c r="AY167" s="49"/>
      <c r="BA167" s="49"/>
      <c r="BC167" s="49"/>
      <c r="BE167" s="49"/>
      <c r="BG167" s="49"/>
    </row>
    <row r="168" spans="1:59" x14ac:dyDescent="0.25">
      <c r="A168" s="4" t="s">
        <v>473</v>
      </c>
      <c r="B168"/>
      <c r="C168"/>
      <c r="D168"/>
      <c r="E168"/>
      <c r="F168"/>
      <c r="G168"/>
      <c r="H168"/>
      <c r="I168"/>
      <c r="J168"/>
      <c r="K168"/>
      <c r="L168"/>
      <c r="M168"/>
      <c r="N168"/>
      <c r="O168"/>
      <c r="P168"/>
      <c r="Q168"/>
      <c r="R168"/>
      <c r="S168"/>
      <c r="T168"/>
      <c r="U168"/>
      <c r="V168"/>
      <c r="W168"/>
      <c r="X168"/>
      <c r="Y168"/>
      <c r="Z168"/>
      <c r="AA168"/>
      <c r="AB168"/>
      <c r="AC168"/>
    </row>
    <row r="169" spans="1:59" ht="15.75" thickBot="1" x14ac:dyDescent="0.3">
      <c r="A169" s="657" t="s">
        <v>474</v>
      </c>
      <c r="B169" s="203">
        <v>2022</v>
      </c>
      <c r="C169" s="200">
        <v>2023</v>
      </c>
      <c r="D169"/>
      <c r="E169"/>
      <c r="F169"/>
      <c r="G169"/>
      <c r="H169"/>
      <c r="I169"/>
      <c r="J169"/>
      <c r="K169"/>
      <c r="L169"/>
      <c r="M169"/>
      <c r="N169"/>
      <c r="O169"/>
      <c r="P169"/>
      <c r="Q169"/>
      <c r="R169"/>
      <c r="S169"/>
      <c r="T169"/>
      <c r="U169"/>
      <c r="V169"/>
      <c r="W169"/>
      <c r="X169"/>
      <c r="Y169"/>
      <c r="Z169"/>
      <c r="AA169"/>
      <c r="AB169"/>
      <c r="AC169"/>
    </row>
    <row r="170" spans="1:59" x14ac:dyDescent="0.25">
      <c r="A170" s="658"/>
      <c r="B170" s="692" t="s">
        <v>181</v>
      </c>
      <c r="C170" s="649"/>
      <c r="D170"/>
      <c r="E170"/>
      <c r="F170"/>
      <c r="G170"/>
      <c r="H170"/>
      <c r="I170"/>
      <c r="J170"/>
      <c r="K170"/>
      <c r="L170"/>
      <c r="M170"/>
      <c r="N170"/>
      <c r="O170"/>
      <c r="P170"/>
      <c r="Q170"/>
      <c r="R170"/>
      <c r="S170"/>
      <c r="T170"/>
      <c r="U170"/>
      <c r="V170"/>
      <c r="W170"/>
      <c r="X170"/>
      <c r="Y170"/>
      <c r="Z170"/>
      <c r="AA170"/>
      <c r="AB170"/>
      <c r="AC170"/>
    </row>
    <row r="171" spans="1:59" x14ac:dyDescent="0.25">
      <c r="A171" s="6">
        <v>1</v>
      </c>
      <c r="B171" s="8">
        <f>SUMIFS(LB[[#All],[Member Months]],LB[[#All],[Reporting Year]],2022,LB[[#All],[Line of Business Category Code]],A171)</f>
        <v>0</v>
      </c>
      <c r="C171" s="8">
        <f>SUMIFS(LB[[#All],[Member Months]],LB[[#All],[Reporting Year]],2023,LB[[#All],[Line of Business Category Code]],A171)</f>
        <v>0</v>
      </c>
      <c r="D171"/>
      <c r="E171"/>
      <c r="F171"/>
      <c r="G171"/>
      <c r="H171"/>
      <c r="I171"/>
      <c r="J171"/>
      <c r="K171"/>
      <c r="L171"/>
      <c r="M171"/>
      <c r="N171"/>
      <c r="O171"/>
      <c r="P171"/>
      <c r="Q171"/>
      <c r="R171"/>
      <c r="S171"/>
      <c r="T171"/>
      <c r="U171"/>
      <c r="V171"/>
      <c r="W171"/>
      <c r="X171"/>
      <c r="Y171"/>
      <c r="Z171"/>
      <c r="AA171"/>
      <c r="AB171"/>
      <c r="AC171"/>
    </row>
    <row r="172" spans="1:59" x14ac:dyDescent="0.25">
      <c r="A172" s="6">
        <v>2</v>
      </c>
      <c r="B172" s="8">
        <f>SUMIFS(LB[[#All],[Member Months]],LB[[#All],[Reporting Year]],2022,LB[[#All],[Line of Business Category Code]],A172)</f>
        <v>0</v>
      </c>
      <c r="C172" s="8">
        <f>SUMIFS(LB[[#All],[Member Months]],LB[[#All],[Reporting Year]],2023,LB[[#All],[Line of Business Category Code]],A172)</f>
        <v>0</v>
      </c>
      <c r="D172"/>
      <c r="E172"/>
      <c r="F172"/>
      <c r="G172"/>
      <c r="H172"/>
      <c r="I172"/>
      <c r="J172"/>
      <c r="K172"/>
      <c r="L172"/>
      <c r="M172"/>
      <c r="N172"/>
      <c r="O172"/>
      <c r="P172"/>
      <c r="Q172"/>
      <c r="R172"/>
      <c r="S172"/>
      <c r="T172"/>
      <c r="U172"/>
      <c r="V172"/>
      <c r="W172"/>
      <c r="X172"/>
      <c r="Y172"/>
      <c r="Z172"/>
      <c r="AA172"/>
      <c r="AB172"/>
      <c r="AC172"/>
    </row>
    <row r="173" spans="1:59" x14ac:dyDescent="0.25">
      <c r="A173" s="6">
        <v>3</v>
      </c>
      <c r="B173" s="8">
        <f>SUMIFS(LB[[#All],[Member Months]],LB[[#All],[Reporting Year]],2022,LB[[#All],[Line of Business Category Code]],A173)</f>
        <v>0</v>
      </c>
      <c r="C173" s="8">
        <f>SUMIFS(LB[[#All],[Member Months]],LB[[#All],[Reporting Year]],2023,LB[[#All],[Line of Business Category Code]],A173)</f>
        <v>0</v>
      </c>
      <c r="D173"/>
      <c r="E173"/>
      <c r="F173"/>
      <c r="G173"/>
      <c r="H173"/>
      <c r="I173"/>
      <c r="J173"/>
      <c r="K173"/>
      <c r="L173"/>
      <c r="M173"/>
      <c r="N173"/>
      <c r="O173"/>
      <c r="P173"/>
      <c r="Q173"/>
      <c r="R173"/>
      <c r="S173"/>
      <c r="T173"/>
      <c r="U173"/>
      <c r="V173"/>
      <c r="W173"/>
      <c r="X173"/>
      <c r="Y173"/>
      <c r="Z173"/>
      <c r="AA173"/>
      <c r="AB173"/>
      <c r="AC173"/>
    </row>
    <row r="174" spans="1:59" x14ac:dyDescent="0.25">
      <c r="A174" s="6">
        <v>4</v>
      </c>
      <c r="B174" s="8">
        <f>SUMIFS(LB[[#All],[Member Months]],LB[[#All],[Reporting Year]],2022,LB[[#All],[Line of Business Category Code]],A174)</f>
        <v>0</v>
      </c>
      <c r="C174" s="8">
        <f>SUMIFS(LB[[#All],[Member Months]],LB[[#All],[Reporting Year]],2023,LB[[#All],[Line of Business Category Code]],A174)</f>
        <v>0</v>
      </c>
      <c r="D174"/>
      <c r="E174"/>
      <c r="F174"/>
      <c r="G174"/>
      <c r="H174"/>
      <c r="I174"/>
      <c r="J174"/>
      <c r="K174"/>
      <c r="L174"/>
      <c r="M174"/>
      <c r="N174"/>
      <c r="O174"/>
      <c r="P174"/>
      <c r="Q174"/>
      <c r="R174"/>
      <c r="S174"/>
      <c r="T174"/>
      <c r="U174"/>
      <c r="V174"/>
      <c r="W174"/>
      <c r="X174"/>
      <c r="Y174"/>
      <c r="Z174"/>
      <c r="AA174"/>
      <c r="AB174"/>
      <c r="AC174"/>
    </row>
    <row r="175" spans="1:59" x14ac:dyDescent="0.25">
      <c r="A175" s="6">
        <v>5</v>
      </c>
      <c r="B175" s="8">
        <f>SUMIFS(LB[[#All],[Member Months]],LB[[#All],[Reporting Year]],2022,LB[[#All],[Line of Business Category Code]],A175)</f>
        <v>0</v>
      </c>
      <c r="C175" s="8">
        <f>SUMIFS(LB[[#All],[Member Months]],LB[[#All],[Reporting Year]],2023,LB[[#All],[Line of Business Category Code]],A175)</f>
        <v>0</v>
      </c>
      <c r="D175"/>
      <c r="E175"/>
      <c r="F175"/>
      <c r="G175"/>
      <c r="H175"/>
      <c r="I175"/>
      <c r="J175"/>
      <c r="K175"/>
      <c r="L175"/>
      <c r="M175"/>
      <c r="N175"/>
      <c r="O175"/>
      <c r="P175"/>
      <c r="Q175"/>
      <c r="R175"/>
      <c r="S175"/>
      <c r="T175"/>
      <c r="U175"/>
      <c r="V175"/>
      <c r="W175"/>
      <c r="X175"/>
      <c r="Y175"/>
      <c r="Z175"/>
      <c r="AA175"/>
      <c r="AB175"/>
      <c r="AC175"/>
    </row>
    <row r="176" spans="1:59" x14ac:dyDescent="0.25">
      <c r="A176" s="6">
        <v>6</v>
      </c>
      <c r="B176" s="8">
        <f>SUMIFS(LB[[#All],[Member Months]],LB[[#All],[Reporting Year]],2022,LB[[#All],[Line of Business Category Code]],A176)</f>
        <v>0</v>
      </c>
      <c r="C176" s="8">
        <f>SUMIFS(LB[[#All],[Member Months]],LB[[#All],[Reporting Year]],2023,LB[[#All],[Line of Business Category Code]],A176)</f>
        <v>0</v>
      </c>
      <c r="D176"/>
      <c r="E176"/>
      <c r="F176"/>
      <c r="G176"/>
      <c r="H176"/>
      <c r="I176"/>
      <c r="J176"/>
      <c r="K176"/>
      <c r="L176"/>
      <c r="M176"/>
      <c r="N176"/>
      <c r="O176"/>
      <c r="P176"/>
      <c r="Q176"/>
      <c r="R176"/>
      <c r="S176"/>
      <c r="T176"/>
      <c r="U176"/>
      <c r="V176"/>
      <c r="W176"/>
      <c r="X176"/>
      <c r="Y176"/>
      <c r="Z176"/>
      <c r="AA176"/>
      <c r="AB176"/>
      <c r="AC176"/>
    </row>
    <row r="177" spans="1:29" x14ac:dyDescent="0.25">
      <c r="A177" s="6">
        <v>7</v>
      </c>
      <c r="B177" s="8">
        <f>SUMIFS(LB[[#All],[Member Months]],LB[[#All],[Reporting Year]],2022,LB[[#All],[Line of Business Category Code]],A177)</f>
        <v>0</v>
      </c>
      <c r="C177" s="8">
        <f>SUMIFS(LB[[#All],[Member Months]],LB[[#All],[Reporting Year]],2023,LB[[#All],[Line of Business Category Code]],A177)</f>
        <v>0</v>
      </c>
      <c r="D177"/>
      <c r="E177"/>
      <c r="F177"/>
      <c r="G177"/>
      <c r="H177"/>
      <c r="I177"/>
      <c r="J177"/>
      <c r="K177"/>
      <c r="L177"/>
      <c r="M177"/>
      <c r="N177"/>
      <c r="O177"/>
      <c r="P177"/>
      <c r="Q177"/>
      <c r="R177"/>
      <c r="S177"/>
      <c r="T177"/>
      <c r="U177"/>
      <c r="V177"/>
      <c r="W177"/>
      <c r="X177"/>
      <c r="Y177"/>
      <c r="Z177"/>
      <c r="AA177"/>
      <c r="AB177"/>
      <c r="AC177"/>
    </row>
    <row r="178" spans="1:29" x14ac:dyDescent="0.25">
      <c r="A178" s="6">
        <v>8</v>
      </c>
      <c r="B178" s="8">
        <f>SUMIFS(LB[[#All],[Member Months]],LB[[#All],[Reporting Year]],2022,LB[[#All],[Line of Business Category Code]],A178)</f>
        <v>0</v>
      </c>
      <c r="C178" s="8">
        <f>SUMIFS(LB[[#All],[Member Months]],LB[[#All],[Reporting Year]],2023,LB[[#All],[Line of Business Category Code]],A178)</f>
        <v>0</v>
      </c>
      <c r="D178"/>
      <c r="E178"/>
      <c r="F178"/>
      <c r="G178"/>
      <c r="H178"/>
      <c r="I178"/>
      <c r="J178"/>
      <c r="K178"/>
      <c r="L178"/>
      <c r="M178"/>
      <c r="N178"/>
      <c r="O178"/>
      <c r="P178"/>
      <c r="Q178"/>
      <c r="R178"/>
      <c r="S178"/>
      <c r="T178"/>
      <c r="U178"/>
      <c r="V178"/>
      <c r="W178"/>
      <c r="X178"/>
      <c r="Y178"/>
      <c r="Z178"/>
      <c r="AA178"/>
      <c r="AB178"/>
      <c r="AC178"/>
    </row>
    <row r="179" spans="1:29" x14ac:dyDescent="0.25">
      <c r="A179" s="6">
        <v>9</v>
      </c>
      <c r="B179" s="8">
        <f>SUMIFS(LB[[#All],[Member Months]],LB[[#All],[Reporting Year]],2022,LB[[#All],[Line of Business Category Code]],A179)</f>
        <v>0</v>
      </c>
      <c r="C179" s="8">
        <f>SUMIFS(LB[[#All],[Member Months]],LB[[#All],[Reporting Year]],2023,LB[[#All],[Line of Business Category Code]],A179)</f>
        <v>0</v>
      </c>
      <c r="D179"/>
      <c r="E179"/>
      <c r="F179"/>
      <c r="G179"/>
      <c r="H179"/>
      <c r="I179"/>
      <c r="J179"/>
      <c r="K179"/>
      <c r="L179"/>
      <c r="M179"/>
      <c r="N179"/>
      <c r="O179"/>
      <c r="P179"/>
      <c r="Q179"/>
      <c r="R179"/>
      <c r="S179"/>
      <c r="T179"/>
      <c r="U179"/>
      <c r="V179"/>
      <c r="W179"/>
      <c r="X179"/>
      <c r="Y179"/>
      <c r="Z179"/>
      <c r="AA179"/>
      <c r="AB179"/>
      <c r="AC179"/>
    </row>
    <row r="180" spans="1:29" x14ac:dyDescent="0.25">
      <c r="A180" s="6">
        <v>10</v>
      </c>
      <c r="B180" s="8">
        <f>SUMIFS(LB[[#All],[Member Months]],LB[[#All],[Reporting Year]],2022,LB[[#All],[Line of Business Category Code]],A180)</f>
        <v>0</v>
      </c>
      <c r="C180" s="8">
        <f>SUMIFS(LB[[#All],[Member Months]],LB[[#All],[Reporting Year]],2023,LB[[#All],[Line of Business Category Code]],A180)</f>
        <v>0</v>
      </c>
      <c r="D180"/>
      <c r="E180"/>
      <c r="F180"/>
      <c r="G180"/>
      <c r="H180"/>
      <c r="I180"/>
      <c r="J180"/>
      <c r="K180"/>
      <c r="L180"/>
      <c r="M180"/>
      <c r="N180"/>
      <c r="O180"/>
      <c r="P180"/>
      <c r="Q180"/>
      <c r="R180"/>
      <c r="S180"/>
      <c r="T180"/>
      <c r="U180"/>
      <c r="V180"/>
      <c r="W180"/>
      <c r="X180"/>
      <c r="Y180"/>
      <c r="Z180"/>
      <c r="AA180"/>
      <c r="AB180"/>
      <c r="AC180"/>
    </row>
    <row r="181" spans="1:29" x14ac:dyDescent="0.25">
      <c r="A181" s="6">
        <v>11</v>
      </c>
      <c r="B181" s="8">
        <f>SUMIFS(LB[[#All],[Member Months]],LB[[#All],[Reporting Year]],2022,LB[[#All],[Line of Business Category Code]],A181)</f>
        <v>0</v>
      </c>
      <c r="C181" s="8">
        <f>SUMIFS(LB[[#All],[Member Months]],LB[[#All],[Reporting Year]],2023,LB[[#All],[Line of Business Category Code]],A181)</f>
        <v>0</v>
      </c>
      <c r="D181"/>
      <c r="E181"/>
      <c r="F181"/>
      <c r="G181"/>
      <c r="H181"/>
      <c r="I181"/>
      <c r="J181"/>
      <c r="K181"/>
      <c r="L181"/>
      <c r="M181"/>
      <c r="N181"/>
      <c r="O181"/>
      <c r="P181"/>
      <c r="Q181"/>
      <c r="R181"/>
      <c r="S181"/>
      <c r="T181"/>
      <c r="U181"/>
      <c r="V181"/>
      <c r="W181"/>
      <c r="X181"/>
      <c r="Y181"/>
      <c r="Z181"/>
      <c r="AA181"/>
      <c r="AB181"/>
      <c r="AC181"/>
    </row>
    <row r="182" spans="1:29" x14ac:dyDescent="0.25">
      <c r="A182" s="1"/>
      <c r="B182" s="115"/>
      <c r="C182" s="115"/>
      <c r="D182"/>
      <c r="E182"/>
      <c r="F182"/>
      <c r="G182"/>
      <c r="H182"/>
      <c r="I182"/>
      <c r="J182"/>
      <c r="K182"/>
      <c r="L182"/>
      <c r="M182"/>
      <c r="N182"/>
      <c r="O182"/>
      <c r="P182"/>
      <c r="Q182"/>
      <c r="R182"/>
      <c r="S182"/>
      <c r="T182"/>
      <c r="U182"/>
      <c r="V182"/>
      <c r="W182"/>
      <c r="X182"/>
      <c r="Y182"/>
      <c r="Z182"/>
      <c r="AA182"/>
      <c r="AB182"/>
      <c r="AC182"/>
    </row>
    <row r="183" spans="1:29" x14ac:dyDescent="0.25">
      <c r="A183"/>
      <c r="B183"/>
      <c r="C183"/>
      <c r="D183"/>
      <c r="E183"/>
      <c r="F183"/>
      <c r="G183"/>
      <c r="H183"/>
      <c r="I183"/>
      <c r="J183"/>
      <c r="K183"/>
      <c r="L183"/>
      <c r="M183"/>
      <c r="N183"/>
      <c r="O183"/>
      <c r="P183"/>
      <c r="Q183"/>
      <c r="R183"/>
      <c r="S183"/>
      <c r="T183"/>
      <c r="U183"/>
      <c r="V183"/>
      <c r="W183"/>
      <c r="X183"/>
      <c r="Y183"/>
      <c r="Z183"/>
      <c r="AA183"/>
      <c r="AB183"/>
      <c r="AC183"/>
    </row>
    <row r="184" spans="1:29" x14ac:dyDescent="0.25">
      <c r="A184" s="3" t="s">
        <v>475</v>
      </c>
      <c r="B184"/>
      <c r="C184"/>
      <c r="D184"/>
      <c r="E184"/>
      <c r="F184"/>
      <c r="G184"/>
      <c r="H184"/>
      <c r="I184"/>
      <c r="J184"/>
      <c r="K184"/>
      <c r="L184"/>
      <c r="M184"/>
      <c r="N184"/>
      <c r="O184"/>
      <c r="P184"/>
      <c r="Q184"/>
      <c r="R184"/>
      <c r="S184"/>
      <c r="T184"/>
      <c r="U184"/>
      <c r="V184"/>
      <c r="W184"/>
      <c r="X184"/>
      <c r="Y184"/>
      <c r="Z184"/>
      <c r="AA184"/>
      <c r="AB184"/>
      <c r="AC184"/>
    </row>
    <row r="185" spans="1:29" x14ac:dyDescent="0.25">
      <c r="A185" s="355" t="s">
        <v>476</v>
      </c>
      <c r="B185" s="355"/>
      <c r="C185" s="355"/>
      <c r="D185" s="355"/>
      <c r="E185" s="355"/>
      <c r="F185" s="355"/>
      <c r="G185" s="355"/>
      <c r="H185" s="355"/>
      <c r="I185" s="355"/>
      <c r="J185" s="291"/>
      <c r="K185" s="291"/>
      <c r="L185" s="291"/>
      <c r="M185" s="291"/>
      <c r="N185" s="291"/>
      <c r="O185" s="291"/>
      <c r="P185" s="291"/>
      <c r="Q185" s="291"/>
      <c r="R185" s="291"/>
      <c r="S185" s="291"/>
      <c r="T185" s="291"/>
      <c r="U185" s="291"/>
      <c r="V185" s="291"/>
      <c r="W185" s="291"/>
      <c r="X185" s="291"/>
      <c r="Y185" s="291"/>
      <c r="Z185"/>
      <c r="AA185"/>
      <c r="AB185"/>
      <c r="AC185"/>
    </row>
    <row r="186" spans="1:29" ht="15.75" thickBot="1" x14ac:dyDescent="0.3">
      <c r="A186" s="655" t="s">
        <v>61</v>
      </c>
      <c r="B186" s="652">
        <v>2022</v>
      </c>
      <c r="C186" s="653"/>
      <c r="D186" s="653"/>
      <c r="E186" s="653"/>
      <c r="F186" s="653"/>
      <c r="G186" s="653"/>
      <c r="H186" s="653"/>
      <c r="I186" s="653"/>
      <c r="J186" s="653"/>
      <c r="K186" s="653"/>
      <c r="L186" s="653"/>
      <c r="M186" s="654"/>
      <c r="N186" s="646">
        <v>2023</v>
      </c>
      <c r="O186" s="647"/>
      <c r="P186" s="647"/>
      <c r="Q186" s="647"/>
      <c r="R186" s="647"/>
      <c r="S186" s="647"/>
      <c r="T186" s="647"/>
      <c r="U186" s="647"/>
      <c r="V186" s="647"/>
      <c r="W186" s="647"/>
      <c r="X186" s="647"/>
      <c r="Y186" s="647"/>
      <c r="Z186"/>
      <c r="AA186"/>
      <c r="AB186"/>
      <c r="AC186"/>
    </row>
    <row r="187" spans="1:29" ht="57.75" customHeight="1" x14ac:dyDescent="0.25">
      <c r="A187" s="656"/>
      <c r="B187" s="80" t="s">
        <v>352</v>
      </c>
      <c r="C187" s="81" t="s">
        <v>353</v>
      </c>
      <c r="D187" s="78" t="s">
        <v>354</v>
      </c>
      <c r="E187" s="78" t="s">
        <v>355</v>
      </c>
      <c r="F187" s="81" t="s">
        <v>477</v>
      </c>
      <c r="G187" s="81" t="s">
        <v>478</v>
      </c>
      <c r="H187" s="78" t="s">
        <v>354</v>
      </c>
      <c r="I187" s="78" t="s">
        <v>355</v>
      </c>
      <c r="J187" s="81" t="s">
        <v>479</v>
      </c>
      <c r="K187" s="81" t="s">
        <v>480</v>
      </c>
      <c r="L187" s="78" t="s">
        <v>354</v>
      </c>
      <c r="M187" s="78" t="s">
        <v>355</v>
      </c>
      <c r="N187" s="83" t="s">
        <v>352</v>
      </c>
      <c r="O187" s="84" t="s">
        <v>353</v>
      </c>
      <c r="P187" s="85" t="s">
        <v>354</v>
      </c>
      <c r="Q187" s="85" t="s">
        <v>355</v>
      </c>
      <c r="R187" s="83" t="s">
        <v>477</v>
      </c>
      <c r="S187" s="84" t="s">
        <v>478</v>
      </c>
      <c r="T187" s="85" t="s">
        <v>354</v>
      </c>
      <c r="U187" s="85" t="s">
        <v>355</v>
      </c>
      <c r="V187" s="83" t="s">
        <v>479</v>
      </c>
      <c r="W187" s="84" t="s">
        <v>480</v>
      </c>
      <c r="X187" s="85" t="s">
        <v>354</v>
      </c>
      <c r="Y187" s="85" t="s">
        <v>355</v>
      </c>
      <c r="Z187"/>
      <c r="AA187"/>
      <c r="AB187"/>
      <c r="AC187"/>
    </row>
    <row r="188" spans="1:29" x14ac:dyDescent="0.25">
      <c r="A188" s="54">
        <v>1</v>
      </c>
      <c r="B188" s="294">
        <f t="shared" ref="B188:B195" si="64">B111</f>
        <v>0</v>
      </c>
      <c r="C188" s="295">
        <f t="shared" ref="C188:C195" si="65">B124</f>
        <v>0</v>
      </c>
      <c r="D188" s="296" t="str">
        <f t="shared" ref="D188:D195" si="66">IF(((ABS(B188-C188))&lt;10),"Yes", "No")</f>
        <v>Yes</v>
      </c>
      <c r="E188" s="295">
        <f t="shared" ref="E188:E195" si="67">ABS(B188-C188)</f>
        <v>0</v>
      </c>
      <c r="F188" s="413">
        <f>P111</f>
        <v>0</v>
      </c>
      <c r="G188" s="413">
        <f>N124</f>
        <v>0</v>
      </c>
      <c r="H188" s="296" t="str">
        <f t="shared" ref="H188:H195" si="68">IF(((ABS(F188-G188))&lt;10),"Yes", "No")</f>
        <v>Yes</v>
      </c>
      <c r="I188" s="295">
        <f t="shared" ref="I188:I194" si="69">ABS(F188-G188)</f>
        <v>0</v>
      </c>
      <c r="J188" s="414">
        <f>D111</f>
        <v>0</v>
      </c>
      <c r="K188" s="414">
        <f>D124</f>
        <v>0</v>
      </c>
      <c r="L188" s="296" t="str">
        <f t="shared" ref="L188:L195" si="70">IF(((ABS(J188-K188))&lt;10),"Yes", "No")</f>
        <v>Yes</v>
      </c>
      <c r="M188" s="295">
        <f t="shared" ref="M188:M195" si="71">ABS(J188-K188)</f>
        <v>0</v>
      </c>
      <c r="N188" s="294">
        <f>C111</f>
        <v>0</v>
      </c>
      <c r="O188" s="295">
        <f>C124</f>
        <v>0</v>
      </c>
      <c r="P188" s="296" t="str">
        <f t="shared" ref="P188:P195" si="72">IF(((ABS(N188-O188))&lt;10),"Yes", "No")</f>
        <v>Yes</v>
      </c>
      <c r="Q188" s="295">
        <f>ABS(N188-O188)</f>
        <v>0</v>
      </c>
      <c r="R188" s="413">
        <f>Q111</f>
        <v>0</v>
      </c>
      <c r="S188" s="413">
        <f>O124</f>
        <v>0</v>
      </c>
      <c r="T188" s="296" t="str">
        <f t="shared" ref="T188:T195" si="73">IF(((ABS(R188-S188))&lt;10),"Yes", "No")</f>
        <v>Yes</v>
      </c>
      <c r="U188" s="295">
        <f>ABS(R188-S188)</f>
        <v>0</v>
      </c>
      <c r="V188" s="414">
        <f>E111</f>
        <v>0</v>
      </c>
      <c r="W188" s="414">
        <f>E124</f>
        <v>0</v>
      </c>
      <c r="X188" s="296" t="str">
        <f t="shared" ref="X188:X195" si="74">IF(((ABS(V188-W188))&lt;10),"Yes", "No")</f>
        <v>Yes</v>
      </c>
      <c r="Y188" s="295">
        <f>ABS(V188-W188)</f>
        <v>0</v>
      </c>
      <c r="Z188"/>
      <c r="AA188"/>
      <c r="AB188"/>
      <c r="AC188"/>
    </row>
    <row r="189" spans="1:29" x14ac:dyDescent="0.25">
      <c r="A189" s="54">
        <v>2</v>
      </c>
      <c r="B189" s="294">
        <f>B112</f>
        <v>0</v>
      </c>
      <c r="C189" s="295">
        <f t="shared" si="65"/>
        <v>0</v>
      </c>
      <c r="D189" s="296" t="str">
        <f>IF(((ABS(B189-C189))&lt;10),"Yes", "No")</f>
        <v>Yes</v>
      </c>
      <c r="E189" s="295">
        <f t="shared" si="67"/>
        <v>0</v>
      </c>
      <c r="F189" s="413">
        <f>P112</f>
        <v>0</v>
      </c>
      <c r="G189" s="413">
        <f t="shared" ref="G189:G195" si="75">N125</f>
        <v>0</v>
      </c>
      <c r="H189" s="296" t="str">
        <f t="shared" si="68"/>
        <v>Yes</v>
      </c>
      <c r="I189" s="295">
        <f t="shared" si="69"/>
        <v>0</v>
      </c>
      <c r="J189" s="414">
        <f t="shared" ref="J189:J195" si="76">D112</f>
        <v>0</v>
      </c>
      <c r="K189" s="414">
        <f t="shared" ref="K189:K195" si="77">D125</f>
        <v>0</v>
      </c>
      <c r="L189" s="296" t="str">
        <f t="shared" si="70"/>
        <v>Yes</v>
      </c>
      <c r="M189" s="295">
        <f t="shared" si="71"/>
        <v>0</v>
      </c>
      <c r="N189" s="294">
        <f t="shared" ref="N189:N195" si="78">C112</f>
        <v>0</v>
      </c>
      <c r="O189" s="295">
        <f t="shared" ref="O189:O195" si="79">C125</f>
        <v>0</v>
      </c>
      <c r="P189" s="296" t="str">
        <f t="shared" si="72"/>
        <v>Yes</v>
      </c>
      <c r="Q189" s="295">
        <f>ABS(N189-O189)</f>
        <v>0</v>
      </c>
      <c r="R189" s="413">
        <f t="shared" ref="R189:R195" si="80">Q112</f>
        <v>0</v>
      </c>
      <c r="S189" s="413">
        <f t="shared" ref="S189:S195" si="81">O125</f>
        <v>0</v>
      </c>
      <c r="T189" s="296" t="str">
        <f t="shared" si="73"/>
        <v>Yes</v>
      </c>
      <c r="U189" s="295">
        <f>ABS(R189-S189)</f>
        <v>0</v>
      </c>
      <c r="V189" s="414">
        <f>E112</f>
        <v>0</v>
      </c>
      <c r="W189" s="414">
        <f t="shared" ref="W189:W195" si="82">E125</f>
        <v>0</v>
      </c>
      <c r="X189" s="296" t="str">
        <f t="shared" si="74"/>
        <v>Yes</v>
      </c>
      <c r="Y189" s="295">
        <f>ABS(V189-W189)</f>
        <v>0</v>
      </c>
      <c r="Z189"/>
      <c r="AA189"/>
      <c r="AB189"/>
      <c r="AC189"/>
    </row>
    <row r="190" spans="1:29" x14ac:dyDescent="0.25">
      <c r="A190" s="54">
        <v>3</v>
      </c>
      <c r="B190" s="294">
        <f t="shared" si="64"/>
        <v>0</v>
      </c>
      <c r="C190" s="295">
        <f t="shared" si="65"/>
        <v>0</v>
      </c>
      <c r="D190" s="296" t="str">
        <f t="shared" si="66"/>
        <v>Yes</v>
      </c>
      <c r="E190" s="295">
        <f t="shared" si="67"/>
        <v>0</v>
      </c>
      <c r="F190" s="413">
        <f t="shared" ref="F190:F195" si="83">P113</f>
        <v>0</v>
      </c>
      <c r="G190" s="413">
        <f t="shared" si="75"/>
        <v>0</v>
      </c>
      <c r="H190" s="296" t="str">
        <f t="shared" si="68"/>
        <v>Yes</v>
      </c>
      <c r="I190" s="295">
        <f t="shared" si="69"/>
        <v>0</v>
      </c>
      <c r="J190" s="414">
        <f t="shared" si="76"/>
        <v>0</v>
      </c>
      <c r="K190" s="414">
        <f t="shared" si="77"/>
        <v>0</v>
      </c>
      <c r="L190" s="296" t="str">
        <f t="shared" si="70"/>
        <v>Yes</v>
      </c>
      <c r="M190" s="295">
        <f t="shared" si="71"/>
        <v>0</v>
      </c>
      <c r="N190" s="294">
        <f t="shared" si="78"/>
        <v>0</v>
      </c>
      <c r="O190" s="295">
        <f t="shared" si="79"/>
        <v>0</v>
      </c>
      <c r="P190" s="296" t="str">
        <f t="shared" si="72"/>
        <v>Yes</v>
      </c>
      <c r="Q190" s="295">
        <f t="shared" ref="Q190:Q195" si="84">ABS(N190-O190)</f>
        <v>0</v>
      </c>
      <c r="R190" s="413">
        <f t="shared" si="80"/>
        <v>0</v>
      </c>
      <c r="S190" s="413">
        <f t="shared" si="81"/>
        <v>0</v>
      </c>
      <c r="T190" s="296" t="str">
        <f t="shared" si="73"/>
        <v>Yes</v>
      </c>
      <c r="U190" s="295">
        <f t="shared" ref="U190:U191" si="85">ABS(R190-S190)</f>
        <v>0</v>
      </c>
      <c r="V190" s="414">
        <f t="shared" ref="V190:V195" si="86">E113</f>
        <v>0</v>
      </c>
      <c r="W190" s="414">
        <f t="shared" si="82"/>
        <v>0</v>
      </c>
      <c r="X190" s="296" t="str">
        <f t="shared" si="74"/>
        <v>Yes</v>
      </c>
      <c r="Y190" s="295">
        <f t="shared" ref="Y190:Y191" si="87">ABS(V190-W190)</f>
        <v>0</v>
      </c>
      <c r="Z190"/>
      <c r="AA190"/>
      <c r="AB190"/>
      <c r="AC190"/>
    </row>
    <row r="191" spans="1:29" x14ac:dyDescent="0.25">
      <c r="A191" s="54">
        <v>4</v>
      </c>
      <c r="B191" s="294">
        <f t="shared" si="64"/>
        <v>0</v>
      </c>
      <c r="C191" s="295">
        <f t="shared" si="65"/>
        <v>0</v>
      </c>
      <c r="D191" s="296" t="str">
        <f t="shared" si="66"/>
        <v>Yes</v>
      </c>
      <c r="E191" s="295">
        <f t="shared" si="67"/>
        <v>0</v>
      </c>
      <c r="F191" s="413">
        <f t="shared" si="83"/>
        <v>0</v>
      </c>
      <c r="G191" s="413">
        <f>N127</f>
        <v>0</v>
      </c>
      <c r="H191" s="296" t="str">
        <f t="shared" si="68"/>
        <v>Yes</v>
      </c>
      <c r="I191" s="295">
        <f t="shared" si="69"/>
        <v>0</v>
      </c>
      <c r="J191" s="414">
        <f t="shared" si="76"/>
        <v>0</v>
      </c>
      <c r="K191" s="414">
        <f t="shared" si="77"/>
        <v>0</v>
      </c>
      <c r="L191" s="296" t="str">
        <f t="shared" si="70"/>
        <v>Yes</v>
      </c>
      <c r="M191" s="295">
        <f>ABS(J191-K191)</f>
        <v>0</v>
      </c>
      <c r="N191" s="294">
        <f t="shared" si="78"/>
        <v>0</v>
      </c>
      <c r="O191" s="295">
        <f t="shared" si="79"/>
        <v>0</v>
      </c>
      <c r="P191" s="296" t="str">
        <f t="shared" si="72"/>
        <v>Yes</v>
      </c>
      <c r="Q191" s="295">
        <f t="shared" si="84"/>
        <v>0</v>
      </c>
      <c r="R191" s="413">
        <f t="shared" si="80"/>
        <v>0</v>
      </c>
      <c r="S191" s="413">
        <f t="shared" si="81"/>
        <v>0</v>
      </c>
      <c r="T191" s="296" t="str">
        <f t="shared" si="73"/>
        <v>Yes</v>
      </c>
      <c r="U191" s="295">
        <f t="shared" si="85"/>
        <v>0</v>
      </c>
      <c r="V191" s="414">
        <f t="shared" si="86"/>
        <v>0</v>
      </c>
      <c r="W191" s="414">
        <f t="shared" si="82"/>
        <v>0</v>
      </c>
      <c r="X191" s="296" t="str">
        <f t="shared" si="74"/>
        <v>Yes</v>
      </c>
      <c r="Y191" s="295">
        <f t="shared" si="87"/>
        <v>0</v>
      </c>
      <c r="Z191"/>
      <c r="AA191"/>
      <c r="AB191"/>
      <c r="AC191"/>
    </row>
    <row r="192" spans="1:29" x14ac:dyDescent="0.25">
      <c r="A192" s="54">
        <v>5</v>
      </c>
      <c r="B192" s="294">
        <f t="shared" si="64"/>
        <v>0</v>
      </c>
      <c r="C192" s="295">
        <f t="shared" si="65"/>
        <v>0</v>
      </c>
      <c r="D192" s="296" t="str">
        <f t="shared" si="66"/>
        <v>Yes</v>
      </c>
      <c r="E192" s="295">
        <f>ABS(B192-C192)</f>
        <v>0</v>
      </c>
      <c r="F192" s="413">
        <f>P115</f>
        <v>0</v>
      </c>
      <c r="G192" s="413">
        <f t="shared" si="75"/>
        <v>0</v>
      </c>
      <c r="H192" s="296" t="str">
        <f t="shared" si="68"/>
        <v>Yes</v>
      </c>
      <c r="I192" s="295">
        <f>ABS(F192-G192)</f>
        <v>0</v>
      </c>
      <c r="J192" s="414">
        <f t="shared" si="76"/>
        <v>0</v>
      </c>
      <c r="K192" s="414">
        <f t="shared" si="77"/>
        <v>0</v>
      </c>
      <c r="L192" s="296" t="str">
        <f t="shared" si="70"/>
        <v>Yes</v>
      </c>
      <c r="M192" s="295">
        <f t="shared" si="71"/>
        <v>0</v>
      </c>
      <c r="N192" s="294">
        <f t="shared" si="78"/>
        <v>0</v>
      </c>
      <c r="O192" s="295">
        <f t="shared" si="79"/>
        <v>0</v>
      </c>
      <c r="P192" s="296" t="str">
        <f t="shared" si="72"/>
        <v>Yes</v>
      </c>
      <c r="Q192" s="295">
        <f>ABS(N192-O192)</f>
        <v>0</v>
      </c>
      <c r="R192" s="413">
        <f t="shared" si="80"/>
        <v>0</v>
      </c>
      <c r="S192" s="413">
        <f t="shared" si="81"/>
        <v>0</v>
      </c>
      <c r="T192" s="296" t="str">
        <f t="shared" si="73"/>
        <v>Yes</v>
      </c>
      <c r="U192" s="295">
        <f>ABS(R192-S192)</f>
        <v>0</v>
      </c>
      <c r="V192" s="414">
        <f t="shared" si="86"/>
        <v>0</v>
      </c>
      <c r="W192" s="414">
        <f t="shared" si="82"/>
        <v>0</v>
      </c>
      <c r="X192" s="296" t="str">
        <f t="shared" si="74"/>
        <v>Yes</v>
      </c>
      <c r="Y192" s="295">
        <f>ABS(V192-W192)</f>
        <v>0</v>
      </c>
      <c r="Z192"/>
      <c r="AA192"/>
      <c r="AB192"/>
      <c r="AC192"/>
    </row>
    <row r="193" spans="1:33" x14ac:dyDescent="0.25">
      <c r="A193" s="54">
        <v>6</v>
      </c>
      <c r="B193" s="294">
        <f t="shared" si="64"/>
        <v>0</v>
      </c>
      <c r="C193" s="295">
        <f t="shared" si="65"/>
        <v>0</v>
      </c>
      <c r="D193" s="296" t="str">
        <f t="shared" si="66"/>
        <v>Yes</v>
      </c>
      <c r="E193" s="295">
        <f t="shared" si="67"/>
        <v>0</v>
      </c>
      <c r="F193" s="413">
        <f t="shared" si="83"/>
        <v>0</v>
      </c>
      <c r="G193" s="413">
        <f>N129</f>
        <v>0</v>
      </c>
      <c r="H193" s="296" t="str">
        <f t="shared" si="68"/>
        <v>Yes</v>
      </c>
      <c r="I193" s="295">
        <f t="shared" si="69"/>
        <v>0</v>
      </c>
      <c r="J193" s="414">
        <f t="shared" si="76"/>
        <v>0</v>
      </c>
      <c r="K193" s="414">
        <f t="shared" si="77"/>
        <v>0</v>
      </c>
      <c r="L193" s="296" t="str">
        <f t="shared" si="70"/>
        <v>Yes</v>
      </c>
      <c r="M193" s="295">
        <f t="shared" si="71"/>
        <v>0</v>
      </c>
      <c r="N193" s="294">
        <f t="shared" si="78"/>
        <v>0</v>
      </c>
      <c r="O193" s="295">
        <f t="shared" si="79"/>
        <v>0</v>
      </c>
      <c r="P193" s="296" t="str">
        <f t="shared" si="72"/>
        <v>Yes</v>
      </c>
      <c r="Q193" s="295">
        <f>ABS(N193-O193)</f>
        <v>0</v>
      </c>
      <c r="R193" s="413">
        <f t="shared" si="80"/>
        <v>0</v>
      </c>
      <c r="S193" s="413">
        <f t="shared" si="81"/>
        <v>0</v>
      </c>
      <c r="T193" s="296" t="str">
        <f t="shared" si="73"/>
        <v>Yes</v>
      </c>
      <c r="U193" s="295">
        <f>ABS(R193-S193)</f>
        <v>0</v>
      </c>
      <c r="V193" s="414">
        <f t="shared" si="86"/>
        <v>0</v>
      </c>
      <c r="W193" s="414">
        <f t="shared" si="82"/>
        <v>0</v>
      </c>
      <c r="X193" s="296" t="str">
        <f t="shared" si="74"/>
        <v>Yes</v>
      </c>
      <c r="Y193" s="295">
        <f>ABS(V193-W193)</f>
        <v>0</v>
      </c>
      <c r="Z193"/>
      <c r="AA193"/>
      <c r="AB193"/>
      <c r="AC193"/>
    </row>
    <row r="194" spans="1:33" x14ac:dyDescent="0.25">
      <c r="A194" s="54">
        <v>7</v>
      </c>
      <c r="B194" s="411">
        <f t="shared" si="64"/>
        <v>0</v>
      </c>
      <c r="C194" s="412">
        <f>B130</f>
        <v>0</v>
      </c>
      <c r="D194" s="296" t="str">
        <f t="shared" si="66"/>
        <v>Yes</v>
      </c>
      <c r="E194" s="295">
        <f t="shared" si="67"/>
        <v>0</v>
      </c>
      <c r="F194" s="413">
        <f t="shared" si="83"/>
        <v>0</v>
      </c>
      <c r="G194" s="413">
        <f t="shared" si="75"/>
        <v>0</v>
      </c>
      <c r="H194" s="296" t="str">
        <f t="shared" si="68"/>
        <v>Yes</v>
      </c>
      <c r="I194" s="295">
        <f t="shared" si="69"/>
        <v>0</v>
      </c>
      <c r="J194" s="414">
        <f t="shared" si="76"/>
        <v>0</v>
      </c>
      <c r="K194" s="414">
        <f t="shared" si="77"/>
        <v>0</v>
      </c>
      <c r="L194" s="296" t="str">
        <f t="shared" si="70"/>
        <v>Yes</v>
      </c>
      <c r="M194" s="412">
        <f t="shared" si="71"/>
        <v>0</v>
      </c>
      <c r="N194" s="294">
        <f t="shared" si="78"/>
        <v>0</v>
      </c>
      <c r="O194" s="295">
        <f t="shared" si="79"/>
        <v>0</v>
      </c>
      <c r="P194" s="296" t="str">
        <f t="shared" si="72"/>
        <v>Yes</v>
      </c>
      <c r="Q194" s="295">
        <f t="shared" si="84"/>
        <v>0</v>
      </c>
      <c r="R194" s="413">
        <f t="shared" si="80"/>
        <v>0</v>
      </c>
      <c r="S194" s="413">
        <f t="shared" si="81"/>
        <v>0</v>
      </c>
      <c r="T194" s="296" t="str">
        <f t="shared" si="73"/>
        <v>Yes</v>
      </c>
      <c r="U194" s="295">
        <f t="shared" ref="U194:U195" si="88">ABS(R194-S194)</f>
        <v>0</v>
      </c>
      <c r="V194" s="414">
        <f t="shared" si="86"/>
        <v>0</v>
      </c>
      <c r="W194" s="414">
        <f t="shared" si="82"/>
        <v>0</v>
      </c>
      <c r="X194" s="296" t="str">
        <f t="shared" si="74"/>
        <v>Yes</v>
      </c>
      <c r="Y194" s="295">
        <f t="shared" ref="Y194:Y195" si="89">ABS(V194-W194)</f>
        <v>0</v>
      </c>
      <c r="Z194"/>
      <c r="AA194"/>
      <c r="AB194"/>
      <c r="AC194"/>
    </row>
    <row r="195" spans="1:33" x14ac:dyDescent="0.25">
      <c r="A195" s="54">
        <v>8</v>
      </c>
      <c r="B195" s="294">
        <f t="shared" si="64"/>
        <v>0</v>
      </c>
      <c r="C195" s="295">
        <f t="shared" si="65"/>
        <v>0</v>
      </c>
      <c r="D195" s="296" t="str">
        <f t="shared" si="66"/>
        <v>Yes</v>
      </c>
      <c r="E195" s="295">
        <f t="shared" si="67"/>
        <v>0</v>
      </c>
      <c r="F195" s="413">
        <f t="shared" si="83"/>
        <v>0</v>
      </c>
      <c r="G195" s="413">
        <f t="shared" si="75"/>
        <v>0</v>
      </c>
      <c r="H195" s="296" t="str">
        <f t="shared" si="68"/>
        <v>Yes</v>
      </c>
      <c r="I195" s="295">
        <f>ABS(F195-G195)</f>
        <v>0</v>
      </c>
      <c r="J195" s="414">
        <f t="shared" si="76"/>
        <v>0</v>
      </c>
      <c r="K195" s="414">
        <f t="shared" si="77"/>
        <v>0</v>
      </c>
      <c r="L195" s="296" t="str">
        <f t="shared" si="70"/>
        <v>Yes</v>
      </c>
      <c r="M195" s="295">
        <f t="shared" si="71"/>
        <v>0</v>
      </c>
      <c r="N195" s="294">
        <f t="shared" si="78"/>
        <v>0</v>
      </c>
      <c r="O195" s="295">
        <f t="shared" si="79"/>
        <v>0</v>
      </c>
      <c r="P195" s="296" t="str">
        <f t="shared" si="72"/>
        <v>Yes</v>
      </c>
      <c r="Q195" s="295">
        <f t="shared" si="84"/>
        <v>0</v>
      </c>
      <c r="R195" s="413">
        <f t="shared" si="80"/>
        <v>0</v>
      </c>
      <c r="S195" s="413">
        <f t="shared" si="81"/>
        <v>0</v>
      </c>
      <c r="T195" s="296" t="str">
        <f t="shared" si="73"/>
        <v>Yes</v>
      </c>
      <c r="U195" s="295">
        <f t="shared" si="88"/>
        <v>0</v>
      </c>
      <c r="V195" s="414">
        <f t="shared" si="86"/>
        <v>0</v>
      </c>
      <c r="W195" s="414">
        <f t="shared" si="82"/>
        <v>0</v>
      </c>
      <c r="X195" s="296" t="str">
        <f t="shared" si="74"/>
        <v>Yes</v>
      </c>
      <c r="Y195" s="295">
        <f t="shared" si="89"/>
        <v>0</v>
      </c>
      <c r="Z195"/>
      <c r="AA195"/>
      <c r="AB195"/>
      <c r="AC195"/>
    </row>
    <row r="196" spans="1:33" x14ac:dyDescent="0.25">
      <c r="A196"/>
      <c r="B196"/>
      <c r="C196"/>
      <c r="D196"/>
      <c r="E196"/>
      <c r="F196"/>
      <c r="G196"/>
      <c r="H196"/>
      <c r="I196"/>
      <c r="J196"/>
      <c r="K196"/>
      <c r="L196"/>
      <c r="M196"/>
      <c r="N196"/>
      <c r="O196"/>
      <c r="P196"/>
      <c r="Q196"/>
      <c r="R196"/>
      <c r="S196"/>
      <c r="T196"/>
      <c r="U196"/>
      <c r="V196"/>
      <c r="W196"/>
      <c r="X196"/>
      <c r="Y196"/>
      <c r="Z196"/>
      <c r="AA196"/>
      <c r="AB196"/>
      <c r="AC196"/>
    </row>
    <row r="197" spans="1:33" x14ac:dyDescent="0.25">
      <c r="A197"/>
      <c r="B197"/>
      <c r="C197"/>
      <c r="D197"/>
      <c r="E197"/>
      <c r="F197"/>
      <c r="G197"/>
      <c r="H197"/>
      <c r="I197"/>
      <c r="J197"/>
      <c r="K197"/>
      <c r="L197"/>
      <c r="M197"/>
      <c r="N197"/>
      <c r="O197"/>
      <c r="P197"/>
      <c r="Q197"/>
      <c r="R197"/>
      <c r="S197"/>
      <c r="T197"/>
      <c r="U197"/>
      <c r="V197"/>
      <c r="W197"/>
      <c r="X197"/>
      <c r="Y197"/>
      <c r="Z197"/>
      <c r="AA197"/>
      <c r="AB197"/>
      <c r="AC197"/>
    </row>
    <row r="198" spans="1:33" x14ac:dyDescent="0.25">
      <c r="A198" s="3" t="s">
        <v>481</v>
      </c>
      <c r="B198"/>
      <c r="C198"/>
      <c r="D198"/>
      <c r="E198"/>
      <c r="F198"/>
      <c r="G198"/>
      <c r="H198"/>
      <c r="I198"/>
      <c r="J198"/>
      <c r="K198"/>
      <c r="L198"/>
      <c r="M198"/>
      <c r="N198"/>
      <c r="O198"/>
      <c r="P198"/>
      <c r="Q198"/>
      <c r="R198"/>
      <c r="S198"/>
      <c r="T198"/>
      <c r="U198"/>
      <c r="V198"/>
      <c r="W198"/>
      <c r="X198"/>
      <c r="Y198"/>
      <c r="Z198"/>
      <c r="AA198"/>
      <c r="AB198"/>
      <c r="AC198"/>
      <c r="AG198" s="11" t="s">
        <v>371</v>
      </c>
    </row>
    <row r="199" spans="1:33" x14ac:dyDescent="0.25">
      <c r="A199" s="432"/>
      <c r="B199" s="653">
        <v>2022</v>
      </c>
      <c r="C199" s="653"/>
      <c r="D199" s="653"/>
      <c r="E199" s="653"/>
      <c r="F199" s="653"/>
      <c r="G199" s="653"/>
      <c r="H199" s="688">
        <v>2023</v>
      </c>
      <c r="I199" s="688"/>
      <c r="J199" s="688"/>
      <c r="K199" s="688"/>
      <c r="L199" s="688"/>
      <c r="M199" s="689"/>
      <c r="N199"/>
      <c r="O199"/>
      <c r="P199"/>
      <c r="Q199"/>
      <c r="R199"/>
      <c r="S199"/>
      <c r="T199"/>
      <c r="U199"/>
      <c r="V199"/>
      <c r="W199"/>
      <c r="X199"/>
      <c r="Y199"/>
      <c r="Z199"/>
      <c r="AA199"/>
      <c r="AB199"/>
      <c r="AC199"/>
    </row>
    <row r="200" spans="1:33" ht="45" x14ac:dyDescent="0.25">
      <c r="A200" s="431" t="s">
        <v>345</v>
      </c>
      <c r="B200" s="429" t="s">
        <v>482</v>
      </c>
      <c r="C200" s="367" t="s">
        <v>483</v>
      </c>
      <c r="D200" s="369" t="s">
        <v>484</v>
      </c>
      <c r="E200" s="367" t="s">
        <v>485</v>
      </c>
      <c r="F200" s="367" t="s">
        <v>486</v>
      </c>
      <c r="G200" s="369" t="s">
        <v>487</v>
      </c>
      <c r="H200" s="368" t="s">
        <v>488</v>
      </c>
      <c r="I200" s="368" t="s">
        <v>489</v>
      </c>
      <c r="J200" s="370" t="s">
        <v>490</v>
      </c>
      <c r="K200" s="368" t="s">
        <v>491</v>
      </c>
      <c r="L200" s="368" t="s">
        <v>492</v>
      </c>
      <c r="M200" s="371" t="s">
        <v>493</v>
      </c>
      <c r="N200"/>
      <c r="O200"/>
      <c r="P200"/>
      <c r="Q200"/>
      <c r="R200"/>
      <c r="S200"/>
      <c r="T200"/>
      <c r="U200"/>
      <c r="V200"/>
      <c r="W200"/>
      <c r="X200"/>
      <c r="Y200"/>
      <c r="Z200"/>
      <c r="AA200"/>
      <c r="AB200"/>
      <c r="AC200"/>
    </row>
    <row r="201" spans="1:33" x14ac:dyDescent="0.25">
      <c r="A201" s="430">
        <f>'2. Total Medical Expenses'!A12</f>
        <v>0</v>
      </c>
      <c r="B201" s="372">
        <f>IFERROR(B18,"NA")</f>
        <v>0</v>
      </c>
      <c r="C201" s="372" t="str" cm="1">
        <f t="array" ref="C201">IFERROR(INDEX(MA_2022[Enrolled_Totals],MATCH(PAD_40[Carrier Inputted Insurer Code (Field ID TM01)],MA_2022[INSURER_CODE],0)),"-")</f>
        <v>-</v>
      </c>
      <c r="D201" s="420" t="str">
        <f>IFERROR(ABS(PAD_40[[#This Row],[TME Tab Member Months for MA (Insurance Category Codes 1+5+8)]]-PAD_40[[#This Row],[CMS Member Months for MA]]),"NA")</f>
        <v>NA</v>
      </c>
      <c r="E201" s="372">
        <f>IFERROR((B22/12),"NA")</f>
        <v>0</v>
      </c>
      <c r="F201" s="372" t="str" cm="1">
        <f t="array" ref="F201">IFERROR(INDEX(MC_2022[Enrolled_Totals],MATCH(PAD_40[Carrier Inputted Insurer Code (Field ID TM01)],MC_2022[INSURER_CODE],0)),"-")</f>
        <v>-</v>
      </c>
      <c r="G201" s="420" t="str">
        <f>IFERROR(ABS(PAD_40[[#This Row],[TME Tab Member Count (Member Months Divided by 12) for Medicaid MCO (Insurance Category Codes 2+6)]]-PAD_40[[#This Row],[CMS Member Count for Medicaid MCO]]),"NA")</f>
        <v>NA</v>
      </c>
      <c r="H201" s="372">
        <f>IFERROR(I18,"NA")</f>
        <v>0</v>
      </c>
      <c r="I201" s="372" t="str" cm="1">
        <f t="array" ref="I201">IFERROR(INDEX(MA_2023[Enrolled_Totals],MATCH(PAD_40[Carrier Inputted Insurer Code (Field ID TM01)],MA_2023[INSURER_CODE],0)),"-")</f>
        <v>-</v>
      </c>
      <c r="J201" s="420" t="str">
        <f>IFERROR(ABS(PAD_40[[#This Row],[TME Tab Member Months for MA (Insurance Category Codes 1+5+8) ]]-PAD_40[[#This Row],[CMS Member Months for MA ]]),"NA")</f>
        <v>NA</v>
      </c>
      <c r="K201" s="372">
        <f>IFERROR((I22/12),"NA")</f>
        <v>0</v>
      </c>
      <c r="L201" s="372" t="str" cm="1">
        <f t="array" ref="L201">IFERROR(INDEX(MC_2023[Enrolled_Totals],MATCH(PAD_40[Carrier Inputted Insurer Code (Field ID TM01)],MC_2023[INSURER_CODE],0)),"-")</f>
        <v>-</v>
      </c>
      <c r="M201" s="421" t="str">
        <f>IFERROR(ABS(PAD_40[[#This Row],[TME Tab Member Count (Member Months Divided by 12) for Medicaid MCO (Insurance Category Codes 2+6) ]]-PAD_40[[#This Row],[CMS Member Count for Medicaid MCO ]]),"NA")</f>
        <v>NA</v>
      </c>
      <c r="N201"/>
      <c r="O201"/>
      <c r="P201"/>
      <c r="Q201"/>
      <c r="R201"/>
      <c r="S201"/>
      <c r="T201"/>
      <c r="U201"/>
      <c r="V201"/>
      <c r="W201"/>
      <c r="X201"/>
      <c r="Y201"/>
      <c r="Z201"/>
      <c r="AA201"/>
      <c r="AB201"/>
      <c r="AC201"/>
    </row>
    <row r="202" spans="1:33" ht="15" customHeight="1" x14ac:dyDescent="0.25">
      <c r="A202" s="661" t="s">
        <v>494</v>
      </c>
      <c r="B202" s="661"/>
      <c r="C202" s="661"/>
      <c r="D202" s="661"/>
      <c r="E202" s="661"/>
      <c r="F202" s="661"/>
      <c r="G202" s="661"/>
      <c r="H202" s="661"/>
      <c r="I202" s="661"/>
      <c r="J202" s="661"/>
      <c r="K202" s="661"/>
      <c r="L202" s="661"/>
      <c r="M202" s="661"/>
      <c r="N202"/>
      <c r="O202"/>
      <c r="P202"/>
      <c r="Q202"/>
      <c r="R202"/>
      <c r="S202"/>
      <c r="T202"/>
      <c r="U202"/>
      <c r="V202"/>
      <c r="W202"/>
      <c r="X202"/>
      <c r="Y202"/>
      <c r="Z202"/>
      <c r="AA202"/>
      <c r="AB202"/>
      <c r="AC202"/>
    </row>
  </sheetData>
  <mergeCells count="86">
    <mergeCell ref="A28:AC28"/>
    <mergeCell ref="A6:D6"/>
    <mergeCell ref="A12:O12"/>
    <mergeCell ref="A13:A14"/>
    <mergeCell ref="B13:H13"/>
    <mergeCell ref="I13:O13"/>
    <mergeCell ref="A29:A30"/>
    <mergeCell ref="B29:O29"/>
    <mergeCell ref="P29:AC29"/>
    <mergeCell ref="A38:Q38"/>
    <mergeCell ref="A39:A40"/>
    <mergeCell ref="K39:S39"/>
    <mergeCell ref="B39:J39"/>
    <mergeCell ref="A81:E81"/>
    <mergeCell ref="A52:U52"/>
    <mergeCell ref="A53:U53"/>
    <mergeCell ref="A54:A55"/>
    <mergeCell ref="B54:K54"/>
    <mergeCell ref="L54:U54"/>
    <mergeCell ref="A69:G69"/>
    <mergeCell ref="A70:G70"/>
    <mergeCell ref="A71:A72"/>
    <mergeCell ref="B71:D71"/>
    <mergeCell ref="E71:G71"/>
    <mergeCell ref="A80:E80"/>
    <mergeCell ref="A82:A83"/>
    <mergeCell ref="B82:C82"/>
    <mergeCell ref="D82:E82"/>
    <mergeCell ref="A88:E88"/>
    <mergeCell ref="A92:A93"/>
    <mergeCell ref="B92:K92"/>
    <mergeCell ref="L92:U92"/>
    <mergeCell ref="A109:A110"/>
    <mergeCell ref="B110:C110"/>
    <mergeCell ref="D110:E110"/>
    <mergeCell ref="F110:G110"/>
    <mergeCell ref="H110:I110"/>
    <mergeCell ref="J110:K110"/>
    <mergeCell ref="L110:M110"/>
    <mergeCell ref="N110:O110"/>
    <mergeCell ref="P110:Q110"/>
    <mergeCell ref="A122:A123"/>
    <mergeCell ref="B123:C123"/>
    <mergeCell ref="D123:E123"/>
    <mergeCell ref="F123:G123"/>
    <mergeCell ref="H123:I123"/>
    <mergeCell ref="A135:A136"/>
    <mergeCell ref="B136:C136"/>
    <mergeCell ref="D136:E136"/>
    <mergeCell ref="F136:G136"/>
    <mergeCell ref="H136:I136"/>
    <mergeCell ref="D149:E149"/>
    <mergeCell ref="F149:G149"/>
    <mergeCell ref="H149:I149"/>
    <mergeCell ref="L123:M123"/>
    <mergeCell ref="N123:O123"/>
    <mergeCell ref="J136:K136"/>
    <mergeCell ref="L136:M136"/>
    <mergeCell ref="N136:O136"/>
    <mergeCell ref="J123:K123"/>
    <mergeCell ref="P136:Q136"/>
    <mergeCell ref="R136:S136"/>
    <mergeCell ref="T136:U136"/>
    <mergeCell ref="V136:W136"/>
    <mergeCell ref="X136:Y136"/>
    <mergeCell ref="A202:M202"/>
    <mergeCell ref="V149:W149"/>
    <mergeCell ref="X149:Y149"/>
    <mergeCell ref="A161:A162"/>
    <mergeCell ref="B162:C162"/>
    <mergeCell ref="D162:E162"/>
    <mergeCell ref="A169:A170"/>
    <mergeCell ref="B170:C170"/>
    <mergeCell ref="J149:K149"/>
    <mergeCell ref="L149:M149"/>
    <mergeCell ref="N149:O149"/>
    <mergeCell ref="P149:Q149"/>
    <mergeCell ref="R149:S149"/>
    <mergeCell ref="T149:U149"/>
    <mergeCell ref="A148:A149"/>
    <mergeCell ref="B149:C149"/>
    <mergeCell ref="A186:A187"/>
    <mergeCell ref="B186:M186"/>
    <mergeCell ref="N186:Y186"/>
    <mergeCell ref="B199:G199"/>
    <mergeCell ref="H199:M199"/>
  </mergeCells>
  <conditionalFormatting sqref="D15:D24 J41:J48 N41:N48 E41:E48">
    <cfRule type="cellIs" dxfId="471" priority="210" operator="equal">
      <formula>"Yes"</formula>
    </cfRule>
    <cfRule type="cellIs" dxfId="470" priority="211" operator="equal">
      <formula>"No"</formula>
    </cfRule>
  </conditionalFormatting>
  <conditionalFormatting sqref="G15:G24">
    <cfRule type="cellIs" dxfId="469" priority="212" operator="equal">
      <formula>"Yes"</formula>
    </cfRule>
    <cfRule type="cellIs" dxfId="468" priority="213" operator="equal">
      <formula>"No"</formula>
    </cfRule>
  </conditionalFormatting>
  <conditionalFormatting sqref="H15:H24">
    <cfRule type="cellIs" dxfId="467" priority="214" operator="equal">
      <formula>0</formula>
    </cfRule>
    <cfRule type="cellIs" dxfId="466" priority="215" operator="notEqual">
      <formula>0</formula>
    </cfRule>
  </conditionalFormatting>
  <conditionalFormatting sqref="K15:K24">
    <cfRule type="cellIs" dxfId="465" priority="216" operator="equal">
      <formula>"Yes"</formula>
    </cfRule>
    <cfRule type="cellIs" dxfId="464" priority="217" operator="equal">
      <formula>"No"</formula>
    </cfRule>
  </conditionalFormatting>
  <conditionalFormatting sqref="N15:N24">
    <cfRule type="cellIs" dxfId="463" priority="220" operator="equal">
      <formula>"Yes"</formula>
    </cfRule>
    <cfRule type="cellIs" dxfId="462" priority="221" operator="notEqual">
      <formula>0</formula>
    </cfRule>
  </conditionalFormatting>
  <conditionalFormatting sqref="L15:L24">
    <cfRule type="cellIs" dxfId="461" priority="218" operator="equal">
      <formula>0</formula>
    </cfRule>
    <cfRule type="cellIs" dxfId="460" priority="219" operator="notEqual">
      <formula>0</formula>
    </cfRule>
  </conditionalFormatting>
  <conditionalFormatting sqref="O15:O24">
    <cfRule type="cellIs" dxfId="459" priority="222" operator="equal">
      <formula>0</formula>
    </cfRule>
    <cfRule type="cellIs" dxfId="458" priority="223" operator="notEqual">
      <formula>0</formula>
    </cfRule>
  </conditionalFormatting>
  <conditionalFormatting sqref="D31:D33 G31:G33 K31:K33 N31:N33 R31:R33 U31:U33 Y31:Y33 AB31:AB33">
    <cfRule type="cellIs" dxfId="457" priority="224" operator="equal">
      <formula>"Yes"</formula>
    </cfRule>
    <cfRule type="cellIs" dxfId="456" priority="225" operator="equal">
      <formula>"No"</formula>
    </cfRule>
  </conditionalFormatting>
  <conditionalFormatting sqref="D41:D48 I41:I48 M41:M48 R41:R48">
    <cfRule type="cellIs" dxfId="455" priority="226" operator="equal">
      <formula>"Yes"</formula>
    </cfRule>
    <cfRule type="cellIs" dxfId="454" priority="227" operator="equal">
      <formula>"No"</formula>
    </cfRule>
  </conditionalFormatting>
  <conditionalFormatting sqref="B65:U65">
    <cfRule type="cellIs" dxfId="453" priority="209" operator="equal">
      <formula>"Yes"</formula>
    </cfRule>
    <cfRule type="cellIs" dxfId="452" priority="228" operator="equal">
      <formula>"No"</formula>
    </cfRule>
  </conditionalFormatting>
  <conditionalFormatting sqref="D109:E119">
    <cfRule type="expression" priority="208">
      <formula xml:space="preserve"> "NA"</formula>
    </cfRule>
  </conditionalFormatting>
  <conditionalFormatting sqref="F109:G119">
    <cfRule type="expression" priority="207">
      <formula xml:space="preserve"> "NA"</formula>
    </cfRule>
  </conditionalFormatting>
  <conditionalFormatting sqref="H109:I119">
    <cfRule type="expression" priority="206">
      <formula xml:space="preserve"> "NA"</formula>
    </cfRule>
  </conditionalFormatting>
  <conditionalFormatting sqref="J109:K119">
    <cfRule type="expression" priority="205">
      <formula xml:space="preserve"> "NA"</formula>
    </cfRule>
  </conditionalFormatting>
  <conditionalFormatting sqref="L109:M119">
    <cfRule type="expression" priority="204">
      <formula xml:space="preserve"> "NA"</formula>
    </cfRule>
  </conditionalFormatting>
  <conditionalFormatting sqref="N109:O119">
    <cfRule type="expression" priority="203">
      <formula xml:space="preserve"> "NA"</formula>
    </cfRule>
  </conditionalFormatting>
  <conditionalFormatting sqref="D122:E122 D124:E132">
    <cfRule type="expression" priority="202">
      <formula xml:space="preserve"> "NA"</formula>
    </cfRule>
  </conditionalFormatting>
  <conditionalFormatting sqref="F122:G122 F124:G132">
    <cfRule type="expression" priority="201">
      <formula xml:space="preserve"> "NA"</formula>
    </cfRule>
  </conditionalFormatting>
  <conditionalFormatting sqref="H122:I122 H124:I132">
    <cfRule type="expression" priority="200">
      <formula xml:space="preserve"> "NA"</formula>
    </cfRule>
  </conditionalFormatting>
  <conditionalFormatting sqref="D123:E123">
    <cfRule type="expression" priority="199">
      <formula xml:space="preserve"> "NA"</formula>
    </cfRule>
  </conditionalFormatting>
  <conditionalFormatting sqref="F123:G123">
    <cfRule type="expression" priority="198">
      <formula xml:space="preserve"> "NA"</formula>
    </cfRule>
  </conditionalFormatting>
  <conditionalFormatting sqref="H123:I123">
    <cfRule type="expression" priority="197">
      <formula xml:space="preserve"> "NA"</formula>
    </cfRule>
  </conditionalFormatting>
  <conditionalFormatting sqref="D161:E161 D163:E166">
    <cfRule type="expression" priority="196">
      <formula xml:space="preserve"> "NA"</formula>
    </cfRule>
  </conditionalFormatting>
  <conditionalFormatting sqref="D162:E162">
    <cfRule type="expression" priority="195">
      <formula xml:space="preserve"> "NA"</formula>
    </cfRule>
  </conditionalFormatting>
  <conditionalFormatting sqref="E31:E33">
    <cfRule type="expression" priority="194">
      <formula xml:space="preserve"> "#VALUE!"</formula>
    </cfRule>
  </conditionalFormatting>
  <conditionalFormatting sqref="B41:R48">
    <cfRule type="cellIs" dxfId="451" priority="193" operator="equal">
      <formula>"Equal"</formula>
    </cfRule>
  </conditionalFormatting>
  <conditionalFormatting sqref="C73:C76">
    <cfRule type="cellIs" dxfId="450" priority="191" operator="greaterThan">
      <formula>0.7</formula>
    </cfRule>
    <cfRule type="cellIs" dxfId="449" priority="192" operator="lessThan">
      <formula>0.4</formula>
    </cfRule>
  </conditionalFormatting>
  <conditionalFormatting sqref="J122:K132">
    <cfRule type="expression" priority="190">
      <formula xml:space="preserve"> "NA"</formula>
    </cfRule>
  </conditionalFormatting>
  <conditionalFormatting sqref="L122:M132">
    <cfRule type="expression" priority="189">
      <formula xml:space="preserve"> "NA"</formula>
    </cfRule>
  </conditionalFormatting>
  <conditionalFormatting sqref="N132:O132">
    <cfRule type="expression" priority="188">
      <formula xml:space="preserve"> "NA"</formula>
    </cfRule>
  </conditionalFormatting>
  <conditionalFormatting sqref="P132:Q132">
    <cfRule type="expression" priority="187">
      <formula xml:space="preserve"> "NA"</formula>
    </cfRule>
  </conditionalFormatting>
  <conditionalFormatting sqref="R132:U132">
    <cfRule type="expression" priority="186">
      <formula xml:space="preserve"> "NA"</formula>
    </cfRule>
  </conditionalFormatting>
  <conditionalFormatting sqref="V132:W132">
    <cfRule type="expression" priority="185">
      <formula xml:space="preserve"> "NA"</formula>
    </cfRule>
  </conditionalFormatting>
  <conditionalFormatting sqref="X132:Y132">
    <cfRule type="expression" priority="184">
      <formula xml:space="preserve"> "NA"</formula>
    </cfRule>
  </conditionalFormatting>
  <conditionalFormatting sqref="Z132:AA132">
    <cfRule type="expression" priority="183">
      <formula xml:space="preserve"> "NA"</formula>
    </cfRule>
  </conditionalFormatting>
  <conditionalFormatting sqref="AB132:AC132">
    <cfRule type="expression" priority="182">
      <formula xml:space="preserve"> "NA"</formula>
    </cfRule>
  </conditionalFormatting>
  <conditionalFormatting sqref="AD132:AE132">
    <cfRule type="expression" priority="181">
      <formula xml:space="preserve"> "NA"</formula>
    </cfRule>
  </conditionalFormatting>
  <conditionalFormatting sqref="A51:A52">
    <cfRule type="expression" priority="180">
      <formula xml:space="preserve"> "NA"</formula>
    </cfRule>
  </conditionalFormatting>
  <conditionalFormatting sqref="F73:F76">
    <cfRule type="cellIs" dxfId="448" priority="178" operator="greaterThan">
      <formula>0.7</formula>
    </cfRule>
    <cfRule type="cellIs" dxfId="447" priority="179" operator="lessThan">
      <formula>0.4</formula>
    </cfRule>
  </conditionalFormatting>
  <conditionalFormatting sqref="AF132:AG132">
    <cfRule type="expression" priority="177">
      <formula xml:space="preserve"> "NA"</formula>
    </cfRule>
  </conditionalFormatting>
  <conditionalFormatting sqref="AF132">
    <cfRule type="expression" priority="176">
      <formula xml:space="preserve"> "NA"</formula>
    </cfRule>
  </conditionalFormatting>
  <conditionalFormatting sqref="AG132">
    <cfRule type="expression" priority="175">
      <formula xml:space="preserve"> "NA"</formula>
    </cfRule>
  </conditionalFormatting>
  <conditionalFormatting sqref="AH132:AI132">
    <cfRule type="expression" priority="174">
      <formula xml:space="preserve"> "NA"</formula>
    </cfRule>
  </conditionalFormatting>
  <conditionalFormatting sqref="AJ132:AO132">
    <cfRule type="expression" priority="173">
      <formula xml:space="preserve"> "NA"</formula>
    </cfRule>
  </conditionalFormatting>
  <conditionalFormatting sqref="AP132:AQ132">
    <cfRule type="expression" priority="172">
      <formula xml:space="preserve"> "NA"</formula>
    </cfRule>
  </conditionalFormatting>
  <conditionalFormatting sqref="AR132:AS132">
    <cfRule type="expression" priority="171">
      <formula xml:space="preserve"> "NA"</formula>
    </cfRule>
  </conditionalFormatting>
  <conditionalFormatting sqref="AT132:AU132">
    <cfRule type="expression" priority="170">
      <formula xml:space="preserve"> "NA"</formula>
    </cfRule>
  </conditionalFormatting>
  <conditionalFormatting sqref="AV132:AW132">
    <cfRule type="expression" priority="169">
      <formula xml:space="preserve"> "NA"</formula>
    </cfRule>
  </conditionalFormatting>
  <conditionalFormatting sqref="AX132:AY132">
    <cfRule type="expression" priority="168">
      <formula xml:space="preserve"> "NA"</formula>
    </cfRule>
  </conditionalFormatting>
  <conditionalFormatting sqref="AL132:AO132">
    <cfRule type="expression" priority="167">
      <formula xml:space="preserve"> "NA"</formula>
    </cfRule>
  </conditionalFormatting>
  <conditionalFormatting sqref="T132">
    <cfRule type="expression" priority="166">
      <formula xml:space="preserve"> "NA"</formula>
    </cfRule>
  </conditionalFormatting>
  <conditionalFormatting sqref="U132">
    <cfRule type="expression" priority="165">
      <formula xml:space="preserve"> "NA"</formula>
    </cfRule>
  </conditionalFormatting>
  <conditionalFormatting sqref="B91:U91 A92:B92 Y77:XFD78 A77:H78 Q77:U78">
    <cfRule type="expression" priority="164">
      <formula xml:space="preserve"> "NA"</formula>
    </cfRule>
  </conditionalFormatting>
  <conditionalFormatting sqref="A91">
    <cfRule type="expression" priority="163">
      <formula xml:space="preserve"> "NA"</formula>
    </cfRule>
  </conditionalFormatting>
  <conditionalFormatting sqref="AD159:XFD159 A159:L159">
    <cfRule type="expression" priority="162">
      <formula xml:space="preserve"> "NA"</formula>
    </cfRule>
  </conditionalFormatting>
  <conditionalFormatting sqref="D158:E158">
    <cfRule type="expression" priority="161">
      <formula xml:space="preserve"> "NA"</formula>
    </cfRule>
  </conditionalFormatting>
  <conditionalFormatting sqref="F158:G158">
    <cfRule type="expression" priority="160">
      <formula xml:space="preserve"> "NA"</formula>
    </cfRule>
  </conditionalFormatting>
  <conditionalFormatting sqref="H158:I158">
    <cfRule type="expression" priority="159">
      <formula xml:space="preserve"> "NA"</formula>
    </cfRule>
  </conditionalFormatting>
  <conditionalFormatting sqref="J158:K158">
    <cfRule type="expression" priority="158">
      <formula xml:space="preserve"> "NA"</formula>
    </cfRule>
  </conditionalFormatting>
  <conditionalFormatting sqref="L158:M158">
    <cfRule type="expression" priority="157">
      <formula xml:space="preserve"> "NA"</formula>
    </cfRule>
  </conditionalFormatting>
  <conditionalFormatting sqref="F135:I137">
    <cfRule type="expression" priority="156">
      <formula xml:space="preserve"> "NA"</formula>
    </cfRule>
  </conditionalFormatting>
  <conditionalFormatting sqref="L135:M137">
    <cfRule type="expression" priority="155">
      <formula xml:space="preserve"> "NA"</formula>
    </cfRule>
  </conditionalFormatting>
  <conditionalFormatting sqref="N135:O137">
    <cfRule type="expression" priority="154">
      <formula xml:space="preserve"> "NA"</formula>
    </cfRule>
  </conditionalFormatting>
  <conditionalFormatting sqref="P135:Q137">
    <cfRule type="expression" priority="153">
      <formula xml:space="preserve"> "NA"</formula>
    </cfRule>
  </conditionalFormatting>
  <conditionalFormatting sqref="R135:S137">
    <cfRule type="expression" priority="152">
      <formula xml:space="preserve"> "NA"</formula>
    </cfRule>
  </conditionalFormatting>
  <conditionalFormatting sqref="T135:U137">
    <cfRule type="expression" priority="151">
      <formula xml:space="preserve"> "NA"</formula>
    </cfRule>
  </conditionalFormatting>
  <conditionalFormatting sqref="V135:W137">
    <cfRule type="expression" priority="150">
      <formula xml:space="preserve"> "NA"</formula>
    </cfRule>
  </conditionalFormatting>
  <conditionalFormatting sqref="R146:XFD146 A146:L146 A145:XFD145 A147:XFD147 AP148:XFD157">
    <cfRule type="expression" priority="149">
      <formula xml:space="preserve"> "NA"</formula>
    </cfRule>
  </conditionalFormatting>
  <conditionalFormatting sqref="D145:E145">
    <cfRule type="expression" priority="148">
      <formula xml:space="preserve"> "NA"</formula>
    </cfRule>
  </conditionalFormatting>
  <conditionalFormatting sqref="F145:G145">
    <cfRule type="expression" priority="147">
      <formula xml:space="preserve"> "NA"</formula>
    </cfRule>
  </conditionalFormatting>
  <conditionalFormatting sqref="H145:I145">
    <cfRule type="expression" priority="146">
      <formula xml:space="preserve"> "NA"</formula>
    </cfRule>
  </conditionalFormatting>
  <conditionalFormatting sqref="J145:K145">
    <cfRule type="expression" priority="145">
      <formula xml:space="preserve"> "NA"</formula>
    </cfRule>
  </conditionalFormatting>
  <conditionalFormatting sqref="L145:M145">
    <cfRule type="expression" priority="144">
      <formula xml:space="preserve"> "NA"</formula>
    </cfRule>
  </conditionalFormatting>
  <conditionalFormatting sqref="N145:O145">
    <cfRule type="expression" priority="143">
      <formula xml:space="preserve"> "NA"</formula>
    </cfRule>
  </conditionalFormatting>
  <conditionalFormatting sqref="P145:Q145">
    <cfRule type="expression" priority="142">
      <formula xml:space="preserve"> "NA"</formula>
    </cfRule>
  </conditionalFormatting>
  <conditionalFormatting sqref="R145:U145">
    <cfRule type="expression" priority="141">
      <formula xml:space="preserve"> "NA"</formula>
    </cfRule>
  </conditionalFormatting>
  <conditionalFormatting sqref="V145:W145">
    <cfRule type="expression" priority="140">
      <formula xml:space="preserve"> "NA"</formula>
    </cfRule>
  </conditionalFormatting>
  <conditionalFormatting sqref="X145:Y145">
    <cfRule type="expression" priority="139">
      <formula xml:space="preserve"> "NA"</formula>
    </cfRule>
  </conditionalFormatting>
  <conditionalFormatting sqref="Z145:AA145">
    <cfRule type="expression" priority="138">
      <formula xml:space="preserve"> "NA"</formula>
    </cfRule>
  </conditionalFormatting>
  <conditionalFormatting sqref="AB145:AC145">
    <cfRule type="expression" priority="137">
      <formula xml:space="preserve"> "NA"</formula>
    </cfRule>
  </conditionalFormatting>
  <conditionalFormatting sqref="AD145:AE145">
    <cfRule type="expression" priority="136">
      <formula xml:space="preserve"> "NA"</formula>
    </cfRule>
  </conditionalFormatting>
  <conditionalFormatting sqref="AF145:AG145">
    <cfRule type="expression" priority="135">
      <formula xml:space="preserve"> "NA"</formula>
    </cfRule>
  </conditionalFormatting>
  <conditionalFormatting sqref="AF145">
    <cfRule type="expression" priority="134">
      <formula xml:space="preserve"> "NA"</formula>
    </cfRule>
  </conditionalFormatting>
  <conditionalFormatting sqref="AG145">
    <cfRule type="expression" priority="133">
      <formula xml:space="preserve"> "NA"</formula>
    </cfRule>
  </conditionalFormatting>
  <conditionalFormatting sqref="AH145:AI145">
    <cfRule type="expression" priority="132">
      <formula xml:space="preserve"> "NA"</formula>
    </cfRule>
  </conditionalFormatting>
  <conditionalFormatting sqref="AJ145:AO145">
    <cfRule type="expression" priority="131">
      <formula xml:space="preserve"> "NA"</formula>
    </cfRule>
  </conditionalFormatting>
  <conditionalFormatting sqref="AP145:AQ145">
    <cfRule type="expression" priority="130">
      <formula xml:space="preserve"> "NA"</formula>
    </cfRule>
  </conditionalFormatting>
  <conditionalFormatting sqref="AR145:AS145">
    <cfRule type="expression" priority="129">
      <formula xml:space="preserve"> "NA"</formula>
    </cfRule>
  </conditionalFormatting>
  <conditionalFormatting sqref="AT145:AU145">
    <cfRule type="expression" priority="128">
      <formula xml:space="preserve"> "NA"</formula>
    </cfRule>
  </conditionalFormatting>
  <conditionalFormatting sqref="AV145:AW145">
    <cfRule type="expression" priority="127">
      <formula xml:space="preserve"> "NA"</formula>
    </cfRule>
  </conditionalFormatting>
  <conditionalFormatting sqref="AX145:AY145">
    <cfRule type="expression" priority="126">
      <formula xml:space="preserve"> "NA"</formula>
    </cfRule>
  </conditionalFormatting>
  <conditionalFormatting sqref="AL145:AO145">
    <cfRule type="expression" priority="125">
      <formula xml:space="preserve"> "NA"</formula>
    </cfRule>
  </conditionalFormatting>
  <conditionalFormatting sqref="T145">
    <cfRule type="expression" priority="124">
      <formula xml:space="preserve"> "NA"</formula>
    </cfRule>
  </conditionalFormatting>
  <conditionalFormatting sqref="U145">
    <cfRule type="expression" priority="123">
      <formula xml:space="preserve"> "NA"</formula>
    </cfRule>
  </conditionalFormatting>
  <conditionalFormatting sqref="F148:I150">
    <cfRule type="expression" priority="122">
      <formula xml:space="preserve"> "NA"</formula>
    </cfRule>
  </conditionalFormatting>
  <conditionalFormatting sqref="L148:M150">
    <cfRule type="expression" priority="121">
      <formula xml:space="preserve"> "NA"</formula>
    </cfRule>
  </conditionalFormatting>
  <conditionalFormatting sqref="N148:O150">
    <cfRule type="expression" priority="120">
      <formula xml:space="preserve"> "NA"</formula>
    </cfRule>
  </conditionalFormatting>
  <conditionalFormatting sqref="P148:Q150">
    <cfRule type="expression" priority="119">
      <formula xml:space="preserve"> "NA"</formula>
    </cfRule>
  </conditionalFormatting>
  <conditionalFormatting sqref="R148:S150">
    <cfRule type="expression" priority="118">
      <formula xml:space="preserve"> "NA"</formula>
    </cfRule>
  </conditionalFormatting>
  <conditionalFormatting sqref="T148:U150">
    <cfRule type="expression" priority="117">
      <formula xml:space="preserve"> "NA"</formula>
    </cfRule>
  </conditionalFormatting>
  <conditionalFormatting sqref="V148:W150">
    <cfRule type="expression" priority="116">
      <formula xml:space="preserve"> "NA"</formula>
    </cfRule>
  </conditionalFormatting>
  <conditionalFormatting sqref="B148:C148">
    <cfRule type="expression" priority="115">
      <formula xml:space="preserve"> "NA"</formula>
    </cfRule>
  </conditionalFormatting>
  <conditionalFormatting sqref="B149:C149">
    <cfRule type="expression" priority="114">
      <formula xml:space="preserve"> "NA"</formula>
    </cfRule>
  </conditionalFormatting>
  <conditionalFormatting sqref="D148:K148">
    <cfRule type="expression" priority="113">
      <formula xml:space="preserve"> "NA"</formula>
    </cfRule>
  </conditionalFormatting>
  <conditionalFormatting sqref="D149:K149">
    <cfRule type="expression" priority="112">
      <formula xml:space="preserve"> "NA"</formula>
    </cfRule>
  </conditionalFormatting>
  <conditionalFormatting sqref="L148:M150">
    <cfRule type="expression" priority="111">
      <formula xml:space="preserve"> "NA"</formula>
    </cfRule>
  </conditionalFormatting>
  <conditionalFormatting sqref="N148:O150">
    <cfRule type="expression" priority="110">
      <formula xml:space="preserve"> "NA"</formula>
    </cfRule>
  </conditionalFormatting>
  <conditionalFormatting sqref="P148:Q150">
    <cfRule type="expression" priority="109">
      <formula xml:space="preserve"> "NA"</formula>
    </cfRule>
  </conditionalFormatting>
  <conditionalFormatting sqref="R148:S150">
    <cfRule type="expression" priority="108">
      <formula xml:space="preserve"> "NA"</formula>
    </cfRule>
  </conditionalFormatting>
  <conditionalFormatting sqref="T148:U150">
    <cfRule type="expression" priority="107">
      <formula xml:space="preserve"> "NA"</formula>
    </cfRule>
  </conditionalFormatting>
  <conditionalFormatting sqref="F148:I150">
    <cfRule type="expression" priority="106">
      <formula xml:space="preserve"> "NA"</formula>
    </cfRule>
  </conditionalFormatting>
  <conditionalFormatting sqref="F151:I157">
    <cfRule type="expression" priority="105">
      <formula xml:space="preserve"> "NA"</formula>
    </cfRule>
  </conditionalFormatting>
  <conditionalFormatting sqref="L151:M157">
    <cfRule type="expression" priority="104">
      <formula xml:space="preserve"> "NA"</formula>
    </cfRule>
  </conditionalFormatting>
  <conditionalFormatting sqref="N151:O157">
    <cfRule type="expression" priority="103">
      <formula xml:space="preserve"> "NA"</formula>
    </cfRule>
  </conditionalFormatting>
  <conditionalFormatting sqref="P151:Q157">
    <cfRule type="expression" priority="102">
      <formula xml:space="preserve"> "NA"</formula>
    </cfRule>
  </conditionalFormatting>
  <conditionalFormatting sqref="R151:S157">
    <cfRule type="expression" priority="101">
      <formula xml:space="preserve"> "NA"</formula>
    </cfRule>
  </conditionalFormatting>
  <conditionalFormatting sqref="T151:U157">
    <cfRule type="expression" priority="100">
      <formula xml:space="preserve"> "NA"</formula>
    </cfRule>
  </conditionalFormatting>
  <conditionalFormatting sqref="L151:M157">
    <cfRule type="expression" priority="99">
      <formula xml:space="preserve"> "NA"</formula>
    </cfRule>
  </conditionalFormatting>
  <conditionalFormatting sqref="N151:O157">
    <cfRule type="expression" priority="98">
      <formula xml:space="preserve"> "NA"</formula>
    </cfRule>
  </conditionalFormatting>
  <conditionalFormatting sqref="P151:Q157">
    <cfRule type="expression" priority="97">
      <formula xml:space="preserve"> "NA"</formula>
    </cfRule>
  </conditionalFormatting>
  <conditionalFormatting sqref="R151:S157">
    <cfRule type="expression" priority="96">
      <formula xml:space="preserve"> "NA"</formula>
    </cfRule>
  </conditionalFormatting>
  <conditionalFormatting sqref="T151:U157">
    <cfRule type="expression" priority="95">
      <formula xml:space="preserve"> "NA"</formula>
    </cfRule>
  </conditionalFormatting>
  <conditionalFormatting sqref="F151:I157">
    <cfRule type="expression" priority="94">
      <formula xml:space="preserve"> "NA"</formula>
    </cfRule>
  </conditionalFormatting>
  <conditionalFormatting sqref="D73:D76">
    <cfRule type="cellIs" dxfId="446" priority="83" operator="lessThan">
      <formula>0.3</formula>
    </cfRule>
    <cfRule type="cellIs" dxfId="445" priority="93" operator="greaterThan">
      <formula>0.6</formula>
    </cfRule>
  </conditionalFormatting>
  <conditionalFormatting sqref="G73:G76">
    <cfRule type="cellIs" dxfId="444" priority="70" operator="lessThan">
      <formula>0.3</formula>
    </cfRule>
    <cfRule type="cellIs" dxfId="443" priority="92" operator="greaterThan">
      <formula>0.6</formula>
    </cfRule>
  </conditionalFormatting>
  <conditionalFormatting sqref="X135:Y144">
    <cfRule type="expression" priority="91">
      <formula xml:space="preserve"> "NA"</formula>
    </cfRule>
  </conditionalFormatting>
  <conditionalFormatting sqref="X135:Y137">
    <cfRule type="expression" priority="90">
      <formula xml:space="preserve"> "NA"</formula>
    </cfRule>
  </conditionalFormatting>
  <conditionalFormatting sqref="A53:U53">
    <cfRule type="expression" priority="89">
      <formula xml:space="preserve"> "NA"</formula>
    </cfRule>
  </conditionalFormatting>
  <conditionalFormatting sqref="A53">
    <cfRule type="expression" priority="88">
      <formula xml:space="preserve"> "NA"</formula>
    </cfRule>
  </conditionalFormatting>
  <conditionalFormatting sqref="Y88:XFD88 H88 Q88:U88">
    <cfRule type="expression" priority="87">
      <formula xml:space="preserve"> "NA"</formula>
    </cfRule>
  </conditionalFormatting>
  <conditionalFormatting sqref="A88 F88:G88">
    <cfRule type="expression" priority="86">
      <formula xml:space="preserve"> "NA"</formula>
    </cfRule>
  </conditionalFormatting>
  <conditionalFormatting sqref="C84">
    <cfRule type="cellIs" dxfId="442" priority="85" operator="greaterThan">
      <formula>0.2</formula>
    </cfRule>
  </conditionalFormatting>
  <conditionalFormatting sqref="C85">
    <cfRule type="cellIs" dxfId="441" priority="84" operator="greaterThan">
      <formula>0.6</formula>
    </cfRule>
  </conditionalFormatting>
  <conditionalFormatting sqref="E84">
    <cfRule type="cellIs" dxfId="440" priority="81" operator="greaterThan">
      <formula>0.2</formula>
    </cfRule>
  </conditionalFormatting>
  <conditionalFormatting sqref="E86:E87">
    <cfRule type="cellIs" dxfId="439" priority="82" operator="lessThan">
      <formula>0.8</formula>
    </cfRule>
  </conditionalFormatting>
  <conditionalFormatting sqref="E85">
    <cfRule type="cellIs" dxfId="438" priority="80" operator="greaterThan">
      <formula>0.6</formula>
    </cfRule>
  </conditionalFormatting>
  <conditionalFormatting sqref="C86:C87">
    <cfRule type="cellIs" dxfId="437" priority="79" operator="lessThan">
      <formula>0.8</formula>
    </cfRule>
  </conditionalFormatting>
  <conditionalFormatting sqref="D8">
    <cfRule type="cellIs" dxfId="436" priority="77" operator="equal">
      <formula>"Yes"</formula>
    </cfRule>
    <cfRule type="cellIs" dxfId="435" priority="78" operator="equal">
      <formula>"No"</formula>
    </cfRule>
  </conditionalFormatting>
  <conditionalFormatting sqref="X148:Y157">
    <cfRule type="expression" priority="76">
      <formula xml:space="preserve"> "NA"</formula>
    </cfRule>
  </conditionalFormatting>
  <conditionalFormatting sqref="X148:Y150">
    <cfRule type="expression" priority="75">
      <formula xml:space="preserve"> "NA"</formula>
    </cfRule>
  </conditionalFormatting>
  <conditionalFormatting sqref="V151:V157">
    <cfRule type="expression" priority="74">
      <formula xml:space="preserve"> "NA"</formula>
    </cfRule>
  </conditionalFormatting>
  <conditionalFormatting sqref="W151:W157">
    <cfRule type="expression" priority="73">
      <formula xml:space="preserve"> "NA"</formula>
    </cfRule>
  </conditionalFormatting>
  <conditionalFormatting sqref="X151:X157">
    <cfRule type="expression" priority="72">
      <formula xml:space="preserve"> "NA"</formula>
    </cfRule>
  </conditionalFormatting>
  <conditionalFormatting sqref="Y151:Y157">
    <cfRule type="expression" priority="71">
      <formula xml:space="preserve"> "NA"</formula>
    </cfRule>
  </conditionalFormatting>
  <conditionalFormatting sqref="W138:W144">
    <cfRule type="expression" priority="69">
      <formula xml:space="preserve"> "NA"</formula>
    </cfRule>
  </conditionalFormatting>
  <conditionalFormatting sqref="X138:X144">
    <cfRule type="expression" priority="68">
      <formula xml:space="preserve"> "NA"</formula>
    </cfRule>
  </conditionalFormatting>
  <conditionalFormatting sqref="Y138:Y144">
    <cfRule type="expression" priority="67">
      <formula xml:space="preserve"> "NA"</formula>
    </cfRule>
  </conditionalFormatting>
  <conditionalFormatting sqref="S40">
    <cfRule type="expression" priority="66">
      <formula xml:space="preserve"> "NA"</formula>
    </cfRule>
  </conditionalFormatting>
  <conditionalFormatting sqref="S41:S48">
    <cfRule type="cellIs" dxfId="434" priority="64" operator="equal">
      <formula>"Yes"</formula>
    </cfRule>
    <cfRule type="cellIs" dxfId="433" priority="65" operator="equal">
      <formula>"No"</formula>
    </cfRule>
  </conditionalFormatting>
  <conditionalFormatting sqref="S41:S48">
    <cfRule type="expression" priority="63">
      <formula xml:space="preserve"> "NA"</formula>
    </cfRule>
  </conditionalFormatting>
  <conditionalFormatting sqref="S41:S48">
    <cfRule type="cellIs" dxfId="432" priority="62" operator="equal">
      <formula>"Equal"</formula>
    </cfRule>
  </conditionalFormatting>
  <conditionalFormatting sqref="A202">
    <cfRule type="expression" priority="61">
      <formula xml:space="preserve"> "NA"</formula>
    </cfRule>
  </conditionalFormatting>
  <conditionalFormatting sqref="J135:K137">
    <cfRule type="expression" priority="60">
      <formula xml:space="preserve"> "NA"</formula>
    </cfRule>
  </conditionalFormatting>
  <conditionalFormatting sqref="J137:K137">
    <cfRule type="expression" priority="59">
      <formula xml:space="preserve"> "NA"</formula>
    </cfRule>
  </conditionalFormatting>
  <conditionalFormatting sqref="J138:J144">
    <cfRule type="expression" priority="58">
      <formula xml:space="preserve"> "NA"</formula>
    </cfRule>
  </conditionalFormatting>
  <conditionalFormatting sqref="J138:J144">
    <cfRule type="expression" priority="57">
      <formula xml:space="preserve"> "NA"</formula>
    </cfRule>
  </conditionalFormatting>
  <conditionalFormatting sqref="K137:K144">
    <cfRule type="expression" priority="56">
      <formula xml:space="preserve"> "NA"</formula>
    </cfRule>
  </conditionalFormatting>
  <conditionalFormatting sqref="K138:K144">
    <cfRule type="expression" priority="55">
      <formula xml:space="preserve"> "NA"</formula>
    </cfRule>
  </conditionalFormatting>
  <conditionalFormatting sqref="K138:K144">
    <cfRule type="expression" priority="54">
      <formula xml:space="preserve"> "NA"</formula>
    </cfRule>
  </conditionalFormatting>
  <conditionalFormatting sqref="J148:K150">
    <cfRule type="expression" priority="53">
      <formula xml:space="preserve"> "NA"</formula>
    </cfRule>
  </conditionalFormatting>
  <conditionalFormatting sqref="J148:K150">
    <cfRule type="expression" priority="52">
      <formula xml:space="preserve"> "NA"</formula>
    </cfRule>
  </conditionalFormatting>
  <conditionalFormatting sqref="J151:J157">
    <cfRule type="expression" priority="51">
      <formula xml:space="preserve"> "NA"</formula>
    </cfRule>
  </conditionalFormatting>
  <conditionalFormatting sqref="J151:J157">
    <cfRule type="expression" priority="50">
      <formula xml:space="preserve"> "NA"</formula>
    </cfRule>
  </conditionalFormatting>
  <conditionalFormatting sqref="J150:K150">
    <cfRule type="expression" priority="49">
      <formula xml:space="preserve"> "NA"</formula>
    </cfRule>
  </conditionalFormatting>
  <conditionalFormatting sqref="J150:K150">
    <cfRule type="expression" priority="48">
      <formula xml:space="preserve"> "NA"</formula>
    </cfRule>
  </conditionalFormatting>
  <conditionalFormatting sqref="J151:J157">
    <cfRule type="expression" priority="47">
      <formula xml:space="preserve"> "NA"</formula>
    </cfRule>
  </conditionalFormatting>
  <conditionalFormatting sqref="J151:J157">
    <cfRule type="expression" priority="46">
      <formula xml:space="preserve"> "NA"</formula>
    </cfRule>
  </conditionalFormatting>
  <conditionalFormatting sqref="J151:J157">
    <cfRule type="expression" priority="45">
      <formula xml:space="preserve"> "NA"</formula>
    </cfRule>
  </conditionalFormatting>
  <conditionalFormatting sqref="J151:J157">
    <cfRule type="expression" priority="44">
      <formula xml:space="preserve"> "NA"</formula>
    </cfRule>
  </conditionalFormatting>
  <conditionalFormatting sqref="J151:J157">
    <cfRule type="expression" priority="43">
      <formula xml:space="preserve"> "NA"</formula>
    </cfRule>
  </conditionalFormatting>
  <conditionalFormatting sqref="J151:J157">
    <cfRule type="expression" priority="42">
      <formula xml:space="preserve"> "NA"</formula>
    </cfRule>
  </conditionalFormatting>
  <conditionalFormatting sqref="A73:H87">
    <cfRule type="expression" priority="41">
      <formula>ISNA($A$73:$H$87)</formula>
    </cfRule>
  </conditionalFormatting>
  <conditionalFormatting sqref="P109:Q118">
    <cfRule type="expression" priority="40">
      <formula xml:space="preserve"> "NA"</formula>
    </cfRule>
  </conditionalFormatting>
  <conditionalFormatting sqref="N122:O122 N124:O131">
    <cfRule type="expression" priority="39">
      <formula xml:space="preserve"> "NA"</formula>
    </cfRule>
  </conditionalFormatting>
  <conditionalFormatting sqref="N122:O122 N124:O131">
    <cfRule type="expression" priority="38">
      <formula xml:space="preserve"> "NA"</formula>
    </cfRule>
  </conditionalFormatting>
  <conditionalFormatting sqref="N123:O123">
    <cfRule type="expression" priority="37">
      <formula xml:space="preserve"> "NA"</formula>
    </cfRule>
  </conditionalFormatting>
  <conditionalFormatting sqref="N123:O123">
    <cfRule type="expression" priority="36">
      <formula xml:space="preserve"> "NA"</formula>
    </cfRule>
  </conditionalFormatting>
  <conditionalFormatting sqref="X188:X195">
    <cfRule type="cellIs" dxfId="431" priority="34" operator="equal">
      <formula>"Yes"</formula>
    </cfRule>
    <cfRule type="cellIs" dxfId="430" priority="35" operator="equal">
      <formula>"No"</formula>
    </cfRule>
  </conditionalFormatting>
  <conditionalFormatting sqref="T188:T195">
    <cfRule type="cellIs" dxfId="429" priority="32" operator="equal">
      <formula>"Yes"</formula>
    </cfRule>
    <cfRule type="cellIs" dxfId="428" priority="33" operator="equal">
      <formula>"No"</formula>
    </cfRule>
  </conditionalFormatting>
  <conditionalFormatting sqref="P188:P195">
    <cfRule type="cellIs" dxfId="427" priority="30" operator="equal">
      <formula>"Yes"</formula>
    </cfRule>
    <cfRule type="cellIs" dxfId="426" priority="31" operator="equal">
      <formula>"No"</formula>
    </cfRule>
  </conditionalFormatting>
  <conditionalFormatting sqref="L188:L195">
    <cfRule type="cellIs" dxfId="425" priority="28" operator="equal">
      <formula>"Yes"</formula>
    </cfRule>
    <cfRule type="cellIs" dxfId="424" priority="29" operator="equal">
      <formula>"No"</formula>
    </cfRule>
  </conditionalFormatting>
  <conditionalFormatting sqref="H188:H195">
    <cfRule type="cellIs" dxfId="423" priority="26" operator="equal">
      <formula>"Yes"</formula>
    </cfRule>
    <cfRule type="cellIs" dxfId="422" priority="27" operator="equal">
      <formula>"No"</formula>
    </cfRule>
  </conditionalFormatting>
  <conditionalFormatting sqref="D188:D195">
    <cfRule type="cellIs" dxfId="421" priority="24" operator="equal">
      <formula>"Yes"</formula>
    </cfRule>
    <cfRule type="cellIs" dxfId="420" priority="25" operator="equal">
      <formula>"No"</formula>
    </cfRule>
  </conditionalFormatting>
  <conditionalFormatting sqref="B63:F63">
    <cfRule type="cellIs" dxfId="419" priority="12" operator="lessThan">
      <formula>10</formula>
    </cfRule>
    <cfRule type="cellIs" dxfId="418" priority="23" operator="lessThan">
      <formula>10</formula>
    </cfRule>
  </conditionalFormatting>
  <conditionalFormatting sqref="G63">
    <cfRule type="cellIs" dxfId="417" priority="18" operator="lessThan">
      <formula>10</formula>
    </cfRule>
  </conditionalFormatting>
  <conditionalFormatting sqref="K151:K157">
    <cfRule type="expression" priority="16">
      <formula xml:space="preserve"> "NA"</formula>
    </cfRule>
  </conditionalFormatting>
  <conditionalFormatting sqref="K151:K157">
    <cfRule type="expression" priority="15">
      <formula xml:space="preserve"> "NA"</formula>
    </cfRule>
  </conditionalFormatting>
  <conditionalFormatting sqref="K151:K157">
    <cfRule type="expression" priority="14">
      <formula xml:space="preserve"> "NA"</formula>
    </cfRule>
  </conditionalFormatting>
  <conditionalFormatting sqref="K151:K157">
    <cfRule type="expression" priority="13">
      <formula xml:space="preserve"> "NA"</formula>
    </cfRule>
  </conditionalFormatting>
  <conditionalFormatting sqref="B56:B62">
    <cfRule type="cellIs" dxfId="416" priority="9" operator="lessThan">
      <formula>10</formula>
    </cfRule>
  </conditionalFormatting>
  <conditionalFormatting sqref="C56:F62">
    <cfRule type="cellIs" dxfId="415" priority="8" operator="lessThan">
      <formula>10</formula>
    </cfRule>
  </conditionalFormatting>
  <conditionalFormatting sqref="H56:I63">
    <cfRule type="cellIs" dxfId="414" priority="7" operator="lessThan">
      <formula>10</formula>
    </cfRule>
  </conditionalFormatting>
  <conditionalFormatting sqref="K56:P63">
    <cfRule type="cellIs" dxfId="413" priority="6" operator="lessThan">
      <formula>10</formula>
    </cfRule>
  </conditionalFormatting>
  <conditionalFormatting sqref="R56:S63 U56:U63">
    <cfRule type="cellIs" dxfId="412" priority="5" operator="lessThan">
      <formula>10</formula>
    </cfRule>
  </conditionalFormatting>
  <conditionalFormatting sqref="E41:E48">
    <cfRule type="containsText" priority="3" stopIfTrue="1" operator="containsText" text="NA">
      <formula>NOT(ISERROR(SEARCH("NA",E41)))</formula>
    </cfRule>
    <cfRule type="cellIs" dxfId="411" priority="4" operator="greaterThan">
      <formula>0.0309</formula>
    </cfRule>
  </conditionalFormatting>
  <conditionalFormatting sqref="N41:N48">
    <cfRule type="containsText" priority="1" stopIfTrue="1" operator="containsText" text="NA">
      <formula>NOT(ISERROR(SEARCH("NA",N41)))</formula>
    </cfRule>
    <cfRule type="cellIs" dxfId="410" priority="2" operator="greaterThan">
      <formula>0.0309</formula>
    </cfRule>
  </conditionalFormatting>
  <pageMargins left="0.7" right="0.7" top="0.75" bottom="0.75" header="0.3" footer="0.3"/>
  <pageSetup scale="11" orientation="landscape" r:id="rId1"/>
  <headerFooter>
    <oddFooter>&amp;L&amp;"-,Bold"Carrier Benchmark Data Submission Template&amp;"-,Regular" | NJ Hart Program&amp;RPage &amp;P</oddFooter>
  </headerFooter>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14DF8-CAFF-4B6C-8591-0DC9C30CE0F9}">
  <sheetPr>
    <tabColor theme="8" tint="-0.499984740745262"/>
  </sheetPr>
  <dimension ref="A1:H99"/>
  <sheetViews>
    <sheetView topLeftCell="A61" workbookViewId="0">
      <selection activeCell="A31" sqref="A31"/>
    </sheetView>
  </sheetViews>
  <sheetFormatPr defaultRowHeight="15" x14ac:dyDescent="0.25"/>
  <cols>
    <col min="2" max="2" width="16.5703125" customWidth="1"/>
    <col min="3" max="3" width="16.85546875" style="373" customWidth="1"/>
    <col min="5" max="5" width="13.28515625" bestFit="1" customWidth="1"/>
    <col min="6" max="6" width="11.5703125" style="373" bestFit="1" customWidth="1"/>
    <col min="7" max="7" width="11.5703125" bestFit="1" customWidth="1"/>
    <col min="8" max="8" width="14.7109375" customWidth="1"/>
    <col min="9" max="9" width="24.28515625" bestFit="1" customWidth="1"/>
    <col min="10" max="10" width="13.28515625" bestFit="1" customWidth="1"/>
  </cols>
  <sheetData>
    <row r="1" spans="1:8" x14ac:dyDescent="0.25">
      <c r="A1" t="s">
        <v>496</v>
      </c>
    </row>
    <row r="2" spans="1:8" x14ac:dyDescent="0.25">
      <c r="A2" t="s">
        <v>497</v>
      </c>
      <c r="B2" t="s">
        <v>498</v>
      </c>
      <c r="C2" s="373" t="s">
        <v>499</v>
      </c>
    </row>
    <row r="3" spans="1:8" x14ac:dyDescent="0.25">
      <c r="A3">
        <v>2018</v>
      </c>
      <c r="B3">
        <v>201</v>
      </c>
      <c r="C3" s="373">
        <v>1133090</v>
      </c>
      <c r="E3" s="373"/>
      <c r="G3" s="373"/>
      <c r="H3" s="373"/>
    </row>
    <row r="4" spans="1:8" x14ac:dyDescent="0.25">
      <c r="A4">
        <v>2018</v>
      </c>
      <c r="B4">
        <v>202</v>
      </c>
      <c r="C4" s="373">
        <v>116411</v>
      </c>
      <c r="E4" s="373"/>
      <c r="G4" s="373"/>
      <c r="H4" s="373"/>
    </row>
    <row r="5" spans="1:8" x14ac:dyDescent="0.25">
      <c r="A5">
        <v>2018</v>
      </c>
      <c r="B5">
        <v>203</v>
      </c>
      <c r="C5" s="373" t="s">
        <v>500</v>
      </c>
      <c r="E5" s="373"/>
      <c r="G5" s="373"/>
      <c r="H5" s="373"/>
    </row>
    <row r="6" spans="1:8" x14ac:dyDescent="0.25">
      <c r="A6">
        <v>2018</v>
      </c>
      <c r="B6">
        <v>204</v>
      </c>
      <c r="C6" s="373" t="s">
        <v>500</v>
      </c>
      <c r="E6" s="373"/>
      <c r="G6" s="373"/>
      <c r="H6" s="373"/>
    </row>
    <row r="7" spans="1:8" x14ac:dyDescent="0.25">
      <c r="A7">
        <v>2018</v>
      </c>
      <c r="B7">
        <v>205</v>
      </c>
      <c r="C7" s="373">
        <v>882338</v>
      </c>
      <c r="E7" s="373"/>
      <c r="G7" s="373"/>
      <c r="H7" s="373"/>
    </row>
    <row r="8" spans="1:8" x14ac:dyDescent="0.25">
      <c r="A8">
        <v>2018</v>
      </c>
      <c r="B8">
        <v>206</v>
      </c>
      <c r="C8" s="373">
        <v>1362894</v>
      </c>
      <c r="E8" s="373"/>
      <c r="G8" s="373"/>
      <c r="H8" s="373"/>
    </row>
    <row r="9" spans="1:8" x14ac:dyDescent="0.25">
      <c r="A9">
        <v>2018</v>
      </c>
      <c r="B9">
        <v>207</v>
      </c>
      <c r="C9" s="373">
        <v>61526</v>
      </c>
      <c r="E9" s="373"/>
      <c r="G9" s="373"/>
      <c r="H9" s="373"/>
    </row>
    <row r="11" spans="1:8" x14ac:dyDescent="0.25">
      <c r="A11" t="s">
        <v>501</v>
      </c>
    </row>
    <row r="12" spans="1:8" x14ac:dyDescent="0.25">
      <c r="A12" t="s">
        <v>497</v>
      </c>
      <c r="B12" t="s">
        <v>498</v>
      </c>
      <c r="C12" s="373" t="s">
        <v>499</v>
      </c>
    </row>
    <row r="13" spans="1:8" x14ac:dyDescent="0.25">
      <c r="A13">
        <v>2019</v>
      </c>
      <c r="B13">
        <v>201</v>
      </c>
      <c r="C13" s="373">
        <v>2624744</v>
      </c>
      <c r="E13" s="536"/>
    </row>
    <row r="14" spans="1:8" x14ac:dyDescent="0.25">
      <c r="A14">
        <v>2019</v>
      </c>
      <c r="B14">
        <v>202</v>
      </c>
      <c r="C14" s="373">
        <v>140897</v>
      </c>
      <c r="E14" s="536"/>
    </row>
    <row r="15" spans="1:8" x14ac:dyDescent="0.25">
      <c r="A15">
        <v>2019</v>
      </c>
      <c r="B15">
        <v>203</v>
      </c>
      <c r="C15" s="373" t="s">
        <v>500</v>
      </c>
      <c r="E15" s="536"/>
    </row>
    <row r="16" spans="1:8" x14ac:dyDescent="0.25">
      <c r="A16">
        <v>2019</v>
      </c>
      <c r="B16">
        <v>204</v>
      </c>
      <c r="C16" s="373" t="s">
        <v>500</v>
      </c>
      <c r="E16" s="536"/>
    </row>
    <row r="17" spans="1:5" x14ac:dyDescent="0.25">
      <c r="A17">
        <v>2019</v>
      </c>
      <c r="B17">
        <v>205</v>
      </c>
      <c r="C17" s="373">
        <v>411510</v>
      </c>
      <c r="E17" s="536"/>
    </row>
    <row r="18" spans="1:5" x14ac:dyDescent="0.25">
      <c r="A18">
        <v>2019</v>
      </c>
      <c r="B18">
        <v>206</v>
      </c>
      <c r="C18" s="373">
        <v>1430004</v>
      </c>
      <c r="E18" s="536"/>
    </row>
    <row r="19" spans="1:5" x14ac:dyDescent="0.25">
      <c r="A19">
        <v>2019</v>
      </c>
      <c r="B19">
        <v>207</v>
      </c>
      <c r="C19" s="373">
        <v>99118</v>
      </c>
      <c r="E19" s="537"/>
    </row>
    <row r="21" spans="1:5" x14ac:dyDescent="0.25">
      <c r="A21" t="s">
        <v>502</v>
      </c>
    </row>
    <row r="22" spans="1:5" x14ac:dyDescent="0.25">
      <c r="A22" t="s">
        <v>497</v>
      </c>
      <c r="B22" t="s">
        <v>498</v>
      </c>
      <c r="C22" s="373" t="s">
        <v>499</v>
      </c>
    </row>
    <row r="23" spans="1:5" x14ac:dyDescent="0.25">
      <c r="A23">
        <v>2021</v>
      </c>
      <c r="B23">
        <v>201</v>
      </c>
      <c r="C23" s="373">
        <v>2713122</v>
      </c>
    </row>
    <row r="24" spans="1:5" x14ac:dyDescent="0.25">
      <c r="A24">
        <v>2021</v>
      </c>
      <c r="B24">
        <v>202</v>
      </c>
      <c r="C24" s="373">
        <v>276791</v>
      </c>
    </row>
    <row r="25" spans="1:5" x14ac:dyDescent="0.25">
      <c r="A25">
        <v>2021</v>
      </c>
      <c r="B25">
        <v>203</v>
      </c>
      <c r="C25" s="373" t="s">
        <v>500</v>
      </c>
    </row>
    <row r="26" spans="1:5" x14ac:dyDescent="0.25">
      <c r="A26">
        <v>2021</v>
      </c>
      <c r="B26">
        <v>204</v>
      </c>
      <c r="C26" s="373">
        <v>51612</v>
      </c>
    </row>
    <row r="27" spans="1:5" x14ac:dyDescent="0.25">
      <c r="A27">
        <v>2021</v>
      </c>
      <c r="B27">
        <v>205</v>
      </c>
      <c r="C27" s="373">
        <v>550523</v>
      </c>
    </row>
    <row r="28" spans="1:5" x14ac:dyDescent="0.25">
      <c r="A28">
        <v>2021</v>
      </c>
      <c r="B28">
        <v>206</v>
      </c>
      <c r="C28" s="373">
        <v>2127043</v>
      </c>
    </row>
    <row r="29" spans="1:5" x14ac:dyDescent="0.25">
      <c r="A29">
        <v>2021</v>
      </c>
      <c r="B29">
        <v>207</v>
      </c>
      <c r="C29" s="373">
        <v>238051</v>
      </c>
    </row>
    <row r="31" spans="1:5" x14ac:dyDescent="0.25">
      <c r="A31" t="s">
        <v>503</v>
      </c>
    </row>
    <row r="32" spans="1:5" x14ac:dyDescent="0.25">
      <c r="A32" t="s">
        <v>497</v>
      </c>
      <c r="B32" t="s">
        <v>498</v>
      </c>
      <c r="C32" s="373" t="s">
        <v>499</v>
      </c>
    </row>
    <row r="33" spans="1:3" x14ac:dyDescent="0.25">
      <c r="A33">
        <v>2022</v>
      </c>
      <c r="B33">
        <v>201</v>
      </c>
      <c r="C33" s="373" t="s">
        <v>500</v>
      </c>
    </row>
    <row r="34" spans="1:3" x14ac:dyDescent="0.25">
      <c r="A34">
        <v>2022</v>
      </c>
      <c r="B34">
        <v>202</v>
      </c>
      <c r="C34" s="373" t="s">
        <v>500</v>
      </c>
    </row>
    <row r="35" spans="1:3" x14ac:dyDescent="0.25">
      <c r="A35">
        <v>2022</v>
      </c>
      <c r="B35">
        <v>203</v>
      </c>
      <c r="C35" s="373" t="s">
        <v>500</v>
      </c>
    </row>
    <row r="36" spans="1:3" x14ac:dyDescent="0.25">
      <c r="A36">
        <v>2022</v>
      </c>
      <c r="B36">
        <v>204</v>
      </c>
      <c r="C36" s="373" t="s">
        <v>500</v>
      </c>
    </row>
    <row r="37" spans="1:3" x14ac:dyDescent="0.25">
      <c r="A37">
        <v>2022</v>
      </c>
      <c r="B37">
        <v>205</v>
      </c>
      <c r="C37" s="373" t="s">
        <v>500</v>
      </c>
    </row>
    <row r="38" spans="1:3" x14ac:dyDescent="0.25">
      <c r="A38">
        <v>2022</v>
      </c>
      <c r="B38">
        <v>206</v>
      </c>
      <c r="C38" s="373" t="s">
        <v>500</v>
      </c>
    </row>
    <row r="39" spans="1:3" x14ac:dyDescent="0.25">
      <c r="A39">
        <v>2022</v>
      </c>
      <c r="B39">
        <v>207</v>
      </c>
      <c r="C39" s="373" t="s">
        <v>500</v>
      </c>
    </row>
    <row r="41" spans="1:3" x14ac:dyDescent="0.25">
      <c r="A41" t="s">
        <v>504</v>
      </c>
    </row>
    <row r="42" spans="1:3" x14ac:dyDescent="0.25">
      <c r="A42" t="s">
        <v>497</v>
      </c>
      <c r="B42" t="s">
        <v>498</v>
      </c>
      <c r="C42" s="373" t="s">
        <v>499</v>
      </c>
    </row>
    <row r="43" spans="1:3" x14ac:dyDescent="0.25">
      <c r="A43">
        <v>2023</v>
      </c>
      <c r="B43">
        <v>201</v>
      </c>
      <c r="C43" s="373" t="s">
        <v>500</v>
      </c>
    </row>
    <row r="44" spans="1:3" x14ac:dyDescent="0.25">
      <c r="A44">
        <v>2023</v>
      </c>
      <c r="B44">
        <v>202</v>
      </c>
      <c r="C44" s="373" t="s">
        <v>500</v>
      </c>
    </row>
    <row r="45" spans="1:3" x14ac:dyDescent="0.25">
      <c r="A45">
        <v>2023</v>
      </c>
      <c r="B45">
        <v>203</v>
      </c>
      <c r="C45" s="373" t="s">
        <v>500</v>
      </c>
    </row>
    <row r="46" spans="1:3" x14ac:dyDescent="0.25">
      <c r="A46">
        <v>2023</v>
      </c>
      <c r="B46">
        <v>204</v>
      </c>
      <c r="C46" s="373" t="s">
        <v>500</v>
      </c>
    </row>
    <row r="47" spans="1:3" x14ac:dyDescent="0.25">
      <c r="A47">
        <v>2023</v>
      </c>
      <c r="B47">
        <v>205</v>
      </c>
      <c r="C47" s="373" t="s">
        <v>500</v>
      </c>
    </row>
    <row r="48" spans="1:3" x14ac:dyDescent="0.25">
      <c r="A48">
        <v>2023</v>
      </c>
      <c r="B48">
        <v>206</v>
      </c>
      <c r="C48" s="373" t="s">
        <v>500</v>
      </c>
    </row>
    <row r="49" spans="1:5" x14ac:dyDescent="0.25">
      <c r="A49">
        <v>2023</v>
      </c>
      <c r="B49">
        <v>207</v>
      </c>
      <c r="C49" s="373" t="s">
        <v>500</v>
      </c>
    </row>
    <row r="51" spans="1:5" x14ac:dyDescent="0.25">
      <c r="A51" t="s">
        <v>505</v>
      </c>
    </row>
    <row r="52" spans="1:5" x14ac:dyDescent="0.25">
      <c r="A52" t="s">
        <v>497</v>
      </c>
      <c r="B52" t="s">
        <v>498</v>
      </c>
      <c r="C52" s="373" t="s">
        <v>499</v>
      </c>
    </row>
    <row r="53" spans="1:5" x14ac:dyDescent="0.25">
      <c r="A53">
        <v>2018</v>
      </c>
      <c r="B53">
        <v>201</v>
      </c>
      <c r="C53" s="373">
        <v>48256</v>
      </c>
      <c r="E53" s="536"/>
    </row>
    <row r="54" spans="1:5" x14ac:dyDescent="0.25">
      <c r="A54">
        <v>2018</v>
      </c>
      <c r="B54">
        <v>202</v>
      </c>
      <c r="C54" s="373">
        <v>174634</v>
      </c>
      <c r="E54" s="536"/>
    </row>
    <row r="55" spans="1:5" x14ac:dyDescent="0.25">
      <c r="A55">
        <v>2018</v>
      </c>
      <c r="B55">
        <v>203</v>
      </c>
      <c r="C55" s="373" t="s">
        <v>500</v>
      </c>
      <c r="E55" s="536"/>
    </row>
    <row r="56" spans="1:5" x14ac:dyDescent="0.25">
      <c r="A56">
        <v>2018</v>
      </c>
      <c r="B56">
        <v>204</v>
      </c>
      <c r="C56" s="373" t="s">
        <v>500</v>
      </c>
      <c r="E56" s="536"/>
    </row>
    <row r="57" spans="1:5" x14ac:dyDescent="0.25">
      <c r="A57">
        <v>2018</v>
      </c>
      <c r="B57">
        <v>205</v>
      </c>
      <c r="C57" s="373">
        <v>828539</v>
      </c>
      <c r="E57" s="536"/>
    </row>
    <row r="58" spans="1:5" x14ac:dyDescent="0.25">
      <c r="A58">
        <v>2018</v>
      </c>
      <c r="B58">
        <v>206</v>
      </c>
      <c r="C58" s="373">
        <v>450714</v>
      </c>
      <c r="E58" s="536"/>
    </row>
    <row r="59" spans="1:5" x14ac:dyDescent="0.25">
      <c r="A59">
        <v>2018</v>
      </c>
      <c r="B59">
        <v>207</v>
      </c>
      <c r="C59" s="373">
        <v>66134</v>
      </c>
      <c r="E59" s="537"/>
    </row>
    <row r="61" spans="1:5" x14ac:dyDescent="0.25">
      <c r="A61" t="s">
        <v>506</v>
      </c>
    </row>
    <row r="62" spans="1:5" x14ac:dyDescent="0.25">
      <c r="A62" t="s">
        <v>497</v>
      </c>
      <c r="B62" t="s">
        <v>498</v>
      </c>
      <c r="C62" s="373" t="s">
        <v>499</v>
      </c>
    </row>
    <row r="63" spans="1:5" x14ac:dyDescent="0.25">
      <c r="A63">
        <v>2019</v>
      </c>
      <c r="B63">
        <v>201</v>
      </c>
      <c r="C63" s="373">
        <v>59073</v>
      </c>
      <c r="E63" s="536"/>
    </row>
    <row r="64" spans="1:5" x14ac:dyDescent="0.25">
      <c r="A64">
        <v>2019</v>
      </c>
      <c r="B64">
        <v>202</v>
      </c>
      <c r="C64" s="373">
        <v>174846</v>
      </c>
      <c r="E64" s="536"/>
    </row>
    <row r="65" spans="1:5" x14ac:dyDescent="0.25">
      <c r="A65">
        <v>2019</v>
      </c>
      <c r="B65">
        <v>203</v>
      </c>
      <c r="C65" s="373" t="s">
        <v>500</v>
      </c>
      <c r="E65" s="536"/>
    </row>
    <row r="66" spans="1:5" x14ac:dyDescent="0.25">
      <c r="A66">
        <v>2019</v>
      </c>
      <c r="B66">
        <v>204</v>
      </c>
      <c r="C66" s="373" t="s">
        <v>500</v>
      </c>
      <c r="E66" s="536"/>
    </row>
    <row r="67" spans="1:5" x14ac:dyDescent="0.25">
      <c r="A67">
        <v>2019</v>
      </c>
      <c r="B67">
        <v>205</v>
      </c>
      <c r="C67" s="373">
        <v>788477</v>
      </c>
      <c r="E67" s="536"/>
    </row>
    <row r="68" spans="1:5" x14ac:dyDescent="0.25">
      <c r="A68">
        <v>2019</v>
      </c>
      <c r="B68">
        <v>206</v>
      </c>
      <c r="C68" s="373">
        <v>404655</v>
      </c>
      <c r="E68" s="536"/>
    </row>
    <row r="69" spans="1:5" x14ac:dyDescent="0.25">
      <c r="A69">
        <v>2019</v>
      </c>
      <c r="B69">
        <v>207</v>
      </c>
      <c r="C69" s="373">
        <v>71136</v>
      </c>
      <c r="E69" s="537"/>
    </row>
    <row r="71" spans="1:5" x14ac:dyDescent="0.25">
      <c r="A71" t="s">
        <v>507</v>
      </c>
    </row>
    <row r="72" spans="1:5" x14ac:dyDescent="0.25">
      <c r="A72" t="s">
        <v>497</v>
      </c>
      <c r="B72" t="s">
        <v>498</v>
      </c>
      <c r="C72" s="373" t="s">
        <v>499</v>
      </c>
    </row>
    <row r="73" spans="1:5" x14ac:dyDescent="0.25">
      <c r="A73">
        <v>2021</v>
      </c>
      <c r="B73">
        <v>201</v>
      </c>
      <c r="C73" s="373">
        <v>111617</v>
      </c>
      <c r="E73" s="1"/>
    </row>
    <row r="74" spans="1:5" x14ac:dyDescent="0.25">
      <c r="A74">
        <v>2021</v>
      </c>
      <c r="B74">
        <v>202</v>
      </c>
      <c r="C74" s="373">
        <v>12335</v>
      </c>
      <c r="E74" s="1"/>
    </row>
    <row r="75" spans="1:5" x14ac:dyDescent="0.25">
      <c r="A75">
        <v>2021</v>
      </c>
      <c r="B75">
        <v>203</v>
      </c>
      <c r="C75" s="373" t="s">
        <v>500</v>
      </c>
      <c r="E75" s="1"/>
    </row>
    <row r="76" spans="1:5" x14ac:dyDescent="0.25">
      <c r="A76">
        <v>2021</v>
      </c>
      <c r="B76">
        <v>204</v>
      </c>
      <c r="C76" s="373" t="s">
        <v>500</v>
      </c>
      <c r="E76" s="1"/>
    </row>
    <row r="77" spans="1:5" x14ac:dyDescent="0.25">
      <c r="A77">
        <v>2021</v>
      </c>
      <c r="B77">
        <v>205</v>
      </c>
      <c r="C77" s="373">
        <v>1014296</v>
      </c>
      <c r="E77" s="1"/>
    </row>
    <row r="78" spans="1:5" x14ac:dyDescent="0.25">
      <c r="A78">
        <v>2021</v>
      </c>
      <c r="B78">
        <v>206</v>
      </c>
      <c r="C78" s="373">
        <v>363226</v>
      </c>
    </row>
    <row r="79" spans="1:5" x14ac:dyDescent="0.25">
      <c r="A79">
        <v>2021</v>
      </c>
      <c r="B79">
        <v>207</v>
      </c>
      <c r="C79" s="373">
        <v>100382</v>
      </c>
    </row>
    <row r="81" spans="1:3" x14ac:dyDescent="0.25">
      <c r="A81" t="s">
        <v>508</v>
      </c>
    </row>
    <row r="82" spans="1:3" x14ac:dyDescent="0.25">
      <c r="A82" t="s">
        <v>497</v>
      </c>
      <c r="B82" t="s">
        <v>498</v>
      </c>
      <c r="C82" s="373" t="s">
        <v>499</v>
      </c>
    </row>
    <row r="83" spans="1:3" x14ac:dyDescent="0.25">
      <c r="A83">
        <v>2022</v>
      </c>
      <c r="B83">
        <v>201</v>
      </c>
      <c r="C83" s="373" t="s">
        <v>500</v>
      </c>
    </row>
    <row r="84" spans="1:3" x14ac:dyDescent="0.25">
      <c r="A84">
        <v>2022</v>
      </c>
      <c r="B84">
        <v>202</v>
      </c>
      <c r="C84" s="373" t="s">
        <v>500</v>
      </c>
    </row>
    <row r="85" spans="1:3" x14ac:dyDescent="0.25">
      <c r="A85">
        <v>2022</v>
      </c>
      <c r="B85">
        <v>203</v>
      </c>
      <c r="C85" s="373" t="s">
        <v>500</v>
      </c>
    </row>
    <row r="86" spans="1:3" x14ac:dyDescent="0.25">
      <c r="A86">
        <v>2022</v>
      </c>
      <c r="B86">
        <v>204</v>
      </c>
      <c r="C86" s="373" t="s">
        <v>500</v>
      </c>
    </row>
    <row r="87" spans="1:3" x14ac:dyDescent="0.25">
      <c r="A87">
        <v>2022</v>
      </c>
      <c r="B87">
        <v>205</v>
      </c>
      <c r="C87" s="373" t="s">
        <v>500</v>
      </c>
    </row>
    <row r="88" spans="1:3" x14ac:dyDescent="0.25">
      <c r="A88">
        <v>2022</v>
      </c>
      <c r="B88">
        <v>206</v>
      </c>
      <c r="C88" s="373" t="s">
        <v>500</v>
      </c>
    </row>
    <row r="89" spans="1:3" x14ac:dyDescent="0.25">
      <c r="A89">
        <v>2022</v>
      </c>
      <c r="B89">
        <v>207</v>
      </c>
      <c r="C89" s="373" t="s">
        <v>500</v>
      </c>
    </row>
    <row r="91" spans="1:3" x14ac:dyDescent="0.25">
      <c r="A91" t="s">
        <v>509</v>
      </c>
    </row>
    <row r="92" spans="1:3" x14ac:dyDescent="0.25">
      <c r="A92" t="s">
        <v>497</v>
      </c>
      <c r="B92" t="s">
        <v>498</v>
      </c>
      <c r="C92" s="373" t="s">
        <v>499</v>
      </c>
    </row>
    <row r="93" spans="1:3" x14ac:dyDescent="0.25">
      <c r="A93">
        <v>2023</v>
      </c>
      <c r="B93">
        <v>201</v>
      </c>
      <c r="C93" s="373" t="s">
        <v>500</v>
      </c>
    </row>
    <row r="94" spans="1:3" x14ac:dyDescent="0.25">
      <c r="A94">
        <v>2023</v>
      </c>
      <c r="B94">
        <v>202</v>
      </c>
      <c r="C94" s="373" t="s">
        <v>500</v>
      </c>
    </row>
    <row r="95" spans="1:3" x14ac:dyDescent="0.25">
      <c r="A95">
        <v>2023</v>
      </c>
      <c r="B95">
        <v>203</v>
      </c>
      <c r="C95" s="373" t="s">
        <v>500</v>
      </c>
    </row>
    <row r="96" spans="1:3" x14ac:dyDescent="0.25">
      <c r="A96">
        <v>2023</v>
      </c>
      <c r="B96">
        <v>204</v>
      </c>
      <c r="C96" s="373" t="s">
        <v>500</v>
      </c>
    </row>
    <row r="97" spans="1:3" x14ac:dyDescent="0.25">
      <c r="A97">
        <v>2023</v>
      </c>
      <c r="B97">
        <v>205</v>
      </c>
      <c r="C97" s="373" t="s">
        <v>500</v>
      </c>
    </row>
    <row r="98" spans="1:3" x14ac:dyDescent="0.25">
      <c r="A98">
        <v>2023</v>
      </c>
      <c r="B98">
        <v>206</v>
      </c>
      <c r="C98" s="373" t="s">
        <v>500</v>
      </c>
    </row>
    <row r="99" spans="1:3" x14ac:dyDescent="0.25">
      <c r="A99">
        <v>2023</v>
      </c>
      <c r="B99">
        <v>207</v>
      </c>
      <c r="C99" s="373" t="s">
        <v>500</v>
      </c>
    </row>
  </sheetData>
  <phoneticPr fontId="17" type="noConversion"/>
  <pageMargins left="0.7" right="0.7" top="0.75" bottom="0.75" header="0.3" footer="0.3"/>
  <drawing r:id="rId1"/>
  <tableParts count="10">
    <tablePart r:id="rId2"/>
    <tablePart r:id="rId3"/>
    <tablePart r:id="rId4"/>
    <tablePart r:id="rId5"/>
    <tablePart r:id="rId6"/>
    <tablePart r:id="rId7"/>
    <tablePart r:id="rId8"/>
    <tablePart r:id="rId9"/>
    <tablePart r:id="rId10"/>
    <tablePart r:id="rId1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5C8FB-6105-4E68-A490-08BC5DA96B9B}">
  <sheetPr>
    <tabColor theme="8" tint="0.39997558519241921"/>
    <pageSetUpPr fitToPage="1"/>
  </sheetPr>
  <dimension ref="A1:S108"/>
  <sheetViews>
    <sheetView showGridLines="0" topLeftCell="L66" zoomScale="70" zoomScaleNormal="70" workbookViewId="0">
      <selection activeCell="C105" sqref="C105"/>
    </sheetView>
  </sheetViews>
  <sheetFormatPr defaultColWidth="8.85546875" defaultRowHeight="15" x14ac:dyDescent="0.25"/>
  <cols>
    <col min="1" max="1" width="82.7109375" style="11" customWidth="1"/>
    <col min="2" max="4" width="30.7109375" style="11" customWidth="1"/>
    <col min="5" max="5" width="10.7109375" style="11" customWidth="1"/>
    <col min="6" max="6" width="82.7109375" style="11" customWidth="1"/>
    <col min="7" max="9" width="30.7109375" style="11" customWidth="1"/>
    <col min="10" max="10" width="10.7109375" style="11" customWidth="1"/>
    <col min="11" max="11" width="82.7109375" style="11" customWidth="1"/>
    <col min="12" max="14" width="30.7109375" style="11" customWidth="1"/>
    <col min="15" max="15" width="10.7109375" style="11" customWidth="1"/>
    <col min="16" max="16" width="82.7109375" style="11" customWidth="1"/>
    <col min="17" max="19" width="30.7109375" style="11" customWidth="1"/>
    <col min="20" max="16384" width="8.85546875" style="11"/>
  </cols>
  <sheetData>
    <row r="1" spans="1:19" ht="18.75" x14ac:dyDescent="0.3">
      <c r="A1" s="5" t="s">
        <v>45</v>
      </c>
      <c r="B1"/>
      <c r="C1"/>
      <c r="D1"/>
      <c r="E1"/>
      <c r="F1"/>
      <c r="G1"/>
      <c r="H1"/>
      <c r="I1"/>
      <c r="J1"/>
      <c r="K1"/>
      <c r="L1"/>
      <c r="M1"/>
      <c r="N1"/>
      <c r="O1"/>
      <c r="P1"/>
      <c r="Q1"/>
      <c r="R1"/>
      <c r="S1"/>
    </row>
    <row r="2" spans="1:19" ht="15.75" x14ac:dyDescent="0.25">
      <c r="A2" s="694" t="s">
        <v>510</v>
      </c>
      <c r="B2" s="694"/>
      <c r="C2" s="694"/>
      <c r="D2" s="694"/>
      <c r="E2" s="694"/>
      <c r="F2" s="694"/>
      <c r="G2" s="694"/>
      <c r="H2" s="694"/>
      <c r="I2" s="694"/>
      <c r="J2" s="694"/>
      <c r="K2" s="694"/>
      <c r="L2" s="694"/>
      <c r="M2" s="694"/>
      <c r="N2" s="694"/>
      <c r="O2"/>
      <c r="P2"/>
      <c r="Q2"/>
      <c r="R2"/>
      <c r="S2"/>
    </row>
    <row r="3" spans="1:19" ht="15.75" x14ac:dyDescent="0.25">
      <c r="A3"/>
      <c r="B3" s="12"/>
      <c r="C3" s="12"/>
      <c r="D3" s="12"/>
      <c r="E3" s="12"/>
      <c r="F3" s="12"/>
      <c r="G3" s="12"/>
      <c r="H3" s="12"/>
      <c r="I3" s="12"/>
      <c r="J3" s="12"/>
      <c r="K3" s="12"/>
      <c r="L3" s="12"/>
      <c r="M3" s="12"/>
      <c r="N3" s="12"/>
      <c r="O3" s="12"/>
      <c r="P3" s="12"/>
      <c r="Q3"/>
      <c r="R3"/>
      <c r="S3"/>
    </row>
    <row r="4" spans="1:19" ht="12.75" customHeight="1" x14ac:dyDescent="0.25">
      <c r="A4"/>
      <c r="B4"/>
      <c r="C4"/>
      <c r="D4"/>
      <c r="E4"/>
      <c r="F4"/>
      <c r="G4"/>
      <c r="H4"/>
      <c r="I4"/>
      <c r="J4"/>
      <c r="K4"/>
      <c r="L4"/>
      <c r="M4"/>
      <c r="N4"/>
      <c r="O4"/>
      <c r="P4"/>
      <c r="Q4"/>
      <c r="R4"/>
      <c r="S4"/>
    </row>
    <row r="5" spans="1:19" x14ac:dyDescent="0.25">
      <c r="A5" s="3" t="s">
        <v>511</v>
      </c>
      <c r="B5" s="48"/>
      <c r="C5" s="48"/>
      <c r="D5" s="48"/>
      <c r="E5" s="48"/>
      <c r="F5" s="3" t="s">
        <v>578</v>
      </c>
      <c r="G5" s="3"/>
      <c r="H5" s="3"/>
      <c r="I5" s="3"/>
      <c r="J5" s="48"/>
      <c r="K5" s="3" t="s">
        <v>579</v>
      </c>
      <c r="L5" s="3"/>
      <c r="M5" s="3"/>
      <c r="N5" s="3"/>
      <c r="O5" s="48"/>
      <c r="P5" s="48"/>
      <c r="Q5" s="48"/>
      <c r="R5" s="48"/>
      <c r="S5" s="48"/>
    </row>
    <row r="6" spans="1:19" ht="30" customHeight="1" x14ac:dyDescent="0.25">
      <c r="A6" s="685" t="s">
        <v>512</v>
      </c>
      <c r="B6" s="685"/>
      <c r="C6" s="685"/>
      <c r="D6" s="685"/>
      <c r="E6"/>
      <c r="F6"/>
      <c r="G6"/>
      <c r="H6"/>
      <c r="I6"/>
      <c r="J6" s="48"/>
      <c r="K6" s="685" t="s">
        <v>580</v>
      </c>
      <c r="L6" s="685"/>
      <c r="M6" s="685"/>
      <c r="N6" s="685"/>
      <c r="O6" s="48"/>
      <c r="P6" s="48"/>
      <c r="Q6" s="48"/>
      <c r="R6" s="48"/>
      <c r="S6" s="48"/>
    </row>
    <row r="7" spans="1:19" x14ac:dyDescent="0.25">
      <c r="A7" s="98" t="s">
        <v>513</v>
      </c>
      <c r="B7" s="99" t="s">
        <v>514</v>
      </c>
      <c r="C7" s="100" t="s">
        <v>515</v>
      </c>
      <c r="D7" s="101" t="s">
        <v>516</v>
      </c>
      <c r="E7"/>
      <c r="F7" s="98" t="s">
        <v>513</v>
      </c>
      <c r="G7" s="99" t="s">
        <v>514</v>
      </c>
      <c r="H7" s="100" t="s">
        <v>515</v>
      </c>
      <c r="I7" s="101" t="s">
        <v>516</v>
      </c>
      <c r="J7" s="48"/>
      <c r="K7" s="98" t="s">
        <v>513</v>
      </c>
      <c r="L7" s="99" t="s">
        <v>514</v>
      </c>
      <c r="M7" s="100" t="s">
        <v>515</v>
      </c>
      <c r="N7" s="101" t="s">
        <v>516</v>
      </c>
      <c r="O7" s="48"/>
      <c r="P7" s="48"/>
      <c r="Q7" s="48"/>
      <c r="R7" s="48"/>
      <c r="S7" s="48"/>
    </row>
    <row r="8" spans="1:19" x14ac:dyDescent="0.25">
      <c r="A8" s="157" t="s">
        <v>517</v>
      </c>
      <c r="B8" s="158">
        <f>SUM(B9:B11)</f>
        <v>0</v>
      </c>
      <c r="C8" s="158">
        <f>SUM(C9:C11)</f>
        <v>0</v>
      </c>
      <c r="D8" s="162" t="str">
        <f>IFERROR(Table1[[#This Row],[2022]]/Table1[[#This Row],[2021]]-1,"NA")</f>
        <v>NA</v>
      </c>
      <c r="E8"/>
      <c r="F8" s="157" t="s">
        <v>517</v>
      </c>
      <c r="G8" s="161">
        <f>SUM(G9:G11)</f>
        <v>0</v>
      </c>
      <c r="H8" s="161">
        <f>SUM(H9:H11)</f>
        <v>0</v>
      </c>
      <c r="I8" s="159" t="str">
        <f>IFERROR(Table1741[[#This Row],[2022]]/Table1741[[#This Row],[2021]]-1,"NA")</f>
        <v>NA</v>
      </c>
      <c r="J8" s="48"/>
      <c r="K8" s="157" t="s">
        <v>517</v>
      </c>
      <c r="L8" s="161" t="str">
        <f>IFERROR(Table1741[[#This Row],[2021]]/Table1[[#This Row],[2021]],"NA")</f>
        <v>NA</v>
      </c>
      <c r="M8" s="161" t="str">
        <f>IFERROR(Table1741[[#This Row],[2022]]/Table1[[#This Row],[2022]],"NA")</f>
        <v>NA</v>
      </c>
      <c r="N8" s="162" t="str">
        <f>IFERROR(Table17842[[#This Row],[2022]]/Table17842[[#This Row],[2021]]-1,"NA")</f>
        <v>NA</v>
      </c>
      <c r="O8" s="48"/>
      <c r="P8" s="48"/>
      <c r="Q8" s="48"/>
      <c r="R8" s="48"/>
      <c r="S8" s="48"/>
    </row>
    <row r="9" spans="1:19" x14ac:dyDescent="0.25">
      <c r="A9" s="128" t="s">
        <v>518</v>
      </c>
      <c r="B9" s="102">
        <f>SUMIFS(TM[[#All],[Member Months]],TM[[#All],[Reporting Year]],Table1[[#Headers],[2021]],TM[[#All],[Insurance Category Code]],1,TM[[#All],[Large Provider Entity Code]],100)</f>
        <v>0</v>
      </c>
      <c r="C9" s="102">
        <f>SUMIFS(TM[[#All],[Member Months]],TM[[#All],[Reporting Year]],Table1[[#Headers],[2022]],TM[[#All],[Insurance Category Code]],1,TM[[#All],[Large Provider Entity Code]],100)</f>
        <v>0</v>
      </c>
      <c r="D9" s="106" t="str">
        <f>IFERROR(Table1[[#This Row],[2022]]/Table1[[#This Row],[2021]]-1,"NA")</f>
        <v>NA</v>
      </c>
      <c r="E9"/>
      <c r="F9" s="128" t="s">
        <v>518</v>
      </c>
      <c r="G9" s="94">
        <f>SUMIFS(TM[[#All],[Total Truncated Expenses]],TM[[#All],[Reporting Year]],Table1741[[#Headers],[2021]],TM[[#All],[Insurance Category Code]],1,TM[[#All],[Large Provider Entity Code]],100)</f>
        <v>0</v>
      </c>
      <c r="H9" s="94">
        <f>SUMIFS(TM[[#All],[Total Truncated Expenses]],TM[[#All],[Reporting Year]],Table1741[[#Headers],[2022]],TM[[#All],[Insurance Category Code]],1,TM[[#All],[Large Provider Entity Code]],100)</f>
        <v>0</v>
      </c>
      <c r="I9" s="103" t="str">
        <f>IFERROR(Table1741[[#This Row],[2022]]/Table1741[[#This Row],[2021]]-1,"NA")</f>
        <v>NA</v>
      </c>
      <c r="J9" s="48"/>
      <c r="K9" s="128" t="s">
        <v>518</v>
      </c>
      <c r="L9" s="94" t="str">
        <f>IFERROR(Table1741[[#This Row],[2021]]/Table1[[#This Row],[2021]],"NA")</f>
        <v>NA</v>
      </c>
      <c r="M9" s="500" t="str">
        <f>IFERROR(Table1741[[#This Row],[2022]]/Table1[[#This Row],[2022]],"NA")</f>
        <v>NA</v>
      </c>
      <c r="N9" s="561" t="str">
        <f>IFERROR(Table17842[[#This Row],[2022]]/Table17842[[#This Row],[2021]]-1,"NA")</f>
        <v>NA</v>
      </c>
      <c r="O9" s="48"/>
      <c r="P9" s="48"/>
      <c r="Q9" s="48"/>
      <c r="R9" s="48"/>
      <c r="S9" s="48"/>
    </row>
    <row r="10" spans="1:19" x14ac:dyDescent="0.25">
      <c r="A10" s="128" t="s">
        <v>519</v>
      </c>
      <c r="B10" s="102">
        <f>SUMIFS(TM[[#All],[Member Months]],TM[[#All],[Reporting Year]],Table1[[#Headers],[2021]],TM[[#All],[Insurance Category Code]],5,TM[[#All],[Large Provider Entity Code]],100)</f>
        <v>0</v>
      </c>
      <c r="C10" s="102">
        <f>SUMIFS(TM[[#All],[Member Months]],TM[[#All],[Reporting Year]],Table1[[#Headers],[2022]],TM[[#All],[Insurance Category Code]],5,TM[[#All],[Large Provider Entity Code]],100)</f>
        <v>0</v>
      </c>
      <c r="D10" s="106" t="str">
        <f>IFERROR(Table1[[#This Row],[2022]]/Table1[[#This Row],[2021]]-1,"NA")</f>
        <v>NA</v>
      </c>
      <c r="E10"/>
      <c r="F10" s="128" t="s">
        <v>519</v>
      </c>
      <c r="G10" s="94">
        <f>SUMIFS(TM[[#All],[Total Truncated Expenses]],TM[[#All],[Reporting Year]],Table1741[[#Headers],[2021]],TM[[#All],[Insurance Category Code]],5,TM[[#All],[Large Provider Entity Code]],100)</f>
        <v>0</v>
      </c>
      <c r="H10" s="94">
        <f>SUMIFS(TM[[#All],[Total Truncated Expenses]],TM[[#All],[Reporting Year]],Table1741[[#Headers],[2022]],TM[[#All],[Insurance Category Code]],5,TM[[#All],[Large Provider Entity Code]],100)</f>
        <v>0</v>
      </c>
      <c r="I10" s="103" t="str">
        <f>IFERROR(Table1741[[#This Row],[2022]]/Table1741[[#This Row],[2021]]-1,"NA")</f>
        <v>NA</v>
      </c>
      <c r="J10" s="48"/>
      <c r="K10" s="128" t="s">
        <v>519</v>
      </c>
      <c r="L10" s="94" t="str">
        <f>IFERROR(Table1741[[#This Row],[2021]]/Table1[[#This Row],[2021]],"NA")</f>
        <v>NA</v>
      </c>
      <c r="M10" s="500" t="str">
        <f>IFERROR(Table1741[[#This Row],[2022]]/Table1[[#This Row],[2022]],"NA")</f>
        <v>NA</v>
      </c>
      <c r="N10" s="561" t="str">
        <f>IFERROR(Table17842[[#This Row],[2022]]/Table17842[[#This Row],[2021]]-1,"NA")</f>
        <v>NA</v>
      </c>
      <c r="O10" s="48"/>
      <c r="P10" s="48"/>
      <c r="Q10" s="48"/>
      <c r="R10" s="48"/>
      <c r="S10" s="48"/>
    </row>
    <row r="11" spans="1:19" x14ac:dyDescent="0.25">
      <c r="A11" s="128" t="s">
        <v>520</v>
      </c>
      <c r="B11" s="102">
        <f>SUMIFS(TM[[#All],[Member Months]],TM[[#All],[Reporting Year]],Table1[[#Headers],[2021]],TM[[#All],[Insurance Category Code]],8,TM[[#All],[Large Provider Entity Code]],100)</f>
        <v>0</v>
      </c>
      <c r="C11" s="102">
        <f>SUMIFS(TM[[#All],[Member Months]],TM[[#All],[Reporting Year]],Table1[[#Headers],[2022]],TM[[#All],[Insurance Category Code]],8,TM[[#All],[Large Provider Entity Code]],100)</f>
        <v>0</v>
      </c>
      <c r="D11" s="106" t="str">
        <f>IFERROR(Table1[[#This Row],[2022]]/Table1[[#This Row],[2021]]-1,"NA")</f>
        <v>NA</v>
      </c>
      <c r="E11"/>
      <c r="F11" s="128" t="s">
        <v>520</v>
      </c>
      <c r="G11" s="94">
        <f>SUMIFS(TM[[#All],[Total Truncated Expenses]],TM[[#All],[Reporting Year]],Table1741[[#Headers],[2021]],TM[[#All],[Insurance Category Code]],8,TM[[#All],[Large Provider Entity Code]],100)</f>
        <v>0</v>
      </c>
      <c r="H11" s="94">
        <f>SUMIFS(TM[[#All],[Total Truncated Expenses]],TM[[#All],[Reporting Year]],Table1741[[#Headers],[2022]],TM[[#All],[Insurance Category Code]],8,TM[[#All],[Large Provider Entity Code]],100)</f>
        <v>0</v>
      </c>
      <c r="I11" s="103" t="str">
        <f>IFERROR(Table1741[[#This Row],[2022]]/Table1741[[#This Row],[2021]]-1,"NA")</f>
        <v>NA</v>
      </c>
      <c r="J11" s="48"/>
      <c r="K11" s="128" t="s">
        <v>520</v>
      </c>
      <c r="L11" s="94" t="str">
        <f>IFERROR(Table1741[[#This Row],[2021]]/Table1[[#This Row],[2021]],"NA")</f>
        <v>NA</v>
      </c>
      <c r="M11" s="500" t="str">
        <f>IFERROR(Table1741[[#This Row],[2022]]/Table1[[#This Row],[2022]],"NA")</f>
        <v>NA</v>
      </c>
      <c r="N11" s="561" t="str">
        <f>IFERROR(Table17842[[#This Row],[2022]]/Table17842[[#This Row],[2021]]-1,"NA")</f>
        <v>NA</v>
      </c>
      <c r="O11" s="48"/>
      <c r="P11" s="48"/>
      <c r="Q11" s="48"/>
      <c r="R11" s="48"/>
      <c r="S11" s="48"/>
    </row>
    <row r="12" spans="1:19" x14ac:dyDescent="0.25">
      <c r="A12" s="157" t="s">
        <v>521</v>
      </c>
      <c r="B12" s="158">
        <f>SUM(B13:B14)</f>
        <v>0</v>
      </c>
      <c r="C12" s="158">
        <f>SUM(C13:C14)</f>
        <v>0</v>
      </c>
      <c r="D12" s="436" t="str">
        <f>IFERROR(Table1[[#This Row],[2022]]/Table1[[#This Row],[2021]]-1,"NA")</f>
        <v>NA</v>
      </c>
      <c r="E12"/>
      <c r="F12" s="157" t="s">
        <v>521</v>
      </c>
      <c r="G12" s="161">
        <f>SUM(G13:G14)</f>
        <v>0</v>
      </c>
      <c r="H12" s="161">
        <f>SUM(H13:H14)</f>
        <v>0</v>
      </c>
      <c r="I12" s="159" t="str">
        <f>IFERROR(Table1741[[#This Row],[2022]]/Table1741[[#This Row],[2021]]-1,"NA")</f>
        <v>NA</v>
      </c>
      <c r="J12" s="48"/>
      <c r="K12" s="157" t="s">
        <v>521</v>
      </c>
      <c r="L12" s="161" t="str">
        <f>IFERROR(Table1741[[#This Row],[2021]]/Table1[[#This Row],[2021]],"NA")</f>
        <v>NA</v>
      </c>
      <c r="M12" s="161" t="str">
        <f>IFERROR(Table1741[[#This Row],[2022]]/Table1[[#This Row],[2022]],"NA")</f>
        <v>NA</v>
      </c>
      <c r="N12" s="436" t="str">
        <f>IFERROR(Table17842[[#This Row],[2022]]/Table17842[[#This Row],[2021]]-1,"NA")</f>
        <v>NA</v>
      </c>
      <c r="O12" s="48"/>
      <c r="P12" s="48"/>
      <c r="Q12" s="48"/>
      <c r="R12" s="48"/>
      <c r="S12" s="48"/>
    </row>
    <row r="13" spans="1:19" x14ac:dyDescent="0.25">
      <c r="A13" s="128" t="s">
        <v>522</v>
      </c>
      <c r="B13" s="102">
        <f>SUMIFS(TM[[#All],[Member Months]],TM[[#All],[Reporting Year]],Table1[[#Headers],[2021]],TM[[#All],[Insurance Category Code]],2,TM[[#All],[Large Provider Entity Code]],100)</f>
        <v>0</v>
      </c>
      <c r="C13" s="102">
        <f>SUMIFS(TM[[#All],[Member Months]],TM[[#All],[Reporting Year]],Table1[[#Headers],[2022]],TM[[#All],[Insurance Category Code]],2,TM[[#All],[Large Provider Entity Code]],100)</f>
        <v>0</v>
      </c>
      <c r="D13" s="106" t="str">
        <f>IFERROR(Table1[[#This Row],[2022]]/Table1[[#This Row],[2021]]-1,"NA")</f>
        <v>NA</v>
      </c>
      <c r="E13"/>
      <c r="F13" s="128" t="s">
        <v>522</v>
      </c>
      <c r="G13" s="94">
        <f>SUMIFS(TM[[#All],[Total Truncated Expenses]],TM[[#All],[Reporting Year]],Table1741[[#Headers],[2021]],TM[[#All],[Insurance Category Code]],2,TM[[#All],[Large Provider Entity Code]],100)</f>
        <v>0</v>
      </c>
      <c r="H13" s="94">
        <f>SUMIFS(TM[[#All],[Total Truncated Expenses]],TM[[#All],[Reporting Year]],Table1741[[#Headers],[2022]],TM[[#All],[Insurance Category Code]],2,TM[[#All],[Large Provider Entity Code]],100)</f>
        <v>0</v>
      </c>
      <c r="I13" s="103" t="str">
        <f>IFERROR(Table1741[[#This Row],[2022]]/Table1741[[#This Row],[2021]]-1,"NA")</f>
        <v>NA</v>
      </c>
      <c r="J13" s="48"/>
      <c r="K13" s="128" t="s">
        <v>522</v>
      </c>
      <c r="L13" s="94" t="str">
        <f>IFERROR(Table1741[[#This Row],[2021]]/Table1[[#This Row],[2021]],"NA")</f>
        <v>NA</v>
      </c>
      <c r="M13" s="500" t="str">
        <f>IFERROR(Table1741[[#This Row],[2022]]/Table1[[#This Row],[2022]],"NA")</f>
        <v>NA</v>
      </c>
      <c r="N13" s="561" t="str">
        <f>IFERROR(Table17842[[#This Row],[2022]]/Table17842[[#This Row],[2021]]-1,"NA")</f>
        <v>NA</v>
      </c>
      <c r="O13" s="48"/>
      <c r="P13" s="48"/>
      <c r="Q13" s="48"/>
      <c r="R13" s="48"/>
      <c r="S13" s="48"/>
    </row>
    <row r="14" spans="1:19" x14ac:dyDescent="0.25">
      <c r="A14" s="128" t="s">
        <v>523</v>
      </c>
      <c r="B14" s="102">
        <f>SUMIFS(TM[[#All],[Member Months]],TM[[#All],[Reporting Year]],Table1[[#Headers],[2021]],TM[[#All],[Insurance Category Code]],6,TM[[#All],[Large Provider Entity Code]],100)</f>
        <v>0</v>
      </c>
      <c r="C14" s="102">
        <f>SUMIFS(TM[[#All],[Member Months]],TM[[#All],[Reporting Year]],Table1[[#Headers],[2022]],TM[[#All],[Insurance Category Code]],6,TM[[#All],[Large Provider Entity Code]],100)</f>
        <v>0</v>
      </c>
      <c r="D14" s="106" t="str">
        <f>IFERROR(Table1[[#This Row],[2022]]/Table1[[#This Row],[2021]]-1,"NA")</f>
        <v>NA</v>
      </c>
      <c r="E14"/>
      <c r="F14" s="128" t="s">
        <v>523</v>
      </c>
      <c r="G14" s="94">
        <f>SUMIFS(TM[[#All],[Total Truncated Expenses]],TM[[#All],[Reporting Year]],Table1741[[#Headers],[2021]],TM[[#All],[Insurance Category Code]],6,TM[[#All],[Large Provider Entity Code]],100)</f>
        <v>0</v>
      </c>
      <c r="H14" s="94">
        <f>SUMIFS(TM[[#All],[Total Truncated Expenses]],TM[[#All],[Reporting Year]],Table1741[[#Headers],[2022]],TM[[#All],[Insurance Category Code]],6,TM[[#All],[Large Provider Entity Code]],100)</f>
        <v>0</v>
      </c>
      <c r="I14" s="103" t="str">
        <f>IFERROR(Table1741[[#This Row],[2022]]/Table1741[[#This Row],[2021]]-1,"NA")</f>
        <v>NA</v>
      </c>
      <c r="J14" s="48"/>
      <c r="K14" s="128" t="s">
        <v>523</v>
      </c>
      <c r="L14" s="94" t="str">
        <f>IFERROR(Table1741[[#This Row],[2021]]/Table1[[#This Row],[2021]],"NA")</f>
        <v>NA</v>
      </c>
      <c r="M14" s="500" t="str">
        <f>IFERROR(Table1741[[#This Row],[2022]]/Table1[[#This Row],[2022]],"NA")</f>
        <v>NA</v>
      </c>
      <c r="N14" s="561" t="str">
        <f>IFERROR(Table17842[[#This Row],[2022]]/Table17842[[#This Row],[2021]]-1,"NA")</f>
        <v>NA</v>
      </c>
      <c r="O14" s="48"/>
      <c r="P14" s="48"/>
      <c r="Q14" s="48"/>
      <c r="R14" s="48"/>
      <c r="S14" s="48"/>
    </row>
    <row r="15" spans="1:19" x14ac:dyDescent="0.25">
      <c r="A15" s="157" t="s">
        <v>524</v>
      </c>
      <c r="B15" s="160">
        <f>SUM(B16:B18)</f>
        <v>0</v>
      </c>
      <c r="C15" s="160">
        <f>SUM(C16:C18)</f>
        <v>0</v>
      </c>
      <c r="D15" s="436" t="str">
        <f>IFERROR(Table1[[#This Row],[2022]]/Table1[[#This Row],[2021]]-1,"NA")</f>
        <v>NA</v>
      </c>
      <c r="E15"/>
      <c r="F15" s="157" t="s">
        <v>524</v>
      </c>
      <c r="G15" s="161">
        <f>SUM(G16:G18)</f>
        <v>0</v>
      </c>
      <c r="H15" s="161">
        <f>SUM(H16:H18)</f>
        <v>0</v>
      </c>
      <c r="I15" s="159" t="str">
        <f>IFERROR(Table1741[[#This Row],[2022]]/Table1741[[#This Row],[2021]]-1,"NA")</f>
        <v>NA</v>
      </c>
      <c r="J15" s="48"/>
      <c r="K15" s="157" t="s">
        <v>524</v>
      </c>
      <c r="L15" s="502" t="str">
        <f>IFERROR(Table1741[[#This Row],[2021]]/Table1[[#This Row],[2021]],"NA")</f>
        <v>NA</v>
      </c>
      <c r="M15" s="161" t="str">
        <f>IFERROR(Table1741[[#This Row],[2022]]/Table1[[#This Row],[2022]],"NA")</f>
        <v>NA</v>
      </c>
      <c r="N15" s="436" t="str">
        <f>IFERROR(Table17842[[#This Row],[2022]]/Table17842[[#This Row],[2021]]-1,"NA")</f>
        <v>NA</v>
      </c>
      <c r="O15" s="48"/>
      <c r="P15" s="48"/>
      <c r="Q15" s="48"/>
      <c r="R15" s="48"/>
      <c r="S15" s="48"/>
    </row>
    <row r="16" spans="1:19" x14ac:dyDescent="0.25">
      <c r="A16" s="128" t="s">
        <v>525</v>
      </c>
      <c r="B16" s="102">
        <f>SUMIFS(TM[[#All],[Member Months]],TM[[#All],[Reporting Year]],Table1[[#Headers],[2021]],TM[[#All],[Insurance Category Code]],3,TM[[#All],[Large Provider Entity Code]],100)</f>
        <v>0</v>
      </c>
      <c r="C16" s="102">
        <f>SUMIFS(TM[[#All],[Member Months]],TM[[#All],[Reporting Year]],Table1[[#Headers],[2022]],TM[[#All],[Insurance Category Code]],3,TM[[#All],[Large Provider Entity Code]],100)</f>
        <v>0</v>
      </c>
      <c r="D16" s="106" t="str">
        <f>IFERROR(Table1[[#This Row],[2022]]/Table1[[#This Row],[2021]]-1,"NA")</f>
        <v>NA</v>
      </c>
      <c r="E16"/>
      <c r="F16" s="128" t="s">
        <v>525</v>
      </c>
      <c r="G16" s="94">
        <f>SUMIFS(TM[[#All],[Total Truncated Expenses]],TM[[#All],[Reporting Year]],Table1741[[#Headers],[2021]],TM[[#All],[Insurance Category Code]],3,TM[[#All],[Large Provider Entity Code]],100)</f>
        <v>0</v>
      </c>
      <c r="H16" s="94">
        <f>SUMIFS(TM[[#All],[Total Truncated Expenses]],TM[[#All],[Reporting Year]],Table1741[[#Headers],[2022]],TM[[#All],[Insurance Category Code]],3,TM[[#All],[Large Provider Entity Code]],100)</f>
        <v>0</v>
      </c>
      <c r="I16" s="103" t="str">
        <f>IFERROR(Table1741[[#This Row],[2022]]/Table1741[[#This Row],[2021]]-1,"NA")</f>
        <v>NA</v>
      </c>
      <c r="J16" s="48"/>
      <c r="K16" s="128" t="s">
        <v>525</v>
      </c>
      <c r="L16" s="94" t="str">
        <f>IFERROR(Table1741[[#This Row],[2021]]/Table1[[#This Row],[2021]],"NA")</f>
        <v>NA</v>
      </c>
      <c r="M16" s="500" t="str">
        <f>IFERROR(Table1741[[#This Row],[2022]]/Table1[[#This Row],[2022]],"NA")</f>
        <v>NA</v>
      </c>
      <c r="N16" s="561" t="str">
        <f>IFERROR(Table17842[[#This Row],[2022]]/Table17842[[#This Row],[2021]]-1,"NA")</f>
        <v>NA</v>
      </c>
      <c r="O16" s="48"/>
      <c r="P16" s="48"/>
      <c r="Q16" s="48"/>
      <c r="R16" s="48"/>
      <c r="S16" s="48"/>
    </row>
    <row r="17" spans="1:19" x14ac:dyDescent="0.25">
      <c r="A17" s="128" t="s">
        <v>526</v>
      </c>
      <c r="B17" s="102">
        <f>SUMIFS(TM[[#All],[Member Months]],TM[[#All],[Reporting Year]],Table1[[#Headers],[2021]],TM[[#All],[Insurance Category Code]],4,TM[[#All],[Large Provider Entity Code]],100)</f>
        <v>0</v>
      </c>
      <c r="C17" s="102">
        <f>SUMIFS(TM[[#All],[Member Months]],TM[[#All],[Reporting Year]],Table1[[#Headers],[2022]],TM[[#All],[Insurance Category Code]],4,TM[[#All],[Large Provider Entity Code]],100)</f>
        <v>0</v>
      </c>
      <c r="D17" s="106" t="str">
        <f>IFERROR(Table1[[#This Row],[2022]]/Table1[[#This Row],[2021]]-1,"NA")</f>
        <v>NA</v>
      </c>
      <c r="E17"/>
      <c r="F17" s="128" t="s">
        <v>526</v>
      </c>
      <c r="G17" s="94">
        <f>SUMIFS(TM[[#All],[Total Non-Truncated Claims and Non-Claims Spending]],TM[[#All],[Reporting Year]],Table1741[[#Headers],[2021]],TM[[#All],[Insurance Category Code]],4,TM[[#All],[Large Provider Entity Code]],100)</f>
        <v>0</v>
      </c>
      <c r="H17" s="94">
        <f>SUMIFS(TM[[#All],[Total Non-Truncated Claims and Non-Claims Spending]],TM[[#All],[Reporting Year]],Table1741[[#Headers],[2022]],TM[[#All],[Insurance Category Code]],4,TM[[#All],[Large Provider Entity Code]],100)</f>
        <v>0</v>
      </c>
      <c r="I17" s="103" t="str">
        <f>IFERROR(Table1741[[#This Row],[2022]]/Table1741[[#This Row],[2021]]-1,"NA")</f>
        <v>NA</v>
      </c>
      <c r="J17" s="48"/>
      <c r="K17" s="128" t="s">
        <v>526</v>
      </c>
      <c r="L17" s="94" t="str">
        <f>IFERROR(Table1741[[#This Row],[2021]]/Table1[[#This Row],[2021]],"NA")</f>
        <v>NA</v>
      </c>
      <c r="M17" s="500" t="str">
        <f>IFERROR(Table1741[[#This Row],[2022]]/Table1[[#This Row],[2022]],"NA")</f>
        <v>NA</v>
      </c>
      <c r="N17" s="561" t="str">
        <f>IFERROR(Table17842[[#This Row],[2022]]/Table17842[[#This Row],[2021]]-1,"NA")</f>
        <v>NA</v>
      </c>
      <c r="O17" s="48"/>
      <c r="P17" s="48"/>
      <c r="Q17" s="48"/>
      <c r="R17" s="48"/>
      <c r="S17" s="48"/>
    </row>
    <row r="18" spans="1:19" ht="15.75" thickBot="1" x14ac:dyDescent="0.3">
      <c r="A18" s="128" t="s">
        <v>527</v>
      </c>
      <c r="B18" s="104">
        <f>SUMIFS(TM[[#All],[Member Months]],TM[[#All],[Reporting Year]],Table1[[#Headers],[2021]],TM[[#All],[Insurance Category Code]],7,TM[[#All],[Large Provider Entity Code]],100)</f>
        <v>0</v>
      </c>
      <c r="C18" s="104">
        <f>SUMIFS(TM[[#All],[Member Months]],TM[[#All],[Reporting Year]],Table1[[#Headers],[2022]],TM[[#All],[Insurance Category Code]],7,TM[[#All],[Large Provider Entity Code]],100)</f>
        <v>0</v>
      </c>
      <c r="D18" s="106" t="str">
        <f>IFERROR(Table1[[#This Row],[2022]]/Table1[[#This Row],[2021]]-1,"NA")</f>
        <v>NA</v>
      </c>
      <c r="E18"/>
      <c r="F18" s="128" t="s">
        <v>527</v>
      </c>
      <c r="G18" s="499">
        <f>SUMIFS(TM[[#All],[Total Truncated Expenses]],TM[[#All],[Reporting Year]],Table1741[[#Headers],[2021]],TM[[#All],[Insurance Category Code]],7,TM[[#All],[Large Provider Entity Code]],100)</f>
        <v>0</v>
      </c>
      <c r="H18" s="499">
        <f>SUMIFS(TM[[#All],[Total Truncated Expenses]],TM[[#All],[Reporting Year]],Table1741[[#Headers],[2022]],TM[[#All],[Insurance Category Code]],7,TM[[#All],[Large Provider Entity Code]],100)</f>
        <v>0</v>
      </c>
      <c r="I18" s="103" t="str">
        <f>IFERROR(Table1741[[#This Row],[2022]]/Table1741[[#This Row],[2021]]-1,"NA")</f>
        <v>NA</v>
      </c>
      <c r="J18" s="48"/>
      <c r="K18" s="128" t="s">
        <v>527</v>
      </c>
      <c r="L18" s="499" t="str">
        <f>IFERROR(Table1741[[#This Row],[2021]]/Table1[[#This Row],[2021]],"NA")</f>
        <v>NA</v>
      </c>
      <c r="M18" s="501" t="str">
        <f>IFERROR(Table1741[[#This Row],[2022]]/Table1[[#This Row],[2022]],"NA")</f>
        <v>NA</v>
      </c>
      <c r="N18" s="561" t="str">
        <f>IFERROR(Table17842[[#This Row],[2022]]/Table17842[[#This Row],[2021]]-1,"NA")</f>
        <v>NA</v>
      </c>
      <c r="O18" s="48"/>
      <c r="P18" s="48"/>
      <c r="Q18" s="48"/>
      <c r="R18" s="48"/>
      <c r="S18" s="48"/>
    </row>
    <row r="19" spans="1:19" ht="15.75" thickTop="1" x14ac:dyDescent="0.25">
      <c r="A19" s="82" t="s">
        <v>528</v>
      </c>
      <c r="B19" s="105">
        <f>SUM(B8,B12,B15)</f>
        <v>0</v>
      </c>
      <c r="C19" s="105">
        <f>SUM(C8,C12,C15)</f>
        <v>0</v>
      </c>
      <c r="D19" s="437" t="str">
        <f>IFERROR(Table1[[#This Row],[2022]]/Table1[[#This Row],[2021]]-1,"NA")</f>
        <v>NA</v>
      </c>
      <c r="E19"/>
      <c r="F19" s="82" t="s">
        <v>528</v>
      </c>
      <c r="G19" s="107">
        <f>SUM(G15,G8,G12)</f>
        <v>0</v>
      </c>
      <c r="H19" s="107">
        <f>SUM(H15,H8,H12)</f>
        <v>0</v>
      </c>
      <c r="I19" s="108" t="str">
        <f>IFERROR(Table1741[[#This Row],[2022]]/Table1741[[#This Row],[2021]]-1,"NA")</f>
        <v>NA</v>
      </c>
      <c r="J19" s="48"/>
      <c r="K19" s="82" t="s">
        <v>528</v>
      </c>
      <c r="L19" s="107" t="str">
        <f>IFERROR(Table1741[[#This Row],[2021]]/B19,"NA")</f>
        <v>NA</v>
      </c>
      <c r="M19" s="107" t="str">
        <f>IFERROR(Table1741[[#This Row],[2022]]/Table1[[#This Row],[2022]],"NA")</f>
        <v>NA</v>
      </c>
      <c r="N19" s="437" t="str">
        <f>IFERROR(Table17842[[#This Row],[2022]]/Table17842[[#This Row],[2021]]-1,"NA")</f>
        <v>NA</v>
      </c>
      <c r="O19" s="48"/>
      <c r="P19" s="48"/>
      <c r="Q19" s="48"/>
      <c r="R19" s="48"/>
      <c r="S19" s="48"/>
    </row>
    <row r="20" spans="1:19" x14ac:dyDescent="0.25">
      <c r="A20" s="48"/>
      <c r="B20" s="48"/>
      <c r="C20" s="48"/>
      <c r="D20" s="48"/>
      <c r="E20"/>
      <c r="F20" s="48"/>
      <c r="G20" s="48"/>
      <c r="H20" s="48"/>
      <c r="I20" s="48"/>
      <c r="J20" s="48"/>
      <c r="K20" s="48"/>
      <c r="L20" s="48"/>
      <c r="M20" s="48"/>
      <c r="N20" s="48"/>
      <c r="O20" s="48"/>
      <c r="P20" s="48"/>
      <c r="Q20" s="48"/>
      <c r="R20" s="48"/>
      <c r="S20" s="48"/>
    </row>
    <row r="21" spans="1:19" x14ac:dyDescent="0.25">
      <c r="A21" s="693" t="s">
        <v>529</v>
      </c>
      <c r="B21" s="693"/>
      <c r="C21" s="693"/>
      <c r="D21" s="693"/>
      <c r="E21" s="48"/>
      <c r="F21" s="693" t="s">
        <v>530</v>
      </c>
      <c r="G21" s="693"/>
      <c r="H21" s="693"/>
      <c r="I21" s="693"/>
      <c r="J21" s="48"/>
      <c r="K21" s="3" t="s">
        <v>531</v>
      </c>
      <c r="L21" s="3"/>
      <c r="M21" s="3"/>
      <c r="N21" s="3"/>
      <c r="O21"/>
      <c r="P21" s="3" t="s">
        <v>532</v>
      </c>
      <c r="Q21" s="3"/>
      <c r="R21" s="3"/>
      <c r="S21" s="3"/>
    </row>
    <row r="22" spans="1:19" ht="30" customHeight="1" x14ac:dyDescent="0.25">
      <c r="A22" s="685" t="s">
        <v>416</v>
      </c>
      <c r="B22" s="685"/>
      <c r="C22" s="685"/>
      <c r="D22" s="685"/>
      <c r="E22"/>
      <c r="F22" s="685" t="s">
        <v>416</v>
      </c>
      <c r="G22" s="685"/>
      <c r="H22" s="685"/>
      <c r="I22" s="685"/>
      <c r="J22"/>
      <c r="K22" s="685" t="s">
        <v>416</v>
      </c>
      <c r="L22" s="685"/>
      <c r="M22" s="685"/>
      <c r="N22" s="685"/>
      <c r="O22"/>
      <c r="P22" s="685" t="s">
        <v>416</v>
      </c>
      <c r="Q22" s="685"/>
      <c r="R22" s="685"/>
      <c r="S22" s="685"/>
    </row>
    <row r="23" spans="1:19" ht="45" customHeight="1" x14ac:dyDescent="0.25">
      <c r="A23" s="686" t="s">
        <v>587</v>
      </c>
      <c r="B23" s="686"/>
      <c r="C23" s="686"/>
      <c r="D23" s="686"/>
      <c r="E23"/>
      <c r="F23" s="686" t="s">
        <v>587</v>
      </c>
      <c r="G23" s="686"/>
      <c r="H23" s="686"/>
      <c r="I23" s="686"/>
      <c r="J23"/>
      <c r="K23" s="686" t="s">
        <v>587</v>
      </c>
      <c r="L23" s="686"/>
      <c r="M23" s="686"/>
      <c r="N23" s="686"/>
      <c r="O23"/>
      <c r="P23" s="686" t="s">
        <v>587</v>
      </c>
      <c r="Q23" s="686"/>
      <c r="R23" s="686"/>
      <c r="S23" s="686"/>
    </row>
    <row r="24" spans="1:19" ht="15.75" thickBot="1" x14ac:dyDescent="0.3">
      <c r="A24" s="109" t="s">
        <v>533</v>
      </c>
      <c r="B24" s="99" t="s">
        <v>514</v>
      </c>
      <c r="C24" s="100" t="s">
        <v>515</v>
      </c>
      <c r="D24" s="101" t="s">
        <v>516</v>
      </c>
      <c r="E24" s="48"/>
      <c r="F24" s="110" t="s">
        <v>533</v>
      </c>
      <c r="G24" s="111" t="s">
        <v>514</v>
      </c>
      <c r="H24" s="112" t="s">
        <v>515</v>
      </c>
      <c r="I24" s="113" t="s">
        <v>516</v>
      </c>
      <c r="J24" s="48"/>
      <c r="K24" s="109" t="s">
        <v>533</v>
      </c>
      <c r="L24" s="99" t="s">
        <v>514</v>
      </c>
      <c r="M24" s="100" t="s">
        <v>515</v>
      </c>
      <c r="N24" s="101" t="s">
        <v>516</v>
      </c>
      <c r="O24"/>
      <c r="P24" s="109" t="s">
        <v>533</v>
      </c>
      <c r="Q24" s="99" t="s">
        <v>514</v>
      </c>
      <c r="R24" s="100" t="s">
        <v>515</v>
      </c>
      <c r="S24" s="101" t="s">
        <v>516</v>
      </c>
    </row>
    <row r="25" spans="1:19" x14ac:dyDescent="0.25">
      <c r="A25" s="136" t="s">
        <v>577</v>
      </c>
      <c r="B25" s="137">
        <f>SUM(G25,L25, Q25)</f>
        <v>0</v>
      </c>
      <c r="C25" s="137">
        <f>SUM(H25,M25,R25)</f>
        <v>0</v>
      </c>
      <c r="D25" s="423" t="str">
        <f>IFERROR(Table9[[#This Row],[2022]]/Table9[[#This Row],[2021]]-1,"NA")</f>
        <v>NA</v>
      </c>
      <c r="E25" s="2"/>
      <c r="F25" s="136" t="s">
        <v>577</v>
      </c>
      <c r="G25" s="138">
        <f>SUMIFS(TM[[#All],[Member Months]],TM[[#All],[Reporting Year]],2021,TM[[#All],[Insurance Category Code]],3,TM[[#All],[Large Provider Entity Code]],100)</f>
        <v>0</v>
      </c>
      <c r="H25" s="138">
        <f>SUMIFS(TM[[#All],[Member Months]],TM[[#All],[Reporting Year]],2022,TM[[#All],[Insurance Category Code]],3,TM[[#All],[Large Provider Entity Code]],100)</f>
        <v>0</v>
      </c>
      <c r="I25" s="422" t="str">
        <f>IFERROR(Table911[[#This Row],[2022]]/Table911[[#This Row],[2021]]-1,"NA")</f>
        <v>NA</v>
      </c>
      <c r="J25"/>
      <c r="K25" s="136" t="s">
        <v>577</v>
      </c>
      <c r="L25" s="137">
        <f>SUMIFS(TM[[#All],[Member Months]],TM[[#All],[Reporting Year]],2021,TM[[#All],[Insurance Category Code]],4,TM[[#All],[Large Provider Entity Code]],100)</f>
        <v>0</v>
      </c>
      <c r="M25" s="137">
        <f>SUMIFS(TM[[#All],[Member Months]],TM[[#All],[Reporting Year]],2022,TM[[#All],[Insurance Category Code]],4,TM[[#All],[Large Provider Entity Code]],100)</f>
        <v>0</v>
      </c>
      <c r="N25" s="423" t="str">
        <f>IFERROR(M25/L25-1,"NA")</f>
        <v>NA</v>
      </c>
      <c r="O25"/>
      <c r="P25" s="136" t="s">
        <v>577</v>
      </c>
      <c r="Q25" s="137">
        <f>SUMIFS(TM[[#All],[Member Months]],TM[[#All],[Reporting Year]],2021,TM[[#All],[Insurance Category Code]],7,TM[[#All],[Large Provider Entity Code]],100)</f>
        <v>0</v>
      </c>
      <c r="R25" s="137">
        <f>SUMIFS(TM[[#All],[Member Months]],TM[[#All],[Reporting Year]],2022,TM[[#All],[Insurance Category Code]],7,TM[[#All],[Large Provider Entity Code]],100)</f>
        <v>0</v>
      </c>
      <c r="S25" s="423" t="str">
        <f>IFERROR(Table9111227[[#This Row],[2022]]/Table9111227[[#This Row],[2021]]-1,"NA")</f>
        <v>NA</v>
      </c>
    </row>
    <row r="26" spans="1:19" x14ac:dyDescent="0.25">
      <c r="A26" s="139" t="s">
        <v>582</v>
      </c>
      <c r="B26" s="7" t="str" cm="1">
        <f t="array" ref="B26">IFERROR((SUMPRODUCT(ICC3_MemberMonths_2021,G26)+SUMPRODUCT(ICC4_MemberMonths_2021,L26)+SUMPRODUCT(ICC7_MemberMonths_2021,Q26))/Commercial_MemberMonths_2021,"NA")</f>
        <v>NA</v>
      </c>
      <c r="C26" s="7" t="str">
        <f>IFERROR((SUMPRODUCT(H25,H26)+SUMPRODUCT(ICC4_MemberMonths_2022,M26)+SUMPRODUCT(ICC7_MemberMonths_2022,R26))/Commercial_MemberMonths_2022,"NA")</f>
        <v>NA</v>
      </c>
      <c r="D26" s="423" t="str">
        <f>IFERROR(Table9[[#This Row],[2022]]/Table9[[#This Row],[2021]]-1,"NA")</f>
        <v>NA</v>
      </c>
      <c r="E26"/>
      <c r="F26" s="139" t="s">
        <v>582</v>
      </c>
      <c r="G26" s="7" t="str">
        <f>IFERROR((SUMIFS(TM[[#All],[Claims: Hospital Inpatient]],TM[[#All],[Reporting Year]],2021,TM[[#All],[Insurance Category Code]],3,TM[[#All],[Large Provider Entity Code]],100))/_xlfn.SINGLE(ICC3_MemberMonths_2021),"NA")</f>
        <v>NA</v>
      </c>
      <c r="H26" s="7" t="str">
        <f>IFERROR((SUMIFS(TM[[#All],[Claims: Hospital Inpatient]],TM[[#All],[Reporting Year]],2022,TM[[#All],[Insurance Category Code]],3,TM[[#All],[Large Provider Entity Code]],100))/H25,"NA")</f>
        <v>NA</v>
      </c>
      <c r="I26" s="423" t="str">
        <f>IFERROR(Table911[[#This Row],[2022]]/Table911[[#This Row],[2021]]-1,"NA")</f>
        <v>NA</v>
      </c>
      <c r="J26"/>
      <c r="K26" s="139" t="s">
        <v>582</v>
      </c>
      <c r="L26" s="7" t="str" cm="1">
        <f t="array" ref="L26">IFERROR((SUMIFS(TM[[#All],[Claims: Hospital Inpatient]],TM[[#All],[Reporting Year]],2021,TM[[#All],[Insurance Category Code]],4,TM[[#All],[Large Provider Entity Code]],100))/ICC4_MemberMonths_2021,"NA")</f>
        <v>NA</v>
      </c>
      <c r="M26" s="7" t="str" cm="1">
        <f t="array" ref="M26">IFERROR((SUMIFS(TM[[#All],[Claims: Hospital Inpatient]],TM[[#All],[Reporting Year]],2022,TM[[#All],[Insurance Category Code]],4,TM[[#All],[Large Provider Entity Code]],100))/ICC4_MemberMonths_2022,"NA")</f>
        <v>NA</v>
      </c>
      <c r="N26" s="423" t="str">
        <f t="shared" ref="N26:N33" si="0">IFERROR(M26/L26-1,"NA")</f>
        <v>NA</v>
      </c>
      <c r="O26"/>
      <c r="P26" s="139" t="s">
        <v>582</v>
      </c>
      <c r="Q26" s="7" t="str" cm="1">
        <f t="array" ref="Q26">IFERROR((SUMIFS(TM[[#All],[Claims: Hospital Inpatient]],TM[[#All],[Reporting Year]],2021,TM[[#All],[Insurance Category Code]],7,TM[[#All],[Large Provider Entity Code]],100))/ICC7_MemberMonths_2021,"NA")</f>
        <v>NA</v>
      </c>
      <c r="R26" s="7" t="str" cm="1">
        <f t="array" ref="R26">IFERROR((SUMIFS(TM[[#All],[Claims: Hospital Inpatient]],TM[[#All],[Reporting Year]],2022,TM[[#All],[Insurance Category Code]],7,TM[[#All],[Large Provider Entity Code]],100))/ICC7_MemberMonths_2022,"NA")</f>
        <v>NA</v>
      </c>
      <c r="S26" s="423" t="str">
        <f>IFERROR(Table9111227[[#This Row],[2022]]/Table9111227[[#This Row],[2021]]-1,"NA")</f>
        <v>NA</v>
      </c>
    </row>
    <row r="27" spans="1:19" x14ac:dyDescent="0.25">
      <c r="A27" s="139" t="s">
        <v>583</v>
      </c>
      <c r="B27" s="7" t="str" cm="1">
        <f t="array" ref="B27">IFERROR((SUMPRODUCT(ICC3_MemberMonths_2021,G27)+SUMPRODUCT(ICC4_MemberMonths_2021,L27)+SUMPRODUCT(ICC7_MemberMonths_2021,Q27))/Commercial_MemberMonths_2021,"NA")</f>
        <v>NA</v>
      </c>
      <c r="C27" s="7" t="str">
        <f>IFERROR((SUMPRODUCT(H25,H27)+SUMPRODUCT(ICC4_MemberMonths_2022,M27)+SUMPRODUCT(ICC7_MemberMonths_2022,R27))/Commercial_MemberMonths_2022,"NA")</f>
        <v>NA</v>
      </c>
      <c r="D27" s="423" t="str">
        <f>IFERROR(Table9[[#This Row],[2022]]/Table9[[#This Row],[2021]]-1,"NA")</f>
        <v>NA</v>
      </c>
      <c r="E27"/>
      <c r="F27" s="139" t="s">
        <v>583</v>
      </c>
      <c r="G27" s="7" t="str">
        <f>IFERROR((SUMIFS(TM[[#All],[Claims: Hospital Outpatient]],TM[[#All],[Reporting Year]],2021,TM[[#All],[Insurance Category Code]],3,TM[[#All],[Large Provider Entity Code]],100))/ICC3_MemberMonths_2021,"NA")</f>
        <v>NA</v>
      </c>
      <c r="H27" s="7" t="str">
        <f>IFERROR((SUMIFS(TM[[#All],[Claims: Hospital Outpatient]],TM[[#All],[Reporting Year]],2022,TM[[#All],[Insurance Category Code]],3,TM[[#All],[Large Provider Entity Code]],100))/H25,"NA")</f>
        <v>NA</v>
      </c>
      <c r="I27" s="423" t="str">
        <f>IFERROR(Table911[[#This Row],[2022]]/Table911[[#This Row],[2021]]-1,"NA")</f>
        <v>NA</v>
      </c>
      <c r="J27"/>
      <c r="K27" s="139" t="s">
        <v>583</v>
      </c>
      <c r="L27" s="7" t="str" cm="1">
        <f t="array" ref="L27">IFERROR((SUMIFS(TM[[#All],[Claims: Hospital Outpatient]],TM[[#All],[Reporting Year]],2021,TM[[#All],[Insurance Category Code]],4,TM[[#All],[Large Provider Entity Code]],100))/ICC4_MemberMonths_2021,"NA")</f>
        <v>NA</v>
      </c>
      <c r="M27" s="7" t="str" cm="1">
        <f t="array" ref="M27">IFERROR((SUMIFS(TM[[#All],[Claims: Hospital Outpatient]],TM[[#All],[Reporting Year]],2022,TM[[#All],[Insurance Category Code]],4,TM[[#All],[Large Provider Entity Code]],100))/ICC4_MemberMonths_2022,"NA")</f>
        <v>NA</v>
      </c>
      <c r="N27" s="423" t="str">
        <f t="shared" si="0"/>
        <v>NA</v>
      </c>
      <c r="O27"/>
      <c r="P27" s="139" t="s">
        <v>583</v>
      </c>
      <c r="Q27" s="7" t="str" cm="1">
        <f t="array" ref="Q27">IFERROR((SUMIFS(TM[[#All],[Claims: Hospital Outpatient]],TM[[#All],[Reporting Year]],2021,TM[[#All],[Insurance Category Code]],7,TM[[#All],[Large Provider Entity Code]],100))/ICC7_MemberMonths_2021,"NA")</f>
        <v>NA</v>
      </c>
      <c r="R27" s="7" t="str" cm="1">
        <f t="array" ref="R27">IFERROR((SUMIFS(TM[[#All],[Claims: Hospital Outpatient]],TM[[#All],[Reporting Year]],2022,TM[[#All],[Insurance Category Code]],7,TM[[#All],[Large Provider Entity Code]],100))/ICC7_MemberMonths_2022,"NA")</f>
        <v>NA</v>
      </c>
      <c r="S27" s="423" t="str">
        <f>IFERROR(Table9111227[[#This Row],[2022]]/Table9111227[[#This Row],[2021]]-1,"NA")</f>
        <v>NA</v>
      </c>
    </row>
    <row r="28" spans="1:19" x14ac:dyDescent="0.25">
      <c r="A28" s="139" t="s">
        <v>584</v>
      </c>
      <c r="B28" s="7" t="str" cm="1">
        <f t="array" ref="B28">IFERROR((SUMPRODUCT(ICC3_MemberMonths_2021,G28)+SUMPRODUCT(ICC4_MemberMonths_2021,L28)+SUMPRODUCT(ICC7_MemberMonths_2021,Q28))/Commercial_MemberMonths_2021,"NA")</f>
        <v>NA</v>
      </c>
      <c r="C28" s="7" t="str">
        <f>IFERROR((SUMPRODUCT(H25,H28)+SUMPRODUCT(ICC4_MemberMonths_2022,M28)+SUMPRODUCT(ICC7_MemberMonths_2022,R28))/Commercial_MemberMonths_2022,"NA")</f>
        <v>NA</v>
      </c>
      <c r="D28" s="423" t="str">
        <f>IFERROR(Table9[[#This Row],[2022]]/Table9[[#This Row],[2021]]-1,"NA")</f>
        <v>NA</v>
      </c>
      <c r="E28"/>
      <c r="F28" s="139" t="s">
        <v>584</v>
      </c>
      <c r="G28" s="7" t="str" cm="1">
        <f t="array" ref="G28">IFERROR((SUMIFS(TM[[#All],[Claims: Professional, Primary Care Providers]],TM[[#All],[Reporting Year]],2021,TM[[#All],[Insurance Category Code]],3,TM[[#All],[Large Provider Entity Code]],100))/ICC3_MemberMonths_2021,"NA")</f>
        <v>NA</v>
      </c>
      <c r="H28" s="7" t="str">
        <f>IFERROR((SUMIFS(TM[[#All],[Claims: Professional, Primary Care Providers]],TM[[#All],[Reporting Year]],2022,TM[[#All],[Insurance Category Code]],3,TM[[#All],[Large Provider Entity Code]],100))/H25,"NA")</f>
        <v>NA</v>
      </c>
      <c r="I28" s="423" t="str">
        <f>IFERROR(Table911[[#This Row],[2022]]/Table911[[#This Row],[2021]]-1,"NA")</f>
        <v>NA</v>
      </c>
      <c r="J28"/>
      <c r="K28" s="139" t="s">
        <v>584</v>
      </c>
      <c r="L28" s="7" t="str" cm="1">
        <f t="array" ref="L28">IFERROR((SUMIFS(TM[[#All],[Claims: Professional, Primary Care Providers]],TM[[#All],[Reporting Year]],2021,TM[[#All],[Insurance Category Code]],4,TM[[#All],[Large Provider Entity Code]],100))/ICC4_MemberMonths_2021,"NA")</f>
        <v>NA</v>
      </c>
      <c r="M28" s="7" t="str" cm="1">
        <f t="array" ref="M28">IFERROR((SUMIFS(TM[[#All],[Claims: Professional, Primary Care Providers]],TM[[#All],[Reporting Year]],2022,TM[[#All],[Insurance Category Code]],4,TM[[#All],[Large Provider Entity Code]],100))/ICC4_MemberMonths_2022,"NA")</f>
        <v>NA</v>
      </c>
      <c r="N28" s="423" t="str">
        <f t="shared" si="0"/>
        <v>NA</v>
      </c>
      <c r="O28"/>
      <c r="P28" s="139" t="s">
        <v>584</v>
      </c>
      <c r="Q28" s="7" t="str" cm="1">
        <f t="array" ref="Q28">IFERROR((SUMIFS(TM[[#All],[Claims: Professional, Primary Care Providers]],TM[[#All],[Reporting Year]],2021,TM[[#All],[Insurance Category Code]],7,TM[[#All],[Large Provider Entity Code]],100))/ICC7_MemberMonths_2021,"NA")</f>
        <v>NA</v>
      </c>
      <c r="R28" s="7" t="str" cm="1">
        <f t="array" ref="R28">IFERROR((SUMIFS(TM[[#All],[Claims: Professional, Primary Care Providers]],TM[[#All],[Reporting Year]],2022,TM[[#All],[Insurance Category Code]],7,TM[[#All],[Large Provider Entity Code]],100))/ICC7_MemberMonths_2022,"NA")</f>
        <v>NA</v>
      </c>
      <c r="S28" s="423" t="str">
        <f>IFERROR(Table9111227[[#This Row],[2022]]/Table9111227[[#This Row],[2021]]-1,"NA")</f>
        <v>NA</v>
      </c>
    </row>
    <row r="29" spans="1:19" x14ac:dyDescent="0.25">
      <c r="A29" s="139" t="s">
        <v>585</v>
      </c>
      <c r="B29" s="7" t="str" cm="1">
        <f t="array" ref="B29">IFERROR((SUMPRODUCT(ICC3_MemberMonths_2021,G29)+SUMPRODUCT(ICC4_MemberMonths_2021,L29)+SUMPRODUCT(ICC7_MemberMonths_2021,Q29))/Commercial_MemberMonths_2021,"NA")</f>
        <v>NA</v>
      </c>
      <c r="C29" s="7" t="str">
        <f>IFERROR((SUMPRODUCT(H25,H29)+SUMPRODUCT(ICC4_MemberMonths_2022,M29)+SUMPRODUCT(ICC7_MemberMonths_2022,R29))/Commercial_MemberMonths_2022,"NA")</f>
        <v>NA</v>
      </c>
      <c r="D29" s="423" t="str">
        <f>IFERROR(Table9[[#This Row],[2022]]/Table9[[#This Row],[2021]]-1,"NA")</f>
        <v>NA</v>
      </c>
      <c r="E29"/>
      <c r="F29" s="139" t="s">
        <v>585</v>
      </c>
      <c r="G29" s="7" t="str" cm="1">
        <f t="array" ref="G29">IFERROR((SUMIFS(TM[[#All],[Claims: Professional, Specialty Providers]],TM[[#All],[Reporting Year]],2021,TM[[#All],[Insurance Category Code]],3,TM[[#All],[Large Provider Entity Code]],100))/ICC3_MemberMonths_2021,"NA")</f>
        <v>NA</v>
      </c>
      <c r="H29" s="7" t="str">
        <f>IFERROR((SUMIFS(TM[[#All],[Claims: Professional, Specialty Providers]],TM[[#All],[Reporting Year]],2022,TM[[#All],[Insurance Category Code]],3,TM[[#All],[Large Provider Entity Code]],100))/H25,"NA")</f>
        <v>NA</v>
      </c>
      <c r="I29" s="423" t="str">
        <f>IFERROR(Table911[[#This Row],[2022]]/Table911[[#This Row],[2021]]-1,"NA")</f>
        <v>NA</v>
      </c>
      <c r="J29"/>
      <c r="K29" s="139" t="s">
        <v>585</v>
      </c>
      <c r="L29" s="7" t="str" cm="1">
        <f t="array" ref="L29">IFERROR((SUMIFS(TM[[#All],[Claims: Professional, Specialty Providers]],TM[[#All],[Reporting Year]],2021,TM[[#All],[Insurance Category Code]],4,TM[[#All],[Large Provider Entity Code]],100))/ICC4_MemberMonths_2021,"NA")</f>
        <v>NA</v>
      </c>
      <c r="M29" s="7" t="str" cm="1">
        <f t="array" ref="M29">IFERROR((SUMIFS(TM[[#All],[Claims: Professional, Specialty Providers]],TM[[#All],[Reporting Year]],2022,TM[[#All],[Insurance Category Code]],4,TM[[#All],[Large Provider Entity Code]],100))/ICC4_MemberMonths_2022,"NA")</f>
        <v>NA</v>
      </c>
      <c r="N29" s="423" t="str">
        <f t="shared" si="0"/>
        <v>NA</v>
      </c>
      <c r="O29"/>
      <c r="P29" s="139" t="s">
        <v>585</v>
      </c>
      <c r="Q29" s="7" t="str" cm="1">
        <f t="array" ref="Q29">IFERROR((SUMIFS(TM[[#All],[Claims: Professional, Specialty Providers]],TM[[#All],[Reporting Year]],2021,TM[[#All],[Insurance Category Code]],7,TM[[#All],[Large Provider Entity Code]],100))/ICC7_MemberMonths_2021,"NA")</f>
        <v>NA</v>
      </c>
      <c r="R29" s="7" t="str" cm="1">
        <f t="array" ref="R29">IFERROR((SUMIFS(TM[[#All],[Claims: Professional, Specialty Providers]],TM[[#All],[Reporting Year]],2022,TM[[#All],[Insurance Category Code]],7,TM[[#All],[Large Provider Entity Code]],100))/ICC7_MemberMonths_2022,"NA")</f>
        <v>NA</v>
      </c>
      <c r="S29" s="423" t="str">
        <f>IFERROR(Table9111227[[#This Row],[2022]]/Table9111227[[#This Row],[2021]]-1,"NA")</f>
        <v>NA</v>
      </c>
    </row>
    <row r="30" spans="1:19" x14ac:dyDescent="0.25">
      <c r="A30" s="139" t="s">
        <v>586</v>
      </c>
      <c r="B30" s="7" t="str" cm="1">
        <f t="array" ref="B30">IFERROR((SUMPRODUCT(ICC3_MemberMonths_2021,G30)+SUMPRODUCT(ICC4_MemberMonths_2021,L30)+SUMPRODUCT(ICC7_MemberMonths_2021,Q30))/Commercial_MemberMonths_2021,"NA")</f>
        <v>NA</v>
      </c>
      <c r="C30" s="7" t="str">
        <f>IFERROR((SUMPRODUCT(H25,H30)+SUMPRODUCT(ICC4_MemberMonths_2022,M30)+SUMPRODUCT(ICC7_MemberMonths_2022,R30))/Commercial_MemberMonths_2022,"NA")</f>
        <v>NA</v>
      </c>
      <c r="D30" s="423" t="str">
        <f>IFERROR(Table9[[#This Row],[2022]]/Table9[[#This Row],[2021]]-1,"NA")</f>
        <v>NA</v>
      </c>
      <c r="E30"/>
      <c r="F30" s="139" t="s">
        <v>586</v>
      </c>
      <c r="G30" s="7" t="str" cm="1">
        <f t="array" ref="G30">IFERROR((SUMIFS(TM[[#All],[Claims: Professional, Other Providers]],TM[[#All],[Reporting Year]],2021,TM[[#All],[Insurance Category Code]],3,TM[[#All],[Large Provider Entity Code]],100))/ICC3_MemberMonths_2021,"NA")</f>
        <v>NA</v>
      </c>
      <c r="H30" s="7" t="str">
        <f>IFERROR((SUMIFS(TM[[#All],[Claims: Professional, Other Providers]],TM[[#All],[Reporting Year]],2022,TM[[#All],[Insurance Category Code]],3,TM[[#All],[Large Provider Entity Code]],100))/H25,"NA")</f>
        <v>NA</v>
      </c>
      <c r="I30" s="423" t="str">
        <f>IFERROR(Table911[[#This Row],[2022]]/Table911[[#This Row],[2021]]-1,"NA")</f>
        <v>NA</v>
      </c>
      <c r="J30"/>
      <c r="K30" s="139" t="s">
        <v>586</v>
      </c>
      <c r="L30" s="7" t="str">
        <f>IFERROR((SUMIFS(TM[[#All],[Claims: Professional, Other Providers]],TM[[#All],[Reporting Year]],2021,TM[[#All],[Insurance Category Code]],4,TM[[#All],[Large Provider Entity Code]],100))/ICC4_MemberMonths_2021,"NA")</f>
        <v>NA</v>
      </c>
      <c r="M30" s="7" t="str" cm="1">
        <f t="array" ref="M30">IFERROR((SUMIFS(TM[[#All],[Claims: Professional, Other Providers]],TM[[#All],[Reporting Year]],2022,TM[[#All],[Insurance Category Code]],4,TM[[#All],[Large Provider Entity Code]],100))/ICC4_MemberMonths_2022,"NA")</f>
        <v>NA</v>
      </c>
      <c r="N30" s="423" t="str">
        <f t="shared" si="0"/>
        <v>NA</v>
      </c>
      <c r="O30"/>
      <c r="P30" s="139" t="s">
        <v>586</v>
      </c>
      <c r="Q30" s="7" t="str" cm="1">
        <f t="array" ref="Q30">IFERROR((SUMIFS(TM[[#All],[Claims: Professional, Other Providers]],TM[[#All],[Reporting Year]],2021,TM[[#All],[Insurance Category Code]],7,TM[[#All],[Large Provider Entity Code]],100))/ICC7_MemberMonths_2021,"NA")</f>
        <v>NA</v>
      </c>
      <c r="R30" s="7" t="str" cm="1">
        <f t="array" ref="R30">IFERROR((SUMIFS(TM[[#All],[Claims: Professional, Other Providers]],TM[[#All],[Reporting Year]],2022,TM[[#All],[Insurance Category Code]],7,TM[[#All],[Large Provider Entity Code]],100))/ICC7_MemberMonths_2022,"NA")</f>
        <v>NA</v>
      </c>
      <c r="S30" s="423" t="str">
        <f>IFERROR(Table9111227[[#This Row],[2022]]/Table9111227[[#This Row],[2021]]-1,"NA")</f>
        <v>NA</v>
      </c>
    </row>
    <row r="31" spans="1:19" x14ac:dyDescent="0.25">
      <c r="A31" s="139" t="s">
        <v>588</v>
      </c>
      <c r="B31" s="7" t="str" cm="1">
        <f t="array" ref="B31">IFERROR((SUMPRODUCT(ICC3_MemberMonths_2021,G31)+SUMPRODUCT(ICC4_MemberMonths_2021,L31)+SUMPRODUCT(ICC7_MemberMonths_2021,Q31))/Commercial_MemberMonths_2021,"NA")</f>
        <v>NA</v>
      </c>
      <c r="C31" s="7" t="str">
        <f>IFERROR((SUMPRODUCT(H25,H31)+SUMPRODUCT(ICC4_MemberMonths_2022,M31)+SUMPRODUCT(ICC7_MemberMonths_2022,R31))/Commercial_MemberMonths_2022,"NA")</f>
        <v>NA</v>
      </c>
      <c r="D31" s="423" t="str">
        <f>IFERROR(Table9[[#This Row],[2022]]/Table9[[#This Row],[2021]]-1,"NA")</f>
        <v>NA</v>
      </c>
      <c r="E31"/>
      <c r="F31" s="139" t="s">
        <v>588</v>
      </c>
      <c r="G31" s="7" t="str" cm="1">
        <f t="array" ref="G31">IFERROR((SUMIFS(TM[[#All],[Claims: Long-Term Care]],TM[[#All],[Reporting Year]],2021,TM[[#All],[Insurance Category Code]],3,TM[[#All],[Large Provider Entity Code]],100))/ICC3_MemberMonths_2021,"NA")</f>
        <v>NA</v>
      </c>
      <c r="H31" s="7" t="str">
        <f>IFERROR((SUMIFS(TM[[#All],[Claims: Long-Term Care]],TM[[#All],[Reporting Year]],2022,TM[[#All],[Insurance Category Code]],3,TM[[#All],[Large Provider Entity Code]],100))/H25,"NA")</f>
        <v>NA</v>
      </c>
      <c r="I31" s="423" t="str">
        <f>IFERROR(Table911[[#This Row],[2022]]/Table911[[#This Row],[2021]]-1,"NA")</f>
        <v>NA</v>
      </c>
      <c r="J31"/>
      <c r="K31" s="139" t="s">
        <v>588</v>
      </c>
      <c r="L31" s="7" t="str" cm="1">
        <f t="array" ref="L31">IFERROR((SUMIFS(TM[[#All],[Claims: Long-Term Care]],TM[[#All],[Reporting Year]],2021,TM[[#All],[Insurance Category Code]],4,TM[[#All],[Large Provider Entity Code]],100))/ICC4_MemberMonths_2021,"NA")</f>
        <v>NA</v>
      </c>
      <c r="M31" s="7" t="str" cm="1">
        <f t="array" ref="M31">IFERROR((SUMIFS(TM[[#All],[Claims: Long-Term Care]],TM[[#All],[Reporting Year]],2022,TM[[#All],[Insurance Category Code]],4,TM[[#All],[Large Provider Entity Code]],100))/ICC4_MemberMonths_2022,"NA")</f>
        <v>NA</v>
      </c>
      <c r="N31" s="423" t="str">
        <f>IFERROR(M31/L31-1,"NA")</f>
        <v>NA</v>
      </c>
      <c r="O31"/>
      <c r="P31" s="139" t="s">
        <v>588</v>
      </c>
      <c r="Q31" s="7" t="str" cm="1">
        <f t="array" ref="Q31">IFERROR((SUMIFS(TM[[#All],[Claims: Long-Term Care]],TM[[#All],[Reporting Year]],2021,TM[[#All],[Insurance Category Code]],7,TM[[#All],[Large Provider Entity Code]],100))/ICC7_MemberMonths_2021,"NA")</f>
        <v>NA</v>
      </c>
      <c r="R31" s="7" t="str" cm="1">
        <f t="array" ref="R31">IFERROR((SUMIFS(TM[[#All],[Claims: Long-Term Care]],TM[[#All],[Reporting Year]],2022,TM[[#All],[Insurance Category Code]],7,TM[[#All],[Large Provider Entity Code]],100))/ICC7_MemberMonths_2022,"NA")</f>
        <v>NA</v>
      </c>
      <c r="S31" s="423" t="str">
        <f>IFERROR(Table9111227[[#This Row],[2022]]/Table9111227[[#This Row],[2021]]-1,"NA")</f>
        <v>NA</v>
      </c>
    </row>
    <row r="32" spans="1:19" x14ac:dyDescent="0.25">
      <c r="A32" s="139" t="s">
        <v>589</v>
      </c>
      <c r="B32" s="7" t="str" cm="1">
        <f t="array" ref="B32">IFERROR((SUMPRODUCT(ICC3_MemberMonths_2021,G32)+SUMPRODUCT(ICC4_MemberMonths_2021,L32)+SUMPRODUCT(ICC7_MemberMonths_2021,Q32))/Commercial_MemberMonths_2021,"NA")</f>
        <v>NA</v>
      </c>
      <c r="C32" s="7" t="str">
        <f>IFERROR((SUMPRODUCT(H25,H32)+SUMPRODUCT(ICC4_MemberMonths_2022,M32)+SUMPRODUCT(ICC7_MemberMonths_2022,R32))/Commercial_MemberMonths_2022,"NA")</f>
        <v>NA</v>
      </c>
      <c r="D32" s="423" t="str">
        <f>IFERROR(Table9[[#This Row],[2022]]/Table9[[#This Row],[2021]]-1,"NA")</f>
        <v>NA</v>
      </c>
      <c r="E32"/>
      <c r="F32" s="139" t="s">
        <v>589</v>
      </c>
      <c r="G32" s="7" t="str" cm="1">
        <f t="array" ref="G32">IFERROR((SUMIFS(TM[[#All],[Claims: Retail Pharmacy]],TM[[#All],[Reporting Year]],2021,TM[[#All],[Insurance Category Code]],3,TM[[#All],[Large Provider Entity Code]],100))/ICC3_MemberMonths_2021,"NA")</f>
        <v>NA</v>
      </c>
      <c r="H32" s="7" t="str">
        <f>IFERROR((SUMIFS(TM[[#All],[Claims: Retail Pharmacy]],TM[[#All],[Reporting Year]],2022,TM[[#All],[Insurance Category Code]],3,TM[[#All],[Large Provider Entity Code]],100))/H25,"NA")</f>
        <v>NA</v>
      </c>
      <c r="I32" s="423" t="str">
        <f>IFERROR(Table911[[#This Row],[2022]]/Table911[[#This Row],[2021]]-1,"NA")</f>
        <v>NA</v>
      </c>
      <c r="J32"/>
      <c r="K32" s="139" t="s">
        <v>589</v>
      </c>
      <c r="L32" s="7" t="str" cm="1">
        <f t="array" ref="L32">IFERROR((SUMIFS(TM[[#All],[Claims: Retail Pharmacy]],TM[[#All],[Reporting Year]],2021,TM[[#All],[Insurance Category Code]],4,TM[[#All],[Large Provider Entity Code]],100))/ICC4_MemberMonths_2021,"NA")</f>
        <v>NA</v>
      </c>
      <c r="M32" s="7" t="str" cm="1">
        <f t="array" ref="M32">IFERROR((SUMIFS(TM[[#All],[Claims: Retail Pharmacy]],TM[[#All],[Reporting Year]],2022,TM[[#All],[Insurance Category Code]],4,TM[[#All],[Large Provider Entity Code]],100))/ICC4_MemberMonths_2022,"NA")</f>
        <v>NA</v>
      </c>
      <c r="N32" s="423" t="str">
        <f t="shared" si="0"/>
        <v>NA</v>
      </c>
      <c r="O32"/>
      <c r="P32" s="139" t="s">
        <v>589</v>
      </c>
      <c r="Q32" s="7" t="str">
        <f>IFERROR((SUMIFS(TM[[#All],[Claims: Retail Pharmacy]],TM[[#All],[Reporting Year]],2021,TM[[#All],[Insurance Category Code]],7,TM[[#All],[Large Provider Entity Code]],100))/ICC7_MemberMonths_2021,"NA")</f>
        <v>NA</v>
      </c>
      <c r="R32" s="7" t="str" cm="1">
        <f t="array" ref="R32">IFERROR((SUMIFS(TM[[#All],[Claims: Retail Pharmacy]],TM[[#All],[Reporting Year]],2022,TM[[#All],[Insurance Category Code]],7,TM[[#All],[Large Provider Entity Code]],100))/ICC7_MemberMonths_2022,"NA")</f>
        <v>NA</v>
      </c>
      <c r="S32" s="423" t="str">
        <f>IFERROR(Table9111227[[#This Row],[2022]]/Table9111227[[#This Row],[2021]]-1,"NA")</f>
        <v>NA</v>
      </c>
    </row>
    <row r="33" spans="1:19" x14ac:dyDescent="0.25">
      <c r="A33" s="139" t="s">
        <v>590</v>
      </c>
      <c r="B33" s="7" t="str" cm="1">
        <f t="array" ref="B33">IFERROR((SUMPRODUCT(ICC3_MemberMonths_2021,G33)+SUMPRODUCT(ICC4_MemberMonths_2021,L33)+SUMPRODUCT(ICC7_MemberMonths_2021,Q33))/Commercial_MemberMonths_2021,"NA")</f>
        <v>NA</v>
      </c>
      <c r="C33" s="7" t="str">
        <f>IFERROR((SUMPRODUCT(H25,H33)+SUMPRODUCT(ICC4_MemberMonths_2022,M33)+SUMPRODUCT(ICC7_MemberMonths_2022,R33))/Commercial_MemberMonths_2022,"NA")</f>
        <v>NA</v>
      </c>
      <c r="D33" s="423" t="str">
        <f>IFERROR(Table9[[#This Row],[2022]]/Table9[[#This Row],[2021]]-1,"NA")</f>
        <v>NA</v>
      </c>
      <c r="E33"/>
      <c r="F33" s="139" t="s">
        <v>590</v>
      </c>
      <c r="G33" s="7" t="str">
        <f>IFERROR(((SUMIFS(TM[[#All],[Claims: Retail Pharmacy]],TM[[#All],[Reporting Year]],2021,TM[[#All],[Insurance Category Code]],3,TM[[#All],[Large Provider Entity Code]],100))-ABS(SUMIFS(RX[[#All],[Total Medical and Retail Pharmacy Rebate Amount]],RX[[#All],[Reporting Year]],2021,RX[[#All],[Insurance Category Code]],3)))/ICC3_MemberMonths_2021,"NA")</f>
        <v>NA</v>
      </c>
      <c r="H33" s="7" t="str">
        <f>IFERROR(((SUMIFS(TM[[#All],[Claims: Retail Pharmacy]],TM[[#All],[Reporting Year]],2022,TM[[#All],[Insurance Category Code]],3,TM[[#All],[Large Provider Entity Code]],100))-ABS(SUMIFS(RX[[#All],[Total Medical and Retail Pharmacy Rebate Amount]],RX[[#All],[Reporting Year]],2022,RX[[#All],[Insurance Category Code]],3)))/H25,"NA")</f>
        <v>NA</v>
      </c>
      <c r="I33" s="423" t="str">
        <f>IFERROR(Table911[[#This Row],[2022]]/Table911[[#This Row],[2021]]-1,"NA")</f>
        <v>NA</v>
      </c>
      <c r="J33"/>
      <c r="K33" s="139" t="s">
        <v>590</v>
      </c>
      <c r="L33" s="7" t="str" cm="1">
        <f t="array" ref="L33">IFERROR(((SUMIFS(TM[[#All],[Claims: Retail Pharmacy]],TM[[#All],[Reporting Year]],2021,TM[[#All],[Insurance Category Code]],4,TM[[#All],[Large Provider Entity Code]],100))-ABS(SUMIFS(RX[[#All],[Total Medical and Retail Pharmacy Rebate Amount]],RX[[#All],[Reporting Year]],2021,RX[[#All],[Insurance Category Code]],4)))/ICC4_MemberMonths_2021,"NA")</f>
        <v>NA</v>
      </c>
      <c r="M33" s="7" t="str" cm="1">
        <f t="array" ref="M33">IFERROR(((SUMIFS(TM[[#All],[Claims: Retail Pharmacy]],TM[[#All],[Reporting Year]],2022,TM[[#All],[Insurance Category Code]],4,TM[[#All],[Large Provider Entity Code]],100))-ABS(SUMIFS(RX[[#All],[Total Medical and Retail Pharmacy Rebate Amount]],RX[[#All],[Reporting Year]],2022,RX[[#All],[Insurance Category Code]],4)))/ICC4_MemberMonths_2022,"NA")</f>
        <v>NA</v>
      </c>
      <c r="N33" s="423" t="str">
        <f t="shared" si="0"/>
        <v>NA</v>
      </c>
      <c r="O33"/>
      <c r="P33" s="139" t="s">
        <v>590</v>
      </c>
      <c r="Q33" s="7" t="str" cm="1">
        <f t="array" ref="Q33">IFERROR(((SUMIFS(TM[[#All],[Claims: Retail Pharmacy]],TM[[#All],[Reporting Year]],2021,TM[[#All],[Insurance Category Code]],7,TM[[#All],[Large Provider Entity Code]],100))-ABS(SUMIFS(RX[[#All],[Total Medical and Retail Pharmacy Rebate Amount]],RX[[#All],[Reporting Year]],2021,RX[[#All],[Insurance Category Code]],7)))/ICC7_MemberMonths_2021,"NA")</f>
        <v>NA</v>
      </c>
      <c r="R33" s="7" t="str" cm="1">
        <f t="array" ref="R33">IFERROR(((SUMIFS(TM[[#All],[Claims: Retail Pharmacy]],TM[[#All],[Reporting Year]],2022,TM[[#All],[Insurance Category Code]],7,TM[[#All],[Large Provider Entity Code]],100))-ABS(SUMIFS(RX[[#All],[Total Medical and Retail Pharmacy Rebate Amount]],RX[[#All],[Reporting Year]],2022,RX[[#All],[Insurance Category Code]],7)))/ICC7_MemberMonths_2022,"NA")</f>
        <v>NA</v>
      </c>
      <c r="S33" s="423" t="str">
        <f>IFERROR(Table9111227[[#This Row],[2022]]/Table9111227[[#This Row],[2021]]-1,"NA")</f>
        <v>NA</v>
      </c>
    </row>
    <row r="34" spans="1:19" x14ac:dyDescent="0.25">
      <c r="A34" s="139" t="s">
        <v>591</v>
      </c>
      <c r="B34" s="7" t="str" cm="1">
        <f t="array" ref="B34">IFERROR((SUMPRODUCT(ICC3_MemberMonths_2021,G34)+SUMPRODUCT(ICC4_MemberMonths_2021,L34)+SUMPRODUCT(ICC7_MemberMonths_2021,Q34))/Commercial_MemberMonths_2021,"NA")</f>
        <v>NA</v>
      </c>
      <c r="C34" s="7" t="str">
        <f>IFERROR((SUMPRODUCT(H25,H34)+SUMPRODUCT(ICC4_MemberMonths_2022,M34)+SUMPRODUCT(ICC7_MemberMonths_2022,R34))/Commercial_MemberMonths_2022,"NA")</f>
        <v>NA</v>
      </c>
      <c r="D34" s="423" t="str">
        <f>IFERROR(Table9[[#This Row],[2022]]/Table9[[#This Row],[2021]]-1,"NA")</f>
        <v>NA</v>
      </c>
      <c r="E34"/>
      <c r="F34" s="139" t="s">
        <v>591</v>
      </c>
      <c r="G34" s="7" t="str">
        <f>IFERROR(SUMIFS(RX[[#All],[Total Medical and Retail Pharmacy Rebate Amount]],RX[[#All],[Reporting Year]],2021,RX[[#All],[Insurance Category Code]],3)/ICC3_MemberMonths_2021,"NA")</f>
        <v>NA</v>
      </c>
      <c r="H34" s="7" t="str">
        <f>IFERROR(SUMIFS(RX[[#All],[Total Medical and Retail Pharmacy Rebate Amount]],RX[[#All],[Reporting Year]],2022,RX[[#All],[Insurance Category Code]],3)/H25,"NA")</f>
        <v>NA</v>
      </c>
      <c r="I34" s="423" t="str">
        <f>IFERROR(Table911[[#This Row],[2022]]/Table911[[#This Row],[2021]]-1,"NA")</f>
        <v>NA</v>
      </c>
      <c r="J34"/>
      <c r="K34" s="139" t="s">
        <v>591</v>
      </c>
      <c r="L34" s="7" t="str">
        <f>IFERROR(SUMIFS(RX[[#All],[Total Medical and Retail Pharmacy Rebate Amount]],RX[[#All],[Reporting Year]],2021,RX[[#All],[Insurance Category Code]],4)/ICC4_MemberMonths_2021,"NA")</f>
        <v>NA</v>
      </c>
      <c r="M34" s="7" t="str">
        <f>IFERROR(SUMIFS(RX[[#All],[Total Medical and Retail Pharmacy Rebate Amount]],RX[[#All],[Reporting Year]],2022,RX[[#All],[Insurance Category Code]],4)/ICC4_MemberMonths_2022,"NA")</f>
        <v>NA</v>
      </c>
      <c r="N34" s="423" t="str">
        <f>IFERROR(M34/L34-1,"NA")</f>
        <v>NA</v>
      </c>
      <c r="O34"/>
      <c r="P34" s="139" t="s">
        <v>591</v>
      </c>
      <c r="Q34" s="7" t="str">
        <f>IFERROR(SUMIFS(RX[[#All],[Total Medical and Retail Pharmacy Rebate Amount]],RX[[#All],[Reporting Year]],2021,RX[[#All],[Insurance Category Code]],7)/ICC7_MemberMonths_2021,"NA")</f>
        <v>NA</v>
      </c>
      <c r="R34" s="7" t="str" cm="1">
        <f t="array" ref="R34">IFERROR(-ABS(SUMIFS(RX[[#All],[Total Medical and Retail Pharmacy Rebate Amount]],RX[[#All],[Reporting Year]],2022,RX[[#All],[Insurance Category Code]],7))/ICC7_MemberMonths_2022,"NA")</f>
        <v>NA</v>
      </c>
      <c r="S34" s="423" t="str">
        <f>IFERROR(Table9111227[[#This Row],[2022]]/Table9111227[[#This Row],[2021]]-1,"NA")</f>
        <v>NA</v>
      </c>
    </row>
    <row r="35" spans="1:19" x14ac:dyDescent="0.25">
      <c r="A35" s="531" t="s">
        <v>536</v>
      </c>
      <c r="B35" s="510" t="str">
        <f>IFERROR(ABS(B34/B32),"NA")</f>
        <v>NA</v>
      </c>
      <c r="C35" s="510" t="str">
        <f>IFERROR(ABS(C34/C32),"NA")</f>
        <v>NA</v>
      </c>
      <c r="D35" s="562" t="s">
        <v>500</v>
      </c>
      <c r="E35"/>
      <c r="F35" s="531" t="s">
        <v>536</v>
      </c>
      <c r="G35" s="510" t="str">
        <f>IFERROR(ABS(G34/G32),"NA")</f>
        <v>NA</v>
      </c>
      <c r="H35" s="510" t="str">
        <f>IFERROR(ABS(H34/H32),"NA")</f>
        <v>NA</v>
      </c>
      <c r="I35" s="562" t="s">
        <v>500</v>
      </c>
      <c r="J35"/>
      <c r="K35" s="531" t="s">
        <v>536</v>
      </c>
      <c r="L35" s="510" t="str">
        <f>IFERROR(ABS(L34/L32),"NA")</f>
        <v>NA</v>
      </c>
      <c r="M35" s="510" t="str">
        <f>IFERROR(ABS(M34/M32),"NA")</f>
        <v>NA</v>
      </c>
      <c r="N35" s="423" t="s">
        <v>500</v>
      </c>
      <c r="O35"/>
      <c r="P35" s="531" t="s">
        <v>536</v>
      </c>
      <c r="Q35" s="510" t="str">
        <f>IFERROR(ABS(Q34/Q32),"NA")</f>
        <v>NA</v>
      </c>
      <c r="R35" s="510" t="str">
        <f>IFERROR(ABS(R34/R32),"NA")</f>
        <v>NA</v>
      </c>
      <c r="S35" s="562" t="s">
        <v>500</v>
      </c>
    </row>
    <row r="36" spans="1:19" s="155" customFormat="1" x14ac:dyDescent="0.25">
      <c r="A36" s="139" t="s">
        <v>592</v>
      </c>
      <c r="B36" s="7" t="str" cm="1">
        <f t="array" ref="B36">IFERROR((SUMPRODUCT(ICC3_MemberMonths_2021,G36)+SUMPRODUCT(ICC4_MemberMonths_2021,L36)+SUMPRODUCT(ICC7_MemberMonths_2021,Q36))/Commercial_MemberMonths_2021,"NA")</f>
        <v>NA</v>
      </c>
      <c r="C36" s="7" t="str">
        <f>IFERROR((SUMPRODUCT(H25,H36)+SUMPRODUCT(ICC4_MemberMonths_2022,M36)+SUMPRODUCT(ICC7_MemberMonths_2022,R36))/Commercial_MemberMonths_2022,"NA")</f>
        <v>NA</v>
      </c>
      <c r="D36" s="423" t="str">
        <f>IFERROR(Table9[[#This Row],[2022]]/Table9[[#This Row],[2021]]-1,"NA")</f>
        <v>NA</v>
      </c>
      <c r="E36" s="3"/>
      <c r="F36" s="139" t="s">
        <v>592</v>
      </c>
      <c r="G36" s="7" t="str" cm="1">
        <f t="array" ref="G36">IFERROR((SUMIFS(TM[[#All],[Claims: Other]],TM[[#All],[Reporting Year]],2021,TM[[#All],[Insurance Category Code]],3,TM[[#All],[Large Provider Entity Code]],100))/ICC3_MemberMonths_2021,"NA")</f>
        <v>NA</v>
      </c>
      <c r="H36" s="7" t="str">
        <f>IFERROR((SUMIFS(TM[[#All],[Claims: Other]],TM[[#All],[Reporting Year]],2022,TM[[#All],[Insurance Category Code]],3,TM[[#All],[Large Provider Entity Code]],100))/H25,"NA")</f>
        <v>NA</v>
      </c>
      <c r="I36" s="423" t="str">
        <f>IFERROR(Table911[[#This Row],[2022]]/Table911[[#This Row],[2021]]-1,"NA")</f>
        <v>NA</v>
      </c>
      <c r="J36" s="3"/>
      <c r="K36" s="139" t="s">
        <v>592</v>
      </c>
      <c r="L36" s="7" t="str" cm="1">
        <f t="array" ref="L36">IFERROR((SUMIFS(TM[[#All],[Claims: Other]],TM[[#All],[Reporting Year]],2021,TM[[#All],[Insurance Category Code]],4,TM[[#All],[Large Provider Entity Code]],100))/ICC4_MemberMonths_2021,"NA")</f>
        <v>NA</v>
      </c>
      <c r="M36" s="7" t="str" cm="1">
        <f t="array" ref="M36">IFERROR((SUMIFS(TM[[#All],[Claims: Other]],TM[[#All],[Reporting Year]],2022,TM[[#All],[Insurance Category Code]],4,TM[[#All],[Large Provider Entity Code]],100))/ICC4_MemberMonths_2022,"NA")</f>
        <v>NA</v>
      </c>
      <c r="N36" s="423" t="str">
        <f t="shared" ref="N36:N48" si="1">IFERROR(M36/L36-1,"NA")</f>
        <v>NA</v>
      </c>
      <c r="O36" s="3"/>
      <c r="P36" s="139" t="s">
        <v>592</v>
      </c>
      <c r="Q36" s="7" t="str" cm="1">
        <f t="array" ref="Q36">IFERROR((SUMIFS(TM[[#All],[Claims: Other]],TM[[#All],[Reporting Year]],2021,TM[[#All],[Insurance Category Code]],7,TM[[#All],[Large Provider Entity Code]],100))/ICC7_MemberMonths_2021,"NA")</f>
        <v>NA</v>
      </c>
      <c r="R36" s="7" t="str" cm="1">
        <f t="array" ref="R36">IFERROR((SUMIFS(TM[[#All],[Claims: Other]],TM[[#All],[Reporting Year]],2022,TM[[#All],[Insurance Category Code]],7,TM[[#All],[Large Provider Entity Code]],100))/ICC7_MemberMonths_2022,"NA")</f>
        <v>NA</v>
      </c>
      <c r="S36" s="423" t="str">
        <f>IFERROR(Table9111227[[#This Row],[2022]]/Table9111227[[#This Row],[2021]]-1,"NA")</f>
        <v>NA</v>
      </c>
    </row>
    <row r="37" spans="1:19" s="155" customFormat="1" x14ac:dyDescent="0.25">
      <c r="A37" s="503" t="s">
        <v>593</v>
      </c>
      <c r="B37" s="130" t="str" cm="1">
        <f t="array" ref="B37">IFERROR((SUMPRODUCT(ICC3_MemberMonths_2021,G37)+SUMPRODUCT(ICC4_MemberMonths_2021,L37)+SUMPRODUCT(ICC7_MemberMonths_2021,Q37))/Commercial_MemberMonths_2021,"NA")</f>
        <v>NA</v>
      </c>
      <c r="C37" s="130" t="str">
        <f>IFERROR((SUMPRODUCT(H25,H37)+SUMPRODUCT(ICC4_MemberMonths_2022,M37)+SUMPRODUCT(ICC7_MemberMonths_2022,R37))/Commercial_MemberMonths_2022,"NA")</f>
        <v>NA</v>
      </c>
      <c r="D37" s="504" t="str">
        <f>IFERROR(Table9[[#This Row],[2022]]/Table9[[#This Row],[2021]]-1,"NA")</f>
        <v>NA</v>
      </c>
      <c r="E37" s="3"/>
      <c r="F37" s="503" t="s">
        <v>593</v>
      </c>
      <c r="G37" s="505" t="str">
        <f>IFERROR((SUMIFS(TM[[#All],[Total Non-Truncated Claims Spending]],TM[[#All],[Reporting Year]],2021,TM[[#All],[Insurance Category Code]],3,TM[[#All],[Large Provider Entity Code]],100))/ICC3_MemberMonths_2021,"NA")</f>
        <v>NA</v>
      </c>
      <c r="H37" s="505" t="str">
        <f>IFERROR((SUMIFS(TM[[#All],[Total Non-Truncated Claims Spending]],TM[[#All],[Reporting Year]],2022,TM[[#All],[Insurance Category Code]],3,TM[[#All],[Large Provider Entity Code]],100))/H25,"NA")</f>
        <v>NA</v>
      </c>
      <c r="I37" s="504" t="str">
        <f>IFERROR(Table911[[#This Row],[2022]]/Table911[[#This Row],[2021]]-1,"NA")</f>
        <v>NA</v>
      </c>
      <c r="J37" s="3"/>
      <c r="K37" s="503" t="s">
        <v>593</v>
      </c>
      <c r="L37" s="505" t="str" cm="1">
        <f t="array" ref="L37">IFERROR((SUMIFS(TM[[#All],[Total Non-Truncated Claims Spending]],TM[[#All],[Reporting Year]],2021,TM[[#All],[Insurance Category Code]],4,TM[[#All],[Large Provider Entity Code]],100))/ICC4_MemberMonths_2021,"NA")</f>
        <v>NA</v>
      </c>
      <c r="M37" s="505" t="str" cm="1">
        <f t="array" ref="M37">IFERROR((SUMIFS(TM[[#All],[Total Non-Truncated Claims Spending]],TM[[#All],[Reporting Year]],2022,TM[[#All],[Insurance Category Code]],4,TM[[#All],[Large Provider Entity Code]],100))/ICC4_MemberMonths_2022,"NA")</f>
        <v>NA</v>
      </c>
      <c r="N37" s="504" t="str">
        <f t="shared" si="1"/>
        <v>NA</v>
      </c>
      <c r="O37" s="3"/>
      <c r="P37" s="503" t="s">
        <v>593</v>
      </c>
      <c r="Q37" s="505" t="str" cm="1">
        <f t="array" ref="Q37">IFERROR((SUMIFS(TM[[#All],[Total Non-Truncated Claims Spending]],TM[[#All],[Reporting Year]],2021,TM[[#All],[Insurance Category Code]],7,TM[[#All],[Large Provider Entity Code]],100))/ICC7_MemberMonths_2021,"NA")</f>
        <v>NA</v>
      </c>
      <c r="R37" s="505" t="str" cm="1">
        <f t="array" ref="R37">IFERROR((SUMIFS(TM[[#All],[Total Non-Truncated Claims Spending]],TM[[#All],[Reporting Year]],2022,TM[[#All],[Insurance Category Code]],7,TM[[#All],[Large Provider Entity Code]],100))/ICC7_MemberMonths_2022,"NA")</f>
        <v>NA</v>
      </c>
      <c r="S37" s="504" t="str">
        <f>IFERROR(Table9111227[[#This Row],[2022]]/Table9111227[[#This Row],[2021]]-1,"NA")</f>
        <v>NA</v>
      </c>
    </row>
    <row r="38" spans="1:19" x14ac:dyDescent="0.25">
      <c r="A38" s="503" t="s">
        <v>594</v>
      </c>
      <c r="B38" s="130" t="str">
        <f>IFERROR((SUMPRODUCT(ICC3_MemberMonths_2021,G38)+SUMPRODUCT(ICC4_MemberMonths_2021,L38)+SUMPRODUCT(ICC7_MemberMonths_2021,Q38))/Commercial_MemberMonths_2021,"NA")</f>
        <v>NA</v>
      </c>
      <c r="C38" s="130" t="str">
        <f>IFERROR((SUMPRODUCT(H25,H38)+SUMPRODUCT(ICC4_MemberMonths_2022,M38)+SUMPRODUCT(ICC7_MemberMonths_2022,R38))/Commercial_MemberMonths_2022,"NA")</f>
        <v>NA</v>
      </c>
      <c r="D38" s="504" t="str">
        <f>IFERROR(Table9[[#This Row],[2022]]/Table9[[#This Row],[2021]]-1,"NA")</f>
        <v>NA</v>
      </c>
      <c r="E38"/>
      <c r="F38" s="503" t="s">
        <v>594</v>
      </c>
      <c r="G38" s="505" t="str">
        <f>IFERROR((SUMIFS(TM[[#All],[Total Truncated Claims Spending]],TM[[#All],[Reporting Year]],2021,TM[[#All],[Insurance Category Code]],3,TM[[#All],[Large Provider Entity Code]],100))/ICC3_MemberMonths_2021,"NA")</f>
        <v>NA</v>
      </c>
      <c r="H38" s="505" t="str">
        <f>IFERROR((SUMIFS(TM[[#All],[Total Truncated Claims Spending]],TM[[#All],[Reporting Year]],2022,TM[[#All],[Insurance Category Code]],3,TM[[#All],[Large Provider Entity Code]],100))/H25,"NA")</f>
        <v>NA</v>
      </c>
      <c r="I38" s="504" t="str">
        <f>IFERROR(Table911[[#This Row],[2022]]/Table911[[#This Row],[2021]]-1,"NA")</f>
        <v>NA</v>
      </c>
      <c r="J38"/>
      <c r="K38" s="503" t="s">
        <v>594</v>
      </c>
      <c r="L38" s="505" t="str" cm="1">
        <f t="array" ref="L38">IFERROR((SUMIFS(TM[[#All],[Total Truncated Claims Spending]],TM[[#All],[Reporting Year]],2021,TM[[#All],[Insurance Category Code]],4,TM[[#All],[Large Provider Entity Code]],100))/ICC4_MemberMonths_2021,"NA")</f>
        <v>NA</v>
      </c>
      <c r="M38" s="505" t="str" cm="1">
        <f t="array" ref="M38">IFERROR((SUMIFS(TM[[#All],[Total Truncated Claims Spending]],TM[[#All],[Reporting Year]],2022,TM[[#All],[Insurance Category Code]],4,TM[[#All],[Large Provider Entity Code]],100))/ICC4_MemberMonths_2022,"NA")</f>
        <v>NA</v>
      </c>
      <c r="N38" s="504" t="str">
        <f t="shared" si="1"/>
        <v>NA</v>
      </c>
      <c r="O38"/>
      <c r="P38" s="503" t="s">
        <v>594</v>
      </c>
      <c r="Q38" s="505" t="str" cm="1">
        <f t="array" ref="Q38">IFERROR((SUMIFS(TM[[#All],[Total Truncated Claims Spending]],TM[[#All],[Reporting Year]],2021,TM[[#All],[Insurance Category Code]],7,TM[[#All],[Large Provider Entity Code]],100))/ICC7_MemberMonths_2021,"NA")</f>
        <v>NA</v>
      </c>
      <c r="R38" s="505" t="str" cm="1">
        <f t="array" ref="R38">IFERROR((SUMIFS(TM[[#All],[Total Truncated Claims Spending]],TM[[#All],[Reporting Year]],2022,TM[[#All],[Insurance Category Code]],7,TM[[#All],[Large Provider Entity Code]],100))/ICC7_MemberMonths_2022,"NA")</f>
        <v>NA</v>
      </c>
      <c r="S38" s="504" t="str">
        <f>IFERROR(Table9111227[[#This Row],[2022]]/Table9111227[[#This Row],[2021]]-1,"NA")</f>
        <v>NA</v>
      </c>
    </row>
    <row r="39" spans="1:19" x14ac:dyDescent="0.25">
      <c r="A39" s="139" t="s">
        <v>595</v>
      </c>
      <c r="B39" s="7" t="str" cm="1">
        <f t="array" ref="B39">IFERROR((SUMPRODUCT(ICC3_MemberMonths_2021,G39)+SUMPRODUCT(ICC4_MemberMonths_2021,L39)+SUMPRODUCT(ICC7_MemberMonths_2021,Q39))/Commercial_MemberMonths_2021,"NA")</f>
        <v>NA</v>
      </c>
      <c r="C39" s="7" t="str">
        <f>IFERROR((SUMPRODUCT(H25,H39)+SUMPRODUCT(ICC4_MemberMonths_2022,M39)+SUMPRODUCT(ICC7_MemberMonths_2022,R39))/Commercial_MemberMonths_2022,"NA")</f>
        <v>NA</v>
      </c>
      <c r="D39" s="423" t="str">
        <f>IFERROR(Table9[[#This Row],[2022]]/Table9[[#This Row],[2021]]-1,"NA")</f>
        <v>NA</v>
      </c>
      <c r="E39"/>
      <c r="F39" s="139" t="s">
        <v>595</v>
      </c>
      <c r="G39" s="7" t="str" cm="1">
        <f t="array" ref="G39">IFERROR((SUMIFS(TM[[#All],[Non-Claims: Capitation or Bundled Arrangements]],TM[[#All],[Reporting Year]],2021,TM[[#All],[Insurance Category Code]],3,TM[[#All],[Large Provider Entity Code]],100))/ICC3_MemberMonths_2021,"NA")</f>
        <v>NA</v>
      </c>
      <c r="H39" s="7" t="str">
        <f>IFERROR((SUMIFS(TM[[#All],[Non-Claims: Capitation or Bundled Arrangements]],TM[[#All],[Reporting Year]],2022,TM[[#All],[Insurance Category Code]],3,TM[[#All],[Large Provider Entity Code]],100))/H25,"NA")</f>
        <v>NA</v>
      </c>
      <c r="I39" s="423" t="str">
        <f>IFERROR(Table911[[#This Row],[2022]]/Table911[[#This Row],[2021]]-1,"NA")</f>
        <v>NA</v>
      </c>
      <c r="J39"/>
      <c r="K39" s="139" t="s">
        <v>595</v>
      </c>
      <c r="L39" s="7" t="str" cm="1">
        <f t="array" ref="L39">IFERROR((SUMIFS(TM[[#All],[Non-Claims: Capitation or Bundled Arrangements]],TM[[#All],[Reporting Year]],2021,TM[[#All],[Insurance Category Code]],4,TM[[#All],[Large Provider Entity Code]],100))/ICC4_MemberMonths_2021,"NA")</f>
        <v>NA</v>
      </c>
      <c r="M39" s="7" t="str" cm="1">
        <f t="array" ref="M39">IFERROR((SUMIFS(TM[[#All],[Non-Claims: Capitation or Bundled Arrangements]],TM[[#All],[Reporting Year]],2022,TM[[#All],[Insurance Category Code]],4,TM[[#All],[Large Provider Entity Code]],100))/ICC4_MemberMonths_2022,"NA")</f>
        <v>NA</v>
      </c>
      <c r="N39" s="423" t="str">
        <f t="shared" si="1"/>
        <v>NA</v>
      </c>
      <c r="O39"/>
      <c r="P39" s="139" t="s">
        <v>595</v>
      </c>
      <c r="Q39" s="7" t="str" cm="1">
        <f t="array" ref="Q39">IFERROR((SUMIFS(TM[[#All],[Non-Claims: Capitation or Bundled Arrangements]],TM[[#All],[Reporting Year]],2021,TM[[#All],[Insurance Category Code]],7,TM[[#All],[Large Provider Entity Code]],100))/ICC7_MemberMonths_2021,"NA")</f>
        <v>NA</v>
      </c>
      <c r="R39" s="7" t="str" cm="1">
        <f t="array" ref="R39">IFERROR((SUMIFS(TM[[#All],[Non-Claims: Capitation or Bundled Arrangements]],TM[[#All],[Reporting Year]],2022,TM[[#All],[Insurance Category Code]],7,TM[[#All],[Large Provider Entity Code]],100))/ICC7_MemberMonths_2022,"NA")</f>
        <v>NA</v>
      </c>
      <c r="S39" s="423" t="str">
        <f>IFERROR(Table9111227[[#This Row],[2022]]/Table9111227[[#This Row],[2021]]-1,"NA")</f>
        <v>NA</v>
      </c>
    </row>
    <row r="40" spans="1:19" x14ac:dyDescent="0.25">
      <c r="A40" s="139" t="s">
        <v>596</v>
      </c>
      <c r="B40" s="7" t="str" cm="1">
        <f t="array" ref="B40">IFERROR((SUMPRODUCT(ICC3_MemberMonths_2021,G40)+SUMPRODUCT(ICC4_MemberMonths_2021,L40)+SUMPRODUCT(ICC7_MemberMonths_2021,Q40))/Commercial_MemberMonths_2021,"NA")</f>
        <v>NA</v>
      </c>
      <c r="C40" s="7" t="str">
        <f>IFERROR((SUMPRODUCT(H25,H40)+SUMPRODUCT(ICC4_MemberMonths_2022,M40)+SUMPRODUCT(ICC7_MemberMonths_2022,R40))/Commercial_MemberMonths_2022,"NA")</f>
        <v>NA</v>
      </c>
      <c r="D40" s="423" t="str">
        <f>IFERROR(Table9[[#This Row],[2022]]/Table9[[#This Row],[2021]]-1,"NA")</f>
        <v>NA</v>
      </c>
      <c r="E40"/>
      <c r="F40" s="139" t="s">
        <v>596</v>
      </c>
      <c r="G40" s="7" t="str" cm="1">
        <f t="array" ref="G40">IFERROR((SUMIFS(TM[[#All],[Non-Claims: Performance Incentives]],TM[[#All],[Reporting Year]],2021,TM[[#All],[Insurance Category Code]],3,TM[[#All],[Large Provider Entity Code]],100))/ICC3_MemberMonths_2021,"NA")</f>
        <v>NA</v>
      </c>
      <c r="H40" s="7" t="str">
        <f>IFERROR((SUMIFS(TM[[#All],[Non-Claims: Performance Incentives]],TM[[#All],[Reporting Year]],2022,TM[[#All],[Insurance Category Code]],3,TM[[#All],[Large Provider Entity Code]],100))/H25,"NA")</f>
        <v>NA</v>
      </c>
      <c r="I40" s="423" t="str">
        <f>IFERROR(Table911[[#This Row],[2022]]/Table911[[#This Row],[2021]]-1,"NA")</f>
        <v>NA</v>
      </c>
      <c r="J40"/>
      <c r="K40" s="139" t="s">
        <v>596</v>
      </c>
      <c r="L40" s="7" t="str" cm="1">
        <f t="array" ref="L40">IFERROR((SUMIFS(TM[[#All],[Non-Claims: Performance Incentives]],TM[[#All],[Reporting Year]],2021,TM[[#All],[Insurance Category Code]],4,TM[[#All],[Large Provider Entity Code]],100))/ICC4_MemberMonths_2021,"NA")</f>
        <v>NA</v>
      </c>
      <c r="M40" s="7" t="str" cm="1">
        <f t="array" ref="M40">IFERROR((SUMIFS(TM[[#All],[Non-Claims: Performance Incentives]],TM[[#All],[Reporting Year]],2022,TM[[#All],[Insurance Category Code]],4,TM[[#All],[Large Provider Entity Code]],100))/ICC4_MemberMonths_2022,"NA")</f>
        <v>NA</v>
      </c>
      <c r="N40" s="423" t="str">
        <f t="shared" si="1"/>
        <v>NA</v>
      </c>
      <c r="O40"/>
      <c r="P40" s="139" t="s">
        <v>596</v>
      </c>
      <c r="Q40" s="7" t="str" cm="1">
        <f t="array" ref="Q40">IFERROR((SUMIFS(TM[[#All],[Non-Claims: Performance Incentives]],TM[[#All],[Reporting Year]],2021,TM[[#All],[Insurance Category Code]],7,TM[[#All],[Large Provider Entity Code]],100))/ICC7_MemberMonths_2021,"NA")</f>
        <v>NA</v>
      </c>
      <c r="R40" s="7" t="str" cm="1">
        <f t="array" ref="R40">IFERROR((SUMIFS(TM[[#All],[Non-Claims: Performance Incentives]],TM[[#All],[Reporting Year]],2022,TM[[#All],[Insurance Category Code]],7,TM[[#All],[Large Provider Entity Code]],100))/ICC7_MemberMonths_2022,"NA")</f>
        <v>NA</v>
      </c>
      <c r="S40" s="423" t="str">
        <f>IFERROR(Table9111227[[#This Row],[2022]]/Table9111227[[#This Row],[2021]]-1,"NA")</f>
        <v>NA</v>
      </c>
    </row>
    <row r="41" spans="1:19" x14ac:dyDescent="0.25">
      <c r="A41" s="139" t="s">
        <v>597</v>
      </c>
      <c r="B41" s="7" t="str">
        <f>IFERROR((SUMPRODUCT(ICC3_MemberMonths_2021,G41)+SUMPRODUCT(ICC4_MemberMonths_2021,L41)+SUMPRODUCT(ICC7_MemberMonths_2021,Q41))/Commercial_MemberMonths_2021,"NA")</f>
        <v>NA</v>
      </c>
      <c r="C41" s="7" t="str">
        <f>IFERROR((SUMPRODUCT(H25,H41)+SUMPRODUCT(ICC4_MemberMonths_2022,M41)+SUMPRODUCT(ICC7_MemberMonths_2022,R41))/Commercial_MemberMonths_2022,"NA")</f>
        <v>NA</v>
      </c>
      <c r="D41" s="423" t="str">
        <f>IFERROR(Table9[[#This Row],[2022]]/Table9[[#This Row],[2021]]-1,"NA")</f>
        <v>NA</v>
      </c>
      <c r="E41"/>
      <c r="F41" s="139" t="s">
        <v>597</v>
      </c>
      <c r="G41" s="7" t="str" cm="1">
        <f t="array" ref="G41">IFERROR((SUMIFS(TM[[#All],[Non-Claims: Pop Health and Practice Infrastructure]],TM[[#All],[Reporting Year]],2021,TM[[#All],[Insurance Category Code]],3,TM[[#All],[Large Provider Entity Code]],100))/ICC3_MemberMonths_2021,"NA")</f>
        <v>NA</v>
      </c>
      <c r="H41" s="7" t="str">
        <f>IFERROR((SUMIFS(TM[[#All],[Non-Claims: Pop Health and Practice Infrastructure]],TM[[#All],[Reporting Year]],2022,TM[[#All],[Insurance Category Code]],3,TM[[#All],[Large Provider Entity Code]],100))/H25,"NA")</f>
        <v>NA</v>
      </c>
      <c r="I41" s="423" t="str">
        <f>IFERROR(Table911[[#This Row],[2022]]/Table911[[#This Row],[2021]]-1,"NA")</f>
        <v>NA</v>
      </c>
      <c r="J41"/>
      <c r="K41" s="139" t="s">
        <v>597</v>
      </c>
      <c r="L41" s="7" t="str" cm="1">
        <f t="array" ref="L41">IFERROR((SUMIFS(TM[[#All],[Non-Claims: Pop Health and Practice Infrastructure]],TM[[#All],[Reporting Year]],2021,TM[[#All],[Insurance Category Code]],4,TM[[#All],[Large Provider Entity Code]],100))/ICC4_MemberMonths_2021,"NA")</f>
        <v>NA</v>
      </c>
      <c r="M41" s="7" t="str" cm="1">
        <f t="array" ref="M41">IFERROR((SUMIFS(TM[[#All],[Non-Claims: Pop Health and Practice Infrastructure]],TM[[#All],[Reporting Year]],2022,TM[[#All],[Insurance Category Code]],4,TM[[#All],[Large Provider Entity Code]],100))/ICC4_MemberMonths_2022,"NA")</f>
        <v>NA</v>
      </c>
      <c r="N41" s="423" t="str">
        <f t="shared" si="1"/>
        <v>NA</v>
      </c>
      <c r="O41"/>
      <c r="P41" s="139" t="s">
        <v>597</v>
      </c>
      <c r="Q41" s="7" t="str" cm="1">
        <f t="array" ref="Q41">IFERROR((SUMIFS(TM[[#All],[Non-Claims: Pop Health and Practice Infrastructure]],TM[[#All],[Reporting Year]],2021,TM[[#All],[Insurance Category Code]],7,TM[[#All],[Large Provider Entity Code]],100))/ICC7_MemberMonths_2021,"NA")</f>
        <v>NA</v>
      </c>
      <c r="R41" s="7" t="str" cm="1">
        <f t="array" ref="R41">IFERROR((SUMIFS(TM[[#All],[Non-Claims: Pop Health and Practice Infrastructure]],TM[[#All],[Reporting Year]],2022,TM[[#All],[Insurance Category Code]],7,TM[[#All],[Large Provider Entity Code]],100))/ICC7_MemberMonths_2022,"NA")</f>
        <v>NA</v>
      </c>
      <c r="S41" s="423" t="str">
        <f>IFERROR(Table9111227[[#This Row],[2022]]/Table9111227[[#This Row],[2021]]-1,"NA")</f>
        <v>NA</v>
      </c>
    </row>
    <row r="42" spans="1:19" x14ac:dyDescent="0.25">
      <c r="A42" s="139" t="s">
        <v>598</v>
      </c>
      <c r="B42" s="7" t="str" cm="1">
        <f t="array" ref="B42">IFERROR((SUMPRODUCT(ICC3_MemberMonths_2021,G42)+SUMPRODUCT(ICC4_MemberMonths_2021,L42)+SUMPRODUCT(ICC7_MemberMonths_2021,Q42))/Commercial_MemberMonths_2021,"NA")</f>
        <v>NA</v>
      </c>
      <c r="C42" s="7" t="str">
        <f>IFERROR((SUMPRODUCT(H25,H42)+SUMPRODUCT(ICC4_MemberMonths_2022,M42)+SUMPRODUCT(ICC7_MemberMonths_2022,R42))/Commercial_MemberMonths_2022,"NA")</f>
        <v>NA</v>
      </c>
      <c r="D42" s="423" t="str">
        <f>IFERROR(Table9[[#This Row],[2022]]/Table9[[#This Row],[2021]]-1,"NA")</f>
        <v>NA</v>
      </c>
      <c r="E42"/>
      <c r="F42" s="139" t="s">
        <v>598</v>
      </c>
      <c r="G42" s="7" t="str" cm="1">
        <f t="array" ref="G42">IFERROR((SUMIFS(TM[[#All],[Non-Claims: Provider Salaries]],TM[[#All],[Reporting Year]],2021,TM[[#All],[Insurance Category Code]],3,TM[[#All],[Large Provider Entity Code]],100))/ICC3_MemberMonths_2021,"NA")</f>
        <v>NA</v>
      </c>
      <c r="H42" s="7" t="str">
        <f>IFERROR((SUMIFS(TM[[#All],[Non-Claims: Provider Salaries]],TM[[#All],[Reporting Year]],2022,TM[[#All],[Insurance Category Code]],3,TM[[#All],[Large Provider Entity Code]],100))/H25,"NA")</f>
        <v>NA</v>
      </c>
      <c r="I42" s="423" t="str">
        <f>IFERROR(Table911[[#This Row],[2022]]/Table911[[#This Row],[2021]]-1,"NA")</f>
        <v>NA</v>
      </c>
      <c r="J42"/>
      <c r="K42" s="139" t="s">
        <v>598</v>
      </c>
      <c r="L42" s="7" t="str" cm="1">
        <f t="array" ref="L42">IFERROR((SUMIFS(TM[[#All],[Non-Claims: Provider Salaries]],TM[[#All],[Reporting Year]],2021,TM[[#All],[Insurance Category Code]],4,TM[[#All],[Large Provider Entity Code]],100))/ICC4_MemberMonths_2021,"NA")</f>
        <v>NA</v>
      </c>
      <c r="M42" s="7" t="str" cm="1">
        <f t="array" ref="M42">IFERROR((SUMIFS(TM[[#All],[Non-Claims: Provider Salaries]],TM[[#All],[Reporting Year]],2022,TM[[#All],[Insurance Category Code]],4,TM[[#All],[Large Provider Entity Code]],100))/ICC4_MemberMonths_2022,"NA")</f>
        <v>NA</v>
      </c>
      <c r="N42" s="423" t="str">
        <f t="shared" si="1"/>
        <v>NA</v>
      </c>
      <c r="O42"/>
      <c r="P42" s="139" t="s">
        <v>598</v>
      </c>
      <c r="Q42" s="7" t="str" cm="1">
        <f t="array" ref="Q42">IFERROR((SUMIFS(TM[[#All],[Non-Claims: Provider Salaries]],TM[[#All],[Reporting Year]],2021,TM[[#All],[Insurance Category Code]],7,TM[[#All],[Large Provider Entity Code]],100))/ICC7_MemberMonths_2021,"NA")</f>
        <v>NA</v>
      </c>
      <c r="R42" s="7" t="str" cm="1">
        <f t="array" ref="R42">IFERROR((SUMIFS(TM[[#All],[Non-Claims: Provider Salaries]],TM[[#All],[Reporting Year]],2022,TM[[#All],[Insurance Category Code]],7,TM[[#All],[Large Provider Entity Code]],100))/ICC7_MemberMonths_2022,"NA")</f>
        <v>NA</v>
      </c>
      <c r="S42" s="423" t="str">
        <f>IFERROR(Table9111227[[#This Row],[2022]]/Table9111227[[#This Row],[2021]]-1,"NA")</f>
        <v>NA</v>
      </c>
    </row>
    <row r="43" spans="1:19" x14ac:dyDescent="0.25">
      <c r="A43" s="139" t="s">
        <v>599</v>
      </c>
      <c r="B43" s="7" t="str" cm="1">
        <f t="array" ref="B43">IFERROR((SUMPRODUCT(ICC3_MemberMonths_2021,G43)+SUMPRODUCT(ICC4_MemberMonths_2021,L43)+SUMPRODUCT(ICC7_MemberMonths_2021,Q43))/Commercial_MemberMonths_2021,"NA")</f>
        <v>NA</v>
      </c>
      <c r="C43" s="7" t="str">
        <f>IFERROR((SUMPRODUCT(H25,H43)+SUMPRODUCT(ICC4_MemberMonths_2022,M43)+SUMPRODUCT(ICC7_MemberMonths_2022,R43))/Commercial_MemberMonths_2022,"NA")</f>
        <v>NA</v>
      </c>
      <c r="D43" s="423" t="str">
        <f>IFERROR(Table9[[#This Row],[2022]]/Table9[[#This Row],[2021]]-1,"NA")</f>
        <v>NA</v>
      </c>
      <c r="E43"/>
      <c r="F43" s="139" t="s">
        <v>599</v>
      </c>
      <c r="G43" s="7" t="str">
        <f>IFERROR((SUMIFS(TM[[#All],[Non-Claims: Recovery]],TM[[#All],[Reporting Year]],2021,TM[[#All],[Insurance Category Code]],3,TM[[#All],[Large Provider Entity Code]],100))/ICC3_MemberMonths_2021,"NA")</f>
        <v>NA</v>
      </c>
      <c r="H43" s="7" t="str">
        <f>IFERROR((SUMIFS(TM[[#All],[Non-Claims: Recovery]],TM[[#All],[Reporting Year]],2022,TM[[#All],[Insurance Category Code]],3,TM[[#All],[Large Provider Entity Code]],100))/H25,"NA")</f>
        <v>NA</v>
      </c>
      <c r="I43" s="423" t="str">
        <f>IFERROR(Table911[[#This Row],[2022]]/Table911[[#This Row],[2021]]-1,"NA")</f>
        <v>NA</v>
      </c>
      <c r="J43"/>
      <c r="K43" s="139" t="s">
        <v>599</v>
      </c>
      <c r="L43" s="7" t="str" cm="1">
        <f t="array" ref="L43">IFERROR((SUMIFS(TM[[#All],[Non-Claims: Recovery]],TM[[#All],[Reporting Year]],2021,TM[[#All],[Insurance Category Code]],4,TM[[#All],[Large Provider Entity Code]],100))/ICC4_MemberMonths_2021,"NA")</f>
        <v>NA</v>
      </c>
      <c r="M43" s="7" t="str" cm="1">
        <f t="array" ref="M43">IFERROR((SUMIFS(TM[[#All],[Non-Claims: Recovery]],TM[[#All],[Reporting Year]],2022,TM[[#All],[Insurance Category Code]],4,TM[[#All],[Large Provider Entity Code]],100))/ICC4_MemberMonths_2022,"NA")</f>
        <v>NA</v>
      </c>
      <c r="N43" s="423" t="str">
        <f>IFERROR(M43/L43-1,"NA")</f>
        <v>NA</v>
      </c>
      <c r="O43"/>
      <c r="P43" s="139" t="s">
        <v>599</v>
      </c>
      <c r="Q43" s="7" t="str" cm="1">
        <f t="array" ref="Q43">IFERROR((SUMIFS(TM[[#All],[Non-Claims: Recovery]],TM[[#All],[Reporting Year]],2021,TM[[#All],[Insurance Category Code]],7,TM[[#All],[Large Provider Entity Code]],100))/ICC7_MemberMonths_2021,"NA")</f>
        <v>NA</v>
      </c>
      <c r="R43" s="7" t="str" cm="1">
        <f t="array" ref="R43">IFERROR((SUMIFS(TM[[#All],[Non-Claims: Recovery]],TM[[#All],[Reporting Year]],2022,TM[[#All],[Insurance Category Code]],7,TM[[#All],[Large Provider Entity Code]],100))/ICC7_MemberMonths_2022,"NA")</f>
        <v>NA</v>
      </c>
      <c r="S43" s="423" t="str">
        <f>IFERROR(Table9111227[[#This Row],[2022]]/Table9111227[[#This Row],[2021]]-1,"NA")</f>
        <v>NA</v>
      </c>
    </row>
    <row r="44" spans="1:19" x14ac:dyDescent="0.25">
      <c r="A44" s="139" t="s">
        <v>600</v>
      </c>
      <c r="B44" s="7" t="str" cm="1">
        <f t="array" ref="B44">IFERROR((SUMPRODUCT(ICC3_MemberMonths_2021,G44)+SUMPRODUCT(ICC4_MemberMonths_2021,L44)+SUMPRODUCT(ICC7_MemberMonths_2021,Q44))/Commercial_MemberMonths_2021,"NA")</f>
        <v>NA</v>
      </c>
      <c r="C44" s="7" t="str">
        <f>IFERROR((SUMPRODUCT(H25,H44)+SUMPRODUCT(ICC4_MemberMonths_2022,M44)+SUMPRODUCT(ICC7_MemberMonths_2022,R44))/Commercial_MemberMonths_2022,"NA")</f>
        <v>NA</v>
      </c>
      <c r="D44" s="423" t="str">
        <f>IFERROR(Table9[[#This Row],[2022]]/Table9[[#This Row],[2021]]-1,"NA")</f>
        <v>NA</v>
      </c>
      <c r="E44"/>
      <c r="F44" s="139" t="s">
        <v>600</v>
      </c>
      <c r="G44" s="7" t="str" cm="1">
        <f t="array" ref="G44">IFERROR((SUMIFS(TM[[#All],[Non-Claims: Other]],TM[[#All],[Reporting Year]],2021,TM[[#All],[Insurance Category Code]],3,TM[[#All],[Large Provider Entity Code]],100))/ICC3_MemberMonths_2021,"NA")</f>
        <v>NA</v>
      </c>
      <c r="H44" s="7" t="str">
        <f>IFERROR((SUMIFS(TM[[#All],[Non-Claims: Other]],TM[[#All],[Reporting Year]],2022,TM[[#All],[Insurance Category Code]],3,TM[[#All],[Large Provider Entity Code]],100))/H25,"NA")</f>
        <v>NA</v>
      </c>
      <c r="I44" s="423" t="str">
        <f>IFERROR(Table911[[#This Row],[2022]]/Table911[[#This Row],[2021]]-1,"NA")</f>
        <v>NA</v>
      </c>
      <c r="J44"/>
      <c r="K44" s="139" t="s">
        <v>600</v>
      </c>
      <c r="L44" s="7" t="str" cm="1">
        <f t="array" ref="L44">IFERROR((SUMIFS(TM[[#All],[Non-Claims: Other]],TM[[#All],[Reporting Year]],2021,TM[[#All],[Insurance Category Code]],4,TM[[#All],[Large Provider Entity Code]],100))/ICC4_MemberMonths_2021,"NA")</f>
        <v>NA</v>
      </c>
      <c r="M44" s="7" t="str">
        <f>IFERROR((SUMIFS(TM[[#All],[Non-Claims: Other]],TM[[#All],[Reporting Year]],2022,TM[[#All],[Insurance Category Code]],4,TM[[#All],[Large Provider Entity Code]],100))/ICC4_MemberMonths_2022,"NA")</f>
        <v>NA</v>
      </c>
      <c r="N44" s="423" t="str">
        <f t="shared" si="1"/>
        <v>NA</v>
      </c>
      <c r="O44"/>
      <c r="P44" s="139" t="s">
        <v>600</v>
      </c>
      <c r="Q44" s="7" t="str" cm="1">
        <f t="array" ref="Q44">IFERROR((SUMIFS(TM[[#All],[Non-Claims: Other]],TM[[#All],[Reporting Year]],2021,TM[[#All],[Insurance Category Code]],7,TM[[#All],[Large Provider Entity Code]],100))/ICC7_MemberMonths_2021,"NA")</f>
        <v>NA</v>
      </c>
      <c r="R44" s="7" t="str" cm="1">
        <f t="array" ref="R44">IFERROR((SUMIFS(TM[[#All],[Non-Claims: Other]],TM[[#All],[Reporting Year]],2022,TM[[#All],[Insurance Category Code]],7,TM[[#All],[Large Provider Entity Code]],100))/ICC7_MemberMonths_2022,"NA")</f>
        <v>NA</v>
      </c>
      <c r="S44" s="423" t="str">
        <f>IFERROR(Table9111227[[#This Row],[2022]]/Table9111227[[#This Row],[2021]]-1,"NA")</f>
        <v>NA</v>
      </c>
    </row>
    <row r="45" spans="1:19" s="155" customFormat="1" x14ac:dyDescent="0.25">
      <c r="A45" s="139" t="s">
        <v>601</v>
      </c>
      <c r="B45" s="7" t="str" cm="1">
        <f t="array" ref="B45">IFERROR((SUMPRODUCT(ICC3_MemberMonths_2021,G45)+SUMPRODUCT(ICC4_MemberMonths_2021,L45)+SUMPRODUCT(ICC7_MemberMonths_2021,Q45))/Commercial_MemberMonths_2021,"NA")</f>
        <v>NA</v>
      </c>
      <c r="C45" s="7" t="str">
        <f>IFERROR((SUMPRODUCT(H25,H45)+SUMPRODUCT(ICC4_MemberMonths_2022,M45)+SUMPRODUCT(ICC7_MemberMonths_2022,R45))/Commercial_MemberMonths_2022,"NA")</f>
        <v>NA</v>
      </c>
      <c r="D45" s="423" t="str">
        <f>IFERROR(Table9[[#This Row],[2022]]/Table9[[#This Row],[2021]]-1,"NA")</f>
        <v>NA</v>
      </c>
      <c r="E45" s="3"/>
      <c r="F45" s="139" t="s">
        <v>601</v>
      </c>
      <c r="G45" s="7" t="str" cm="1">
        <f t="array" ref="G45">IFERROR((SUMIFS(TM[[#All],[Non-Claims: Total Primary Care]],TM[[#All],[Reporting Year]],2021,TM[[#All],[Insurance Category Code]],3,TM[[#All],[Large Provider Entity Code]],100))/ICC3_MemberMonths_2021,"NA")</f>
        <v>NA</v>
      </c>
      <c r="H45" s="7" t="str">
        <f>IFERROR((SUMIFS(TM[[#All],[Non-Claims: Total Primary Care]],TM[[#All],[Reporting Year]],2022,TM[[#All],[Insurance Category Code]],3,TM[[#All],[Large Provider Entity Code]],100))/H25,"NA")</f>
        <v>NA</v>
      </c>
      <c r="I45" s="423" t="str">
        <f>IFERROR(Table911[[#This Row],[2022]]/Table911[[#This Row],[2021]]-1,"NA")</f>
        <v>NA</v>
      </c>
      <c r="J45" s="3"/>
      <c r="K45" s="139" t="s">
        <v>601</v>
      </c>
      <c r="L45" s="7" t="str" cm="1">
        <f t="array" ref="L45">IFERROR((SUMIFS(TM[[#All],[Non-Claims: Total Primary Care]],TM[[#All],[Reporting Year]],2021,TM[[#All],[Insurance Category Code]],4,TM[[#All],[Large Provider Entity Code]],100))/ICC4_MemberMonths_2021,"NA")</f>
        <v>NA</v>
      </c>
      <c r="M45" s="7" t="str" cm="1">
        <f t="array" ref="M45">IFERROR((SUMIFS(TM[[#All],[Non-Claims: Total Primary Care]],TM[[#All],[Reporting Year]],2022,TM[[#All],[Insurance Category Code]],4,TM[[#All],[Large Provider Entity Code]],100))/ICC4_MemberMonths_2022,"NA")</f>
        <v>NA</v>
      </c>
      <c r="N45" s="423" t="str">
        <f t="shared" si="1"/>
        <v>NA</v>
      </c>
      <c r="O45" s="3"/>
      <c r="P45" s="139" t="s">
        <v>601</v>
      </c>
      <c r="Q45" s="7" t="str" cm="1">
        <f t="array" ref="Q45">IFERROR((SUMIFS(TM[[#All],[Non-Claims: Total Primary Care]],TM[[#All],[Reporting Year]],2021,TM[[#All],[Insurance Category Code]],7,TM[[#All],[Large Provider Entity Code]],100))/ICC7_MemberMonths_2021,"NA")</f>
        <v>NA</v>
      </c>
      <c r="R45" s="7" t="str">
        <f>IFERROR((SUMIFS(TM[[#All],[Non-Claims: Total Primary Care]],TM[[#All],[Reporting Year]],2022,TM[[#All],[Insurance Category Code]],7,TM[[#All],[Large Provider Entity Code]],100))/ICC7_MemberMonths_2022,"NA")</f>
        <v>NA</v>
      </c>
      <c r="S45" s="423" t="str">
        <f>IFERROR(Table9111227[[#This Row],[2022]]/Table9111227[[#This Row],[2021]]-1,"NA")</f>
        <v>NA</v>
      </c>
    </row>
    <row r="46" spans="1:19" ht="15.75" thickBot="1" x14ac:dyDescent="0.3">
      <c r="A46" s="503" t="s">
        <v>602</v>
      </c>
      <c r="B46" s="506" t="str">
        <f>IFERROR((SUMPRODUCT(ICC3_MemberMonths_2021,G46)+SUMPRODUCT(ICC4_MemberMonths_2021,L46)+SUMPRODUCT(ICC7_MemberMonths_2021,Q46))/Commercial_MemberMonths_2021,"NA")</f>
        <v>NA</v>
      </c>
      <c r="C46" s="506" t="str">
        <f>IFERROR((SUMPRODUCT(H25,H46)+SUMPRODUCT(ICC4_MemberMonths_2022,M46)+SUMPRODUCT(ICC7_MemberMonths_2022,R46))/Commercial_MemberMonths_2022,"NA")</f>
        <v>NA</v>
      </c>
      <c r="D46" s="504" t="str">
        <f>IFERROR(Table9[[#This Row],[2022]]/Table9[[#This Row],[2021]]-1,"NA")</f>
        <v>NA</v>
      </c>
      <c r="E46"/>
      <c r="F46" s="503" t="s">
        <v>602</v>
      </c>
      <c r="G46" s="507" t="str" cm="1">
        <f t="array" ref="G46">IFERROR((SUMIFS(TM[[#All],[Total Non-Claims Spending]],TM[[#All],[Reporting Year]],2021,TM[[#All],[Insurance Category Code]],3,TM[[#All],[Large Provider Entity Code]],100))/ICC3_MemberMonths_2021,"NA")</f>
        <v>NA</v>
      </c>
      <c r="H46" s="507" t="str">
        <f>IFERROR((SUMIFS(TM[[#All],[Total Non-Claims Spending]],TM[[#All],[Reporting Year]],2022,TM[[#All],[Insurance Category Code]],3,TM[[#All],[Large Provider Entity Code]],100))/H25,"NA")</f>
        <v>NA</v>
      </c>
      <c r="I46" s="504" t="str">
        <f>IFERROR(Table911[[#This Row],[2022]]/Table911[[#This Row],[2021]]-1,"NA")</f>
        <v>NA</v>
      </c>
      <c r="J46"/>
      <c r="K46" s="503" t="s">
        <v>602</v>
      </c>
      <c r="L46" s="507" t="str" cm="1">
        <f t="array" ref="L46">IFERROR((SUMIFS(TM[[#All],[Total Non-Claims Spending]],TM[[#All],[Reporting Year]],2021,TM[[#All],[Insurance Category Code]],4,TM[[#All],[Large Provider Entity Code]],100))/ICC4_MemberMonths_2021,"NA")</f>
        <v>NA</v>
      </c>
      <c r="M46" s="507" t="str" cm="1">
        <f t="array" ref="M46">IFERROR((SUMIFS(TM[[#All],[Total Non-Claims Spending]],TM[[#All],[Reporting Year]],2022,TM[[#All],[Insurance Category Code]],4,TM[[#All],[Large Provider Entity Code]],100))/ICC4_MemberMonths_2022,"NA")</f>
        <v>NA</v>
      </c>
      <c r="N46" s="504" t="str">
        <f t="shared" si="1"/>
        <v>NA</v>
      </c>
      <c r="O46"/>
      <c r="P46" s="503" t="s">
        <v>602</v>
      </c>
      <c r="Q46" s="507" t="str" cm="1">
        <f t="array" ref="Q46">IFERROR((SUMIFS(TM[[#All],[Total Non-Claims Spending]],TM[[#All],[Reporting Year]],2021,TM[[#All],[Insurance Category Code]],7,TM[[#All],[Large Provider Entity Code]],100))/ICC7_MemberMonths_2021,"NA")</f>
        <v>NA</v>
      </c>
      <c r="R46" s="507" t="str" cm="1">
        <f t="array" ref="R46">IFERROR((SUMIFS(TM[[#All],[Total Non-Claims Spending]],TM[[#All],[Reporting Year]],2022,TM[[#All],[Insurance Category Code]],7,TM[[#All],[Large Provider Entity Code]],100))/ICC7_MemberMonths_2022,"NA")</f>
        <v>NA</v>
      </c>
      <c r="S46" s="508" t="str">
        <f>IFERROR(Table9111227[[#This Row],[2022]]/Table9111227[[#This Row],[2021]]-1,"NA")</f>
        <v>NA</v>
      </c>
    </row>
    <row r="47" spans="1:19" ht="15.75" thickTop="1" x14ac:dyDescent="0.25">
      <c r="A47" s="114" t="s">
        <v>603</v>
      </c>
      <c r="B47" s="140" t="str">
        <f>IFERROR((SUMPRODUCT(ICC3_MemberMonths_2021,G47)+SUMPRODUCT(ICC4_MemberMonths_2021,L47)+SUMPRODUCT(ICC7_MemberMonths_2021,Q47))/Commercial_MemberMonths_2021,"NA")</f>
        <v>NA</v>
      </c>
      <c r="C47" s="140" t="str">
        <f>IFERROR((SUMPRODUCT(H25,H47)+SUMPRODUCT(ICC4_MemberMonths_2022,M47)+SUMPRODUCT(ICC7_MemberMonths_2022,R47))/Commercial_MemberMonths_2022,"NA")</f>
        <v>NA</v>
      </c>
      <c r="D47" s="424" t="str">
        <f>IFERROR(Table9[[#This Row],[2022]]/Table9[[#This Row],[2021]]-1,"NA")</f>
        <v>NA</v>
      </c>
      <c r="E47"/>
      <c r="F47" s="114" t="s">
        <v>603</v>
      </c>
      <c r="G47" s="141" t="str">
        <f>IFERROR((SUMIFS(TM[[#All],[Total Non-Truncated Claims and Non-Claims Spending]],TM[[#All],[Reporting Year]],2021,TM[[#All],[Insurance Category Code]],3,TM[[#All],[Large Provider Entity Code]],100))/ICC3_MemberMonths_2021,"NA")</f>
        <v>NA</v>
      </c>
      <c r="H47" s="141" t="str">
        <f>IFERROR((SUMIFS(TM[[#All],[Total Non-Truncated Claims and Non-Claims Spending]],TM[[#All],[Reporting Year]],2022,TM[[#All],[Insurance Category Code]],3,TM[[#All],[Large Provider Entity Code]],100))/H25,"NA")</f>
        <v>NA</v>
      </c>
      <c r="I47" s="424" t="str">
        <f>IFERROR(Table911[[#This Row],[2022]]/Table911[[#This Row],[2021]]-1,"NA")</f>
        <v>NA</v>
      </c>
      <c r="J47"/>
      <c r="K47" s="114" t="s">
        <v>603</v>
      </c>
      <c r="L47" s="141" t="str" cm="1">
        <f t="array" ref="L47">IFERROR((SUMIFS(TM[[#All],[Total Non-Truncated Claims and Non-Claims Spending]],TM[[#All],[Reporting Year]],2021,TM[[#All],[Insurance Category Code]],4,TM[[#All],[Large Provider Entity Code]],100))/ICC4_MemberMonths_2021,"NA")</f>
        <v>NA</v>
      </c>
      <c r="M47" s="141" t="str" cm="1">
        <f t="array" ref="M47">IFERROR((SUMIFS(TM[[#All],[Total Non-Truncated Claims and Non-Claims Spending]],TM[[#All],[Reporting Year]],2022,TM[[#All],[Insurance Category Code]],4,TM[[#All],[Large Provider Entity Code]],100))/ICC4_MemberMonths_2022,"NA")</f>
        <v>NA</v>
      </c>
      <c r="N47" s="557" t="str">
        <f t="shared" si="1"/>
        <v>NA</v>
      </c>
      <c r="O47"/>
      <c r="P47" s="114" t="s">
        <v>603</v>
      </c>
      <c r="Q47" s="141" t="str" cm="1">
        <f t="array" ref="Q47">IFERROR((SUMIFS(TM[[#All],[Total Non-Truncated Claims and Non-Claims Spending]],TM[[#All],[Reporting Year]],2021,TM[[#All],[Insurance Category Code]],7,TM[[#All],[Large Provider Entity Code]],100))/ICC7_MemberMonths_2021,"NA")</f>
        <v>NA</v>
      </c>
      <c r="R47" s="141" t="str" cm="1">
        <f t="array" ref="R47">IFERROR((SUMIFS(TM[[#All],[Total Non-Truncated Claims and Non-Claims Spending]],TM[[#All],[Reporting Year]],2022,TM[[#All],[Insurance Category Code]],7,TM[[#All],[Large Provider Entity Code]],100))/ICC7_MemberMonths_2022,"NA")</f>
        <v>NA</v>
      </c>
      <c r="S47" s="426" t="str">
        <f>IFERROR(Table9111227[[#This Row],[2022]]/Table9111227[[#This Row],[2021]]-1,"NA")</f>
        <v>NA</v>
      </c>
    </row>
    <row r="48" spans="1:19" x14ac:dyDescent="0.25">
      <c r="A48" s="142" t="s">
        <v>604</v>
      </c>
      <c r="B48" s="143" t="str" cm="1">
        <f t="array" ref="B48">IFERROR((SUMPRODUCT(ICC3_MemberMonths_2021,G48)+SUMPRODUCT(ICC4_MemberMonths_2021,L48)+SUMPRODUCT(ICC7_MemberMonths_2021,Q48))/Commercial_MemberMonths_2021,"NA")</f>
        <v>NA</v>
      </c>
      <c r="C48" s="143" t="str">
        <f>IFERROR((SUMPRODUCT(H25,H48)+SUMPRODUCT(ICC4_MemberMonths_2022,M48)+SUMPRODUCT(ICC7_MemberMonths_2022,R48))/Commercial_MemberMonths_2022,"NA")</f>
        <v>NA</v>
      </c>
      <c r="D48" s="425" t="str">
        <f>IFERROR(Table9[[#This Row],[2022]]/Table9[[#This Row],[2021]]-1,"NA")</f>
        <v>NA</v>
      </c>
      <c r="E48"/>
      <c r="F48" s="142" t="s">
        <v>604</v>
      </c>
      <c r="G48" s="144" t="str" cm="1">
        <f t="array" ref="G48">IFERROR((SUMIFS(TM[[#All],[Total Truncated Expenses]],TM[[#All],[Reporting Year]],2021,TM[[#All],[Insurance Category Code]],3,TM[[#All],[Large Provider Entity Code]],100))/ICC3_MemberMonths_2021,"NA")</f>
        <v>NA</v>
      </c>
      <c r="H48" s="144" t="str">
        <f>IFERROR((SUMIFS(TM[[#All],[Total Truncated Expenses]],TM[[#All],[Reporting Year]],2022,TM[[#All],[Insurance Category Code]],3,TM[[#All],[Large Provider Entity Code]],100))/H25,"NA")</f>
        <v>NA</v>
      </c>
      <c r="I48" s="425" t="str">
        <f>IFERROR(Table911[[#This Row],[2022]]/Table911[[#This Row],[2021]]-1,"NA")</f>
        <v>NA</v>
      </c>
      <c r="J48"/>
      <c r="K48" s="142" t="s">
        <v>604</v>
      </c>
      <c r="L48" s="144" t="str" cm="1">
        <f t="array" ref="L48">IFERROR((SUMIFS(TM[[#All],[Total Truncated Expenses]],TM[[#All],[Reporting Year]],2021,TM[[#All],[Insurance Category Code]],4,TM[[#All],[Large Provider Entity Code]],100))/ICC4_MemberMonths_2021,"NA")</f>
        <v>NA</v>
      </c>
      <c r="M48" s="144" t="str" cm="1">
        <f t="array" ref="M48">IFERROR((SUMIFS(TM[[#All],[Total Truncated Expenses]],TM[[#All],[Reporting Year]],2022,TM[[#All],[Insurance Category Code]],4,TM[[#All],[Large Provider Entity Code]],100))/ICC4_MemberMonths_2022,"NA")</f>
        <v>NA</v>
      </c>
      <c r="N48" s="557" t="str">
        <f t="shared" si="1"/>
        <v>NA</v>
      </c>
      <c r="O48"/>
      <c r="P48" s="142" t="s">
        <v>604</v>
      </c>
      <c r="Q48" s="144" t="str" cm="1">
        <f t="array" ref="Q48">IFERROR((SUMIFS(TM[[#All],[Total Truncated Expenses]],TM[[#All],[Reporting Year]],2021,TM[[#All],[Insurance Category Code]],7,TM[[#All],[Large Provider Entity Code]],100))/ICC7_MemberMonths_2021,"NA")</f>
        <v>NA</v>
      </c>
      <c r="R48" s="144" t="str" cm="1">
        <f t="array" ref="R48">IFERROR((SUMIFS(TM[[#All],[Total Truncated Expenses]],TM[[#All],[Reporting Year]],2022,TM[[#All],[Insurance Category Code]],7,TM[[#All],[Large Provider Entity Code]],100))/ICC7_MemberMonths_2022,"NA")</f>
        <v>NA</v>
      </c>
      <c r="S48" s="425" t="str">
        <f>IFERROR(Table9111227[[#This Row],[2022]]/Table9111227[[#This Row],[2021]]-1,"NA")</f>
        <v>NA</v>
      </c>
    </row>
    <row r="49" spans="1:19" x14ac:dyDescent="0.25">
      <c r="A49"/>
      <c r="B49"/>
      <c r="C49"/>
      <c r="D49"/>
      <c r="E49"/>
      <c r="F49"/>
      <c r="G49"/>
      <c r="H49"/>
      <c r="I49"/>
      <c r="J49"/>
      <c r="K49"/>
      <c r="L49"/>
      <c r="M49"/>
      <c r="N49"/>
      <c r="O49"/>
      <c r="P49"/>
      <c r="Q49"/>
      <c r="R49"/>
      <c r="S49"/>
    </row>
    <row r="50" spans="1:19" x14ac:dyDescent="0.25">
      <c r="A50" s="695" t="s">
        <v>537</v>
      </c>
      <c r="B50" s="695"/>
      <c r="C50" s="695"/>
      <c r="D50" s="695"/>
      <c r="E50"/>
      <c r="F50" s="695" t="s">
        <v>538</v>
      </c>
      <c r="G50" s="695"/>
      <c r="H50" s="695"/>
      <c r="I50" s="695"/>
      <c r="J50"/>
      <c r="K50" s="3" t="s">
        <v>539</v>
      </c>
      <c r="L50" s="3"/>
      <c r="M50" s="3"/>
      <c r="N50" s="3"/>
      <c r="O50"/>
      <c r="P50" s="3" t="s">
        <v>540</v>
      </c>
      <c r="Q50" s="3"/>
      <c r="R50" s="3"/>
      <c r="S50" s="3"/>
    </row>
    <row r="51" spans="1:19" ht="30" customHeight="1" x14ac:dyDescent="0.25">
      <c r="A51" s="685" t="s">
        <v>416</v>
      </c>
      <c r="B51" s="685"/>
      <c r="C51" s="685"/>
      <c r="D51" s="685"/>
      <c r="E51"/>
      <c r="F51" s="685" t="s">
        <v>416</v>
      </c>
      <c r="G51" s="685"/>
      <c r="H51" s="685"/>
      <c r="I51" s="685"/>
      <c r="J51"/>
      <c r="K51" s="685" t="s">
        <v>416</v>
      </c>
      <c r="L51" s="685"/>
      <c r="M51" s="685"/>
      <c r="N51" s="685"/>
      <c r="O51"/>
      <c r="P51" s="685" t="s">
        <v>416</v>
      </c>
      <c r="Q51" s="685"/>
      <c r="R51" s="685"/>
      <c r="S51" s="685"/>
    </row>
    <row r="52" spans="1:19" ht="45" customHeight="1" x14ac:dyDescent="0.25">
      <c r="A52" s="686" t="s">
        <v>587</v>
      </c>
      <c r="B52" s="686"/>
      <c r="C52" s="686"/>
      <c r="D52" s="686"/>
      <c r="E52"/>
      <c r="F52" s="686" t="s">
        <v>587</v>
      </c>
      <c r="G52" s="686"/>
      <c r="H52" s="686"/>
      <c r="I52" s="686"/>
      <c r="J52"/>
      <c r="K52" s="686" t="s">
        <v>587</v>
      </c>
      <c r="L52" s="686"/>
      <c r="M52" s="686"/>
      <c r="N52" s="686"/>
      <c r="O52"/>
      <c r="P52" s="686" t="s">
        <v>587</v>
      </c>
      <c r="Q52" s="686"/>
      <c r="R52" s="686"/>
      <c r="S52" s="686"/>
    </row>
    <row r="53" spans="1:19" x14ac:dyDescent="0.25">
      <c r="A53" s="145" t="s">
        <v>533</v>
      </c>
      <c r="B53" s="146" t="s">
        <v>514</v>
      </c>
      <c r="C53" s="147" t="s">
        <v>515</v>
      </c>
      <c r="D53" s="148" t="s">
        <v>516</v>
      </c>
      <c r="E53" s="2"/>
      <c r="F53" s="145" t="s">
        <v>533</v>
      </c>
      <c r="G53" s="146" t="s">
        <v>514</v>
      </c>
      <c r="H53" s="147" t="s">
        <v>515</v>
      </c>
      <c r="I53" s="148" t="s">
        <v>516</v>
      </c>
      <c r="J53"/>
      <c r="K53" s="145" t="s">
        <v>533</v>
      </c>
      <c r="L53" s="146" t="s">
        <v>514</v>
      </c>
      <c r="M53" s="147" t="s">
        <v>515</v>
      </c>
      <c r="N53" s="148" t="s">
        <v>516</v>
      </c>
      <c r="O53"/>
      <c r="P53" s="145" t="s">
        <v>533</v>
      </c>
      <c r="Q53" s="146" t="s">
        <v>514</v>
      </c>
      <c r="R53" s="147" t="s">
        <v>515</v>
      </c>
      <c r="S53" s="148" t="s">
        <v>516</v>
      </c>
    </row>
    <row r="54" spans="1:19" x14ac:dyDescent="0.25">
      <c r="A54" s="136" t="s">
        <v>577</v>
      </c>
      <c r="B54" s="137">
        <f>SUM(G54,L54,Q54)</f>
        <v>0</v>
      </c>
      <c r="C54" s="137">
        <f>SUM(H54,M54,R54)</f>
        <v>0</v>
      </c>
      <c r="D54" s="423" t="str">
        <f>IFERROR(Table913[[#This Row],[2022]]/Table913[[#This Row],[2021]]-1,"NA")</f>
        <v>NA</v>
      </c>
      <c r="E54"/>
      <c r="F54" s="136" t="s">
        <v>181</v>
      </c>
      <c r="G54" s="137">
        <f>SUMIFS(TM[[#All],[Member Months]],TM[[#All],[Reporting Year]],2021,TM[[#All],[Insurance Category Code]],1,TM[[#All],[Large Provider Entity Code]],100)</f>
        <v>0</v>
      </c>
      <c r="H54" s="137">
        <f>SUMIFS(TM[[#All],[Member Months]],TM[[#All],[Reporting Year]],2022,TM[[#All],[Insurance Category Code]],1,TM[[#All],[Large Provider Entity Code]],100)</f>
        <v>0</v>
      </c>
      <c r="I54" s="423" t="str">
        <f>IFERROR(Table91114[[#This Row],[2022]]/Table91114[[#This Row],[2021]]-1,"NA")</f>
        <v>NA</v>
      </c>
      <c r="J54"/>
      <c r="K54" s="136" t="s">
        <v>577</v>
      </c>
      <c r="L54" s="137">
        <f>SUMIFS(TM[[#All],[Member Months]],TM[[#All],[Reporting Year]],2021,TM[[#All],[Insurance Category Code]],5,TM[[#All],[Large Provider Entity Code]],100)</f>
        <v>0</v>
      </c>
      <c r="M54" s="137">
        <f>SUMIFS(TM[[#All],[Member Months]],TM[[#All],[Reporting Year]],2022,TM[[#All],[Insurance Category Code]],5,TM[[#All],[Large Provider Entity Code]],100)</f>
        <v>0</v>
      </c>
      <c r="N54" s="423" t="str">
        <f>IFERROR(M54/L54-1,"NA")</f>
        <v>NA</v>
      </c>
      <c r="O54"/>
      <c r="P54" s="136" t="s">
        <v>577</v>
      </c>
      <c r="Q54" s="137">
        <f>SUMIFS(TM[[#All],[Member Months]],TM[[#All],[Reporting Year]],2021,TM[[#All],[Insurance Category Code]],8,TM[[#All],[Large Provider Entity Code]],100)</f>
        <v>0</v>
      </c>
      <c r="R54" s="137">
        <f>SUMIFS(TM[[#All],[Member Months]],TM[[#All],[Reporting Year]],2022,TM[[#All],[Insurance Category Code]],8,TM[[#All],[Large Provider Entity Code]],100)</f>
        <v>0</v>
      </c>
      <c r="S54" s="423" t="str">
        <f>IFERROR(Table911121528[[#This Row],[2022]]/Table911121528[[#This Row],[2021]]-1,"NA")</f>
        <v>NA</v>
      </c>
    </row>
    <row r="55" spans="1:19" x14ac:dyDescent="0.25">
      <c r="A55" s="139" t="s">
        <v>582</v>
      </c>
      <c r="B55" s="7" t="str" cm="1">
        <f t="array" ref="B55">IFERROR((SUMPRODUCT(ICC1_MemberMonths_2021,G55)+SUMPRODUCT(ICC5_MemberMonths_2021,L55)+SUMPRODUCT(ICC8_MemberMonths_2021,Q55))/Medicare_MemberMonths_2021,"NA")</f>
        <v>NA</v>
      </c>
      <c r="C55" s="7" t="str" cm="1">
        <f t="array" ref="C55">IFERROR((SUMPRODUCT(ICC1_MemberMonths_2022,H55)+SUMPRODUCT(ICC5_MemberMonths_2022,M55)+SUMPRODUCT(ICC8_MemberMonths_2022,R55))/Medicare_MemberMonths_2022,"NA")</f>
        <v>NA</v>
      </c>
      <c r="D55" s="423" t="str">
        <f>IFERROR(Table913[[#This Row],[2022]]/Table913[[#This Row],[2021]]-1,"NA")</f>
        <v>NA</v>
      </c>
      <c r="E55"/>
      <c r="F55" s="139" t="s">
        <v>182</v>
      </c>
      <c r="G55" s="7" t="str" cm="1">
        <f t="array" ref="G55">IFERROR((SUMIFS(TM[[#All],[Claims: Hospital Inpatient]],TM[[#All],[Reporting Year]],2021,TM[[#All],[Insurance Category Code]],1,TM[[#All],[Large Provider Entity Code]],100))/ICC1_MemberMonths_2021,"NA")</f>
        <v>NA</v>
      </c>
      <c r="H55" s="7" t="str" cm="1">
        <f t="array" ref="H55">IFERROR((SUMIFS(TM[[#All],[Claims: Hospital Inpatient]],TM[[#All],[Reporting Year]],2022,TM[[#All],[Insurance Category Code]],1,TM[[#All],[Large Provider Entity Code]],100))/ICC1_MemberMonths_2022,"NA")</f>
        <v>NA</v>
      </c>
      <c r="I55" s="423" t="str">
        <f>IFERROR(Table91114[[#This Row],[2022]]/Table91114[[#This Row],[2021]]-1,"NA")</f>
        <v>NA</v>
      </c>
      <c r="J55"/>
      <c r="K55" s="139" t="s">
        <v>582</v>
      </c>
      <c r="L55" s="7" t="str" cm="1">
        <f t="array" ref="L55">IFERROR((SUMIFS(TM[[#All],[Claims: Hospital Inpatient]],TM[[#All],[Reporting Year]],2021,TM[[#All],[Insurance Category Code]],5,TM[[#All],[Large Provider Entity Code]],100))/ICC5_MemberMonths_2021,"NA")</f>
        <v>NA</v>
      </c>
      <c r="M55" s="7" t="str" cm="1">
        <f t="array" ref="M55">IFERROR((SUMIFS(TM[[#All],[Claims: Hospital Inpatient]],TM[[#All],[Reporting Year]],2022,TM[[#All],[Insurance Category Code]],5,TM[[#All],[Large Provider Entity Code]],100))/ICC5_MemberMonths_2022,"NA")</f>
        <v>NA</v>
      </c>
      <c r="N55" s="423" t="str">
        <f>IFERROR(M55/L55-1,"NA")</f>
        <v>NA</v>
      </c>
      <c r="O55"/>
      <c r="P55" s="139" t="s">
        <v>582</v>
      </c>
      <c r="Q55" s="7" t="str" cm="1">
        <f t="array" ref="Q55">IFERROR((SUMIFS(TM[[#All],[Claims: Hospital Inpatient]],TM[[#All],[Reporting Year]],2021,TM[[#All],[Insurance Category Code]],8,TM[[#All],[Large Provider Entity Code]],100))/ICC8_MemberMonths_2021,"NA")</f>
        <v>NA</v>
      </c>
      <c r="R55" s="7" t="str">
        <f>IFERROR((SUMIFS(TM[[#All],[Claims: Hospital Inpatient]],TM[[#All],[Reporting Year]],2022,TM[[#All],[Insurance Category Code]],8,TM[[#All],[Large Provider Entity Code]],100))/ICC8_MemberMonths_2022,"NA")</f>
        <v>NA</v>
      </c>
      <c r="S55" s="423" t="str">
        <f>IFERROR(Table911121528[[#This Row],[2022]]/Table911121528[[#This Row],[2021]]-1,"NA")</f>
        <v>NA</v>
      </c>
    </row>
    <row r="56" spans="1:19" x14ac:dyDescent="0.25">
      <c r="A56" s="139" t="s">
        <v>583</v>
      </c>
      <c r="B56" s="7" t="str" cm="1">
        <f t="array" ref="B56">IFERROR((SUMPRODUCT(ICC1_MemberMonths_2021,G56)+SUMPRODUCT(ICC5_MemberMonths_2021,L56)+SUMPRODUCT(ICC8_MemberMonths_2021,Q56))/Medicare_MemberMonths_2021,"NA")</f>
        <v>NA</v>
      </c>
      <c r="C56" s="7" t="str" cm="1">
        <f t="array" ref="C56">IFERROR((SUMPRODUCT(ICC1_MemberMonths_2022,H56)+SUMPRODUCT(ICC5_MemberMonths_2022,M56)+SUMPRODUCT(ICC8_MemberMonths_2022,R56))/Medicare_MemberMonths_2022,"NA")</f>
        <v>NA</v>
      </c>
      <c r="D56" s="423" t="str">
        <f>IFERROR(Table913[[#This Row],[2022]]/Table913[[#This Row],[2021]]-1,"NA")</f>
        <v>NA</v>
      </c>
      <c r="E56"/>
      <c r="F56" s="139" t="s">
        <v>183</v>
      </c>
      <c r="G56" s="7" t="str" cm="1">
        <f t="array" ref="G56">IFERROR((SUMIFS(TM[[#All],[Claims: Hospital Outpatient]],TM[[#All],[Reporting Year]],2021,TM[[#All],[Insurance Category Code]],1,TM[[#All],[Large Provider Entity Code]],100))/ICC1_MemberMonths_2021,"NA")</f>
        <v>NA</v>
      </c>
      <c r="H56" s="7" t="str" cm="1">
        <f t="array" ref="H56">IFERROR((SUMIFS(TM[[#All],[Claims: Hospital Outpatient]],TM[[#All],[Reporting Year]],2022,TM[[#All],[Insurance Category Code]],1,TM[[#All],[Large Provider Entity Code]],100))/ICC1_MemberMonths_2022,"NA")</f>
        <v>NA</v>
      </c>
      <c r="I56" s="423" t="str">
        <f>IFERROR(Table91114[[#This Row],[2022]]/Table91114[[#This Row],[2021]]-1,"NA")</f>
        <v>NA</v>
      </c>
      <c r="J56"/>
      <c r="K56" s="139" t="s">
        <v>583</v>
      </c>
      <c r="L56" s="7" t="str" cm="1">
        <f t="array" ref="L56">IFERROR((SUMIFS(TM[[#All],[Claims: Hospital Outpatient]],TM[[#All],[Reporting Year]],2021,TM[[#All],[Insurance Category Code]],5,TM[[#All],[Large Provider Entity Code]],100))/ICC5_MemberMonths_2021,"NA")</f>
        <v>NA</v>
      </c>
      <c r="M56" s="7" t="str" cm="1">
        <f t="array" ref="M56">IFERROR((SUMIFS(TM[[#All],[Claims: Hospital Outpatient]],TM[[#All],[Reporting Year]],2022,TM[[#All],[Insurance Category Code]],5,TM[[#All],[Large Provider Entity Code]],100))/ICC5_MemberMonths_2022,"NA")</f>
        <v>NA</v>
      </c>
      <c r="N56" s="423" t="str">
        <f t="shared" ref="N56:N62" si="2">IFERROR(M56/L56-1,"NA")</f>
        <v>NA</v>
      </c>
      <c r="O56"/>
      <c r="P56" s="139" t="s">
        <v>583</v>
      </c>
      <c r="Q56" s="7" t="str" cm="1">
        <f t="array" ref="Q56">IFERROR((SUMIFS(TM[[#All],[Claims: Hospital Outpatient]],TM[[#All],[Reporting Year]],2021,TM[[#All],[Insurance Category Code]],8,TM[[#All],[Large Provider Entity Code]],100))/ICC8_MemberMonths_2021,"NA")</f>
        <v>NA</v>
      </c>
      <c r="R56" s="7" t="str">
        <f>IFERROR((SUMIFS(TM[[#All],[Claims: Hospital Outpatient]],TM[[#All],[Reporting Year]],2022,TM[[#All],[Insurance Category Code]],8,TM[[#All],[Large Provider Entity Code]],100))/ICC8_MemberMonths_2022,"NA")</f>
        <v>NA</v>
      </c>
      <c r="S56" s="423" t="str">
        <f>IFERROR(Table911121528[[#This Row],[2022]]/Table911121528[[#This Row],[2021]]-1,"NA")</f>
        <v>NA</v>
      </c>
    </row>
    <row r="57" spans="1:19" x14ac:dyDescent="0.25">
      <c r="A57" s="139" t="s">
        <v>584</v>
      </c>
      <c r="B57" s="7" t="str" cm="1">
        <f t="array" ref="B57">IFERROR((SUMPRODUCT(ICC1_MemberMonths_2021,G57)+SUMPRODUCT(ICC5_MemberMonths_2021,L57)+SUMPRODUCT(ICC8_MemberMonths_2021,Q57))/Medicare_MemberMonths_2021,"NA")</f>
        <v>NA</v>
      </c>
      <c r="C57" s="7" t="str" cm="1">
        <f t="array" ref="C57">IFERROR((SUMPRODUCT(ICC1_MemberMonths_2022,H57)+SUMPRODUCT(ICC5_MemberMonths_2022,M57)+SUMPRODUCT(ICC8_MemberMonths_2022,R57))/Medicare_MemberMonths_2022,"NA")</f>
        <v>NA</v>
      </c>
      <c r="D57" s="423" t="str">
        <f>IFERROR(Table913[[#This Row],[2022]]/Table913[[#This Row],[2021]]-1,"NA")</f>
        <v>NA</v>
      </c>
      <c r="E57"/>
      <c r="F57" s="139" t="s">
        <v>184</v>
      </c>
      <c r="G57" s="7" t="str" cm="1">
        <f t="array" ref="G57">IFERROR((SUMIFS(TM[[#All],[Claims: Professional, Primary Care Providers]],TM[[#All],[Reporting Year]],2021,TM[[#All],[Insurance Category Code]],1,TM[[#All],[Large Provider Entity Code]],100))/ICC1_MemberMonths_2021,"NA")</f>
        <v>NA</v>
      </c>
      <c r="H57" s="7" t="str" cm="1">
        <f t="array" ref="H57">IFERROR((SUMIFS(TM[[#All],[Claims: Professional, Primary Care Providers]],TM[[#All],[Reporting Year]],2022,TM[[#All],[Insurance Category Code]],1,TM[[#All],[Large Provider Entity Code]],100))/ICC1_MemberMonths_2022,"NA")</f>
        <v>NA</v>
      </c>
      <c r="I57" s="423" t="str">
        <f>IFERROR(Table91114[[#This Row],[2022]]/Table91114[[#This Row],[2021]]-1,"NA")</f>
        <v>NA</v>
      </c>
      <c r="J57"/>
      <c r="K57" s="139" t="s">
        <v>584</v>
      </c>
      <c r="L57" s="7" t="str" cm="1">
        <f t="array" ref="L57">IFERROR((SUMIFS(TM[[#All],[Claims: Professional, Primary Care Providers]],TM[[#All],[Reporting Year]],2021,TM[[#All],[Insurance Category Code]],5,TM[[#All],[Large Provider Entity Code]],100))/ICC5_MemberMonths_2021,"NA")</f>
        <v>NA</v>
      </c>
      <c r="M57" s="7" t="str" cm="1">
        <f t="array" ref="M57">IFERROR((SUMIFS(TM[[#All],[Claims: Professional, Primary Care Providers]],TM[[#All],[Reporting Year]],2022,TM[[#All],[Insurance Category Code]],5,TM[[#All],[Large Provider Entity Code]],100))/ICC5_MemberMonths_2022,"NA")</f>
        <v>NA</v>
      </c>
      <c r="N57" s="423" t="str">
        <f t="shared" si="2"/>
        <v>NA</v>
      </c>
      <c r="O57"/>
      <c r="P57" s="139" t="s">
        <v>584</v>
      </c>
      <c r="Q57" s="7" t="str">
        <f>IFERROR((SUMIFS(TM[[#All],[Claims: Professional, Primary Care Providers]],TM[[#All],[Reporting Year]],2021,TM[[#All],[Insurance Category Code]],8,TM[[#All],[Large Provider Entity Code]],100))/ICC8_MemberMonths_2021,"NA")</f>
        <v>NA</v>
      </c>
      <c r="R57" s="7" t="str" cm="1">
        <f t="array" ref="R57">IFERROR((SUMIFS(TM[[#All],[Claims: Professional, Primary Care Providers]],TM[[#All],[Reporting Year]],2022,TM[[#All],[Insurance Category Code]],8,TM[[#All],[Large Provider Entity Code]],100))/ICC8_MemberMonths_2022,"NA")</f>
        <v>NA</v>
      </c>
      <c r="S57" s="423" t="str">
        <f>IFERROR(Table911121528[[#This Row],[2022]]/Table911121528[[#This Row],[2021]]-1,"NA")</f>
        <v>NA</v>
      </c>
    </row>
    <row r="58" spans="1:19" x14ac:dyDescent="0.25">
      <c r="A58" s="139" t="s">
        <v>585</v>
      </c>
      <c r="B58" s="7" t="str" cm="1">
        <f t="array" ref="B58">IFERROR((SUMPRODUCT(ICC1_MemberMonths_2021,G58)+SUMPRODUCT(ICC5_MemberMonths_2021,L58)+SUMPRODUCT(ICC8_MemberMonths_2021,Q58))/Medicare_MemberMonths_2021,"NA")</f>
        <v>NA</v>
      </c>
      <c r="C58" s="7" t="str" cm="1">
        <f t="array" ref="C58">IFERROR((SUMPRODUCT(ICC1_MemberMonths_2022,H58)+SUMPRODUCT(ICC5_MemberMonths_2022,M58)+SUMPRODUCT(ICC8_MemberMonths_2022,R58))/Medicare_MemberMonths_2022,"NA")</f>
        <v>NA</v>
      </c>
      <c r="D58" s="423" t="str">
        <f>IFERROR(Table913[[#This Row],[2022]]/Table913[[#This Row],[2021]]-1,"NA")</f>
        <v>NA</v>
      </c>
      <c r="E58"/>
      <c r="F58" s="139" t="s">
        <v>185</v>
      </c>
      <c r="G58" s="7" t="str" cm="1">
        <f t="array" ref="G58">IFERROR((SUMIFS(TM[[#All],[Claims: Professional, Specialty Providers]],TM[[#All],[Reporting Year]],2021,TM[[#All],[Insurance Category Code]],1,TM[[#All],[Large Provider Entity Code]],100))/ICC1_MemberMonths_2021,"NA")</f>
        <v>NA</v>
      </c>
      <c r="H58" s="7" t="str" cm="1">
        <f t="array" ref="H58">IFERROR((SUMIFS(TM[[#All],[Claims: Professional, Specialty Providers]],TM[[#All],[Reporting Year]],2022,TM[[#All],[Insurance Category Code]],1,TM[[#All],[Large Provider Entity Code]],100))/ICC1_MemberMonths_2022,"NA")</f>
        <v>NA</v>
      </c>
      <c r="I58" s="423" t="str">
        <f>IFERROR(Table91114[[#This Row],[2022]]/Table91114[[#This Row],[2021]]-1,"NA")</f>
        <v>NA</v>
      </c>
      <c r="J58"/>
      <c r="K58" s="139" t="s">
        <v>585</v>
      </c>
      <c r="L58" s="7" t="str" cm="1">
        <f t="array" ref="L58">IFERROR((SUMIFS(TM[[#All],[Claims: Professional, Specialty Providers]],TM[[#All],[Reporting Year]],2021,TM[[#All],[Insurance Category Code]],5,TM[[#All],[Large Provider Entity Code]],100))/ICC5_MemberMonths_2021,"NA")</f>
        <v>NA</v>
      </c>
      <c r="M58" s="7" t="str" cm="1">
        <f t="array" ref="M58">IFERROR((SUMIFS(TM[[#All],[Claims: Professional, Specialty Providers]],TM[[#All],[Reporting Year]],2022,TM[[#All],[Insurance Category Code]],5,TM[[#All],[Large Provider Entity Code]],100))/ICC5_MemberMonths_2022,"NA")</f>
        <v>NA</v>
      </c>
      <c r="N58" s="423" t="str">
        <f t="shared" si="2"/>
        <v>NA</v>
      </c>
      <c r="O58"/>
      <c r="P58" s="139" t="s">
        <v>585</v>
      </c>
      <c r="Q58" s="7" t="str" cm="1">
        <f t="array" ref="Q58">IFERROR((SUMIFS(TM[[#All],[Claims: Professional, Specialty Providers]],TM[[#All],[Reporting Year]],2021,TM[[#All],[Insurance Category Code]],8,TM[[#All],[Large Provider Entity Code]],100))/ICC8_MemberMonths_2021,"NA")</f>
        <v>NA</v>
      </c>
      <c r="R58" s="7" t="str" cm="1">
        <f t="array" ref="R58">IFERROR((SUMIFS(TM[[#All],[Claims: Professional, Specialty Providers]],TM[[#All],[Reporting Year]],2022,TM[[#All],[Insurance Category Code]],8,TM[[#All],[Large Provider Entity Code]],100))/ICC8_MemberMonths_2022,"NA")</f>
        <v>NA</v>
      </c>
      <c r="S58" s="423" t="str">
        <f>IFERROR(Table911121528[[#This Row],[2022]]/Table911121528[[#This Row],[2021]]-1,"NA")</f>
        <v>NA</v>
      </c>
    </row>
    <row r="59" spans="1:19" x14ac:dyDescent="0.25">
      <c r="A59" s="139" t="s">
        <v>586</v>
      </c>
      <c r="B59" s="7" t="str" cm="1">
        <f t="array" ref="B59">IFERROR((SUMPRODUCT(ICC1_MemberMonths_2021,G59)+SUMPRODUCT(ICC5_MemberMonths_2021,L59)+SUMPRODUCT(ICC8_MemberMonths_2021,Q59))/Medicare_MemberMonths_2021,"NA")</f>
        <v>NA</v>
      </c>
      <c r="C59" s="7" t="str" cm="1">
        <f t="array" ref="C59">IFERROR((SUMPRODUCT(ICC1_MemberMonths_2022,H59)+SUMPRODUCT(ICC5_MemberMonths_2022,M59)+SUMPRODUCT(ICC8_MemberMonths_2022,R59))/Medicare_MemberMonths_2022,"NA")</f>
        <v>NA</v>
      </c>
      <c r="D59" s="423" t="str">
        <f>IFERROR(Table913[[#This Row],[2022]]/Table913[[#This Row],[2021]]-1,"NA")</f>
        <v>NA</v>
      </c>
      <c r="E59"/>
      <c r="F59" s="139" t="s">
        <v>186</v>
      </c>
      <c r="G59" s="7" t="str" cm="1">
        <f t="array" ref="G59">IFERROR((SUMIFS(TM[[#All],[Claims: Professional, Other Providers]],TM[[#All],[Reporting Year]],2021,TM[[#All],[Insurance Category Code]],1,TM[[#All],[Large Provider Entity Code]],100))/ICC1_MemberMonths_2021,"NA")</f>
        <v>NA</v>
      </c>
      <c r="H59" s="7" t="str" cm="1">
        <f t="array" ref="H59">IFERROR((SUMIFS(TM[[#All],[Claims: Professional, Other Providers]],TM[[#All],[Reporting Year]],2022,TM[[#All],[Insurance Category Code]],1,TM[[#All],[Large Provider Entity Code]],100))/ICC1_MemberMonths_2022,"NA")</f>
        <v>NA</v>
      </c>
      <c r="I59" s="423" t="str">
        <f>IFERROR(Table91114[[#This Row],[2022]]/Table91114[[#This Row],[2021]]-1,"NA")</f>
        <v>NA</v>
      </c>
      <c r="J59"/>
      <c r="K59" s="139" t="s">
        <v>586</v>
      </c>
      <c r="L59" s="7" t="str" cm="1">
        <f t="array" ref="L59">IFERROR((SUMIFS(TM[[#All],[Claims: Professional, Other Providers]],TM[[#All],[Reporting Year]],2021,TM[[#All],[Insurance Category Code]],5,TM[[#All],[Large Provider Entity Code]],100))/ICC5_MemberMonths_2021,"NA")</f>
        <v>NA</v>
      </c>
      <c r="M59" s="7" t="str" cm="1">
        <f t="array" ref="M59">IFERROR((SUMIFS(TM[[#All],[Claims: Professional, Other Providers]],TM[[#All],[Reporting Year]],2022,TM[[#All],[Insurance Category Code]],5,TM[[#All],[Large Provider Entity Code]],100))/ICC5_MemberMonths_2022,"NA")</f>
        <v>NA</v>
      </c>
      <c r="N59" s="423" t="str">
        <f>IFERROR(M59/L59-1,"NA")</f>
        <v>NA</v>
      </c>
      <c r="O59"/>
      <c r="P59" s="139" t="s">
        <v>586</v>
      </c>
      <c r="Q59" s="7" t="str" cm="1">
        <f t="array" ref="Q59">IFERROR((SUMIFS(TM[[#All],[Claims: Professional, Other Providers]],TM[[#All],[Reporting Year]],2021,TM[[#All],[Insurance Category Code]],8,TM[[#All],[Large Provider Entity Code]],100))/ICC8_MemberMonths_2021,"NA")</f>
        <v>NA</v>
      </c>
      <c r="R59" s="7" t="str" cm="1">
        <f t="array" ref="R59">IFERROR((SUMIFS(TM[[#All],[Claims: Professional, Other Providers]],TM[[#All],[Reporting Year]],2022,TM[[#All],[Insurance Category Code]],8,TM[[#All],[Large Provider Entity Code]],100))/ICC8_MemberMonths_2022,"NA")</f>
        <v>NA</v>
      </c>
      <c r="S59" s="423" t="str">
        <f>IFERROR(Table911121528[[#This Row],[2022]]/Table911121528[[#This Row],[2021]]-1,"NA")</f>
        <v>NA</v>
      </c>
    </row>
    <row r="60" spans="1:19" x14ac:dyDescent="0.25">
      <c r="A60" s="139" t="s">
        <v>588</v>
      </c>
      <c r="B60" s="7" t="str" cm="1">
        <f t="array" ref="B60">IFERROR((SUMPRODUCT(ICC1_MemberMonths_2021,G60)+SUMPRODUCT(ICC5_MemberMonths_2021,L60)+SUMPRODUCT(ICC8_MemberMonths_2021,Q60))/Medicare_MemberMonths_2021,"NA")</f>
        <v>NA</v>
      </c>
      <c r="C60" s="7" t="str" cm="1">
        <f t="array" ref="C60">IFERROR((SUMPRODUCT(ICC1_MemberMonths_2022,H60)+SUMPRODUCT(ICC5_MemberMonths_2022,M60)+SUMPRODUCT(ICC8_MemberMonths_2022,R60))/Medicare_MemberMonths_2022,"NA")</f>
        <v>NA</v>
      </c>
      <c r="D60" s="423" t="str">
        <f>IFERROR(Table913[[#This Row],[2022]]/Table913[[#This Row],[2021]]-1,"NA")</f>
        <v>NA</v>
      </c>
      <c r="E60"/>
      <c r="F60" s="139" t="s">
        <v>187</v>
      </c>
      <c r="G60" s="7" t="str" cm="1">
        <f t="array" ref="G60">IFERROR((SUMIFS(TM[[#All],[Claims: Long-Term Care]],TM[[#All],[Reporting Year]],2021,TM[[#All],[Insurance Category Code]],1,TM[[#All],[Large Provider Entity Code]],100))/ICC1_MemberMonths_2021,"NA")</f>
        <v>NA</v>
      </c>
      <c r="H60" s="7" t="str" cm="1">
        <f t="array" ref="H60">IFERROR((SUMIFS(TM[[#All],[Claims: Long-Term Care]],TM[[#All],[Reporting Year]],2022,TM[[#All],[Insurance Category Code]],1,TM[[#All],[Large Provider Entity Code]],100))/ICC1_MemberMonths_2022,"NA")</f>
        <v>NA</v>
      </c>
      <c r="I60" s="423" t="str">
        <f>IFERROR(Table91114[[#This Row],[2022]]/Table91114[[#This Row],[2021]]-1,"NA")</f>
        <v>NA</v>
      </c>
      <c r="J60"/>
      <c r="K60" s="139" t="s">
        <v>588</v>
      </c>
      <c r="L60" s="7" t="str" cm="1">
        <f t="array" ref="L60">IFERROR((SUMIFS(TM[[#All],[Claims: Long-Term Care]],TM[[#All],[Reporting Year]],2021,TM[[#All],[Insurance Category Code]],5,TM[[#All],[Large Provider Entity Code]],100))/ICC5_MemberMonths_2021,"NA")</f>
        <v>NA</v>
      </c>
      <c r="M60" s="7" t="str" cm="1">
        <f t="array" ref="M60">IFERROR((SUMIFS(TM[[#All],[Claims: Long-Term Care]],TM[[#All],[Reporting Year]],2022,TM[[#All],[Insurance Category Code]],5,TM[[#All],[Large Provider Entity Code]],100))/ICC5_MemberMonths_2022,"NA")</f>
        <v>NA</v>
      </c>
      <c r="N60" s="423" t="str">
        <f t="shared" si="2"/>
        <v>NA</v>
      </c>
      <c r="O60"/>
      <c r="P60" s="139" t="s">
        <v>588</v>
      </c>
      <c r="Q60" s="7" t="str" cm="1">
        <f t="array" ref="Q60">IFERROR((SUMIFS(TM[[#All],[Claims: Long-Term Care]],TM[[#All],[Reporting Year]],2021,TM[[#All],[Insurance Category Code]],8,TM[[#All],[Large Provider Entity Code]],100))/ICC8_MemberMonths_2021,"NA")</f>
        <v>NA</v>
      </c>
      <c r="R60" s="7" t="str" cm="1">
        <f t="array" ref="R60">IFERROR((SUMIFS(TM[[#All],[Claims: Long-Term Care]],TM[[#All],[Reporting Year]],2022,TM[[#All],[Insurance Category Code]],8,TM[[#All],[Large Provider Entity Code]],100))/ICC8_MemberMonths_2022,"NA")</f>
        <v>NA</v>
      </c>
      <c r="S60" s="423" t="str">
        <f>IFERROR(Table911121528[[#This Row],[2022]]/Table911121528[[#This Row],[2021]]-1,"NA")</f>
        <v>NA</v>
      </c>
    </row>
    <row r="61" spans="1:19" x14ac:dyDescent="0.25">
      <c r="A61" s="139" t="s">
        <v>589</v>
      </c>
      <c r="B61" s="7" t="str" cm="1">
        <f t="array" ref="B61">IFERROR((SUMPRODUCT(ICC1_MemberMonths_2021,G61)+SUMPRODUCT(ICC5_MemberMonths_2021,L61)+SUMPRODUCT(ICC8_MemberMonths_2021,Q61))/Medicare_MemberMonths_2021,"NA")</f>
        <v>NA</v>
      </c>
      <c r="C61" s="7" t="str" cm="1">
        <f t="array" ref="C61">IFERROR((SUMPRODUCT(ICC1_MemberMonths_2022,H61)+SUMPRODUCT(ICC5_MemberMonths_2022,M61)+SUMPRODUCT(ICC8_MemberMonths_2022,R61))/Medicare_MemberMonths_2022,"NA")</f>
        <v>NA</v>
      </c>
      <c r="D61" s="423" t="str">
        <f>IFERROR(Table913[[#This Row],[2022]]/Table913[[#This Row],[2021]]-1,"NA")</f>
        <v>NA</v>
      </c>
      <c r="E61"/>
      <c r="F61" s="139" t="s">
        <v>534</v>
      </c>
      <c r="G61" s="7" t="str" cm="1">
        <f t="array" ref="G61">IFERROR((SUMIFS(TM[[#All],[Claims: Retail Pharmacy]],TM[[#All],[Reporting Year]],2021,TM[[#All],[Insurance Category Code]],1,TM[[#All],[Large Provider Entity Code]],100))/ICC1_MemberMonths_2021,"NA")</f>
        <v>NA</v>
      </c>
      <c r="H61" s="7" t="str" cm="1">
        <f t="array" ref="H61">IFERROR((SUMIFS(TM[[#All],[Claims: Retail Pharmacy]],TM[[#All],[Reporting Year]],2022,TM[[#All],[Insurance Category Code]],1,TM[[#All],[Large Provider Entity Code]],100))/ICC1_MemberMonths_2022,"NA")</f>
        <v>NA</v>
      </c>
      <c r="I61" s="423" t="str">
        <f>IFERROR(Table91114[[#This Row],[2022]]/Table91114[[#This Row],[2021]]-1,"NA")</f>
        <v>NA</v>
      </c>
      <c r="J61"/>
      <c r="K61" s="139" t="s">
        <v>589</v>
      </c>
      <c r="L61" s="7" t="str" cm="1">
        <f t="array" ref="L61">IFERROR((SUMIFS(TM[[#All],[Claims: Retail Pharmacy]],TM[[#All],[Reporting Year]],2021,TM[[#All],[Insurance Category Code]],5,TM[[#All],[Large Provider Entity Code]],100))/ICC5_MemberMonths_2021,"NA")</f>
        <v>NA</v>
      </c>
      <c r="M61" s="7" t="str" cm="1">
        <f t="array" ref="M61">IFERROR((SUMIFS(TM[[#All],[Claims: Retail Pharmacy]],TM[[#All],[Reporting Year]],2022,TM[[#All],[Insurance Category Code]],5,TM[[#All],[Large Provider Entity Code]],100))/ICC5_MemberMonths_2022,"NA")</f>
        <v>NA</v>
      </c>
      <c r="N61" s="423" t="str">
        <f t="shared" si="2"/>
        <v>NA</v>
      </c>
      <c r="O61"/>
      <c r="P61" s="139" t="s">
        <v>589</v>
      </c>
      <c r="Q61" s="7" t="str" cm="1">
        <f t="array" ref="Q61">IFERROR((SUMIFS(TM[[#All],[Claims: Retail Pharmacy]],TM[[#All],[Reporting Year]],2021,TM[[#All],[Insurance Category Code]],8,TM[[#All],[Large Provider Entity Code]],100))/ICC8_MemberMonths_2021,"NA")</f>
        <v>NA</v>
      </c>
      <c r="R61" s="7" t="str" cm="1">
        <f t="array" ref="R61">IFERROR((SUMIFS(TM[[#All],[Claims: Retail Pharmacy]],TM[[#All],[Reporting Year]],2022,TM[[#All],[Insurance Category Code]],8,TM[[#All],[Large Provider Entity Code]],100))/ICC8_MemberMonths_2022,"NA")</f>
        <v>NA</v>
      </c>
      <c r="S61" s="423" t="str">
        <f>IFERROR(Table911121528[[#This Row],[2022]]/Table911121528[[#This Row],[2021]]-1,"NA")</f>
        <v>NA</v>
      </c>
    </row>
    <row r="62" spans="1:19" x14ac:dyDescent="0.25">
      <c r="A62" s="139" t="s">
        <v>590</v>
      </c>
      <c r="B62" s="7" t="str" cm="1">
        <f t="array" ref="B62">IFERROR((SUMPRODUCT(ICC1_MemberMonths_2021,G62)+SUMPRODUCT(ICC5_MemberMonths_2021,L62)+SUMPRODUCT(ICC8_MemberMonths_2021,Q62))/Medicare_MemberMonths_2021,"NA")</f>
        <v>NA</v>
      </c>
      <c r="C62" s="7" t="str" cm="1">
        <f t="array" ref="C62">IFERROR((SUMPRODUCT(ICC1_MemberMonths_2022,H62)+SUMPRODUCT(ICC5_MemberMonths_2022,M62)+SUMPRODUCT(ICC8_MemberMonths_2022,R62))/Medicare_MemberMonths_2022,"NA")</f>
        <v>NA</v>
      </c>
      <c r="D62" s="423" t="str">
        <f>IFERROR(Table913[[#This Row],[2022]]/Table913[[#This Row],[2021]]-1,"NA")</f>
        <v>NA</v>
      </c>
      <c r="E62"/>
      <c r="F62" s="139" t="s">
        <v>535</v>
      </c>
      <c r="G62" s="7" t="str" cm="1">
        <f t="array" ref="G62">IFERROR(((SUMIFS(TM[[#All],[Claims: Retail Pharmacy]],TM[[#All],[Reporting Year]],2021,TM[[#All],[Insurance Category Code]],1,TM[[#All],[Large Provider Entity Code]],100))-ABS(SUMIFS(RX[[#All],[Total Medical and Retail Pharmacy Rebate Amount]],RX[[#All],[Reporting Year]],2021,RX[[#All],[Insurance Category Code]],1)))/ICC1_MemberMonths_2021,"NA")</f>
        <v>NA</v>
      </c>
      <c r="H62" s="7" t="str" cm="1">
        <f t="array" ref="H62">IFERROR(((SUMIFS(TM[[#All],[Claims: Retail Pharmacy]],TM[[#All],[Reporting Year]],2022,TM[[#All],[Insurance Category Code]],1,TM[[#All],[Large Provider Entity Code]],100))-ABS(SUMIFS(RX[[#All],[Total Medical and Retail Pharmacy Rebate Amount]],RX[[#All],[Reporting Year]],2022,RX[[#All],[Insurance Category Code]],1)))/ICC1_MemberMonths_2022,"NA")</f>
        <v>NA</v>
      </c>
      <c r="I62" s="423" t="str">
        <f>IFERROR(Table91114[[#This Row],[2022]]/Table91114[[#This Row],[2021]]-1,"NA")</f>
        <v>NA</v>
      </c>
      <c r="J62"/>
      <c r="K62" s="139" t="s">
        <v>590</v>
      </c>
      <c r="L62" s="7" t="str" cm="1">
        <f t="array" ref="L62">IFERROR(((SUMIFS(TM[[#All],[Claims: Retail Pharmacy]],TM[[#All],[Reporting Year]],2021,TM[[#All],[Insurance Category Code]],5,TM[[#All],[Large Provider Entity Code]],100))-ABS(SUMIFS(RX[[#All],[Total Medical and Retail Pharmacy Rebate Amount]],RX[[#All],[Reporting Year]],2021,RX[[#All],[Insurance Category Code]],5)))/ICC5_MemberMonths_2021,"NA")</f>
        <v>NA</v>
      </c>
      <c r="M62" s="7" t="str" cm="1">
        <f t="array" ref="M62">IFERROR(((SUMIFS(TM[[#All],[Claims: Retail Pharmacy]],TM[[#All],[Reporting Year]],2022,TM[[#All],[Insurance Category Code]],5,TM[[#All],[Large Provider Entity Code]],100))-ABS(SUMIFS(RX[[#All],[Total Medical and Retail Pharmacy Rebate Amount]],RX[[#All],[Reporting Year]],2022,RX[[#All],[Insurance Category Code]],5)))/ICC5_MemberMonths_2022,"NA")</f>
        <v>NA</v>
      </c>
      <c r="N62" s="423" t="str">
        <f t="shared" si="2"/>
        <v>NA</v>
      </c>
      <c r="O62"/>
      <c r="P62" s="139" t="s">
        <v>590</v>
      </c>
      <c r="Q62" s="7" t="str" cm="1">
        <f t="array" ref="Q62">IFERROR(((SUMIFS(TM[[#All],[Claims: Retail Pharmacy]],TM[[#All],[Reporting Year]],2021,TM[[#All],[Insurance Category Code]],8,TM[[#All],[Large Provider Entity Code]],100))-ABS(SUMIFS(RX[[#All],[Total Medical and Retail Pharmacy Rebate Amount]],RX[[#All],[Reporting Year]],2021,RX[[#All],[Insurance Category Code]],8)))/ICC8_MemberMonths_2021,"NA")</f>
        <v>NA</v>
      </c>
      <c r="R62" s="7" t="str" cm="1">
        <f t="array" ref="R62">IFERROR(((SUMIFS(TM[[#All],[Claims: Retail Pharmacy]],TM[[#All],[Reporting Year]],2022,TM[[#All],[Insurance Category Code]],8,TM[[#All],[Large Provider Entity Code]],100))-ABS(SUMIFS(RX[[#All],[Total Medical and Retail Pharmacy Rebate Amount]],RX[[#All],[Reporting Year]],2022,RX[[#All],[Insurance Category Code]],8)))/ICC8_MemberMonths_2022,"NA")</f>
        <v>NA</v>
      </c>
      <c r="S62" s="423" t="str">
        <f>IFERROR(Table911121528[[#This Row],[2022]]/Table911121528[[#This Row],[2021]]-1,"NA")</f>
        <v>NA</v>
      </c>
    </row>
    <row r="63" spans="1:19" x14ac:dyDescent="0.25">
      <c r="A63" s="139" t="s">
        <v>591</v>
      </c>
      <c r="B63" s="7" t="str" cm="1">
        <f t="array" ref="B63">IFERROR((SUMPRODUCT(ICC1_MemberMonths_2021,G63)+SUMPRODUCT(ICC5_MemberMonths_2021,L63)+SUMPRODUCT(ICC8_MemberMonths_2021,Q63))/Medicare_MemberMonths_2021,"NA")</f>
        <v>NA</v>
      </c>
      <c r="C63" s="7" t="str" cm="1">
        <f t="array" ref="C63">IFERROR((SUMPRODUCT(ICC1_MemberMonths_2022,H63)+SUMPRODUCT(ICC5_MemberMonths_2022,M63)+SUMPRODUCT(ICC8_MemberMonths_2022,R63))/Medicare_MemberMonths_2022,"NA")</f>
        <v>NA</v>
      </c>
      <c r="D63" s="423" t="str">
        <f>IFERROR(Table913[[#This Row],[2022]]/Table913[[#This Row],[2021]]-1,"NA")</f>
        <v>NA</v>
      </c>
      <c r="E63"/>
      <c r="F63" s="139" t="s">
        <v>259</v>
      </c>
      <c r="G63" s="7" t="str">
        <f>IFERROR(SUMIFS(RX[[#All],[Total Medical and Retail Pharmacy Rebate Amount]],RX[[#All],[Reporting Year]],2021,RX[[#All],[Insurance Category Code]],1)/ICC1_MemberMonths_2021,"NA")</f>
        <v>NA</v>
      </c>
      <c r="H63" s="7" t="str">
        <f>IFERROR(SUMIFS(RX[[#All],[Total Medical and Retail Pharmacy Rebate Amount]],RX[[#All],[Reporting Year]],2022,RX[[#All],[Insurance Category Code]],1)/ICC1_MemberMonths_2022,"NA")</f>
        <v>NA</v>
      </c>
      <c r="I63" s="423" t="str">
        <f>IFERROR(Table91114[[#This Row],[2022]]/Table91114[[#This Row],[2021]]-1,"NA")</f>
        <v>NA</v>
      </c>
      <c r="J63"/>
      <c r="K63" s="139" t="s">
        <v>591</v>
      </c>
      <c r="L63" s="7" t="str">
        <f>IFERROR(SUMIFS(RX[[#All],[Total Medical and Retail Pharmacy Rebate Amount]],RX[[#All],[Reporting Year]],2021,RX[[#All],[Insurance Category Code]],5)/ICC5_MemberMonths_2021,"NA")</f>
        <v>NA</v>
      </c>
      <c r="M63" s="7" t="str">
        <f>IFERROR(SUMIFS(RX[[#All],[Total Medical and Retail Pharmacy Rebate Amount]],RX[[#All],[Reporting Year]],2022,RX[[#All],[Insurance Category Code]],5)/ICC5_MemberMonths_2022,"NA")</f>
        <v>NA</v>
      </c>
      <c r="N63" s="423" t="str">
        <f>IFERROR(M63/L63-1,"NA")</f>
        <v>NA</v>
      </c>
      <c r="O63"/>
      <c r="P63" s="139" t="s">
        <v>591</v>
      </c>
      <c r="Q63" s="7" t="str">
        <f>IFERROR(SUMIFS(RX[[#All],[Total Medical and Retail Pharmacy Rebate Amount]],RX[[#All],[Reporting Year]],2021,RX[[#All],[Insurance Category Code]],8)/ICC8_MemberMonths_2021,"NA")</f>
        <v>NA</v>
      </c>
      <c r="R63" s="7" t="str">
        <f>IFERROR(SUMIFS(RX[[#All],[Total Medical and Retail Pharmacy Rebate Amount]],RX[[#All],[Reporting Year]],2022,RX[[#All],[Insurance Category Code]],8)/ICC8_MemberMonths_2022,"NA")</f>
        <v>NA</v>
      </c>
      <c r="S63" s="423" t="str">
        <f>IFERROR(Table911121528[[#This Row],[2022]]/Table911121528[[#This Row],[2021]]-1,"NA")</f>
        <v>NA</v>
      </c>
    </row>
    <row r="64" spans="1:19" s="155" customFormat="1" x14ac:dyDescent="0.25">
      <c r="A64" s="531" t="s">
        <v>536</v>
      </c>
      <c r="B64" s="510" t="str">
        <f>IFERROR(ABS(B63/B61),"NA")</f>
        <v>NA</v>
      </c>
      <c r="C64" s="510" t="str">
        <f>IFERROR(ABS(C63/C61),"NA")</f>
        <v>NA</v>
      </c>
      <c r="D64" s="562" t="s">
        <v>500</v>
      </c>
      <c r="E64" s="3"/>
      <c r="F64" s="532" t="s">
        <v>536</v>
      </c>
      <c r="G64" s="510" t="str">
        <f>IFERROR(ABS(G63/G61),"NA")</f>
        <v>NA</v>
      </c>
      <c r="H64" s="510" t="str">
        <f>IFERROR(ABS(H63/H61),"NA")</f>
        <v>NA</v>
      </c>
      <c r="I64" s="562" t="s">
        <v>500</v>
      </c>
      <c r="J64" s="3"/>
      <c r="K64" s="531" t="s">
        <v>536</v>
      </c>
      <c r="L64" s="510" t="str">
        <f>IFERROR(ABS(L63/L61),"NA")</f>
        <v>NA</v>
      </c>
      <c r="M64" s="510" t="str">
        <f>IFERROR(ABS(M63/M61),"NA")</f>
        <v>NA</v>
      </c>
      <c r="N64" s="562" t="s">
        <v>500</v>
      </c>
      <c r="O64" s="3"/>
      <c r="P64" s="531" t="s">
        <v>536</v>
      </c>
      <c r="Q64" s="563" t="str">
        <f>IFERROR(ABS(Q63/Q61),"NA")</f>
        <v>NA</v>
      </c>
      <c r="R64" s="563" t="str">
        <f>IFERROR(ABS(R63/R61),"NA")</f>
        <v>NA</v>
      </c>
      <c r="S64" s="562" t="s">
        <v>500</v>
      </c>
    </row>
    <row r="65" spans="1:19" s="155" customFormat="1" x14ac:dyDescent="0.25">
      <c r="A65" s="139" t="s">
        <v>592</v>
      </c>
      <c r="B65" s="7" t="str" cm="1">
        <f t="array" ref="B65">IFERROR((SUMPRODUCT(ICC1_MemberMonths_2021,G65)+SUMPRODUCT(ICC5_MemberMonths_2021,L65)+SUMPRODUCT(ICC8_MemberMonths_2021,Q65))/Medicare_MemberMonths_2021,"NA")</f>
        <v>NA</v>
      </c>
      <c r="C65" s="7" t="str" cm="1">
        <f t="array" ref="C65">IFERROR((SUMPRODUCT(ICC1_MemberMonths_2022,H65)+SUMPRODUCT(ICC5_MemberMonths_2022,M65)+SUMPRODUCT(ICC8_MemberMonths_2022,R65))/Medicare_MemberMonths_2022,"NA")</f>
        <v>NA</v>
      </c>
      <c r="D65" s="423" t="str">
        <f>IFERROR(Table913[[#This Row],[2022]]/Table913[[#This Row],[2021]]-1,"NA")</f>
        <v>NA</v>
      </c>
      <c r="E65" s="3"/>
      <c r="F65" s="139" t="s">
        <v>189</v>
      </c>
      <c r="G65" s="7" t="str" cm="1">
        <f t="array" ref="G65">IFERROR((SUMIFS(TM[[#All],[Claims: Other]],TM[[#All],[Reporting Year]],2021,TM[[#All],[Insurance Category Code]],1,TM[[#All],[Large Provider Entity Code]],100))/ICC1_MemberMonths_2021,"NA")</f>
        <v>NA</v>
      </c>
      <c r="H65" s="7" t="str">
        <f>IFERROR((SUMIFS(TM[[#All],[Claims: Other]],TM[[#All],[Reporting Year]],2022,TM[[#All],[Insurance Category Code]],1,TM[[#All],[Large Provider Entity Code]],100))/ICC1_MemberMonths_2022,"NA")</f>
        <v>NA</v>
      </c>
      <c r="I65" s="423" t="str">
        <f>IFERROR(Table91114[[#This Row],[2022]]/Table91114[[#This Row],[2021]]-1,"NA")</f>
        <v>NA</v>
      </c>
      <c r="J65" s="3"/>
      <c r="K65" s="139" t="s">
        <v>592</v>
      </c>
      <c r="L65" s="7" t="str" cm="1">
        <f t="array" ref="L65">IFERROR((SUMIFS(TM[[#All],[Claims: Other]],TM[[#All],[Reporting Year]],2021,TM[[#All],[Insurance Category Code]],5,TM[[#All],[Large Provider Entity Code]],100))/ICC5_MemberMonths_2021,"NA")</f>
        <v>NA</v>
      </c>
      <c r="M65" s="7" t="str" cm="1">
        <f t="array" ref="M65">IFERROR((SUMIFS(TM[[#All],[Claims: Other]],TM[[#All],[Reporting Year]],2022,TM[[#All],[Insurance Category Code]],5,TM[[#All],[Large Provider Entity Code]],100))/ICC5_MemberMonths_2022,"NA")</f>
        <v>NA</v>
      </c>
      <c r="N65" s="423" t="str">
        <f t="shared" ref="N65:N77" si="3">IFERROR(M65/L65-1,"NA")</f>
        <v>NA</v>
      </c>
      <c r="O65" s="3"/>
      <c r="P65" s="139" t="s">
        <v>592</v>
      </c>
      <c r="Q65" s="7" t="str" cm="1">
        <f t="array" ref="Q65">IFERROR((SUMIFS(TM[[#All],[Claims: Other]],TM[[#All],[Reporting Year]],2021,TM[[#All],[Insurance Category Code]],8,TM[[#All],[Large Provider Entity Code]],100))/ICC8_MemberMonths_2021,"NA")</f>
        <v>NA</v>
      </c>
      <c r="R65" s="7" t="str" cm="1">
        <f t="array" ref="R65">IFERROR((SUMIFS(TM[[#All],[Claims: Other]],TM[[#All],[Reporting Year]],2022,TM[[#All],[Insurance Category Code]],8,TM[[#All],[Large Provider Entity Code]],100))/ICC8_MemberMonths_2022,"NA")</f>
        <v>NA</v>
      </c>
      <c r="S65" s="423" t="str">
        <f>IFERROR(Table911121528[[#This Row],[2022]]/Table911121528[[#This Row],[2021]]-1,"NA")</f>
        <v>NA</v>
      </c>
    </row>
    <row r="66" spans="1:19" x14ac:dyDescent="0.25">
      <c r="A66" s="503" t="s">
        <v>593</v>
      </c>
      <c r="B66" s="130" t="str" cm="1">
        <f t="array" ref="B66">IFERROR((SUMPRODUCT(ICC1_MemberMonths_2021,G66)+SUMPRODUCT(ICC5_MemberMonths_2021,L66)+SUMPRODUCT(ICC8_MemberMonths_2021,Q66))/Medicare_MemberMonths_2021,"NA")</f>
        <v>NA</v>
      </c>
      <c r="C66" s="130" t="str" cm="1">
        <f t="array" ref="C66">IFERROR((SUMPRODUCT(ICC1_MemberMonths_2022,H66)+SUMPRODUCT(ICC5_MemberMonths_2022,M66)+SUMPRODUCT(ICC8_MemberMonths_2022,R66))/Medicare_MemberMonths_2022,"NA")</f>
        <v>NA</v>
      </c>
      <c r="D66" s="504" t="str">
        <f>IFERROR(Table913[[#This Row],[2022]]/Table913[[#This Row],[2021]]-1,"NA")</f>
        <v>NA</v>
      </c>
      <c r="E66"/>
      <c r="F66" s="503" t="s">
        <v>199</v>
      </c>
      <c r="G66" s="505" t="str" cm="1">
        <f t="array" ref="G66">IFERROR((SUMIFS(TM[[#All],[Total Non-Truncated Claims Spending]],TM[[#All],[Reporting Year]],2021,TM[[#All],[Insurance Category Code]],1,TM[[#All],[Large Provider Entity Code]],100))/ICC1_MemberMonths_2021,"NA")</f>
        <v>NA</v>
      </c>
      <c r="H66" s="505" t="str" cm="1">
        <f t="array" ref="H66">IFERROR((SUMIFS(TM[[#All],[Total Non-Truncated Claims Spending]],TM[[#All],[Reporting Year]],2022,TM[[#All],[Insurance Category Code]],1,TM[[#All],[Large Provider Entity Code]],100))/ICC1_MemberMonths_2022,"NA")</f>
        <v>NA</v>
      </c>
      <c r="I66" s="504" t="str">
        <f>IFERROR(Table91114[[#This Row],[2022]]/Table91114[[#This Row],[2021]]-1,"NA")</f>
        <v>NA</v>
      </c>
      <c r="J66"/>
      <c r="K66" s="503" t="s">
        <v>593</v>
      </c>
      <c r="L66" s="505" t="str" cm="1">
        <f t="array" ref="L66">IFERROR((SUMIFS(TM[[#All],[Total Non-Truncated Claims Spending]],TM[[#All],[Reporting Year]],2021,TM[[#All],[Insurance Category Code]],5,TM[[#All],[Large Provider Entity Code]],100))/ICC5_MemberMonths_2021,"NA")</f>
        <v>NA</v>
      </c>
      <c r="M66" s="505" t="str" cm="1">
        <f t="array" ref="M66">IFERROR((SUMIFS(TM[[#All],[Total Non-Truncated Claims Spending]],TM[[#All],[Reporting Year]],2022,TM[[#All],[Insurance Category Code]],5,TM[[#All],[Large Provider Entity Code]],100))/ICC5_MemberMonths_2022,"NA")</f>
        <v>NA</v>
      </c>
      <c r="N66" s="504" t="str">
        <f t="shared" si="3"/>
        <v>NA</v>
      </c>
      <c r="O66"/>
      <c r="P66" s="503" t="s">
        <v>593</v>
      </c>
      <c r="Q66" s="505" t="str" cm="1">
        <f t="array" ref="Q66">IFERROR((SUMIFS(TM[[#All],[Total Non-Truncated Claims Spending]],TM[[#All],[Reporting Year]],2021,TM[[#All],[Insurance Category Code]],8,TM[[#All],[Large Provider Entity Code]],100))/ICC8_MemberMonths_2021,"NA")</f>
        <v>NA</v>
      </c>
      <c r="R66" s="505" t="str" cm="1">
        <f t="array" ref="R66">IFERROR((SUMIFS(TM[[#All],[Total Non-Truncated Claims Spending]],TM[[#All],[Reporting Year]],2022,TM[[#All],[Insurance Category Code]],8,TM[[#All],[Large Provider Entity Code]],100))/ICC8_MemberMonths_2022,"NA")</f>
        <v>NA</v>
      </c>
      <c r="S66" s="504" t="str">
        <f>IFERROR(R66/O66-1,"NA")</f>
        <v>NA</v>
      </c>
    </row>
    <row r="67" spans="1:19" x14ac:dyDescent="0.25">
      <c r="A67" s="503" t="s">
        <v>594</v>
      </c>
      <c r="B67" s="130" t="str" cm="1">
        <f t="array" ref="B67">IFERROR((SUMPRODUCT(ICC1_MemberMonths_2021,G67)+SUMPRODUCT(ICC5_MemberMonths_2021,L67)+SUMPRODUCT(ICC8_MemberMonths_2021,Q67))/Medicare_MemberMonths_2021,"NA")</f>
        <v>NA</v>
      </c>
      <c r="C67" s="130" t="str" cm="1">
        <f t="array" ref="C67">IFERROR((SUMPRODUCT(ICC1_MemberMonths_2022,H67)+SUMPRODUCT(ICC5_MemberMonths_2022,M67)+SUMPRODUCT(ICC8_MemberMonths_2022,R67))/Medicare_MemberMonths_2022,"NA")</f>
        <v>NA</v>
      </c>
      <c r="D67" s="504" t="str">
        <f>IFERROR(Table913[[#This Row],[2022]]/Table913[[#This Row],[2021]]-1,"NA")</f>
        <v>NA</v>
      </c>
      <c r="E67"/>
      <c r="F67" s="503" t="s">
        <v>202</v>
      </c>
      <c r="G67" s="505" t="str" cm="1">
        <f t="array" ref="G67">IFERROR((SUMIFS(TM[[#All],[Total Truncated Claims Spending]],TM[[#All],[Reporting Year]],2021,TM[[#All],[Insurance Category Code]],1,TM[[#All],[Large Provider Entity Code]],100))/ICC1_MemberMonths_2021,"NA")</f>
        <v>NA</v>
      </c>
      <c r="H67" s="505" t="str" cm="1">
        <f t="array" ref="H67">IFERROR((SUMIFS(TM[[#All],[Total Truncated Claims Spending]],TM[[#All],[Reporting Year]],2022,TM[[#All],[Insurance Category Code]],1,TM[[#All],[Large Provider Entity Code]],100))/ICC1_MemberMonths_2022,"NA")</f>
        <v>NA</v>
      </c>
      <c r="I67" s="504" t="str">
        <f>IFERROR(Table91114[[#This Row],[2022]]/Table91114[[#This Row],[2021]]-1,"NA")</f>
        <v>NA</v>
      </c>
      <c r="J67"/>
      <c r="K67" s="503" t="s">
        <v>594</v>
      </c>
      <c r="L67" s="505" t="str" cm="1">
        <f t="array" ref="L67">IFERROR((SUMIFS(TM[[#All],[Total Truncated Claims Spending]],TM[[#All],[Reporting Year]],2021,TM[[#All],[Insurance Category Code]],5,TM[[#All],[Large Provider Entity Code]],100))/ICC5_MemberMonths_2021,"NA")</f>
        <v>NA</v>
      </c>
      <c r="M67" s="505" t="str" cm="1">
        <f t="array" ref="M67">IFERROR((SUMIFS(TM[[#All],[Total Truncated Claims Spending]],TM[[#All],[Reporting Year]],2022,TM[[#All],[Insurance Category Code]],5,TM[[#All],[Large Provider Entity Code]],100))/ICC5_MemberMonths_2022,"NA")</f>
        <v>NA</v>
      </c>
      <c r="N67" s="504" t="str">
        <f t="shared" si="3"/>
        <v>NA</v>
      </c>
      <c r="O67"/>
      <c r="P67" s="503" t="s">
        <v>594</v>
      </c>
      <c r="Q67" s="505" t="str" cm="1">
        <f t="array" ref="Q67">IFERROR((SUMIFS(TM[[#All],[Total Truncated Claims Spending]],TM[[#All],[Reporting Year]],2021,TM[[#All],[Insurance Category Code]],8,TM[[#All],[Large Provider Entity Code]],100))/ICC8_MemberMonths_2021,"NA")</f>
        <v>NA</v>
      </c>
      <c r="R67" s="505" t="str" cm="1">
        <f t="array" ref="R67">IFERROR((SUMIFS(TM[[#All],[Total Truncated Claims Spending]],TM[[#All],[Reporting Year]],2022,TM[[#All],[Insurance Category Code]],8,TM[[#All],[Large Provider Entity Code]],100))/ICC8_MemberMonths_2022,"NA")</f>
        <v>NA</v>
      </c>
      <c r="S67" s="504" t="str">
        <f>IFERROR(Table911121528[[#This Row],[2022]]/Table911121528[[#This Row],[2021]]-1,"NA")</f>
        <v>NA</v>
      </c>
    </row>
    <row r="68" spans="1:19" x14ac:dyDescent="0.25">
      <c r="A68" s="139" t="s">
        <v>595</v>
      </c>
      <c r="B68" s="7" t="str" cm="1">
        <f t="array" ref="B68">IFERROR((SUMPRODUCT(ICC1_MemberMonths_2021,G68)+SUMPRODUCT(ICC5_MemberMonths_2021,L68)+SUMPRODUCT(ICC8_MemberMonths_2021,Q68))/Medicare_MemberMonths_2021,"NA")</f>
        <v>NA</v>
      </c>
      <c r="C68" s="7" t="str" cm="1">
        <f t="array" ref="C68">IFERROR((SUMPRODUCT(ICC1_MemberMonths_2022,H68)+SUMPRODUCT(ICC5_MemberMonths_2022,M68)+SUMPRODUCT(ICC8_MemberMonths_2022,R68))/Medicare_MemberMonths_2022,"NA")</f>
        <v>NA</v>
      </c>
      <c r="D68" s="423" t="str">
        <f>IFERROR(Table913[[#This Row],[2022]]/Table913[[#This Row],[2021]]-1,"NA")</f>
        <v>NA</v>
      </c>
      <c r="E68"/>
      <c r="F68" s="139" t="s">
        <v>190</v>
      </c>
      <c r="G68" s="7" t="str" cm="1">
        <f t="array" ref="G68">IFERROR((SUMIFS(TM[[#All],[Non-Claims: Capitation or Bundled Arrangements]],TM[[#All],[Reporting Year]],2021,TM[[#All],[Insurance Category Code]],1,TM[[#All],[Large Provider Entity Code]],100))/ICC1_MemberMonths_2021,"NA")</f>
        <v>NA</v>
      </c>
      <c r="H68" s="7" t="str" cm="1">
        <f t="array" ref="H68">IFERROR((SUMIFS(TM[[#All],[Non-Claims: Capitation or Bundled Arrangements]],TM[[#All],[Reporting Year]],2022,TM[[#All],[Insurance Category Code]],1,TM[[#All],[Large Provider Entity Code]],100))/ICC1_MemberMonths_2022,"NA")</f>
        <v>NA</v>
      </c>
      <c r="I68" s="423" t="str">
        <f>IFERROR(Table91114[[#This Row],[2022]]/Table91114[[#This Row],[2021]]-1,"NA")</f>
        <v>NA</v>
      </c>
      <c r="J68"/>
      <c r="K68" s="139" t="s">
        <v>595</v>
      </c>
      <c r="L68" s="7" t="str" cm="1">
        <f t="array" ref="L68">IFERROR((SUMIFS(TM[[#All],[Non-Claims: Capitation or Bundled Arrangements]],TM[[#All],[Reporting Year]],2021,TM[[#All],[Insurance Category Code]],5,TM[[#All],[Large Provider Entity Code]],100))/ICC5_MemberMonths_2021,"NA")</f>
        <v>NA</v>
      </c>
      <c r="M68" s="7" t="str" cm="1">
        <f t="array" ref="M68">IFERROR((SUMIFS(TM[[#All],[Non-Claims: Capitation or Bundled Arrangements]],TM[[#All],[Reporting Year]],2022,TM[[#All],[Insurance Category Code]],5,TM[[#All],[Large Provider Entity Code]],100))/ICC5_MemberMonths_2022,"NA")</f>
        <v>NA</v>
      </c>
      <c r="N68" s="423" t="str">
        <f>IFERROR(M68/L68-1,"NA")</f>
        <v>NA</v>
      </c>
      <c r="O68"/>
      <c r="P68" s="139" t="s">
        <v>595</v>
      </c>
      <c r="Q68" s="7" t="str" cm="1">
        <f t="array" ref="Q68">IFERROR((SUMIFS(TM[[#All],[Non-Claims: Capitation or Bundled Arrangements]],TM[[#All],[Reporting Year]],2021,TM[[#All],[Insurance Category Code]],8,TM[[#All],[Large Provider Entity Code]],100))/ICC8_MemberMonths_2021,"NA")</f>
        <v>NA</v>
      </c>
      <c r="R68" s="7" t="str" cm="1">
        <f t="array" ref="R68">IFERROR((SUMIFS(TM[[#All],[Non-Claims: Capitation or Bundled Arrangements]],TM[[#All],[Reporting Year]],2022,TM[[#All],[Insurance Category Code]],8,TM[[#All],[Large Provider Entity Code]],100))/ICC8_MemberMonths_2022,"NA")</f>
        <v>NA</v>
      </c>
      <c r="S68" s="423" t="str">
        <f>IFERROR(Table911121528[[#This Row],[2022]]/Table911121528[[#This Row],[2021]]-1,"NA")</f>
        <v>NA</v>
      </c>
    </row>
    <row r="69" spans="1:19" x14ac:dyDescent="0.25">
      <c r="A69" s="139" t="s">
        <v>596</v>
      </c>
      <c r="B69" s="7" t="str" cm="1">
        <f t="array" ref="B69">IFERROR((SUMPRODUCT(ICC1_MemberMonths_2021,G69)+SUMPRODUCT(ICC5_MemberMonths_2021,L69)+SUMPRODUCT(ICC8_MemberMonths_2021,Q69))/Medicare_MemberMonths_2021,"NA")</f>
        <v>NA</v>
      </c>
      <c r="C69" s="7" t="str" cm="1">
        <f t="array" ref="C69">IFERROR((SUMPRODUCT(ICC1_MemberMonths_2022,H69)+SUMPRODUCT(ICC5_MemberMonths_2022,M69)+SUMPRODUCT(ICC8_MemberMonths_2022,R69))/Medicare_MemberMonths_2022,"NA")</f>
        <v>NA</v>
      </c>
      <c r="D69" s="423" t="str">
        <f>IFERROR(Table913[[#This Row],[2022]]/Table913[[#This Row],[2021]]-1,"NA")</f>
        <v>NA</v>
      </c>
      <c r="E69"/>
      <c r="F69" s="139" t="s">
        <v>191</v>
      </c>
      <c r="G69" s="7" t="str" cm="1">
        <f t="array" ref="G69">IFERROR((SUMIFS(TM[[#All],[Non-Claims: Performance Incentives]],TM[[#All],[Reporting Year]],2021,TM[[#All],[Insurance Category Code]],1,TM[[#All],[Large Provider Entity Code]],100))/ICC1_MemberMonths_2021,"NA")</f>
        <v>NA</v>
      </c>
      <c r="H69" s="7" t="str" cm="1">
        <f t="array" ref="H69">IFERROR((SUMIFS(TM[[#All],[Non-Claims: Performance Incentives]],TM[[#All],[Reporting Year]],2022,TM[[#All],[Insurance Category Code]],1,TM[[#All],[Large Provider Entity Code]],100))/ICC1_MemberMonths_2022,"NA")</f>
        <v>NA</v>
      </c>
      <c r="I69" s="423" t="str">
        <f>IFERROR(Table91114[[#This Row],[2022]]/Table91114[[#This Row],[2021]]-1,"NA")</f>
        <v>NA</v>
      </c>
      <c r="J69"/>
      <c r="K69" s="139" t="s">
        <v>596</v>
      </c>
      <c r="L69" s="7" t="str" cm="1">
        <f t="array" ref="L69">IFERROR((SUMIFS(TM[[#All],[Non-Claims: Performance Incentives]],TM[[#All],[Reporting Year]],2021,TM[[#All],[Insurance Category Code]],5,TM[[#All],[Large Provider Entity Code]],100))/ICC5_MemberMonths_2021,"NA")</f>
        <v>NA</v>
      </c>
      <c r="M69" s="7" t="str" cm="1">
        <f t="array" ref="M69">IFERROR((SUMIFS(TM[[#All],[Non-Claims: Performance Incentives]],TM[[#All],[Reporting Year]],2022,TM[[#All],[Insurance Category Code]],5,TM[[#All],[Large Provider Entity Code]],100))/ICC5_MemberMonths_2022,"NA")</f>
        <v>NA</v>
      </c>
      <c r="N69" s="423" t="str">
        <f t="shared" si="3"/>
        <v>NA</v>
      </c>
      <c r="O69"/>
      <c r="P69" s="139" t="s">
        <v>596</v>
      </c>
      <c r="Q69" s="7" t="str" cm="1">
        <f t="array" ref="Q69">IFERROR((SUMIFS(TM[[#All],[Non-Claims: Performance Incentives]],TM[[#All],[Reporting Year]],2021,TM[[#All],[Insurance Category Code]],8,TM[[#All],[Large Provider Entity Code]],100))/ICC8_MemberMonths_2021,"NA")</f>
        <v>NA</v>
      </c>
      <c r="R69" s="7" t="str" cm="1">
        <f t="array" ref="R69">IFERROR((SUMIFS(TM[[#All],[Non-Claims: Performance Incentives]],TM[[#All],[Reporting Year]],2022,TM[[#All],[Insurance Category Code]],8,TM[[#All],[Large Provider Entity Code]],100))/ICC8_MemberMonths_2022,"NA")</f>
        <v>NA</v>
      </c>
      <c r="S69" s="423" t="str">
        <f>IFERROR(Table911121528[[#This Row],[2022]]/Table911121528[[#This Row],[2021]]-1,"NA")</f>
        <v>NA</v>
      </c>
    </row>
    <row r="70" spans="1:19" x14ac:dyDescent="0.25">
      <c r="A70" s="139" t="s">
        <v>597</v>
      </c>
      <c r="B70" s="7" t="str" cm="1">
        <f t="array" ref="B70">IFERROR((SUMPRODUCT(ICC1_MemberMonths_2021,G70)+SUMPRODUCT(ICC5_MemberMonths_2021,L70)+SUMPRODUCT(ICC8_MemberMonths_2021,Q70))/Medicare_MemberMonths_2021,"NA")</f>
        <v>NA</v>
      </c>
      <c r="C70" s="7" t="str" cm="1">
        <f t="array" ref="C70">IFERROR((SUMPRODUCT(ICC1_MemberMonths_2022,H70)+SUMPRODUCT(ICC5_MemberMonths_2022,M70)+SUMPRODUCT(ICC8_MemberMonths_2022,R70))/Medicare_MemberMonths_2022,"NA")</f>
        <v>NA</v>
      </c>
      <c r="D70" s="423" t="str">
        <f>IFERROR(Table913[[#This Row],[2022]]/Table913[[#This Row],[2021]]-1,"NA")</f>
        <v>NA</v>
      </c>
      <c r="E70"/>
      <c r="F70" s="139" t="s">
        <v>192</v>
      </c>
      <c r="G70" s="7" t="str" cm="1">
        <f t="array" ref="G70">IFERROR((SUMIFS(TM[[#All],[Non-Claims: Pop Health and Practice Infrastructure]],TM[[#All],[Reporting Year]],2021,TM[[#All],[Insurance Category Code]],1,TM[[#All],[Large Provider Entity Code]],100))/ICC1_MemberMonths_2021,"NA")</f>
        <v>NA</v>
      </c>
      <c r="H70" s="7" t="str" cm="1">
        <f t="array" ref="H70">IFERROR((SUMIFS(TM[[#All],[Non-Claims: Pop Health and Practice Infrastructure]],TM[[#All],[Reporting Year]],2022,TM[[#All],[Insurance Category Code]],1,TM[[#All],[Large Provider Entity Code]],100))/ICC1_MemberMonths_2022,"NA")</f>
        <v>NA</v>
      </c>
      <c r="I70" s="423" t="str">
        <f>IFERROR(Table91114[[#This Row],[2022]]/Table91114[[#This Row],[2021]]-1,"NA")</f>
        <v>NA</v>
      </c>
      <c r="J70"/>
      <c r="K70" s="139" t="s">
        <v>597</v>
      </c>
      <c r="L70" s="7" t="str" cm="1">
        <f t="array" ref="L70">IFERROR((SUMIFS(TM[[#All],[Non-Claims: Pop Health and Practice Infrastructure]],TM[[#All],[Reporting Year]],2021,TM[[#All],[Insurance Category Code]],5,TM[[#All],[Large Provider Entity Code]],100))/ICC5_MemberMonths_2021,"NA")</f>
        <v>NA</v>
      </c>
      <c r="M70" s="7" t="str">
        <f>IFERROR((SUMIFS(TM[[#All],[Non-Claims: Pop Health and Practice Infrastructure]],TM[[#All],[Reporting Year]],2022,TM[[#All],[Insurance Category Code]],5,TM[[#All],[Large Provider Entity Code]],100))/ICC5_MemberMonths_2022,"NA")</f>
        <v>NA</v>
      </c>
      <c r="N70" s="423" t="str">
        <f t="shared" si="3"/>
        <v>NA</v>
      </c>
      <c r="O70"/>
      <c r="P70" s="139" t="s">
        <v>597</v>
      </c>
      <c r="Q70" s="7" t="str" cm="1">
        <f t="array" ref="Q70">IFERROR((SUMIFS(TM[[#All],[Non-Claims: Pop Health and Practice Infrastructure]],TM[[#All],[Reporting Year]],2021,TM[[#All],[Insurance Category Code]],8,TM[[#All],[Large Provider Entity Code]],100))/ICC8_MemberMonths_2021,"NA")</f>
        <v>NA</v>
      </c>
      <c r="R70" s="7" t="str" cm="1">
        <f t="array" ref="R70">IFERROR((SUMIFS(TM[[#All],[Non-Claims: Pop Health and Practice Infrastructure]],TM[[#All],[Reporting Year]],2022,TM[[#All],[Insurance Category Code]],8,TM[[#All],[Large Provider Entity Code]],100))/ICC8_MemberMonths_2022,"NA")</f>
        <v>NA</v>
      </c>
      <c r="S70" s="423" t="str">
        <f>IFERROR(Table911121528[[#This Row],[2022]]/Table911121528[[#This Row],[2021]]-1,"NA")</f>
        <v>NA</v>
      </c>
    </row>
    <row r="71" spans="1:19" x14ac:dyDescent="0.25">
      <c r="A71" s="139" t="s">
        <v>598</v>
      </c>
      <c r="B71" s="7" t="str" cm="1">
        <f t="array" ref="B71">IFERROR((SUMPRODUCT(ICC1_MemberMonths_2021,G71)+SUMPRODUCT(ICC5_MemberMonths_2021,L71)+SUMPRODUCT(ICC8_MemberMonths_2021,Q71))/Medicare_MemberMonths_2021,"NA")</f>
        <v>NA</v>
      </c>
      <c r="C71" s="7" t="str" cm="1">
        <f t="array" ref="C71">IFERROR((SUMPRODUCT(ICC1_MemberMonths_2022,H71)+SUMPRODUCT(ICC5_MemberMonths_2022,M71)+SUMPRODUCT(ICC8_MemberMonths_2022,R71))/Medicare_MemberMonths_2022,"NA")</f>
        <v>NA</v>
      </c>
      <c r="D71" s="423" t="str">
        <f>IFERROR(Table913[[#This Row],[2022]]/Table913[[#This Row],[2021]]-1,"NA")</f>
        <v>NA</v>
      </c>
      <c r="E71"/>
      <c r="F71" s="139" t="s">
        <v>193</v>
      </c>
      <c r="G71" s="7" t="str" cm="1">
        <f t="array" ref="G71">IFERROR((SUMIFS(TM[[#All],[Non-Claims: Provider Salaries]],TM[[#All],[Reporting Year]],2021,TM[[#All],[Insurance Category Code]],1,TM[[#All],[Large Provider Entity Code]],100))/ICC1_MemberMonths_2021,"NA")</f>
        <v>NA</v>
      </c>
      <c r="H71" s="7" t="str" cm="1">
        <f t="array" ref="H71">IFERROR((SUMIFS(TM[[#All],[Non-Claims: Provider Salaries]],TM[[#All],[Reporting Year]],2022,TM[[#All],[Insurance Category Code]],1,TM[[#All],[Large Provider Entity Code]],100))/ICC1_MemberMonths_2022,"NA")</f>
        <v>NA</v>
      </c>
      <c r="I71" s="423" t="str">
        <f>IFERROR(Table91114[[#This Row],[2022]]/Table91114[[#This Row],[2021]]-1,"NA")</f>
        <v>NA</v>
      </c>
      <c r="J71"/>
      <c r="K71" s="139" t="s">
        <v>598</v>
      </c>
      <c r="L71" s="7" t="str" cm="1">
        <f t="array" ref="L71">IFERROR((SUMIFS(TM[[#All],[Non-Claims: Provider Salaries]],TM[[#All],[Reporting Year]],2021,TM[[#All],[Insurance Category Code]],5,TM[[#All],[Large Provider Entity Code]],100))/ICC5_MemberMonths_2021,"NA")</f>
        <v>NA</v>
      </c>
      <c r="M71" s="7" t="str" cm="1">
        <f t="array" ref="M71">IFERROR((SUMIFS(TM[[#All],[Non-Claims: Provider Salaries]],TM[[#All],[Reporting Year]],2022,TM[[#All],[Insurance Category Code]],5,TM[[#All],[Large Provider Entity Code]],100))/ICC5_MemberMonths_2022,"NA")</f>
        <v>NA</v>
      </c>
      <c r="N71" s="423" t="str">
        <f t="shared" si="3"/>
        <v>NA</v>
      </c>
      <c r="O71"/>
      <c r="P71" s="139" t="s">
        <v>598</v>
      </c>
      <c r="Q71" s="7" t="str" cm="1">
        <f t="array" ref="Q71">IFERROR((SUMIFS(TM[[#All],[Non-Claims: Provider Salaries]],TM[[#All],[Reporting Year]],2021,TM[[#All],[Insurance Category Code]],8,TM[[#All],[Large Provider Entity Code]],100))/ICC8_MemberMonths_2021,"NA")</f>
        <v>NA</v>
      </c>
      <c r="R71" s="7" t="str" cm="1">
        <f t="array" ref="R71">IFERROR((SUMIFS(TM[[#All],[Non-Claims: Provider Salaries]],TM[[#All],[Reporting Year]],2022,TM[[#All],[Insurance Category Code]],8,TM[[#All],[Large Provider Entity Code]],100))/ICC8_MemberMonths_2022,"NA")</f>
        <v>NA</v>
      </c>
      <c r="S71" s="423" t="str">
        <f>IFERROR(Table911121528[[#This Row],[2022]]/Table911121528[[#This Row],[2021]]-1,"NA")</f>
        <v>NA</v>
      </c>
    </row>
    <row r="72" spans="1:19" x14ac:dyDescent="0.25">
      <c r="A72" s="139" t="s">
        <v>599</v>
      </c>
      <c r="B72" s="7" t="str" cm="1">
        <f t="array" ref="B72">IFERROR((SUMPRODUCT(ICC1_MemberMonths_2021,G72)+SUMPRODUCT(ICC5_MemberMonths_2021,L72)+SUMPRODUCT(ICC8_MemberMonths_2021,Q72))/Medicare_MemberMonths_2021,"NA")</f>
        <v>NA</v>
      </c>
      <c r="C72" s="7" t="str" cm="1">
        <f t="array" ref="C72">IFERROR((SUMPRODUCT(ICC1_MemberMonths_2022,H72)+SUMPRODUCT(ICC5_MemberMonths_2022,M72)+SUMPRODUCT(ICC8_MemberMonths_2022,R72))/Medicare_MemberMonths_2022,"NA")</f>
        <v>NA</v>
      </c>
      <c r="D72" s="423" t="str">
        <f>IFERROR(Table913[[#This Row],[2022]]/Table913[[#This Row],[2021]]-1,"NA")</f>
        <v>NA</v>
      </c>
      <c r="E72"/>
      <c r="F72" s="139" t="s">
        <v>194</v>
      </c>
      <c r="G72" s="7" t="str" cm="1">
        <f t="array" ref="G72">IFERROR((SUMIFS(TM[[#All],[Non-Claims: Recovery]],TM[[#All],[Reporting Year]],2021,TM[[#All],[Insurance Category Code]],1,TM[[#All],[Large Provider Entity Code]],100))/ICC1_MemberMonths_2021,"NA")</f>
        <v>NA</v>
      </c>
      <c r="H72" s="7" t="str" cm="1">
        <f t="array" ref="H72">IFERROR((SUMIFS(TM[[#All],[Non-Claims: Recovery]],TM[[#All],[Reporting Year]],2022,TM[[#All],[Insurance Category Code]],1,TM[[#All],[Large Provider Entity Code]],100))/ICC1_MemberMonths_2022,"NA")</f>
        <v>NA</v>
      </c>
      <c r="I72" s="423" t="str">
        <f>IFERROR(Table91114[[#This Row],[2022]]/Table91114[[#This Row],[2021]]-1,"NA")</f>
        <v>NA</v>
      </c>
      <c r="J72"/>
      <c r="K72" s="139" t="s">
        <v>599</v>
      </c>
      <c r="L72" s="7" t="str" cm="1">
        <f t="array" ref="L72">IFERROR((SUMIFS(TM[[#All],[Non-Claims: Recovery]],TM[[#All],[Reporting Year]],2021,TM[[#All],[Insurance Category Code]],5,TM[[#All],[Large Provider Entity Code]],100))/ICC5_MemberMonths_2021,"NA")</f>
        <v>NA</v>
      </c>
      <c r="M72" s="7" t="str" cm="1">
        <f t="array" ref="M72">IFERROR((SUMIFS(TM[[#All],[Non-Claims: Recovery]],TM[[#All],[Reporting Year]],2022,TM[[#All],[Insurance Category Code]],5,TM[[#All],[Large Provider Entity Code]],100))/ICC5_MemberMonths_2022,"NA")</f>
        <v>NA</v>
      </c>
      <c r="N72" s="423" t="str">
        <f t="shared" si="3"/>
        <v>NA</v>
      </c>
      <c r="O72"/>
      <c r="P72" s="139" t="s">
        <v>599</v>
      </c>
      <c r="Q72" s="7" t="str" cm="1">
        <f t="array" ref="Q72">IFERROR((SUMIFS(TM[[#All],[Non-Claims: Recovery]],TM[[#All],[Reporting Year]],2021,TM[[#All],[Insurance Category Code]],8,TM[[#All],[Large Provider Entity Code]],100))/ICC8_MemberMonths_2021,"NA")</f>
        <v>NA</v>
      </c>
      <c r="R72" s="7" t="str">
        <f>IFERROR((SUMIFS(TM[[#All],[Non-Claims: Recovery]],TM[[#All],[Reporting Year]],2022,TM[[#All],[Insurance Category Code]],8,TM[[#All],[Large Provider Entity Code]],100))/ICC8_MemberMonths_2022,"NA")</f>
        <v>NA</v>
      </c>
      <c r="S72" s="423" t="str">
        <f>IFERROR(Table911121528[[#This Row],[2022]]/Table911121528[[#This Row],[2021]]-1,"NA")</f>
        <v>NA</v>
      </c>
    </row>
    <row r="73" spans="1:19" s="155" customFormat="1" x14ac:dyDescent="0.25">
      <c r="A73" s="139" t="s">
        <v>600</v>
      </c>
      <c r="B73" s="7" t="str" cm="1">
        <f t="array" ref="B73">IFERROR((SUMPRODUCT(ICC1_MemberMonths_2021,G73)+SUMPRODUCT(ICC5_MemberMonths_2021,L73)+SUMPRODUCT(ICC8_MemberMonths_2021,Q73))/Medicare_MemberMonths_2021,"NA")</f>
        <v>NA</v>
      </c>
      <c r="C73" s="7" t="str" cm="1">
        <f t="array" ref="C73">IFERROR((SUMPRODUCT(ICC1_MemberMonths_2022,H73)+SUMPRODUCT(ICC5_MemberMonths_2022,M73)+SUMPRODUCT(ICC8_MemberMonths_2022,R73))/Medicare_MemberMonths_2022,"NA")</f>
        <v>NA</v>
      </c>
      <c r="D73" s="423" t="str">
        <f>IFERROR(Table913[[#This Row],[2022]]/Table913[[#This Row],[2021]]-1,"NA")</f>
        <v>NA</v>
      </c>
      <c r="E73" s="3"/>
      <c r="F73" s="139" t="s">
        <v>195</v>
      </c>
      <c r="G73" s="7" t="str">
        <f>IFERROR((SUMIFS(TM[[#All],[Non-Claims: Other]],TM[[#All],[Reporting Year]],2021,TM[[#All],[Insurance Category Code]],1,TM[[#All],[Large Provider Entity Code]],100))/ICC1_MemberMonths_2021,"NA")</f>
        <v>NA</v>
      </c>
      <c r="H73" s="7" t="str" cm="1">
        <f t="array" ref="H73">IFERROR((SUMIFS(TM[[#All],[Non-Claims: Other]],TM[[#All],[Reporting Year]],2022,TM[[#All],[Insurance Category Code]],1,TM[[#All],[Large Provider Entity Code]],100))/ICC1_MemberMonths_2022,"NA")</f>
        <v>NA</v>
      </c>
      <c r="I73" s="423" t="str">
        <f>IFERROR(Table91114[[#This Row],[2022]]/Table91114[[#This Row],[2021]]-1,"NA")</f>
        <v>NA</v>
      </c>
      <c r="J73" s="3"/>
      <c r="K73" s="139" t="s">
        <v>600</v>
      </c>
      <c r="L73" s="7" t="str" cm="1">
        <f t="array" ref="L73">IFERROR((SUMIFS(TM[[#All],[Non-Claims: Other]],TM[[#All],[Reporting Year]],2021,TM[[#All],[Insurance Category Code]],5,TM[[#All],[Large Provider Entity Code]],100))/ICC5_MemberMonths_2021,"NA")</f>
        <v>NA</v>
      </c>
      <c r="M73" s="7" t="str" cm="1">
        <f t="array" ref="M73">IFERROR((SUMIFS(TM[[#All],[Non-Claims: Other]],TM[[#All],[Reporting Year]],2022,TM[[#All],[Insurance Category Code]],5,TM[[#All],[Large Provider Entity Code]],100))/ICC5_MemberMonths_2022,"NA")</f>
        <v>NA</v>
      </c>
      <c r="N73" s="423" t="str">
        <f t="shared" si="3"/>
        <v>NA</v>
      </c>
      <c r="O73" s="3"/>
      <c r="P73" s="139" t="s">
        <v>600</v>
      </c>
      <c r="Q73" s="7" t="str" cm="1">
        <f t="array" ref="Q73">IFERROR((SUMIFS(TM[[#All],[Non-Claims: Other]],TM[[#All],[Reporting Year]],2021,TM[[#All],[Insurance Category Code]],8,TM[[#All],[Large Provider Entity Code]],100))/ICC8_MemberMonths_2021,"NA")</f>
        <v>NA</v>
      </c>
      <c r="R73" s="7" t="str" cm="1">
        <f t="array" ref="R73">IFERROR((SUMIFS(TM[[#All],[Non-Claims: Other]],TM[[#All],[Reporting Year]],2022,TM[[#All],[Insurance Category Code]],8,TM[[#All],[Large Provider Entity Code]],100))/ICC8_MemberMonths_2022,"NA")</f>
        <v>NA</v>
      </c>
      <c r="S73" s="423" t="str">
        <f>IFERROR(Table911121528[[#This Row],[2022]]/Table911121528[[#This Row],[2021]]-1,"NA")</f>
        <v>NA</v>
      </c>
    </row>
    <row r="74" spans="1:19" x14ac:dyDescent="0.25">
      <c r="A74" s="139" t="s">
        <v>601</v>
      </c>
      <c r="B74" s="7" t="str" cm="1">
        <f t="array" ref="B74">IFERROR((SUMPRODUCT(ICC1_MemberMonths_2021,G74)+SUMPRODUCT(ICC5_MemberMonths_2021,L74)+SUMPRODUCT(ICC8_MemberMonths_2021,Q74))/Medicare_MemberMonths_2021,"NA")</f>
        <v>NA</v>
      </c>
      <c r="C74" s="7" t="str" cm="1">
        <f t="array" ref="C74">IFERROR((SUMPRODUCT(ICC1_MemberMonths_2022,H74)+SUMPRODUCT(ICC5_MemberMonths_2022,M74)+SUMPRODUCT(ICC8_MemberMonths_2022,R74))/Medicare_MemberMonths_2022,"NA")</f>
        <v>NA</v>
      </c>
      <c r="D74" s="423" t="str">
        <f>IFERROR(Table913[[#This Row],[2022]]/Table913[[#This Row],[2021]]-1,"NA")</f>
        <v>NA</v>
      </c>
      <c r="E74"/>
      <c r="F74" s="139" t="s">
        <v>196</v>
      </c>
      <c r="G74" s="7" t="str" cm="1">
        <f t="array" ref="G74">IFERROR((SUMIFS(TM[[#All],[Non-Claims: Total Primary Care]],TM[[#All],[Reporting Year]],2021,TM[[#All],[Insurance Category Code]],1,TM[[#All],[Large Provider Entity Code]],100))/ICC1_MemberMonths_2021,"NA")</f>
        <v>NA</v>
      </c>
      <c r="H74" s="7" t="str" cm="1">
        <f t="array" ref="H74">IFERROR((SUMIFS(TM[[#All],[Non-Claims: Total Primary Care]],TM[[#All],[Reporting Year]],2022,TM[[#All],[Insurance Category Code]],1,TM[[#All],[Large Provider Entity Code]],100))/ICC1_MemberMonths_2022,"NA")</f>
        <v>NA</v>
      </c>
      <c r="I74" s="423" t="str">
        <f>IFERROR(Table91114[[#This Row],[2022]]/Table91114[[#This Row],[2021]]-1,"NA")</f>
        <v>NA</v>
      </c>
      <c r="J74"/>
      <c r="K74" s="139" t="s">
        <v>601</v>
      </c>
      <c r="L74" s="7" t="str" cm="1">
        <f t="array" ref="L74">IFERROR((SUMIFS(TM[[#All],[Non-Claims: Total Primary Care]],TM[[#All],[Reporting Year]],2021,TM[[#All],[Insurance Category Code]],5,TM[[#All],[Large Provider Entity Code]],100))/ICC5_MemberMonths_2021,"NA")</f>
        <v>NA</v>
      </c>
      <c r="M74" s="7" t="str" cm="1">
        <f t="array" ref="M74">IFERROR((SUMIFS(TM[[#All],[Non-Claims: Total Primary Care]],TM[[#All],[Reporting Year]],2022,TM[[#All],[Insurance Category Code]],5,TM[[#All],[Large Provider Entity Code]],100))/ICC5_MemberMonths_2022,"NA")</f>
        <v>NA</v>
      </c>
      <c r="N74" s="423" t="str">
        <f>IFERROR(M74/L74-1,"NA")</f>
        <v>NA</v>
      </c>
      <c r="O74"/>
      <c r="P74" s="139" t="s">
        <v>601</v>
      </c>
      <c r="Q74" s="7" t="str" cm="1">
        <f t="array" ref="Q74">IFERROR((SUMIFS(TM[[#All],[Non-Claims: Total Primary Care]],TM[[#All],[Reporting Year]],2021,TM[[#All],[Insurance Category Code]],8,TM[[#All],[Large Provider Entity Code]],100))/ICC8_MemberMonths_2021,"NA")</f>
        <v>NA</v>
      </c>
      <c r="R74" s="7" t="str" cm="1">
        <f t="array" ref="R74">IFERROR((SUMIFS(TM[[#All],[Non-Claims: Total Primary Care]],TM[[#All],[Reporting Year]],2022,TM[[#All],[Insurance Category Code]],8,TM[[#All],[Large Provider Entity Code]],100))/ICC8_MemberMonths_2022,"NA")</f>
        <v>NA</v>
      </c>
      <c r="S74" s="423" t="str">
        <f>IFERROR(Table911121528[[#This Row],[2022]]/Table911121528[[#This Row],[2021]]-1,"NA")</f>
        <v>NA</v>
      </c>
    </row>
    <row r="75" spans="1:19" ht="15.75" thickBot="1" x14ac:dyDescent="0.3">
      <c r="A75" s="503" t="s">
        <v>602</v>
      </c>
      <c r="B75" s="509" t="str" cm="1">
        <f t="array" ref="B75">IFERROR((SUMPRODUCT(ICC1_MemberMonths_2021,G75)+SUMPRODUCT(ICC5_MemberMonths_2021,L75)+SUMPRODUCT(ICC8_MemberMonths_2021,Q75))/Medicare_MemberMonths_2021,"NA")</f>
        <v>NA</v>
      </c>
      <c r="C75" s="509" t="str" cm="1">
        <f t="array" ref="C75">IFERROR((SUMPRODUCT(ICC1_MemberMonths_2022,H75)+SUMPRODUCT(ICC5_MemberMonths_2022,M75)+SUMPRODUCT(ICC8_MemberMonths_2022,R75))/Medicare_MemberMonths_2022,"NA")</f>
        <v>NA</v>
      </c>
      <c r="D75" s="508" t="str">
        <f>IFERROR(Table913[[#This Row],[2022]]/Table913[[#This Row],[2021]]-1,"NA")</f>
        <v>NA</v>
      </c>
      <c r="E75"/>
      <c r="F75" s="503" t="s">
        <v>200</v>
      </c>
      <c r="G75" s="507" t="str" cm="1">
        <f t="array" ref="G75">IFERROR((SUMIFS(TM[[#All],[Total Non-Claims Spending]],TM[[#All],[Reporting Year]],2021,TM[[#All],[Insurance Category Code]],1,TM[[#All],[Large Provider Entity Code]],100))/ICC1_MemberMonths_2021,"NA")</f>
        <v>NA</v>
      </c>
      <c r="H75" s="507" t="str" cm="1">
        <f t="array" ref="H75">IFERROR((SUMIFS(TM[[#All],[Total Non-Claims Spending]],TM[[#All],[Reporting Year]],2022,TM[[#All],[Insurance Category Code]],1,TM[[#All],[Large Provider Entity Code]],100))/ICC1_MemberMonths_2022,"NA")</f>
        <v>NA</v>
      </c>
      <c r="I75" s="508" t="str">
        <f>IFERROR(Table91114[[#This Row],[2022]]/Table91114[[#This Row],[2021]]-1,"NA")</f>
        <v>NA</v>
      </c>
      <c r="J75"/>
      <c r="K75" s="503" t="s">
        <v>602</v>
      </c>
      <c r="L75" s="507" t="str" cm="1">
        <f t="array" ref="L75">IFERROR((SUMIFS(TM[[#All],[Total Non-Claims Spending]],TM[[#All],[Reporting Year]],2021,TM[[#All],[Insurance Category Code]],5,TM[[#All],[Large Provider Entity Code]],100))/ICC5_MemberMonths_2021,"NA")</f>
        <v>NA</v>
      </c>
      <c r="M75" s="507" t="str" cm="1">
        <f t="array" ref="M75">IFERROR((SUMIFS(TM[[#All],[Total Non-Claims Spending]],TM[[#All],[Reporting Year]],2022,TM[[#All],[Insurance Category Code]],5,TM[[#All],[Large Provider Entity Code]],100))/ICC5_MemberMonths_2022,"NA")</f>
        <v>NA</v>
      </c>
      <c r="N75" s="504" t="str">
        <f t="shared" si="3"/>
        <v>NA</v>
      </c>
      <c r="O75"/>
      <c r="P75" s="503" t="s">
        <v>602</v>
      </c>
      <c r="Q75" s="507" t="str" cm="1">
        <f t="array" ref="Q75">IFERROR((SUMIFS(TM[[#All],[Total Non-Claims Spending]],TM[[#All],[Reporting Year]],2021,TM[[#All],[Insurance Category Code]],8,TM[[#All],[Large Provider Entity Code]],100))/ICC8_MemberMonths_2021,"NA")</f>
        <v>NA</v>
      </c>
      <c r="R75" s="507" t="str" cm="1">
        <f t="array" ref="R75">IFERROR((SUMIFS(TM[[#All],[Total Non-Claims Spending]],TM[[#All],[Reporting Year]],2022,TM[[#All],[Insurance Category Code]],8,TM[[#All],[Large Provider Entity Code]],100))/ICC8_MemberMonths_2022,"NA")</f>
        <v>NA</v>
      </c>
      <c r="S75" s="508" t="str">
        <f>IFERROR(Table911121528[[#This Row],[2022]]/Table911121528[[#This Row],[2021]]-1,"NA")</f>
        <v>NA</v>
      </c>
    </row>
    <row r="76" spans="1:19" ht="15.75" thickTop="1" x14ac:dyDescent="0.25">
      <c r="A76" s="114" t="s">
        <v>603</v>
      </c>
      <c r="B76" s="140" t="str" cm="1">
        <f t="array" ref="B76">IFERROR((SUMPRODUCT(ICC1_MemberMonths_2021,G76)+SUMPRODUCT(ICC5_MemberMonths_2021,L76)+SUMPRODUCT(ICC8_MemberMonths_2021,Q76))/Medicare_MemberMonths_2021,"NA")</f>
        <v>NA</v>
      </c>
      <c r="C76" s="140" t="str" cm="1">
        <f t="array" ref="C76">IFERROR((SUMPRODUCT(ICC1_MemberMonths_2022,H76)+SUMPRODUCT(ICC5_MemberMonths_2022,M76)+SUMPRODUCT(ICC8_MemberMonths_2022,R76))/Medicare_MemberMonths_2022,"NA")</f>
        <v>NA</v>
      </c>
      <c r="D76" s="424" t="str">
        <f>IFERROR(Table913[[#This Row],[2022]]/Table913[[#This Row],[2021]]-1,"NA")</f>
        <v>NA</v>
      </c>
      <c r="E76"/>
      <c r="F76" s="556" t="s">
        <v>201</v>
      </c>
      <c r="G76" s="141" t="str" cm="1">
        <f t="array" ref="G76">IFERROR((SUMIFS(TM[[#All],[Total Non-Truncated Claims and Non-Claims Spending]],TM[[#All],[Reporting Year]],2021,TM[[#All],[Insurance Category Code]],1,TM[[#All],[Large Provider Entity Code]],100))/ICC1_MemberMonths_2021,"NA")</f>
        <v>NA</v>
      </c>
      <c r="H76" s="141" t="str" cm="1">
        <f t="array" ref="H76">IFERROR((SUMIFS(TM[[#All],[Total Non-Truncated Claims and Non-Claims Spending]],TM[[#All],[Reporting Year]],2022,TM[[#All],[Insurance Category Code]],1,TM[[#All],[Large Provider Entity Code]],100))/ICC1_MemberMonths_2022,"NA")</f>
        <v>NA</v>
      </c>
      <c r="I76" s="424" t="str">
        <f>IFERROR(Table91114[[#This Row],[2022]]/Table91114[[#This Row],[2021]]-1,"NA")</f>
        <v>NA</v>
      </c>
      <c r="J76"/>
      <c r="K76" s="114" t="s">
        <v>603</v>
      </c>
      <c r="L76" s="141" t="str" cm="1">
        <f t="array" ref="L76">IFERROR((SUMIFS(TM[[#All],[Total Non-Truncated Claims and Non-Claims Spending]],TM[[#All],[Reporting Year]],2021,TM[[#All],[Insurance Category Code]],5,TM[[#All],[Large Provider Entity Code]],100))/ICC5_MemberMonths_2021,"NA")</f>
        <v>NA</v>
      </c>
      <c r="M76" s="141" t="str" cm="1">
        <f t="array" ref="M76">IFERROR((SUMIFS(TM[[#All],[Total Non-Truncated Claims and Non-Claims Spending]],TM[[#All],[Reporting Year]],2022,TM[[#All],[Insurance Category Code]],5,TM[[#All],[Large Provider Entity Code]],100))/ICC5_MemberMonths_2022,"NA")</f>
        <v>NA</v>
      </c>
      <c r="N76" s="557" t="str">
        <f>IFERROR(M76/L76-1,"NA")</f>
        <v>NA</v>
      </c>
      <c r="O76"/>
      <c r="P76" s="114" t="s">
        <v>603</v>
      </c>
      <c r="Q76" s="141" t="str" cm="1">
        <f t="array" ref="Q76">IFERROR((SUMIFS(TM[[#All],[Total Non-Truncated Claims and Non-Claims Spending]],TM[[#All],[Reporting Year]],2021,TM[[#All],[Insurance Category Code]],8,TM[[#All],[Large Provider Entity Code]],100))/ICC8_MemberMonths_2021,"NA")</f>
        <v>NA</v>
      </c>
      <c r="R76" s="141" t="str">
        <f>IFERROR((SUMIFS(TM[[#All],[Total Non-Truncated Claims and Non-Claims Spending]],TM[[#All],[Reporting Year]],2022,TM[[#All],[Insurance Category Code]],8,TM[[#All],[Large Provider Entity Code]],100))/ICC8_MemberMonths_2022,"NA")</f>
        <v>NA</v>
      </c>
      <c r="S76" s="426" t="str">
        <f>IFERROR(Table9111227[[#This Row],[2022]]/Table9111227[[#This Row],[2021]]-1,"NA")</f>
        <v>NA</v>
      </c>
    </row>
    <row r="77" spans="1:19" x14ac:dyDescent="0.25">
      <c r="A77" s="142" t="s">
        <v>604</v>
      </c>
      <c r="B77" s="143" t="str" cm="1">
        <f t="array" ref="B77">IFERROR((SUMPRODUCT(ICC1_MemberMonths_2021,G77)+SUMPRODUCT(ICC5_MemberMonths_2021,L77)+SUMPRODUCT(ICC8_MemberMonths_2021,Q77))/Medicare_MemberMonths_2021,"NA")</f>
        <v>NA</v>
      </c>
      <c r="C77" s="143" t="str" cm="1">
        <f t="array" ref="C77">IFERROR((SUMPRODUCT(ICC1_MemberMonths_2022,H77)+SUMPRODUCT(ICC5_MemberMonths_2022,M77)+SUMPRODUCT(ICC8_MemberMonths_2022,R77))/Medicare_MemberMonths_2022,"NA")</f>
        <v>NA</v>
      </c>
      <c r="D77" s="425" t="str">
        <f>IFERROR(Table913[[#This Row],[2022]]/Table913[[#This Row],[2021]]-1,"NA")</f>
        <v>NA</v>
      </c>
      <c r="E77"/>
      <c r="F77" s="142" t="s">
        <v>203</v>
      </c>
      <c r="G77" s="144" t="str" cm="1">
        <f t="array" ref="G77">IFERROR((SUMIFS(TM[[#All],[Total Truncated Expenses]],TM[[#All],[Reporting Year]],2021,TM[[#All],[Insurance Category Code]],1,TM[[#All],[Large Provider Entity Code]],100))/ICC1_MemberMonths_2021,"NA")</f>
        <v>NA</v>
      </c>
      <c r="H77" s="144" t="str" cm="1">
        <f t="array" ref="H77">IFERROR((SUMIFS(TM[[#All],[Total Truncated Expenses]],TM[[#All],[Reporting Year]],2022,TM[[#All],[Insurance Category Code]],1,TM[[#All],[Large Provider Entity Code]],100))/ICC1_MemberMonths_2022,"NA")</f>
        <v>NA</v>
      </c>
      <c r="I77" s="425" t="str">
        <f>IFERROR(Table91114[[#This Row],[2022]]/Table91114[[#This Row],[2021]]-1,"NA")</f>
        <v>NA</v>
      </c>
      <c r="J77"/>
      <c r="K77" s="142" t="s">
        <v>604</v>
      </c>
      <c r="L77" s="144" t="str" cm="1">
        <f t="array" ref="L77">IFERROR((SUMIFS(TM[[#All],[Total Truncated Expenses]],TM[[#All],[Reporting Year]],2021,TM[[#All],[Insurance Category Code]],5,TM[[#All],[Large Provider Entity Code]],100))/ICC5_MemberMonths_2021,"NA")</f>
        <v>NA</v>
      </c>
      <c r="M77" s="144" t="str" cm="1">
        <f t="array" ref="M77">IFERROR((SUMIFS(TM[[#All],[Total Truncated Expenses]],TM[[#All],[Reporting Year]],2022,TM[[#All],[Insurance Category Code]],5,TM[[#All],[Large Provider Entity Code]],100))/ICC5_MemberMonths_2022,"NA")</f>
        <v>NA</v>
      </c>
      <c r="N77" s="557" t="str">
        <f t="shared" si="3"/>
        <v>NA</v>
      </c>
      <c r="O77"/>
      <c r="P77" s="142" t="s">
        <v>604</v>
      </c>
      <c r="Q77" s="144" t="str" cm="1">
        <f t="array" ref="Q77">IFERROR((SUMIFS(TM[[#All],[Total Truncated Expenses]],TM[[#All],[Reporting Year]],2021,TM[[#All],[Insurance Category Code]],8,TM[[#All],[Large Provider Entity Code]],100))/ICC8_MemberMonths_2021,"NA")</f>
        <v>NA</v>
      </c>
      <c r="R77" s="144" t="str" cm="1">
        <f t="array" ref="R77">IFERROR((SUMIFS(TM[[#All],[Total Truncated Expenses]],TM[[#All],[Reporting Year]],2022,TM[[#All],[Insurance Category Code]],8,TM[[#All],[Large Provider Entity Code]],100))/ICC8_MemberMonths_2022,"NA")</f>
        <v>NA</v>
      </c>
      <c r="S77" s="425" t="str">
        <f>IFERROR(Table911121528[[#This Row],[2022]]/Table911121528[[#This Row],[2021]]-1,"NA")</f>
        <v>NA</v>
      </c>
    </row>
    <row r="78" spans="1:19" x14ac:dyDescent="0.25">
      <c r="A78"/>
      <c r="B78"/>
      <c r="C78"/>
      <c r="D78"/>
      <c r="E78"/>
      <c r="F78"/>
      <c r="G78"/>
      <c r="H78"/>
      <c r="I78"/>
      <c r="J78"/>
      <c r="K78"/>
      <c r="L78"/>
      <c r="M78"/>
      <c r="N78"/>
      <c r="O78"/>
      <c r="P78"/>
      <c r="Q78"/>
      <c r="R78"/>
      <c r="S78"/>
    </row>
    <row r="79" spans="1:19" x14ac:dyDescent="0.25">
      <c r="A79" s="695" t="s">
        <v>541</v>
      </c>
      <c r="B79" s="695"/>
      <c r="C79" s="695"/>
      <c r="D79" s="695"/>
      <c r="E79"/>
      <c r="F79" s="695" t="s">
        <v>542</v>
      </c>
      <c r="G79" s="695"/>
      <c r="H79" s="695"/>
      <c r="I79" s="695"/>
      <c r="J79"/>
      <c r="K79" s="3" t="s">
        <v>543</v>
      </c>
      <c r="L79" s="3"/>
      <c r="M79" s="3"/>
      <c r="N79" s="3"/>
      <c r="O79"/>
      <c r="P79"/>
      <c r="Q79"/>
      <c r="R79"/>
      <c r="S79"/>
    </row>
    <row r="80" spans="1:19" ht="30" customHeight="1" x14ac:dyDescent="0.25">
      <c r="A80" s="685" t="s">
        <v>416</v>
      </c>
      <c r="B80" s="685"/>
      <c r="C80" s="685"/>
      <c r="D80" s="685"/>
      <c r="E80"/>
      <c r="F80" s="685" t="s">
        <v>416</v>
      </c>
      <c r="G80" s="685"/>
      <c r="H80" s="685"/>
      <c r="I80" s="685"/>
      <c r="J80"/>
      <c r="K80" s="685" t="s">
        <v>416</v>
      </c>
      <c r="L80" s="685"/>
      <c r="M80" s="685"/>
      <c r="N80" s="685"/>
      <c r="O80"/>
      <c r="P80"/>
      <c r="Q80"/>
      <c r="R80"/>
      <c r="S80"/>
    </row>
    <row r="81" spans="1:19" ht="45" customHeight="1" x14ac:dyDescent="0.25">
      <c r="A81" s="686" t="s">
        <v>587</v>
      </c>
      <c r="B81" s="686"/>
      <c r="C81" s="686"/>
      <c r="D81" s="686"/>
      <c r="E81" s="2"/>
      <c r="F81" s="686" t="s">
        <v>587</v>
      </c>
      <c r="G81" s="686"/>
      <c r="H81" s="686"/>
      <c r="I81" s="686"/>
      <c r="J81"/>
      <c r="K81" s="686" t="s">
        <v>587</v>
      </c>
      <c r="L81" s="686"/>
      <c r="M81" s="686"/>
      <c r="N81" s="686"/>
      <c r="O81"/>
      <c r="P81"/>
      <c r="Q81"/>
      <c r="R81"/>
      <c r="S81"/>
    </row>
    <row r="82" spans="1:19" x14ac:dyDescent="0.25">
      <c r="A82" s="145" t="s">
        <v>533</v>
      </c>
      <c r="B82" s="146" t="s">
        <v>514</v>
      </c>
      <c r="C82" s="147" t="s">
        <v>515</v>
      </c>
      <c r="D82" s="148" t="s">
        <v>516</v>
      </c>
      <c r="E82"/>
      <c r="F82" s="145" t="s">
        <v>533</v>
      </c>
      <c r="G82" s="146" t="s">
        <v>514</v>
      </c>
      <c r="H82" s="147" t="s">
        <v>515</v>
      </c>
      <c r="I82" s="148" t="s">
        <v>516</v>
      </c>
      <c r="J82"/>
      <c r="K82" s="145" t="s">
        <v>533</v>
      </c>
      <c r="L82" s="146" t="s">
        <v>514</v>
      </c>
      <c r="M82" s="147" t="s">
        <v>515</v>
      </c>
      <c r="N82" s="148" t="s">
        <v>516</v>
      </c>
      <c r="O82"/>
      <c r="P82"/>
      <c r="Q82"/>
      <c r="R82"/>
      <c r="S82"/>
    </row>
    <row r="83" spans="1:19" x14ac:dyDescent="0.25">
      <c r="A83" s="136" t="s">
        <v>577</v>
      </c>
      <c r="B83" s="137">
        <f>SUM(G83,L83)</f>
        <v>0</v>
      </c>
      <c r="C83" s="137">
        <f>SUM(H83,M83)</f>
        <v>0</v>
      </c>
      <c r="D83" s="423" t="str">
        <f>IFERROR(Table91316[[#This Row],[2022]]/Table91316[[#This Row],[2021]]-1,"NA")</f>
        <v>NA</v>
      </c>
      <c r="E83"/>
      <c r="F83" s="136" t="s">
        <v>577</v>
      </c>
      <c r="G83" s="137">
        <f>SUMIFS(TM[[#All],[Member Months]],TM[[#All],[Reporting Year]],2021,TM[[#All],[Insurance Category Code]],2,TM[[#All],[Large Provider Entity Code]],100)</f>
        <v>0</v>
      </c>
      <c r="H83" s="137">
        <f>SUMIFS(TM[[#All],[Member Months]],TM[[#All],[Reporting Year]],2022,TM[[#All],[Insurance Category Code]],2,TM[[#All],[Large Provider Entity Code]],100)</f>
        <v>0</v>
      </c>
      <c r="I83" s="423" t="str">
        <f>IFERROR(Table9111417[[#This Row],[2022]]/Table9111417[[#This Row],[2021]]-1,"NA")</f>
        <v>NA</v>
      </c>
      <c r="J83"/>
      <c r="K83" s="136" t="s">
        <v>577</v>
      </c>
      <c r="L83" s="137">
        <f>SUMIFS(TM[[#All],[Member Months]],TM[[#All],[Reporting Year]],2021,TM[[#All],[Insurance Category Code]],6,TM[[#All],[Large Provider Entity Code]],100)</f>
        <v>0</v>
      </c>
      <c r="M83" s="137">
        <f>SUMIFS(TM[[#All],[Member Months]],TM[[#All],[Reporting Year]],2022,TM[[#All],[Insurance Category Code]],6,TM[[#All],[Large Provider Entity Code]],100)</f>
        <v>0</v>
      </c>
      <c r="N83" s="423" t="str">
        <f>IFERROR(Table911121518[[#This Row],[2022]]/Table911121518[[#This Row],[2021]]-1,"NA")</f>
        <v>NA</v>
      </c>
      <c r="O83"/>
      <c r="P83"/>
      <c r="Q83"/>
      <c r="R83"/>
      <c r="S83"/>
    </row>
    <row r="84" spans="1:19" x14ac:dyDescent="0.25">
      <c r="A84" s="139" t="s">
        <v>582</v>
      </c>
      <c r="B84" s="7" t="str" cm="1">
        <f t="array" ref="B84">IFERROR((SUMPRODUCT(ICC2_MemberMonths_2021,G84)+SUMPRODUCT(ICC6_MemberMonths_2021,L84))/Medicaid_MemberMonths_2021,"NA")</f>
        <v>NA</v>
      </c>
      <c r="C84" s="7" t="str" cm="1">
        <f t="array" ref="C84">IFERROR((SUMPRODUCT(ICC2_MemberMonths_2022,H84)+SUMPRODUCT(ICC6_MemberMonths_2022,M84))/Medicaid_MemberMonths_2022,"NA")</f>
        <v>NA</v>
      </c>
      <c r="D84" s="423" t="str">
        <f>IFERROR(Table91316[[#This Row],[2022]]/Table91316[[#This Row],[2021]]-1,"NA")</f>
        <v>NA</v>
      </c>
      <c r="E84"/>
      <c r="F84" s="139" t="s">
        <v>582</v>
      </c>
      <c r="G84" s="7" t="str" cm="1">
        <f t="array" ref="G84">IFERROR((SUMIFS(TM[[#All],[Claims: Hospital Inpatient]],TM[[#All],[Reporting Year]],2021,TM[[#All],[Insurance Category Code]],2,TM[[#All],[Large Provider Entity Code]],100))/ICC2_MemberMonths_2021,"NA")</f>
        <v>NA</v>
      </c>
      <c r="H84" s="7" t="str" cm="1">
        <f t="array" ref="H84">IFERROR((SUMIFS(TM[[#All],[Claims: Hospital Inpatient]],TM[[#All],[Reporting Year]],2022,TM[[#All],[Insurance Category Code]],2,TM[[#All],[Large Provider Entity Code]],100))/ICC2_MemberMonths_2022,"NA")</f>
        <v>NA</v>
      </c>
      <c r="I84" s="423" t="str">
        <f>IFERROR(Table9111417[[#This Row],[2022]]/Table9111417[[#This Row],[2021]]-1,"NA")</f>
        <v>NA</v>
      </c>
      <c r="J84"/>
      <c r="K84" s="139" t="s">
        <v>582</v>
      </c>
      <c r="L84" s="7" t="str" cm="1">
        <f t="array" ref="L84">IFERROR((SUMIFS(TM[[#All],[Claims: Hospital Inpatient]],TM[[#All],[Reporting Year]],2021,TM[[#All],[Insurance Category Code]],6,TM[[#All],[Large Provider Entity Code]],100))/ICC6_MemberMonths_2021,"NA")</f>
        <v>NA</v>
      </c>
      <c r="M84" s="7" t="str" cm="1">
        <f t="array" ref="M84">IFERROR((SUMIFS(TM[[#All],[Claims: Hospital Inpatient]],TM[[#All],[Reporting Year]],2022,TM[[#All],[Insurance Category Code]],6,TM[[#All],[Large Provider Entity Code]],100))/ICC6_MemberMonths_2022,"NA")</f>
        <v>NA</v>
      </c>
      <c r="N84" s="423" t="str">
        <f>IFERROR(Table911121518[[#This Row],[2022]]/Table911121518[[#This Row],[2021]]-1,"NA")</f>
        <v>NA</v>
      </c>
      <c r="O84"/>
      <c r="P84"/>
      <c r="Q84"/>
      <c r="R84"/>
      <c r="S84"/>
    </row>
    <row r="85" spans="1:19" x14ac:dyDescent="0.25">
      <c r="A85" s="139" t="s">
        <v>583</v>
      </c>
      <c r="B85" s="7" t="str" cm="1">
        <f t="array" ref="B85">IFERROR((SUMPRODUCT(ICC2_MemberMonths_2021,G85)+SUMPRODUCT(ICC6_MemberMonths_2021,L85))/Medicaid_MemberMonths_2021,"NA")</f>
        <v>NA</v>
      </c>
      <c r="C85" s="7" t="str" cm="1">
        <f t="array" ref="C85">IFERROR((SUMPRODUCT(ICC2_MemberMonths_2022,H85)+SUMPRODUCT(ICC6_MemberMonths_2022,M85))/Medicaid_MemberMonths_2022,"NA")</f>
        <v>NA</v>
      </c>
      <c r="D85" s="423" t="str">
        <f>IFERROR(Table91316[[#This Row],[2022]]/Table91316[[#This Row],[2021]]-1,"NA")</f>
        <v>NA</v>
      </c>
      <c r="E85"/>
      <c r="F85" s="139" t="s">
        <v>583</v>
      </c>
      <c r="G85" s="7" t="str" cm="1">
        <f t="array" ref="G85">IFERROR((SUMIFS(TM[[#All],[Claims: Hospital Outpatient]],TM[[#All],[Reporting Year]],2021,TM[[#All],[Insurance Category Code]],2,TM[[#All],[Large Provider Entity Code]],100))/ICC2_MemberMonths_2021,"NA")</f>
        <v>NA</v>
      </c>
      <c r="H85" s="7" t="str" cm="1">
        <f t="array" ref="H85">IFERROR((SUMIFS(TM[[#All],[Claims: Hospital Outpatient]],TM[[#All],[Reporting Year]],2022,TM[[#All],[Insurance Category Code]],2,TM[[#All],[Large Provider Entity Code]],100))/ICC2_MemberMonths_2022,"NA")</f>
        <v>NA</v>
      </c>
      <c r="I85" s="423" t="str">
        <f>IFERROR(Table9111417[[#This Row],[2022]]/Table9111417[[#This Row],[2021]]-1,"NA")</f>
        <v>NA</v>
      </c>
      <c r="J85"/>
      <c r="K85" s="139" t="s">
        <v>583</v>
      </c>
      <c r="L85" s="7" t="str" cm="1">
        <f t="array" ref="L85">IFERROR((SUMIFS(TM[[#All],[Claims: Hospital Outpatient]],TM[[#All],[Reporting Year]],2021,TM[[#All],[Insurance Category Code]],6,TM[[#All],[Large Provider Entity Code]],100))/ICC6_MemberMonths_2021,"NA")</f>
        <v>NA</v>
      </c>
      <c r="M85" s="7" t="str" cm="1">
        <f t="array" ref="M85">IFERROR((SUMIFS(TM[[#All],[Claims: Hospital Outpatient]],TM[[#All],[Reporting Year]],2022,TM[[#All],[Insurance Category Code]],6,TM[[#All],[Large Provider Entity Code]],100))/ICC6_MemberMonths_2022,"NA")</f>
        <v>NA</v>
      </c>
      <c r="N85" s="423" t="str">
        <f>IFERROR(Table911121518[[#This Row],[2022]]/Table911121518[[#This Row],[2021]]-1,"NA")</f>
        <v>NA</v>
      </c>
      <c r="O85"/>
      <c r="P85"/>
      <c r="Q85"/>
      <c r="R85"/>
      <c r="S85"/>
    </row>
    <row r="86" spans="1:19" x14ac:dyDescent="0.25">
      <c r="A86" s="139" t="s">
        <v>584</v>
      </c>
      <c r="B86" s="7" t="str" cm="1">
        <f t="array" ref="B86">IFERROR((SUMPRODUCT(ICC2_MemberMonths_2021,G86)+SUMPRODUCT(ICC6_MemberMonths_2021,L86))/Medicaid_MemberMonths_2021,"NA")</f>
        <v>NA</v>
      </c>
      <c r="C86" s="7" t="str" cm="1">
        <f t="array" ref="C86">IFERROR((SUMPRODUCT(ICC2_MemberMonths_2022,H86)+SUMPRODUCT(ICC6_MemberMonths_2022,M86))/Medicaid_MemberMonths_2022,"NA")</f>
        <v>NA</v>
      </c>
      <c r="D86" s="423" t="str">
        <f>IFERROR(Table91316[[#This Row],[2022]]/Table91316[[#This Row],[2021]]-1,"NA")</f>
        <v>NA</v>
      </c>
      <c r="E86"/>
      <c r="F86" s="139" t="s">
        <v>584</v>
      </c>
      <c r="G86" s="7" t="str" cm="1">
        <f t="array" ref="G86">IFERROR((SUMIFS(TM[[#All],[Claims: Professional, Primary Care Providers]],TM[[#All],[Reporting Year]],2021,TM[[#All],[Insurance Category Code]],2,TM[[#All],[Large Provider Entity Code]],100))/ICC2_MemberMonths_2021,"NA")</f>
        <v>NA</v>
      </c>
      <c r="H86" s="7" t="str" cm="1">
        <f t="array" ref="H86">IFERROR((SUMIFS(TM[[#All],[Claims: Professional, Primary Care Providers]],TM[[#All],[Reporting Year]],2022,TM[[#All],[Insurance Category Code]],2,TM[[#All],[Large Provider Entity Code]],100))/ICC2_MemberMonths_2022,"NA")</f>
        <v>NA</v>
      </c>
      <c r="I86" s="423" t="str">
        <f>IFERROR(Table9111417[[#This Row],[2022]]/Table9111417[[#This Row],[2021]]-1,"NA")</f>
        <v>NA</v>
      </c>
      <c r="J86"/>
      <c r="K86" s="139" t="s">
        <v>584</v>
      </c>
      <c r="L86" s="7" t="str" cm="1">
        <f t="array" ref="L86">IFERROR((SUMIFS(TM[[#All],[Claims: Professional, Primary Care Providers]],TM[[#All],[Reporting Year]],2021,TM[[#All],[Insurance Category Code]],6,TM[[#All],[Large Provider Entity Code]],100))/ICC6_MemberMonths_2021,"NA")</f>
        <v>NA</v>
      </c>
      <c r="M86" s="7" t="str" cm="1">
        <f t="array" ref="M86">IFERROR((SUMIFS(TM[[#All],[Claims: Professional, Primary Care Providers]],TM[[#All],[Reporting Year]],2022,TM[[#All],[Insurance Category Code]],6,TM[[#All],[Large Provider Entity Code]],100))/ICC6_MemberMonths_2022,"NA")</f>
        <v>NA</v>
      </c>
      <c r="N86" s="423" t="str">
        <f>IFERROR(Table911121518[[#This Row],[2022]]/Table911121518[[#This Row],[2021]]-1,"NA")</f>
        <v>NA</v>
      </c>
      <c r="O86"/>
      <c r="P86"/>
      <c r="Q86"/>
      <c r="R86"/>
      <c r="S86"/>
    </row>
    <row r="87" spans="1:19" x14ac:dyDescent="0.25">
      <c r="A87" s="139" t="s">
        <v>585</v>
      </c>
      <c r="B87" s="7" t="str" cm="1">
        <f t="array" ref="B87">IFERROR((SUMPRODUCT(ICC2_MemberMonths_2021,G87)+SUMPRODUCT(ICC6_MemberMonths_2021,L87))/Medicaid_MemberMonths_2021,"NA")</f>
        <v>NA</v>
      </c>
      <c r="C87" s="7" t="str" cm="1">
        <f t="array" ref="C87">IFERROR((SUMPRODUCT(ICC2_MemberMonths_2022,H87)+SUMPRODUCT(ICC6_MemberMonths_2022,M87))/Medicaid_MemberMonths_2022,"NA")</f>
        <v>NA</v>
      </c>
      <c r="D87" s="423" t="str">
        <f>IFERROR(Table91316[[#This Row],[2022]]/Table91316[[#This Row],[2021]]-1,"NA")</f>
        <v>NA</v>
      </c>
      <c r="E87"/>
      <c r="F87" s="139" t="s">
        <v>585</v>
      </c>
      <c r="G87" s="7" t="str" cm="1">
        <f t="array" ref="G87">IFERROR((SUMIFS(TM[[#All],[Claims: Professional, Specialty Providers]],TM[[#All],[Reporting Year]],2021,TM[[#All],[Insurance Category Code]],2,TM[[#All],[Large Provider Entity Code]],100))/ICC2_MemberMonths_2021,"NA")</f>
        <v>NA</v>
      </c>
      <c r="H87" s="7" t="str" cm="1">
        <f t="array" ref="H87">IFERROR((SUMIFS(TM[[#All],[Claims: Professional, Specialty Providers]],TM[[#All],[Reporting Year]],2022,TM[[#All],[Insurance Category Code]],2,TM[[#All],[Large Provider Entity Code]],100))/ICC2_MemberMonths_2022,"NA")</f>
        <v>NA</v>
      </c>
      <c r="I87" s="423" t="str">
        <f>IFERROR(Table9111417[[#This Row],[2022]]/Table9111417[[#This Row],[2021]]-1,"NA")</f>
        <v>NA</v>
      </c>
      <c r="J87"/>
      <c r="K87" s="139" t="s">
        <v>585</v>
      </c>
      <c r="L87" s="7" t="str" cm="1">
        <f t="array" ref="L87">IFERROR((SUMIFS(TM[[#All],[Claims: Professional, Specialty Providers]],TM[[#All],[Reporting Year]],2021,TM[[#All],[Insurance Category Code]],6,TM[[#All],[Large Provider Entity Code]],100))/ICC6_MemberMonths_2021,"NA")</f>
        <v>NA</v>
      </c>
      <c r="M87" s="7" t="str" cm="1">
        <f t="array" ref="M87">IFERROR((SUMIFS(TM[[#All],[Claims: Professional, Specialty Providers]],TM[[#All],[Reporting Year]],2022,TM[[#All],[Insurance Category Code]],6,TM[[#All],[Large Provider Entity Code]],100))/ICC6_MemberMonths_2022,"NA")</f>
        <v>NA</v>
      </c>
      <c r="N87" s="423" t="str">
        <f>IFERROR(Table911121518[[#This Row],[2022]]/Table911121518[[#This Row],[2021]]-1,"NA")</f>
        <v>NA</v>
      </c>
      <c r="O87"/>
      <c r="P87"/>
      <c r="Q87"/>
      <c r="R87"/>
      <c r="S87"/>
    </row>
    <row r="88" spans="1:19" x14ac:dyDescent="0.25">
      <c r="A88" s="139" t="s">
        <v>586</v>
      </c>
      <c r="B88" s="7" t="str" cm="1">
        <f t="array" ref="B88">IFERROR((SUMPRODUCT(ICC2_MemberMonths_2021,G88)+SUMPRODUCT(ICC6_MemberMonths_2021,L88))/Medicaid_MemberMonths_2021,"NA")</f>
        <v>NA</v>
      </c>
      <c r="C88" s="7" t="str" cm="1">
        <f t="array" ref="C88">IFERROR((SUMPRODUCT(ICC2_MemberMonths_2022,H88)+SUMPRODUCT(ICC6_MemberMonths_2022,M88))/Medicaid_MemberMonths_2022,"NA")</f>
        <v>NA</v>
      </c>
      <c r="D88" s="423" t="str">
        <f>IFERROR(Table91316[[#This Row],[2022]]/Table91316[[#This Row],[2021]]-1,"NA")</f>
        <v>NA</v>
      </c>
      <c r="E88"/>
      <c r="F88" s="139" t="s">
        <v>586</v>
      </c>
      <c r="G88" s="7" t="str" cm="1">
        <f t="array" ref="G88">IFERROR((SUMIFS(TM[[#All],[Claims: Professional, Other Providers]],TM[[#All],[Reporting Year]],2021,TM[[#All],[Insurance Category Code]],2,TM[[#All],[Large Provider Entity Code]],100))/ICC2_MemberMonths_2021,"NA")</f>
        <v>NA</v>
      </c>
      <c r="H88" s="7" t="str" cm="1">
        <f t="array" ref="H88">IFERROR((SUMIFS(TM[[#All],[Claims: Professional, Other Providers]],TM[[#All],[Reporting Year]],2022,TM[[#All],[Insurance Category Code]],2,TM[[#All],[Large Provider Entity Code]],100))/ICC2_MemberMonths_2022,"NA")</f>
        <v>NA</v>
      </c>
      <c r="I88" s="423" t="str">
        <f>IFERROR(Table9111417[[#This Row],[2022]]/Table9111417[[#This Row],[2021]]-1,"NA")</f>
        <v>NA</v>
      </c>
      <c r="J88"/>
      <c r="K88" s="139" t="s">
        <v>586</v>
      </c>
      <c r="L88" s="7" t="str" cm="1">
        <f t="array" ref="L88">IFERROR((SUMIFS(TM[[#All],[Claims: Professional, Other Providers]],TM[[#All],[Reporting Year]],2021,TM[[#All],[Insurance Category Code]],6,TM[[#All],[Large Provider Entity Code]],100))/ICC6_MemberMonths_2021,"NA")</f>
        <v>NA</v>
      </c>
      <c r="M88" s="7" t="str" cm="1">
        <f t="array" ref="M88">IFERROR((SUMIFS(TM[[#All],[Claims: Professional, Other Providers]],TM[[#All],[Reporting Year]],2022,TM[[#All],[Insurance Category Code]],6,TM[[#All],[Large Provider Entity Code]],100))/ICC6_MemberMonths_2022,"NA")</f>
        <v>NA</v>
      </c>
      <c r="N88" s="423" t="str">
        <f>IFERROR(Table911121518[[#This Row],[2022]]/Table911121518[[#This Row],[2021]]-1,"NA")</f>
        <v>NA</v>
      </c>
      <c r="O88"/>
      <c r="P88"/>
      <c r="Q88"/>
      <c r="R88"/>
      <c r="S88"/>
    </row>
    <row r="89" spans="1:19" x14ac:dyDescent="0.25">
      <c r="A89" s="139" t="s">
        <v>588</v>
      </c>
      <c r="B89" s="7" t="str" cm="1">
        <f t="array" ref="B89">IFERROR((SUMPRODUCT(ICC2_MemberMonths_2021,G89)+SUMPRODUCT(ICC6_MemberMonths_2021,L89))/Medicaid_MemberMonths_2021,"NA")</f>
        <v>NA</v>
      </c>
      <c r="C89" s="7" t="str" cm="1">
        <f t="array" ref="C89">IFERROR((SUMPRODUCT(ICC2_MemberMonths_2022,H89)+SUMPRODUCT(ICC6_MemberMonths_2022,M89))/Medicaid_MemberMonths_2022,"NA")</f>
        <v>NA</v>
      </c>
      <c r="D89" s="423" t="str">
        <f>IFERROR(Table91316[[#This Row],[2022]]/Table91316[[#This Row],[2021]]-1,"NA")</f>
        <v>NA</v>
      </c>
      <c r="E89"/>
      <c r="F89" s="139" t="s">
        <v>588</v>
      </c>
      <c r="G89" s="7" t="str" cm="1">
        <f t="array" ref="G89">IFERROR((SUMIFS(TM[[#All],[Claims: Long-Term Care]],TM[[#All],[Reporting Year]],2021,TM[[#All],[Insurance Category Code]],2,TM[[#All],[Large Provider Entity Code]],100))/ICC2_MemberMonths_2021,"NA")</f>
        <v>NA</v>
      </c>
      <c r="H89" s="7" t="str" cm="1">
        <f t="array" ref="H89">IFERROR((SUMIFS(TM[[#All],[Claims: Long-Term Care]],TM[[#All],[Reporting Year]],2022,TM[[#All],[Insurance Category Code]],2,TM[[#All],[Large Provider Entity Code]],100))/ICC2_MemberMonths_2022,"NA")</f>
        <v>NA</v>
      </c>
      <c r="I89" s="423" t="str">
        <f>IFERROR(Table9111417[[#This Row],[2022]]/Table9111417[[#This Row],[2021]]-1,"NA")</f>
        <v>NA</v>
      </c>
      <c r="J89"/>
      <c r="K89" s="139" t="s">
        <v>588</v>
      </c>
      <c r="L89" s="7" t="str" cm="1">
        <f t="array" ref="L89">IFERROR((SUMIFS(TM[[#All],[Claims: Long-Term Care]],TM[[#All],[Reporting Year]],2021,TM[[#All],[Insurance Category Code]],6,TM[[#All],[Large Provider Entity Code]],100))/ICC6_MemberMonths_2021,"NA")</f>
        <v>NA</v>
      </c>
      <c r="M89" s="7" t="str" cm="1">
        <f t="array" ref="M89">IFERROR((SUMIFS(TM[[#All],[Claims: Long-Term Care]],TM[[#All],[Reporting Year]],2022,TM[[#All],[Insurance Category Code]],6,TM[[#All],[Large Provider Entity Code]],100))/ICC6_MemberMonths_2022,"NA")</f>
        <v>NA</v>
      </c>
      <c r="N89" s="423" t="str">
        <f>IFERROR(Table911121518[[#This Row],[2022]]/Table911121518[[#This Row],[2021]]-1,"NA")</f>
        <v>NA</v>
      </c>
      <c r="O89"/>
      <c r="P89"/>
      <c r="Q89"/>
      <c r="R89"/>
      <c r="S89"/>
    </row>
    <row r="90" spans="1:19" x14ac:dyDescent="0.25">
      <c r="A90" s="139" t="s">
        <v>589</v>
      </c>
      <c r="B90" s="7" t="str" cm="1">
        <f t="array" ref="B90">IFERROR((SUMPRODUCT(ICC2_MemberMonths_2021,G90)+SUMPRODUCT(ICC6_MemberMonths_2021,L90))/Medicaid_MemberMonths_2021,"NA")</f>
        <v>NA</v>
      </c>
      <c r="C90" s="7" t="str" cm="1">
        <f t="array" ref="C90">IFERROR((SUMPRODUCT(ICC2_MemberMonths_2022,H90)+SUMPRODUCT(ICC6_MemberMonths_2022,M90))/Medicaid_MemberMonths_2022,"NA")</f>
        <v>NA</v>
      </c>
      <c r="D90" s="423" t="str">
        <f>IFERROR(Table91316[[#This Row],[2022]]/Table91316[[#This Row],[2021]]-1,"NA")</f>
        <v>NA</v>
      </c>
      <c r="E90"/>
      <c r="F90" s="139" t="s">
        <v>589</v>
      </c>
      <c r="G90" s="7" t="str" cm="1">
        <f t="array" ref="G90">IFERROR((SUMIFS(TM[[#All],[Claims: Retail Pharmacy]],TM[[#All],[Reporting Year]],2021,TM[[#All],[Insurance Category Code]],2,TM[[#All],[Large Provider Entity Code]],100))/ICC2_MemberMonths_2021,"NA")</f>
        <v>NA</v>
      </c>
      <c r="H90" s="7" t="str" cm="1">
        <f t="array" ref="H90">IFERROR((SUMIFS(TM[[#All],[Claims: Retail Pharmacy]],TM[[#All],[Reporting Year]],2022,TM[[#All],[Insurance Category Code]],2,TM[[#All],[Large Provider Entity Code]],100))/ICC2_MemberMonths_2022,"NA")</f>
        <v>NA</v>
      </c>
      <c r="I90" s="423" t="str">
        <f>IFERROR(Table9111417[[#This Row],[2022]]/Table9111417[[#This Row],[2021]]-1,"NA")</f>
        <v>NA</v>
      </c>
      <c r="J90"/>
      <c r="K90" s="139" t="s">
        <v>589</v>
      </c>
      <c r="L90" s="7" t="str" cm="1">
        <f t="array" ref="L90">IFERROR((SUMIFS(TM[[#All],[Claims: Retail Pharmacy]],TM[[#All],[Reporting Year]],2021,TM[[#All],[Insurance Category Code]],6,TM[[#All],[Large Provider Entity Code]],100))/ICC6_MemberMonths_2021,"NA")</f>
        <v>NA</v>
      </c>
      <c r="M90" s="7" t="str" cm="1">
        <f t="array" ref="M90">IFERROR((SUMIFS(TM[[#All],[Claims: Retail Pharmacy]],TM[[#All],[Reporting Year]],2022,TM[[#All],[Insurance Category Code]],6,TM[[#All],[Large Provider Entity Code]],100))/ICC6_MemberMonths_2022,"NA")</f>
        <v>NA</v>
      </c>
      <c r="N90" s="423" t="str">
        <f>IFERROR(Table911121518[[#This Row],[2022]]/Table911121518[[#This Row],[2021]]-1,"NA")</f>
        <v>NA</v>
      </c>
      <c r="O90"/>
      <c r="P90"/>
      <c r="Q90"/>
      <c r="R90"/>
      <c r="S90"/>
    </row>
    <row r="91" spans="1:19" x14ac:dyDescent="0.25">
      <c r="A91" s="139" t="s">
        <v>590</v>
      </c>
      <c r="B91" s="7" t="str" cm="1">
        <f t="array" ref="B91">IFERROR((SUMPRODUCT(ICC2_MemberMonths_2021,G91)+SUMPRODUCT(ICC6_MemberMonths_2021,L91))/Medicaid_MemberMonths_2021,"NA")</f>
        <v>NA</v>
      </c>
      <c r="C91" s="7" t="str" cm="1">
        <f t="array" ref="C91">IFERROR((SUMPRODUCT(ICC2_MemberMonths_2022,H91)+SUMPRODUCT(ICC6_MemberMonths_2022,M91))/Medicaid_MemberMonths_2022,"NA")</f>
        <v>NA</v>
      </c>
      <c r="D91" s="423" t="str">
        <f>IFERROR(Table91316[[#This Row],[2022]]/Table91316[[#This Row],[2021]]-1,"NA")</f>
        <v>NA</v>
      </c>
      <c r="E91"/>
      <c r="F91" s="139" t="s">
        <v>590</v>
      </c>
      <c r="G91" s="7" t="str" cm="1">
        <f t="array" ref="G91">IFERROR(((SUMIFS(TM[[#All],[Claims: Retail Pharmacy]],TM[[#All],[Reporting Year]],2021,TM[[#All],[Insurance Category Code]],2,TM[[#All],[Large Provider Entity Code]],100))-ABS(SUMIFS(RX[[#All],[Total Medical and Retail Pharmacy Rebate Amount]],RX[[#All],[Reporting Year]],2021,RX[[#All],[Insurance Category Code]],2)))/ICC2_MemberMonths_2021,"NA")</f>
        <v>NA</v>
      </c>
      <c r="H91" s="7" t="str" cm="1">
        <f t="array" ref="H91">IFERROR(((SUMIFS(TM[[#All],[Claims: Retail Pharmacy]],TM[[#All],[Reporting Year]],2022,TM[[#All],[Insurance Category Code]],2,TM[[#All],[Large Provider Entity Code]],100))-ABS(SUMIFS(RX[[#All],[Total Medical and Retail Pharmacy Rebate Amount]],RX[[#All],[Reporting Year]],2022,RX[[#All],[Insurance Category Code]],2)))/ICC2_MemberMonths_2022,"NA")</f>
        <v>NA</v>
      </c>
      <c r="I91" s="423" t="str">
        <f>IFERROR(Table9111417[[#This Row],[2022]]/Table9111417[[#This Row],[2021]]-1,"NA")</f>
        <v>NA</v>
      </c>
      <c r="J91"/>
      <c r="K91" s="139" t="s">
        <v>590</v>
      </c>
      <c r="L91" s="7" t="str" cm="1">
        <f t="array" ref="L91">IFERROR(((SUMIFS(TM[[#All],[Claims: Retail Pharmacy]],TM[[#All],[Reporting Year]],2021,TM[[#All],[Insurance Category Code]],6,TM[[#All],[Large Provider Entity Code]],100))-ABS(SUMIFS(RX[[#All],[Total Medical and Retail Pharmacy Rebate Amount]],RX[[#All],[Reporting Year]],2021,RX[[#All],[Insurance Category Code]],6)))/ICC6_MemberMonths_2021,"NA")</f>
        <v>NA</v>
      </c>
      <c r="M91" s="7" t="str" cm="1">
        <f t="array" ref="M91">IFERROR(((SUMIFS(TM[[#All],[Claims: Retail Pharmacy]],TM[[#All],[Reporting Year]],2022,TM[[#All],[Insurance Category Code]],6,TM[[#All],[Large Provider Entity Code]],100))-ABS(SUMIFS(RX[[#All],[Total Medical and Retail Pharmacy Rebate Amount]],RX[[#All],[Reporting Year]],2022,RX[[#All],[Insurance Category Code]],6)))/ICC6_MemberMonths_2022,"NA")</f>
        <v>NA</v>
      </c>
      <c r="N91" s="423" t="str">
        <f>IFERROR(Table911121518[[#This Row],[2022]]/Table911121518[[#This Row],[2021]]-1,"NA")</f>
        <v>NA</v>
      </c>
      <c r="O91"/>
      <c r="P91"/>
      <c r="Q91"/>
      <c r="R91"/>
      <c r="S91"/>
    </row>
    <row r="92" spans="1:19" s="155" customFormat="1" x14ac:dyDescent="0.25">
      <c r="A92" s="139" t="s">
        <v>591</v>
      </c>
      <c r="B92" s="7" t="str" cm="1">
        <f t="array" ref="B92">IFERROR((SUMPRODUCT(ICC2_MemberMonths_2021,G92)+SUMPRODUCT(ICC6_MemberMonths_2021,L92))/Medicaid_MemberMonths_2021,"NA")</f>
        <v>NA</v>
      </c>
      <c r="C92" s="7" t="str" cm="1">
        <f t="array" ref="C92">IFERROR((SUMPRODUCT(ICC2_MemberMonths_2022,H92)+SUMPRODUCT(ICC6_MemberMonths_2022,M92))/Medicaid_MemberMonths_2022,"NA")</f>
        <v>NA</v>
      </c>
      <c r="D92" s="423" t="str">
        <f>IFERROR(Table91316[[#This Row],[2022]]/Table91316[[#This Row],[2021]]-1,"NA")</f>
        <v>NA</v>
      </c>
      <c r="E92" s="3"/>
      <c r="F92" s="139" t="s">
        <v>591</v>
      </c>
      <c r="G92" s="7" t="str">
        <f>IFERROR(SUMIFS(RX[[#All],[Total Medical and Retail Pharmacy Rebate Amount]],RX[[#All],[Reporting Year]],2021,RX[[#All],[Insurance Category Code]],2)/ICC2_MemberMonths_2021,"NA")</f>
        <v>NA</v>
      </c>
      <c r="H92" s="7" t="str">
        <f>IFERROR(SUMIFS(RX[[#All],[Total Medical and Retail Pharmacy Rebate Amount]],RX[[#All],[Reporting Year]],2022,RX[[#All],[Insurance Category Code]],2)/ICC2_MemberMonths_2022,"NA")</f>
        <v>NA</v>
      </c>
      <c r="I92" s="423" t="str">
        <f>IFERROR(Table9111417[[#This Row],[2022]]/Table9111417[[#This Row],[2021]]-1,"NA")</f>
        <v>NA</v>
      </c>
      <c r="J92" s="3"/>
      <c r="K92" s="139" t="s">
        <v>591</v>
      </c>
      <c r="L92" s="7" t="str">
        <f>IFERROR(SUMIFS(RX[[#All],[Total Medical and Retail Pharmacy Rebate Amount]],RX[[#All],[Reporting Year]],2021,RX[[#All],[Insurance Category Code]],6)/ICC6_MemberMonths_2021,"NA")</f>
        <v>NA</v>
      </c>
      <c r="M92" s="7" t="str">
        <f>IFERROR(SUMIFS(RX[[#All],[Total Medical and Retail Pharmacy Rebate Amount]],RX[[#All],[Reporting Year]],2022,RX[[#All],[Insurance Category Code]],6)/ICC6_MemberMonths_2022,"NA")</f>
        <v>NA</v>
      </c>
      <c r="N92" s="423" t="str">
        <f>IFERROR(Table911121518[[#This Row],[2022]]/Table911121518[[#This Row],[2021]]-1,"NA")</f>
        <v>NA</v>
      </c>
      <c r="O92" s="3"/>
      <c r="P92"/>
      <c r="Q92"/>
      <c r="R92"/>
      <c r="S92"/>
    </row>
    <row r="93" spans="1:19" s="155" customFormat="1" x14ac:dyDescent="0.25">
      <c r="A93" s="531" t="s">
        <v>536</v>
      </c>
      <c r="B93" s="510" t="str">
        <f>IFERROR(ABS(B92/B90),"NA")</f>
        <v>NA</v>
      </c>
      <c r="C93" s="510" t="str">
        <f>IFERROR(ABS(C92/C90),"NA")</f>
        <v>NA</v>
      </c>
      <c r="D93" s="562" t="s">
        <v>500</v>
      </c>
      <c r="E93" s="3"/>
      <c r="F93" s="531" t="s">
        <v>536</v>
      </c>
      <c r="G93" s="510" t="str">
        <f>IFERROR(ABS(G92/G90),"NA")</f>
        <v>NA</v>
      </c>
      <c r="H93" s="510" t="str">
        <f>IFERROR(ABS(H92/H90),"NA")</f>
        <v>NA</v>
      </c>
      <c r="I93" s="562" t="s">
        <v>500</v>
      </c>
      <c r="J93" s="3"/>
      <c r="K93" s="531" t="s">
        <v>536</v>
      </c>
      <c r="L93" s="510" t="str">
        <f>IFERROR(ABS(L92/L90),"NA")</f>
        <v>NA</v>
      </c>
      <c r="M93" s="510" t="str">
        <f>IFERROR(ABS(M92/M90),"NA")</f>
        <v>NA</v>
      </c>
      <c r="N93" s="562" t="s">
        <v>500</v>
      </c>
      <c r="O93" s="3"/>
      <c r="P93"/>
      <c r="Q93"/>
      <c r="R93"/>
      <c r="S93"/>
    </row>
    <row r="94" spans="1:19" x14ac:dyDescent="0.25">
      <c r="A94" s="139" t="s">
        <v>592</v>
      </c>
      <c r="B94" s="7" t="str" cm="1">
        <f t="array" ref="B94">IFERROR((SUMPRODUCT(ICC2_MemberMonths_2021,G94)+SUMPRODUCT(ICC6_MemberMonths_2021,L94))/Medicaid_MemberMonths_2021,"NA")</f>
        <v>NA</v>
      </c>
      <c r="C94" s="7" t="str" cm="1">
        <f t="array" ref="C94">IFERROR((SUMPRODUCT(ICC2_MemberMonths_2022,H94)+SUMPRODUCT(ICC6_MemberMonths_2022,M94))/Medicaid_MemberMonths_2022,"NA")</f>
        <v>NA</v>
      </c>
      <c r="D94" s="423" t="str">
        <f>IFERROR(Table91316[[#This Row],[2022]]/Table91316[[#This Row],[2021]]-1,"NA")</f>
        <v>NA</v>
      </c>
      <c r="E94"/>
      <c r="F94" s="139" t="s">
        <v>592</v>
      </c>
      <c r="G94" s="7" t="str" cm="1">
        <f t="array" ref="G94">IFERROR((SUMIFS(TM[[#All],[Claims: Other]],TM[[#All],[Reporting Year]],2021,TM[[#All],[Insurance Category Code]],2,TM[[#All],[Large Provider Entity Code]],100))/ICC2_MemberMonths_2021,"NA")</f>
        <v>NA</v>
      </c>
      <c r="H94" s="7" t="str" cm="1">
        <f t="array" ref="H94">IFERROR((SUMIFS(TM[[#All],[Claims: Other]],TM[[#All],[Reporting Year]],2022,TM[[#All],[Insurance Category Code]],2,TM[[#All],[Large Provider Entity Code]],100))/ICC2_MemberMonths_2022,"NA")</f>
        <v>NA</v>
      </c>
      <c r="I94" s="423" t="str">
        <f>IFERROR(Table9111417[[#This Row],[2022]]/Table9111417[[#This Row],[2021]]-1,"NA")</f>
        <v>NA</v>
      </c>
      <c r="J94"/>
      <c r="K94" s="139" t="s">
        <v>592</v>
      </c>
      <c r="L94" s="7" t="str" cm="1">
        <f t="array" ref="L94">IFERROR((SUMIFS(TM[[#All],[Claims: Other]],TM[[#All],[Reporting Year]],2021,TM[[#All],[Insurance Category Code]],6,TM[[#All],[Large Provider Entity Code]],100))/ICC6_MemberMonths_2021,"NA")</f>
        <v>NA</v>
      </c>
      <c r="M94" s="7" t="str" cm="1">
        <f t="array" ref="M94">IFERROR((SUMIFS(TM[[#All],[Claims: Other]],TM[[#All],[Reporting Year]],2022,TM[[#All],[Insurance Category Code]],6,TM[[#All],[Large Provider Entity Code]],100))/ICC6_MemberMonths_2022,"NA")</f>
        <v>NA</v>
      </c>
      <c r="N94" s="423" t="str">
        <f>IFERROR(Table911121518[[#This Row],[2022]]/Table911121518[[#This Row],[2021]]-1,"NA")</f>
        <v>NA</v>
      </c>
      <c r="O94"/>
      <c r="P94" s="3"/>
      <c r="Q94" s="3"/>
      <c r="R94" s="3"/>
      <c r="S94" s="3"/>
    </row>
    <row r="95" spans="1:19" x14ac:dyDescent="0.25">
      <c r="A95" s="503" t="s">
        <v>593</v>
      </c>
      <c r="B95" s="505" t="str" cm="1">
        <f t="array" ref="B95">IFERROR((SUMPRODUCT(ICC2_MemberMonths_2021,G95)+SUMPRODUCT(ICC6_MemberMonths_2021,L95))/Medicaid_MemberMonths_2021,"NA")</f>
        <v>NA</v>
      </c>
      <c r="C95" s="505" t="str" cm="1">
        <f t="array" ref="C95">IFERROR((SUMPRODUCT(ICC2_MemberMonths_2022,H95)+SUMPRODUCT(ICC6_MemberMonths_2022,M95))/Medicaid_MemberMonths_2022,"NA")</f>
        <v>NA</v>
      </c>
      <c r="D95" s="504" t="str">
        <f>IFERROR(Table91316[[#This Row],[2022]]/Table91316[[#This Row],[2021]]-1,"NA")</f>
        <v>NA</v>
      </c>
      <c r="E95"/>
      <c r="F95" s="503" t="s">
        <v>593</v>
      </c>
      <c r="G95" s="505" t="str" cm="1">
        <f t="array" ref="G95">IFERROR((SUMIFS(TM[[#All],[Total Non-Truncated Claims Spending]],TM[[#All],[Reporting Year]],2021,TM[[#All],[Insurance Category Code]],2,TM[[#All],[Large Provider Entity Code]],100))/ICC2_MemberMonths_2021,"NA")</f>
        <v>NA</v>
      </c>
      <c r="H95" s="505" t="str" cm="1">
        <f t="array" ref="H95">IFERROR((SUMIFS(TM[[#All],[Total Non-Truncated Claims Spending]],TM[[#All],[Reporting Year]],2022,TM[[#All],[Insurance Category Code]],2,TM[[#All],[Large Provider Entity Code]],100))/ICC2_MemberMonths_2022,"NA")</f>
        <v>NA</v>
      </c>
      <c r="I95" s="504" t="str">
        <f>IFERROR(Table9111417[[#This Row],[2022]]/Table9111417[[#This Row],[2021]]-1,"NA")</f>
        <v>NA</v>
      </c>
      <c r="J95"/>
      <c r="K95" s="503" t="s">
        <v>593</v>
      </c>
      <c r="L95" s="505" t="str" cm="1">
        <f t="array" ref="L95">IFERROR((SUMIFS(TM[[#All],[Total Non-Truncated Claims Spending]],TM[[#All],[Reporting Year]],2021,TM[[#All],[Insurance Category Code]],6,TM[[#All],[Large Provider Entity Code]],100))/ICC6_MemberMonths_2021,"NA")</f>
        <v>NA</v>
      </c>
      <c r="M95" s="505" t="str" cm="1">
        <f t="array" ref="M95">IFERROR((SUMIFS(TM[[#All],[Total Non-Truncated Claims Spending]],TM[[#All],[Reporting Year]],2022,TM[[#All],[Insurance Category Code]],6,TM[[#All],[Large Provider Entity Code]],100))/ICC6_MemberMonths_2022,"NA")</f>
        <v>NA</v>
      </c>
      <c r="N95" s="504" t="str">
        <f>IFERROR(Table911121518[[#This Row],[2022]]/Table911121518[[#This Row],[2021]]-1,"NA")</f>
        <v>NA</v>
      </c>
      <c r="O95"/>
      <c r="P95" s="3"/>
      <c r="Q95" s="3"/>
      <c r="R95" s="3"/>
      <c r="S95" s="3"/>
    </row>
    <row r="96" spans="1:19" x14ac:dyDescent="0.25">
      <c r="A96" s="503" t="s">
        <v>594</v>
      </c>
      <c r="B96" s="505" t="str" cm="1">
        <f t="array" ref="B96">IFERROR((SUMPRODUCT(ICC2_MemberMonths_2021,G96)+SUMPRODUCT(ICC6_MemberMonths_2021,L96))/Medicaid_MemberMonths_2021,"NA")</f>
        <v>NA</v>
      </c>
      <c r="C96" s="505" t="str" cm="1">
        <f t="array" ref="C96">IFERROR((SUMPRODUCT(ICC2_MemberMonths_2022,H96)+SUMPRODUCT(ICC6_MemberMonths_2022,M96))/Medicaid_MemberMonths_2022,"NA")</f>
        <v>NA</v>
      </c>
      <c r="D96" s="504" t="str">
        <f>IFERROR(Table91316[[#This Row],[2022]]/Table91316[[#This Row],[2021]]-1,"NA")</f>
        <v>NA</v>
      </c>
      <c r="E96"/>
      <c r="F96" s="503" t="s">
        <v>594</v>
      </c>
      <c r="G96" s="505" t="str" cm="1">
        <f t="array" ref="G96">IFERROR((SUMIFS(TM[[#All],[Total Truncated Claims Spending]],TM[[#All],[Reporting Year]],2021,TM[[#All],[Insurance Category Code]],2,TM[[#All],[Large Provider Entity Code]],100))/ICC2_MemberMonths_2021,"NA")</f>
        <v>NA</v>
      </c>
      <c r="H96" s="505" t="str" cm="1">
        <f t="array" ref="H96">IFERROR((SUMIFS(TM[[#All],[Total Truncated Claims Spending]],TM[[#All],[Reporting Year]],2022,TM[[#All],[Insurance Category Code]],2,TM[[#All],[Large Provider Entity Code]],100))/ICC2_MemberMonths_2022,"NA")</f>
        <v>NA</v>
      </c>
      <c r="I96" s="504" t="str">
        <f>IFERROR(Table9111417[[#This Row],[2022]]/Table9111417[[#This Row],[2021]]-1,"NA")</f>
        <v>NA</v>
      </c>
      <c r="J96"/>
      <c r="K96" s="503" t="s">
        <v>594</v>
      </c>
      <c r="L96" s="505" t="str" cm="1">
        <f t="array" ref="L96">IFERROR((SUMIFS(TM[[#All],[Total Truncated Claims Spending]],TM[[#All],[Reporting Year]],2021,TM[[#All],[Insurance Category Code]],6,TM[[#All],[Large Provider Entity Code]],100))/ICC6_MemberMonths_2021,"NA")</f>
        <v>NA</v>
      </c>
      <c r="M96" s="505" t="str" cm="1">
        <f t="array" ref="M96">IFERROR((SUMIFS(TM[[#All],[Total Truncated Claims Spending]],TM[[#All],[Reporting Year]],2022,TM[[#All],[Insurance Category Code]],6,TM[[#All],[Large Provider Entity Code]],100))/ICC6_MemberMonths_2022,"NA")</f>
        <v>NA</v>
      </c>
      <c r="N96" s="504" t="str">
        <f>IFERROR(Table911121518[[#This Row],[2022]]/Table911121518[[#This Row],[2021]]-1,"NA")</f>
        <v>NA</v>
      </c>
      <c r="O96"/>
      <c r="P96"/>
      <c r="Q96"/>
      <c r="R96"/>
      <c r="S96"/>
    </row>
    <row r="97" spans="1:19" x14ac:dyDescent="0.25">
      <c r="A97" s="139" t="s">
        <v>595</v>
      </c>
      <c r="B97" s="7" t="str" cm="1">
        <f t="array" ref="B97">IFERROR((SUMPRODUCT(ICC2_MemberMonths_2021,G97)+SUMPRODUCT(ICC6_MemberMonths_2021,L97))/Medicaid_MemberMonths_2021,"NA")</f>
        <v>NA</v>
      </c>
      <c r="C97" s="7" t="str" cm="1">
        <f t="array" ref="C97">IFERROR((SUMPRODUCT(ICC2_MemberMonths_2022,H97)+SUMPRODUCT(ICC6_MemberMonths_2022,M97))/Medicaid_MemberMonths_2022,"NA")</f>
        <v>NA</v>
      </c>
      <c r="D97" s="423" t="str">
        <f>IFERROR(Table91316[[#This Row],[2022]]/Table91316[[#This Row],[2021]]-1,"NA")</f>
        <v>NA</v>
      </c>
      <c r="E97"/>
      <c r="F97" s="139" t="s">
        <v>595</v>
      </c>
      <c r="G97" s="7" t="str" cm="1">
        <f t="array" ref="G97">IFERROR((SUMIFS(TM[[#All],[Non-Claims: Capitation or Bundled Arrangements]],TM[[#All],[Reporting Year]],2021,TM[[#All],[Insurance Category Code]],2,TM[[#All],[Large Provider Entity Code]],100))/ICC2_MemberMonths_2021,"NA")</f>
        <v>NA</v>
      </c>
      <c r="H97" s="7" t="str" cm="1">
        <f t="array" ref="H97">IFERROR((SUMIFS(TM[[#All],[Non-Claims: Capitation or Bundled Arrangements]],TM[[#All],[Reporting Year]],2022,TM[[#All],[Insurance Category Code]],2,TM[[#All],[Large Provider Entity Code]],100))/ICC2_MemberMonths_2022,"NA")</f>
        <v>NA</v>
      </c>
      <c r="I97" s="423" t="str">
        <f>IFERROR(Table9111417[[#This Row],[2022]]/Table9111417[[#This Row],[2021]]-1,"NA")</f>
        <v>NA</v>
      </c>
      <c r="J97"/>
      <c r="K97" s="139" t="s">
        <v>595</v>
      </c>
      <c r="L97" s="7" t="str" cm="1">
        <f t="array" ref="L97">IFERROR((SUMIFS(TM[[#All],[Non-Claims: Capitation or Bundled Arrangements]],TM[[#All],[Reporting Year]],2021,TM[[#All],[Insurance Category Code]],6,TM[[#All],[Large Provider Entity Code]],100))/ICC6_MemberMonths_2021,"NA")</f>
        <v>NA</v>
      </c>
      <c r="M97" s="7" t="str" cm="1">
        <f t="array" ref="M97">IFERROR((SUMIFS(TM[[#All],[Non-Claims: Capitation or Bundled Arrangements]],TM[[#All],[Reporting Year]],2022,TM[[#All],[Insurance Category Code]],6,TM[[#All],[Large Provider Entity Code]],100))/ICC6_MemberMonths_2022,"NA")</f>
        <v>NA</v>
      </c>
      <c r="N97" s="423" t="str">
        <f>IFERROR(Table911121518[[#This Row],[2022]]/Table911121518[[#This Row],[2021]]-1,"NA")</f>
        <v>NA</v>
      </c>
      <c r="O97"/>
      <c r="P97"/>
      <c r="Q97"/>
      <c r="R97"/>
      <c r="S97"/>
    </row>
    <row r="98" spans="1:19" x14ac:dyDescent="0.25">
      <c r="A98" s="139" t="s">
        <v>596</v>
      </c>
      <c r="B98" s="7" t="str" cm="1">
        <f t="array" ref="B98">IFERROR((SUMPRODUCT(ICC2_MemberMonths_2021,G98)+SUMPRODUCT(ICC6_MemberMonths_2021,L98))/Medicaid_MemberMonths_2021,"NA")</f>
        <v>NA</v>
      </c>
      <c r="C98" s="7" t="str" cm="1">
        <f t="array" ref="C98">IFERROR((SUMPRODUCT(ICC2_MemberMonths_2022,H98)+SUMPRODUCT(ICC6_MemberMonths_2022,M98))/Medicaid_MemberMonths_2022,"NA")</f>
        <v>NA</v>
      </c>
      <c r="D98" s="423" t="str">
        <f>IFERROR(Table91316[[#This Row],[2022]]/Table91316[[#This Row],[2021]]-1,"NA")</f>
        <v>NA</v>
      </c>
      <c r="E98"/>
      <c r="F98" s="139" t="s">
        <v>596</v>
      </c>
      <c r="G98" s="7" t="str" cm="1">
        <f t="array" ref="G98">IFERROR((SUMIFS(TM[[#All],[Non-Claims: Performance Incentives]],TM[[#All],[Reporting Year]],2021,TM[[#All],[Insurance Category Code]],2,TM[[#All],[Large Provider Entity Code]],100))/ICC2_MemberMonths_2021,"NA")</f>
        <v>NA</v>
      </c>
      <c r="H98" s="7" t="str" cm="1">
        <f t="array" ref="H98">IFERROR((SUMIFS(TM[[#All],[Non-Claims: Performance Incentives]],TM[[#All],[Reporting Year]],2022,TM[[#All],[Insurance Category Code]],2,TM[[#All],[Large Provider Entity Code]],100))/ICC2_MemberMonths_2022,"NA")</f>
        <v>NA</v>
      </c>
      <c r="I98" s="423" t="str">
        <f>IFERROR(Table9111417[[#This Row],[2022]]/Table9111417[[#This Row],[2021]]-1,"NA")</f>
        <v>NA</v>
      </c>
      <c r="J98"/>
      <c r="K98" s="139" t="s">
        <v>596</v>
      </c>
      <c r="L98" s="7" t="str" cm="1">
        <f t="array" ref="L98">IFERROR((SUMIFS(TM[[#All],[Non-Claims: Performance Incentives]],TM[[#All],[Reporting Year]],2021,TM[[#All],[Insurance Category Code]],6,TM[[#All],[Large Provider Entity Code]],100))/ICC6_MemberMonths_2021,"NA")</f>
        <v>NA</v>
      </c>
      <c r="M98" s="7" t="str" cm="1">
        <f t="array" ref="M98">IFERROR((SUMIFS(TM[[#All],[Non-Claims: Performance Incentives]],TM[[#All],[Reporting Year]],2022,TM[[#All],[Insurance Category Code]],6,TM[[#All],[Large Provider Entity Code]],100))/ICC6_MemberMonths_2022,"NA")</f>
        <v>NA</v>
      </c>
      <c r="N98" s="423" t="str">
        <f>IFERROR(Table911121518[[#This Row],[2022]]/Table911121518[[#This Row],[2021]]-1,"NA")</f>
        <v>NA</v>
      </c>
      <c r="O98"/>
      <c r="P98"/>
      <c r="Q98"/>
      <c r="R98"/>
      <c r="S98"/>
    </row>
    <row r="99" spans="1:19" x14ac:dyDescent="0.25">
      <c r="A99" s="139" t="s">
        <v>597</v>
      </c>
      <c r="B99" s="7" t="str" cm="1">
        <f t="array" ref="B99">IFERROR((SUMPRODUCT(ICC2_MemberMonths_2021,G99)+SUMPRODUCT(ICC6_MemberMonths_2021,L99))/Medicaid_MemberMonths_2021,"NA")</f>
        <v>NA</v>
      </c>
      <c r="C99" s="7" t="str" cm="1">
        <f t="array" ref="C99">IFERROR((SUMPRODUCT(ICC2_MemberMonths_2022,H99)+SUMPRODUCT(ICC6_MemberMonths_2022,M99))/Medicaid_MemberMonths_2022,"NA")</f>
        <v>NA</v>
      </c>
      <c r="D99" s="423" t="str">
        <f>IFERROR(Table91316[[#This Row],[2022]]/Table91316[[#This Row],[2021]]-1,"NA")</f>
        <v>NA</v>
      </c>
      <c r="E99"/>
      <c r="F99" s="139" t="s">
        <v>597</v>
      </c>
      <c r="G99" s="7" t="str" cm="1">
        <f t="array" ref="G99">IFERROR((SUMIFS(TM[[#All],[Non-Claims: Pop Health and Practice Infrastructure]],TM[[#All],[Reporting Year]],2021,TM[[#All],[Insurance Category Code]],2,TM[[#All],[Large Provider Entity Code]],100))/ICC2_MemberMonths_2021,"NA")</f>
        <v>NA</v>
      </c>
      <c r="H99" s="7" t="str" cm="1">
        <f t="array" ref="H99">IFERROR((SUMIFS(TM[[#All],[Non-Claims: Pop Health and Practice Infrastructure]],TM[[#All],[Reporting Year]],2022,TM[[#All],[Insurance Category Code]],2,TM[[#All],[Large Provider Entity Code]],100))/ICC2_MemberMonths_2022,"NA")</f>
        <v>NA</v>
      </c>
      <c r="I99" s="423" t="str">
        <f>IFERROR(Table9111417[[#This Row],[2022]]/Table9111417[[#This Row],[2021]]-1,"NA")</f>
        <v>NA</v>
      </c>
      <c r="J99"/>
      <c r="K99" s="139" t="s">
        <v>597</v>
      </c>
      <c r="L99" s="7" t="str" cm="1">
        <f t="array" ref="L99">IFERROR((SUMIFS(TM[[#All],[Non-Claims: Pop Health and Practice Infrastructure]],TM[[#All],[Reporting Year]],2021,TM[[#All],[Insurance Category Code]],6,TM[[#All],[Large Provider Entity Code]],100))/ICC6_MemberMonths_2021,"NA")</f>
        <v>NA</v>
      </c>
      <c r="M99" s="7" t="str" cm="1">
        <f t="array" ref="M99">IFERROR((SUMIFS(TM[[#All],[Non-Claims: Pop Health and Practice Infrastructure]],TM[[#All],[Reporting Year]],2022,TM[[#All],[Insurance Category Code]],6,TM[[#All],[Large Provider Entity Code]],100))/ICC6_MemberMonths_2022,"NA")</f>
        <v>NA</v>
      </c>
      <c r="N99" s="423" t="str">
        <f>IFERROR(Table911121518[[#This Row],[2022]]/Table911121518[[#This Row],[2021]]-1,"NA")</f>
        <v>NA</v>
      </c>
      <c r="O99"/>
      <c r="P99"/>
      <c r="Q99"/>
      <c r="R99"/>
      <c r="S99"/>
    </row>
    <row r="100" spans="1:19" x14ac:dyDescent="0.25">
      <c r="A100" s="139" t="s">
        <v>598</v>
      </c>
      <c r="B100" s="7" t="str" cm="1">
        <f t="array" ref="B100">IFERROR((SUMPRODUCT(ICC2_MemberMonths_2021,G100)+SUMPRODUCT(ICC6_MemberMonths_2021,L100))/Medicaid_MemberMonths_2021,"NA")</f>
        <v>NA</v>
      </c>
      <c r="C100" s="7" t="str" cm="1">
        <f t="array" ref="C100">IFERROR((SUMPRODUCT(ICC2_MemberMonths_2022,H100)+SUMPRODUCT(ICC6_MemberMonths_2022,M100))/Medicaid_MemberMonths_2022,"NA")</f>
        <v>NA</v>
      </c>
      <c r="D100" s="423" t="str">
        <f>IFERROR(Table91316[[#This Row],[2022]]/Table91316[[#This Row],[2021]]-1,"NA")</f>
        <v>NA</v>
      </c>
      <c r="E100"/>
      <c r="F100" s="139" t="s">
        <v>598</v>
      </c>
      <c r="G100" s="7" t="str" cm="1">
        <f t="array" ref="G100">IFERROR((SUMIFS(TM[[#All],[Non-Claims: Provider Salaries]],TM[[#All],[Reporting Year]],2021,TM[[#All],[Insurance Category Code]],2,TM[[#All],[Large Provider Entity Code]],100))/ICC2_MemberMonths_2021,"NA")</f>
        <v>NA</v>
      </c>
      <c r="H100" s="7" t="str" cm="1">
        <f t="array" ref="H100">IFERROR((SUMIFS(TM[[#All],[Non-Claims: Provider Salaries]],TM[[#All],[Reporting Year]],2022,TM[[#All],[Insurance Category Code]],2,TM[[#All],[Large Provider Entity Code]],100))/ICC2_MemberMonths_2022,"NA")</f>
        <v>NA</v>
      </c>
      <c r="I100" s="423" t="str">
        <f>IFERROR(Table9111417[[#This Row],[2022]]/Table9111417[[#This Row],[2021]]-1,"NA")</f>
        <v>NA</v>
      </c>
      <c r="J100"/>
      <c r="K100" s="139" t="s">
        <v>598</v>
      </c>
      <c r="L100" s="7" t="str" cm="1">
        <f t="array" ref="L100">IFERROR((SUMIFS(TM[[#All],[Non-Claims: Provider Salaries]],TM[[#All],[Reporting Year]],2021,TM[[#All],[Insurance Category Code]],6,TM[[#All],[Large Provider Entity Code]],100))/ICC6_MemberMonths_2021,"NA")</f>
        <v>NA</v>
      </c>
      <c r="M100" s="7" t="str" cm="1">
        <f t="array" ref="M100">IFERROR((SUMIFS(TM[[#All],[Non-Claims: Provider Salaries]],TM[[#All],[Reporting Year]],2022,TM[[#All],[Insurance Category Code]],6,TM[[#All],[Large Provider Entity Code]],100))/ICC6_MemberMonths_2022,"NA")</f>
        <v>NA</v>
      </c>
      <c r="N100" s="423" t="str">
        <f>IFERROR(Table911121518[[#This Row],[2022]]/Table911121518[[#This Row],[2021]]-1,"NA")</f>
        <v>NA</v>
      </c>
      <c r="O100"/>
      <c r="P100"/>
      <c r="Q100"/>
      <c r="R100"/>
      <c r="S100"/>
    </row>
    <row r="101" spans="1:19" s="155" customFormat="1" x14ac:dyDescent="0.25">
      <c r="A101" s="139" t="s">
        <v>599</v>
      </c>
      <c r="B101" s="7" t="str" cm="1">
        <f t="array" ref="B101">IFERROR((SUMPRODUCT(ICC2_MemberMonths_2021,G101)+SUMPRODUCT(ICC6_MemberMonths_2021,L101))/Medicaid_MemberMonths_2021,"NA")</f>
        <v>NA</v>
      </c>
      <c r="C101" s="7" t="str" cm="1">
        <f t="array" ref="C101">IFERROR((SUMPRODUCT(ICC2_MemberMonths_2022,H101)+SUMPRODUCT(ICC6_MemberMonths_2022,M101))/Medicaid_MemberMonths_2022,"NA")</f>
        <v>NA</v>
      </c>
      <c r="D101" s="423" t="str">
        <f>IFERROR(Table91316[[#This Row],[2022]]/Table91316[[#This Row],[2021]]-1,"NA")</f>
        <v>NA</v>
      </c>
      <c r="E101" s="3"/>
      <c r="F101" s="139" t="s">
        <v>599</v>
      </c>
      <c r="G101" s="7" t="str" cm="1">
        <f t="array" ref="G101">IFERROR((SUMIFS(TM[[#All],[Non-Claims: Recovery]],TM[[#All],[Reporting Year]],2021,TM[[#All],[Insurance Category Code]],2,TM[[#All],[Large Provider Entity Code]],100))/ICC2_MemberMonths_2021,"NA")</f>
        <v>NA</v>
      </c>
      <c r="H101" s="7" t="str" cm="1">
        <f t="array" ref="H101">IFERROR((SUMIFS(TM[[#All],[Non-Claims: Recovery]],TM[[#All],[Reporting Year]],2022,TM[[#All],[Insurance Category Code]],2,TM[[#All],[Large Provider Entity Code]],100))/ICC2_MemberMonths_2022,"NA")</f>
        <v>NA</v>
      </c>
      <c r="I101" s="423" t="str">
        <f>IFERROR(Table9111417[[#This Row],[2022]]/Table9111417[[#This Row],[2021]]-1,"NA")</f>
        <v>NA</v>
      </c>
      <c r="J101" s="3"/>
      <c r="K101" s="139" t="s">
        <v>599</v>
      </c>
      <c r="L101" s="7" t="str" cm="1">
        <f t="array" ref="L101">IFERROR((SUMIFS(TM[[#All],[Non-Claims: Recovery]],TM[[#All],[Reporting Year]],2021,TM[[#All],[Insurance Category Code]],6,TM[[#All],[Large Provider Entity Code]],100))/ICC6_MemberMonths_2021,"NA")</f>
        <v>NA</v>
      </c>
      <c r="M101" s="7" t="str" cm="1">
        <f t="array" ref="M101">IFERROR((SUMIFS(TM[[#All],[Non-Claims: Recovery]],TM[[#All],[Reporting Year]],2022,TM[[#All],[Insurance Category Code]],6,TM[[#All],[Large Provider Entity Code]],100))/ICC6_MemberMonths_2022,"NA")</f>
        <v>NA</v>
      </c>
      <c r="N101" s="423" t="str">
        <f>IFERROR(Table911121518[[#This Row],[2022]]/Table911121518[[#This Row],[2021]]-1,"NA")</f>
        <v>NA</v>
      </c>
      <c r="O101" s="3"/>
      <c r="P101"/>
      <c r="Q101"/>
      <c r="R101"/>
      <c r="S101"/>
    </row>
    <row r="102" spans="1:19" s="49" customFormat="1" x14ac:dyDescent="0.25">
      <c r="A102" s="139" t="s">
        <v>600</v>
      </c>
      <c r="B102" s="7" t="str" cm="1">
        <f t="array" ref="B102">IFERROR((SUMPRODUCT(ICC2_MemberMonths_2021,G102)+SUMPRODUCT(ICC6_MemberMonths_2021,L102))/Medicaid_MemberMonths_2021,"NA")</f>
        <v>NA</v>
      </c>
      <c r="C102" s="7" t="str" cm="1">
        <f t="array" ref="C102">IFERROR((SUMPRODUCT(ICC2_MemberMonths_2022,H102)+SUMPRODUCT(ICC6_MemberMonths_2022,M102))/Medicaid_MemberMonths_2022,"NA")</f>
        <v>NA</v>
      </c>
      <c r="D102" s="423" t="str">
        <f>IFERROR(Table91316[[#This Row],[2022]]/Table91316[[#This Row],[2021]]-1,"NA")</f>
        <v>NA</v>
      </c>
      <c r="E102" s="48"/>
      <c r="F102" s="139" t="s">
        <v>600</v>
      </c>
      <c r="G102" s="7" t="str">
        <f>IFERROR((SUMIFS(TM[[#All],[Non-Claims: Other]],TM[[#All],[Reporting Year]],2021,TM[[#All],[Insurance Category Code]],2,TM[[#All],[Large Provider Entity Code]],100))/ICC2_MemberMonths_2021,"NA")</f>
        <v>NA</v>
      </c>
      <c r="H102" s="7" t="str" cm="1">
        <f t="array" ref="H102">IFERROR((SUMIFS(TM[[#All],[Non-Claims: Other]],TM[[#All],[Reporting Year]],2022,TM[[#All],[Insurance Category Code]],2,TM[[#All],[Large Provider Entity Code]],100))/ICC2_MemberMonths_2022,"NA")</f>
        <v>NA</v>
      </c>
      <c r="I102" s="423" t="str">
        <f>IFERROR(Table9111417[[#This Row],[2022]]/Table9111417[[#This Row],[2021]]-1,"NA")</f>
        <v>NA</v>
      </c>
      <c r="J102" s="48"/>
      <c r="K102" s="139" t="s">
        <v>600</v>
      </c>
      <c r="L102" s="7" t="str" cm="1">
        <f t="array" ref="L102">IFERROR((SUMIFS(TM[[#All],[Non-Claims: Other]],TM[[#All],[Reporting Year]],2021,TM[[#All],[Insurance Category Code]],6,TM[[#All],[Large Provider Entity Code]],100))/ICC6_MemberMonths_2021,"NA")</f>
        <v>NA</v>
      </c>
      <c r="M102" s="7" t="str" cm="1">
        <f t="array" ref="M102">IFERROR((SUMIFS(TM[[#All],[Non-Claims: Other]],TM[[#All],[Reporting Year]],2022,TM[[#All],[Insurance Category Code]],6,TM[[#All],[Large Provider Entity Code]],100))/ICC6_MemberMonths_2022,"NA")</f>
        <v>NA</v>
      </c>
      <c r="N102" s="423" t="str">
        <f>IFERROR(Table911121518[[#This Row],[2022]]/Table911121518[[#This Row],[2021]]-1,"NA")</f>
        <v>NA</v>
      </c>
      <c r="O102" s="48"/>
      <c r="P102"/>
      <c r="Q102"/>
      <c r="R102"/>
      <c r="S102"/>
    </row>
    <row r="103" spans="1:19" s="49" customFormat="1" x14ac:dyDescent="0.25">
      <c r="A103" s="139" t="s">
        <v>601</v>
      </c>
      <c r="B103" s="7" t="str" cm="1">
        <f t="array" ref="B103">IFERROR((SUMPRODUCT(ICC2_MemberMonths_2021,G103)+SUMPRODUCT(ICC6_MemberMonths_2021,L103))/Medicaid_MemberMonths_2021,"NA")</f>
        <v>NA</v>
      </c>
      <c r="C103" s="7" t="str" cm="1">
        <f t="array" ref="C103">IFERROR((SUMPRODUCT(ICC2_MemberMonths_2022,H103)+SUMPRODUCT(ICC6_MemberMonths_2022,M103))/Medicaid_MemberMonths_2022,"NA")</f>
        <v>NA</v>
      </c>
      <c r="D103" s="423" t="str">
        <f>IFERROR(Table91316[[#This Row],[2022]]/Table91316[[#This Row],[2021]]-1,"NA")</f>
        <v>NA</v>
      </c>
      <c r="E103" s="48"/>
      <c r="F103" s="139" t="s">
        <v>601</v>
      </c>
      <c r="G103" s="7" t="str" cm="1">
        <f t="array" ref="G103">IFERROR((SUMIFS(TM[[#All],[Non-Claims: Total Primary Care]],TM[[#All],[Reporting Year]],2021,TM[[#All],[Insurance Category Code]],2,TM[[#All],[Large Provider Entity Code]],100))/ICC2_MemberMonths_2021,"NA")</f>
        <v>NA</v>
      </c>
      <c r="H103" s="7" t="str" cm="1">
        <f t="array" ref="H103">IFERROR((SUMIFS(TM[[#All],[Non-Claims: Total Primary Care]],TM[[#All],[Reporting Year]],2022,TM[[#All],[Insurance Category Code]],2,TM[[#All],[Large Provider Entity Code]],100))/ICC2_MemberMonths_2022,"NA")</f>
        <v>NA</v>
      </c>
      <c r="I103" s="423" t="str">
        <f>IFERROR(Table9111417[[#This Row],[2022]]/Table9111417[[#This Row],[2021]]-1,"NA")</f>
        <v>NA</v>
      </c>
      <c r="J103" s="48"/>
      <c r="K103" s="139" t="s">
        <v>601</v>
      </c>
      <c r="L103" s="7" t="str" cm="1">
        <f t="array" ref="L103">IFERROR((SUMIFS(TM[[#All],[Non-Claims: Total Primary Care]],TM[[#All],[Reporting Year]],2021,TM[[#All],[Insurance Category Code]],6,TM[[#All],[Large Provider Entity Code]],100))/ICC6_MemberMonths_2021,"NA")</f>
        <v>NA</v>
      </c>
      <c r="M103" s="7" t="str" cm="1">
        <f t="array" ref="M103">IFERROR((SUMIFS(TM[[#All],[Non-Claims: Total Primary Care]],TM[[#All],[Reporting Year]],2022,TM[[#All],[Insurance Category Code]],6,TM[[#All],[Large Provider Entity Code]],100))/ICC6_MemberMonths_2022,"NA")</f>
        <v>NA</v>
      </c>
      <c r="N103" s="423" t="str">
        <f>IFERROR(Table911121518[[#This Row],[2022]]/Table911121518[[#This Row],[2021]]-1,"NA")</f>
        <v>NA</v>
      </c>
      <c r="O103" s="48"/>
      <c r="P103" s="3"/>
      <c r="Q103" s="3"/>
      <c r="R103" s="3"/>
      <c r="S103" s="3"/>
    </row>
    <row r="104" spans="1:19" ht="15.75" thickBot="1" x14ac:dyDescent="0.3">
      <c r="A104" s="503" t="s">
        <v>602</v>
      </c>
      <c r="B104" s="507" t="str" cm="1">
        <f t="array" ref="B104">IFERROR((SUMPRODUCT(ICC2_MemberMonths_2021,G104)+SUMPRODUCT(ICC6_MemberMonths_2021,L104))/Medicaid_MemberMonths_2021,"NA")</f>
        <v>NA</v>
      </c>
      <c r="C104" s="507" t="str" cm="1">
        <f t="array" ref="C104">IFERROR((SUMPRODUCT(ICC2_MemberMonths_2022,H104)+SUMPRODUCT(ICC6_MemberMonths_2022,M104))/Medicaid_MemberMonths_2022,"NA")</f>
        <v>NA</v>
      </c>
      <c r="D104" s="508" t="str">
        <f>IFERROR(Table91316[[#This Row],[2022]]/Table91316[[#This Row],[2021]]-1,"NA")</f>
        <v>NA</v>
      </c>
      <c r="E104"/>
      <c r="F104" s="503" t="s">
        <v>602</v>
      </c>
      <c r="G104" s="507" t="str" cm="1">
        <f t="array" ref="G104">IFERROR((SUMIFS(TM[[#All],[Total Non-Claims Spending]],TM[[#All],[Reporting Year]],2021,TM[[#All],[Insurance Category Code]],2,TM[[#All],[Large Provider Entity Code]],100))/ICC2_MemberMonths_2021,"NA")</f>
        <v>NA</v>
      </c>
      <c r="H104" s="507" t="str" cm="1">
        <f t="array" ref="H104">IFERROR((SUMIFS(TM[[#All],[Total Non-Claims Spending]],TM[[#All],[Reporting Year]],2022,TM[[#All],[Insurance Category Code]],2,TM[[#All],[Large Provider Entity Code]],100))/ICC2_MemberMonths_2022,"NA")</f>
        <v>NA</v>
      </c>
      <c r="I104" s="508" t="str">
        <f>IFERROR(Table9111417[[#This Row],[2022]]/Table9111417[[#This Row],[2021]]-1,"NA")</f>
        <v>NA</v>
      </c>
      <c r="J104"/>
      <c r="K104" s="503" t="s">
        <v>602</v>
      </c>
      <c r="L104" s="507" t="str" cm="1">
        <f t="array" ref="L104">IFERROR((SUMIFS(TM[[#All],[Total Non-Claims Spending]],TM[[#All],[Reporting Year]],2021,TM[[#All],[Insurance Category Code]],6,TM[[#All],[Large Provider Entity Code]],100))/ICC6_MemberMonths_2021,"NA")</f>
        <v>NA</v>
      </c>
      <c r="M104" s="507" t="str" cm="1">
        <f t="array" ref="M104">IFERROR((SUMIFS(TM[[#All],[Total Non-Claims Spending]],TM[[#All],[Reporting Year]],2022,TM[[#All],[Insurance Category Code]],6,TM[[#All],[Large Provider Entity Code]],100))/ICC6_MemberMonths_2022,"NA")</f>
        <v>NA</v>
      </c>
      <c r="N104" s="508" t="str">
        <f>IFERROR(Table911121518[[#This Row],[2022]]/Table911121518[[#This Row],[2021]]-1,"NA")</f>
        <v>NA</v>
      </c>
      <c r="O104" s="559"/>
      <c r="P104" s="560"/>
      <c r="Q104" s="560"/>
      <c r="R104" s="560"/>
      <c r="S104" s="560"/>
    </row>
    <row r="105" spans="1:19" ht="15.75" thickTop="1" x14ac:dyDescent="0.25">
      <c r="A105" s="114" t="s">
        <v>603</v>
      </c>
      <c r="B105" s="135" t="str" cm="1">
        <f t="array" ref="B105">IFERROR((SUMPRODUCT(ICC2_MemberMonths_2021,G105)+SUMPRODUCT(ICC6_MemberMonths_2021,L105))/Medicaid_MemberMonths_2021,"NA")</f>
        <v>NA</v>
      </c>
      <c r="C105" s="135" t="str" cm="1">
        <f t="array" ref="C105">IFERROR((SUMPRODUCT(ICC2_MemberMonths_2022,H105)+SUMPRODUCT(ICC6_MemberMonths_2022,M105))/Medicaid_MemberMonths_2022,"NA")</f>
        <v>NA</v>
      </c>
      <c r="D105" s="427" t="str">
        <f>IFERROR(Table91316[[#This Row],[2022]]/Table91316[[#This Row],[2021]]-1,"NA")</f>
        <v>NA</v>
      </c>
      <c r="F105" s="114" t="s">
        <v>603</v>
      </c>
      <c r="G105" s="135" t="str" cm="1">
        <f t="array" ref="G105">IFERROR((SUMIFS(TM[[#All],[Total Non-Truncated Claims and Non-Claims Spending]],TM[[#All],[Reporting Year]],2021,TM[[#All],[Insurance Category Code]],2,TM[[#All],[Large Provider Entity Code]],100))/ICC2_MemberMonths_2021,"NA")</f>
        <v>NA</v>
      </c>
      <c r="H105" s="135" t="str" cm="1">
        <f t="array" ref="H105">IFERROR((SUMIFS(TM[[#All],[Total Non-Truncated Claims and Non-Claims Spending]],TM[[#All],[Reporting Year]],2022,TM[[#All],[Insurance Category Code]],2,TM[[#All],[Large Provider Entity Code]],100))/ICC2_MemberMonths_2022,"NA")</f>
        <v>NA</v>
      </c>
      <c r="I105" s="427" t="str">
        <f>IFERROR(Table9111417[[#This Row],[2022]]/Table9111417[[#This Row],[2021]]-1,"NA")</f>
        <v>NA</v>
      </c>
      <c r="K105" s="114" t="s">
        <v>603</v>
      </c>
      <c r="L105" s="135" t="str" cm="1">
        <f t="array" ref="L105">IFERROR((SUMIFS(TM[[#All],[Total Non-Truncated Claims and Non-Claims Spending]],TM[[#All],[Reporting Year]],2021,TM[[#All],[Insurance Category Code]],6,TM[[#All],[Large Provider Entity Code]],100))/ICC6_MemberMonths_2021,"NA")</f>
        <v>NA</v>
      </c>
      <c r="M105" s="135" t="str" cm="1">
        <f t="array" ref="M105">IFERROR((SUMIFS(TM[[#All],[Total Non-Truncated Claims and Non-Claims Spending]],TM[[#All],[Reporting Year]],2022,TM[[#All],[Insurance Category Code]],6,TM[[#All],[Large Provider Entity Code]],100))/ICC6_MemberMonths_2022,"NA")</f>
        <v>NA</v>
      </c>
      <c r="N105" s="427" t="str">
        <f>IFERROR(Table911121518[[#This Row],[2022]]/Table911121518[[#This Row],[2021]]-1,"NA")</f>
        <v>NA</v>
      </c>
      <c r="O105" s="559"/>
      <c r="P105" s="560"/>
      <c r="Q105" s="560"/>
      <c r="R105" s="560"/>
      <c r="S105" s="560"/>
    </row>
    <row r="106" spans="1:19" x14ac:dyDescent="0.25">
      <c r="A106" s="142" t="s">
        <v>604</v>
      </c>
      <c r="B106" s="234" t="str" cm="1">
        <f t="array" ref="B106">IFERROR((SUMPRODUCT(ICC2_MemberMonths_2021,G106)+SUMPRODUCT(ICC6_MemberMonths_2021,L106))/Medicaid_MemberMonths_2021,"NA")</f>
        <v>NA</v>
      </c>
      <c r="C106" s="234" t="str" cm="1">
        <f t="array" ref="C106">IFERROR((SUMPRODUCT(ICC2_MemberMonths_2022,H106)+SUMPRODUCT(ICC6_MemberMonths_2022,M106))/Medicaid_MemberMonths_2022,"NA")</f>
        <v>NA</v>
      </c>
      <c r="D106" s="428" t="str">
        <f>IFERROR(Table91316[[#This Row],[2022]]/Table91316[[#This Row],[2021]]-1,"NA")</f>
        <v>NA</v>
      </c>
      <c r="F106" s="142" t="s">
        <v>604</v>
      </c>
      <c r="G106" s="234" t="str" cm="1">
        <f t="array" ref="G106">IFERROR((SUMIFS(TM[[#All],[Total Truncated Expenses]],TM[[#All],[Reporting Year]],2021,TM[[#All],[Insurance Category Code]],2,TM[[#All],[Large Provider Entity Code]],100))/ICC2_MemberMonths_2021,"NA")</f>
        <v>NA</v>
      </c>
      <c r="H106" s="234" t="str" cm="1">
        <f t="array" ref="H106">IFERROR((SUMIFS(TM[[#All],[Total Truncated Expenses]],TM[[#All],[Reporting Year]],2022,TM[[#All],[Insurance Category Code]],2,TM[[#All],[Large Provider Entity Code]],100))/ICC2_MemberMonths_2022,"NA")</f>
        <v>NA</v>
      </c>
      <c r="I106" s="428" t="str">
        <f>IFERROR(Table9111417[[#This Row],[2022]]/Table9111417[[#This Row],[2021]]-1,"NA")</f>
        <v>NA</v>
      </c>
      <c r="K106" s="142" t="s">
        <v>604</v>
      </c>
      <c r="L106" s="234" t="str" cm="1">
        <f t="array" ref="L106">IFERROR((SUMIFS(TM[[#All],[Total Truncated Expenses]],TM[[#All],[Reporting Year]],2021,TM[[#All],[Insurance Category Code]],6,TM[[#All],[Large Provider Entity Code]],100))/ICC6_MemberMonths_2021,"NA")</f>
        <v>NA</v>
      </c>
      <c r="M106" s="234" t="str" cm="1">
        <f t="array" ref="M106">IFERROR((SUMIFS(TM[[#All],[Total Truncated Expenses]],TM[[#All],[Reporting Year]],2022,TM[[#All],[Insurance Category Code]],6,TM[[#All],[Large Provider Entity Code]],100))/ICC6_MemberMonths_2022,"NA")</f>
        <v>NA</v>
      </c>
      <c r="N106" s="428" t="str">
        <f>IFERROR(Table911121518[[#This Row],[2022]]/Table911121518[[#This Row],[2021]]-1,"NA")</f>
        <v>NA</v>
      </c>
      <c r="O106" s="559"/>
      <c r="P106" s="559"/>
      <c r="Q106" s="559"/>
      <c r="R106" s="559"/>
      <c r="S106" s="559"/>
    </row>
    <row r="108" spans="1:19" x14ac:dyDescent="0.25">
      <c r="A108" s="155"/>
      <c r="F108" s="155"/>
    </row>
  </sheetData>
  <mergeCells count="31">
    <mergeCell ref="F21:I21"/>
    <mergeCell ref="A2:N2"/>
    <mergeCell ref="F79:I79"/>
    <mergeCell ref="A79:D79"/>
    <mergeCell ref="F50:I50"/>
    <mergeCell ref="A50:D50"/>
    <mergeCell ref="A21:D21"/>
    <mergeCell ref="A6:D6"/>
    <mergeCell ref="A22:D22"/>
    <mergeCell ref="F22:I22"/>
    <mergeCell ref="K22:N22"/>
    <mergeCell ref="A51:D51"/>
    <mergeCell ref="F51:I51"/>
    <mergeCell ref="K51:N51"/>
    <mergeCell ref="K6:N6"/>
    <mergeCell ref="A81:D81"/>
    <mergeCell ref="F81:I81"/>
    <mergeCell ref="K81:N81"/>
    <mergeCell ref="P51:S51"/>
    <mergeCell ref="P22:S22"/>
    <mergeCell ref="K80:N80"/>
    <mergeCell ref="A80:D80"/>
    <mergeCell ref="F80:I80"/>
    <mergeCell ref="A23:D23"/>
    <mergeCell ref="F23:I23"/>
    <mergeCell ref="K23:N23"/>
    <mergeCell ref="P23:S23"/>
    <mergeCell ref="A52:D52"/>
    <mergeCell ref="F52:I52"/>
    <mergeCell ref="K52:N52"/>
    <mergeCell ref="P52:S52"/>
  </mergeCells>
  <conditionalFormatting sqref="S83:S105 N83:N106 I83:I106 D83:D106 D54:D77 I54:I77 S25:S48 I25:I48 D8:D19 I8:I19 N8 D25:D48 N54:N77 N25:N48 S54:S77 N12 N15 N19">
    <cfRule type="cellIs" dxfId="373" priority="4" operator="equal">
      <formula>"NA"</formula>
    </cfRule>
  </conditionalFormatting>
  <conditionalFormatting sqref="S25:S33 S36 S39:S45 N39:N45 N36 N25:N33 I25:I33 I36 I39:I45 D39:D45 D36 D25:D33 D54:D62 D65 D68:D74 I68:I74 I65 I54:I62 N68:N74 N65 N54:N62 S68:S74 S54:S63 N97:N103 N94 N83:N91 I97:I103 I94 I83:I91 D97:D103 D94 D83:D91">
    <cfRule type="cellIs" dxfId="372" priority="29" operator="greaterThan">
      <formula>0.3</formula>
    </cfRule>
  </conditionalFormatting>
  <conditionalFormatting sqref="Q35:R35 Q64 L64:M64 G64:H64 B64:C64 B93:C93 G93:H93 L93:M93 L35:M35 G35:H35 B35:C35 R64">
    <cfRule type="cellIs" dxfId="371" priority="9" operator="greaterThan">
      <formula>1</formula>
    </cfRule>
  </conditionalFormatting>
  <conditionalFormatting sqref="D12 D15 D8">
    <cfRule type="cellIs" dxfId="370" priority="7" operator="greaterThan">
      <formula>0.1</formula>
    </cfRule>
    <cfRule type="cellIs" dxfId="369" priority="23" operator="lessThan">
      <formula>-0.1</formula>
    </cfRule>
  </conditionalFormatting>
  <conditionalFormatting sqref="S25:S33 S36 S39:S45 N39:N45 N36 N25:N33 I25:I33 I36 I39:I45 D39:D45 D36 D25:D33 D54:D62 D65 D68:D74 I68:I74 I65 I54:I62 N68:N74 N65 N54:N62 S68:S74 S54:S63 N97:N103 N94 N83:N91 I97:I103 I94 I83:I91 D97:D103 D94 D83:D91">
    <cfRule type="cellIs" dxfId="368" priority="28" operator="lessThan">
      <formula>-0.3</formula>
    </cfRule>
  </conditionalFormatting>
  <conditionalFormatting sqref="N8:N18 I37:I38 I46:I48 N37:N38 N46:N48 S37:S38 S46:S48 S66:S67 S75:S77 N75:N77 N66:N67 I66:I67 I75:I77 D66:D67 D75:D77 D95:D96 D104:D106 I95:I96 I104:I106 N95:N96 N104:N106">
    <cfRule type="cellIs" dxfId="367" priority="5" operator="lessThan">
      <formula>-0.1</formula>
    </cfRule>
    <cfRule type="cellIs" dxfId="366" priority="30" operator="greaterThan">
      <formula>0.1</formula>
    </cfRule>
  </conditionalFormatting>
  <pageMargins left="0.7" right="0.7" top="0.75" bottom="0.75" header="0.3" footer="0.3"/>
  <pageSetup scale="16" orientation="landscape" r:id="rId1"/>
  <headerFooter>
    <oddFooter>&amp;L&amp;"-,Bold"Carrier Benchmark Data Submission Template&amp;"-,Regular" | NJ Hart Program&amp;RPage &amp;P</oddFooter>
  </headerFooter>
  <ignoredErrors>
    <ignoredError sqref="S35 N75" calculatedColumn="1"/>
  </ignoredErrors>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57B6E-D839-4435-80EC-B553F85D01F1}">
  <sheetPr>
    <tabColor theme="8" tint="0.39997558519241921"/>
    <pageSetUpPr fitToPage="1"/>
  </sheetPr>
  <dimension ref="A1:S108"/>
  <sheetViews>
    <sheetView showGridLines="0" topLeftCell="B25" zoomScale="40" zoomScaleNormal="40" workbookViewId="0">
      <selection activeCell="M12" sqref="M12"/>
    </sheetView>
  </sheetViews>
  <sheetFormatPr defaultColWidth="8.85546875" defaultRowHeight="15" x14ac:dyDescent="0.25"/>
  <cols>
    <col min="1" max="1" width="82.7109375" style="11" customWidth="1"/>
    <col min="2" max="4" width="30.7109375" style="11" customWidth="1"/>
    <col min="5" max="5" width="10.7109375" style="11" customWidth="1"/>
    <col min="6" max="6" width="82.7109375" style="11" customWidth="1"/>
    <col min="7" max="9" width="30.7109375" style="11" customWidth="1"/>
    <col min="10" max="10" width="10.7109375" style="11" customWidth="1"/>
    <col min="11" max="11" width="82.7109375" style="11" customWidth="1"/>
    <col min="12" max="14" width="30.7109375" style="11" customWidth="1"/>
    <col min="15" max="15" width="10.7109375" style="11" customWidth="1"/>
    <col min="16" max="16" width="82.7109375" style="11" customWidth="1"/>
    <col min="17" max="19" width="30.7109375" style="11" customWidth="1"/>
    <col min="20" max="16384" width="8.85546875" style="11"/>
  </cols>
  <sheetData>
    <row r="1" spans="1:19" ht="18.75" x14ac:dyDescent="0.3">
      <c r="A1" s="5" t="s">
        <v>45</v>
      </c>
      <c r="B1"/>
      <c r="C1"/>
      <c r="D1"/>
      <c r="E1"/>
      <c r="F1"/>
      <c r="G1"/>
      <c r="H1"/>
      <c r="I1"/>
      <c r="J1"/>
      <c r="K1"/>
      <c r="L1"/>
      <c r="M1"/>
      <c r="N1"/>
      <c r="O1"/>
      <c r="P1"/>
      <c r="Q1"/>
      <c r="R1"/>
      <c r="S1"/>
    </row>
    <row r="2" spans="1:19" ht="15.75" x14ac:dyDescent="0.25">
      <c r="A2" s="694" t="s">
        <v>510</v>
      </c>
      <c r="B2" s="694"/>
      <c r="C2" s="694"/>
      <c r="D2" s="694"/>
      <c r="E2" s="694"/>
      <c r="F2" s="694"/>
      <c r="G2" s="694"/>
      <c r="H2" s="694"/>
      <c r="I2" s="694"/>
      <c r="J2" s="694"/>
      <c r="K2" s="694"/>
      <c r="L2" s="694"/>
      <c r="M2" s="694"/>
      <c r="N2" s="694"/>
      <c r="O2"/>
      <c r="P2"/>
      <c r="Q2"/>
      <c r="R2"/>
      <c r="S2"/>
    </row>
    <row r="3" spans="1:19" ht="15.75" x14ac:dyDescent="0.25">
      <c r="A3"/>
      <c r="B3" s="558"/>
      <c r="C3" s="558"/>
      <c r="D3" s="558"/>
      <c r="E3" s="558"/>
      <c r="F3" s="558"/>
      <c r="G3" s="558"/>
      <c r="H3" s="558"/>
      <c r="I3" s="558"/>
      <c r="J3" s="558"/>
      <c r="K3" s="558"/>
      <c r="L3" s="558"/>
      <c r="M3" s="558"/>
      <c r="N3" s="558"/>
      <c r="O3" s="558"/>
      <c r="P3" s="558"/>
      <c r="Q3"/>
      <c r="R3"/>
      <c r="S3"/>
    </row>
    <row r="4" spans="1:19" ht="12.75" customHeight="1" x14ac:dyDescent="0.25">
      <c r="A4"/>
      <c r="B4"/>
      <c r="C4"/>
      <c r="D4"/>
      <c r="E4"/>
      <c r="F4"/>
      <c r="G4"/>
      <c r="H4"/>
      <c r="I4"/>
      <c r="J4"/>
      <c r="K4"/>
      <c r="L4"/>
      <c r="M4"/>
      <c r="N4"/>
      <c r="O4"/>
      <c r="P4"/>
      <c r="Q4"/>
      <c r="R4"/>
      <c r="S4"/>
    </row>
    <row r="5" spans="1:19" x14ac:dyDescent="0.25">
      <c r="A5" s="3" t="s">
        <v>511</v>
      </c>
      <c r="B5" s="48"/>
      <c r="C5" s="48"/>
      <c r="D5" s="48"/>
      <c r="E5" s="48"/>
      <c r="F5" s="3" t="s">
        <v>578</v>
      </c>
      <c r="G5" s="3"/>
      <c r="H5" s="3"/>
      <c r="I5" s="3"/>
      <c r="J5" s="48"/>
      <c r="K5" s="3" t="s">
        <v>579</v>
      </c>
      <c r="L5" s="3"/>
      <c r="M5" s="3"/>
      <c r="N5" s="3"/>
      <c r="O5" s="48"/>
      <c r="P5" s="48"/>
      <c r="Q5" s="48"/>
      <c r="R5" s="48"/>
      <c r="S5" s="48"/>
    </row>
    <row r="6" spans="1:19" ht="30" customHeight="1" x14ac:dyDescent="0.25">
      <c r="A6" s="685" t="s">
        <v>512</v>
      </c>
      <c r="B6" s="685"/>
      <c r="C6" s="685"/>
      <c r="D6" s="685"/>
      <c r="E6"/>
      <c r="F6"/>
      <c r="G6"/>
      <c r="H6"/>
      <c r="I6"/>
      <c r="J6" s="48"/>
      <c r="K6" s="685" t="s">
        <v>580</v>
      </c>
      <c r="L6" s="685"/>
      <c r="M6" s="685"/>
      <c r="N6" s="685"/>
      <c r="O6" s="48"/>
      <c r="P6" s="48"/>
      <c r="Q6" s="48"/>
      <c r="R6" s="48"/>
      <c r="S6" s="48"/>
    </row>
    <row r="7" spans="1:19" x14ac:dyDescent="0.25">
      <c r="A7" s="98" t="s">
        <v>513</v>
      </c>
      <c r="B7" s="99" t="s">
        <v>515</v>
      </c>
      <c r="C7" s="100" t="s">
        <v>605</v>
      </c>
      <c r="D7" s="101" t="s">
        <v>516</v>
      </c>
      <c r="E7"/>
      <c r="F7" s="98" t="s">
        <v>513</v>
      </c>
      <c r="G7" s="99" t="s">
        <v>515</v>
      </c>
      <c r="H7" s="100" t="s">
        <v>605</v>
      </c>
      <c r="I7" s="101" t="s">
        <v>516</v>
      </c>
      <c r="J7" s="48"/>
      <c r="K7" s="98" t="s">
        <v>513</v>
      </c>
      <c r="L7" s="99" t="s">
        <v>515</v>
      </c>
      <c r="M7" s="100" t="s">
        <v>605</v>
      </c>
      <c r="N7" s="101" t="s">
        <v>516</v>
      </c>
      <c r="O7" s="48"/>
      <c r="P7" s="48"/>
      <c r="Q7" s="48"/>
      <c r="R7" s="48"/>
      <c r="S7" s="48"/>
    </row>
    <row r="8" spans="1:19" x14ac:dyDescent="0.25">
      <c r="A8" s="157" t="s">
        <v>517</v>
      </c>
      <c r="B8" s="158">
        <f>SUM(B9:B11)</f>
        <v>0</v>
      </c>
      <c r="C8" s="158">
        <f>SUM(C9:C11)</f>
        <v>0</v>
      </c>
      <c r="D8" s="162" t="str">
        <f>IFERROR(Table147[[#This Row],[2023]]/Table147[[#This Row],[2022]]-1,"NA")</f>
        <v>NA</v>
      </c>
      <c r="E8"/>
      <c r="F8" s="157" t="s">
        <v>517</v>
      </c>
      <c r="G8" s="161">
        <f>SUM(G9:G11)</f>
        <v>0</v>
      </c>
      <c r="H8" s="161">
        <f>SUM(H9:H11)</f>
        <v>0</v>
      </c>
      <c r="I8" s="159" t="str">
        <f>IFERROR(Table174159[[#This Row],[2023]]/Table174159[[#This Row],[2022]]-1,"NA")</f>
        <v>NA</v>
      </c>
      <c r="J8" s="48"/>
      <c r="K8" s="157" t="s">
        <v>517</v>
      </c>
      <c r="L8" s="161" t="str">
        <f>IFERROR(Table174159[[#This Row],[2022]]/Table147[[#This Row],[2022]],"NA")</f>
        <v>NA</v>
      </c>
      <c r="M8" s="161" t="str">
        <f>IFERROR(Table174159[[#This Row],[2023]]/Table147[[#This Row],[2023]],"NA")</f>
        <v>NA</v>
      </c>
      <c r="N8" s="162" t="str">
        <f>IFERROR(Table1784260[[#This Row],[2023]]/Table1784260[[#This Row],[2022]]-1,"NA")</f>
        <v>NA</v>
      </c>
      <c r="O8" s="48"/>
      <c r="P8" s="48"/>
      <c r="Q8" s="48"/>
      <c r="R8" s="48"/>
      <c r="S8" s="48"/>
    </row>
    <row r="9" spans="1:19" x14ac:dyDescent="0.25">
      <c r="A9" s="128" t="s">
        <v>518</v>
      </c>
      <c r="B9" s="102">
        <f>SUMIFS(TM[[#All],[Member Months]],TM[[#All],[Reporting Year]],Table147[[#Headers],[2022]],TM[[#All],[Insurance Category Code]],1,TM[[#All],[Large Provider Entity Code]],100)</f>
        <v>0</v>
      </c>
      <c r="C9" s="102">
        <f>SUMIFS(TM[[#All],[Member Months]],TM[[#All],[Reporting Year]],Table147[[#Headers],[2023]],TM[[#All],[Insurance Category Code]],1,TM[[#All],[Large Provider Entity Code]],100)</f>
        <v>0</v>
      </c>
      <c r="D9" s="106" t="str">
        <f>IFERROR(Table147[[#This Row],[2023]]/Table147[[#This Row],[2022]]-1,"NA")</f>
        <v>NA</v>
      </c>
      <c r="E9"/>
      <c r="F9" s="128" t="s">
        <v>518</v>
      </c>
      <c r="G9" s="94">
        <f>SUMIFS(TM[[#All],[Total Truncated Expenses]],TM[[#All],[Reporting Year]],Table174159[[#Headers],[2022]],TM[[#All],[Insurance Category Code]],1,TM[[#All],[Large Provider Entity Code]],100)</f>
        <v>0</v>
      </c>
      <c r="H9" s="94">
        <f>SUMIFS(TM[[#All],[Total Truncated Expenses]],TM[[#All],[Reporting Year]],Table174159[[#Headers],[2023]],TM[[#All],[Insurance Category Code]],1,TM[[#All],[Large Provider Entity Code]],100)</f>
        <v>0</v>
      </c>
      <c r="I9" s="103" t="str">
        <f>IFERROR(Table174159[[#This Row],[2023]]/Table174159[[#This Row],[2022]]-1,"NA")</f>
        <v>NA</v>
      </c>
      <c r="J9" s="48"/>
      <c r="K9" s="128" t="s">
        <v>518</v>
      </c>
      <c r="L9" s="94" t="str">
        <f>IFERROR(Table174159[[#This Row],[2022]]/Table147[[#This Row],[2022]],"NA")</f>
        <v>NA</v>
      </c>
      <c r="M9" s="500" t="str">
        <f>IFERROR(Table174159[[#This Row],[2023]]/Table147[[#This Row],[2023]],"NA")</f>
        <v>NA</v>
      </c>
      <c r="N9" s="561" t="str">
        <f>IFERROR(Table1784260[[#This Row],[2023]]/Table1784260[[#This Row],[2022]]-1,"NA")</f>
        <v>NA</v>
      </c>
      <c r="O9" s="48"/>
      <c r="P9" s="48"/>
      <c r="Q9" s="48"/>
      <c r="R9" s="48"/>
      <c r="S9" s="48"/>
    </row>
    <row r="10" spans="1:19" x14ac:dyDescent="0.25">
      <c r="A10" s="128" t="s">
        <v>519</v>
      </c>
      <c r="B10" s="102">
        <f>SUMIFS(TM[[#All],[Member Months]],TM[[#All],[Reporting Year]],Table147[[#Headers],[2022]],TM[[#All],[Insurance Category Code]],5,TM[[#All],[Large Provider Entity Code]],100)</f>
        <v>0</v>
      </c>
      <c r="C10" s="102">
        <f>SUMIFS(TM[[#All],[Member Months]],TM[[#All],[Reporting Year]],Table147[[#Headers],[2023]],TM[[#All],[Insurance Category Code]],5,TM[[#All],[Large Provider Entity Code]],100)</f>
        <v>0</v>
      </c>
      <c r="D10" s="106" t="str">
        <f>IFERROR(Table147[[#This Row],[2023]]/Table147[[#This Row],[2022]]-1,"NA")</f>
        <v>NA</v>
      </c>
      <c r="E10"/>
      <c r="F10" s="128" t="s">
        <v>519</v>
      </c>
      <c r="G10" s="94">
        <f>SUMIFS(TM[[#All],[Total Truncated Expenses]],TM[[#All],[Reporting Year]],Table174159[[#Headers],[2022]],TM[[#All],[Insurance Category Code]],5,TM[[#All],[Large Provider Entity Code]],100)</f>
        <v>0</v>
      </c>
      <c r="H10" s="94">
        <f>SUMIFS(TM[[#All],[Total Truncated Expenses]],TM[[#All],[Reporting Year]],Table174159[[#Headers],[2023]],TM[[#All],[Insurance Category Code]],5,TM[[#All],[Large Provider Entity Code]],100)</f>
        <v>0</v>
      </c>
      <c r="I10" s="103" t="str">
        <f>IFERROR(Table174159[[#This Row],[2023]]/Table174159[[#This Row],[2022]]-1,"NA")</f>
        <v>NA</v>
      </c>
      <c r="J10" s="48"/>
      <c r="K10" s="128" t="s">
        <v>519</v>
      </c>
      <c r="L10" s="94" t="str">
        <f>IFERROR(Table174159[[#This Row],[2022]]/Table147[[#This Row],[2022]],"NA")</f>
        <v>NA</v>
      </c>
      <c r="M10" s="500" t="str">
        <f>IFERROR(Table174159[[#This Row],[2023]]/Table147[[#This Row],[2023]],"NA")</f>
        <v>NA</v>
      </c>
      <c r="N10" s="561" t="str">
        <f>IFERROR(Table1784260[[#This Row],[2023]]/Table1784260[[#This Row],[2022]]-1,"NA")</f>
        <v>NA</v>
      </c>
      <c r="O10" s="48"/>
      <c r="P10" s="48"/>
      <c r="Q10" s="48"/>
      <c r="R10" s="48"/>
      <c r="S10" s="48"/>
    </row>
    <row r="11" spans="1:19" x14ac:dyDescent="0.25">
      <c r="A11" s="128" t="s">
        <v>520</v>
      </c>
      <c r="B11" s="102">
        <f>SUMIFS(TM[[#All],[Member Months]],TM[[#All],[Reporting Year]],Table147[[#Headers],[2022]],TM[[#All],[Insurance Category Code]],8,TM[[#All],[Large Provider Entity Code]],100)</f>
        <v>0</v>
      </c>
      <c r="C11" s="102">
        <f>SUMIFS(TM[[#All],[Member Months]],TM[[#All],[Reporting Year]],Table147[[#Headers],[2023]],TM[[#All],[Insurance Category Code]],8,TM[[#All],[Large Provider Entity Code]],100)</f>
        <v>0</v>
      </c>
      <c r="D11" s="106" t="str">
        <f>IFERROR(Table147[[#This Row],[2023]]/Table147[[#This Row],[2022]]-1,"NA")</f>
        <v>NA</v>
      </c>
      <c r="E11"/>
      <c r="F11" s="128" t="s">
        <v>520</v>
      </c>
      <c r="G11" s="94">
        <f>SUMIFS(TM[[#All],[Total Truncated Expenses]],TM[[#All],[Reporting Year]],Table174159[[#Headers],[2022]],TM[[#All],[Insurance Category Code]],8,TM[[#All],[Large Provider Entity Code]],100)</f>
        <v>0</v>
      </c>
      <c r="H11" s="94">
        <f>SUMIFS(TM[[#All],[Total Truncated Expenses]],TM[[#All],[Reporting Year]],Table174159[[#Headers],[2023]],TM[[#All],[Insurance Category Code]],8,TM[[#All],[Large Provider Entity Code]],100)</f>
        <v>0</v>
      </c>
      <c r="I11" s="103" t="str">
        <f>IFERROR(Table174159[[#This Row],[2023]]/Table174159[[#This Row],[2022]]-1,"NA")</f>
        <v>NA</v>
      </c>
      <c r="J11" s="48"/>
      <c r="K11" s="128" t="s">
        <v>520</v>
      </c>
      <c r="L11" s="94" t="str">
        <f>IFERROR(Table174159[[#This Row],[2022]]/Table147[[#This Row],[2022]],"NA")</f>
        <v>NA</v>
      </c>
      <c r="M11" s="500" t="str">
        <f>IFERROR(Table174159[[#This Row],[2023]]/Table147[[#This Row],[2023]],"NA")</f>
        <v>NA</v>
      </c>
      <c r="N11" s="561" t="str">
        <f>IFERROR(Table1784260[[#This Row],[2023]]/Table1784260[[#This Row],[2022]]-1,"NA")</f>
        <v>NA</v>
      </c>
      <c r="O11" s="48"/>
      <c r="P11" s="48"/>
      <c r="Q11" s="48"/>
      <c r="R11" s="48"/>
      <c r="S11" s="48"/>
    </row>
    <row r="12" spans="1:19" x14ac:dyDescent="0.25">
      <c r="A12" s="157" t="s">
        <v>521</v>
      </c>
      <c r="B12" s="158">
        <f>SUM(B13:B14)</f>
        <v>0</v>
      </c>
      <c r="C12" s="158">
        <f>SUM(C13:C14)</f>
        <v>0</v>
      </c>
      <c r="D12" s="436" t="str">
        <f>IFERROR(Table147[[#This Row],[2023]]/Table147[[#This Row],[2022]]-1,"NA")</f>
        <v>NA</v>
      </c>
      <c r="E12"/>
      <c r="F12" s="157" t="s">
        <v>521</v>
      </c>
      <c r="G12" s="161">
        <f>SUM(G13:G14)</f>
        <v>0</v>
      </c>
      <c r="H12" s="161">
        <f>SUM(H13:H14)</f>
        <v>0</v>
      </c>
      <c r="I12" s="159" t="str">
        <f>IFERROR(Table174159[[#This Row],[2023]]/Table174159[[#This Row],[2022]]-1,"NA")</f>
        <v>NA</v>
      </c>
      <c r="J12" s="48"/>
      <c r="K12" s="157" t="s">
        <v>521</v>
      </c>
      <c r="L12" s="161" t="str">
        <f>IFERROR(Table174159[[#This Row],[2022]]/Table147[[#This Row],[2022]],"NA")</f>
        <v>NA</v>
      </c>
      <c r="M12" s="161" t="str">
        <f>IFERROR(Table174159[[#This Row],[2023]]/Table147[[#This Row],[2023]],"NA")</f>
        <v>NA</v>
      </c>
      <c r="N12" s="436" t="str">
        <f>IFERROR(Table1784260[[#This Row],[2023]]/Table1784260[[#This Row],[2022]]-1,"NA")</f>
        <v>NA</v>
      </c>
      <c r="O12" s="48"/>
      <c r="P12" s="48"/>
      <c r="Q12" s="48"/>
      <c r="R12" s="48"/>
      <c r="S12" s="48"/>
    </row>
    <row r="13" spans="1:19" x14ac:dyDescent="0.25">
      <c r="A13" s="128" t="s">
        <v>522</v>
      </c>
      <c r="B13" s="102">
        <f>SUMIFS(TM[[#All],[Member Months]],TM[[#All],[Reporting Year]],Table147[[#Headers],[2022]],TM[[#All],[Insurance Category Code]],2,TM[[#All],[Large Provider Entity Code]],100)</f>
        <v>0</v>
      </c>
      <c r="C13" s="102">
        <f>SUMIFS(TM[[#All],[Member Months]],TM[[#All],[Reporting Year]],Table147[[#Headers],[2023]],TM[[#All],[Insurance Category Code]],2,TM[[#All],[Large Provider Entity Code]],100)</f>
        <v>0</v>
      </c>
      <c r="D13" s="106" t="str">
        <f>IFERROR(Table147[[#This Row],[2023]]/Table147[[#This Row],[2022]]-1,"NA")</f>
        <v>NA</v>
      </c>
      <c r="E13"/>
      <c r="F13" s="128" t="s">
        <v>522</v>
      </c>
      <c r="G13" s="94">
        <f>SUMIFS(TM[[#All],[Total Truncated Expenses]],TM[[#All],[Reporting Year]],Table174159[[#Headers],[2022]],TM[[#All],[Insurance Category Code]],2,TM[[#All],[Large Provider Entity Code]],100)</f>
        <v>0</v>
      </c>
      <c r="H13" s="94">
        <f>SUMIFS(TM[[#All],[Total Truncated Expenses]],TM[[#All],[Reporting Year]],Table174159[[#Headers],[2023]],TM[[#All],[Insurance Category Code]],2,TM[[#All],[Large Provider Entity Code]],100)</f>
        <v>0</v>
      </c>
      <c r="I13" s="103" t="str">
        <f>IFERROR(Table174159[[#This Row],[2023]]/Table174159[[#This Row],[2022]]-1,"NA")</f>
        <v>NA</v>
      </c>
      <c r="J13" s="48"/>
      <c r="K13" s="128" t="s">
        <v>522</v>
      </c>
      <c r="L13" s="94" t="str">
        <f>IFERROR(Table174159[[#This Row],[2022]]/Table147[[#This Row],[2022]],"NA")</f>
        <v>NA</v>
      </c>
      <c r="M13" s="500" t="str">
        <f>IFERROR(Table174159[[#This Row],[2023]]/Table147[[#This Row],[2023]],"NA")</f>
        <v>NA</v>
      </c>
      <c r="N13" s="561" t="str">
        <f>IFERROR(Table1784260[[#This Row],[2023]]/Table1784260[[#This Row],[2022]]-1,"NA")</f>
        <v>NA</v>
      </c>
      <c r="O13" s="48"/>
      <c r="P13" s="48"/>
      <c r="Q13" s="48"/>
      <c r="R13" s="48"/>
      <c r="S13" s="48"/>
    </row>
    <row r="14" spans="1:19" x14ac:dyDescent="0.25">
      <c r="A14" s="128" t="s">
        <v>523</v>
      </c>
      <c r="B14" s="102">
        <f>SUMIFS(TM[[#All],[Member Months]],TM[[#All],[Reporting Year]],Table147[[#Headers],[2022]],TM[[#All],[Insurance Category Code]],6,TM[[#All],[Large Provider Entity Code]],100)</f>
        <v>0</v>
      </c>
      <c r="C14" s="102">
        <f>SUMIFS(TM[[#All],[Member Months]],TM[[#All],[Reporting Year]],Table147[[#Headers],[2023]],TM[[#All],[Insurance Category Code]],6,TM[[#All],[Large Provider Entity Code]],100)</f>
        <v>0</v>
      </c>
      <c r="D14" s="106" t="str">
        <f>IFERROR(Table147[[#This Row],[2023]]/Table147[[#This Row],[2022]]-1,"NA")</f>
        <v>NA</v>
      </c>
      <c r="E14"/>
      <c r="F14" s="128" t="s">
        <v>523</v>
      </c>
      <c r="G14" s="94">
        <f>SUMIFS(TM[[#All],[Total Truncated Expenses]],TM[[#All],[Reporting Year]],Table174159[[#Headers],[2022]],TM[[#All],[Insurance Category Code]],6,TM[[#All],[Large Provider Entity Code]],100)</f>
        <v>0</v>
      </c>
      <c r="H14" s="94">
        <f>SUMIFS(TM[[#All],[Total Truncated Expenses]],TM[[#All],[Reporting Year]],Table174159[[#Headers],[2023]],TM[[#All],[Insurance Category Code]],6,TM[[#All],[Large Provider Entity Code]],100)</f>
        <v>0</v>
      </c>
      <c r="I14" s="103" t="str">
        <f>IFERROR(Table174159[[#This Row],[2023]]/Table174159[[#This Row],[2022]]-1,"NA")</f>
        <v>NA</v>
      </c>
      <c r="J14" s="48"/>
      <c r="K14" s="128" t="s">
        <v>523</v>
      </c>
      <c r="L14" s="94" t="str">
        <f>IFERROR(Table174159[[#This Row],[2022]]/Table147[[#This Row],[2022]],"NA")</f>
        <v>NA</v>
      </c>
      <c r="M14" s="500" t="str">
        <f>IFERROR(Table174159[[#This Row],[2023]]/Table147[[#This Row],[2023]],"NA")</f>
        <v>NA</v>
      </c>
      <c r="N14" s="561" t="str">
        <f>IFERROR(Table1784260[[#This Row],[2023]]/Table1784260[[#This Row],[2022]]-1,"NA")</f>
        <v>NA</v>
      </c>
      <c r="O14" s="48"/>
      <c r="P14" s="48"/>
      <c r="Q14" s="48"/>
      <c r="R14" s="48"/>
      <c r="S14" s="48"/>
    </row>
    <row r="15" spans="1:19" x14ac:dyDescent="0.25">
      <c r="A15" s="157" t="s">
        <v>524</v>
      </c>
      <c r="B15" s="160">
        <f>SUM(B16:B18)</f>
        <v>0</v>
      </c>
      <c r="C15" s="160">
        <f>SUM(C16:C18)</f>
        <v>0</v>
      </c>
      <c r="D15" s="436" t="str">
        <f>IFERROR(Table147[[#This Row],[2023]]/Table147[[#This Row],[2022]]-1,"NA")</f>
        <v>NA</v>
      </c>
      <c r="E15"/>
      <c r="F15" s="157" t="s">
        <v>524</v>
      </c>
      <c r="G15" s="161">
        <f>SUM(G16:G18)</f>
        <v>0</v>
      </c>
      <c r="H15" s="161">
        <f>SUM(H16:H18)</f>
        <v>0</v>
      </c>
      <c r="I15" s="159" t="str">
        <f>IFERROR(Table174159[[#This Row],[2023]]/Table174159[[#This Row],[2022]]-1,"NA")</f>
        <v>NA</v>
      </c>
      <c r="J15" s="48"/>
      <c r="K15" s="157" t="s">
        <v>524</v>
      </c>
      <c r="L15" s="502" t="str">
        <f>IFERROR(Table174159[[#This Row],[2022]]/Table147[[#This Row],[2022]],"NA")</f>
        <v>NA</v>
      </c>
      <c r="M15" s="161" t="str">
        <f>IFERROR(Table174159[[#This Row],[2023]]/Table147[[#This Row],[2023]],"NA")</f>
        <v>NA</v>
      </c>
      <c r="N15" s="436" t="str">
        <f>IFERROR(Table1784260[[#This Row],[2023]]/Table1784260[[#This Row],[2022]]-1,"NA")</f>
        <v>NA</v>
      </c>
      <c r="O15" s="48"/>
      <c r="P15" s="48"/>
      <c r="Q15" s="48"/>
      <c r="R15" s="48"/>
      <c r="S15" s="48"/>
    </row>
    <row r="16" spans="1:19" x14ac:dyDescent="0.25">
      <c r="A16" s="128" t="s">
        <v>525</v>
      </c>
      <c r="B16" s="102">
        <f>SUMIFS(TM[[#All],[Member Months]],TM[[#All],[Reporting Year]],Table147[[#Headers],[2022]],TM[[#All],[Insurance Category Code]],3,TM[[#All],[Large Provider Entity Code]],100)</f>
        <v>0</v>
      </c>
      <c r="C16" s="102">
        <f>SUMIFS(TM[[#All],[Member Months]],TM[[#All],[Reporting Year]],Table147[[#Headers],[2023]],TM[[#All],[Insurance Category Code]],3,TM[[#All],[Large Provider Entity Code]],100)</f>
        <v>0</v>
      </c>
      <c r="D16" s="106" t="str">
        <f>IFERROR(Table147[[#This Row],[2023]]/Table147[[#This Row],[2022]]-1,"NA")</f>
        <v>NA</v>
      </c>
      <c r="E16"/>
      <c r="F16" s="128" t="s">
        <v>525</v>
      </c>
      <c r="G16" s="94">
        <f>SUMIFS(TM[[#All],[Total Truncated Expenses]],TM[[#All],[Reporting Year]],Table174159[[#Headers],[2022]],TM[[#All],[Insurance Category Code]],3,TM[[#All],[Large Provider Entity Code]],100)</f>
        <v>0</v>
      </c>
      <c r="H16" s="94">
        <f>SUMIFS(TM[[#All],[Total Truncated Expenses]],TM[[#All],[Reporting Year]],Table174159[[#Headers],[2023]],TM[[#All],[Insurance Category Code]],3,TM[[#All],[Large Provider Entity Code]],100)</f>
        <v>0</v>
      </c>
      <c r="I16" s="103" t="str">
        <f>IFERROR(Table174159[[#This Row],[2023]]/Table174159[[#This Row],[2022]]-1,"NA")</f>
        <v>NA</v>
      </c>
      <c r="J16" s="48"/>
      <c r="K16" s="128" t="s">
        <v>525</v>
      </c>
      <c r="L16" s="94" t="str">
        <f>IFERROR(Table174159[[#This Row],[2022]]/Table147[[#This Row],[2022]],"NA")</f>
        <v>NA</v>
      </c>
      <c r="M16" s="500" t="str">
        <f>IFERROR(Table174159[[#This Row],[2023]]/Table147[[#This Row],[2023]],"NA")</f>
        <v>NA</v>
      </c>
      <c r="N16" s="561" t="str">
        <f>IFERROR(Table1784260[[#This Row],[2023]]/Table1784260[[#This Row],[2022]]-1,"NA")</f>
        <v>NA</v>
      </c>
      <c r="O16" s="48"/>
      <c r="P16" s="48"/>
      <c r="Q16" s="48"/>
      <c r="R16" s="48"/>
      <c r="S16" s="48"/>
    </row>
    <row r="17" spans="1:19" x14ac:dyDescent="0.25">
      <c r="A17" s="128" t="s">
        <v>526</v>
      </c>
      <c r="B17" s="102">
        <f>SUMIFS(TM[[#All],[Member Months]],TM[[#All],[Reporting Year]],Table147[[#Headers],[2022]],TM[[#All],[Insurance Category Code]],4,TM[[#All],[Large Provider Entity Code]],100)</f>
        <v>0</v>
      </c>
      <c r="C17" s="102">
        <f>SUMIFS(TM[[#All],[Member Months]],TM[[#All],[Reporting Year]],Table147[[#Headers],[2023]],TM[[#All],[Insurance Category Code]],4,TM[[#All],[Large Provider Entity Code]],100)</f>
        <v>0</v>
      </c>
      <c r="D17" s="106" t="str">
        <f>IFERROR(Table147[[#This Row],[2023]]/Table147[[#This Row],[2022]]-1,"NA")</f>
        <v>NA</v>
      </c>
      <c r="E17"/>
      <c r="F17" s="128" t="s">
        <v>526</v>
      </c>
      <c r="G17" s="94">
        <f>SUMIFS(TM[[#All],[Total Non-Truncated Claims and Non-Claims Spending]],TM[[#All],[Reporting Year]],Table174159[[#Headers],[2022]],TM[[#All],[Insurance Category Code]],4,TM[[#All],[Large Provider Entity Code]],100)</f>
        <v>0</v>
      </c>
      <c r="H17" s="94">
        <f>SUMIFS(TM[[#All],[Total Non-Truncated Claims and Non-Claims Spending]],TM[[#All],[Reporting Year]],Table174159[[#Headers],[2023]],TM[[#All],[Insurance Category Code]],4,TM[[#All],[Large Provider Entity Code]],100)</f>
        <v>0</v>
      </c>
      <c r="I17" s="103" t="str">
        <f>IFERROR(Table174159[[#This Row],[2023]]/Table174159[[#This Row],[2022]]-1,"NA")</f>
        <v>NA</v>
      </c>
      <c r="J17" s="48"/>
      <c r="K17" s="128" t="s">
        <v>526</v>
      </c>
      <c r="L17" s="94" t="str">
        <f>IFERROR(Table174159[[#This Row],[2022]]/Table147[[#This Row],[2022]],"NA")</f>
        <v>NA</v>
      </c>
      <c r="M17" s="500" t="str">
        <f>IFERROR(Table174159[[#This Row],[2023]]/Table147[[#This Row],[2023]],"NA")</f>
        <v>NA</v>
      </c>
      <c r="N17" s="561" t="str">
        <f>IFERROR(Table1784260[[#This Row],[2023]]/Table1784260[[#This Row],[2022]]-1,"NA")</f>
        <v>NA</v>
      </c>
      <c r="O17" s="48"/>
      <c r="P17" s="48"/>
      <c r="Q17" s="48"/>
      <c r="R17" s="48"/>
      <c r="S17" s="48"/>
    </row>
    <row r="18" spans="1:19" ht="15.75" thickBot="1" x14ac:dyDescent="0.3">
      <c r="A18" s="128" t="s">
        <v>527</v>
      </c>
      <c r="B18" s="104">
        <f>SUMIFS(TM[[#All],[Member Months]],TM[[#All],[Reporting Year]],Table147[[#Headers],[2022]],TM[[#All],[Insurance Category Code]],7,TM[[#All],[Large Provider Entity Code]],100)</f>
        <v>0</v>
      </c>
      <c r="C18" s="104">
        <f>SUMIFS(TM[[#All],[Member Months]],TM[[#All],[Reporting Year]],Table147[[#Headers],[2023]],TM[[#All],[Insurance Category Code]],7,TM[[#All],[Large Provider Entity Code]],100)</f>
        <v>0</v>
      </c>
      <c r="D18" s="106" t="str">
        <f>IFERROR(Table147[[#This Row],[2023]]/Table147[[#This Row],[2022]]-1,"NA")</f>
        <v>NA</v>
      </c>
      <c r="E18"/>
      <c r="F18" s="128" t="s">
        <v>527</v>
      </c>
      <c r="G18" s="499">
        <f>SUMIFS(TM[[#All],[Total Truncated Expenses]],TM[[#All],[Reporting Year]],Table174159[[#Headers],[2022]],TM[[#All],[Insurance Category Code]],7,TM[[#All],[Large Provider Entity Code]],100)</f>
        <v>0</v>
      </c>
      <c r="H18" s="499">
        <f>SUMIFS(TM[[#All],[Total Truncated Expenses]],TM[[#All],[Reporting Year]],Table174159[[#Headers],[2023]],TM[[#All],[Insurance Category Code]],7,TM[[#All],[Large Provider Entity Code]],100)</f>
        <v>0</v>
      </c>
      <c r="I18" s="103" t="str">
        <f>IFERROR(Table174159[[#This Row],[2023]]/Table174159[[#This Row],[2022]]-1,"NA")</f>
        <v>NA</v>
      </c>
      <c r="J18" s="48"/>
      <c r="K18" s="128" t="s">
        <v>527</v>
      </c>
      <c r="L18" s="499" t="str">
        <f>IFERROR(Table174159[[#This Row],[2022]]/Table147[[#This Row],[2022]],"NA")</f>
        <v>NA</v>
      </c>
      <c r="M18" s="501" t="str">
        <f>IFERROR(Table174159[[#This Row],[2023]]/Table147[[#This Row],[2023]],"NA")</f>
        <v>NA</v>
      </c>
      <c r="N18" s="561" t="str">
        <f>IFERROR(Table1784260[[#This Row],[2023]]/Table1784260[[#This Row],[2022]]-1,"NA")</f>
        <v>NA</v>
      </c>
      <c r="O18" s="48"/>
      <c r="P18" s="48"/>
      <c r="Q18" s="48"/>
      <c r="R18" s="48"/>
      <c r="S18" s="48"/>
    </row>
    <row r="19" spans="1:19" ht="15.75" thickTop="1" x14ac:dyDescent="0.25">
      <c r="A19" s="82" t="s">
        <v>528</v>
      </c>
      <c r="B19" s="105">
        <f>SUM(B8,B12,B15)</f>
        <v>0</v>
      </c>
      <c r="C19" s="105">
        <f>SUM(C8,C12,C15)</f>
        <v>0</v>
      </c>
      <c r="D19" s="437" t="str">
        <f>IFERROR(Table147[[#This Row],[2023]]/Table147[[#This Row],[2022]]-1,"NA")</f>
        <v>NA</v>
      </c>
      <c r="E19"/>
      <c r="F19" s="82" t="s">
        <v>528</v>
      </c>
      <c r="G19" s="107">
        <f>SUM(G15,G8,G12)</f>
        <v>0</v>
      </c>
      <c r="H19" s="107">
        <f>SUM(H15,H8,H12)</f>
        <v>0</v>
      </c>
      <c r="I19" s="108" t="str">
        <f>IFERROR(Table174159[[#This Row],[2023]]/Table174159[[#This Row],[2022]]-1,"NA")</f>
        <v>NA</v>
      </c>
      <c r="J19" s="48"/>
      <c r="K19" s="82" t="s">
        <v>528</v>
      </c>
      <c r="L19" s="107" t="str">
        <f>IFERROR(Table174159[[#This Row],[2022]]/B19,"NA")</f>
        <v>NA</v>
      </c>
      <c r="M19" s="107" t="str">
        <f>IFERROR(Table174159[[#This Row],[2023]]/Table147[[#This Row],[2023]],"NA")</f>
        <v>NA</v>
      </c>
      <c r="N19" s="437" t="str">
        <f>IFERROR(Table1784260[[#This Row],[2023]]/Table1784260[[#This Row],[2022]]-1,"NA")</f>
        <v>NA</v>
      </c>
      <c r="O19" s="48"/>
      <c r="P19" s="48"/>
      <c r="Q19" s="48"/>
      <c r="R19" s="48"/>
      <c r="S19" s="48"/>
    </row>
    <row r="20" spans="1:19" x14ac:dyDescent="0.25">
      <c r="A20" s="48"/>
      <c r="B20" s="48"/>
      <c r="C20" s="48"/>
      <c r="D20" s="48"/>
      <c r="E20"/>
      <c r="F20" s="48"/>
      <c r="G20" s="48"/>
      <c r="H20" s="48"/>
      <c r="I20" s="48"/>
      <c r="J20" s="48"/>
      <c r="K20" s="48"/>
      <c r="L20" s="48"/>
      <c r="M20" s="48"/>
      <c r="N20" s="48"/>
      <c r="O20" s="48"/>
      <c r="P20" s="48"/>
      <c r="Q20" s="48"/>
      <c r="R20" s="48"/>
      <c r="S20" s="48"/>
    </row>
    <row r="21" spans="1:19" x14ac:dyDescent="0.25">
      <c r="A21" s="693" t="s">
        <v>529</v>
      </c>
      <c r="B21" s="693"/>
      <c r="C21" s="693"/>
      <c r="D21" s="693"/>
      <c r="E21" s="48"/>
      <c r="F21" s="693" t="s">
        <v>530</v>
      </c>
      <c r="G21" s="693"/>
      <c r="H21" s="693"/>
      <c r="I21" s="693"/>
      <c r="J21" s="48"/>
      <c r="K21" s="3" t="s">
        <v>531</v>
      </c>
      <c r="L21" s="3"/>
      <c r="M21" s="3"/>
      <c r="N21" s="3"/>
      <c r="O21"/>
      <c r="P21" s="3" t="s">
        <v>532</v>
      </c>
      <c r="Q21" s="3"/>
      <c r="R21" s="3"/>
      <c r="S21" s="3"/>
    </row>
    <row r="22" spans="1:19" ht="30" customHeight="1" x14ac:dyDescent="0.25">
      <c r="A22" s="685" t="s">
        <v>416</v>
      </c>
      <c r="B22" s="685"/>
      <c r="C22" s="685"/>
      <c r="D22" s="685"/>
      <c r="E22"/>
      <c r="F22" s="685" t="s">
        <v>416</v>
      </c>
      <c r="G22" s="685"/>
      <c r="H22" s="685"/>
      <c r="I22" s="685"/>
      <c r="J22"/>
      <c r="K22" s="685" t="s">
        <v>416</v>
      </c>
      <c r="L22" s="685"/>
      <c r="M22" s="685"/>
      <c r="N22" s="685"/>
      <c r="O22"/>
      <c r="P22" s="685" t="s">
        <v>416</v>
      </c>
      <c r="Q22" s="685"/>
      <c r="R22" s="685"/>
      <c r="S22" s="685"/>
    </row>
    <row r="23" spans="1:19" ht="45" customHeight="1" x14ac:dyDescent="0.25">
      <c r="A23" s="686" t="s">
        <v>587</v>
      </c>
      <c r="B23" s="686"/>
      <c r="C23" s="686"/>
      <c r="D23" s="686"/>
      <c r="E23"/>
      <c r="F23" s="686" t="s">
        <v>587</v>
      </c>
      <c r="G23" s="686"/>
      <c r="H23" s="686"/>
      <c r="I23" s="686"/>
      <c r="J23"/>
      <c r="K23" s="686" t="s">
        <v>587</v>
      </c>
      <c r="L23" s="686"/>
      <c r="M23" s="686"/>
      <c r="N23" s="686"/>
      <c r="O23"/>
      <c r="P23" s="686" t="s">
        <v>587</v>
      </c>
      <c r="Q23" s="686"/>
      <c r="R23" s="686"/>
      <c r="S23" s="686"/>
    </row>
    <row r="24" spans="1:19" ht="15.75" thickBot="1" x14ac:dyDescent="0.3">
      <c r="A24" s="109" t="s">
        <v>533</v>
      </c>
      <c r="B24" s="99" t="s">
        <v>515</v>
      </c>
      <c r="C24" s="100" t="s">
        <v>605</v>
      </c>
      <c r="D24" s="101" t="s">
        <v>516</v>
      </c>
      <c r="E24" s="48"/>
      <c r="F24" s="110" t="s">
        <v>533</v>
      </c>
      <c r="G24" s="111" t="s">
        <v>515</v>
      </c>
      <c r="H24" s="112" t="s">
        <v>605</v>
      </c>
      <c r="I24" s="113" t="s">
        <v>516</v>
      </c>
      <c r="J24" s="48"/>
      <c r="K24" s="109" t="s">
        <v>533</v>
      </c>
      <c r="L24" s="99" t="s">
        <v>515</v>
      </c>
      <c r="M24" s="100" t="s">
        <v>605</v>
      </c>
      <c r="N24" s="101" t="s">
        <v>516</v>
      </c>
      <c r="O24"/>
      <c r="P24" s="109" t="s">
        <v>533</v>
      </c>
      <c r="Q24" s="99" t="s">
        <v>515</v>
      </c>
      <c r="R24" s="100" t="s">
        <v>605</v>
      </c>
      <c r="S24" s="101" t="s">
        <v>516</v>
      </c>
    </row>
    <row r="25" spans="1:19" x14ac:dyDescent="0.25">
      <c r="A25" s="136" t="s">
        <v>577</v>
      </c>
      <c r="B25" s="137">
        <f>SUM(G25,L25, Q25)</f>
        <v>0</v>
      </c>
      <c r="C25" s="137">
        <f>SUM(H25,M25,R25)</f>
        <v>0</v>
      </c>
      <c r="D25" s="423" t="str">
        <f>IFERROR(Table948[[#This Row],[2023]]/Table948[[#This Row],[2022]]-1,"NA")</f>
        <v>NA</v>
      </c>
      <c r="E25" s="2"/>
      <c r="F25" s="136" t="s">
        <v>577</v>
      </c>
      <c r="G25" s="138">
        <f>SUMIFS(TM[[#All],[Member Months]],TM[[#All],[Reporting Year]],2022,TM[[#All],[Insurance Category Code]],3,TM[[#All],[Large Provider Entity Code]],100)</f>
        <v>0</v>
      </c>
      <c r="H25" s="138">
        <f>SUMIFS(TM[[#All],[Member Months]],TM[[#All],[Reporting Year]],2023,TM[[#All],[Insurance Category Code]],3,TM[[#All],[Large Provider Entity Code]],100)</f>
        <v>0</v>
      </c>
      <c r="I25" s="422" t="str">
        <f>IFERROR(Table91149[[#This Row],[2023]]/Table91149[[#This Row],[2022]]-1,"NA")</f>
        <v>NA</v>
      </c>
      <c r="J25"/>
      <c r="K25" s="136" t="s">
        <v>577</v>
      </c>
      <c r="L25" s="137">
        <f>SUMIFS(TM[[#All],[Member Months]],TM[[#All],[Reporting Year]],2022,TM[[#All],[Insurance Category Code]],4,TM[[#All],[Large Provider Entity Code]],100)</f>
        <v>0</v>
      </c>
      <c r="M25" s="137">
        <f>SUMIFS(TM[[#All],[Member Months]],TM[[#All],[Reporting Year]],2023,TM[[#All],[Insurance Category Code]],4,TM[[#All],[Large Provider Entity Code]],100)</f>
        <v>0</v>
      </c>
      <c r="N25" s="423" t="str">
        <f>IFERROR(M25/L25-1,"NA")</f>
        <v>NA</v>
      </c>
      <c r="O25"/>
      <c r="P25" s="136" t="s">
        <v>577</v>
      </c>
      <c r="Q25" s="137">
        <f>SUMIFS(TM[[#All],[Member Months]],TM[[#All],[Reporting Year]],2022,TM[[#All],[Insurance Category Code]],7,TM[[#All],[Large Provider Entity Code]],100)</f>
        <v>0</v>
      </c>
      <c r="R25" s="137">
        <f>SUMIFS(TM[[#All],[Member Months]],TM[[#All],[Reporting Year]],2023,TM[[#All],[Insurance Category Code]],7,TM[[#All],[Large Provider Entity Code]],100)</f>
        <v>0</v>
      </c>
      <c r="S25" s="423" t="str">
        <f>IFERROR(Table911122757[[#This Row],[2023]]/Table911122757[[#This Row],[2022]]-1,"NA")</f>
        <v>NA</v>
      </c>
    </row>
    <row r="26" spans="1:19" x14ac:dyDescent="0.25">
      <c r="A26" s="139" t="s">
        <v>582</v>
      </c>
      <c r="B26" s="7" t="str">
        <f t="shared" ref="B26:B34" si="0">IFERROR((SUMPRODUCT(ICC3_MemberMonths_2022,G26)+SUMPRODUCT(ICC4_MemberMonths_2022,L26)+SUMPRODUCT(ICC7_MemberMonths_2022,Q26))/Commercial_MemberMonths_2022,"NA")</f>
        <v>NA</v>
      </c>
      <c r="C26" s="7" t="str">
        <f>IFERROR((SUMPRODUCT(H25,H26)+SUMPRODUCT(ICC4_MemberMonths_2023,M26)+SUMPRODUCT(ICC7_MemberMonths_2023,R26))/Commercial_MemberMonths_2023,"NA")</f>
        <v>NA</v>
      </c>
      <c r="D26" s="423" t="str">
        <f>IFERROR(Table948[[#This Row],[2023]]/Table948[[#This Row],[2022]]-1,"NA")</f>
        <v>NA</v>
      </c>
      <c r="E26"/>
      <c r="F26" s="139" t="s">
        <v>582</v>
      </c>
      <c r="G26" s="7" t="str">
        <f>IFERROR((SUMIFS(TM[[#All],[Claims: Hospital Inpatient]],TM[[#All],[Reporting Year]],2022,TM[[#All],[Insurance Category Code]],3,TM[[#All],[Large Provider Entity Code]],100))/ICC3_MemberMonths_2022,"NA")</f>
        <v>NA</v>
      </c>
      <c r="H26" s="7" t="str">
        <f>IFERROR((SUMIFS(TM[[#All],[Claims: Hospital Inpatient]],TM[[#All],[Reporting Year]],2023,TM[[#All],[Insurance Category Code]],3,TM[[#All],[Large Provider Entity Code]],100))/H25,"NA")</f>
        <v>NA</v>
      </c>
      <c r="I26" s="423" t="str">
        <f>IFERROR(Table91149[[#This Row],[2023]]/Table91149[[#This Row],[2022]]-1,"NA")</f>
        <v>NA</v>
      </c>
      <c r="J26"/>
      <c r="K26" s="139" t="s">
        <v>582</v>
      </c>
      <c r="L26" s="7" t="str">
        <f>IFERROR((SUMIFS(TM[[#All],[Claims: Hospital Inpatient]],TM[[#All],[Reporting Year]],2022,TM[[#All],[Insurance Category Code]],4,TM[[#All],[Large Provider Entity Code]],100))/ICC4_MemberMonths_2022,"NA")</f>
        <v>NA</v>
      </c>
      <c r="M26" s="7" t="str">
        <f>IFERROR((SUMIFS(TM[[#All],[Claims: Hospital Inpatient]],TM[[#All],[Reporting Year]],2023,TM[[#All],[Insurance Category Code]],4,TM[[#All],[Large Provider Entity Code]],100))/ICC4_MemberMonths_2023,"NA")</f>
        <v>NA</v>
      </c>
      <c r="N26" s="423" t="str">
        <f t="shared" ref="N26:N30" si="1">IFERROR(M26/L26-1,"NA")</f>
        <v>NA</v>
      </c>
      <c r="O26"/>
      <c r="P26" s="139" t="s">
        <v>582</v>
      </c>
      <c r="Q26" s="7" t="str">
        <f>IFERROR((SUMIFS(TM[[#All],[Claims: Hospital Inpatient]],TM[[#All],[Reporting Year]],2022,TM[[#All],[Insurance Category Code]],7,TM[[#All],[Large Provider Entity Code]],100))/ICC7_MemberMonths_2022,"NA")</f>
        <v>NA</v>
      </c>
      <c r="R26" s="7" t="str">
        <f>IFERROR((SUMIFS(TM[[#All],[Claims: Hospital Inpatient]],TM[[#All],[Reporting Year]],2023,TM[[#All],[Insurance Category Code]],7,TM[[#All],[Large Provider Entity Code]],100))/ICC7_MemberMonths_2023,"NA")</f>
        <v>NA</v>
      </c>
      <c r="S26" s="423" t="str">
        <f>IFERROR(Table911122757[[#This Row],[2023]]/Table911122757[[#This Row],[2022]]-1,"NA")</f>
        <v>NA</v>
      </c>
    </row>
    <row r="27" spans="1:19" x14ac:dyDescent="0.25">
      <c r="A27" s="139" t="s">
        <v>583</v>
      </c>
      <c r="B27" s="7" t="str">
        <f t="shared" si="0"/>
        <v>NA</v>
      </c>
      <c r="C27" s="7" t="str">
        <f>IFERROR((SUMPRODUCT(H25,H27)+SUMPRODUCT(ICC4_MemberMonths_2023,M27)+SUMPRODUCT(ICC7_MemberMonths_2023,R27))/Commercial_MemberMonths_2023,"NA")</f>
        <v>NA</v>
      </c>
      <c r="D27" s="423" t="str">
        <f>IFERROR(Table948[[#This Row],[2023]]/Table948[[#This Row],[2022]]-1,"NA")</f>
        <v>NA</v>
      </c>
      <c r="E27"/>
      <c r="F27" s="139" t="s">
        <v>583</v>
      </c>
      <c r="G27" s="7" t="str">
        <f>IFERROR((SUMIFS(TM[[#All],[Claims: Hospital Outpatient]],TM[[#All],[Reporting Year]],2022,TM[[#All],[Insurance Category Code]],3,TM[[#All],[Large Provider Entity Code]],100))/ICC3_MemberMonths_2022,"NA")</f>
        <v>NA</v>
      </c>
      <c r="H27" s="7" t="str">
        <f>IFERROR((SUMIFS(TM[[#All],[Claims: Hospital Outpatient]],TM[[#All],[Reporting Year]],2023,TM[[#All],[Insurance Category Code]],3,TM[[#All],[Large Provider Entity Code]],100))/H25,"NA")</f>
        <v>NA</v>
      </c>
      <c r="I27" s="423" t="str">
        <f>IFERROR(Table91149[[#This Row],[2023]]/Table91149[[#This Row],[2022]]-1,"NA")</f>
        <v>NA</v>
      </c>
      <c r="J27"/>
      <c r="K27" s="139" t="s">
        <v>583</v>
      </c>
      <c r="L27" s="7" t="str">
        <f>IFERROR((SUMIFS(TM[[#All],[Claims: Hospital Outpatient]],TM[[#All],[Reporting Year]],2022,TM[[#All],[Insurance Category Code]],4,TM[[#All],[Large Provider Entity Code]],100))/ICC4_MemberMonths_2022,"NA")</f>
        <v>NA</v>
      </c>
      <c r="M27" s="7" t="str">
        <f>IFERROR((SUMIFS(TM[[#All],[Claims: Hospital Outpatient]],TM[[#All],[Reporting Year]],2023,TM[[#All],[Insurance Category Code]],4,TM[[#All],[Large Provider Entity Code]],100))/ICC4_MemberMonths_2023,"NA")</f>
        <v>NA</v>
      </c>
      <c r="N27" s="423" t="str">
        <f t="shared" si="1"/>
        <v>NA</v>
      </c>
      <c r="O27"/>
      <c r="P27" s="139" t="s">
        <v>583</v>
      </c>
      <c r="Q27" s="7" t="str">
        <f>IFERROR((SUMIFS(TM[[#All],[Claims: Hospital Outpatient]],TM[[#All],[Reporting Year]],2022,TM[[#All],[Insurance Category Code]],7,TM[[#All],[Large Provider Entity Code]],100))/ICC7_MemberMonths_2022,"NA")</f>
        <v>NA</v>
      </c>
      <c r="R27" s="7" t="str">
        <f>IFERROR((SUMIFS(TM[[#All],[Claims: Hospital Outpatient]],TM[[#All],[Reporting Year]],2023,TM[[#All],[Insurance Category Code]],7,TM[[#All],[Large Provider Entity Code]],100))/ICC7_MemberMonths_2023,"NA")</f>
        <v>NA</v>
      </c>
      <c r="S27" s="423" t="str">
        <f>IFERROR(Table911122757[[#This Row],[2023]]/Table911122757[[#This Row],[2022]]-1,"NA")</f>
        <v>NA</v>
      </c>
    </row>
    <row r="28" spans="1:19" x14ac:dyDescent="0.25">
      <c r="A28" s="139" t="s">
        <v>584</v>
      </c>
      <c r="B28" s="7" t="str">
        <f t="shared" si="0"/>
        <v>NA</v>
      </c>
      <c r="C28" s="7" t="str">
        <f>IFERROR((SUMPRODUCT(H25,H28)+SUMPRODUCT(ICC4_MemberMonths_2023,M28)+SUMPRODUCT(ICC7_MemberMonths_2023,R28))/Commercial_MemberMonths_2023,"NA")</f>
        <v>NA</v>
      </c>
      <c r="D28" s="423" t="str">
        <f>IFERROR(Table948[[#This Row],[2023]]/Table948[[#This Row],[2022]]-1,"NA")</f>
        <v>NA</v>
      </c>
      <c r="E28"/>
      <c r="F28" s="139" t="s">
        <v>584</v>
      </c>
      <c r="G28" s="7" t="str">
        <f>IFERROR((SUMIFS(TM[[#All],[Claims: Professional, Primary Care Providers]],TM[[#All],[Reporting Year]],2022,TM[[#All],[Insurance Category Code]],3,TM[[#All],[Large Provider Entity Code]],100))/ICC3_MemberMonths_2022,"NA")</f>
        <v>NA</v>
      </c>
      <c r="H28" s="7" t="str">
        <f>IFERROR((SUMIFS(TM[[#All],[Claims: Professional, Primary Care Providers]],TM[[#All],[Reporting Year]],2023,TM[[#All],[Insurance Category Code]],3,TM[[#All],[Large Provider Entity Code]],100))/H25,"NA")</f>
        <v>NA</v>
      </c>
      <c r="I28" s="423" t="str">
        <f>IFERROR(Table91149[[#This Row],[2023]]/Table91149[[#This Row],[2022]]-1,"NA")</f>
        <v>NA</v>
      </c>
      <c r="J28"/>
      <c r="K28" s="139" t="s">
        <v>584</v>
      </c>
      <c r="L28" s="7" t="str">
        <f>IFERROR((SUMIFS(TM[[#All],[Claims: Professional, Primary Care Providers]],TM[[#All],[Reporting Year]],2022,TM[[#All],[Insurance Category Code]],4,TM[[#All],[Large Provider Entity Code]],100))/ICC4_MemberMonths_2022,"NA")</f>
        <v>NA</v>
      </c>
      <c r="M28" s="7" t="str">
        <f>IFERROR((SUMIFS(TM[[#All],[Claims: Professional, Primary Care Providers]],TM[[#All],[Reporting Year]],2023,TM[[#All],[Insurance Category Code]],4,TM[[#All],[Large Provider Entity Code]],100))/ICC4_MemberMonths_2023,"NA")</f>
        <v>NA</v>
      </c>
      <c r="N28" s="423" t="str">
        <f t="shared" si="1"/>
        <v>NA</v>
      </c>
      <c r="O28"/>
      <c r="P28" s="139" t="s">
        <v>584</v>
      </c>
      <c r="Q28" s="7" t="str">
        <f>IFERROR((SUMIFS(TM[[#All],[Claims: Professional, Primary Care Providers]],TM[[#All],[Reporting Year]],2022,TM[[#All],[Insurance Category Code]],7,TM[[#All],[Large Provider Entity Code]],100))/ICC7_MemberMonths_2022,"NA")</f>
        <v>NA</v>
      </c>
      <c r="R28" s="7" t="str">
        <f>IFERROR((SUMIFS(TM[[#All],[Claims: Professional, Primary Care Providers]],TM[[#All],[Reporting Year]],2023,TM[[#All],[Insurance Category Code]],7,TM[[#All],[Large Provider Entity Code]],100))/ICC7_MemberMonths_2023,"NA")</f>
        <v>NA</v>
      </c>
      <c r="S28" s="423" t="str">
        <f>IFERROR(Table911122757[[#This Row],[2023]]/Table911122757[[#This Row],[2022]]-1,"NA")</f>
        <v>NA</v>
      </c>
    </row>
    <row r="29" spans="1:19" x14ac:dyDescent="0.25">
      <c r="A29" s="139" t="s">
        <v>585</v>
      </c>
      <c r="B29" s="7" t="str">
        <f t="shared" si="0"/>
        <v>NA</v>
      </c>
      <c r="C29" s="7" t="str">
        <f>IFERROR((SUMPRODUCT(H25,H29)+SUMPRODUCT(ICC4_MemberMonths_2023,M29)+SUMPRODUCT(ICC7_MemberMonths_2023,R29))/Commercial_MemberMonths_2023,"NA")</f>
        <v>NA</v>
      </c>
      <c r="D29" s="423" t="str">
        <f>IFERROR(Table948[[#This Row],[2023]]/Table948[[#This Row],[2022]]-1,"NA")</f>
        <v>NA</v>
      </c>
      <c r="E29"/>
      <c r="F29" s="139" t="s">
        <v>585</v>
      </c>
      <c r="G29" s="7" t="str">
        <f>IFERROR((SUMIFS(TM[[#All],[Claims: Professional, Specialty Providers]],TM[[#All],[Reporting Year]],2022,TM[[#All],[Insurance Category Code]],3,TM[[#All],[Large Provider Entity Code]],100))/ICC3_MemberMonths_2022,"NA")</f>
        <v>NA</v>
      </c>
      <c r="H29" s="7" t="str">
        <f>IFERROR((SUMIFS(TM[[#All],[Claims: Professional, Specialty Providers]],TM[[#All],[Reporting Year]],2023,TM[[#All],[Insurance Category Code]],3,TM[[#All],[Large Provider Entity Code]],100))/H25,"NA")</f>
        <v>NA</v>
      </c>
      <c r="I29" s="423" t="str">
        <f>IFERROR(Table91149[[#This Row],[2023]]/Table91149[[#This Row],[2022]]-1,"NA")</f>
        <v>NA</v>
      </c>
      <c r="J29"/>
      <c r="K29" s="139" t="s">
        <v>585</v>
      </c>
      <c r="L29" s="7" t="str">
        <f>IFERROR((SUMIFS(TM[[#All],[Claims: Professional, Specialty Providers]],TM[[#All],[Reporting Year]],2022,TM[[#All],[Insurance Category Code]],4,TM[[#All],[Large Provider Entity Code]],100))/ICC4_MemberMonths_2022,"NA")</f>
        <v>NA</v>
      </c>
      <c r="M29" s="7" t="str">
        <f>IFERROR((SUMIFS(TM[[#All],[Claims: Professional, Specialty Providers]],TM[[#All],[Reporting Year]],2023,TM[[#All],[Insurance Category Code]],4,TM[[#All],[Large Provider Entity Code]],100))/ICC4_MemberMonths_2023,"NA")</f>
        <v>NA</v>
      </c>
      <c r="N29" s="423" t="str">
        <f t="shared" si="1"/>
        <v>NA</v>
      </c>
      <c r="O29"/>
      <c r="P29" s="139" t="s">
        <v>585</v>
      </c>
      <c r="Q29" s="7" t="str">
        <f>IFERROR((SUMIFS(TM[[#All],[Claims: Professional, Specialty Providers]],TM[[#All],[Reporting Year]],2022,TM[[#All],[Insurance Category Code]],7,TM[[#All],[Large Provider Entity Code]],100))/ICC7_MemberMonths_2022,"NA")</f>
        <v>NA</v>
      </c>
      <c r="R29" s="7" t="str">
        <f>IFERROR((SUMIFS(TM[[#All],[Claims: Professional, Specialty Providers]],TM[[#All],[Reporting Year]],2023,TM[[#All],[Insurance Category Code]],7,TM[[#All],[Large Provider Entity Code]],100))/ICC7_MemberMonths_2023,"NA")</f>
        <v>NA</v>
      </c>
      <c r="S29" s="423" t="str">
        <f>IFERROR(Table911122757[[#This Row],[2023]]/Table911122757[[#This Row],[2022]]-1,"NA")</f>
        <v>NA</v>
      </c>
    </row>
    <row r="30" spans="1:19" x14ac:dyDescent="0.25">
      <c r="A30" s="139" t="s">
        <v>586</v>
      </c>
      <c r="B30" s="7" t="str">
        <f t="shared" si="0"/>
        <v>NA</v>
      </c>
      <c r="C30" s="7" t="str">
        <f>IFERROR((SUMPRODUCT(H25,H30)+SUMPRODUCT(ICC4_MemberMonths_2023,M30)+SUMPRODUCT(ICC7_MemberMonths_2023,R30))/Commercial_MemberMonths_2023,"NA")</f>
        <v>NA</v>
      </c>
      <c r="D30" s="423" t="str">
        <f>IFERROR(Table948[[#This Row],[2023]]/Table948[[#This Row],[2022]]-1,"NA")</f>
        <v>NA</v>
      </c>
      <c r="E30"/>
      <c r="F30" s="139" t="s">
        <v>586</v>
      </c>
      <c r="G30" s="7" t="str">
        <f>IFERROR((SUMIFS(TM[[#All],[Claims: Professional, Other Providers]],TM[[#All],[Reporting Year]],2022,TM[[#All],[Insurance Category Code]],3,TM[[#All],[Large Provider Entity Code]],100))/ICC3_MemberMonths_2022,"NA")</f>
        <v>NA</v>
      </c>
      <c r="H30" s="7" t="str">
        <f>IFERROR((SUMIFS(TM[[#All],[Claims: Professional, Other Providers]],TM[[#All],[Reporting Year]],2023,TM[[#All],[Insurance Category Code]],3,TM[[#All],[Large Provider Entity Code]],100))/H25,"NA")</f>
        <v>NA</v>
      </c>
      <c r="I30" s="423" t="str">
        <f>IFERROR(Table91149[[#This Row],[2023]]/Table91149[[#This Row],[2022]]-1,"NA")</f>
        <v>NA</v>
      </c>
      <c r="J30"/>
      <c r="K30" s="139" t="s">
        <v>586</v>
      </c>
      <c r="L30" s="7" t="str">
        <f>IFERROR((SUMIFS(TM[[#All],[Claims: Professional, Other Providers]],TM[[#All],[Reporting Year]],2022,TM[[#All],[Insurance Category Code]],4,TM[[#All],[Large Provider Entity Code]],100))/ICC4_MemberMonths_2022,"NA")</f>
        <v>NA</v>
      </c>
      <c r="M30" s="7" t="str">
        <f>IFERROR((SUMIFS(TM[[#All],[Claims: Professional, Other Providers]],TM[[#All],[Reporting Year]],2023,TM[[#All],[Insurance Category Code]],4,TM[[#All],[Large Provider Entity Code]],100))/ICC4_MemberMonths_2023,"NA")</f>
        <v>NA</v>
      </c>
      <c r="N30" s="423" t="str">
        <f t="shared" si="1"/>
        <v>NA</v>
      </c>
      <c r="O30"/>
      <c r="P30" s="139" t="s">
        <v>586</v>
      </c>
      <c r="Q30" s="7" t="str">
        <f>IFERROR((SUMIFS(TM[[#All],[Claims: Professional, Other Providers]],TM[[#All],[Reporting Year]],2022,TM[[#All],[Insurance Category Code]],7,TM[[#All],[Large Provider Entity Code]],100))/ICC7_MemberMonths_2022,"NA")</f>
        <v>NA</v>
      </c>
      <c r="R30" s="7" t="str">
        <f>IFERROR((SUMIFS(TM[[#All],[Claims: Professional, Other Providers]],TM[[#All],[Reporting Year]],2023,TM[[#All],[Insurance Category Code]],7,TM[[#All],[Large Provider Entity Code]],100))/ICC7_MemberMonths_2023,"NA")</f>
        <v>NA</v>
      </c>
      <c r="S30" s="423" t="str">
        <f>IFERROR(Table911122757[[#This Row],[2023]]/Table911122757[[#This Row],[2022]]-1,"NA")</f>
        <v>NA</v>
      </c>
    </row>
    <row r="31" spans="1:19" x14ac:dyDescent="0.25">
      <c r="A31" s="139" t="s">
        <v>588</v>
      </c>
      <c r="B31" s="7" t="str">
        <f t="shared" si="0"/>
        <v>NA</v>
      </c>
      <c r="C31" s="7" t="str">
        <f>IFERROR((SUMPRODUCT(H25,H31)+SUMPRODUCT(ICC4_MemberMonths_2023,M31)+SUMPRODUCT(ICC7_MemberMonths_2023,R31))/Commercial_MemberMonths_2023,"NA")</f>
        <v>NA</v>
      </c>
      <c r="D31" s="423" t="str">
        <f>IFERROR(Table948[[#This Row],[2023]]/Table948[[#This Row],[2022]]-1,"NA")</f>
        <v>NA</v>
      </c>
      <c r="E31"/>
      <c r="F31" s="139" t="s">
        <v>588</v>
      </c>
      <c r="G31" s="7" t="str">
        <f>IFERROR((SUMIFS(TM[[#All],[Claims: Long-Term Care]],TM[[#All],[Reporting Year]],2022,TM[[#All],[Insurance Category Code]],3,TM[[#All],[Large Provider Entity Code]],100))/ICC3_MemberMonths_2022,"NA")</f>
        <v>NA</v>
      </c>
      <c r="H31" s="7" t="str">
        <f>IFERROR((SUMIFS(TM[[#All],[Claims: Long-Term Care]],TM[[#All],[Reporting Year]],2023,TM[[#All],[Insurance Category Code]],3,TM[[#All],[Large Provider Entity Code]],100))/H25,"NA")</f>
        <v>NA</v>
      </c>
      <c r="I31" s="423" t="str">
        <f>IFERROR(Table91149[[#This Row],[2023]]/Table91149[[#This Row],[2022]]-1,"NA")</f>
        <v>NA</v>
      </c>
      <c r="J31"/>
      <c r="K31" s="139" t="s">
        <v>588</v>
      </c>
      <c r="L31" s="7" t="str">
        <f>IFERROR((SUMIFS(TM[[#All],[Claims: Long-Term Care]],TM[[#All],[Reporting Year]],2022,TM[[#All],[Insurance Category Code]],4,TM[[#All],[Large Provider Entity Code]],100))/ICC4_MemberMonths_2022,"NA")</f>
        <v>NA</v>
      </c>
      <c r="M31" s="7" t="str">
        <f>IFERROR((SUMIFS(TM[[#All],[Claims: Long-Term Care]],TM[[#All],[Reporting Year]],2023,TM[[#All],[Insurance Category Code]],4,TM[[#All],[Large Provider Entity Code]],100))/ICC4_MemberMonths_2023,"NA")</f>
        <v>NA</v>
      </c>
      <c r="N31" s="423" t="str">
        <f>IFERROR(M31/L31-1,"NA")</f>
        <v>NA</v>
      </c>
      <c r="O31"/>
      <c r="P31" s="139" t="s">
        <v>588</v>
      </c>
      <c r="Q31" s="7" t="str">
        <f>IFERROR((SUMIFS(TM[[#All],[Claims: Long-Term Care]],TM[[#All],[Reporting Year]],2022,TM[[#All],[Insurance Category Code]],7,TM[[#All],[Large Provider Entity Code]],100))/ICC7_MemberMonths_2022,"NA")</f>
        <v>NA</v>
      </c>
      <c r="R31" s="7" t="str">
        <f>IFERROR((SUMIFS(TM[[#All],[Claims: Long-Term Care]],TM[[#All],[Reporting Year]],2023,TM[[#All],[Insurance Category Code]],7,TM[[#All],[Large Provider Entity Code]],100))/ICC7_MemberMonths_2023,"NA")</f>
        <v>NA</v>
      </c>
      <c r="S31" s="423" t="str">
        <f>IFERROR(Table911122757[[#This Row],[2023]]/Table911122757[[#This Row],[2022]]-1,"NA")</f>
        <v>NA</v>
      </c>
    </row>
    <row r="32" spans="1:19" x14ac:dyDescent="0.25">
      <c r="A32" s="139" t="s">
        <v>589</v>
      </c>
      <c r="B32" s="7" t="str">
        <f t="shared" si="0"/>
        <v>NA</v>
      </c>
      <c r="C32" s="7" t="str">
        <f>IFERROR((SUMPRODUCT(H25,H32)+SUMPRODUCT(ICC4_MemberMonths_2023,M32)+SUMPRODUCT(ICC7_MemberMonths_2023,R32))/Commercial_MemberMonths_2023,"NA")</f>
        <v>NA</v>
      </c>
      <c r="D32" s="423" t="str">
        <f>IFERROR(Table948[[#This Row],[2023]]/Table948[[#This Row],[2022]]-1,"NA")</f>
        <v>NA</v>
      </c>
      <c r="E32"/>
      <c r="F32" s="139" t="s">
        <v>589</v>
      </c>
      <c r="G32" s="7" t="str">
        <f>IFERROR((SUMIFS(TM[[#All],[Claims: Retail Pharmacy]],TM[[#All],[Reporting Year]],2022,TM[[#All],[Insurance Category Code]],3,TM[[#All],[Large Provider Entity Code]],100))/ICC3_MemberMonths_2022,"NA")</f>
        <v>NA</v>
      </c>
      <c r="H32" s="7" t="str">
        <f>IFERROR((SUMIFS(TM[[#All],[Claims: Retail Pharmacy]],TM[[#All],[Reporting Year]],2023,TM[[#All],[Insurance Category Code]],3,TM[[#All],[Large Provider Entity Code]],100))/H25,"NA")</f>
        <v>NA</v>
      </c>
      <c r="I32" s="423" t="str">
        <f>IFERROR(Table91149[[#This Row],[2023]]/Table91149[[#This Row],[2022]]-1,"NA")</f>
        <v>NA</v>
      </c>
      <c r="J32"/>
      <c r="K32" s="139" t="s">
        <v>589</v>
      </c>
      <c r="L32" s="7" t="str">
        <f>IFERROR((SUMIFS(TM[[#All],[Claims: Retail Pharmacy]],TM[[#All],[Reporting Year]],2022,TM[[#All],[Insurance Category Code]],4,TM[[#All],[Large Provider Entity Code]],100))/ICC4_MemberMonths_2022,"NA")</f>
        <v>NA</v>
      </c>
      <c r="M32" s="7" t="str">
        <f>IFERROR((SUMIFS(TM[[#All],[Claims: Retail Pharmacy]],TM[[#All],[Reporting Year]],2023,TM[[#All],[Insurance Category Code]],4,TM[[#All],[Large Provider Entity Code]],100))/ICC4_MemberMonths_2023,"NA")</f>
        <v>NA</v>
      </c>
      <c r="N32" s="423" t="str">
        <f t="shared" ref="N32:N33" si="2">IFERROR(M32/L32-1,"NA")</f>
        <v>NA</v>
      </c>
      <c r="O32"/>
      <c r="P32" s="139" t="s">
        <v>589</v>
      </c>
      <c r="Q32" s="7" t="str">
        <f>IFERROR((SUMIFS(TM[[#All],[Claims: Retail Pharmacy]],TM[[#All],[Reporting Year]],2022,TM[[#All],[Insurance Category Code]],7,TM[[#All],[Large Provider Entity Code]],100))/ICC7_MemberMonths_2022,"NA")</f>
        <v>NA</v>
      </c>
      <c r="R32" s="7" t="str">
        <f>IFERROR((SUMIFS(TM[[#All],[Claims: Retail Pharmacy]],TM[[#All],[Reporting Year]],2023,TM[[#All],[Insurance Category Code]],7,TM[[#All],[Large Provider Entity Code]],100))/ICC7_MemberMonths_2023,"NA")</f>
        <v>NA</v>
      </c>
      <c r="S32" s="423" t="str">
        <f>IFERROR(Table911122757[[#This Row],[2023]]/Table911122757[[#This Row],[2022]]-1,"NA")</f>
        <v>NA</v>
      </c>
    </row>
    <row r="33" spans="1:19" x14ac:dyDescent="0.25">
      <c r="A33" s="139" t="s">
        <v>590</v>
      </c>
      <c r="B33" s="7" t="str">
        <f t="shared" si="0"/>
        <v>NA</v>
      </c>
      <c r="C33" s="7" t="str">
        <f>IFERROR((SUMPRODUCT(H25,H33)+SUMPRODUCT(ICC4_MemberMonths_2023,M33)+SUMPRODUCT(ICC7_MemberMonths_2023,R33))/Commercial_MemberMonths_2023,"NA")</f>
        <v>NA</v>
      </c>
      <c r="D33" s="423" t="str">
        <f>IFERROR(Table948[[#This Row],[2023]]/Table948[[#This Row],[2022]]-1,"NA")</f>
        <v>NA</v>
      </c>
      <c r="E33"/>
      <c r="F33" s="139" t="s">
        <v>590</v>
      </c>
      <c r="G33" s="7" t="str">
        <f>IFERROR(((SUMIFS(TM[[#All],[Claims: Retail Pharmacy]],TM[[#All],[Reporting Year]],2022,TM[[#All],[Insurance Category Code]],3,TM[[#All],[Large Provider Entity Code]],100))-ABS(SUMIFS(RX[[#All],[Total Medical and Retail Pharmacy Rebate Amount]],RX[[#All],[Reporting Year]],2022,RX[[#All],[Insurance Category Code]],3)))/ICC3_MemberMonths_2022,"NA")</f>
        <v>NA</v>
      </c>
      <c r="H33" s="7" t="str">
        <f>IFERROR(((SUMIFS(TM[[#All],[Claims: Retail Pharmacy]],TM[[#All],[Reporting Year]],2023,TM[[#All],[Insurance Category Code]],3,TM[[#All],[Large Provider Entity Code]],100))-ABS(SUMIFS(RX[[#All],[Total Medical and Retail Pharmacy Rebate Amount]],RX[[#All],[Reporting Year]],2023,RX[[#All],[Insurance Category Code]],3)))/H25,"NA")</f>
        <v>NA</v>
      </c>
      <c r="I33" s="423" t="str">
        <f>IFERROR(Table91149[[#This Row],[2023]]/Table91149[[#This Row],[2022]]-1,"NA")</f>
        <v>NA</v>
      </c>
      <c r="J33"/>
      <c r="K33" s="139" t="s">
        <v>590</v>
      </c>
      <c r="L33" s="7" t="str">
        <f>IFERROR(((SUMIFS(TM[[#All],[Claims: Retail Pharmacy]],TM[[#All],[Reporting Year]],2022,TM[[#All],[Insurance Category Code]],4,TM[[#All],[Large Provider Entity Code]],100))-ABS(SUMIFS(RX[[#All],[Total Medical and Retail Pharmacy Rebate Amount]],RX[[#All],[Reporting Year]],2022,RX[[#All],[Insurance Category Code]],4)))/ICC4_MemberMonths_2022,"NA")</f>
        <v>NA</v>
      </c>
      <c r="M33" s="7" t="str">
        <f>IFERROR(((SUMIFS(TM[[#All],[Claims: Retail Pharmacy]],TM[[#All],[Reporting Year]],2023,TM[[#All],[Insurance Category Code]],4,TM[[#All],[Large Provider Entity Code]],100))-ABS(SUMIFS(RX[[#All],[Total Medical and Retail Pharmacy Rebate Amount]],RX[[#All],[Reporting Year]],2023,RX[[#All],[Insurance Category Code]],4)))/ICC4_MemberMonths_2023,"NA")</f>
        <v>NA</v>
      </c>
      <c r="N33" s="423" t="str">
        <f t="shared" si="2"/>
        <v>NA</v>
      </c>
      <c r="O33"/>
      <c r="P33" s="139" t="s">
        <v>590</v>
      </c>
      <c r="Q33" s="7" t="str">
        <f>IFERROR(((SUMIFS(TM[[#All],[Claims: Retail Pharmacy]],TM[[#All],[Reporting Year]],2022,TM[[#All],[Insurance Category Code]],7,TM[[#All],[Large Provider Entity Code]],100))-ABS(SUMIFS(RX[[#All],[Total Medical and Retail Pharmacy Rebate Amount]],RX[[#All],[Reporting Year]],2022,RX[[#All],[Insurance Category Code]],7)))/ICC7_MemberMonths_2022,"NA")</f>
        <v>NA</v>
      </c>
      <c r="R33" s="7" t="str">
        <f>IFERROR(((SUMIFS(TM[[#All],[Claims: Retail Pharmacy]],TM[[#All],[Reporting Year]],2023,TM[[#All],[Insurance Category Code]],7,TM[[#All],[Large Provider Entity Code]],100))-ABS(SUMIFS(RX[[#All],[Total Medical and Retail Pharmacy Rebate Amount]],RX[[#All],[Reporting Year]],2023,RX[[#All],[Insurance Category Code]],7)))/ICC7_MemberMonths_2023,"NA")</f>
        <v>NA</v>
      </c>
      <c r="S33" s="423" t="str">
        <f>IFERROR(Table911122757[[#This Row],[2023]]/Table911122757[[#This Row],[2022]]-1,"NA")</f>
        <v>NA</v>
      </c>
    </row>
    <row r="34" spans="1:19" x14ac:dyDescent="0.25">
      <c r="A34" s="139" t="s">
        <v>591</v>
      </c>
      <c r="B34" s="7" t="str">
        <f t="shared" si="0"/>
        <v>NA</v>
      </c>
      <c r="C34" s="7" t="str">
        <f>IFERROR((SUMPRODUCT(H25,H34)+SUMPRODUCT(ICC4_MemberMonths_2023,M34)+SUMPRODUCT(ICC7_MemberMonths_2023,R34))/Commercial_MemberMonths_2023,"NA")</f>
        <v>NA</v>
      </c>
      <c r="D34" s="423" t="str">
        <f>IFERROR(Table948[[#This Row],[2023]]/Table948[[#This Row],[2022]]-1,"NA")</f>
        <v>NA</v>
      </c>
      <c r="E34"/>
      <c r="F34" s="139" t="s">
        <v>591</v>
      </c>
      <c r="G34" s="7" t="str">
        <f>IFERROR(SUMIFS(RX[[#All],[Total Medical and Retail Pharmacy Rebate Amount]],RX[[#All],[Reporting Year]],2022,RX[[#All],[Insurance Category Code]],3)/ICC3_MemberMonths_2022,"NA")</f>
        <v>NA</v>
      </c>
      <c r="H34" s="7" t="str">
        <f>IFERROR(SUMIFS(RX[[#All],[Total Medical and Retail Pharmacy Rebate Amount]],RX[[#All],[Reporting Year]],2023,RX[[#All],[Insurance Category Code]],3)/H25,"NA")</f>
        <v>NA</v>
      </c>
      <c r="I34" s="423" t="str">
        <f>IFERROR(Table91149[[#This Row],[2023]]/Table91149[[#This Row],[2022]]-1,"NA")</f>
        <v>NA</v>
      </c>
      <c r="J34"/>
      <c r="K34" s="139" t="s">
        <v>591</v>
      </c>
      <c r="L34" s="7" t="str">
        <f>IFERROR(SUMIFS(RX[[#All],[Total Medical and Retail Pharmacy Rebate Amount]],RX[[#All],[Reporting Year]],2022,RX[[#All],[Insurance Category Code]],4)/ICC4_MemberMonths_2022,"NA")</f>
        <v>NA</v>
      </c>
      <c r="M34" s="7" t="str">
        <f>IFERROR(SUMIFS(RX[[#All],[Total Medical and Retail Pharmacy Rebate Amount]],RX[[#All],[Reporting Year]],2023,RX[[#All],[Insurance Category Code]],4)/ICC4_MemberMonths_2023,"NA")</f>
        <v>NA</v>
      </c>
      <c r="N34" s="423" t="str">
        <f>IFERROR(M34/L34-1,"NA")</f>
        <v>NA</v>
      </c>
      <c r="O34"/>
      <c r="P34" s="139" t="s">
        <v>591</v>
      </c>
      <c r="Q34" s="7" t="str">
        <f>IFERROR(SUMIFS(RX[[#All],[Total Medical and Retail Pharmacy Rebate Amount]],RX[[#All],[Reporting Year]],2022,RX[[#All],[Insurance Category Code]],7)/ICC7_MemberMonths_2022,"NA")</f>
        <v>NA</v>
      </c>
      <c r="R34" s="7" t="str">
        <f>IFERROR(-ABS(SUMIFS(RX[[#All],[Total Medical and Retail Pharmacy Rebate Amount]],RX[[#All],[Reporting Year]],2023,RX[[#All],[Insurance Category Code]],7))/ICC7_MemberMonths_2023,"NA")</f>
        <v>NA</v>
      </c>
      <c r="S34" s="423" t="str">
        <f>IFERROR(Table911122757[[#This Row],[2023]]/Table911122757[[#This Row],[2022]]-1,"NA")</f>
        <v>NA</v>
      </c>
    </row>
    <row r="35" spans="1:19" x14ac:dyDescent="0.25">
      <c r="A35" s="531" t="s">
        <v>536</v>
      </c>
      <c r="B35" s="510" t="str">
        <f>IFERROR(ABS(B34/B32),"NA")</f>
        <v>NA</v>
      </c>
      <c r="C35" s="510" t="str">
        <f>IFERROR(ABS(C34/C32),"NA")</f>
        <v>NA</v>
      </c>
      <c r="D35" s="562" t="s">
        <v>500</v>
      </c>
      <c r="E35"/>
      <c r="F35" s="531" t="s">
        <v>536</v>
      </c>
      <c r="G35" s="510" t="str">
        <f>IFERROR(ABS(G34/G32),"NA")</f>
        <v>NA</v>
      </c>
      <c r="H35" s="510" t="str">
        <f>IFERROR(ABS(H34/H32),"NA")</f>
        <v>NA</v>
      </c>
      <c r="I35" s="562" t="s">
        <v>500</v>
      </c>
      <c r="J35"/>
      <c r="K35" s="531" t="s">
        <v>536</v>
      </c>
      <c r="L35" s="510" t="str">
        <f>IFERROR(ABS(L34/L32),"NA")</f>
        <v>NA</v>
      </c>
      <c r="M35" s="510" t="str">
        <f>IFERROR(ABS(M34/M32),"NA")</f>
        <v>NA</v>
      </c>
      <c r="N35" s="423" t="s">
        <v>500</v>
      </c>
      <c r="O35"/>
      <c r="P35" s="531" t="s">
        <v>536</v>
      </c>
      <c r="Q35" s="510" t="str">
        <f>IFERROR(ABS(Q34/Q32),"NA")</f>
        <v>NA</v>
      </c>
      <c r="R35" s="510" t="str">
        <f>IFERROR(ABS(R34/R32),"NA")</f>
        <v>NA</v>
      </c>
      <c r="S35" s="562" t="s">
        <v>500</v>
      </c>
    </row>
    <row r="36" spans="1:19" s="155" customFormat="1" x14ac:dyDescent="0.25">
      <c r="A36" s="139" t="s">
        <v>592</v>
      </c>
      <c r="B36" s="7" t="str">
        <f t="shared" ref="B36:B48" si="3">IFERROR((SUMPRODUCT(ICC3_MemberMonths_2022,G36)+SUMPRODUCT(ICC4_MemberMonths_2022,L36)+SUMPRODUCT(ICC7_MemberMonths_2022,Q36))/Commercial_MemberMonths_2022,"NA")</f>
        <v>NA</v>
      </c>
      <c r="C36" s="7" t="str">
        <f>IFERROR((SUMPRODUCT(H25,H36)+SUMPRODUCT(ICC4_MemberMonths_2023,M36)+SUMPRODUCT(ICC7_MemberMonths_2023,R36))/Commercial_MemberMonths_2023,"NA")</f>
        <v>NA</v>
      </c>
      <c r="D36" s="423" t="str">
        <f>IFERROR(Table948[[#This Row],[2023]]/Table948[[#This Row],[2022]]-1,"NA")</f>
        <v>NA</v>
      </c>
      <c r="E36" s="3"/>
      <c r="F36" s="139" t="s">
        <v>592</v>
      </c>
      <c r="G36" s="7" t="str">
        <f>IFERROR((SUMIFS(TM[[#All],[Claims: Other]],TM[[#All],[Reporting Year]],2022,TM[[#All],[Insurance Category Code]],3,TM[[#All],[Large Provider Entity Code]],100))/ICC3_MemberMonths_2022,"NA")</f>
        <v>NA</v>
      </c>
      <c r="H36" s="7" t="str">
        <f>IFERROR((SUMIFS(TM[[#All],[Claims: Other]],TM[[#All],[Reporting Year]],2023,TM[[#All],[Insurance Category Code]],3,TM[[#All],[Large Provider Entity Code]],100))/H25,"NA")</f>
        <v>NA</v>
      </c>
      <c r="I36" s="423" t="str">
        <f>IFERROR(Table91149[[#This Row],[2023]]/Table91149[[#This Row],[2022]]-1,"NA")</f>
        <v>NA</v>
      </c>
      <c r="J36" s="3"/>
      <c r="K36" s="139" t="s">
        <v>592</v>
      </c>
      <c r="L36" s="7" t="str">
        <f>IFERROR((SUMIFS(TM[[#All],[Claims: Other]],TM[[#All],[Reporting Year]],2022,TM[[#All],[Insurance Category Code]],4,TM[[#All],[Large Provider Entity Code]],100))/ICC4_MemberMonths_2022,"NA")</f>
        <v>NA</v>
      </c>
      <c r="M36" s="7" t="str">
        <f>IFERROR((SUMIFS(TM[[#All],[Claims: Other]],TM[[#All],[Reporting Year]],2023,TM[[#All],[Insurance Category Code]],4,TM[[#All],[Large Provider Entity Code]],100))/ICC4_MemberMonths_2023,"NA")</f>
        <v>NA</v>
      </c>
      <c r="N36" s="423" t="str">
        <f t="shared" ref="N36:N48" si="4">IFERROR(M36/L36-1,"NA")</f>
        <v>NA</v>
      </c>
      <c r="O36" s="3"/>
      <c r="P36" s="139" t="s">
        <v>592</v>
      </c>
      <c r="Q36" s="7" t="str">
        <f>IFERROR((SUMIFS(TM[[#All],[Claims: Other]],TM[[#All],[Reporting Year]],2022,TM[[#All],[Insurance Category Code]],7,TM[[#All],[Large Provider Entity Code]],100))/ICC7_MemberMonths_2022,"NA")</f>
        <v>NA</v>
      </c>
      <c r="R36" s="7" t="str">
        <f>IFERROR((SUMIFS(TM[[#All],[Claims: Other]],TM[[#All],[Reporting Year]],2023,TM[[#All],[Insurance Category Code]],7,TM[[#All],[Large Provider Entity Code]],100))/ICC7_MemberMonths_2023,"NA")</f>
        <v>NA</v>
      </c>
      <c r="S36" s="423" t="str">
        <f>IFERROR(Table911122757[[#This Row],[2023]]/Table911122757[[#This Row],[2022]]-1,"NA")</f>
        <v>NA</v>
      </c>
    </row>
    <row r="37" spans="1:19" s="155" customFormat="1" x14ac:dyDescent="0.25">
      <c r="A37" s="503" t="s">
        <v>593</v>
      </c>
      <c r="B37" s="130" t="str">
        <f t="shared" si="3"/>
        <v>NA</v>
      </c>
      <c r="C37" s="130" t="str">
        <f>IFERROR((SUMPRODUCT(H25,H37)+SUMPRODUCT(ICC4_MemberMonths_2023,M37)+SUMPRODUCT(ICC7_MemberMonths_2023,R37))/Commercial_MemberMonths_2023,"NA")</f>
        <v>NA</v>
      </c>
      <c r="D37" s="504" t="str">
        <f>IFERROR(Table948[[#This Row],[2023]]/Table948[[#This Row],[2022]]-1,"NA")</f>
        <v>NA</v>
      </c>
      <c r="E37" s="3"/>
      <c r="F37" s="503" t="s">
        <v>593</v>
      </c>
      <c r="G37" s="505" t="str">
        <f>IFERROR((SUMIFS(TM[[#All],[Total Non-Truncated Claims Spending]],TM[[#All],[Reporting Year]],2022,TM[[#All],[Insurance Category Code]],3,TM[[#All],[Large Provider Entity Code]],100))/ICC3_MemberMonths_2022,"NA")</f>
        <v>NA</v>
      </c>
      <c r="H37" s="505" t="str">
        <f>IFERROR((SUMIFS(TM[[#All],[Total Non-Truncated Claims Spending]],TM[[#All],[Reporting Year]],2023,TM[[#All],[Insurance Category Code]],3,TM[[#All],[Large Provider Entity Code]],100))/H25,"NA")</f>
        <v>NA</v>
      </c>
      <c r="I37" s="504" t="str">
        <f>IFERROR(Table91149[[#This Row],[2023]]/Table91149[[#This Row],[2022]]-1,"NA")</f>
        <v>NA</v>
      </c>
      <c r="J37" s="3"/>
      <c r="K37" s="503" t="s">
        <v>593</v>
      </c>
      <c r="L37" s="505" t="str">
        <f>IFERROR((SUMIFS(TM[[#All],[Total Non-Truncated Claims Spending]],TM[[#All],[Reporting Year]],2022,TM[[#All],[Insurance Category Code]],4,TM[[#All],[Large Provider Entity Code]],100))/ICC4_MemberMonths_2022,"NA")</f>
        <v>NA</v>
      </c>
      <c r="M37" s="505" t="str">
        <f>IFERROR((SUMIFS(TM[[#All],[Total Non-Truncated Claims Spending]],TM[[#All],[Reporting Year]],2023,TM[[#All],[Insurance Category Code]],4,TM[[#All],[Large Provider Entity Code]],100))/ICC4_MemberMonths_2023,"NA")</f>
        <v>NA</v>
      </c>
      <c r="N37" s="504" t="str">
        <f t="shared" si="4"/>
        <v>NA</v>
      </c>
      <c r="O37" s="3"/>
      <c r="P37" s="503" t="s">
        <v>593</v>
      </c>
      <c r="Q37" s="505" t="str">
        <f>IFERROR((SUMIFS(TM[[#All],[Total Non-Truncated Claims Spending]],TM[[#All],[Reporting Year]],2022,TM[[#All],[Insurance Category Code]],7,TM[[#All],[Large Provider Entity Code]],100))/ICC7_MemberMonths_2022,"NA")</f>
        <v>NA</v>
      </c>
      <c r="R37" s="505" t="str">
        <f>IFERROR((SUMIFS(TM[[#All],[Total Non-Truncated Claims Spending]],TM[[#All],[Reporting Year]],2023,TM[[#All],[Insurance Category Code]],7,TM[[#All],[Large Provider Entity Code]],100))/ICC7_MemberMonths_2023,"NA")</f>
        <v>NA</v>
      </c>
      <c r="S37" s="504" t="str">
        <f>IFERROR(Table911122757[[#This Row],[2023]]/Table911122757[[#This Row],[2022]]-1,"NA")</f>
        <v>NA</v>
      </c>
    </row>
    <row r="38" spans="1:19" x14ac:dyDescent="0.25">
      <c r="A38" s="503" t="s">
        <v>594</v>
      </c>
      <c r="B38" s="130" t="str">
        <f t="shared" si="3"/>
        <v>NA</v>
      </c>
      <c r="C38" s="130" t="str">
        <f>IFERROR((SUMPRODUCT(H25,H38)+SUMPRODUCT(ICC4_MemberMonths_2023,M38)+SUMPRODUCT(ICC7_MemberMonths_2023,R38))/Commercial_MemberMonths_2023,"NA")</f>
        <v>NA</v>
      </c>
      <c r="D38" s="504" t="str">
        <f>IFERROR(Table948[[#This Row],[2023]]/Table948[[#This Row],[2022]]-1,"NA")</f>
        <v>NA</v>
      </c>
      <c r="E38"/>
      <c r="F38" s="503" t="s">
        <v>594</v>
      </c>
      <c r="G38" s="505" t="str">
        <f>IFERROR((SUMIFS(TM[[#All],[Total Truncated Claims Spending]],TM[[#All],[Reporting Year]],2022,TM[[#All],[Insurance Category Code]],3,TM[[#All],[Large Provider Entity Code]],100))/ICC3_MemberMonths_2022,"NA")</f>
        <v>NA</v>
      </c>
      <c r="H38" s="505" t="str">
        <f>IFERROR((SUMIFS(TM[[#All],[Total Truncated Claims Spending]],TM[[#All],[Reporting Year]],2023,TM[[#All],[Insurance Category Code]],3,TM[[#All],[Large Provider Entity Code]],100))/H25,"NA")</f>
        <v>NA</v>
      </c>
      <c r="I38" s="504" t="str">
        <f>IFERROR(Table91149[[#This Row],[2023]]/Table91149[[#This Row],[2022]]-1,"NA")</f>
        <v>NA</v>
      </c>
      <c r="J38"/>
      <c r="K38" s="503" t="s">
        <v>594</v>
      </c>
      <c r="L38" s="505" t="str">
        <f>IFERROR((SUMIFS(TM[[#All],[Total Truncated Claims Spending]],TM[[#All],[Reporting Year]],2022,TM[[#All],[Insurance Category Code]],4,TM[[#All],[Large Provider Entity Code]],100))/ICC4_MemberMonths_2022,"NA")</f>
        <v>NA</v>
      </c>
      <c r="M38" s="505" t="str">
        <f>IFERROR((SUMIFS(TM[[#All],[Total Truncated Claims Spending]],TM[[#All],[Reporting Year]],2023,TM[[#All],[Insurance Category Code]],4,TM[[#All],[Large Provider Entity Code]],100))/ICC4_MemberMonths_2023,"NA")</f>
        <v>NA</v>
      </c>
      <c r="N38" s="504" t="str">
        <f t="shared" si="4"/>
        <v>NA</v>
      </c>
      <c r="O38"/>
      <c r="P38" s="503" t="s">
        <v>594</v>
      </c>
      <c r="Q38" s="505" t="str">
        <f>IFERROR((SUMIFS(TM[[#All],[Total Truncated Claims Spending]],TM[[#All],[Reporting Year]],2022,TM[[#All],[Insurance Category Code]],7,TM[[#All],[Large Provider Entity Code]],100))/ICC7_MemberMonths_2022,"NA")</f>
        <v>NA</v>
      </c>
      <c r="R38" s="505" t="str">
        <f>IFERROR((SUMIFS(TM[[#All],[Total Truncated Claims Spending]],TM[[#All],[Reporting Year]],2023,TM[[#All],[Insurance Category Code]],7,TM[[#All],[Large Provider Entity Code]],100))/ICC7_MemberMonths_2023,"NA")</f>
        <v>NA</v>
      </c>
      <c r="S38" s="504" t="str">
        <f>IFERROR(Table911122757[[#This Row],[2023]]/Table911122757[[#This Row],[2022]]-1,"NA")</f>
        <v>NA</v>
      </c>
    </row>
    <row r="39" spans="1:19" x14ac:dyDescent="0.25">
      <c r="A39" s="139" t="s">
        <v>595</v>
      </c>
      <c r="B39" s="7" t="str">
        <f t="shared" si="3"/>
        <v>NA</v>
      </c>
      <c r="C39" s="7" t="str">
        <f>IFERROR((SUMPRODUCT(H25,H39)+SUMPRODUCT(ICC4_MemberMonths_2023,M39)+SUMPRODUCT(ICC7_MemberMonths_2023,R39))/Commercial_MemberMonths_2023,"NA")</f>
        <v>NA</v>
      </c>
      <c r="D39" s="423" t="str">
        <f>IFERROR(Table948[[#This Row],[2023]]/Table948[[#This Row],[2022]]-1,"NA")</f>
        <v>NA</v>
      </c>
      <c r="E39"/>
      <c r="F39" s="139" t="s">
        <v>595</v>
      </c>
      <c r="G39" s="7" t="str">
        <f>IFERROR((SUMIFS(TM[[#All],[Non-Claims: Capitation or Bundled Arrangements]],TM[[#All],[Reporting Year]],2022,TM[[#All],[Insurance Category Code]],3,TM[[#All],[Large Provider Entity Code]],100))/ICC3_MemberMonths_2022,"NA")</f>
        <v>NA</v>
      </c>
      <c r="H39" s="7" t="str">
        <f>IFERROR((SUMIFS(TM[[#All],[Non-Claims: Capitation or Bundled Arrangements]],TM[[#All],[Reporting Year]],2023,TM[[#All],[Insurance Category Code]],3,TM[[#All],[Large Provider Entity Code]],100))/H25,"NA")</f>
        <v>NA</v>
      </c>
      <c r="I39" s="423" t="str">
        <f>IFERROR(Table91149[[#This Row],[2023]]/Table91149[[#This Row],[2022]]-1,"NA")</f>
        <v>NA</v>
      </c>
      <c r="J39"/>
      <c r="K39" s="139" t="s">
        <v>595</v>
      </c>
      <c r="L39" s="7" t="str">
        <f>IFERROR((SUMIFS(TM[[#All],[Non-Claims: Capitation or Bundled Arrangements]],TM[[#All],[Reporting Year]],2022,TM[[#All],[Insurance Category Code]],4,TM[[#All],[Large Provider Entity Code]],100))/ICC4_MemberMonths_2022,"NA")</f>
        <v>NA</v>
      </c>
      <c r="M39" s="7" t="str">
        <f>IFERROR((SUMIFS(TM[[#All],[Non-Claims: Capitation or Bundled Arrangements]],TM[[#All],[Reporting Year]],2023,TM[[#All],[Insurance Category Code]],4,TM[[#All],[Large Provider Entity Code]],100))/ICC4_MemberMonths_2023,"NA")</f>
        <v>NA</v>
      </c>
      <c r="N39" s="423" t="str">
        <f t="shared" si="4"/>
        <v>NA</v>
      </c>
      <c r="O39"/>
      <c r="P39" s="139" t="s">
        <v>595</v>
      </c>
      <c r="Q39" s="7" t="str">
        <f>IFERROR((SUMIFS(TM[[#All],[Non-Claims: Capitation or Bundled Arrangements]],TM[[#All],[Reporting Year]],2022,TM[[#All],[Insurance Category Code]],7,TM[[#All],[Large Provider Entity Code]],100))/ICC7_MemberMonths_2022,"NA")</f>
        <v>NA</v>
      </c>
      <c r="R39" s="7" t="str">
        <f>IFERROR((SUMIFS(TM[[#All],[Non-Claims: Capitation or Bundled Arrangements]],TM[[#All],[Reporting Year]],2023,TM[[#All],[Insurance Category Code]],7,TM[[#All],[Large Provider Entity Code]],100))/ICC7_MemberMonths_2023,"NA")</f>
        <v>NA</v>
      </c>
      <c r="S39" s="423" t="str">
        <f>IFERROR(Table911122757[[#This Row],[2023]]/Table911122757[[#This Row],[2022]]-1,"NA")</f>
        <v>NA</v>
      </c>
    </row>
    <row r="40" spans="1:19" x14ac:dyDescent="0.25">
      <c r="A40" s="139" t="s">
        <v>596</v>
      </c>
      <c r="B40" s="7" t="str">
        <f t="shared" si="3"/>
        <v>NA</v>
      </c>
      <c r="C40" s="7" t="str">
        <f>IFERROR((SUMPRODUCT(H25,H40)+SUMPRODUCT(ICC4_MemberMonths_2023,M40)+SUMPRODUCT(ICC7_MemberMonths_2023,R40))/Commercial_MemberMonths_2023,"NA")</f>
        <v>NA</v>
      </c>
      <c r="D40" s="423" t="str">
        <f>IFERROR(Table948[[#This Row],[2023]]/Table948[[#This Row],[2022]]-1,"NA")</f>
        <v>NA</v>
      </c>
      <c r="E40"/>
      <c r="F40" s="139" t="s">
        <v>596</v>
      </c>
      <c r="G40" s="7" t="str">
        <f>IFERROR((SUMIFS(TM[[#All],[Non-Claims: Performance Incentives]],TM[[#All],[Reporting Year]],2022,TM[[#All],[Insurance Category Code]],3,TM[[#All],[Large Provider Entity Code]],100))/ICC3_MemberMonths_2022,"NA")</f>
        <v>NA</v>
      </c>
      <c r="H40" s="7" t="str">
        <f>IFERROR((SUMIFS(TM[[#All],[Non-Claims: Performance Incentives]],TM[[#All],[Reporting Year]],2023,TM[[#All],[Insurance Category Code]],3,TM[[#All],[Large Provider Entity Code]],100))/H25,"NA")</f>
        <v>NA</v>
      </c>
      <c r="I40" s="423" t="str">
        <f>IFERROR(Table91149[[#This Row],[2023]]/Table91149[[#This Row],[2022]]-1,"NA")</f>
        <v>NA</v>
      </c>
      <c r="J40"/>
      <c r="K40" s="139" t="s">
        <v>596</v>
      </c>
      <c r="L40" s="7" t="str">
        <f>IFERROR((SUMIFS(TM[[#All],[Non-Claims: Performance Incentives]],TM[[#All],[Reporting Year]],2022,TM[[#All],[Insurance Category Code]],4,TM[[#All],[Large Provider Entity Code]],100))/ICC4_MemberMonths_2022,"NA")</f>
        <v>NA</v>
      </c>
      <c r="M40" s="7" t="str">
        <f>IFERROR((SUMIFS(TM[[#All],[Non-Claims: Performance Incentives]],TM[[#All],[Reporting Year]],2023,TM[[#All],[Insurance Category Code]],4,TM[[#All],[Large Provider Entity Code]],100))/ICC4_MemberMonths_2023,"NA")</f>
        <v>NA</v>
      </c>
      <c r="N40" s="423" t="str">
        <f t="shared" si="4"/>
        <v>NA</v>
      </c>
      <c r="O40"/>
      <c r="P40" s="139" t="s">
        <v>596</v>
      </c>
      <c r="Q40" s="7" t="str">
        <f>IFERROR((SUMIFS(TM[[#All],[Non-Claims: Performance Incentives]],TM[[#All],[Reporting Year]],2022,TM[[#All],[Insurance Category Code]],7,TM[[#All],[Large Provider Entity Code]],100))/ICC7_MemberMonths_2022,"NA")</f>
        <v>NA</v>
      </c>
      <c r="R40" s="7" t="str">
        <f>IFERROR((SUMIFS(TM[[#All],[Non-Claims: Performance Incentives]],TM[[#All],[Reporting Year]],2023,TM[[#All],[Insurance Category Code]],7,TM[[#All],[Large Provider Entity Code]],100))/ICC7_MemberMonths_2023,"NA")</f>
        <v>NA</v>
      </c>
      <c r="S40" s="423" t="str">
        <f>IFERROR(Table911122757[[#This Row],[2023]]/Table911122757[[#This Row],[2022]]-1,"NA")</f>
        <v>NA</v>
      </c>
    </row>
    <row r="41" spans="1:19" x14ac:dyDescent="0.25">
      <c r="A41" s="139" t="s">
        <v>597</v>
      </c>
      <c r="B41" s="7" t="str">
        <f t="shared" si="3"/>
        <v>NA</v>
      </c>
      <c r="C41" s="7" t="str">
        <f>IFERROR((SUMPRODUCT(H25,H41)+SUMPRODUCT(ICC4_MemberMonths_2023,M41)+SUMPRODUCT(ICC7_MemberMonths_2023,R41))/Commercial_MemberMonths_2023,"NA")</f>
        <v>NA</v>
      </c>
      <c r="D41" s="423" t="str">
        <f>IFERROR(Table948[[#This Row],[2023]]/Table948[[#This Row],[2022]]-1,"NA")</f>
        <v>NA</v>
      </c>
      <c r="E41"/>
      <c r="F41" s="139" t="s">
        <v>597</v>
      </c>
      <c r="G41" s="7" t="str">
        <f>IFERROR((SUMIFS(TM[[#All],[Non-Claims: Pop Health and Practice Infrastructure]],TM[[#All],[Reporting Year]],2022,TM[[#All],[Insurance Category Code]],3,TM[[#All],[Large Provider Entity Code]],100))/ICC3_MemberMonths_2022,"NA")</f>
        <v>NA</v>
      </c>
      <c r="H41" s="7" t="str">
        <f>IFERROR((SUMIFS(TM[[#All],[Non-Claims: Pop Health and Practice Infrastructure]],TM[[#All],[Reporting Year]],2023,TM[[#All],[Insurance Category Code]],3,TM[[#All],[Large Provider Entity Code]],100))/H25,"NA")</f>
        <v>NA</v>
      </c>
      <c r="I41" s="423" t="str">
        <f>IFERROR(Table91149[[#This Row],[2023]]/Table91149[[#This Row],[2022]]-1,"NA")</f>
        <v>NA</v>
      </c>
      <c r="J41"/>
      <c r="K41" s="139" t="s">
        <v>597</v>
      </c>
      <c r="L41" s="7" t="str">
        <f>IFERROR((SUMIFS(TM[[#All],[Non-Claims: Pop Health and Practice Infrastructure]],TM[[#All],[Reporting Year]],2022,TM[[#All],[Insurance Category Code]],4,TM[[#All],[Large Provider Entity Code]],100))/ICC4_MemberMonths_2022,"NA")</f>
        <v>NA</v>
      </c>
      <c r="M41" s="7" t="str">
        <f>IFERROR((SUMIFS(TM[[#All],[Non-Claims: Pop Health and Practice Infrastructure]],TM[[#All],[Reporting Year]],2023,TM[[#All],[Insurance Category Code]],4,TM[[#All],[Large Provider Entity Code]],100))/ICC4_MemberMonths_2023,"NA")</f>
        <v>NA</v>
      </c>
      <c r="N41" s="423" t="str">
        <f t="shared" si="4"/>
        <v>NA</v>
      </c>
      <c r="O41"/>
      <c r="P41" s="139" t="s">
        <v>597</v>
      </c>
      <c r="Q41" s="7" t="str">
        <f>IFERROR((SUMIFS(TM[[#All],[Non-Claims: Pop Health and Practice Infrastructure]],TM[[#All],[Reporting Year]],2022,TM[[#All],[Insurance Category Code]],7,TM[[#All],[Large Provider Entity Code]],100))/ICC7_MemberMonths_2022,"NA")</f>
        <v>NA</v>
      </c>
      <c r="R41" s="7" t="str">
        <f>IFERROR((SUMIFS(TM[[#All],[Non-Claims: Pop Health and Practice Infrastructure]],TM[[#All],[Reporting Year]],2023,TM[[#All],[Insurance Category Code]],7,TM[[#All],[Large Provider Entity Code]],100))/ICC7_MemberMonths_2023,"NA")</f>
        <v>NA</v>
      </c>
      <c r="S41" s="423" t="str">
        <f>IFERROR(Table911122757[[#This Row],[2023]]/Table911122757[[#This Row],[2022]]-1,"NA")</f>
        <v>NA</v>
      </c>
    </row>
    <row r="42" spans="1:19" x14ac:dyDescent="0.25">
      <c r="A42" s="139" t="s">
        <v>598</v>
      </c>
      <c r="B42" s="7" t="str">
        <f t="shared" si="3"/>
        <v>NA</v>
      </c>
      <c r="C42" s="7" t="str">
        <f>IFERROR((SUMPRODUCT(H25,H42)+SUMPRODUCT(ICC4_MemberMonths_2023,M42)+SUMPRODUCT(ICC7_MemberMonths_2023,R42))/Commercial_MemberMonths_2023,"NA")</f>
        <v>NA</v>
      </c>
      <c r="D42" s="423" t="str">
        <f>IFERROR(Table948[[#This Row],[2023]]/Table948[[#This Row],[2022]]-1,"NA")</f>
        <v>NA</v>
      </c>
      <c r="E42"/>
      <c r="F42" s="139" t="s">
        <v>598</v>
      </c>
      <c r="G42" s="7" t="str">
        <f>IFERROR((SUMIFS(TM[[#All],[Non-Claims: Provider Salaries]],TM[[#All],[Reporting Year]],2022,TM[[#All],[Insurance Category Code]],3,TM[[#All],[Large Provider Entity Code]],100))/ICC3_MemberMonths_2022,"NA")</f>
        <v>NA</v>
      </c>
      <c r="H42" s="7" t="str">
        <f>IFERROR((SUMIFS(TM[[#All],[Non-Claims: Provider Salaries]],TM[[#All],[Reporting Year]],2023,TM[[#All],[Insurance Category Code]],3,TM[[#All],[Large Provider Entity Code]],100))/H25,"NA")</f>
        <v>NA</v>
      </c>
      <c r="I42" s="423" t="str">
        <f>IFERROR(Table91149[[#This Row],[2023]]/Table91149[[#This Row],[2022]]-1,"NA")</f>
        <v>NA</v>
      </c>
      <c r="J42"/>
      <c r="K42" s="139" t="s">
        <v>598</v>
      </c>
      <c r="L42" s="7" t="str">
        <f>IFERROR((SUMIFS(TM[[#All],[Non-Claims: Provider Salaries]],TM[[#All],[Reporting Year]],2022,TM[[#All],[Insurance Category Code]],4,TM[[#All],[Large Provider Entity Code]],100))/ICC4_MemberMonths_2022,"NA")</f>
        <v>NA</v>
      </c>
      <c r="M42" s="7" t="str">
        <f>IFERROR((SUMIFS(TM[[#All],[Non-Claims: Provider Salaries]],TM[[#All],[Reporting Year]],2023,TM[[#All],[Insurance Category Code]],4,TM[[#All],[Large Provider Entity Code]],100))/ICC4_MemberMonths_2023,"NA")</f>
        <v>NA</v>
      </c>
      <c r="N42" s="423" t="str">
        <f t="shared" si="4"/>
        <v>NA</v>
      </c>
      <c r="O42"/>
      <c r="P42" s="139" t="s">
        <v>598</v>
      </c>
      <c r="Q42" s="7" t="str">
        <f>IFERROR((SUMIFS(TM[[#All],[Non-Claims: Provider Salaries]],TM[[#All],[Reporting Year]],2022,TM[[#All],[Insurance Category Code]],7,TM[[#All],[Large Provider Entity Code]],100))/ICC7_MemberMonths_2022,"NA")</f>
        <v>NA</v>
      </c>
      <c r="R42" s="7" t="str">
        <f>IFERROR((SUMIFS(TM[[#All],[Non-Claims: Provider Salaries]],TM[[#All],[Reporting Year]],2023,TM[[#All],[Insurance Category Code]],7,TM[[#All],[Large Provider Entity Code]],100))/ICC7_MemberMonths_2023,"NA")</f>
        <v>NA</v>
      </c>
      <c r="S42" s="423" t="str">
        <f>IFERROR(Table911122757[[#This Row],[2023]]/Table911122757[[#This Row],[2022]]-1,"NA")</f>
        <v>NA</v>
      </c>
    </row>
    <row r="43" spans="1:19" x14ac:dyDescent="0.25">
      <c r="A43" s="139" t="s">
        <v>599</v>
      </c>
      <c r="B43" s="7" t="str">
        <f t="shared" si="3"/>
        <v>NA</v>
      </c>
      <c r="C43" s="7" t="str">
        <f>IFERROR((SUMPRODUCT(H25,H43)+SUMPRODUCT(ICC4_MemberMonths_2023,M43)+SUMPRODUCT(ICC7_MemberMonths_2023,R43))/Commercial_MemberMonths_2023,"NA")</f>
        <v>NA</v>
      </c>
      <c r="D43" s="423" t="str">
        <f>IFERROR(Table948[[#This Row],[2023]]/Table948[[#This Row],[2022]]-1,"NA")</f>
        <v>NA</v>
      </c>
      <c r="E43"/>
      <c r="F43" s="139" t="s">
        <v>599</v>
      </c>
      <c r="G43" s="7" t="str">
        <f>IFERROR((SUMIFS(TM[[#All],[Non-Claims: Recovery]],TM[[#All],[Reporting Year]],2022,TM[[#All],[Insurance Category Code]],3,TM[[#All],[Large Provider Entity Code]],100))/ICC3_MemberMonths_2022,"NA")</f>
        <v>NA</v>
      </c>
      <c r="H43" s="7" t="str">
        <f>IFERROR((SUMIFS(TM[[#All],[Non-Claims: Recovery]],TM[[#All],[Reporting Year]],2023,TM[[#All],[Insurance Category Code]],3,TM[[#All],[Large Provider Entity Code]],100))/H25,"NA")</f>
        <v>NA</v>
      </c>
      <c r="I43" s="423" t="str">
        <f>IFERROR(Table91149[[#This Row],[2023]]/Table91149[[#This Row],[2022]]-1,"NA")</f>
        <v>NA</v>
      </c>
      <c r="J43"/>
      <c r="K43" s="139" t="s">
        <v>599</v>
      </c>
      <c r="L43" s="7" t="str">
        <f>IFERROR((SUMIFS(TM[[#All],[Non-Claims: Recovery]],TM[[#All],[Reporting Year]],2022,TM[[#All],[Insurance Category Code]],4,TM[[#All],[Large Provider Entity Code]],100))/ICC4_MemberMonths_2022,"NA")</f>
        <v>NA</v>
      </c>
      <c r="M43" s="7" t="str">
        <f>IFERROR((SUMIFS(TM[[#All],[Non-Claims: Recovery]],TM[[#All],[Reporting Year]],2023,TM[[#All],[Insurance Category Code]],4,TM[[#All],[Large Provider Entity Code]],100))/ICC4_MemberMonths_2023,"NA")</f>
        <v>NA</v>
      </c>
      <c r="N43" s="423" t="str">
        <f t="shared" si="4"/>
        <v>NA</v>
      </c>
      <c r="O43"/>
      <c r="P43" s="139" t="s">
        <v>599</v>
      </c>
      <c r="Q43" s="7" t="str">
        <f>IFERROR((SUMIFS(TM[[#All],[Non-Claims: Recovery]],TM[[#All],[Reporting Year]],2022,TM[[#All],[Insurance Category Code]],7,TM[[#All],[Large Provider Entity Code]],100))/ICC7_MemberMonths_2022,"NA")</f>
        <v>NA</v>
      </c>
      <c r="R43" s="7" t="str">
        <f>IFERROR((SUMIFS(TM[[#All],[Non-Claims: Recovery]],TM[[#All],[Reporting Year]],2023,TM[[#All],[Insurance Category Code]],7,TM[[#All],[Large Provider Entity Code]],100))/ICC7_MemberMonths_2023,"NA")</f>
        <v>NA</v>
      </c>
      <c r="S43" s="423" t="str">
        <f>IFERROR(Table911122757[[#This Row],[2023]]/Table911122757[[#This Row],[2022]]-1,"NA")</f>
        <v>NA</v>
      </c>
    </row>
    <row r="44" spans="1:19" x14ac:dyDescent="0.25">
      <c r="A44" s="139" t="s">
        <v>600</v>
      </c>
      <c r="B44" s="7" t="str">
        <f t="shared" si="3"/>
        <v>NA</v>
      </c>
      <c r="C44" s="7" t="str">
        <f>IFERROR((SUMPRODUCT(H25,H44)+SUMPRODUCT(ICC4_MemberMonths_2023,M44)+SUMPRODUCT(ICC7_MemberMonths_2023,R44))/Commercial_MemberMonths_2023,"NA")</f>
        <v>NA</v>
      </c>
      <c r="D44" s="423" t="str">
        <f>IFERROR(Table948[[#This Row],[2023]]/Table948[[#This Row],[2022]]-1,"NA")</f>
        <v>NA</v>
      </c>
      <c r="E44"/>
      <c r="F44" s="139" t="s">
        <v>600</v>
      </c>
      <c r="G44" s="7" t="str">
        <f>IFERROR((SUMIFS(TM[[#All],[Non-Claims: Other]],TM[[#All],[Reporting Year]],2022,TM[[#All],[Insurance Category Code]],3,TM[[#All],[Large Provider Entity Code]],100))/ICC3_MemberMonths_2022,"NA")</f>
        <v>NA</v>
      </c>
      <c r="H44" s="7" t="str">
        <f>IFERROR((SUMIFS(TM[[#All],[Non-Claims: Other]],TM[[#All],[Reporting Year]],2023,TM[[#All],[Insurance Category Code]],3,TM[[#All],[Large Provider Entity Code]],100))/H25,"NA")</f>
        <v>NA</v>
      </c>
      <c r="I44" s="423" t="str">
        <f>IFERROR(Table91149[[#This Row],[2023]]/Table91149[[#This Row],[2022]]-1,"NA")</f>
        <v>NA</v>
      </c>
      <c r="J44"/>
      <c r="K44" s="139" t="s">
        <v>600</v>
      </c>
      <c r="L44" s="7" t="str">
        <f>IFERROR((SUMIFS(TM[[#All],[Non-Claims: Other]],TM[[#All],[Reporting Year]],2022,TM[[#All],[Insurance Category Code]],4,TM[[#All],[Large Provider Entity Code]],100))/ICC4_MemberMonths_2022,"NA")</f>
        <v>NA</v>
      </c>
      <c r="M44" s="7" t="str">
        <f>IFERROR((SUMIFS(TM[[#All],[Non-Claims: Other]],TM[[#All],[Reporting Year]],2023,TM[[#All],[Insurance Category Code]],4,TM[[#All],[Large Provider Entity Code]],100))/ICC4_MemberMonths_2023,"NA")</f>
        <v>NA</v>
      </c>
      <c r="N44" s="423" t="str">
        <f t="shared" si="4"/>
        <v>NA</v>
      </c>
      <c r="O44"/>
      <c r="P44" s="139" t="s">
        <v>600</v>
      </c>
      <c r="Q44" s="7" t="str">
        <f>IFERROR((SUMIFS(TM[[#All],[Non-Claims: Other]],TM[[#All],[Reporting Year]],2022,TM[[#All],[Insurance Category Code]],7,TM[[#All],[Large Provider Entity Code]],100))/ICC7_MemberMonths_2022,"NA")</f>
        <v>NA</v>
      </c>
      <c r="R44" s="7" t="str">
        <f>IFERROR((SUMIFS(TM[[#All],[Non-Claims: Other]],TM[[#All],[Reporting Year]],2023,TM[[#All],[Insurance Category Code]],7,TM[[#All],[Large Provider Entity Code]],100))/ICC7_MemberMonths_2023,"NA")</f>
        <v>NA</v>
      </c>
      <c r="S44" s="423" t="str">
        <f>IFERROR(Table911122757[[#This Row],[2023]]/Table911122757[[#This Row],[2022]]-1,"NA")</f>
        <v>NA</v>
      </c>
    </row>
    <row r="45" spans="1:19" s="155" customFormat="1" x14ac:dyDescent="0.25">
      <c r="A45" s="139" t="s">
        <v>601</v>
      </c>
      <c r="B45" s="7" t="str">
        <f t="shared" si="3"/>
        <v>NA</v>
      </c>
      <c r="C45" s="7" t="str">
        <f>IFERROR((SUMPRODUCT(H25,H45)+SUMPRODUCT(ICC4_MemberMonths_2023,M45)+SUMPRODUCT(ICC7_MemberMonths_2023,R45))/Commercial_MemberMonths_2023,"NA")</f>
        <v>NA</v>
      </c>
      <c r="D45" s="423" t="str">
        <f>IFERROR(Table948[[#This Row],[2023]]/Table948[[#This Row],[2022]]-1,"NA")</f>
        <v>NA</v>
      </c>
      <c r="E45" s="3"/>
      <c r="F45" s="139" t="s">
        <v>601</v>
      </c>
      <c r="G45" s="7" t="str">
        <f>IFERROR((SUMIFS(TM[[#All],[Non-Claims: Total Primary Care]],TM[[#All],[Reporting Year]],2022,TM[[#All],[Insurance Category Code]],3,TM[[#All],[Large Provider Entity Code]],100))/ICC3_MemberMonths_2022,"NA")</f>
        <v>NA</v>
      </c>
      <c r="H45" s="7" t="str">
        <f>IFERROR((SUMIFS(TM[[#All],[Non-Claims: Total Primary Care]],TM[[#All],[Reporting Year]],2023,TM[[#All],[Insurance Category Code]],3,TM[[#All],[Large Provider Entity Code]],100))/H25,"NA")</f>
        <v>NA</v>
      </c>
      <c r="I45" s="423" t="str">
        <f>IFERROR(Table91149[[#This Row],[2023]]/Table91149[[#This Row],[2022]]-1,"NA")</f>
        <v>NA</v>
      </c>
      <c r="J45" s="3"/>
      <c r="K45" s="139" t="s">
        <v>601</v>
      </c>
      <c r="L45" s="7" t="str">
        <f>IFERROR((SUMIFS(TM[[#All],[Non-Claims: Total Primary Care]],TM[[#All],[Reporting Year]],2022,TM[[#All],[Insurance Category Code]],4,TM[[#All],[Large Provider Entity Code]],100))/ICC4_MemberMonths_2022,"NA")</f>
        <v>NA</v>
      </c>
      <c r="M45" s="7" t="str">
        <f>IFERROR((SUMIFS(TM[[#All],[Non-Claims: Total Primary Care]],TM[[#All],[Reporting Year]],2023,TM[[#All],[Insurance Category Code]],4,TM[[#All],[Large Provider Entity Code]],100))/ICC4_MemberMonths_2023,"NA")</f>
        <v>NA</v>
      </c>
      <c r="N45" s="423" t="str">
        <f t="shared" si="4"/>
        <v>NA</v>
      </c>
      <c r="O45" s="3"/>
      <c r="P45" s="139" t="s">
        <v>601</v>
      </c>
      <c r="Q45" s="7" t="str">
        <f>IFERROR((SUMIFS(TM[[#All],[Non-Claims: Total Primary Care]],TM[[#All],[Reporting Year]],2022,TM[[#All],[Insurance Category Code]],7,TM[[#All],[Large Provider Entity Code]],100))/ICC7_MemberMonths_2022,"NA")</f>
        <v>NA</v>
      </c>
      <c r="R45" s="7" t="str">
        <f>IFERROR((SUMIFS(TM[[#All],[Non-Claims: Total Primary Care]],TM[[#All],[Reporting Year]],2023,TM[[#All],[Insurance Category Code]],7,TM[[#All],[Large Provider Entity Code]],100))/ICC7_MemberMonths_2023,"NA")</f>
        <v>NA</v>
      </c>
      <c r="S45" s="423" t="str">
        <f>IFERROR(Table911122757[[#This Row],[2023]]/Table911122757[[#This Row],[2022]]-1,"NA")</f>
        <v>NA</v>
      </c>
    </row>
    <row r="46" spans="1:19" ht="15.75" thickBot="1" x14ac:dyDescent="0.3">
      <c r="A46" s="503" t="s">
        <v>602</v>
      </c>
      <c r="B46" s="130" t="str">
        <f t="shared" si="3"/>
        <v>NA</v>
      </c>
      <c r="C46" s="506" t="str">
        <f>IFERROR((SUMPRODUCT(H25,H46)+SUMPRODUCT(ICC4_MemberMonths_2023,M46)+SUMPRODUCT(ICC7_MemberMonths_2023,R46))/Commercial_MemberMonths_2023,"NA")</f>
        <v>NA</v>
      </c>
      <c r="D46" s="504" t="str">
        <f>IFERROR(Table948[[#This Row],[2023]]/Table948[[#This Row],[2022]]-1,"NA")</f>
        <v>NA</v>
      </c>
      <c r="E46"/>
      <c r="F46" s="503" t="s">
        <v>602</v>
      </c>
      <c r="G46" s="507" t="str">
        <f>IFERROR((SUMIFS(TM[[#All],[Total Non-Claims Spending]],TM[[#All],[Reporting Year]],2022,TM[[#All],[Insurance Category Code]],3,TM[[#All],[Large Provider Entity Code]],100))/ICC3_MemberMonths_2022,"NA")</f>
        <v>NA</v>
      </c>
      <c r="H46" s="507" t="str">
        <f>IFERROR((SUMIFS(TM[[#All],[Total Non-Claims Spending]],TM[[#All],[Reporting Year]],2023,TM[[#All],[Insurance Category Code]],3,TM[[#All],[Large Provider Entity Code]],100))/H25,"NA")</f>
        <v>NA</v>
      </c>
      <c r="I46" s="504" t="str">
        <f>IFERROR(Table91149[[#This Row],[2023]]/Table91149[[#This Row],[2022]]-1,"NA")</f>
        <v>NA</v>
      </c>
      <c r="J46"/>
      <c r="K46" s="503" t="s">
        <v>602</v>
      </c>
      <c r="L46" s="507" t="str">
        <f>IFERROR((SUMIFS(TM[[#All],[Total Non-Claims Spending]],TM[[#All],[Reporting Year]],2022,TM[[#All],[Insurance Category Code]],4,TM[[#All],[Large Provider Entity Code]],100))/ICC4_MemberMonths_2022,"NA")</f>
        <v>NA</v>
      </c>
      <c r="M46" s="507" t="str">
        <f>IFERROR((SUMIFS(TM[[#All],[Total Non-Claims Spending]],TM[[#All],[Reporting Year]],2023,TM[[#All],[Insurance Category Code]],4,TM[[#All],[Large Provider Entity Code]],100))/ICC4_MemberMonths_2023,"NA")</f>
        <v>NA</v>
      </c>
      <c r="N46" s="504" t="str">
        <f t="shared" si="4"/>
        <v>NA</v>
      </c>
      <c r="O46"/>
      <c r="P46" s="503" t="s">
        <v>602</v>
      </c>
      <c r="Q46" s="507" t="str">
        <f>IFERROR((SUMIFS(TM[[#All],[Total Non-Claims Spending]],TM[[#All],[Reporting Year]],2022,TM[[#All],[Insurance Category Code]],7,TM[[#All],[Large Provider Entity Code]],100))/ICC7_MemberMonths_2022,"NA")</f>
        <v>NA</v>
      </c>
      <c r="R46" s="507" t="str">
        <f>IFERROR((SUMIFS(TM[[#All],[Total Non-Claims Spending]],TM[[#All],[Reporting Year]],2023,TM[[#All],[Insurance Category Code]],7,TM[[#All],[Large Provider Entity Code]],100))/ICC7_MemberMonths_2023,"NA")</f>
        <v>NA</v>
      </c>
      <c r="S46" s="508" t="str">
        <f>IFERROR(Table911122757[[#This Row],[2023]]/Table911122757[[#This Row],[2022]]-1,"NA")</f>
        <v>NA</v>
      </c>
    </row>
    <row r="47" spans="1:19" ht="15.75" thickTop="1" x14ac:dyDescent="0.25">
      <c r="A47" s="114" t="s">
        <v>603</v>
      </c>
      <c r="B47" s="140" t="str">
        <f t="shared" si="3"/>
        <v>NA</v>
      </c>
      <c r="C47" s="140" t="str">
        <f>IFERROR((SUMPRODUCT(H25,H47)+SUMPRODUCT(ICC4_MemberMonths_2023,M47)+SUMPRODUCT(ICC7_MemberMonths_2023,R47))/Commercial_MemberMonths_2023,"NA")</f>
        <v>NA</v>
      </c>
      <c r="D47" s="424" t="str">
        <f>IFERROR(Table948[[#This Row],[2023]]/Table948[[#This Row],[2022]]-1,"NA")</f>
        <v>NA</v>
      </c>
      <c r="E47"/>
      <c r="F47" s="114" t="s">
        <v>603</v>
      </c>
      <c r="G47" s="141" t="str">
        <f>IFERROR((SUMIFS(TM[[#All],[Total Non-Truncated Claims and Non-Claims Spending]],TM[[#All],[Reporting Year]],2022,TM[[#All],[Insurance Category Code]],3,TM[[#All],[Large Provider Entity Code]],100))/ICC3_MemberMonths_2022,"NA")</f>
        <v>NA</v>
      </c>
      <c r="H47" s="141" t="str">
        <f>IFERROR((SUMIFS(TM[[#All],[Total Non-Truncated Claims and Non-Claims Spending]],TM[[#All],[Reporting Year]],2023,TM[[#All],[Insurance Category Code]],3,TM[[#All],[Large Provider Entity Code]],100))/H25,"NA")</f>
        <v>NA</v>
      </c>
      <c r="I47" s="424" t="str">
        <f>IFERROR(Table91149[[#This Row],[2023]]/Table91149[[#This Row],[2022]]-1,"NA")</f>
        <v>NA</v>
      </c>
      <c r="J47"/>
      <c r="K47" s="114" t="s">
        <v>603</v>
      </c>
      <c r="L47" s="141" t="str">
        <f>IFERROR((SUMIFS(TM[[#All],[Total Non-Truncated Claims and Non-Claims Spending]],TM[[#All],[Reporting Year]],2022,TM[[#All],[Insurance Category Code]],4,TM[[#All],[Large Provider Entity Code]],100))/ICC4_MemberMonths_2022,"NA")</f>
        <v>NA</v>
      </c>
      <c r="M47" s="141" t="str">
        <f>IFERROR((SUMIFS(TM[[#All],[Total Non-Truncated Claims and Non-Claims Spending]],TM[[#All],[Reporting Year]],2023,TM[[#All],[Insurance Category Code]],4,TM[[#All],[Large Provider Entity Code]],100))/ICC4_MemberMonths_2023,"NA")</f>
        <v>NA</v>
      </c>
      <c r="N47" s="557" t="str">
        <f t="shared" si="4"/>
        <v>NA</v>
      </c>
      <c r="O47"/>
      <c r="P47" s="114" t="s">
        <v>603</v>
      </c>
      <c r="Q47" s="141" t="str">
        <f>IFERROR((SUMIFS(TM[[#All],[Total Non-Truncated Claims and Non-Claims Spending]],TM[[#All],[Reporting Year]],2022,TM[[#All],[Insurance Category Code]],7,TM[[#All],[Large Provider Entity Code]],100))/ICC7_MemberMonths_2022,"NA")</f>
        <v>NA</v>
      </c>
      <c r="R47" s="141" t="str">
        <f>IFERROR((SUMIFS(TM[[#All],[Total Non-Truncated Claims and Non-Claims Spending]],TM[[#All],[Reporting Year]],2023,TM[[#All],[Insurance Category Code]],7,TM[[#All],[Large Provider Entity Code]],100))/ICC7_MemberMonths_2023,"NA")</f>
        <v>NA</v>
      </c>
      <c r="S47" s="426" t="str">
        <f>IFERROR(Table911122757[[#This Row],[2023]]/Table911122757[[#This Row],[2022]]-1,"NA")</f>
        <v>NA</v>
      </c>
    </row>
    <row r="48" spans="1:19" x14ac:dyDescent="0.25">
      <c r="A48" s="142" t="s">
        <v>604</v>
      </c>
      <c r="B48" s="140" t="str">
        <f t="shared" si="3"/>
        <v>NA</v>
      </c>
      <c r="C48" s="143" t="str">
        <f>IFERROR((SUMPRODUCT(H25,H48)+SUMPRODUCT(ICC4_MemberMonths_2023,M48)+SUMPRODUCT(ICC7_MemberMonths_2023,R48))/Commercial_MemberMonths_2023,"NA")</f>
        <v>NA</v>
      </c>
      <c r="D48" s="425" t="str">
        <f>IFERROR(Table948[[#This Row],[2023]]/Table948[[#This Row],[2022]]-1,"NA")</f>
        <v>NA</v>
      </c>
      <c r="E48"/>
      <c r="F48" s="142" t="s">
        <v>604</v>
      </c>
      <c r="G48" s="144" t="str">
        <f>IFERROR((SUMIFS(TM[[#All],[Total Truncated Expenses]],TM[[#All],[Reporting Year]],2022,TM[[#All],[Insurance Category Code]],3,TM[[#All],[Large Provider Entity Code]],100))/ICC3_MemberMonths_2022,"NA")</f>
        <v>NA</v>
      </c>
      <c r="H48" s="144" t="str">
        <f>IFERROR((SUMIFS(TM[[#All],[Total Truncated Expenses]],TM[[#All],[Reporting Year]],2023,TM[[#All],[Insurance Category Code]],3,TM[[#All],[Large Provider Entity Code]],100))/H25,"NA")</f>
        <v>NA</v>
      </c>
      <c r="I48" s="425" t="str">
        <f>IFERROR(Table91149[[#This Row],[2023]]/Table91149[[#This Row],[2022]]-1,"NA")</f>
        <v>NA</v>
      </c>
      <c r="J48"/>
      <c r="K48" s="142" t="s">
        <v>604</v>
      </c>
      <c r="L48" s="144" t="str">
        <f>IFERROR((SUMIFS(TM[[#All],[Total Truncated Expenses]],TM[[#All],[Reporting Year]],2022,TM[[#All],[Insurance Category Code]],4,TM[[#All],[Large Provider Entity Code]],100))/ICC4_MemberMonths_2022,"NA")</f>
        <v>NA</v>
      </c>
      <c r="M48" s="144" t="str">
        <f>IFERROR((SUMIFS(TM[[#All],[Total Truncated Expenses]],TM[[#All],[Reporting Year]],2023,TM[[#All],[Insurance Category Code]],4,TM[[#All],[Large Provider Entity Code]],100))/ICC4_MemberMonths_2023,"NA")</f>
        <v>NA</v>
      </c>
      <c r="N48" s="557" t="str">
        <f t="shared" si="4"/>
        <v>NA</v>
      </c>
      <c r="O48"/>
      <c r="P48" s="142" t="s">
        <v>604</v>
      </c>
      <c r="Q48" s="144" t="str">
        <f>IFERROR((SUMIFS(TM[[#All],[Total Truncated Expenses]],TM[[#All],[Reporting Year]],2022,TM[[#All],[Insurance Category Code]],7,TM[[#All],[Large Provider Entity Code]],100))/ICC7_MemberMonths_2022,"NA")</f>
        <v>NA</v>
      </c>
      <c r="R48" s="144" t="str">
        <f>IFERROR((SUMIFS(TM[[#All],[Total Truncated Expenses]],TM[[#All],[Reporting Year]],2023,TM[[#All],[Insurance Category Code]],7,TM[[#All],[Large Provider Entity Code]],100))/ICC7_MemberMonths_2023,"NA")</f>
        <v>NA</v>
      </c>
      <c r="S48" s="425" t="str">
        <f>IFERROR(Table911122757[[#This Row],[2023]]/Table911122757[[#This Row],[2022]]-1,"NA")</f>
        <v>NA</v>
      </c>
    </row>
    <row r="49" spans="1:19" x14ac:dyDescent="0.25">
      <c r="A49"/>
      <c r="B49"/>
      <c r="C49"/>
      <c r="D49"/>
      <c r="E49"/>
      <c r="F49"/>
      <c r="G49"/>
      <c r="H49"/>
      <c r="I49"/>
      <c r="J49"/>
      <c r="K49"/>
      <c r="L49"/>
      <c r="M49"/>
      <c r="N49"/>
      <c r="O49"/>
      <c r="P49"/>
      <c r="Q49"/>
      <c r="R49"/>
      <c r="S49"/>
    </row>
    <row r="50" spans="1:19" x14ac:dyDescent="0.25">
      <c r="A50" s="695" t="s">
        <v>537</v>
      </c>
      <c r="B50" s="695"/>
      <c r="C50" s="695"/>
      <c r="D50" s="695"/>
      <c r="E50"/>
      <c r="F50" s="695" t="s">
        <v>538</v>
      </c>
      <c r="G50" s="695"/>
      <c r="H50" s="695"/>
      <c r="I50" s="695"/>
      <c r="J50"/>
      <c r="K50" s="3" t="s">
        <v>539</v>
      </c>
      <c r="L50" s="3"/>
      <c r="M50" s="3"/>
      <c r="N50" s="3"/>
      <c r="O50"/>
      <c r="P50" s="3" t="s">
        <v>540</v>
      </c>
      <c r="Q50" s="3"/>
      <c r="R50" s="3"/>
      <c r="S50" s="3"/>
    </row>
    <row r="51" spans="1:19" ht="30" customHeight="1" x14ac:dyDescent="0.25">
      <c r="A51" s="685" t="s">
        <v>416</v>
      </c>
      <c r="B51" s="685"/>
      <c r="C51" s="685"/>
      <c r="D51" s="685"/>
      <c r="E51"/>
      <c r="F51" s="685" t="s">
        <v>416</v>
      </c>
      <c r="G51" s="685"/>
      <c r="H51" s="685"/>
      <c r="I51" s="685"/>
      <c r="J51"/>
      <c r="K51" s="685" t="s">
        <v>416</v>
      </c>
      <c r="L51" s="685"/>
      <c r="M51" s="685"/>
      <c r="N51" s="685"/>
      <c r="O51"/>
      <c r="P51" s="685" t="s">
        <v>416</v>
      </c>
      <c r="Q51" s="685"/>
      <c r="R51" s="685"/>
      <c r="S51" s="685"/>
    </row>
    <row r="52" spans="1:19" ht="45" customHeight="1" x14ac:dyDescent="0.25">
      <c r="A52" s="686" t="s">
        <v>587</v>
      </c>
      <c r="B52" s="686"/>
      <c r="C52" s="686"/>
      <c r="D52" s="686"/>
      <c r="E52"/>
      <c r="F52" s="686" t="s">
        <v>587</v>
      </c>
      <c r="G52" s="686"/>
      <c r="H52" s="686"/>
      <c r="I52" s="686"/>
      <c r="J52"/>
      <c r="K52" s="686" t="s">
        <v>587</v>
      </c>
      <c r="L52" s="686"/>
      <c r="M52" s="686"/>
      <c r="N52" s="686"/>
      <c r="O52"/>
      <c r="P52" s="686" t="s">
        <v>587</v>
      </c>
      <c r="Q52" s="686"/>
      <c r="R52" s="686"/>
      <c r="S52" s="686"/>
    </row>
    <row r="53" spans="1:19" x14ac:dyDescent="0.25">
      <c r="A53" s="145" t="s">
        <v>533</v>
      </c>
      <c r="B53" s="146" t="s">
        <v>515</v>
      </c>
      <c r="C53" s="147" t="s">
        <v>605</v>
      </c>
      <c r="D53" s="148" t="s">
        <v>516</v>
      </c>
      <c r="E53" s="2"/>
      <c r="F53" s="145" t="s">
        <v>533</v>
      </c>
      <c r="G53" s="146" t="s">
        <v>515</v>
      </c>
      <c r="H53" s="147" t="s">
        <v>605</v>
      </c>
      <c r="I53" s="148" t="s">
        <v>516</v>
      </c>
      <c r="J53"/>
      <c r="K53" s="145" t="s">
        <v>533</v>
      </c>
      <c r="L53" s="146" t="s">
        <v>515</v>
      </c>
      <c r="M53" s="147" t="s">
        <v>605</v>
      </c>
      <c r="N53" s="148" t="s">
        <v>516</v>
      </c>
      <c r="O53"/>
      <c r="P53" s="145" t="s">
        <v>533</v>
      </c>
      <c r="Q53" s="146" t="s">
        <v>515</v>
      </c>
      <c r="R53" s="147" t="s">
        <v>605</v>
      </c>
      <c r="S53" s="148" t="s">
        <v>516</v>
      </c>
    </row>
    <row r="54" spans="1:19" x14ac:dyDescent="0.25">
      <c r="A54" s="136" t="s">
        <v>577</v>
      </c>
      <c r="B54" s="137">
        <f>SUM(G54,L54,Q54)</f>
        <v>0</v>
      </c>
      <c r="C54" s="137">
        <f>SUM(H54,M54,R54)</f>
        <v>0</v>
      </c>
      <c r="D54" s="423" t="str">
        <f>IFERROR(Table91351[[#This Row],[2023]]/Table91351[[#This Row],[2022]]-1,"NA")</f>
        <v>NA</v>
      </c>
      <c r="E54"/>
      <c r="F54" s="136" t="s">
        <v>181</v>
      </c>
      <c r="G54" s="137">
        <f>SUMIFS(TM[[#All],[Member Months]],TM[[#All],[Reporting Year]],2022,TM[[#All],[Insurance Category Code]],1,TM[[#All],[Large Provider Entity Code]],100)</f>
        <v>0</v>
      </c>
      <c r="H54" s="137">
        <f>SUMIFS(TM[[#All],[Member Months]],TM[[#All],[Reporting Year]],2023,TM[[#All],[Insurance Category Code]],1,TM[[#All],[Large Provider Entity Code]],100)</f>
        <v>0</v>
      </c>
      <c r="I54" s="423" t="str">
        <f>IFERROR(Table9111452[[#This Row],[2023]]/Table9111452[[#This Row],[2022]]-1,"NA")</f>
        <v>NA</v>
      </c>
      <c r="J54"/>
      <c r="K54" s="136" t="s">
        <v>577</v>
      </c>
      <c r="L54" s="137">
        <f>SUMIFS(TM[[#All],[Member Months]],TM[[#All],[Reporting Year]],2022,TM[[#All],[Insurance Category Code]],5,TM[[#All],[Large Provider Entity Code]],100)</f>
        <v>0</v>
      </c>
      <c r="M54" s="137">
        <f>SUMIFS(TM[[#All],[Member Months]],TM[[#All],[Reporting Year]],2023,TM[[#All],[Insurance Category Code]],5,TM[[#All],[Large Provider Entity Code]],100)</f>
        <v>0</v>
      </c>
      <c r="N54" s="423" t="str">
        <f>IFERROR(M54/L54-1,"NA")</f>
        <v>NA</v>
      </c>
      <c r="O54"/>
      <c r="P54" s="136" t="s">
        <v>577</v>
      </c>
      <c r="Q54" s="137">
        <f>SUMIFS(TM[[#All],[Member Months]],TM[[#All],[Reporting Year]],2022,TM[[#All],[Insurance Category Code]],8,TM[[#All],[Large Provider Entity Code]],100)</f>
        <v>0</v>
      </c>
      <c r="R54" s="137">
        <f>SUMIFS(TM[[#All],[Member Months]],TM[[#All],[Reporting Year]],2023,TM[[#All],[Insurance Category Code]],8,TM[[#All],[Large Provider Entity Code]],100)</f>
        <v>0</v>
      </c>
      <c r="S54" s="423" t="str">
        <f>IFERROR(Table91112152858[[#This Row],[2023]]/Table91112152858[[#This Row],[2022]]-1,"NA")</f>
        <v>NA</v>
      </c>
    </row>
    <row r="55" spans="1:19" x14ac:dyDescent="0.25">
      <c r="A55" s="139" t="s">
        <v>582</v>
      </c>
      <c r="B55" s="7" t="str">
        <f t="shared" ref="B55:B63" si="5">IFERROR((SUMPRODUCT(ICC1_MemberMonths_2022,G55)+SUMPRODUCT(ICC5_MemberMonths_2022,L55)+SUMPRODUCT(ICC8_MemberMonths_2022,Q55))/Medicare_MemberMonths_2022,"NA")</f>
        <v>NA</v>
      </c>
      <c r="C55" s="7" t="str">
        <f t="shared" ref="C55:C63" si="6">IFERROR((SUMPRODUCT(ICC1_MemberMonths_2023,H55)+SUMPRODUCT(ICC5_MemberMonths_2023,M55)+SUMPRODUCT(ICC8_MemberMonths_2023,R55))/Medicare_MemberMonths_2023,"NA")</f>
        <v>NA</v>
      </c>
      <c r="D55" s="423" t="str">
        <f>IFERROR(Table91351[[#This Row],[2023]]/Table91351[[#This Row],[2022]]-1,"NA")</f>
        <v>NA</v>
      </c>
      <c r="E55"/>
      <c r="F55" s="139" t="s">
        <v>182</v>
      </c>
      <c r="G55" s="7" t="str">
        <f>IFERROR((SUMIFS(TM[[#All],[Claims: Hospital Inpatient]],TM[[#All],[Reporting Year]],2022,TM[[#All],[Insurance Category Code]],1,TM[[#All],[Large Provider Entity Code]],100))/ICC1_MemberMonths_2022,"NA")</f>
        <v>NA</v>
      </c>
      <c r="H55" s="7" t="str">
        <f>IFERROR((SUMIFS(TM[[#All],[Claims: Hospital Inpatient]],TM[[#All],[Reporting Year]],2023,TM[[#All],[Insurance Category Code]],1,TM[[#All],[Large Provider Entity Code]],100))/ICC1_MemberMonths_2023,"NA")</f>
        <v>NA</v>
      </c>
      <c r="I55" s="423" t="str">
        <f>IFERROR(Table9111452[[#This Row],[2023]]/Table9111452[[#This Row],[2022]]-1,"NA")</f>
        <v>NA</v>
      </c>
      <c r="J55"/>
      <c r="K55" s="139" t="s">
        <v>582</v>
      </c>
      <c r="L55" s="7" t="str">
        <f>IFERROR((SUMIFS(TM[[#All],[Claims: Hospital Inpatient]],TM[[#All],[Reporting Year]],2022,TM[[#All],[Insurance Category Code]],5,TM[[#All],[Large Provider Entity Code]],100))/ICC5_MemberMonths_2022,"NA")</f>
        <v>NA</v>
      </c>
      <c r="M55" s="7" t="str">
        <f>IFERROR((SUMIFS(TM[[#All],[Claims: Hospital Inpatient]],TM[[#All],[Reporting Year]],2023,TM[[#All],[Insurance Category Code]],5,TM[[#All],[Large Provider Entity Code]],100))/ICC5_MemberMonths_2023,"NA")</f>
        <v>NA</v>
      </c>
      <c r="N55" s="423" t="str">
        <f>IFERROR(M55/L55-1,"NA")</f>
        <v>NA</v>
      </c>
      <c r="O55"/>
      <c r="P55" s="139" t="s">
        <v>582</v>
      </c>
      <c r="Q55" s="7" t="str">
        <f>IFERROR((SUMIFS(TM[[#All],[Claims: Hospital Inpatient]],TM[[#All],[Reporting Year]],2022,TM[[#All],[Insurance Category Code]],8,TM[[#All],[Large Provider Entity Code]],100))/ICC8_MemberMonths_2022,"NA")</f>
        <v>NA</v>
      </c>
      <c r="R55" s="7" t="str">
        <f>IFERROR((SUMIFS(TM[[#All],[Claims: Hospital Inpatient]],TM[[#All],[Reporting Year]],2023,TM[[#All],[Insurance Category Code]],8,TM[[#All],[Large Provider Entity Code]],100))/ICC8_MemberMonths_2023,"NA")</f>
        <v>NA</v>
      </c>
      <c r="S55" s="423" t="str">
        <f>IFERROR(Table91112152858[[#This Row],[2023]]/Table91112152858[[#This Row],[2022]]-1,"NA")</f>
        <v>NA</v>
      </c>
    </row>
    <row r="56" spans="1:19" x14ac:dyDescent="0.25">
      <c r="A56" s="139" t="s">
        <v>583</v>
      </c>
      <c r="B56" s="7" t="str">
        <f t="shared" si="5"/>
        <v>NA</v>
      </c>
      <c r="C56" s="7" t="str">
        <f t="shared" si="6"/>
        <v>NA</v>
      </c>
      <c r="D56" s="423" t="str">
        <f>IFERROR(Table91351[[#This Row],[2023]]/Table91351[[#This Row],[2022]]-1,"NA")</f>
        <v>NA</v>
      </c>
      <c r="E56"/>
      <c r="F56" s="139" t="s">
        <v>183</v>
      </c>
      <c r="G56" s="7" t="str">
        <f>IFERROR((SUMIFS(TM[[#All],[Claims: Hospital Outpatient]],TM[[#All],[Reporting Year]],2022,TM[[#All],[Insurance Category Code]],1,TM[[#All],[Large Provider Entity Code]],100))/ICC1_MemberMonths_2022,"NA")</f>
        <v>NA</v>
      </c>
      <c r="H56" s="7" t="str">
        <f>IFERROR((SUMIFS(TM[[#All],[Claims: Hospital Outpatient]],TM[[#All],[Reporting Year]],2023,TM[[#All],[Insurance Category Code]],1,TM[[#All],[Large Provider Entity Code]],100))/ICC1_MemberMonths_2023,"NA")</f>
        <v>NA</v>
      </c>
      <c r="I56" s="423" t="str">
        <f>IFERROR(Table9111452[[#This Row],[2023]]/Table9111452[[#This Row],[2022]]-1,"NA")</f>
        <v>NA</v>
      </c>
      <c r="J56"/>
      <c r="K56" s="139" t="s">
        <v>583</v>
      </c>
      <c r="L56" s="7" t="str">
        <f>IFERROR((SUMIFS(TM[[#All],[Claims: Hospital Outpatient]],TM[[#All],[Reporting Year]],2022,TM[[#All],[Insurance Category Code]],5,TM[[#All],[Large Provider Entity Code]],100))/ICC5_MemberMonths_2022,"NA")</f>
        <v>NA</v>
      </c>
      <c r="M56" s="7" t="str" cm="1">
        <f t="array" ref="M56">IFERROR((SUMIFS(TM[[#All],[Claims: Hospital Outpatient]],TM[[#All],[Reporting Year]],2023,TM[[#All],[Insurance Category Code]],5,TM[[#All],[Large Provider Entity Code]],100))/ICC5_MemberMonths_2023,"NA")</f>
        <v>NA</v>
      </c>
      <c r="N56" s="423" t="str">
        <f t="shared" ref="N56:N62" si="7">IFERROR(M56/L56-1,"NA")</f>
        <v>NA</v>
      </c>
      <c r="O56"/>
      <c r="P56" s="139" t="s">
        <v>583</v>
      </c>
      <c r="Q56" s="7" t="str">
        <f>IFERROR((SUMIFS(TM[[#All],[Claims: Hospital Outpatient]],TM[[#All],[Reporting Year]],2022,TM[[#All],[Insurance Category Code]],8,TM[[#All],[Large Provider Entity Code]],100))/ICC8_MemberMonths_2022,"NA")</f>
        <v>NA</v>
      </c>
      <c r="R56" s="7" t="str">
        <f>IFERROR((SUMIFS(TM[[#All],[Claims: Hospital Outpatient]],TM[[#All],[Reporting Year]],2023,TM[[#All],[Insurance Category Code]],8,TM[[#All],[Large Provider Entity Code]],100))/ICC8_MemberMonths_2023,"NA")</f>
        <v>NA</v>
      </c>
      <c r="S56" s="423" t="str">
        <f>IFERROR(Table91112152858[[#This Row],[2023]]/Table91112152858[[#This Row],[2022]]-1,"NA")</f>
        <v>NA</v>
      </c>
    </row>
    <row r="57" spans="1:19" x14ac:dyDescent="0.25">
      <c r="A57" s="139" t="s">
        <v>584</v>
      </c>
      <c r="B57" s="7" t="str">
        <f t="shared" si="5"/>
        <v>NA</v>
      </c>
      <c r="C57" s="7" t="str">
        <f t="shared" si="6"/>
        <v>NA</v>
      </c>
      <c r="D57" s="423" t="str">
        <f>IFERROR(Table91351[[#This Row],[2023]]/Table91351[[#This Row],[2022]]-1,"NA")</f>
        <v>NA</v>
      </c>
      <c r="E57"/>
      <c r="F57" s="139" t="s">
        <v>184</v>
      </c>
      <c r="G57" s="7" t="str">
        <f>IFERROR((SUMIFS(TM[[#All],[Claims: Professional, Primary Care Providers]],TM[[#All],[Reporting Year]],2022,TM[[#All],[Insurance Category Code]],1,TM[[#All],[Large Provider Entity Code]],100))/ICC1_MemberMonths_2022,"NA")</f>
        <v>NA</v>
      </c>
      <c r="H57" s="7" t="str">
        <f>IFERROR((SUMIFS(TM[[#All],[Claims: Professional, Primary Care Providers]],TM[[#All],[Reporting Year]],2023,TM[[#All],[Insurance Category Code]],1,TM[[#All],[Large Provider Entity Code]],100))/ICC1_MemberMonths_2023,"NA")</f>
        <v>NA</v>
      </c>
      <c r="I57" s="423" t="str">
        <f>IFERROR(Table9111452[[#This Row],[2023]]/Table9111452[[#This Row],[2022]]-1,"NA")</f>
        <v>NA</v>
      </c>
      <c r="J57"/>
      <c r="K57" s="139" t="s">
        <v>584</v>
      </c>
      <c r="L57" s="7" t="str">
        <f>IFERROR((SUMIFS(TM[[#All],[Claims: Professional, Primary Care Providers]],TM[[#All],[Reporting Year]],2022,TM[[#All],[Insurance Category Code]],5,TM[[#All],[Large Provider Entity Code]],100))/ICC5_MemberMonths_2022,"NA")</f>
        <v>NA</v>
      </c>
      <c r="M57" s="7" t="str" cm="1">
        <f t="array" ref="M57">IFERROR((SUMIFS(TM[[#All],[Claims: Professional, Primary Care Providers]],TM[[#All],[Reporting Year]],2023,TM[[#All],[Insurance Category Code]],5,TM[[#All],[Large Provider Entity Code]],100))/ICC5_MemberMonths_2023,"NA")</f>
        <v>NA</v>
      </c>
      <c r="N57" s="423" t="str">
        <f t="shared" si="7"/>
        <v>NA</v>
      </c>
      <c r="O57"/>
      <c r="P57" s="139" t="s">
        <v>584</v>
      </c>
      <c r="Q57" s="7" t="str">
        <f>IFERROR((SUMIFS(TM[[#All],[Claims: Professional, Primary Care Providers]],TM[[#All],[Reporting Year]],2022,TM[[#All],[Insurance Category Code]],8,TM[[#All],[Large Provider Entity Code]],100))/ICC8_MemberMonths_2022,"NA")</f>
        <v>NA</v>
      </c>
      <c r="R57" s="7" t="str">
        <f>IFERROR((SUMIFS(TM[[#All],[Claims: Professional, Primary Care Providers]],TM[[#All],[Reporting Year]],2023,TM[[#All],[Insurance Category Code]],8,TM[[#All],[Large Provider Entity Code]],100))/ICC8_MemberMonths_2023,"NA")</f>
        <v>NA</v>
      </c>
      <c r="S57" s="423" t="str">
        <f>IFERROR(Table91112152858[[#This Row],[2023]]/Table91112152858[[#This Row],[2022]]-1,"NA")</f>
        <v>NA</v>
      </c>
    </row>
    <row r="58" spans="1:19" x14ac:dyDescent="0.25">
      <c r="A58" s="139" t="s">
        <v>585</v>
      </c>
      <c r="B58" s="7" t="str">
        <f t="shared" si="5"/>
        <v>NA</v>
      </c>
      <c r="C58" s="7" t="str">
        <f t="shared" si="6"/>
        <v>NA</v>
      </c>
      <c r="D58" s="423" t="str">
        <f>IFERROR(Table91351[[#This Row],[2023]]/Table91351[[#This Row],[2022]]-1,"NA")</f>
        <v>NA</v>
      </c>
      <c r="E58"/>
      <c r="F58" s="139" t="s">
        <v>185</v>
      </c>
      <c r="G58" s="7" t="str">
        <f>IFERROR((SUMIFS(TM[[#All],[Claims: Professional, Specialty Providers]],TM[[#All],[Reporting Year]],2022,TM[[#All],[Insurance Category Code]],1,TM[[#All],[Large Provider Entity Code]],100))/ICC1_MemberMonths_2022,"NA")</f>
        <v>NA</v>
      </c>
      <c r="H58" s="7" t="str">
        <f>IFERROR((SUMIFS(TM[[#All],[Claims: Professional, Specialty Providers]],TM[[#All],[Reporting Year]],2023,TM[[#All],[Insurance Category Code]],1,TM[[#All],[Large Provider Entity Code]],100))/ICC1_MemberMonths_2023,"NA")</f>
        <v>NA</v>
      </c>
      <c r="I58" s="423" t="str">
        <f>IFERROR(Table9111452[[#This Row],[2023]]/Table9111452[[#This Row],[2022]]-1,"NA")</f>
        <v>NA</v>
      </c>
      <c r="J58"/>
      <c r="K58" s="139" t="s">
        <v>585</v>
      </c>
      <c r="L58" s="7" t="str">
        <f>IFERROR((SUMIFS(TM[[#All],[Claims: Professional, Specialty Providers]],TM[[#All],[Reporting Year]],2022,TM[[#All],[Insurance Category Code]],5,TM[[#All],[Large Provider Entity Code]],100))/ICC5_MemberMonths_2022,"NA")</f>
        <v>NA</v>
      </c>
      <c r="M58" s="7" t="str" cm="1">
        <f t="array" ref="M58">IFERROR((SUMIFS(TM[[#All],[Claims: Professional, Specialty Providers]],TM[[#All],[Reporting Year]],2023,TM[[#All],[Insurance Category Code]],5,TM[[#All],[Large Provider Entity Code]],100))/ICC5_MemberMonths_2023,"NA")</f>
        <v>NA</v>
      </c>
      <c r="N58" s="423" t="str">
        <f t="shared" si="7"/>
        <v>NA</v>
      </c>
      <c r="O58"/>
      <c r="P58" s="139" t="s">
        <v>585</v>
      </c>
      <c r="Q58" s="7" t="str">
        <f>IFERROR((SUMIFS(TM[[#All],[Claims: Professional, Specialty Providers]],TM[[#All],[Reporting Year]],2022,TM[[#All],[Insurance Category Code]],8,TM[[#All],[Large Provider Entity Code]],100))/ICC8_MemberMonths_2022,"NA")</f>
        <v>NA</v>
      </c>
      <c r="R58" s="7" t="str">
        <f>IFERROR((SUMIFS(TM[[#All],[Claims: Professional, Specialty Providers]],TM[[#All],[Reporting Year]],2023,TM[[#All],[Insurance Category Code]],8,TM[[#All],[Large Provider Entity Code]],100))/ICC8_MemberMonths_2023,"NA")</f>
        <v>NA</v>
      </c>
      <c r="S58" s="423" t="str">
        <f>IFERROR(Table91112152858[[#This Row],[2023]]/Table91112152858[[#This Row],[2022]]-1,"NA")</f>
        <v>NA</v>
      </c>
    </row>
    <row r="59" spans="1:19" x14ac:dyDescent="0.25">
      <c r="A59" s="139" t="s">
        <v>586</v>
      </c>
      <c r="B59" s="7" t="str">
        <f t="shared" si="5"/>
        <v>NA</v>
      </c>
      <c r="C59" s="7" t="str">
        <f t="shared" si="6"/>
        <v>NA</v>
      </c>
      <c r="D59" s="423" t="str">
        <f>IFERROR(Table91351[[#This Row],[2023]]/Table91351[[#This Row],[2022]]-1,"NA")</f>
        <v>NA</v>
      </c>
      <c r="E59"/>
      <c r="F59" s="139" t="s">
        <v>186</v>
      </c>
      <c r="G59" s="7" t="str">
        <f>IFERROR((SUMIFS(TM[[#All],[Claims: Professional, Other Providers]],TM[[#All],[Reporting Year]],2022,TM[[#All],[Insurance Category Code]],1,TM[[#All],[Large Provider Entity Code]],100))/ICC1_MemberMonths_2022,"NA")</f>
        <v>NA</v>
      </c>
      <c r="H59" s="7" t="str">
        <f>IFERROR((SUMIFS(TM[[#All],[Claims: Professional, Other Providers]],TM[[#All],[Reporting Year]],2023,TM[[#All],[Insurance Category Code]],1,TM[[#All],[Large Provider Entity Code]],100))/ICC1_MemberMonths_2023,"NA")</f>
        <v>NA</v>
      </c>
      <c r="I59" s="423" t="str">
        <f>IFERROR(Table9111452[[#This Row],[2023]]/Table9111452[[#This Row],[2022]]-1,"NA")</f>
        <v>NA</v>
      </c>
      <c r="J59"/>
      <c r="K59" s="139" t="s">
        <v>586</v>
      </c>
      <c r="L59" s="7" t="str">
        <f>IFERROR((SUMIFS(TM[[#All],[Claims: Professional, Other Providers]],TM[[#All],[Reporting Year]],2022,TM[[#All],[Insurance Category Code]],5,TM[[#All],[Large Provider Entity Code]],100))/ICC5_MemberMonths_2022,"NA")</f>
        <v>NA</v>
      </c>
      <c r="M59" s="7" t="str" cm="1">
        <f t="array" ref="M59">IFERROR((SUMIFS(TM[[#All],[Claims: Professional, Other Providers]],TM[[#All],[Reporting Year]],2023,TM[[#All],[Insurance Category Code]],5,TM[[#All],[Large Provider Entity Code]],100))/ICC5_MemberMonths_2023,"NA")</f>
        <v>NA</v>
      </c>
      <c r="N59" s="423" t="str">
        <f t="shared" si="7"/>
        <v>NA</v>
      </c>
      <c r="O59"/>
      <c r="P59" s="139" t="s">
        <v>586</v>
      </c>
      <c r="Q59" s="7" t="str">
        <f>IFERROR((SUMIFS(TM[[#All],[Claims: Professional, Other Providers]],TM[[#All],[Reporting Year]],2022,TM[[#All],[Insurance Category Code]],8,TM[[#All],[Large Provider Entity Code]],100))/ICC8_MemberMonths_2022,"NA")</f>
        <v>NA</v>
      </c>
      <c r="R59" s="7" t="str">
        <f>IFERROR((SUMIFS(TM[[#All],[Claims: Professional, Other Providers]],TM[[#All],[Reporting Year]],2023,TM[[#All],[Insurance Category Code]],8,TM[[#All],[Large Provider Entity Code]],100))/ICC8_MemberMonths_2023,"NA")</f>
        <v>NA</v>
      </c>
      <c r="S59" s="423" t="str">
        <f>IFERROR(Table91112152858[[#This Row],[2023]]/Table91112152858[[#This Row],[2022]]-1,"NA")</f>
        <v>NA</v>
      </c>
    </row>
    <row r="60" spans="1:19" x14ac:dyDescent="0.25">
      <c r="A60" s="139" t="s">
        <v>588</v>
      </c>
      <c r="B60" s="7" t="str">
        <f t="shared" si="5"/>
        <v>NA</v>
      </c>
      <c r="C60" s="7" t="str">
        <f t="shared" si="6"/>
        <v>NA</v>
      </c>
      <c r="D60" s="423" t="str">
        <f>IFERROR(Table91351[[#This Row],[2023]]/Table91351[[#This Row],[2022]]-1,"NA")</f>
        <v>NA</v>
      </c>
      <c r="E60"/>
      <c r="F60" s="139" t="s">
        <v>187</v>
      </c>
      <c r="G60" s="7" t="str">
        <f>IFERROR((SUMIFS(TM[[#All],[Claims: Long-Term Care]],TM[[#All],[Reporting Year]],2022,TM[[#All],[Insurance Category Code]],1,TM[[#All],[Large Provider Entity Code]],100))/ICC1_MemberMonths_2022,"NA")</f>
        <v>NA</v>
      </c>
      <c r="H60" s="7" t="str">
        <f>IFERROR((SUMIFS(TM[[#All],[Claims: Long-Term Care]],TM[[#All],[Reporting Year]],2023,TM[[#All],[Insurance Category Code]],1,TM[[#All],[Large Provider Entity Code]],100))/ICC1_MemberMonths_2023,"NA")</f>
        <v>NA</v>
      </c>
      <c r="I60" s="423" t="str">
        <f>IFERROR(Table9111452[[#This Row],[2023]]/Table9111452[[#This Row],[2022]]-1,"NA")</f>
        <v>NA</v>
      </c>
      <c r="J60"/>
      <c r="K60" s="139" t="s">
        <v>588</v>
      </c>
      <c r="L60" s="7" t="str">
        <f>IFERROR((SUMIFS(TM[[#All],[Claims: Long-Term Care]],TM[[#All],[Reporting Year]],2022,TM[[#All],[Insurance Category Code]],5,TM[[#All],[Large Provider Entity Code]],100))/ICC5_MemberMonths_2022,"NA")</f>
        <v>NA</v>
      </c>
      <c r="M60" s="7" t="str" cm="1">
        <f t="array" ref="M60">IFERROR((SUMIFS(TM[[#All],[Claims: Long-Term Care]],TM[[#All],[Reporting Year]],2023,TM[[#All],[Insurance Category Code]],5,TM[[#All],[Large Provider Entity Code]],100))/ICC5_MemberMonths_2023,"NA")</f>
        <v>NA</v>
      </c>
      <c r="N60" s="423" t="str">
        <f t="shared" si="7"/>
        <v>NA</v>
      </c>
      <c r="O60"/>
      <c r="P60" s="139" t="s">
        <v>588</v>
      </c>
      <c r="Q60" s="7" t="str">
        <f>IFERROR((SUMIFS(TM[[#All],[Claims: Long-Term Care]],TM[[#All],[Reporting Year]],2022,TM[[#All],[Insurance Category Code]],8,TM[[#All],[Large Provider Entity Code]],100))/ICC8_MemberMonths_2022,"NA")</f>
        <v>NA</v>
      </c>
      <c r="R60" s="7" t="str">
        <f>IFERROR((SUMIFS(TM[[#All],[Claims: Long-Term Care]],TM[[#All],[Reporting Year]],2023,TM[[#All],[Insurance Category Code]],8,TM[[#All],[Large Provider Entity Code]],100))/ICC8_MemberMonths_2023,"NA")</f>
        <v>NA</v>
      </c>
      <c r="S60" s="423" t="str">
        <f>IFERROR(Table91112152858[[#This Row],[2023]]/Table91112152858[[#This Row],[2022]]-1,"NA")</f>
        <v>NA</v>
      </c>
    </row>
    <row r="61" spans="1:19" x14ac:dyDescent="0.25">
      <c r="A61" s="139" t="s">
        <v>589</v>
      </c>
      <c r="B61" s="7" t="str">
        <f t="shared" si="5"/>
        <v>NA</v>
      </c>
      <c r="C61" s="7" t="str">
        <f t="shared" si="6"/>
        <v>NA</v>
      </c>
      <c r="D61" s="423" t="str">
        <f>IFERROR(Table91351[[#This Row],[2023]]/Table91351[[#This Row],[2022]]-1,"NA")</f>
        <v>NA</v>
      </c>
      <c r="E61"/>
      <c r="F61" s="139" t="s">
        <v>534</v>
      </c>
      <c r="G61" s="7" t="str">
        <f>IFERROR((SUMIFS(TM[[#All],[Claims: Retail Pharmacy]],TM[[#All],[Reporting Year]],2022,TM[[#All],[Insurance Category Code]],1,TM[[#All],[Large Provider Entity Code]],100))/ICC1_MemberMonths_2022,"NA")</f>
        <v>NA</v>
      </c>
      <c r="H61" s="7" t="str">
        <f>IFERROR((SUMIFS(TM[[#All],[Claims: Retail Pharmacy]],TM[[#All],[Reporting Year]],2023,TM[[#All],[Insurance Category Code]],1,TM[[#All],[Large Provider Entity Code]],100))/ICC1_MemberMonths_2023,"NA")</f>
        <v>NA</v>
      </c>
      <c r="I61" s="423" t="str">
        <f>IFERROR(Table9111452[[#This Row],[2023]]/Table9111452[[#This Row],[2022]]-1,"NA")</f>
        <v>NA</v>
      </c>
      <c r="J61"/>
      <c r="K61" s="139" t="s">
        <v>589</v>
      </c>
      <c r="L61" s="7" t="str">
        <f>IFERROR((SUMIFS(TM[[#All],[Claims: Retail Pharmacy]],TM[[#All],[Reporting Year]],2022,TM[[#All],[Insurance Category Code]],5,TM[[#All],[Large Provider Entity Code]],100))/ICC5_MemberMonths_2022,"NA")</f>
        <v>NA</v>
      </c>
      <c r="M61" s="7" t="str" cm="1">
        <f t="array" ref="M61">IFERROR((SUMIFS(TM[[#All],[Claims: Retail Pharmacy]],TM[[#All],[Reporting Year]],2023,TM[[#All],[Insurance Category Code]],5,TM[[#All],[Large Provider Entity Code]],100))/ICC5_MemberMonths_2023,"NA")</f>
        <v>NA</v>
      </c>
      <c r="N61" s="423" t="str">
        <f t="shared" si="7"/>
        <v>NA</v>
      </c>
      <c r="O61"/>
      <c r="P61" s="139" t="s">
        <v>589</v>
      </c>
      <c r="Q61" s="7" t="str">
        <f>IFERROR((SUMIFS(TM[[#All],[Claims: Retail Pharmacy]],TM[[#All],[Reporting Year]],2022,TM[[#All],[Insurance Category Code]],8,TM[[#All],[Large Provider Entity Code]],100))/ICC8_MemberMonths_2022,"NA")</f>
        <v>NA</v>
      </c>
      <c r="R61" s="7" t="str">
        <f>IFERROR((SUMIFS(TM[[#All],[Claims: Retail Pharmacy]],TM[[#All],[Reporting Year]],2023,TM[[#All],[Insurance Category Code]],8,TM[[#All],[Large Provider Entity Code]],100))/ICC8_MemberMonths_2023,"NA")</f>
        <v>NA</v>
      </c>
      <c r="S61" s="423" t="str">
        <f>IFERROR(Table91112152858[[#This Row],[2023]]/Table91112152858[[#This Row],[2022]]-1,"NA")</f>
        <v>NA</v>
      </c>
    </row>
    <row r="62" spans="1:19" x14ac:dyDescent="0.25">
      <c r="A62" s="139" t="s">
        <v>590</v>
      </c>
      <c r="B62" s="7" t="str">
        <f t="shared" si="5"/>
        <v>NA</v>
      </c>
      <c r="C62" s="7" t="str">
        <f t="shared" si="6"/>
        <v>NA</v>
      </c>
      <c r="D62" s="423" t="str">
        <f>IFERROR(Table91351[[#This Row],[2023]]/Table91351[[#This Row],[2022]]-1,"NA")</f>
        <v>NA</v>
      </c>
      <c r="E62"/>
      <c r="F62" s="139" t="s">
        <v>535</v>
      </c>
      <c r="G62" s="7" t="str">
        <f>IFERROR(((SUMIFS(TM[[#All],[Claims: Retail Pharmacy]],TM[[#All],[Reporting Year]],2022,TM[[#All],[Insurance Category Code]],1,TM[[#All],[Large Provider Entity Code]],100))-ABS(SUMIFS(RX[[#All],[Total Medical and Retail Pharmacy Rebate Amount]],RX[[#All],[Reporting Year]],2022,RX[[#All],[Insurance Category Code]],1)))/ICC1_MemberMonths_2022,"NA")</f>
        <v>NA</v>
      </c>
      <c r="H62" s="7" t="str">
        <f>IFERROR(((SUMIFS(TM[[#All],[Claims: Retail Pharmacy]],TM[[#All],[Reporting Year]],2023,TM[[#All],[Insurance Category Code]],1,TM[[#All],[Large Provider Entity Code]],100))-ABS(SUMIFS(RX[[#All],[Total Medical and Retail Pharmacy Rebate Amount]],RX[[#All],[Reporting Year]],2023,RX[[#All],[Insurance Category Code]],1)))/ICC1_MemberMonths_2023,"NA")</f>
        <v>NA</v>
      </c>
      <c r="I62" s="423" t="str">
        <f>IFERROR(Table9111452[[#This Row],[2023]]/Table9111452[[#This Row],[2022]]-1,"NA")</f>
        <v>NA</v>
      </c>
      <c r="J62"/>
      <c r="K62" s="139" t="s">
        <v>590</v>
      </c>
      <c r="L62" s="7" t="str">
        <f>IFERROR(((SUMIFS(TM[[#All],[Claims: Retail Pharmacy]],TM[[#All],[Reporting Year]],2022,TM[[#All],[Insurance Category Code]],5,TM[[#All],[Large Provider Entity Code]],100))-ABS(SUMIFS(RX[[#All],[Total Medical and Retail Pharmacy Rebate Amount]],RX[[#All],[Reporting Year]],2022,RX[[#All],[Insurance Category Code]],5)))/ICC5_MemberMonths_2022,"NA")</f>
        <v>NA</v>
      </c>
      <c r="M62" s="7" t="str" cm="1">
        <f t="array" ref="M62">IFERROR(((SUMIFS(TM[[#All],[Claims: Retail Pharmacy]],TM[[#All],[Reporting Year]],2023,TM[[#All],[Insurance Category Code]],5,TM[[#All],[Large Provider Entity Code]],100))-ABS(SUMIFS(RX[[#All],[Total Medical and Retail Pharmacy Rebate Amount]],RX[[#All],[Reporting Year]],2023,RX[[#All],[Insurance Category Code]],5)))/ICC5_MemberMonths_2023,"NA")</f>
        <v>NA</v>
      </c>
      <c r="N62" s="423" t="str">
        <f t="shared" si="7"/>
        <v>NA</v>
      </c>
      <c r="O62"/>
      <c r="P62" s="139" t="s">
        <v>590</v>
      </c>
      <c r="Q62" s="7" t="str">
        <f>IFERROR(((SUMIFS(TM[[#All],[Claims: Retail Pharmacy]],TM[[#All],[Reporting Year]],2022,TM[[#All],[Insurance Category Code]],8,TM[[#All],[Large Provider Entity Code]],100))-ABS(SUMIFS(RX[[#All],[Total Medical and Retail Pharmacy Rebate Amount]],RX[[#All],[Reporting Year]],2022,RX[[#All],[Insurance Category Code]],8)))/ICC8_MemberMonths_2022,"NA")</f>
        <v>NA</v>
      </c>
      <c r="R62" s="7" t="str">
        <f>IFERROR(((SUMIFS(TM[[#All],[Claims: Retail Pharmacy]],TM[[#All],[Reporting Year]],2023,TM[[#All],[Insurance Category Code]],8,TM[[#All],[Large Provider Entity Code]],100))-ABS(SUMIFS(RX[[#All],[Total Medical and Retail Pharmacy Rebate Amount]],RX[[#All],[Reporting Year]],2023,RX[[#All],[Insurance Category Code]],8)))/ICC8_MemberMonths_2023,"NA")</f>
        <v>NA</v>
      </c>
      <c r="S62" s="423" t="str">
        <f>IFERROR(Table91112152858[[#This Row],[2023]]/Table91112152858[[#This Row],[2022]]-1,"NA")</f>
        <v>NA</v>
      </c>
    </row>
    <row r="63" spans="1:19" x14ac:dyDescent="0.25">
      <c r="A63" s="139" t="s">
        <v>591</v>
      </c>
      <c r="B63" s="7" t="str">
        <f t="shared" si="5"/>
        <v>NA</v>
      </c>
      <c r="C63" s="7" t="str">
        <f t="shared" si="6"/>
        <v>NA</v>
      </c>
      <c r="D63" s="423" t="str">
        <f>IFERROR(Table91351[[#This Row],[2023]]/Table91351[[#This Row],[2022]]-1,"NA")</f>
        <v>NA</v>
      </c>
      <c r="E63"/>
      <c r="F63" s="139" t="s">
        <v>259</v>
      </c>
      <c r="G63" s="7" t="str">
        <f>IFERROR(SUMIFS(RX[[#All],[Total Medical and Retail Pharmacy Rebate Amount]],RX[[#All],[Reporting Year]],2022,RX[[#All],[Insurance Category Code]],1)/ICC1_MemberMonths_2022,"NA")</f>
        <v>NA</v>
      </c>
      <c r="H63" s="7" t="str">
        <f>IFERROR(SUMIFS(RX[[#All],[Total Medical and Retail Pharmacy Rebate Amount]],RX[[#All],[Reporting Year]],2023,RX[[#All],[Insurance Category Code]],1)/ICC1_MemberMonths_2023,"NA")</f>
        <v>NA</v>
      </c>
      <c r="I63" s="423" t="str">
        <f>IFERROR(Table9111452[[#This Row],[2023]]/Table9111452[[#This Row],[2022]]-1,"NA")</f>
        <v>NA</v>
      </c>
      <c r="J63"/>
      <c r="K63" s="139" t="s">
        <v>591</v>
      </c>
      <c r="L63" s="7" t="str">
        <f>IFERROR(SUMIFS(RX[[#All],[Total Medical and Retail Pharmacy Rebate Amount]],RX[[#All],[Reporting Year]],2022,RX[[#All],[Insurance Category Code]],5)/ICC5_MemberMonths_2022,"NA")</f>
        <v>NA</v>
      </c>
      <c r="M63" s="7" t="str" cm="1">
        <f t="array" ref="M63">IFERROR(SUMIFS(RX[[#All],[Total Medical and Retail Pharmacy Rebate Amount]],RX[[#All],[Reporting Year]],2023,RX[[#All],[Insurance Category Code]],5)/ICC5_MemberMonths_2023,"NA")</f>
        <v>NA</v>
      </c>
      <c r="N63" s="423" t="str">
        <f>IFERROR(M63/L63-1,"NA")</f>
        <v>NA</v>
      </c>
      <c r="O63"/>
      <c r="P63" s="139" t="s">
        <v>591</v>
      </c>
      <c r="Q63" s="7" t="str">
        <f>IFERROR(SUMIFS(RX[[#All],[Total Medical and Retail Pharmacy Rebate Amount]],RX[[#All],[Reporting Year]],2022,RX[[#All],[Insurance Category Code]],8)/ICC8_MemberMonths_2022,"NA")</f>
        <v>NA</v>
      </c>
      <c r="R63" s="7" t="str">
        <f>IFERROR(SUMIFS(RX[[#All],[Total Medical and Retail Pharmacy Rebate Amount]],RX[[#All],[Reporting Year]],2023,RX[[#All],[Insurance Category Code]],8)/ICC8_MemberMonths_2023,"NA")</f>
        <v>NA</v>
      </c>
      <c r="S63" s="423" t="str">
        <f>IFERROR(Table91112152858[[#This Row],[2023]]/Table91112152858[[#This Row],[2022]]-1,"NA")</f>
        <v>NA</v>
      </c>
    </row>
    <row r="64" spans="1:19" s="155" customFormat="1" x14ac:dyDescent="0.25">
      <c r="A64" s="531" t="s">
        <v>536</v>
      </c>
      <c r="B64" s="510" t="str">
        <f>IFERROR(ABS(B63/B61),"NA")</f>
        <v>NA</v>
      </c>
      <c r="C64" s="510" t="str">
        <f>IFERROR(ABS(C63/C61),"NA")</f>
        <v>NA</v>
      </c>
      <c r="D64" s="562" t="s">
        <v>500</v>
      </c>
      <c r="E64" s="3"/>
      <c r="F64" s="532" t="s">
        <v>536</v>
      </c>
      <c r="G64" s="510" t="str">
        <f>IFERROR(ABS(G63/G61),"NA")</f>
        <v>NA</v>
      </c>
      <c r="H64" s="510" t="str">
        <f>IFERROR(ABS(H63/H61),"NA")</f>
        <v>NA</v>
      </c>
      <c r="I64" s="562" t="s">
        <v>500</v>
      </c>
      <c r="J64" s="3"/>
      <c r="K64" s="531" t="s">
        <v>536</v>
      </c>
      <c r="L64" s="510" t="str">
        <f>IFERROR(ABS(L63/L61),"NA")</f>
        <v>NA</v>
      </c>
      <c r="M64" s="510" t="str">
        <f>IFERROR(ABS(M63/M61),"NA")</f>
        <v>NA</v>
      </c>
      <c r="N64" s="562" t="s">
        <v>500</v>
      </c>
      <c r="O64" s="3"/>
      <c r="P64" s="531" t="s">
        <v>536</v>
      </c>
      <c r="Q64" s="173" t="str">
        <f>IFERROR(ABS(Q63/Q61),"NA")</f>
        <v>NA</v>
      </c>
      <c r="R64" s="530" t="str">
        <f>IFERROR(ABS(R63/R61),"NA")</f>
        <v>NA</v>
      </c>
      <c r="S64" s="562" t="s">
        <v>500</v>
      </c>
    </row>
    <row r="65" spans="1:19" s="155" customFormat="1" x14ac:dyDescent="0.25">
      <c r="A65" s="139" t="s">
        <v>592</v>
      </c>
      <c r="B65" s="7" t="str">
        <f t="shared" ref="B65:B77" si="8">IFERROR((SUMPRODUCT(ICC1_MemberMonths_2022,G65)+SUMPRODUCT(ICC5_MemberMonths_2022,L65)+SUMPRODUCT(ICC8_MemberMonths_2022,Q65))/Medicare_MemberMonths_2022,"NA")</f>
        <v>NA</v>
      </c>
      <c r="C65" s="7" t="str">
        <f t="shared" ref="C65:C77" si="9">IFERROR((SUMPRODUCT(ICC1_MemberMonths_2023,H65)+SUMPRODUCT(ICC5_MemberMonths_2023,M65)+SUMPRODUCT(ICC8_MemberMonths_2023,R65))/Medicare_MemberMonths_2023,"NA")</f>
        <v>NA</v>
      </c>
      <c r="D65" s="423" t="str">
        <f>IFERROR(Table91351[[#This Row],[2023]]/Table91351[[#This Row],[2022]]-1,"NA")</f>
        <v>NA</v>
      </c>
      <c r="E65" s="3"/>
      <c r="F65" s="139" t="s">
        <v>189</v>
      </c>
      <c r="G65" s="7" t="str">
        <f>IFERROR((SUMIFS(TM[[#All],[Claims: Other]],TM[[#All],[Reporting Year]],2022,TM[[#All],[Insurance Category Code]],1,TM[[#All],[Large Provider Entity Code]],100))/ICC1_MemberMonths_2022,"NA")</f>
        <v>NA</v>
      </c>
      <c r="H65" s="7" t="str">
        <f>IFERROR((SUMIFS(TM[[#All],[Claims: Other]],TM[[#All],[Reporting Year]],2023,TM[[#All],[Insurance Category Code]],1,TM[[#All],[Large Provider Entity Code]],100))/ICC1_MemberMonths_2023,"NA")</f>
        <v>NA</v>
      </c>
      <c r="I65" s="423" t="str">
        <f>IFERROR(Table9111452[[#This Row],[2023]]/Table9111452[[#This Row],[2022]]-1,"NA")</f>
        <v>NA</v>
      </c>
      <c r="J65" s="3"/>
      <c r="K65" s="139" t="s">
        <v>592</v>
      </c>
      <c r="L65" s="7" t="str">
        <f>IFERROR((SUMIFS(TM[[#All],[Claims: Other]],TM[[#All],[Reporting Year]],2022,TM[[#All],[Insurance Category Code]],5,TM[[#All],[Large Provider Entity Code]],100))/ICC5_MemberMonths_2022,"NA")</f>
        <v>NA</v>
      </c>
      <c r="M65" s="7" t="str" cm="1">
        <f t="array" ref="M65">IFERROR((SUMIFS(TM[[#All],[Claims: Other]],TM[[#All],[Reporting Year]],2023,TM[[#All],[Insurance Category Code]],5,TM[[#All],[Large Provider Entity Code]],100))/ICC5_MemberMonths_2023,"NA")</f>
        <v>NA</v>
      </c>
      <c r="N65" s="423" t="str">
        <f t="shared" ref="N65:N67" si="10">IFERROR(M65/L65-1,"NA")</f>
        <v>NA</v>
      </c>
      <c r="O65" s="3"/>
      <c r="P65" s="139" t="s">
        <v>592</v>
      </c>
      <c r="Q65" s="7" t="str">
        <f>IFERROR((SUMIFS(TM[[#All],[Claims: Other]],TM[[#All],[Reporting Year]],2022,TM[[#All],[Insurance Category Code]],8,TM[[#All],[Large Provider Entity Code]],100))/ICC8_MemberMonths_2022,"NA")</f>
        <v>NA</v>
      </c>
      <c r="R65" s="7" t="str">
        <f>IFERROR((SUMIFS(TM[[#All],[Claims: Other]],TM[[#All],[Reporting Year]],2023,TM[[#All],[Insurance Category Code]],8,TM[[#All],[Large Provider Entity Code]],100))/ICC8_MemberMonths_2023,"NA")</f>
        <v>NA</v>
      </c>
      <c r="S65" s="423" t="str">
        <f>IFERROR(Table91112152858[[#This Row],[2023]]/Table91112152858[[#This Row],[2022]]-1,"NA")</f>
        <v>NA</v>
      </c>
    </row>
    <row r="66" spans="1:19" x14ac:dyDescent="0.25">
      <c r="A66" s="503" t="s">
        <v>593</v>
      </c>
      <c r="B66" s="130" t="str">
        <f t="shared" si="8"/>
        <v>NA</v>
      </c>
      <c r="C66" s="130" t="str">
        <f t="shared" si="9"/>
        <v>NA</v>
      </c>
      <c r="D66" s="504" t="str">
        <f>IFERROR(Table91351[[#This Row],[2023]]/Table91351[[#This Row],[2022]]-1,"NA")</f>
        <v>NA</v>
      </c>
      <c r="E66"/>
      <c r="F66" s="503" t="s">
        <v>199</v>
      </c>
      <c r="G66" s="505" t="str">
        <f>IFERROR((SUMIFS(TM[[#All],[Total Non-Truncated Claims Spending]],TM[[#All],[Reporting Year]],2022,TM[[#All],[Insurance Category Code]],1,TM[[#All],[Large Provider Entity Code]],100))/ICC1_MemberMonths_2022,"NA")</f>
        <v>NA</v>
      </c>
      <c r="H66" s="505" t="str">
        <f>IFERROR((SUMIFS(TM[[#All],[Total Non-Truncated Claims Spending]],TM[[#All],[Reporting Year]],2023,TM[[#All],[Insurance Category Code]],1,TM[[#All],[Large Provider Entity Code]],100))/ICC1_MemberMonths_2023,"NA")</f>
        <v>NA</v>
      </c>
      <c r="I66" s="504" t="str">
        <f>IFERROR(Table9111452[[#This Row],[2023]]/Table9111452[[#This Row],[2022]]-1,"NA")</f>
        <v>NA</v>
      </c>
      <c r="J66"/>
      <c r="K66" s="503" t="s">
        <v>593</v>
      </c>
      <c r="L66" s="505" t="str">
        <f>IFERROR((SUMIFS(TM[[#All],[Total Non-Truncated Claims Spending]],TM[[#All],[Reporting Year]],2022,TM[[#All],[Insurance Category Code]],5,TM[[#All],[Large Provider Entity Code]],100))/ICC5_MemberMonths_2022,"NA")</f>
        <v>NA</v>
      </c>
      <c r="M66" s="505" t="str" cm="1">
        <f t="array" ref="M66">IFERROR((SUMIFS(TM[[#All],[Total Non-Truncated Claims Spending]],TM[[#All],[Reporting Year]],2023,TM[[#All],[Insurance Category Code]],5,TM[[#All],[Large Provider Entity Code]],100))/ICC5_MemberMonths_2023,"NA")</f>
        <v>NA</v>
      </c>
      <c r="N66" s="504" t="str">
        <f t="shared" si="10"/>
        <v>NA</v>
      </c>
      <c r="O66"/>
      <c r="P66" s="503" t="s">
        <v>593</v>
      </c>
      <c r="Q66" s="505" t="str">
        <f>IFERROR((SUMIFS(TM[[#All],[Total Non-Truncated Claims Spending]],TM[[#All],[Reporting Year]],2022,TM[[#All],[Insurance Category Code]],8,TM[[#All],[Large Provider Entity Code]],100))/ICC8_MemberMonths_2022,"NA")</f>
        <v>NA</v>
      </c>
      <c r="R66" s="505" t="str">
        <f>IFERROR((SUMIFS(TM[[#All],[Total Non-Truncated Claims Spending]],TM[[#All],[Reporting Year]],2023,TM[[#All],[Insurance Category Code]],8,TM[[#All],[Large Provider Entity Code]],100))/ICC8_MemberMonths_2023,"NA")</f>
        <v>NA</v>
      </c>
      <c r="S66" s="504" t="str">
        <f>IFERROR(R66/O66-1,"NA")</f>
        <v>NA</v>
      </c>
    </row>
    <row r="67" spans="1:19" x14ac:dyDescent="0.25">
      <c r="A67" s="503" t="s">
        <v>594</v>
      </c>
      <c r="B67" s="130" t="str">
        <f t="shared" si="8"/>
        <v>NA</v>
      </c>
      <c r="C67" s="130" t="str">
        <f t="shared" si="9"/>
        <v>NA</v>
      </c>
      <c r="D67" s="504" t="str">
        <f>IFERROR(Table91351[[#This Row],[2023]]/Table91351[[#This Row],[2022]]-1,"NA")</f>
        <v>NA</v>
      </c>
      <c r="E67"/>
      <c r="F67" s="503" t="s">
        <v>202</v>
      </c>
      <c r="G67" s="505" t="str">
        <f>IFERROR((SUMIFS(TM[[#All],[Total Truncated Claims Spending]],TM[[#All],[Reporting Year]],2022,TM[[#All],[Insurance Category Code]],1,TM[[#All],[Large Provider Entity Code]],100))/ICC1_MemberMonths_2022,"NA")</f>
        <v>NA</v>
      </c>
      <c r="H67" s="505" t="str" cm="1">
        <f t="array" ref="H67">IFERROR((SUMIFS(TM[[#All],[Total Truncated Claims Spending]],TM[[#All],[Reporting Year]],2023,TM[[#All],[Insurance Category Code]],1,TM[[#All],[Large Provider Entity Code]],100))/ICC1_MemberMonths_2023,"NA")</f>
        <v>NA</v>
      </c>
      <c r="I67" s="504" t="str">
        <f>IFERROR(Table9111452[[#This Row],[2023]]/Table9111452[[#This Row],[2022]]-1,"NA")</f>
        <v>NA</v>
      </c>
      <c r="J67"/>
      <c r="K67" s="503" t="s">
        <v>594</v>
      </c>
      <c r="L67" s="505" t="str">
        <f>IFERROR((SUMIFS(TM[[#All],[Total Truncated Claims Spending]],TM[[#All],[Reporting Year]],2022,TM[[#All],[Insurance Category Code]],5,TM[[#All],[Large Provider Entity Code]],100))/ICC5_MemberMonths_2022,"NA")</f>
        <v>NA</v>
      </c>
      <c r="M67" s="505" t="str" cm="1">
        <f t="array" ref="M67">IFERROR((SUMIFS(TM[[#All],[Total Truncated Claims Spending]],TM[[#All],[Reporting Year]],2023,TM[[#All],[Insurance Category Code]],5,TM[[#All],[Large Provider Entity Code]],100))/ICC5_MemberMonths_2023,"NA")</f>
        <v>NA</v>
      </c>
      <c r="N67" s="504" t="str">
        <f t="shared" si="10"/>
        <v>NA</v>
      </c>
      <c r="O67"/>
      <c r="P67" s="503" t="s">
        <v>594</v>
      </c>
      <c r="Q67" s="505" t="str">
        <f>IFERROR((SUMIFS(TM[[#All],[Total Truncated Claims Spending]],TM[[#All],[Reporting Year]],2022,TM[[#All],[Insurance Category Code]],8,TM[[#All],[Large Provider Entity Code]],100))/ICC8_MemberMonths_2022,"NA")</f>
        <v>NA</v>
      </c>
      <c r="R67" s="505" t="str">
        <f>IFERROR((SUMIFS(TM[[#All],[Total Truncated Claims Spending]],TM[[#All],[Reporting Year]],2023,TM[[#All],[Insurance Category Code]],8,TM[[#All],[Large Provider Entity Code]],100))/ICC8_MemberMonths_2023,"NA")</f>
        <v>NA</v>
      </c>
      <c r="S67" s="504" t="str">
        <f>IFERROR(Table91112152858[[#This Row],[2023]]/Table91112152858[[#This Row],[2022]]-1,"NA")</f>
        <v>NA</v>
      </c>
    </row>
    <row r="68" spans="1:19" x14ac:dyDescent="0.25">
      <c r="A68" s="139" t="s">
        <v>595</v>
      </c>
      <c r="B68" s="7" t="str">
        <f t="shared" si="8"/>
        <v>NA</v>
      </c>
      <c r="C68" s="7" t="str">
        <f t="shared" si="9"/>
        <v>NA</v>
      </c>
      <c r="D68" s="423" t="str">
        <f>IFERROR(Table91351[[#This Row],[2023]]/Table91351[[#This Row],[2022]]-1,"NA")</f>
        <v>NA</v>
      </c>
      <c r="E68"/>
      <c r="F68" s="139" t="s">
        <v>190</v>
      </c>
      <c r="G68" s="7" t="str">
        <f>IFERROR((SUMIFS(TM[[#All],[Non-Claims: Capitation or Bundled Arrangements]],TM[[#All],[Reporting Year]],2022,TM[[#All],[Insurance Category Code]],1,TM[[#All],[Large Provider Entity Code]],100))/ICC1_MemberMonths_2022,"NA")</f>
        <v>NA</v>
      </c>
      <c r="H68" s="7" t="str" cm="1">
        <f t="array" ref="H68">IFERROR((SUMIFS(TM[[#All],[Non-Claims: Capitation or Bundled Arrangements]],TM[[#All],[Reporting Year]],2023,TM[[#All],[Insurance Category Code]],1,TM[[#All],[Large Provider Entity Code]],100))/ICC1_MemberMonths_2023,"NA")</f>
        <v>NA</v>
      </c>
      <c r="I68" s="423" t="str">
        <f>IFERROR(Table9111452[[#This Row],[2023]]/Table9111452[[#This Row],[2022]]-1,"NA")</f>
        <v>NA</v>
      </c>
      <c r="J68"/>
      <c r="K68" s="139" t="s">
        <v>595</v>
      </c>
      <c r="L68" s="7" t="str">
        <f>IFERROR((SUMIFS(TM[[#All],[Non-Claims: Capitation or Bundled Arrangements]],TM[[#All],[Reporting Year]],2022,TM[[#All],[Insurance Category Code]],5,TM[[#All],[Large Provider Entity Code]],100))/ICC5_MemberMonths_2022,"NA")</f>
        <v>NA</v>
      </c>
      <c r="M68" s="7" t="str" cm="1">
        <f t="array" ref="M68">IFERROR((SUMIFS(TM[[#All],[Non-Claims: Capitation or Bundled Arrangements]],TM[[#All],[Reporting Year]],2023,TM[[#All],[Insurance Category Code]],5,TM[[#All],[Large Provider Entity Code]],100))/ICC5_MemberMonths_2023,"NA")</f>
        <v>NA</v>
      </c>
      <c r="N68" s="423" t="str">
        <f>IFERROR(M68/L68-1,"NA")</f>
        <v>NA</v>
      </c>
      <c r="O68"/>
      <c r="P68" s="139" t="s">
        <v>595</v>
      </c>
      <c r="Q68" s="7" t="str">
        <f>IFERROR((SUMIFS(TM[[#All],[Non-Claims: Capitation or Bundled Arrangements]],TM[[#All],[Reporting Year]],2022,TM[[#All],[Insurance Category Code]],8,TM[[#All],[Large Provider Entity Code]],100))/ICC8_MemberMonths_2022,"NA")</f>
        <v>NA</v>
      </c>
      <c r="R68" s="7" t="str">
        <f>IFERROR((SUMIFS(TM[[#All],[Non-Claims: Capitation or Bundled Arrangements]],TM[[#All],[Reporting Year]],2023,TM[[#All],[Insurance Category Code]],8,TM[[#All],[Large Provider Entity Code]],100))/ICC8_MemberMonths_2023,"NA")</f>
        <v>NA</v>
      </c>
      <c r="S68" s="423" t="str">
        <f>IFERROR(Table91112152858[[#This Row],[2023]]/Table91112152858[[#This Row],[2022]]-1,"NA")</f>
        <v>NA</v>
      </c>
    </row>
    <row r="69" spans="1:19" x14ac:dyDescent="0.25">
      <c r="A69" s="139" t="s">
        <v>596</v>
      </c>
      <c r="B69" s="7" t="str">
        <f t="shared" si="8"/>
        <v>NA</v>
      </c>
      <c r="C69" s="7" t="str">
        <f t="shared" si="9"/>
        <v>NA</v>
      </c>
      <c r="D69" s="423" t="str">
        <f>IFERROR(Table91351[[#This Row],[2023]]/Table91351[[#This Row],[2022]]-1,"NA")</f>
        <v>NA</v>
      </c>
      <c r="E69"/>
      <c r="F69" s="139" t="s">
        <v>191</v>
      </c>
      <c r="G69" s="7" t="str">
        <f>IFERROR((SUMIFS(TM[[#All],[Non-Claims: Performance Incentives]],TM[[#All],[Reporting Year]],2022,TM[[#All],[Insurance Category Code]],1,TM[[#All],[Large Provider Entity Code]],100))/ICC1_MemberMonths_2022,"NA")</f>
        <v>NA</v>
      </c>
      <c r="H69" s="7" t="str" cm="1">
        <f t="array" ref="H69">IFERROR((SUMIFS(TM[[#All],[Non-Claims: Performance Incentives]],TM[[#All],[Reporting Year]],2023,TM[[#All],[Insurance Category Code]],1,TM[[#All],[Large Provider Entity Code]],100))/ICC1_MemberMonths_2023,"NA")</f>
        <v>NA</v>
      </c>
      <c r="I69" s="423" t="str">
        <f>IFERROR(Table9111452[[#This Row],[2023]]/Table9111452[[#This Row],[2022]]-1,"NA")</f>
        <v>NA</v>
      </c>
      <c r="J69"/>
      <c r="K69" s="139" t="s">
        <v>596</v>
      </c>
      <c r="L69" s="7" t="str">
        <f>IFERROR((SUMIFS(TM[[#All],[Non-Claims: Performance Incentives]],TM[[#All],[Reporting Year]],2022,TM[[#All],[Insurance Category Code]],5,TM[[#All],[Large Provider Entity Code]],100))/ICC5_MemberMonths_2022,"NA")</f>
        <v>NA</v>
      </c>
      <c r="M69" s="7" t="str" cm="1">
        <f t="array" ref="M69">IFERROR((SUMIFS(TM[[#All],[Non-Claims: Performance Incentives]],TM[[#All],[Reporting Year]],2023,TM[[#All],[Insurance Category Code]],5,TM[[#All],[Large Provider Entity Code]],100))/ICC5_MemberMonths_2023,"NA")</f>
        <v>NA</v>
      </c>
      <c r="N69" s="423" t="str">
        <f t="shared" ref="N69:N73" si="11">IFERROR(M69/L69-1,"NA")</f>
        <v>NA</v>
      </c>
      <c r="O69"/>
      <c r="P69" s="139" t="s">
        <v>596</v>
      </c>
      <c r="Q69" s="7" t="str">
        <f>IFERROR((SUMIFS(TM[[#All],[Non-Claims: Performance Incentives]],TM[[#All],[Reporting Year]],2022,TM[[#All],[Insurance Category Code]],8,TM[[#All],[Large Provider Entity Code]],100))/ICC8_MemberMonths_2022,"NA")</f>
        <v>NA</v>
      </c>
      <c r="R69" s="7" t="str">
        <f>IFERROR((SUMIFS(TM[[#All],[Non-Claims: Performance Incentives]],TM[[#All],[Reporting Year]],2023,TM[[#All],[Insurance Category Code]],8,TM[[#All],[Large Provider Entity Code]],100))/ICC8_MemberMonths_2023,"NA")</f>
        <v>NA</v>
      </c>
      <c r="S69" s="423" t="str">
        <f>IFERROR(Table91112152858[[#This Row],[2023]]/Table91112152858[[#This Row],[2022]]-1,"NA")</f>
        <v>NA</v>
      </c>
    </row>
    <row r="70" spans="1:19" x14ac:dyDescent="0.25">
      <c r="A70" s="139" t="s">
        <v>597</v>
      </c>
      <c r="B70" s="7" t="str">
        <f t="shared" si="8"/>
        <v>NA</v>
      </c>
      <c r="C70" s="7" t="str">
        <f t="shared" si="9"/>
        <v>NA</v>
      </c>
      <c r="D70" s="423" t="str">
        <f>IFERROR(Table91351[[#This Row],[2023]]/Table91351[[#This Row],[2022]]-1,"NA")</f>
        <v>NA</v>
      </c>
      <c r="E70"/>
      <c r="F70" s="139" t="s">
        <v>192</v>
      </c>
      <c r="G70" s="7" t="str">
        <f>IFERROR((SUMIFS(TM[[#All],[Non-Claims: Pop Health and Practice Infrastructure]],TM[[#All],[Reporting Year]],2022,TM[[#All],[Insurance Category Code]],1,TM[[#All],[Large Provider Entity Code]],100))/ICC1_MemberMonths_2022,"NA")</f>
        <v>NA</v>
      </c>
      <c r="H70" s="7" t="str" cm="1">
        <f t="array" ref="H70">IFERROR((SUMIFS(TM[[#All],[Non-Claims: Pop Health and Practice Infrastructure]],TM[[#All],[Reporting Year]],2023,TM[[#All],[Insurance Category Code]],1,TM[[#All],[Large Provider Entity Code]],100))/ICC1_MemberMonths_2023,"NA")</f>
        <v>NA</v>
      </c>
      <c r="I70" s="423" t="str">
        <f>IFERROR(Table9111452[[#This Row],[2023]]/Table9111452[[#This Row],[2022]]-1,"NA")</f>
        <v>NA</v>
      </c>
      <c r="J70"/>
      <c r="K70" s="139" t="s">
        <v>597</v>
      </c>
      <c r="L70" s="7" t="str">
        <f>IFERROR((SUMIFS(TM[[#All],[Non-Claims: Pop Health and Practice Infrastructure]],TM[[#All],[Reporting Year]],2022,TM[[#All],[Insurance Category Code]],5,TM[[#All],[Large Provider Entity Code]],100))/ICC5_MemberMonths_2022,"NA")</f>
        <v>NA</v>
      </c>
      <c r="M70" s="7" t="str" cm="1">
        <f t="array" ref="M70">IFERROR((SUMIFS(TM[[#All],[Non-Claims: Pop Health and Practice Infrastructure]],TM[[#All],[Reporting Year]],2023,TM[[#All],[Insurance Category Code]],5,TM[[#All],[Large Provider Entity Code]],100))/ICC5_MemberMonths_2023,"NA")</f>
        <v>NA</v>
      </c>
      <c r="N70" s="423" t="str">
        <f t="shared" si="11"/>
        <v>NA</v>
      </c>
      <c r="O70"/>
      <c r="P70" s="139" t="s">
        <v>597</v>
      </c>
      <c r="Q70" s="7" t="str">
        <f>IFERROR((SUMIFS(TM[[#All],[Non-Claims: Pop Health and Practice Infrastructure]],TM[[#All],[Reporting Year]],2022,TM[[#All],[Insurance Category Code]],8,TM[[#All],[Large Provider Entity Code]],100))/ICC8_MemberMonths_2022,"NA")</f>
        <v>NA</v>
      </c>
      <c r="R70" s="7" t="str">
        <f>IFERROR((SUMIFS(TM[[#All],[Non-Claims: Pop Health and Practice Infrastructure]],TM[[#All],[Reporting Year]],2023,TM[[#All],[Insurance Category Code]],8,TM[[#All],[Large Provider Entity Code]],100))/ICC8_MemberMonths_2023,"NA")</f>
        <v>NA</v>
      </c>
      <c r="S70" s="423" t="str">
        <f>IFERROR(Table91112152858[[#This Row],[2023]]/Table91112152858[[#This Row],[2022]]-1,"NA")</f>
        <v>NA</v>
      </c>
    </row>
    <row r="71" spans="1:19" x14ac:dyDescent="0.25">
      <c r="A71" s="139" t="s">
        <v>598</v>
      </c>
      <c r="B71" s="7" t="str">
        <f t="shared" si="8"/>
        <v>NA</v>
      </c>
      <c r="C71" s="7" t="str">
        <f t="shared" si="9"/>
        <v>NA</v>
      </c>
      <c r="D71" s="423" t="str">
        <f>IFERROR(Table91351[[#This Row],[2023]]/Table91351[[#This Row],[2022]]-1,"NA")</f>
        <v>NA</v>
      </c>
      <c r="E71"/>
      <c r="F71" s="139" t="s">
        <v>193</v>
      </c>
      <c r="G71" s="7" t="str">
        <f>IFERROR((SUMIFS(TM[[#All],[Non-Claims: Provider Salaries]],TM[[#All],[Reporting Year]],2022,TM[[#All],[Insurance Category Code]],1,TM[[#All],[Large Provider Entity Code]],100))/ICC1_MemberMonths_2022,"NA")</f>
        <v>NA</v>
      </c>
      <c r="H71" s="7" t="str" cm="1">
        <f t="array" ref="H71">IFERROR((SUMIFS(TM[[#All],[Non-Claims: Provider Salaries]],TM[[#All],[Reporting Year]],2023,TM[[#All],[Insurance Category Code]],1,TM[[#All],[Large Provider Entity Code]],100))/ICC1_MemberMonths_2023,"NA")</f>
        <v>NA</v>
      </c>
      <c r="I71" s="423" t="str">
        <f>IFERROR(Table9111452[[#This Row],[2023]]/Table9111452[[#This Row],[2022]]-1,"NA")</f>
        <v>NA</v>
      </c>
      <c r="J71"/>
      <c r="K71" s="139" t="s">
        <v>598</v>
      </c>
      <c r="L71" s="7" t="str">
        <f>IFERROR((SUMIFS(TM[[#All],[Non-Claims: Provider Salaries]],TM[[#All],[Reporting Year]],2022,TM[[#All],[Insurance Category Code]],5,TM[[#All],[Large Provider Entity Code]],100))/ICC5_MemberMonths_2022,"NA")</f>
        <v>NA</v>
      </c>
      <c r="M71" s="7" t="str" cm="1">
        <f t="array" ref="M71">IFERROR((SUMIFS(TM[[#All],[Non-Claims: Provider Salaries]],TM[[#All],[Reporting Year]],2023,TM[[#All],[Insurance Category Code]],5,TM[[#All],[Large Provider Entity Code]],100))/ICC5_MemberMonths_2023,"NA")</f>
        <v>NA</v>
      </c>
      <c r="N71" s="423" t="str">
        <f t="shared" si="11"/>
        <v>NA</v>
      </c>
      <c r="O71"/>
      <c r="P71" s="139" t="s">
        <v>598</v>
      </c>
      <c r="Q71" s="7" t="str">
        <f>IFERROR((SUMIFS(TM[[#All],[Non-Claims: Provider Salaries]],TM[[#All],[Reporting Year]],2022,TM[[#All],[Insurance Category Code]],8,TM[[#All],[Large Provider Entity Code]],100))/ICC8_MemberMonths_2022,"NA")</f>
        <v>NA</v>
      </c>
      <c r="R71" s="7" t="str">
        <f>IFERROR((SUMIFS(TM[[#All],[Non-Claims: Provider Salaries]],TM[[#All],[Reporting Year]],2023,TM[[#All],[Insurance Category Code]],8,TM[[#All],[Large Provider Entity Code]],100))/ICC8_MemberMonths_2023,"NA")</f>
        <v>NA</v>
      </c>
      <c r="S71" s="423" t="str">
        <f>IFERROR(Table91112152858[[#This Row],[2023]]/Table91112152858[[#This Row],[2022]]-1,"NA")</f>
        <v>NA</v>
      </c>
    </row>
    <row r="72" spans="1:19" x14ac:dyDescent="0.25">
      <c r="A72" s="139" t="s">
        <v>599</v>
      </c>
      <c r="B72" s="7" t="str">
        <f t="shared" si="8"/>
        <v>NA</v>
      </c>
      <c r="C72" s="7" t="str">
        <f t="shared" si="9"/>
        <v>NA</v>
      </c>
      <c r="D72" s="423" t="str">
        <f>IFERROR(Table91351[[#This Row],[2023]]/Table91351[[#This Row],[2022]]-1,"NA")</f>
        <v>NA</v>
      </c>
      <c r="E72"/>
      <c r="F72" s="139" t="s">
        <v>194</v>
      </c>
      <c r="G72" s="7" t="str">
        <f>IFERROR((SUMIFS(TM[[#All],[Non-Claims: Recovery]],TM[[#All],[Reporting Year]],2022,TM[[#All],[Insurance Category Code]],1,TM[[#All],[Large Provider Entity Code]],100))/ICC1_MemberMonths_2022,"NA")</f>
        <v>NA</v>
      </c>
      <c r="H72" s="7" t="str" cm="1">
        <f t="array" ref="H72">IFERROR((SUMIFS(TM[[#All],[Non-Claims: Recovery]],TM[[#All],[Reporting Year]],2023,TM[[#All],[Insurance Category Code]],1,TM[[#All],[Large Provider Entity Code]],100))/ICC1_MemberMonths_2023,"NA")</f>
        <v>NA</v>
      </c>
      <c r="I72" s="423" t="str">
        <f>IFERROR(Table9111452[[#This Row],[2023]]/Table9111452[[#This Row],[2022]]-1,"NA")</f>
        <v>NA</v>
      </c>
      <c r="J72"/>
      <c r="K72" s="139" t="s">
        <v>599</v>
      </c>
      <c r="L72" s="7" t="str">
        <f>IFERROR((SUMIFS(TM[[#All],[Non-Claims: Recovery]],TM[[#All],[Reporting Year]],2022,TM[[#All],[Insurance Category Code]],5,TM[[#All],[Large Provider Entity Code]],100))/ICC5_MemberMonths_2022,"NA")</f>
        <v>NA</v>
      </c>
      <c r="M72" s="7" t="str" cm="1">
        <f t="array" ref="M72">IFERROR((SUMIFS(TM[[#All],[Non-Claims: Recovery]],TM[[#All],[Reporting Year]],2023,TM[[#All],[Insurance Category Code]],5,TM[[#All],[Large Provider Entity Code]],100))/ICC5_MemberMonths_2023,"NA")</f>
        <v>NA</v>
      </c>
      <c r="N72" s="423" t="str">
        <f t="shared" si="11"/>
        <v>NA</v>
      </c>
      <c r="O72"/>
      <c r="P72" s="139" t="s">
        <v>599</v>
      </c>
      <c r="Q72" s="7" t="str">
        <f>IFERROR((SUMIFS(TM[[#All],[Non-Claims: Recovery]],TM[[#All],[Reporting Year]],2022,TM[[#All],[Insurance Category Code]],8,TM[[#All],[Large Provider Entity Code]],100))/ICC8_MemberMonths_2022,"NA")</f>
        <v>NA</v>
      </c>
      <c r="R72" s="7" t="str">
        <f>IFERROR((SUMIFS(TM[[#All],[Non-Claims: Recovery]],TM[[#All],[Reporting Year]],2023,TM[[#All],[Insurance Category Code]],8,TM[[#All],[Large Provider Entity Code]],100))/ICC8_MemberMonths_2023,"NA")</f>
        <v>NA</v>
      </c>
      <c r="S72" s="423" t="str">
        <f>IFERROR(Table91112152858[[#This Row],[2023]]/Table91112152858[[#This Row],[2022]]-1,"NA")</f>
        <v>NA</v>
      </c>
    </row>
    <row r="73" spans="1:19" s="155" customFormat="1" x14ac:dyDescent="0.25">
      <c r="A73" s="139" t="s">
        <v>600</v>
      </c>
      <c r="B73" s="7" t="str">
        <f t="shared" si="8"/>
        <v>NA</v>
      </c>
      <c r="C73" s="7" t="str">
        <f t="shared" si="9"/>
        <v>NA</v>
      </c>
      <c r="D73" s="423" t="str">
        <f>IFERROR(Table91351[[#This Row],[2023]]/Table91351[[#This Row],[2022]]-1,"NA")</f>
        <v>NA</v>
      </c>
      <c r="E73" s="3"/>
      <c r="F73" s="139" t="s">
        <v>195</v>
      </c>
      <c r="G73" s="7" t="str">
        <f>IFERROR((SUMIFS(TM[[#All],[Non-Claims: Other]],TM[[#All],[Reporting Year]],2022,TM[[#All],[Insurance Category Code]],1,TM[[#All],[Large Provider Entity Code]],100))/ICC1_MemberMonths_2022,"NA")</f>
        <v>NA</v>
      </c>
      <c r="H73" s="7" t="str" cm="1">
        <f t="array" ref="H73">IFERROR((SUMIFS(TM[[#All],[Non-Claims: Other]],TM[[#All],[Reporting Year]],2023,TM[[#All],[Insurance Category Code]],1,TM[[#All],[Large Provider Entity Code]],100))/ICC1_MemberMonths_2023,"NA")</f>
        <v>NA</v>
      </c>
      <c r="I73" s="423" t="str">
        <f>IFERROR(Table9111452[[#This Row],[2023]]/Table9111452[[#This Row],[2022]]-1,"NA")</f>
        <v>NA</v>
      </c>
      <c r="J73" s="3"/>
      <c r="K73" s="139" t="s">
        <v>600</v>
      </c>
      <c r="L73" s="7" t="str">
        <f>IFERROR((SUMIFS(TM[[#All],[Non-Claims: Other]],TM[[#All],[Reporting Year]],2022,TM[[#All],[Insurance Category Code]],5,TM[[#All],[Large Provider Entity Code]],100))/ICC5_MemberMonths_2022,"NA")</f>
        <v>NA</v>
      </c>
      <c r="M73" s="7" t="str" cm="1">
        <f t="array" ref="M73">IFERROR((SUMIFS(TM[[#All],[Non-Claims: Other]],TM[[#All],[Reporting Year]],2023,TM[[#All],[Insurance Category Code]],5,TM[[#All],[Large Provider Entity Code]],100))/ICC5_MemberMonths_2023,"NA")</f>
        <v>NA</v>
      </c>
      <c r="N73" s="423" t="str">
        <f t="shared" si="11"/>
        <v>NA</v>
      </c>
      <c r="O73" s="3"/>
      <c r="P73" s="139" t="s">
        <v>600</v>
      </c>
      <c r="Q73" s="7" t="str">
        <f>IFERROR((SUMIFS(TM[[#All],[Non-Claims: Other]],TM[[#All],[Reporting Year]],2022,TM[[#All],[Insurance Category Code]],8,TM[[#All],[Large Provider Entity Code]],100))/ICC8_MemberMonths_2022,"NA")</f>
        <v>NA</v>
      </c>
      <c r="R73" s="7" t="str">
        <f>IFERROR((SUMIFS(TM[[#All],[Non-Claims: Other]],TM[[#All],[Reporting Year]],2023,TM[[#All],[Insurance Category Code]],8,TM[[#All],[Large Provider Entity Code]],100))/ICC8_MemberMonths_2023,"NA")</f>
        <v>NA</v>
      </c>
      <c r="S73" s="423" t="str">
        <f>IFERROR(Table91112152858[[#This Row],[2023]]/Table91112152858[[#This Row],[2022]]-1,"NA")</f>
        <v>NA</v>
      </c>
    </row>
    <row r="74" spans="1:19" x14ac:dyDescent="0.25">
      <c r="A74" s="139" t="s">
        <v>601</v>
      </c>
      <c r="B74" s="7" t="str">
        <f t="shared" si="8"/>
        <v>NA</v>
      </c>
      <c r="C74" s="7" t="str">
        <f t="shared" si="9"/>
        <v>NA</v>
      </c>
      <c r="D74" s="423" t="str">
        <f>IFERROR(Table91351[[#This Row],[2023]]/Table91351[[#This Row],[2022]]-1,"NA")</f>
        <v>NA</v>
      </c>
      <c r="E74"/>
      <c r="F74" s="139" t="s">
        <v>196</v>
      </c>
      <c r="G74" s="7" t="str">
        <f>IFERROR((SUMIFS(TM[[#All],[Non-Claims: Total Primary Care]],TM[[#All],[Reporting Year]],2022,TM[[#All],[Insurance Category Code]],1,TM[[#All],[Large Provider Entity Code]],100))/ICC1_MemberMonths_2022,"NA")</f>
        <v>NA</v>
      </c>
      <c r="H74" s="7" t="str" cm="1">
        <f t="array" ref="H74">IFERROR((SUMIFS(TM[[#All],[Non-Claims: Total Primary Care]],TM[[#All],[Reporting Year]],2023,TM[[#All],[Insurance Category Code]],1,TM[[#All],[Large Provider Entity Code]],100))/ICC1_MemberMonths_2023,"NA")</f>
        <v>NA</v>
      </c>
      <c r="I74" s="423" t="str">
        <f>IFERROR(Table9111452[[#This Row],[2023]]/Table9111452[[#This Row],[2022]]-1,"NA")</f>
        <v>NA</v>
      </c>
      <c r="J74"/>
      <c r="K74" s="139" t="s">
        <v>601</v>
      </c>
      <c r="L74" s="7" t="str">
        <f>IFERROR((SUMIFS(TM[[#All],[Non-Claims: Total Primary Care]],TM[[#All],[Reporting Year]],2022,TM[[#All],[Insurance Category Code]],5,TM[[#All],[Large Provider Entity Code]],100))/ICC5_MemberMonths_2022,"NA")</f>
        <v>NA</v>
      </c>
      <c r="M74" s="7" t="str" cm="1">
        <f t="array" ref="M74">IFERROR((SUMIFS(TM[[#All],[Non-Claims: Total Primary Care]],TM[[#All],[Reporting Year]],2023,TM[[#All],[Insurance Category Code]],5,TM[[#All],[Large Provider Entity Code]],100))/ICC5_MemberMonths_2023,"NA")</f>
        <v>NA</v>
      </c>
      <c r="N74" s="423" t="str">
        <f>IFERROR(M74/L74-1,"NA")</f>
        <v>NA</v>
      </c>
      <c r="O74"/>
      <c r="P74" s="139" t="s">
        <v>601</v>
      </c>
      <c r="Q74" s="7" t="str">
        <f>IFERROR((SUMIFS(TM[[#All],[Non-Claims: Total Primary Care]],TM[[#All],[Reporting Year]],2022,TM[[#All],[Insurance Category Code]],8,TM[[#All],[Large Provider Entity Code]],100))/ICC8_MemberMonths_2022,"NA")</f>
        <v>NA</v>
      </c>
      <c r="R74" s="7" t="str">
        <f>IFERROR((SUMIFS(TM[[#All],[Non-Claims: Total Primary Care]],TM[[#All],[Reporting Year]],2023,TM[[#All],[Insurance Category Code]],8,TM[[#All],[Large Provider Entity Code]],100))/ICC8_MemberMonths_2023,"NA")</f>
        <v>NA</v>
      </c>
      <c r="S74" s="423" t="str">
        <f>IFERROR(Table91112152858[[#This Row],[2023]]/Table91112152858[[#This Row],[2022]]-1,"NA")</f>
        <v>NA</v>
      </c>
    </row>
    <row r="75" spans="1:19" ht="15.75" thickBot="1" x14ac:dyDescent="0.3">
      <c r="A75" s="503" t="s">
        <v>602</v>
      </c>
      <c r="B75" s="130" t="str">
        <f t="shared" si="8"/>
        <v>NA</v>
      </c>
      <c r="C75" s="509" t="str">
        <f t="shared" si="9"/>
        <v>NA</v>
      </c>
      <c r="D75" s="508" t="str">
        <f>IFERROR(Table91351[[#This Row],[2023]]/Table91351[[#This Row],[2022]]-1,"NA")</f>
        <v>NA</v>
      </c>
      <c r="E75"/>
      <c r="F75" s="503" t="s">
        <v>200</v>
      </c>
      <c r="G75" s="507" t="str">
        <f>IFERROR((SUMIFS(TM[[#All],[Total Non-Claims Spending]],TM[[#All],[Reporting Year]],2022,TM[[#All],[Insurance Category Code]],1,TM[[#All],[Large Provider Entity Code]],100))/ICC1_MemberMonths_2022,"NA")</f>
        <v>NA</v>
      </c>
      <c r="H75" s="507" t="str" cm="1">
        <f t="array" ref="H75">IFERROR((SUMIFS(TM[[#All],[Total Non-Claims Spending]],TM[[#All],[Reporting Year]],2023,TM[[#All],[Insurance Category Code]],1,TM[[#All],[Large Provider Entity Code]],100))/ICC1_MemberMonths_2023,"NA")</f>
        <v>NA</v>
      </c>
      <c r="I75" s="508" t="str">
        <f>IFERROR(Table9111452[[#This Row],[2023]]/Table9111452[[#This Row],[2022]]-1,"NA")</f>
        <v>NA</v>
      </c>
      <c r="J75"/>
      <c r="K75" s="503" t="s">
        <v>602</v>
      </c>
      <c r="L75" s="507" t="str">
        <f>IFERROR((SUMIFS(TM[[#All],[Total Non-Claims Spending]],TM[[#All],[Reporting Year]],2022,TM[[#All],[Insurance Category Code]],5,TM[[#All],[Large Provider Entity Code]],100))/ICC5_MemberMonths_2022,"NA")</f>
        <v>NA</v>
      </c>
      <c r="M75" s="507" t="str" cm="1">
        <f t="array" ref="M75">IFERROR((SUMIFS(TM[[#All],[Total Non-Claims Spending]],TM[[#All],[Reporting Year]],2023,TM[[#All],[Insurance Category Code]],5,TM[[#All],[Large Provider Entity Code]],100))/ICC5_MemberMonths_2023,"NA")</f>
        <v>NA</v>
      </c>
      <c r="N75" s="504" t="str">
        <f t="shared" ref="N75" si="12">IFERROR(M75/L75-1,"NA")</f>
        <v>NA</v>
      </c>
      <c r="O75"/>
      <c r="P75" s="503" t="s">
        <v>602</v>
      </c>
      <c r="Q75" s="507" t="str">
        <f>IFERROR((SUMIFS(TM[[#All],[Total Non-Claims Spending]],TM[[#All],[Reporting Year]],2022,TM[[#All],[Insurance Category Code]],8,TM[[#All],[Large Provider Entity Code]],100))/ICC8_MemberMonths_2022,"NA")</f>
        <v>NA</v>
      </c>
      <c r="R75" s="507" t="str">
        <f>IFERROR((SUMIFS(TM[[#All],[Total Non-Claims Spending]],TM[[#All],[Reporting Year]],2023,TM[[#All],[Insurance Category Code]],8,TM[[#All],[Large Provider Entity Code]],100))/ICC8_MemberMonths_2023,"NA")</f>
        <v>NA</v>
      </c>
      <c r="S75" s="508" t="str">
        <f>IFERROR(Table91112152858[[#This Row],[2023]]/Table91112152858[[#This Row],[2022]]-1,"NA")</f>
        <v>NA</v>
      </c>
    </row>
    <row r="76" spans="1:19" ht="15.75" thickTop="1" x14ac:dyDescent="0.25">
      <c r="A76" s="114" t="s">
        <v>603</v>
      </c>
      <c r="B76" s="140" t="str">
        <f t="shared" si="8"/>
        <v>NA</v>
      </c>
      <c r="C76" s="140" t="str">
        <f t="shared" si="9"/>
        <v>NA</v>
      </c>
      <c r="D76" s="424" t="str">
        <f>IFERROR(Table91351[[#This Row],[2023]]/Table91351[[#This Row],[2022]]-1,"NA")</f>
        <v>NA</v>
      </c>
      <c r="E76"/>
      <c r="F76" s="556" t="s">
        <v>201</v>
      </c>
      <c r="G76" s="141" t="str">
        <f>IFERROR((SUMIFS(TM[[#All],[Total Non-Truncated Claims and Non-Claims Spending]],TM[[#All],[Reporting Year]],2022,TM[[#All],[Insurance Category Code]],1,TM[[#All],[Large Provider Entity Code]],100))/ICC1_MemberMonths_2022,"NA")</f>
        <v>NA</v>
      </c>
      <c r="H76" s="141" t="str" cm="1">
        <f t="array" ref="H76">IFERROR((SUMIFS(TM[[#All],[Total Non-Truncated Claims and Non-Claims Spending]],TM[[#All],[Reporting Year]],2023,TM[[#All],[Insurance Category Code]],1,TM[[#All],[Large Provider Entity Code]],100))/ICC1_MemberMonths_2023,"NA")</f>
        <v>NA</v>
      </c>
      <c r="I76" s="424" t="str">
        <f>IFERROR(Table9111452[[#This Row],[2023]]/Table9111452[[#This Row],[2022]]-1,"NA")</f>
        <v>NA</v>
      </c>
      <c r="J76"/>
      <c r="K76" s="114" t="s">
        <v>603</v>
      </c>
      <c r="L76" s="141" t="str">
        <f>IFERROR((SUMIFS(TM[[#All],[Total Non-Truncated Claims and Non-Claims Spending]],TM[[#All],[Reporting Year]],2022,TM[[#All],[Insurance Category Code]],5,TM[[#All],[Large Provider Entity Code]],100))/ICC5_MemberMonths_2022,"NA")</f>
        <v>NA</v>
      </c>
      <c r="M76" s="141" t="str" cm="1">
        <f t="array" ref="M76">IFERROR((SUMIFS(TM[[#All],[Total Non-Truncated Claims and Non-Claims Spending]],TM[[#All],[Reporting Year]],2023,TM[[#All],[Insurance Category Code]],5,TM[[#All],[Large Provider Entity Code]],100))/ICC5_MemberMonths_2023,"NA")</f>
        <v>NA</v>
      </c>
      <c r="N76" s="557" t="str">
        <f>IFERROR(M76/L76-1,"NA")</f>
        <v>NA</v>
      </c>
      <c r="O76"/>
      <c r="P76" s="114" t="s">
        <v>603</v>
      </c>
      <c r="Q76" s="141" t="str">
        <f>IFERROR((SUMIFS(TM[[#All],[Total Non-Truncated Claims and Non-Claims Spending]],TM[[#All],[Reporting Year]],2022,TM[[#All],[Insurance Category Code]],8,TM[[#All],[Large Provider Entity Code]],100))/ICC8_MemberMonths_2022,"NA")</f>
        <v>NA</v>
      </c>
      <c r="R76" s="141" t="str">
        <f>IFERROR((SUMIFS(TM[[#All],[Total Non-Truncated Claims and Non-Claims Spending]],TM[[#All],[Reporting Year]],2023,TM[[#All],[Insurance Category Code]],8,TM[[#All],[Large Provider Entity Code]],100))/ICC8_MemberMonths_2023,"NA")</f>
        <v>NA</v>
      </c>
      <c r="S76" s="426" t="str">
        <f>IFERROR(Table911122757[[#This Row],[2023]]/Table911122757[[#This Row],[2022]]-1,"NA")</f>
        <v>NA</v>
      </c>
    </row>
    <row r="77" spans="1:19" x14ac:dyDescent="0.25">
      <c r="A77" s="142" t="s">
        <v>604</v>
      </c>
      <c r="B77" s="140" t="str">
        <f t="shared" si="8"/>
        <v>NA</v>
      </c>
      <c r="C77" s="143" t="str">
        <f t="shared" si="9"/>
        <v>NA</v>
      </c>
      <c r="D77" s="425" t="str">
        <f>IFERROR(Table91351[[#This Row],[2023]]/Table91351[[#This Row],[2022]]-1,"NA")</f>
        <v>NA</v>
      </c>
      <c r="E77"/>
      <c r="F77" s="142" t="s">
        <v>203</v>
      </c>
      <c r="G77" s="144" t="str">
        <f>IFERROR((SUMIFS(TM[[#All],[Total Truncated Expenses]],TM[[#All],[Reporting Year]],2022,TM[[#All],[Insurance Category Code]],1,TM[[#All],[Large Provider Entity Code]],100))/ICC1_MemberMonths_2022,"NA")</f>
        <v>NA</v>
      </c>
      <c r="H77" s="144" t="str" cm="1">
        <f t="array" ref="H77">IFERROR((SUMIFS(TM[[#All],[Total Truncated Expenses]],TM[[#All],[Reporting Year]],2023,TM[[#All],[Insurance Category Code]],1,TM[[#All],[Large Provider Entity Code]],100))/ICC1_MemberMonths_2023,"NA")</f>
        <v>NA</v>
      </c>
      <c r="I77" s="425" t="str">
        <f>IFERROR(Table9111452[[#This Row],[2023]]/Table9111452[[#This Row],[2022]]-1,"NA")</f>
        <v>NA</v>
      </c>
      <c r="J77"/>
      <c r="K77" s="142" t="s">
        <v>604</v>
      </c>
      <c r="L77" s="144" t="str">
        <f>IFERROR((SUMIFS(TM[[#All],[Total Truncated Expenses]],TM[[#All],[Reporting Year]],2022,TM[[#All],[Insurance Category Code]],5,TM[[#All],[Large Provider Entity Code]],100))/ICC5_MemberMonths_2022,"NA")</f>
        <v>NA</v>
      </c>
      <c r="M77" s="144" t="str" cm="1">
        <f t="array" ref="M77">IFERROR((SUMIFS(TM[[#All],[Total Truncated Expenses]],TM[[#All],[Reporting Year]],2023,TM[[#All],[Insurance Category Code]],5,TM[[#All],[Large Provider Entity Code]],100))/ICC5_MemberMonths_2023,"NA")</f>
        <v>NA</v>
      </c>
      <c r="N77" s="557" t="str">
        <f t="shared" ref="N77" si="13">IFERROR(M77/L77-1,"NA")</f>
        <v>NA</v>
      </c>
      <c r="O77"/>
      <c r="P77" s="142" t="s">
        <v>604</v>
      </c>
      <c r="Q77" s="144" t="str">
        <f>IFERROR((SUMIFS(TM[[#All],[Total Truncated Expenses]],TM[[#All],[Reporting Year]],2022,TM[[#All],[Insurance Category Code]],8,TM[[#All],[Large Provider Entity Code]],100))/ICC8_MemberMonths_2022,"NA")</f>
        <v>NA</v>
      </c>
      <c r="R77" s="144" t="str">
        <f>IFERROR((SUMIFS(TM[[#All],[Total Truncated Expenses]],TM[[#All],[Reporting Year]],2023,TM[[#All],[Insurance Category Code]],8,TM[[#All],[Large Provider Entity Code]],100))/ICC8_MemberMonths_2023,"NA")</f>
        <v>NA</v>
      </c>
      <c r="S77" s="425" t="str">
        <f>IFERROR(Table91112152858[[#This Row],[2023]]/Table91112152858[[#This Row],[2022]]-1,"NA")</f>
        <v>NA</v>
      </c>
    </row>
    <row r="78" spans="1:19" x14ac:dyDescent="0.25">
      <c r="A78"/>
      <c r="B78"/>
      <c r="C78"/>
      <c r="D78"/>
      <c r="E78"/>
      <c r="F78"/>
      <c r="G78"/>
      <c r="H78"/>
      <c r="I78"/>
      <c r="J78"/>
      <c r="K78"/>
      <c r="L78"/>
      <c r="M78"/>
      <c r="N78"/>
      <c r="O78"/>
      <c r="P78"/>
      <c r="Q78"/>
      <c r="R78"/>
      <c r="S78"/>
    </row>
    <row r="79" spans="1:19" x14ac:dyDescent="0.25">
      <c r="A79" s="695" t="s">
        <v>541</v>
      </c>
      <c r="B79" s="695"/>
      <c r="C79" s="695"/>
      <c r="D79" s="695"/>
      <c r="E79"/>
      <c r="F79" s="695" t="s">
        <v>542</v>
      </c>
      <c r="G79" s="695"/>
      <c r="H79" s="695"/>
      <c r="I79" s="695"/>
      <c r="J79"/>
      <c r="K79" s="3" t="s">
        <v>543</v>
      </c>
      <c r="L79" s="3"/>
      <c r="M79" s="3"/>
      <c r="N79" s="3"/>
      <c r="O79"/>
      <c r="P79"/>
      <c r="Q79"/>
      <c r="R79"/>
      <c r="S79"/>
    </row>
    <row r="80" spans="1:19" ht="30" customHeight="1" x14ac:dyDescent="0.25">
      <c r="A80" s="685" t="s">
        <v>416</v>
      </c>
      <c r="B80" s="685"/>
      <c r="C80" s="685"/>
      <c r="D80" s="685"/>
      <c r="E80"/>
      <c r="F80" s="685" t="s">
        <v>416</v>
      </c>
      <c r="G80" s="685"/>
      <c r="H80" s="685"/>
      <c r="I80" s="685"/>
      <c r="J80"/>
      <c r="K80" s="685" t="s">
        <v>416</v>
      </c>
      <c r="L80" s="685"/>
      <c r="M80" s="685"/>
      <c r="N80" s="685"/>
      <c r="O80"/>
      <c r="P80"/>
      <c r="Q80"/>
      <c r="R80"/>
      <c r="S80"/>
    </row>
    <row r="81" spans="1:19" ht="45" customHeight="1" x14ac:dyDescent="0.25">
      <c r="A81" s="686" t="s">
        <v>587</v>
      </c>
      <c r="B81" s="686"/>
      <c r="C81" s="686"/>
      <c r="D81" s="686"/>
      <c r="E81" s="2"/>
      <c r="F81" s="686" t="s">
        <v>587</v>
      </c>
      <c r="G81" s="686"/>
      <c r="H81" s="686"/>
      <c r="I81" s="686"/>
      <c r="J81"/>
      <c r="K81" s="686" t="s">
        <v>587</v>
      </c>
      <c r="L81" s="686"/>
      <c r="M81" s="686"/>
      <c r="N81" s="686"/>
      <c r="O81"/>
      <c r="P81"/>
      <c r="Q81"/>
      <c r="R81"/>
      <c r="S81"/>
    </row>
    <row r="82" spans="1:19" x14ac:dyDescent="0.25">
      <c r="A82" s="145" t="s">
        <v>533</v>
      </c>
      <c r="B82" s="146" t="s">
        <v>515</v>
      </c>
      <c r="C82" s="147" t="s">
        <v>605</v>
      </c>
      <c r="D82" s="148" t="s">
        <v>516</v>
      </c>
      <c r="E82"/>
      <c r="F82" s="145" t="s">
        <v>533</v>
      </c>
      <c r="G82" s="146" t="s">
        <v>515</v>
      </c>
      <c r="H82" s="147" t="s">
        <v>605</v>
      </c>
      <c r="I82" s="148" t="s">
        <v>516</v>
      </c>
      <c r="J82"/>
      <c r="K82" s="145" t="s">
        <v>533</v>
      </c>
      <c r="L82" s="146" t="s">
        <v>515</v>
      </c>
      <c r="M82" s="147" t="s">
        <v>605</v>
      </c>
      <c r="N82" s="148" t="s">
        <v>516</v>
      </c>
      <c r="O82"/>
      <c r="P82"/>
      <c r="Q82"/>
      <c r="R82"/>
      <c r="S82"/>
    </row>
    <row r="83" spans="1:19" x14ac:dyDescent="0.25">
      <c r="A83" s="136" t="s">
        <v>577</v>
      </c>
      <c r="B83" s="137">
        <f>SUM(G83,L83)</f>
        <v>0</v>
      </c>
      <c r="C83" s="137">
        <f>SUM(H83,M83)</f>
        <v>0</v>
      </c>
      <c r="D83" s="423" t="str">
        <f>IFERROR(Table9131654[[#This Row],[2023]]/Table9131654[[#This Row],[2022]]-1,"NA")</f>
        <v>NA</v>
      </c>
      <c r="E83"/>
      <c r="F83" s="136" t="s">
        <v>577</v>
      </c>
      <c r="G83" s="137">
        <f>SUMIFS(TM[[#All],[Member Months]],TM[[#All],[Reporting Year]],2022,TM[[#All],[Insurance Category Code]],2,TM[[#All],[Large Provider Entity Code]],100)</f>
        <v>0</v>
      </c>
      <c r="H83" s="137">
        <f>SUMIFS(TM[[#All],[Member Months]],TM[[#All],[Reporting Year]],2023,TM[[#All],[Insurance Category Code]],2,TM[[#All],[Large Provider Entity Code]],100)</f>
        <v>0</v>
      </c>
      <c r="I83" s="423" t="str">
        <f>IFERROR(Table911141755[[#This Row],[2023]]/Table911141755[[#This Row],[2022]]-1,"NA")</f>
        <v>NA</v>
      </c>
      <c r="J83"/>
      <c r="K83" s="136" t="s">
        <v>577</v>
      </c>
      <c r="L83" s="137">
        <f>SUMIFS(TM[[#All],[Member Months]],TM[[#All],[Reporting Year]],2022,TM[[#All],[Insurance Category Code]],6,TM[[#All],[Large Provider Entity Code]],100)</f>
        <v>0</v>
      </c>
      <c r="M83" s="137">
        <f>SUMIFS(TM[[#All],[Member Months]],TM[[#All],[Reporting Year]],2023,TM[[#All],[Insurance Category Code]],6,TM[[#All],[Large Provider Entity Code]],100)</f>
        <v>0</v>
      </c>
      <c r="N83" s="423" t="str">
        <f>IFERROR(Table91112151856[[#This Row],[2023]]/Table91112151856[[#This Row],[2022]]-1,"NA")</f>
        <v>NA</v>
      </c>
      <c r="O83"/>
      <c r="P83"/>
      <c r="Q83"/>
      <c r="R83"/>
      <c r="S83"/>
    </row>
    <row r="84" spans="1:19" x14ac:dyDescent="0.25">
      <c r="A84" s="139" t="s">
        <v>582</v>
      </c>
      <c r="B84" s="7" t="str">
        <f t="shared" ref="B84:B92" si="14">IFERROR((SUMPRODUCT(ICC2_MemberMonths_2022,G84)+SUMPRODUCT(ICC6_MemberMonths_2022,L84))/Medicaid_MemberMonths_2022,"NA")</f>
        <v>NA</v>
      </c>
      <c r="C84" s="7" t="str">
        <f>IFERROR((SUMPRODUCT(ICC2_MemberMonths_2023,H84)+SUMPRODUCT(ICC6_MemberMonths_2023,M84))/Medicaid_MemberMonths_2023,"NA")</f>
        <v>NA</v>
      </c>
      <c r="D84" s="423" t="str">
        <f>IFERROR(Table9131654[[#This Row],[2023]]/Table9131654[[#This Row],[2022]]-1,"NA")</f>
        <v>NA</v>
      </c>
      <c r="E84"/>
      <c r="F84" s="139" t="s">
        <v>582</v>
      </c>
      <c r="G84" s="7" t="str">
        <f>IFERROR((SUMIFS(TM[[#All],[Claims: Hospital Inpatient]],TM[[#All],[Reporting Year]],2022,TM[[#All],[Insurance Category Code]],2,TM[[#All],[Large Provider Entity Code]],100))/ICC2_MemberMonths_2022,"NA")</f>
        <v>NA</v>
      </c>
      <c r="H84" s="7" t="str" cm="1">
        <f t="array" ref="H84">IFERROR((SUMIFS(TM[[#All],[Claims: Hospital Inpatient]],TM[[#All],[Reporting Year]],2023,TM[[#All],[Insurance Category Code]],2,TM[[#All],[Large Provider Entity Code]],100))/ICC2_MemberMonths_2023,"NA")</f>
        <v>NA</v>
      </c>
      <c r="I84" s="423" t="str">
        <f>IFERROR(Table911141755[[#This Row],[2023]]/Table911141755[[#This Row],[2022]]-1,"NA")</f>
        <v>NA</v>
      </c>
      <c r="J84"/>
      <c r="K84" s="139" t="s">
        <v>582</v>
      </c>
      <c r="L84" s="7" t="str">
        <f>IFERROR((SUMIFS(TM[[#All],[Claims: Hospital Inpatient]],TM[[#All],[Reporting Year]],2022,TM[[#All],[Insurance Category Code]],6,TM[[#All],[Large Provider Entity Code]],100))/ICC6_MemberMonths_2022,"NA")</f>
        <v>NA</v>
      </c>
      <c r="M84" s="7" t="str" cm="1">
        <f t="array" ref="M84">IFERROR((SUMIFS(TM[[#All],[Claims: Hospital Inpatient]],TM[[#All],[Reporting Year]],2023,TM[[#All],[Insurance Category Code]],6,TM[[#All],[Large Provider Entity Code]],100))/ICC6_MemberMonths_2023,"NA")</f>
        <v>NA</v>
      </c>
      <c r="N84" s="423" t="str">
        <f>IFERROR(Table91112151856[[#This Row],[2023]]/Table91112151856[[#This Row],[2022]]-1,"NA")</f>
        <v>NA</v>
      </c>
      <c r="O84"/>
      <c r="P84"/>
      <c r="Q84"/>
      <c r="R84"/>
      <c r="S84"/>
    </row>
    <row r="85" spans="1:19" x14ac:dyDescent="0.25">
      <c r="A85" s="139" t="s">
        <v>583</v>
      </c>
      <c r="B85" s="7" t="str">
        <f t="shared" si="14"/>
        <v>NA</v>
      </c>
      <c r="C85" s="7" t="str">
        <f>IFERROR((SUMPRODUCT(ICC2_MemberMonths_2023,H85)+SUMPRODUCT(ICC6_MemberMonths_2023,M85))/Medicaid_MemberMonths_2023,"NA")</f>
        <v>NA</v>
      </c>
      <c r="D85" s="423" t="str">
        <f>IFERROR(Table9131654[[#This Row],[2023]]/Table9131654[[#This Row],[2022]]-1,"NA")</f>
        <v>NA</v>
      </c>
      <c r="E85"/>
      <c r="F85" s="139" t="s">
        <v>583</v>
      </c>
      <c r="G85" s="7" t="str">
        <f>IFERROR((SUMIFS(TM[[#All],[Claims: Hospital Outpatient]],TM[[#All],[Reporting Year]],2022,TM[[#All],[Insurance Category Code]],2,TM[[#All],[Large Provider Entity Code]],100))/ICC2_MemberMonths_2022,"NA")</f>
        <v>NA</v>
      </c>
      <c r="H85" s="7" t="str" cm="1">
        <f t="array" ref="H85">IFERROR((SUMIFS(TM[[#All],[Claims: Hospital Outpatient]],TM[[#All],[Reporting Year]],2023,TM[[#All],[Insurance Category Code]],2,TM[[#All],[Large Provider Entity Code]],100))/ICC2_MemberMonths_2023,"NA")</f>
        <v>NA</v>
      </c>
      <c r="I85" s="423" t="str">
        <f>IFERROR(Table911141755[[#This Row],[2023]]/Table911141755[[#This Row],[2022]]-1,"NA")</f>
        <v>NA</v>
      </c>
      <c r="J85"/>
      <c r="K85" s="139" t="s">
        <v>583</v>
      </c>
      <c r="L85" s="7" t="str">
        <f>IFERROR((SUMIFS(TM[[#All],[Claims: Hospital Outpatient]],TM[[#All],[Reporting Year]],2022,TM[[#All],[Insurance Category Code]],6,TM[[#All],[Large Provider Entity Code]],100))/ICC6_MemberMonths_2022,"NA")</f>
        <v>NA</v>
      </c>
      <c r="M85" s="7" t="str" cm="1">
        <f t="array" ref="M85">IFERROR((SUMIFS(TM[[#All],[Claims: Hospital Outpatient]],TM[[#All],[Reporting Year]],2023,TM[[#All],[Insurance Category Code]],6,TM[[#All],[Large Provider Entity Code]],100))/ICC6_MemberMonths_2023,"NA")</f>
        <v>NA</v>
      </c>
      <c r="N85" s="423" t="str">
        <f>IFERROR(Table91112151856[[#This Row],[2023]]/Table91112151856[[#This Row],[2022]]-1,"NA")</f>
        <v>NA</v>
      </c>
      <c r="O85"/>
      <c r="P85"/>
      <c r="Q85"/>
      <c r="R85"/>
      <c r="S85"/>
    </row>
    <row r="86" spans="1:19" x14ac:dyDescent="0.25">
      <c r="A86" s="139" t="s">
        <v>584</v>
      </c>
      <c r="B86" s="7" t="str">
        <f t="shared" si="14"/>
        <v>NA</v>
      </c>
      <c r="C86" s="7" t="str" cm="1">
        <f t="array" ref="C86">IFERROR((SUMPRODUCT(ICC2_MemberMonths_2023,H86)+SUMPRODUCT(ICC6_MemberMonths_2023,M86))/Medicaid_MemberMonths_2023,"NA")</f>
        <v>NA</v>
      </c>
      <c r="D86" s="423" t="str">
        <f>IFERROR(Table9131654[[#This Row],[2023]]/Table9131654[[#This Row],[2022]]-1,"NA")</f>
        <v>NA</v>
      </c>
      <c r="E86"/>
      <c r="F86" s="139" t="s">
        <v>584</v>
      </c>
      <c r="G86" s="7" t="str">
        <f>IFERROR((SUMIFS(TM[[#All],[Claims: Professional, Primary Care Providers]],TM[[#All],[Reporting Year]],2022,TM[[#All],[Insurance Category Code]],2,TM[[#All],[Large Provider Entity Code]],100))/ICC2_MemberMonths_2022,"NA")</f>
        <v>NA</v>
      </c>
      <c r="H86" s="7" t="str" cm="1">
        <f t="array" ref="H86">IFERROR((SUMIFS(TM[[#All],[Claims: Professional, Primary Care Providers]],TM[[#All],[Reporting Year]],2023,TM[[#All],[Insurance Category Code]],2,TM[[#All],[Large Provider Entity Code]],100))/ICC2_MemberMonths_2023,"NA")</f>
        <v>NA</v>
      </c>
      <c r="I86" s="423" t="str">
        <f>IFERROR(Table911141755[[#This Row],[2023]]/Table911141755[[#This Row],[2022]]-1,"NA")</f>
        <v>NA</v>
      </c>
      <c r="J86"/>
      <c r="K86" s="139" t="s">
        <v>584</v>
      </c>
      <c r="L86" s="7" t="str">
        <f>IFERROR((SUMIFS(TM[[#All],[Claims: Professional, Primary Care Providers]],TM[[#All],[Reporting Year]],2022,TM[[#All],[Insurance Category Code]],6,TM[[#All],[Large Provider Entity Code]],100))/ICC6_MemberMonths_2022,"NA")</f>
        <v>NA</v>
      </c>
      <c r="M86" s="7" t="str" cm="1">
        <f t="array" ref="M86">IFERROR((SUMIFS(TM[[#All],[Claims: Professional, Primary Care Providers]],TM[[#All],[Reporting Year]],2023,TM[[#All],[Insurance Category Code]],6,TM[[#All],[Large Provider Entity Code]],100))/ICC6_MemberMonths_2023,"NA")</f>
        <v>NA</v>
      </c>
      <c r="N86" s="423" t="str">
        <f>IFERROR(Table91112151856[[#This Row],[2023]]/Table91112151856[[#This Row],[2022]]-1,"NA")</f>
        <v>NA</v>
      </c>
      <c r="O86"/>
      <c r="P86"/>
      <c r="Q86"/>
      <c r="R86"/>
      <c r="S86"/>
    </row>
    <row r="87" spans="1:19" x14ac:dyDescent="0.25">
      <c r="A87" s="139" t="s">
        <v>585</v>
      </c>
      <c r="B87" s="7" t="str">
        <f t="shared" si="14"/>
        <v>NA</v>
      </c>
      <c r="C87" s="7" t="str" cm="1">
        <f t="array" ref="C87">IFERROR((SUMPRODUCT(ICC2_MemberMonths_2023,H87)+SUMPRODUCT(ICC6_MemberMonths_2023,M87))/Medicaid_MemberMonths_2023,"NA")</f>
        <v>NA</v>
      </c>
      <c r="D87" s="423" t="str">
        <f>IFERROR(Table9131654[[#This Row],[2023]]/Table9131654[[#This Row],[2022]]-1,"NA")</f>
        <v>NA</v>
      </c>
      <c r="E87"/>
      <c r="F87" s="139" t="s">
        <v>585</v>
      </c>
      <c r="G87" s="7" t="str">
        <f>IFERROR((SUMIFS(TM[[#All],[Claims: Professional, Specialty Providers]],TM[[#All],[Reporting Year]],2022,TM[[#All],[Insurance Category Code]],2,TM[[#All],[Large Provider Entity Code]],100))/ICC2_MemberMonths_2022,"NA")</f>
        <v>NA</v>
      </c>
      <c r="H87" s="7" t="str" cm="1">
        <f t="array" ref="H87">IFERROR((SUMIFS(TM[[#All],[Claims: Professional, Specialty Providers]],TM[[#All],[Reporting Year]],2023,TM[[#All],[Insurance Category Code]],2,TM[[#All],[Large Provider Entity Code]],100))/ICC2_MemberMonths_2023,"NA")</f>
        <v>NA</v>
      </c>
      <c r="I87" s="423" t="str">
        <f>IFERROR(Table911141755[[#This Row],[2023]]/Table911141755[[#This Row],[2022]]-1,"NA")</f>
        <v>NA</v>
      </c>
      <c r="J87"/>
      <c r="K87" s="139" t="s">
        <v>585</v>
      </c>
      <c r="L87" s="7" t="str">
        <f>IFERROR((SUMIFS(TM[[#All],[Claims: Professional, Specialty Providers]],TM[[#All],[Reporting Year]],2022,TM[[#All],[Insurance Category Code]],6,TM[[#All],[Large Provider Entity Code]],100))/ICC6_MemberMonths_2022,"NA")</f>
        <v>NA</v>
      </c>
      <c r="M87" s="7" t="str" cm="1">
        <f t="array" ref="M87">IFERROR((SUMIFS(TM[[#All],[Claims: Professional, Specialty Providers]],TM[[#All],[Reporting Year]],2023,TM[[#All],[Insurance Category Code]],6,TM[[#All],[Large Provider Entity Code]],100))/ICC6_MemberMonths_2023,"NA")</f>
        <v>NA</v>
      </c>
      <c r="N87" s="423" t="str">
        <f>IFERROR(Table91112151856[[#This Row],[2023]]/Table91112151856[[#This Row],[2022]]-1,"NA")</f>
        <v>NA</v>
      </c>
      <c r="O87"/>
      <c r="P87"/>
      <c r="Q87"/>
      <c r="R87"/>
      <c r="S87"/>
    </row>
    <row r="88" spans="1:19" x14ac:dyDescent="0.25">
      <c r="A88" s="139" t="s">
        <v>586</v>
      </c>
      <c r="B88" s="7" t="str">
        <f t="shared" si="14"/>
        <v>NA</v>
      </c>
      <c r="C88" s="7" t="str" cm="1">
        <f t="array" ref="C88">IFERROR((SUMPRODUCT(ICC2_MemberMonths_2023,H88)+SUMPRODUCT(ICC6_MemberMonths_2023,M88))/Medicaid_MemberMonths_2023,"NA")</f>
        <v>NA</v>
      </c>
      <c r="D88" s="423" t="str">
        <f>IFERROR(Table9131654[[#This Row],[2023]]/Table9131654[[#This Row],[2022]]-1,"NA")</f>
        <v>NA</v>
      </c>
      <c r="E88"/>
      <c r="F88" s="139" t="s">
        <v>586</v>
      </c>
      <c r="G88" s="7" t="str">
        <f>IFERROR((SUMIFS(TM[[#All],[Claims: Professional, Other Providers]],TM[[#All],[Reporting Year]],2022,TM[[#All],[Insurance Category Code]],2,TM[[#All],[Large Provider Entity Code]],100))/ICC2_MemberMonths_2022,"NA")</f>
        <v>NA</v>
      </c>
      <c r="H88" s="7" t="str" cm="1">
        <f t="array" ref="H88">IFERROR((SUMIFS(TM[[#All],[Claims: Professional, Other Providers]],TM[[#All],[Reporting Year]],2023,TM[[#All],[Insurance Category Code]],2,TM[[#All],[Large Provider Entity Code]],100))/ICC2_MemberMonths_2023,"NA")</f>
        <v>NA</v>
      </c>
      <c r="I88" s="423" t="str">
        <f>IFERROR(Table911141755[[#This Row],[2023]]/Table911141755[[#This Row],[2022]]-1,"NA")</f>
        <v>NA</v>
      </c>
      <c r="J88"/>
      <c r="K88" s="139" t="s">
        <v>586</v>
      </c>
      <c r="L88" s="7" t="str">
        <f>IFERROR((SUMIFS(TM[[#All],[Claims: Professional, Other Providers]],TM[[#All],[Reporting Year]],2022,TM[[#All],[Insurance Category Code]],6,TM[[#All],[Large Provider Entity Code]],100))/ICC6_MemberMonths_2022,"NA")</f>
        <v>NA</v>
      </c>
      <c r="M88" s="7" t="str" cm="1">
        <f t="array" ref="M88">IFERROR((SUMIFS(TM[[#All],[Claims: Professional, Other Providers]],TM[[#All],[Reporting Year]],2023,TM[[#All],[Insurance Category Code]],6,TM[[#All],[Large Provider Entity Code]],100))/ICC6_MemberMonths_2023,"NA")</f>
        <v>NA</v>
      </c>
      <c r="N88" s="423" t="str">
        <f>IFERROR(Table91112151856[[#This Row],[2023]]/Table91112151856[[#This Row],[2022]]-1,"NA")</f>
        <v>NA</v>
      </c>
      <c r="O88"/>
      <c r="P88"/>
      <c r="Q88"/>
      <c r="R88"/>
      <c r="S88"/>
    </row>
    <row r="89" spans="1:19" x14ac:dyDescent="0.25">
      <c r="A89" s="139" t="s">
        <v>588</v>
      </c>
      <c r="B89" s="7" t="str">
        <f t="shared" si="14"/>
        <v>NA</v>
      </c>
      <c r="C89" s="7" t="str" cm="1">
        <f t="array" ref="C89">IFERROR((SUMPRODUCT(ICC2_MemberMonths_2023,H89)+SUMPRODUCT(ICC6_MemberMonths_2023,M89))/Medicaid_MemberMonths_2023,"NA")</f>
        <v>NA</v>
      </c>
      <c r="D89" s="423" t="str">
        <f>IFERROR(Table9131654[[#This Row],[2023]]/Table9131654[[#This Row],[2022]]-1,"NA")</f>
        <v>NA</v>
      </c>
      <c r="E89"/>
      <c r="F89" s="139" t="s">
        <v>588</v>
      </c>
      <c r="G89" s="7" t="str">
        <f>IFERROR((SUMIFS(TM[[#All],[Claims: Long-Term Care]],TM[[#All],[Reporting Year]],2022,TM[[#All],[Insurance Category Code]],2,TM[[#All],[Large Provider Entity Code]],100))/ICC2_MemberMonths_2022,"NA")</f>
        <v>NA</v>
      </c>
      <c r="H89" s="7" t="str" cm="1">
        <f t="array" ref="H89">IFERROR((SUMIFS(TM[[#All],[Claims: Long-Term Care]],TM[[#All],[Reporting Year]],2023,TM[[#All],[Insurance Category Code]],2,TM[[#All],[Large Provider Entity Code]],100))/ICC2_MemberMonths_2023,"NA")</f>
        <v>NA</v>
      </c>
      <c r="I89" s="423" t="str">
        <f>IFERROR(Table911141755[[#This Row],[2023]]/Table911141755[[#This Row],[2022]]-1,"NA")</f>
        <v>NA</v>
      </c>
      <c r="J89"/>
      <c r="K89" s="139" t="s">
        <v>588</v>
      </c>
      <c r="L89" s="7" t="str">
        <f>IFERROR((SUMIFS(TM[[#All],[Claims: Long-Term Care]],TM[[#All],[Reporting Year]],2022,TM[[#All],[Insurance Category Code]],6,TM[[#All],[Large Provider Entity Code]],100))/ICC6_MemberMonths_2022,"NA")</f>
        <v>NA</v>
      </c>
      <c r="M89" s="7" t="str" cm="1">
        <f t="array" ref="M89">IFERROR((SUMIFS(TM[[#All],[Claims: Long-Term Care]],TM[[#All],[Reporting Year]],2023,TM[[#All],[Insurance Category Code]],6,TM[[#All],[Large Provider Entity Code]],100))/ICC6_MemberMonths_2023,"NA")</f>
        <v>NA</v>
      </c>
      <c r="N89" s="423" t="str">
        <f>IFERROR(Table91112151856[[#This Row],[2023]]/Table91112151856[[#This Row],[2022]]-1,"NA")</f>
        <v>NA</v>
      </c>
      <c r="O89"/>
      <c r="P89"/>
      <c r="Q89"/>
      <c r="R89"/>
      <c r="S89"/>
    </row>
    <row r="90" spans="1:19" x14ac:dyDescent="0.25">
      <c r="A90" s="139" t="s">
        <v>589</v>
      </c>
      <c r="B90" s="7" t="str">
        <f t="shared" si="14"/>
        <v>NA</v>
      </c>
      <c r="C90" s="7" t="str" cm="1">
        <f t="array" ref="C90">IFERROR((SUMPRODUCT(ICC2_MemberMonths_2023,H90)+SUMPRODUCT(ICC6_MemberMonths_2023,M90))/Medicaid_MemberMonths_2023,"NA")</f>
        <v>NA</v>
      </c>
      <c r="D90" s="423" t="str">
        <f>IFERROR(Table9131654[[#This Row],[2023]]/Table9131654[[#This Row],[2022]]-1,"NA")</f>
        <v>NA</v>
      </c>
      <c r="E90"/>
      <c r="F90" s="139" t="s">
        <v>589</v>
      </c>
      <c r="G90" s="7" t="str">
        <f>IFERROR((SUMIFS(TM[[#All],[Claims: Retail Pharmacy]],TM[[#All],[Reporting Year]],2022,TM[[#All],[Insurance Category Code]],2,TM[[#All],[Large Provider Entity Code]],100))/ICC2_MemberMonths_2022,"NA")</f>
        <v>NA</v>
      </c>
      <c r="H90" s="7" t="str" cm="1">
        <f t="array" ref="H90">IFERROR((SUMIFS(TM[[#All],[Claims: Retail Pharmacy]],TM[[#All],[Reporting Year]],2023,TM[[#All],[Insurance Category Code]],2,TM[[#All],[Large Provider Entity Code]],100))/ICC2_MemberMonths_2023,"NA")</f>
        <v>NA</v>
      </c>
      <c r="I90" s="423" t="str">
        <f>IFERROR(Table911141755[[#This Row],[2023]]/Table911141755[[#This Row],[2022]]-1,"NA")</f>
        <v>NA</v>
      </c>
      <c r="J90"/>
      <c r="K90" s="139" t="s">
        <v>589</v>
      </c>
      <c r="L90" s="7" t="str">
        <f>IFERROR((SUMIFS(TM[[#All],[Claims: Retail Pharmacy]],TM[[#All],[Reporting Year]],2022,TM[[#All],[Insurance Category Code]],6,TM[[#All],[Large Provider Entity Code]],100))/ICC6_MemberMonths_2022,"NA")</f>
        <v>NA</v>
      </c>
      <c r="M90" s="7" t="str" cm="1">
        <f t="array" ref="M90">IFERROR((SUMIFS(TM[[#All],[Claims: Retail Pharmacy]],TM[[#All],[Reporting Year]],2023,TM[[#All],[Insurance Category Code]],6,TM[[#All],[Large Provider Entity Code]],100))/ICC6_MemberMonths_2023,"NA")</f>
        <v>NA</v>
      </c>
      <c r="N90" s="423" t="str">
        <f>IFERROR(Table91112151856[[#This Row],[2023]]/Table91112151856[[#This Row],[2022]]-1,"NA")</f>
        <v>NA</v>
      </c>
      <c r="O90"/>
      <c r="P90"/>
      <c r="Q90"/>
      <c r="R90"/>
      <c r="S90"/>
    </row>
    <row r="91" spans="1:19" x14ac:dyDescent="0.25">
      <c r="A91" s="139" t="s">
        <v>590</v>
      </c>
      <c r="B91" s="7" t="str">
        <f t="shared" si="14"/>
        <v>NA</v>
      </c>
      <c r="C91" s="7" t="str" cm="1">
        <f t="array" ref="C91">IFERROR((SUMPRODUCT(ICC2_MemberMonths_2023,H91)+SUMPRODUCT(ICC6_MemberMonths_2023,M91))/Medicaid_MemberMonths_2023,"NA")</f>
        <v>NA</v>
      </c>
      <c r="D91" s="423" t="str">
        <f>IFERROR(Table9131654[[#This Row],[2023]]/Table9131654[[#This Row],[2022]]-1,"NA")</f>
        <v>NA</v>
      </c>
      <c r="E91"/>
      <c r="F91" s="139" t="s">
        <v>590</v>
      </c>
      <c r="G91" s="7" t="str">
        <f>IFERROR(((SUMIFS(TM[[#All],[Claims: Retail Pharmacy]],TM[[#All],[Reporting Year]],2022,TM[[#All],[Insurance Category Code]],2,TM[[#All],[Large Provider Entity Code]],100))-ABS(SUMIFS(RX[[#All],[Total Medical and Retail Pharmacy Rebate Amount]],RX[[#All],[Reporting Year]],2022,RX[[#All],[Insurance Category Code]],2)))/ICC2_MemberMonths_2022,"NA")</f>
        <v>NA</v>
      </c>
      <c r="H91" s="7" t="str" cm="1">
        <f t="array" ref="H91">IFERROR(((SUMIFS(TM[[#All],[Claims: Retail Pharmacy]],TM[[#All],[Reporting Year]],2023,TM[[#All],[Insurance Category Code]],2,TM[[#All],[Large Provider Entity Code]],100))-ABS(SUMIFS(RX[[#All],[Total Medical and Retail Pharmacy Rebate Amount]],RX[[#All],[Reporting Year]],2023,RX[[#All],[Insurance Category Code]],2)))/ICC2_MemberMonths_2023,"NA")</f>
        <v>NA</v>
      </c>
      <c r="I91" s="423" t="str">
        <f>IFERROR(Table911141755[[#This Row],[2023]]/Table911141755[[#This Row],[2022]]-1,"NA")</f>
        <v>NA</v>
      </c>
      <c r="J91"/>
      <c r="K91" s="139" t="s">
        <v>590</v>
      </c>
      <c r="L91" s="7" t="str">
        <f>IFERROR(((SUMIFS(TM[[#All],[Claims: Retail Pharmacy]],TM[[#All],[Reporting Year]],2022,TM[[#All],[Insurance Category Code]],6,TM[[#All],[Large Provider Entity Code]],100))-ABS(SUMIFS(RX[[#All],[Total Medical and Retail Pharmacy Rebate Amount]],RX[[#All],[Reporting Year]],2022,RX[[#All],[Insurance Category Code]],6)))/ICC6_MemberMonths_2022,"NA")</f>
        <v>NA</v>
      </c>
      <c r="M91" s="7" t="str" cm="1">
        <f t="array" ref="M91">IFERROR(((SUMIFS(TM[[#All],[Claims: Retail Pharmacy]],TM[[#All],[Reporting Year]],2023,TM[[#All],[Insurance Category Code]],6,TM[[#All],[Large Provider Entity Code]],100))-ABS(SUMIFS(RX[[#All],[Total Medical and Retail Pharmacy Rebate Amount]],RX[[#All],[Reporting Year]],2023,RX[[#All],[Insurance Category Code]],6)))/ICC6_MemberMonths_2023,"NA")</f>
        <v>NA</v>
      </c>
      <c r="N91" s="423" t="str">
        <f>IFERROR(Table91112151856[[#This Row],[2023]]/Table91112151856[[#This Row],[2022]]-1,"NA")</f>
        <v>NA</v>
      </c>
      <c r="O91"/>
      <c r="P91"/>
      <c r="Q91"/>
      <c r="R91"/>
      <c r="S91"/>
    </row>
    <row r="92" spans="1:19" s="155" customFormat="1" x14ac:dyDescent="0.25">
      <c r="A92" s="139" t="s">
        <v>591</v>
      </c>
      <c r="B92" s="7" t="str">
        <f t="shared" si="14"/>
        <v>NA</v>
      </c>
      <c r="C92" s="7" t="str" cm="1">
        <f t="array" ref="C92">IFERROR((SUMPRODUCT(ICC2_MemberMonths_2023,H92)+SUMPRODUCT(ICC6_MemberMonths_2023,M92))/Medicaid_MemberMonths_2023,"NA")</f>
        <v>NA</v>
      </c>
      <c r="D92" s="423" t="str">
        <f>IFERROR(Table9131654[[#This Row],[2023]]/Table9131654[[#This Row],[2022]]-1,"NA")</f>
        <v>NA</v>
      </c>
      <c r="E92" s="3"/>
      <c r="F92" s="139" t="s">
        <v>591</v>
      </c>
      <c r="G92" s="7" t="str">
        <f>IFERROR(SUMIFS(RX[[#All],[Total Medical and Retail Pharmacy Rebate Amount]],RX[[#All],[Reporting Year]],2022,RX[[#All],[Insurance Category Code]],2)/ICC2_MemberMonths_2022,"NA")</f>
        <v>NA</v>
      </c>
      <c r="H92" s="7" t="str" cm="1">
        <f t="array" ref="H92">IFERROR(SUMIFS(RX[[#All],[Total Medical and Retail Pharmacy Rebate Amount]],RX[[#All],[Reporting Year]],2023,RX[[#All],[Insurance Category Code]],2)/ICC2_MemberMonths_2023,"NA")</f>
        <v>NA</v>
      </c>
      <c r="I92" s="423" t="str">
        <f>IFERROR(Table911141755[[#This Row],[2023]]/Table911141755[[#This Row],[2022]]-1,"NA")</f>
        <v>NA</v>
      </c>
      <c r="J92" s="3"/>
      <c r="K92" s="139" t="s">
        <v>591</v>
      </c>
      <c r="L92" s="7" t="str">
        <f>IFERROR(SUMIFS(RX[[#All],[Total Medical and Retail Pharmacy Rebate Amount]],RX[[#All],[Reporting Year]],2022,RX[[#All],[Insurance Category Code]],6)/ICC6_MemberMonths_2022,"NA")</f>
        <v>NA</v>
      </c>
      <c r="M92" s="7" t="str" cm="1">
        <f t="array" ref="M92">IFERROR(SUMIFS(RX[[#All],[Total Medical and Retail Pharmacy Rebate Amount]],RX[[#All],[Reporting Year]],2023,RX[[#All],[Insurance Category Code]],6)/ICC6_MemberMonths_2023,"NA")</f>
        <v>NA</v>
      </c>
      <c r="N92" s="423" t="str">
        <f>IFERROR(Table91112151856[[#This Row],[2023]]/Table91112151856[[#This Row],[2022]]-1,"NA")</f>
        <v>NA</v>
      </c>
      <c r="O92" s="3"/>
      <c r="P92"/>
      <c r="Q92"/>
      <c r="R92"/>
      <c r="S92"/>
    </row>
    <row r="93" spans="1:19" s="155" customFormat="1" x14ac:dyDescent="0.25">
      <c r="A93" s="531" t="s">
        <v>536</v>
      </c>
      <c r="B93" s="510" t="str">
        <f>IFERROR(ABS(B92/B90),"NA")</f>
        <v>NA</v>
      </c>
      <c r="C93" s="510" t="str">
        <f>IFERROR(ABS(C92/C90),"NA")</f>
        <v>NA</v>
      </c>
      <c r="D93" s="562" t="s">
        <v>500</v>
      </c>
      <c r="E93" s="3"/>
      <c r="F93" s="531" t="s">
        <v>536</v>
      </c>
      <c r="G93" s="510" t="str">
        <f>IFERROR(ABS(G92/G90),"NA")</f>
        <v>NA</v>
      </c>
      <c r="H93" s="510" t="str">
        <f>IFERROR(ABS(H92/H90),"NA")</f>
        <v>NA</v>
      </c>
      <c r="I93" s="562" t="s">
        <v>500</v>
      </c>
      <c r="J93" s="3"/>
      <c r="K93" s="531" t="s">
        <v>536</v>
      </c>
      <c r="L93" s="510" t="str">
        <f>IFERROR(ABS(L92/L90),"NA")</f>
        <v>NA</v>
      </c>
      <c r="M93" s="510" t="str">
        <f>IFERROR(ABS(M92/M90),"NA")</f>
        <v>NA</v>
      </c>
      <c r="N93" s="562" t="s">
        <v>500</v>
      </c>
      <c r="O93" s="3"/>
      <c r="P93"/>
      <c r="Q93"/>
      <c r="R93"/>
      <c r="S93"/>
    </row>
    <row r="94" spans="1:19" x14ac:dyDescent="0.25">
      <c r="A94" s="139" t="s">
        <v>592</v>
      </c>
      <c r="B94" s="7" t="str">
        <f t="shared" ref="B94:B106" si="15">IFERROR((SUMPRODUCT(ICC2_MemberMonths_2022,G94)+SUMPRODUCT(ICC6_MemberMonths_2022,L94))/Medicaid_MemberMonths_2022,"NA")</f>
        <v>NA</v>
      </c>
      <c r="C94" s="7" t="str" cm="1">
        <f t="array" ref="C94">IFERROR((SUMPRODUCT(ICC2_MemberMonths_2023,H94)+SUMPRODUCT(ICC6_MemberMonths_2023,M94))/Medicaid_MemberMonths_2023,"NA")</f>
        <v>NA</v>
      </c>
      <c r="D94" s="423" t="str">
        <f>IFERROR(Table9131654[[#This Row],[2023]]/Table9131654[[#This Row],[2022]]-1,"NA")</f>
        <v>NA</v>
      </c>
      <c r="E94"/>
      <c r="F94" s="139" t="s">
        <v>592</v>
      </c>
      <c r="G94" s="7" t="str">
        <f>IFERROR((SUMIFS(TM[[#All],[Claims: Other]],TM[[#All],[Reporting Year]],2022,TM[[#All],[Insurance Category Code]],2,TM[[#All],[Large Provider Entity Code]],100))/ICC2_MemberMonths_2022,"NA")</f>
        <v>NA</v>
      </c>
      <c r="H94" s="7" t="str" cm="1">
        <f t="array" ref="H94">IFERROR((SUMIFS(TM[[#All],[Claims: Other]],TM[[#All],[Reporting Year]],2023,TM[[#All],[Insurance Category Code]],2,TM[[#All],[Large Provider Entity Code]],100))/ICC2_MemberMonths_2023,"NA")</f>
        <v>NA</v>
      </c>
      <c r="I94" s="423" t="str">
        <f>IFERROR(Table911141755[[#This Row],[2023]]/Table911141755[[#This Row],[2022]]-1,"NA")</f>
        <v>NA</v>
      </c>
      <c r="J94"/>
      <c r="K94" s="139" t="s">
        <v>592</v>
      </c>
      <c r="L94" s="7" t="str">
        <f>IFERROR((SUMIFS(TM[[#All],[Claims: Other]],TM[[#All],[Reporting Year]],2022,TM[[#All],[Insurance Category Code]],6,TM[[#All],[Large Provider Entity Code]],100))/ICC6_MemberMonths_2022,"NA")</f>
        <v>NA</v>
      </c>
      <c r="M94" s="7" t="str" cm="1">
        <f t="array" ref="M94">IFERROR((SUMIFS(TM[[#All],[Claims: Other]],TM[[#All],[Reporting Year]],2023,TM[[#All],[Insurance Category Code]],6,TM[[#All],[Large Provider Entity Code]],100))/ICC6_MemberMonths_2023,"NA")</f>
        <v>NA</v>
      </c>
      <c r="N94" s="423" t="str">
        <f>IFERROR(Table91112151856[[#This Row],[2023]]/Table91112151856[[#This Row],[2022]]-1,"NA")</f>
        <v>NA</v>
      </c>
      <c r="O94"/>
      <c r="P94" s="3"/>
      <c r="Q94" s="3"/>
      <c r="R94" s="3"/>
      <c r="S94" s="3"/>
    </row>
    <row r="95" spans="1:19" x14ac:dyDescent="0.25">
      <c r="A95" s="503" t="s">
        <v>593</v>
      </c>
      <c r="B95" s="505" t="str">
        <f t="shared" si="15"/>
        <v>NA</v>
      </c>
      <c r="C95" s="505" t="str" cm="1">
        <f t="array" ref="C95">IFERROR((SUMPRODUCT(ICC2_MemberMonths_2023,H95)+SUMPRODUCT(ICC6_MemberMonths_2023,M95))/Medicaid_MemberMonths_2023,"NA")</f>
        <v>NA</v>
      </c>
      <c r="D95" s="504" t="str">
        <f>IFERROR(Table9131654[[#This Row],[2023]]/Table9131654[[#This Row],[2022]]-1,"NA")</f>
        <v>NA</v>
      </c>
      <c r="E95"/>
      <c r="F95" s="503" t="s">
        <v>593</v>
      </c>
      <c r="G95" s="505" t="str">
        <f>IFERROR((SUMIFS(TM[[#All],[Total Non-Truncated Claims Spending]],TM[[#All],[Reporting Year]],2022,TM[[#All],[Insurance Category Code]],2,TM[[#All],[Large Provider Entity Code]],100))/ICC2_MemberMonths_2022,"NA")</f>
        <v>NA</v>
      </c>
      <c r="H95" s="505" t="str" cm="1">
        <f t="array" ref="H95">IFERROR((SUMIFS(TM[[#All],[Total Non-Truncated Claims Spending]],TM[[#All],[Reporting Year]],2023,TM[[#All],[Insurance Category Code]],2,TM[[#All],[Large Provider Entity Code]],100))/ICC2_MemberMonths_2023,"NA")</f>
        <v>NA</v>
      </c>
      <c r="I95" s="504" t="str">
        <f>IFERROR(Table911141755[[#This Row],[2023]]/Table911141755[[#This Row],[2022]]-1,"NA")</f>
        <v>NA</v>
      </c>
      <c r="J95"/>
      <c r="K95" s="503" t="s">
        <v>593</v>
      </c>
      <c r="L95" s="505" t="str">
        <f>IFERROR((SUMIFS(TM[[#All],[Total Non-Truncated Claims Spending]],TM[[#All],[Reporting Year]],2022,TM[[#All],[Insurance Category Code]],6,TM[[#All],[Large Provider Entity Code]],100))/ICC6_MemberMonths_2022,"NA")</f>
        <v>NA</v>
      </c>
      <c r="M95" s="505" t="str" cm="1">
        <f t="array" ref="M95">IFERROR((SUMIFS(TM[[#All],[Total Non-Truncated Claims Spending]],TM[[#All],[Reporting Year]],2023,TM[[#All],[Insurance Category Code]],6,TM[[#All],[Large Provider Entity Code]],100))/ICC6_MemberMonths_2023,"NA")</f>
        <v>NA</v>
      </c>
      <c r="N95" s="504" t="str">
        <f>IFERROR(Table91112151856[[#This Row],[2023]]/Table91112151856[[#This Row],[2022]]-1,"NA")</f>
        <v>NA</v>
      </c>
      <c r="O95"/>
      <c r="P95" s="3"/>
      <c r="Q95" s="3"/>
      <c r="R95" s="3"/>
      <c r="S95" s="3"/>
    </row>
    <row r="96" spans="1:19" x14ac:dyDescent="0.25">
      <c r="A96" s="503" t="s">
        <v>594</v>
      </c>
      <c r="B96" s="505" t="str">
        <f t="shared" si="15"/>
        <v>NA</v>
      </c>
      <c r="C96" s="505" t="str" cm="1">
        <f t="array" ref="C96">IFERROR((SUMPRODUCT(ICC2_MemberMonths_2023,H96)+SUMPRODUCT(ICC6_MemberMonths_2023,M96))/Medicaid_MemberMonths_2023,"NA")</f>
        <v>NA</v>
      </c>
      <c r="D96" s="504" t="str">
        <f>IFERROR(Table9131654[[#This Row],[2023]]/Table9131654[[#This Row],[2022]]-1,"NA")</f>
        <v>NA</v>
      </c>
      <c r="E96"/>
      <c r="F96" s="503" t="s">
        <v>594</v>
      </c>
      <c r="G96" s="505" t="str">
        <f>IFERROR((SUMIFS(TM[[#All],[Total Truncated Claims Spending]],TM[[#All],[Reporting Year]],2022,TM[[#All],[Insurance Category Code]],2,TM[[#All],[Large Provider Entity Code]],100))/ICC2_MemberMonths_2022,"NA")</f>
        <v>NA</v>
      </c>
      <c r="H96" s="505" t="str" cm="1">
        <f t="array" ref="H96">IFERROR((SUMIFS(TM[[#All],[Total Truncated Claims Spending]],TM[[#All],[Reporting Year]],2023,TM[[#All],[Insurance Category Code]],2,TM[[#All],[Large Provider Entity Code]],100))/ICC2_MemberMonths_2023,"NA")</f>
        <v>NA</v>
      </c>
      <c r="I96" s="504" t="str">
        <f>IFERROR(Table911141755[[#This Row],[2023]]/Table911141755[[#This Row],[2022]]-1,"NA")</f>
        <v>NA</v>
      </c>
      <c r="J96"/>
      <c r="K96" s="503" t="s">
        <v>594</v>
      </c>
      <c r="L96" s="505" t="str">
        <f>IFERROR((SUMIFS(TM[[#All],[Total Truncated Claims Spending]],TM[[#All],[Reporting Year]],2022,TM[[#All],[Insurance Category Code]],6,TM[[#All],[Large Provider Entity Code]],100))/ICC6_MemberMonths_2022,"NA")</f>
        <v>NA</v>
      </c>
      <c r="M96" s="505" t="str" cm="1">
        <f t="array" ref="M96">IFERROR((SUMIFS(TM[[#All],[Total Truncated Claims Spending]],TM[[#All],[Reporting Year]],2023,TM[[#All],[Insurance Category Code]],6,TM[[#All],[Large Provider Entity Code]],100))/ICC6_MemberMonths_2023,"NA")</f>
        <v>NA</v>
      </c>
      <c r="N96" s="504" t="str">
        <f>IFERROR(Table91112151856[[#This Row],[2023]]/Table91112151856[[#This Row],[2022]]-1,"NA")</f>
        <v>NA</v>
      </c>
      <c r="O96"/>
      <c r="P96"/>
      <c r="Q96"/>
      <c r="R96"/>
      <c r="S96"/>
    </row>
    <row r="97" spans="1:19" x14ac:dyDescent="0.25">
      <c r="A97" s="139" t="s">
        <v>595</v>
      </c>
      <c r="B97" s="7" t="str">
        <f t="shared" si="15"/>
        <v>NA</v>
      </c>
      <c r="C97" s="7" t="str" cm="1">
        <f t="array" ref="C97">IFERROR((SUMPRODUCT(ICC2_MemberMonths_2023,H97)+SUMPRODUCT(ICC6_MemberMonths_2023,M97))/Medicaid_MemberMonths_2023,"NA")</f>
        <v>NA</v>
      </c>
      <c r="D97" s="423" t="str">
        <f>IFERROR(Table9131654[[#This Row],[2023]]/Table9131654[[#This Row],[2022]]-1,"NA")</f>
        <v>NA</v>
      </c>
      <c r="E97"/>
      <c r="F97" s="139" t="s">
        <v>595</v>
      </c>
      <c r="G97" s="7" t="str">
        <f>IFERROR((SUMIFS(TM[[#All],[Non-Claims: Capitation or Bundled Arrangements]],TM[[#All],[Reporting Year]],2022,TM[[#All],[Insurance Category Code]],2,TM[[#All],[Large Provider Entity Code]],100))/ICC2_MemberMonths_2022,"NA")</f>
        <v>NA</v>
      </c>
      <c r="H97" s="7" t="str" cm="1">
        <f t="array" ref="H97">IFERROR((SUMIFS(TM[[#All],[Non-Claims: Capitation or Bundled Arrangements]],TM[[#All],[Reporting Year]],2023,TM[[#All],[Insurance Category Code]],2,TM[[#All],[Large Provider Entity Code]],100))/ICC2_MemberMonths_2023,"NA")</f>
        <v>NA</v>
      </c>
      <c r="I97" s="423" t="str">
        <f>IFERROR(Table911141755[[#This Row],[2023]]/Table911141755[[#This Row],[2022]]-1,"NA")</f>
        <v>NA</v>
      </c>
      <c r="J97"/>
      <c r="K97" s="139" t="s">
        <v>595</v>
      </c>
      <c r="L97" s="7" t="str">
        <f>IFERROR((SUMIFS(TM[[#All],[Non-Claims: Capitation or Bundled Arrangements]],TM[[#All],[Reporting Year]],2022,TM[[#All],[Insurance Category Code]],6,TM[[#All],[Large Provider Entity Code]],100))/ICC6_MemberMonths_2022,"NA")</f>
        <v>NA</v>
      </c>
      <c r="M97" s="7" t="str" cm="1">
        <f t="array" ref="M97">IFERROR((SUMIFS(TM[[#All],[Non-Claims: Capitation or Bundled Arrangements]],TM[[#All],[Reporting Year]],2023,TM[[#All],[Insurance Category Code]],6,TM[[#All],[Large Provider Entity Code]],100))/ICC6_MemberMonths_2023,"NA")</f>
        <v>NA</v>
      </c>
      <c r="N97" s="423" t="str">
        <f>IFERROR(Table91112151856[[#This Row],[2023]]/Table91112151856[[#This Row],[2022]]-1,"NA")</f>
        <v>NA</v>
      </c>
      <c r="O97"/>
      <c r="P97"/>
      <c r="Q97"/>
      <c r="R97"/>
      <c r="S97"/>
    </row>
    <row r="98" spans="1:19" x14ac:dyDescent="0.25">
      <c r="A98" s="139" t="s">
        <v>596</v>
      </c>
      <c r="B98" s="7" t="str">
        <f t="shared" si="15"/>
        <v>NA</v>
      </c>
      <c r="C98" s="7" t="str" cm="1">
        <f t="array" ref="C98">IFERROR((SUMPRODUCT(ICC2_MemberMonths_2023,H98)+SUMPRODUCT(ICC6_MemberMonths_2023,M98))/Medicaid_MemberMonths_2023,"NA")</f>
        <v>NA</v>
      </c>
      <c r="D98" s="423" t="str">
        <f>IFERROR(Table9131654[[#This Row],[2023]]/Table9131654[[#This Row],[2022]]-1,"NA")</f>
        <v>NA</v>
      </c>
      <c r="E98"/>
      <c r="F98" s="139" t="s">
        <v>596</v>
      </c>
      <c r="G98" s="7" t="str">
        <f>IFERROR((SUMIFS(TM[[#All],[Non-Claims: Performance Incentives]],TM[[#All],[Reporting Year]],2022,TM[[#All],[Insurance Category Code]],2,TM[[#All],[Large Provider Entity Code]],100))/ICC2_MemberMonths_2022,"NA")</f>
        <v>NA</v>
      </c>
      <c r="H98" s="7" t="str" cm="1">
        <f t="array" ref="H98">IFERROR((SUMIFS(TM[[#All],[Non-Claims: Performance Incentives]],TM[[#All],[Reporting Year]],2023,TM[[#All],[Insurance Category Code]],2,TM[[#All],[Large Provider Entity Code]],100))/ICC2_MemberMonths_2023,"NA")</f>
        <v>NA</v>
      </c>
      <c r="I98" s="423" t="str">
        <f>IFERROR(Table911141755[[#This Row],[2023]]/Table911141755[[#This Row],[2022]]-1,"NA")</f>
        <v>NA</v>
      </c>
      <c r="J98"/>
      <c r="K98" s="139" t="s">
        <v>596</v>
      </c>
      <c r="L98" s="7" t="str">
        <f>IFERROR((SUMIFS(TM[[#All],[Non-Claims: Performance Incentives]],TM[[#All],[Reporting Year]],2022,TM[[#All],[Insurance Category Code]],6,TM[[#All],[Large Provider Entity Code]],100))/ICC6_MemberMonths_2022,"NA")</f>
        <v>NA</v>
      </c>
      <c r="M98" s="7" t="str" cm="1">
        <f t="array" ref="M98">IFERROR((SUMIFS(TM[[#All],[Non-Claims: Performance Incentives]],TM[[#All],[Reporting Year]],2023,TM[[#All],[Insurance Category Code]],6,TM[[#All],[Large Provider Entity Code]],100))/ICC6_MemberMonths_2023,"NA")</f>
        <v>NA</v>
      </c>
      <c r="N98" s="423" t="str">
        <f>IFERROR(Table91112151856[[#This Row],[2023]]/Table91112151856[[#This Row],[2022]]-1,"NA")</f>
        <v>NA</v>
      </c>
      <c r="O98"/>
      <c r="P98"/>
      <c r="Q98"/>
      <c r="R98"/>
      <c r="S98"/>
    </row>
    <row r="99" spans="1:19" x14ac:dyDescent="0.25">
      <c r="A99" s="139" t="s">
        <v>597</v>
      </c>
      <c r="B99" s="7" t="str">
        <f t="shared" si="15"/>
        <v>NA</v>
      </c>
      <c r="C99" s="7" t="str" cm="1">
        <f t="array" ref="C99">IFERROR((SUMPRODUCT(ICC2_MemberMonths_2023,H99)+SUMPRODUCT(ICC6_MemberMonths_2023,M99))/Medicaid_MemberMonths_2023,"NA")</f>
        <v>NA</v>
      </c>
      <c r="D99" s="423" t="str">
        <f>IFERROR(Table9131654[[#This Row],[2023]]/Table9131654[[#This Row],[2022]]-1,"NA")</f>
        <v>NA</v>
      </c>
      <c r="E99"/>
      <c r="F99" s="139" t="s">
        <v>597</v>
      </c>
      <c r="G99" s="7" t="str">
        <f>IFERROR((SUMIFS(TM[[#All],[Non-Claims: Pop Health and Practice Infrastructure]],TM[[#All],[Reporting Year]],2022,TM[[#All],[Insurance Category Code]],2,TM[[#All],[Large Provider Entity Code]],100))/ICC2_MemberMonths_2022,"NA")</f>
        <v>NA</v>
      </c>
      <c r="H99" s="7" t="str" cm="1">
        <f t="array" ref="H99">IFERROR((SUMIFS(TM[[#All],[Non-Claims: Pop Health and Practice Infrastructure]],TM[[#All],[Reporting Year]],2023,TM[[#All],[Insurance Category Code]],2,TM[[#All],[Large Provider Entity Code]],100))/ICC2_MemberMonths_2023,"NA")</f>
        <v>NA</v>
      </c>
      <c r="I99" s="423" t="str">
        <f>IFERROR(Table911141755[[#This Row],[2023]]/Table911141755[[#This Row],[2022]]-1,"NA")</f>
        <v>NA</v>
      </c>
      <c r="J99"/>
      <c r="K99" s="139" t="s">
        <v>597</v>
      </c>
      <c r="L99" s="7" t="str">
        <f>IFERROR((SUMIFS(TM[[#All],[Non-Claims: Pop Health and Practice Infrastructure]],TM[[#All],[Reporting Year]],2022,TM[[#All],[Insurance Category Code]],6,TM[[#All],[Large Provider Entity Code]],100))/ICC6_MemberMonths_2022,"NA")</f>
        <v>NA</v>
      </c>
      <c r="M99" s="7" t="str" cm="1">
        <f t="array" ref="M99">IFERROR((SUMIFS(TM[[#All],[Non-Claims: Pop Health and Practice Infrastructure]],TM[[#All],[Reporting Year]],2023,TM[[#All],[Insurance Category Code]],6,TM[[#All],[Large Provider Entity Code]],100))/ICC6_MemberMonths_2023,"NA")</f>
        <v>NA</v>
      </c>
      <c r="N99" s="423" t="str">
        <f>IFERROR(Table91112151856[[#This Row],[2023]]/Table91112151856[[#This Row],[2022]]-1,"NA")</f>
        <v>NA</v>
      </c>
      <c r="O99"/>
      <c r="P99"/>
      <c r="Q99"/>
      <c r="R99"/>
      <c r="S99"/>
    </row>
    <row r="100" spans="1:19" x14ac:dyDescent="0.25">
      <c r="A100" s="139" t="s">
        <v>598</v>
      </c>
      <c r="B100" s="7" t="str">
        <f t="shared" si="15"/>
        <v>NA</v>
      </c>
      <c r="C100" s="7" t="str" cm="1">
        <f t="array" ref="C100">IFERROR((SUMPRODUCT(ICC2_MemberMonths_2023,H100)+SUMPRODUCT(ICC6_MemberMonths_2023,M100))/Medicaid_MemberMonths_2023,"NA")</f>
        <v>NA</v>
      </c>
      <c r="D100" s="423" t="str">
        <f>IFERROR(Table9131654[[#This Row],[2023]]/Table9131654[[#This Row],[2022]]-1,"NA")</f>
        <v>NA</v>
      </c>
      <c r="E100"/>
      <c r="F100" s="139" t="s">
        <v>598</v>
      </c>
      <c r="G100" s="7" t="str">
        <f>IFERROR((SUMIFS(TM[[#All],[Non-Claims: Provider Salaries]],TM[[#All],[Reporting Year]],2022,TM[[#All],[Insurance Category Code]],2,TM[[#All],[Large Provider Entity Code]],100))/ICC2_MemberMonths_2022,"NA")</f>
        <v>NA</v>
      </c>
      <c r="H100" s="7" t="str" cm="1">
        <f t="array" ref="H100">IFERROR((SUMIFS(TM[[#All],[Non-Claims: Provider Salaries]],TM[[#All],[Reporting Year]],2023,TM[[#All],[Insurance Category Code]],2,TM[[#All],[Large Provider Entity Code]],100))/ICC2_MemberMonths_2023,"NA")</f>
        <v>NA</v>
      </c>
      <c r="I100" s="423" t="str">
        <f>IFERROR(Table911141755[[#This Row],[2023]]/Table911141755[[#This Row],[2022]]-1,"NA")</f>
        <v>NA</v>
      </c>
      <c r="J100"/>
      <c r="K100" s="139" t="s">
        <v>598</v>
      </c>
      <c r="L100" s="7" t="str">
        <f>IFERROR((SUMIFS(TM[[#All],[Non-Claims: Provider Salaries]],TM[[#All],[Reporting Year]],2022,TM[[#All],[Insurance Category Code]],6,TM[[#All],[Large Provider Entity Code]],100))/ICC6_MemberMonths_2022,"NA")</f>
        <v>NA</v>
      </c>
      <c r="M100" s="7" t="str" cm="1">
        <f t="array" ref="M100">IFERROR((SUMIFS(TM[[#All],[Non-Claims: Provider Salaries]],TM[[#All],[Reporting Year]],2023,TM[[#All],[Insurance Category Code]],6,TM[[#All],[Large Provider Entity Code]],100))/ICC6_MemberMonths_2023,"NA")</f>
        <v>NA</v>
      </c>
      <c r="N100" s="423" t="str">
        <f>IFERROR(Table91112151856[[#This Row],[2023]]/Table91112151856[[#This Row],[2022]]-1,"NA")</f>
        <v>NA</v>
      </c>
      <c r="O100"/>
      <c r="P100"/>
      <c r="Q100"/>
      <c r="R100"/>
      <c r="S100"/>
    </row>
    <row r="101" spans="1:19" s="155" customFormat="1" x14ac:dyDescent="0.25">
      <c r="A101" s="139" t="s">
        <v>599</v>
      </c>
      <c r="B101" s="7" t="str">
        <f t="shared" si="15"/>
        <v>NA</v>
      </c>
      <c r="C101" s="7" t="str" cm="1">
        <f t="array" ref="C101">IFERROR((SUMPRODUCT(ICC2_MemberMonths_2023,H101)+SUMPRODUCT(ICC6_MemberMonths_2023,M101))/Medicaid_MemberMonths_2023,"NA")</f>
        <v>NA</v>
      </c>
      <c r="D101" s="423" t="str">
        <f>IFERROR(Table9131654[[#This Row],[2023]]/Table9131654[[#This Row],[2022]]-1,"NA")</f>
        <v>NA</v>
      </c>
      <c r="E101" s="3"/>
      <c r="F101" s="139" t="s">
        <v>599</v>
      </c>
      <c r="G101" s="7" t="str">
        <f>IFERROR((SUMIFS(TM[[#All],[Non-Claims: Recovery]],TM[[#All],[Reporting Year]],2022,TM[[#All],[Insurance Category Code]],2,TM[[#All],[Large Provider Entity Code]],100))/ICC2_MemberMonths_2022,"NA")</f>
        <v>NA</v>
      </c>
      <c r="H101" s="7" t="str" cm="1">
        <f t="array" ref="H101">IFERROR((SUMIFS(TM[[#All],[Non-Claims: Recovery]],TM[[#All],[Reporting Year]],2023,TM[[#All],[Insurance Category Code]],2,TM[[#All],[Large Provider Entity Code]],100))/ICC2_MemberMonths_2023,"NA")</f>
        <v>NA</v>
      </c>
      <c r="I101" s="423" t="str">
        <f>IFERROR(Table911141755[[#This Row],[2023]]/Table911141755[[#This Row],[2022]]-1,"NA")</f>
        <v>NA</v>
      </c>
      <c r="J101" s="3"/>
      <c r="K101" s="139" t="s">
        <v>599</v>
      </c>
      <c r="L101" s="7" t="str">
        <f>IFERROR((SUMIFS(TM[[#All],[Non-Claims: Recovery]],TM[[#All],[Reporting Year]],2022,TM[[#All],[Insurance Category Code]],6,TM[[#All],[Large Provider Entity Code]],100))/ICC6_MemberMonths_2022,"NA")</f>
        <v>NA</v>
      </c>
      <c r="M101" s="7" t="str" cm="1">
        <f t="array" ref="M101">IFERROR((SUMIFS(TM[[#All],[Non-Claims: Recovery]],TM[[#All],[Reporting Year]],2023,TM[[#All],[Insurance Category Code]],6,TM[[#All],[Large Provider Entity Code]],100))/ICC6_MemberMonths_2023,"NA")</f>
        <v>NA</v>
      </c>
      <c r="N101" s="423" t="str">
        <f>IFERROR(Table91112151856[[#This Row],[2023]]/Table91112151856[[#This Row],[2022]]-1,"NA")</f>
        <v>NA</v>
      </c>
      <c r="O101" s="3"/>
      <c r="P101"/>
      <c r="Q101"/>
      <c r="R101"/>
      <c r="S101"/>
    </row>
    <row r="102" spans="1:19" s="49" customFormat="1" x14ac:dyDescent="0.25">
      <c r="A102" s="139" t="s">
        <v>600</v>
      </c>
      <c r="B102" s="7" t="str">
        <f t="shared" si="15"/>
        <v>NA</v>
      </c>
      <c r="C102" s="7" t="str" cm="1">
        <f t="array" ref="C102">IFERROR((SUMPRODUCT(ICC2_MemberMonths_2023,H102)+SUMPRODUCT(ICC6_MemberMonths_2023,M102))/Medicaid_MemberMonths_2023,"NA")</f>
        <v>NA</v>
      </c>
      <c r="D102" s="423" t="str">
        <f>IFERROR(Table9131654[[#This Row],[2023]]/Table9131654[[#This Row],[2022]]-1,"NA")</f>
        <v>NA</v>
      </c>
      <c r="E102" s="48"/>
      <c r="F102" s="139" t="s">
        <v>600</v>
      </c>
      <c r="G102" s="7" t="str">
        <f>IFERROR((SUMIFS(TM[[#All],[Non-Claims: Other]],TM[[#All],[Reporting Year]],2022,TM[[#All],[Insurance Category Code]],2,TM[[#All],[Large Provider Entity Code]],100))/ICC2_MemberMonths_2022,"NA")</f>
        <v>NA</v>
      </c>
      <c r="H102" s="7" t="str" cm="1">
        <f t="array" ref="H102">IFERROR((SUMIFS(TM[[#All],[Non-Claims: Other]],TM[[#All],[Reporting Year]],2023,TM[[#All],[Insurance Category Code]],2,TM[[#All],[Large Provider Entity Code]],100))/ICC2_MemberMonths_2023,"NA")</f>
        <v>NA</v>
      </c>
      <c r="I102" s="423" t="str">
        <f>IFERROR(Table911141755[[#This Row],[2023]]/Table911141755[[#This Row],[2022]]-1,"NA")</f>
        <v>NA</v>
      </c>
      <c r="J102" s="48"/>
      <c r="K102" s="139" t="s">
        <v>600</v>
      </c>
      <c r="L102" s="7" t="str">
        <f>IFERROR((SUMIFS(TM[[#All],[Non-Claims: Other]],TM[[#All],[Reporting Year]],2022,TM[[#All],[Insurance Category Code]],6,TM[[#All],[Large Provider Entity Code]],100))/ICC6_MemberMonths_2022,"NA")</f>
        <v>NA</v>
      </c>
      <c r="M102" s="7" t="str" cm="1">
        <f t="array" ref="M102">IFERROR((SUMIFS(TM[[#All],[Non-Claims: Other]],TM[[#All],[Reporting Year]],2023,TM[[#All],[Insurance Category Code]],6,TM[[#All],[Large Provider Entity Code]],100))/ICC6_MemberMonths_2023,"NA")</f>
        <v>NA</v>
      </c>
      <c r="N102" s="423" t="str">
        <f>IFERROR(Table91112151856[[#This Row],[2023]]/Table91112151856[[#This Row],[2022]]-1,"NA")</f>
        <v>NA</v>
      </c>
      <c r="O102" s="48"/>
      <c r="P102"/>
      <c r="Q102"/>
      <c r="R102"/>
      <c r="S102"/>
    </row>
    <row r="103" spans="1:19" s="49" customFormat="1" x14ac:dyDescent="0.25">
      <c r="A103" s="139" t="s">
        <v>601</v>
      </c>
      <c r="B103" s="7" t="str">
        <f t="shared" si="15"/>
        <v>NA</v>
      </c>
      <c r="C103" s="7" t="str" cm="1">
        <f t="array" ref="C103">IFERROR((SUMPRODUCT(ICC2_MemberMonths_2023,H103)+SUMPRODUCT(ICC6_MemberMonths_2023,M103))/Medicaid_MemberMonths_2023,"NA")</f>
        <v>NA</v>
      </c>
      <c r="D103" s="423" t="str">
        <f>IFERROR(Table9131654[[#This Row],[2023]]/Table9131654[[#This Row],[2022]]-1,"NA")</f>
        <v>NA</v>
      </c>
      <c r="E103" s="48"/>
      <c r="F103" s="139" t="s">
        <v>601</v>
      </c>
      <c r="G103" s="7" t="str">
        <f>IFERROR((SUMIFS(TM[[#All],[Non-Claims: Total Primary Care]],TM[[#All],[Reporting Year]],2022,TM[[#All],[Insurance Category Code]],2,TM[[#All],[Large Provider Entity Code]],100))/ICC2_MemberMonths_2022,"NA")</f>
        <v>NA</v>
      </c>
      <c r="H103" s="7" t="str" cm="1">
        <f t="array" ref="H103">IFERROR((SUMIFS(TM[[#All],[Non-Claims: Total Primary Care]],TM[[#All],[Reporting Year]],2023,TM[[#All],[Insurance Category Code]],2,TM[[#All],[Large Provider Entity Code]],100))/ICC2_MemberMonths_2023,"NA")</f>
        <v>NA</v>
      </c>
      <c r="I103" s="423" t="str">
        <f>IFERROR(Table911141755[[#This Row],[2023]]/Table911141755[[#This Row],[2022]]-1,"NA")</f>
        <v>NA</v>
      </c>
      <c r="J103" s="48"/>
      <c r="K103" s="139" t="s">
        <v>601</v>
      </c>
      <c r="L103" s="7" t="str">
        <f>IFERROR((SUMIFS(TM[[#All],[Non-Claims: Total Primary Care]],TM[[#All],[Reporting Year]],2022,TM[[#All],[Insurance Category Code]],6,TM[[#All],[Large Provider Entity Code]],100))/ICC6_MemberMonths_2022,"NA")</f>
        <v>NA</v>
      </c>
      <c r="M103" s="7" t="str" cm="1">
        <f t="array" ref="M103">IFERROR((SUMIFS(TM[[#All],[Non-Claims: Total Primary Care]],TM[[#All],[Reporting Year]],2023,TM[[#All],[Insurance Category Code]],6,TM[[#All],[Large Provider Entity Code]],100))/ICC6_MemberMonths_2023,"NA")</f>
        <v>NA</v>
      </c>
      <c r="N103" s="423" t="str">
        <f>IFERROR(Table91112151856[[#This Row],[2023]]/Table91112151856[[#This Row],[2022]]-1,"NA")</f>
        <v>NA</v>
      </c>
      <c r="O103" s="48"/>
      <c r="P103" s="3"/>
      <c r="Q103" s="3"/>
      <c r="R103" s="3"/>
      <c r="S103" s="3"/>
    </row>
    <row r="104" spans="1:19" ht="15.75" thickBot="1" x14ac:dyDescent="0.3">
      <c r="A104" s="503" t="s">
        <v>602</v>
      </c>
      <c r="B104" s="507" t="str">
        <f t="shared" si="15"/>
        <v>NA</v>
      </c>
      <c r="C104" s="507" t="str" cm="1">
        <f t="array" ref="C104">IFERROR((SUMPRODUCT(ICC2_MemberMonths_2023,H104)+SUMPRODUCT(ICC6_MemberMonths_2023,M104))/Medicaid_MemberMonths_2023,"NA")</f>
        <v>NA</v>
      </c>
      <c r="D104" s="508" t="str">
        <f>IFERROR(Table9131654[[#This Row],[2023]]/Table9131654[[#This Row],[2022]]-1,"NA")</f>
        <v>NA</v>
      </c>
      <c r="E104"/>
      <c r="F104" s="503" t="s">
        <v>602</v>
      </c>
      <c r="G104" s="507" t="str">
        <f>IFERROR((SUMIFS(TM[[#All],[Total Non-Claims Spending]],TM[[#All],[Reporting Year]],2022,TM[[#All],[Insurance Category Code]],2,TM[[#All],[Large Provider Entity Code]],100))/ICC2_MemberMonths_2022,"NA")</f>
        <v>NA</v>
      </c>
      <c r="H104" s="507" t="str" cm="1">
        <f t="array" ref="H104">IFERROR((SUMIFS(TM[[#All],[Total Non-Claims Spending]],TM[[#All],[Reporting Year]],2023,TM[[#All],[Insurance Category Code]],2,TM[[#All],[Large Provider Entity Code]],100))/ICC2_MemberMonths_2023,"NA")</f>
        <v>NA</v>
      </c>
      <c r="I104" s="508" t="str">
        <f>IFERROR(Table911141755[[#This Row],[2023]]/Table911141755[[#This Row],[2022]]-1,"NA")</f>
        <v>NA</v>
      </c>
      <c r="J104"/>
      <c r="K104" s="503" t="s">
        <v>602</v>
      </c>
      <c r="L104" s="507" t="str">
        <f>IFERROR((SUMIFS(TM[[#All],[Total Non-Claims Spending]],TM[[#All],[Reporting Year]],2022,TM[[#All],[Insurance Category Code]],6,TM[[#All],[Large Provider Entity Code]],100))/ICC6_MemberMonths_2022,"NA")</f>
        <v>NA</v>
      </c>
      <c r="M104" s="507" t="str" cm="1">
        <f t="array" ref="M104">IFERROR((SUMIFS(TM[[#All],[Total Non-Claims Spending]],TM[[#All],[Reporting Year]],2023,TM[[#All],[Insurance Category Code]],6,TM[[#All],[Large Provider Entity Code]],100))/ICC6_MemberMonths_2023,"NA")</f>
        <v>NA</v>
      </c>
      <c r="N104" s="508" t="str">
        <f>IFERROR(Table91112151856[[#This Row],[2023]]/Table91112151856[[#This Row],[2022]]-1,"NA")</f>
        <v>NA</v>
      </c>
      <c r="O104" s="559"/>
      <c r="P104" s="560"/>
      <c r="Q104" s="560"/>
      <c r="R104" s="560"/>
      <c r="S104" s="560"/>
    </row>
    <row r="105" spans="1:19" ht="15.75" thickTop="1" x14ac:dyDescent="0.25">
      <c r="A105" s="114" t="s">
        <v>603</v>
      </c>
      <c r="B105" s="135" t="str">
        <f t="shared" si="15"/>
        <v>NA</v>
      </c>
      <c r="C105" s="135" t="str" cm="1">
        <f t="array" ref="C105">IFERROR((SUMPRODUCT(ICC2_MemberMonths_2023,H105)+SUMPRODUCT(ICC6_MemberMonths_2023,M105))/Medicaid_MemberMonths_2023,"NA")</f>
        <v>NA</v>
      </c>
      <c r="D105" s="427" t="str">
        <f>IFERROR(Table9131654[[#This Row],[2023]]/Table9131654[[#This Row],[2022]]-1,"NA")</f>
        <v>NA</v>
      </c>
      <c r="F105" s="114" t="s">
        <v>603</v>
      </c>
      <c r="G105" s="135" t="str">
        <f>IFERROR((SUMIFS(TM[[#All],[Total Non-Truncated Claims and Non-Claims Spending]],TM[[#All],[Reporting Year]],2022,TM[[#All],[Insurance Category Code]],2,TM[[#All],[Large Provider Entity Code]],100))/ICC2_MemberMonths_2022,"NA")</f>
        <v>NA</v>
      </c>
      <c r="H105" s="135" t="str" cm="1">
        <f t="array" ref="H105">IFERROR((SUMIFS(TM[[#All],[Total Non-Truncated Claims and Non-Claims Spending]],TM[[#All],[Reporting Year]],2023,TM[[#All],[Insurance Category Code]],2,TM[[#All],[Large Provider Entity Code]],100))/ICC2_MemberMonths_2023,"NA")</f>
        <v>NA</v>
      </c>
      <c r="I105" s="427" t="str">
        <f>IFERROR(Table911141755[[#This Row],[2023]]/Table911141755[[#This Row],[2022]]-1,"NA")</f>
        <v>NA</v>
      </c>
      <c r="K105" s="114" t="s">
        <v>603</v>
      </c>
      <c r="L105" s="135" t="str">
        <f>IFERROR((SUMIFS(TM[[#All],[Total Non-Truncated Claims and Non-Claims Spending]],TM[[#All],[Reporting Year]],2022,TM[[#All],[Insurance Category Code]],6,TM[[#All],[Large Provider Entity Code]],100))/ICC6_MemberMonths_2022,"NA")</f>
        <v>NA</v>
      </c>
      <c r="M105" s="135" t="str" cm="1">
        <f t="array" ref="M105">IFERROR((SUMIFS(TM[[#All],[Total Non-Truncated Claims and Non-Claims Spending]],TM[[#All],[Reporting Year]],2023,TM[[#All],[Insurance Category Code]],6,TM[[#All],[Large Provider Entity Code]],100))/ICC6_MemberMonths_2023,"NA")</f>
        <v>NA</v>
      </c>
      <c r="N105" s="427" t="str">
        <f>IFERROR(Table91112151856[[#This Row],[2023]]/Table91112151856[[#This Row],[2022]]-1,"NA")</f>
        <v>NA</v>
      </c>
      <c r="O105" s="559"/>
      <c r="P105" s="560"/>
      <c r="Q105" s="560"/>
      <c r="R105" s="560"/>
      <c r="S105" s="560"/>
    </row>
    <row r="106" spans="1:19" x14ac:dyDescent="0.25">
      <c r="A106" s="142" t="s">
        <v>604</v>
      </c>
      <c r="B106" s="234" t="str">
        <f t="shared" si="15"/>
        <v>NA</v>
      </c>
      <c r="C106" s="234" t="str" cm="1">
        <f t="array" ref="C106">IFERROR((SUMPRODUCT(ICC2_MemberMonths_2023,H106)+SUMPRODUCT(ICC6_MemberMonths_2023,M106))/Medicaid_MemberMonths_2023,"NA")</f>
        <v>NA</v>
      </c>
      <c r="D106" s="428" t="str">
        <f>IFERROR(Table9131654[[#This Row],[2023]]/Table9131654[[#This Row],[2022]]-1,"NA")</f>
        <v>NA</v>
      </c>
      <c r="F106" s="142" t="s">
        <v>604</v>
      </c>
      <c r="G106" s="234" t="str">
        <f>IFERROR((SUMIFS(TM[[#All],[Total Truncated Expenses]],TM[[#All],[Reporting Year]],2022,TM[[#All],[Insurance Category Code]],2,TM[[#All],[Large Provider Entity Code]],100))/ICC2_MemberMonths_2022,"NA")</f>
        <v>NA</v>
      </c>
      <c r="H106" s="234" t="str" cm="1">
        <f t="array" ref="H106">IFERROR((SUMIFS(TM[[#All],[Total Truncated Expenses]],TM[[#All],[Reporting Year]],2023,TM[[#All],[Insurance Category Code]],2,TM[[#All],[Large Provider Entity Code]],100))/ICC2_MemberMonths_2023,"NA")</f>
        <v>NA</v>
      </c>
      <c r="I106" s="428" t="str">
        <f>IFERROR(Table911141755[[#This Row],[2023]]/Table911141755[[#This Row],[2022]]-1,"NA")</f>
        <v>NA</v>
      </c>
      <c r="K106" s="142" t="s">
        <v>604</v>
      </c>
      <c r="L106" s="234" t="str">
        <f>IFERROR((SUMIFS(TM[[#All],[Total Truncated Expenses]],TM[[#All],[Reporting Year]],2022,TM[[#All],[Insurance Category Code]],6,TM[[#All],[Large Provider Entity Code]],100))/ICC6_MemberMonths_2022,"NA")</f>
        <v>NA</v>
      </c>
      <c r="M106" s="234" t="str" cm="1">
        <f t="array" ref="M106">IFERROR((SUMIFS(TM[[#All],[Total Truncated Expenses]],TM[[#All],[Reporting Year]],2023,TM[[#All],[Insurance Category Code]],6,TM[[#All],[Large Provider Entity Code]],100))/ICC6_MemberMonths_2023,"NA")</f>
        <v>NA</v>
      </c>
      <c r="N106" s="428" t="str">
        <f>IFERROR(Table91112151856[[#This Row],[2023]]/Table91112151856[[#This Row],[2022]]-1,"NA")</f>
        <v>NA</v>
      </c>
      <c r="O106" s="559"/>
      <c r="P106" s="559"/>
      <c r="Q106" s="559"/>
      <c r="R106" s="559"/>
      <c r="S106" s="559"/>
    </row>
    <row r="108" spans="1:19" x14ac:dyDescent="0.25">
      <c r="A108" s="155"/>
      <c r="F108" s="155"/>
    </row>
  </sheetData>
  <mergeCells count="31">
    <mergeCell ref="A81:D81"/>
    <mergeCell ref="F81:I81"/>
    <mergeCell ref="K81:N81"/>
    <mergeCell ref="A51:D51"/>
    <mergeCell ref="F51:I51"/>
    <mergeCell ref="K51:N51"/>
    <mergeCell ref="A79:D79"/>
    <mergeCell ref="F79:I79"/>
    <mergeCell ref="A80:D80"/>
    <mergeCell ref="F80:I80"/>
    <mergeCell ref="K80:N80"/>
    <mergeCell ref="P51:S51"/>
    <mergeCell ref="A52:D52"/>
    <mergeCell ref="F52:I52"/>
    <mergeCell ref="K52:N52"/>
    <mergeCell ref="P52:S52"/>
    <mergeCell ref="P22:S22"/>
    <mergeCell ref="A23:D23"/>
    <mergeCell ref="F23:I23"/>
    <mergeCell ref="K23:N23"/>
    <mergeCell ref="P23:S23"/>
    <mergeCell ref="A50:D50"/>
    <mergeCell ref="F50:I50"/>
    <mergeCell ref="A2:N2"/>
    <mergeCell ref="A6:D6"/>
    <mergeCell ref="K6:N6"/>
    <mergeCell ref="A21:D21"/>
    <mergeCell ref="F21:I21"/>
    <mergeCell ref="A22:D22"/>
    <mergeCell ref="F22:I22"/>
    <mergeCell ref="K22:N22"/>
  </mergeCells>
  <conditionalFormatting sqref="S83:S105 N83:N106 I83:I106 D83:D106 D54:D77 I54:I77 S25:S48 I25:I48 D8:D19 I8:I19 N8 D25:D48 N54:N77 N25:N48 S54:S77 N12 N15 N19">
    <cfRule type="cellIs" dxfId="239" priority="1" operator="equal">
      <formula>"NA"</formula>
    </cfRule>
  </conditionalFormatting>
  <conditionalFormatting sqref="S25:S33 S36 S39:S45 N39:N45 N36 N25:N33 I25:I33 I36 I39:I45 D39:D45 D36 D25:D33 D54:D62 D65 D68:D74 I68:I74 I65 I54:I62 N68:N74 N65 N54:N62 S68:S74 S54:S63 N97:N103 N94 N83:N91 I97:I103 I94 I83:I91 D97:D103 D94 D83:D91">
    <cfRule type="cellIs" dxfId="238" priority="8" operator="greaterThan">
      <formula>0.3</formula>
    </cfRule>
  </conditionalFormatting>
  <conditionalFormatting sqref="Q35:R35 L64:M64 G64:H64 B64:C64 B93:C93 G93:H93 L93:M93 Q64:R64 L35:M35 G35:H35 B35:C35">
    <cfRule type="cellIs" dxfId="237" priority="5" operator="greaterThan">
      <formula>1</formula>
    </cfRule>
  </conditionalFormatting>
  <conditionalFormatting sqref="D12 D15 D8">
    <cfRule type="cellIs" dxfId="236" priority="4" operator="greaterThan">
      <formula>0.1</formula>
    </cfRule>
    <cfRule type="cellIs" dxfId="235" priority="6" operator="lessThan">
      <formula>-0.1</formula>
    </cfRule>
  </conditionalFormatting>
  <conditionalFormatting sqref="S25:S33 S36 S39:S45 N39:N45 N36 N25:N33 I25:I33 I36 I39:I45 D39:D45 D36 D25:D33 D54:D62 D65 D68:D74 I68:I74 I65 I54:I62 N68:N74 N65 N54:N62 S68:S74 S54:S63 N97:N103 N94 N83:N91 I97:I103 I94 I83:I91 D97:D103 D94 D83:D91">
    <cfRule type="cellIs" dxfId="234" priority="7" operator="lessThan">
      <formula>-0.3</formula>
    </cfRule>
  </conditionalFormatting>
  <conditionalFormatting sqref="N8:N18 I37:I38 I46:I48 N37:N38 N46:N48 S37:S38 S46:S48 S66:S67 S75:S77 N75:N77 N66:N67 I66:I67 I75:I77 D66:D67 D75:D77 D95:D96 D104:D106 I95:I96 I104:I106 N95:N96 N104:N106">
    <cfRule type="cellIs" dxfId="233" priority="2" operator="lessThan">
      <formula>-0.1</formula>
    </cfRule>
    <cfRule type="cellIs" dxfId="232" priority="9" operator="greaterThan">
      <formula>0.1</formula>
    </cfRule>
  </conditionalFormatting>
  <pageMargins left="0.7" right="0.7" top="0.75" bottom="0.75" header="0.3" footer="0.3"/>
  <pageSetup scale="16" orientation="landscape" r:id="rId1"/>
  <headerFooter>
    <oddFooter>&amp;L&amp;"-,Bold"Carrier Benchmark Data Submission Template&amp;"-,Regular" | NJ Hart Program&amp;RPage &amp;P</oddFooter>
  </headerFooter>
  <ignoredErrors>
    <ignoredError sqref="S35" calculatedColumn="1"/>
  </ignoredErrors>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D99CE-AC95-453B-AC01-DA2DC3BD4CC5}">
  <sheetPr>
    <tabColor theme="8" tint="0.39997558519241921"/>
    <pageSetUpPr fitToPage="1"/>
  </sheetPr>
  <dimension ref="A1:V338"/>
  <sheetViews>
    <sheetView showGridLines="0" topLeftCell="F311" zoomScale="50" zoomScaleNormal="50" workbookViewId="0">
      <selection activeCell="H57" sqref="H57"/>
    </sheetView>
  </sheetViews>
  <sheetFormatPr defaultColWidth="8.85546875" defaultRowHeight="15" x14ac:dyDescent="0.25"/>
  <cols>
    <col min="1" max="1" width="30.7109375" style="11" customWidth="1"/>
    <col min="2" max="2" width="49.28515625" style="11" customWidth="1"/>
    <col min="3" max="21" width="30.7109375" style="11" customWidth="1"/>
    <col min="22" max="22" width="14.7109375" style="11" bestFit="1" customWidth="1"/>
    <col min="23" max="23" width="9.5703125" style="11" bestFit="1" customWidth="1"/>
    <col min="24" max="16384" width="8.85546875" style="11"/>
  </cols>
  <sheetData>
    <row r="1" spans="1:22" ht="18.75" x14ac:dyDescent="0.3">
      <c r="A1" s="5" t="s">
        <v>47</v>
      </c>
      <c r="B1"/>
      <c r="C1"/>
      <c r="D1"/>
      <c r="E1"/>
      <c r="F1"/>
      <c r="G1"/>
      <c r="H1"/>
      <c r="I1"/>
      <c r="J1"/>
      <c r="K1"/>
      <c r="L1"/>
      <c r="M1"/>
      <c r="N1"/>
      <c r="O1"/>
      <c r="P1"/>
      <c r="Q1"/>
      <c r="R1"/>
      <c r="S1"/>
      <c r="T1"/>
      <c r="U1"/>
    </row>
    <row r="2" spans="1:22" ht="15.75" customHeight="1" x14ac:dyDescent="0.25">
      <c r="A2" s="696" t="s">
        <v>544</v>
      </c>
      <c r="B2" s="696"/>
      <c r="C2" s="696"/>
      <c r="D2" s="696"/>
      <c r="E2" s="696"/>
      <c r="F2" s="696"/>
      <c r="G2" s="696"/>
      <c r="H2" s="696"/>
      <c r="I2" s="696"/>
      <c r="J2" s="696"/>
      <c r="K2" s="696"/>
      <c r="L2" s="696"/>
      <c r="M2" s="696"/>
      <c r="N2" s="696"/>
      <c r="O2" s="696"/>
      <c r="P2" s="696"/>
      <c r="Q2" s="696"/>
      <c r="R2" s="696"/>
      <c r="S2" s="696"/>
      <c r="T2" s="696"/>
      <c r="U2" s="696"/>
    </row>
    <row r="3" spans="1:22" ht="15.75" x14ac:dyDescent="0.25">
      <c r="A3" s="186"/>
      <c r="B3" s="186"/>
      <c r="C3" s="186"/>
      <c r="D3" s="186"/>
      <c r="E3" s="186"/>
      <c r="F3" s="186"/>
      <c r="G3" s="186"/>
      <c r="H3" s="186"/>
      <c r="I3" s="186"/>
      <c r="J3" s="186"/>
      <c r="K3" s="186"/>
      <c r="L3" s="186"/>
      <c r="M3" s="186"/>
      <c r="N3" s="186"/>
      <c r="O3" s="186"/>
      <c r="P3" s="186"/>
      <c r="Q3" s="186"/>
      <c r="R3" s="186"/>
      <c r="S3" s="186"/>
      <c r="T3" s="186"/>
      <c r="U3" s="186"/>
    </row>
    <row r="4" spans="1:22" ht="15" customHeight="1" x14ac:dyDescent="0.25">
      <c r="A4" s="685" t="s">
        <v>545</v>
      </c>
      <c r="B4" s="685"/>
      <c r="C4" s="685"/>
      <c r="D4" s="685"/>
      <c r="E4" s="685"/>
      <c r="F4" s="685"/>
      <c r="G4" s="685"/>
      <c r="H4" s="685"/>
      <c r="I4" s="685"/>
      <c r="J4" s="685"/>
      <c r="K4" s="685"/>
      <c r="L4" s="685"/>
      <c r="M4" s="685"/>
      <c r="N4" s="685"/>
      <c r="O4" s="685"/>
      <c r="P4" s="685"/>
      <c r="Q4" s="685"/>
      <c r="R4" s="685"/>
      <c r="S4" s="685"/>
      <c r="T4" s="685"/>
      <c r="U4" s="685"/>
    </row>
    <row r="5" spans="1:22" ht="30" customHeight="1" x14ac:dyDescent="0.25">
      <c r="A5" s="686" t="s">
        <v>581</v>
      </c>
      <c r="B5" s="686"/>
      <c r="C5" s="686"/>
      <c r="D5" s="686"/>
      <c r="E5" s="686"/>
      <c r="F5" s="686"/>
      <c r="G5" s="686"/>
      <c r="H5" s="686"/>
      <c r="I5" s="686"/>
      <c r="J5" s="686"/>
      <c r="K5" s="686"/>
      <c r="L5" s="686"/>
      <c r="M5" s="686"/>
      <c r="N5" s="686"/>
      <c r="O5" s="686"/>
      <c r="P5" s="686"/>
      <c r="Q5" s="686"/>
      <c r="R5" s="686"/>
      <c r="S5" s="686"/>
      <c r="T5" s="686"/>
      <c r="U5" s="686"/>
    </row>
    <row r="6" spans="1:22" x14ac:dyDescent="0.25">
      <c r="A6"/>
      <c r="B6"/>
      <c r="C6"/>
      <c r="D6"/>
      <c r="E6"/>
      <c r="F6"/>
      <c r="G6"/>
      <c r="H6"/>
      <c r="I6"/>
      <c r="J6"/>
      <c r="K6"/>
      <c r="L6"/>
      <c r="M6"/>
      <c r="N6"/>
      <c r="O6"/>
      <c r="P6"/>
      <c r="Q6"/>
      <c r="R6"/>
      <c r="S6"/>
      <c r="T6" s="149"/>
      <c r="U6"/>
    </row>
    <row r="7" spans="1:22" x14ac:dyDescent="0.25">
      <c r="A7"/>
      <c r="B7"/>
      <c r="C7"/>
      <c r="D7"/>
      <c r="E7"/>
      <c r="F7"/>
      <c r="G7"/>
      <c r="H7"/>
      <c r="I7"/>
      <c r="J7"/>
      <c r="K7"/>
      <c r="L7"/>
      <c r="M7"/>
      <c r="N7"/>
      <c r="O7"/>
      <c r="P7"/>
      <c r="Q7"/>
      <c r="R7"/>
      <c r="S7"/>
      <c r="T7" s="149"/>
      <c r="U7"/>
    </row>
    <row r="8" spans="1:22" x14ac:dyDescent="0.25">
      <c r="A8" s="567" t="s">
        <v>546</v>
      </c>
      <c r="B8" s="568"/>
      <c r="C8" s="568"/>
      <c r="D8"/>
      <c r="E8"/>
      <c r="F8"/>
      <c r="G8"/>
      <c r="H8"/>
      <c r="I8"/>
      <c r="J8"/>
      <c r="K8"/>
      <c r="L8"/>
      <c r="M8"/>
      <c r="N8"/>
      <c r="O8"/>
      <c r="P8"/>
      <c r="Q8"/>
      <c r="R8"/>
      <c r="S8"/>
      <c r="T8"/>
      <c r="U8"/>
    </row>
    <row r="9" spans="1:22" x14ac:dyDescent="0.25">
      <c r="A9" s="657" t="s">
        <v>71</v>
      </c>
      <c r="B9" s="655" t="s">
        <v>547</v>
      </c>
      <c r="C9" s="697">
        <v>2021</v>
      </c>
      <c r="D9" s="698"/>
      <c r="E9" s="698"/>
      <c r="F9" s="698"/>
      <c r="G9" s="698"/>
      <c r="H9" s="699"/>
      <c r="I9" s="700">
        <v>2022</v>
      </c>
      <c r="J9" s="701"/>
      <c r="K9" s="701"/>
      <c r="L9" s="701"/>
      <c r="M9" s="701"/>
      <c r="N9" s="702"/>
      <c r="O9" s="703" t="s">
        <v>548</v>
      </c>
      <c r="P9" s="704"/>
      <c r="Q9" s="704"/>
      <c r="R9" s="704"/>
      <c r="S9" s="704"/>
      <c r="T9" s="704"/>
      <c r="U9" s="705"/>
    </row>
    <row r="10" spans="1:22" ht="65.25" customHeight="1" x14ac:dyDescent="0.25">
      <c r="A10" s="657"/>
      <c r="B10" s="655"/>
      <c r="C10" s="90" t="s">
        <v>549</v>
      </c>
      <c r="D10" s="91" t="s">
        <v>550</v>
      </c>
      <c r="E10" s="91" t="s">
        <v>551</v>
      </c>
      <c r="F10" s="91" t="s">
        <v>552</v>
      </c>
      <c r="G10" s="91" t="s">
        <v>553</v>
      </c>
      <c r="H10" s="92" t="s">
        <v>554</v>
      </c>
      <c r="I10" s="87" t="s">
        <v>549</v>
      </c>
      <c r="J10" s="88" t="s">
        <v>550</v>
      </c>
      <c r="K10" s="88" t="s">
        <v>551</v>
      </c>
      <c r="L10" s="88" t="s">
        <v>552</v>
      </c>
      <c r="M10" s="88" t="s">
        <v>553</v>
      </c>
      <c r="N10" s="89" t="s">
        <v>554</v>
      </c>
      <c r="O10" s="513" t="s">
        <v>555</v>
      </c>
      <c r="P10" s="242" t="s">
        <v>556</v>
      </c>
      <c r="Q10" s="76" t="s">
        <v>557</v>
      </c>
      <c r="R10" s="76" t="s">
        <v>558</v>
      </c>
      <c r="S10" s="76" t="s">
        <v>559</v>
      </c>
      <c r="T10" s="76" t="s">
        <v>560</v>
      </c>
      <c r="U10" s="76" t="s">
        <v>561</v>
      </c>
    </row>
    <row r="11" spans="1:22" x14ac:dyDescent="0.25">
      <c r="A11" s="219">
        <v>100</v>
      </c>
      <c r="B11" s="495" t="s">
        <v>72</v>
      </c>
      <c r="C11" s="514">
        <f t="shared" ref="C11:C31" si="0">C41+C71+C101</f>
        <v>0</v>
      </c>
      <c r="D11" s="516" t="str">
        <f t="shared" ref="D11:D30" si="1">IF(C11=0,"NA",(SUMPRODUCT(D41,C41)+SUMPRODUCT(D71,C71)+SUMPRODUCT(D101,C101))/C11)</f>
        <v>NA</v>
      </c>
      <c r="E11" s="516" t="str">
        <f t="shared" ref="E11:E31" si="2">IF(C11=0,"NA",(SUMPRODUCT(E41,C41)+SUMPRODUCT(E71,C71)+SUMPRODUCT(E101,C101))/C11)</f>
        <v>NA</v>
      </c>
      <c r="F11" s="516" t="str">
        <f t="shared" ref="F11:F31" si="3">IF(C11=0,"NA",(SUMPRODUCT(F41,C41)+SUMPRODUCT(F71,C71)+SUMPRODUCT(F101,C101))/C11)</f>
        <v>NA</v>
      </c>
      <c r="G11" s="516" t="str">
        <f t="shared" ref="G11:G31" si="4">IF(C11=0,"NA",(SUMPRODUCT(G41,C41)+SUMPRODUCT(G71,C71)+SUMPRODUCT(G101,C101))/C11)</f>
        <v>NA</v>
      </c>
      <c r="H11" s="517" t="str">
        <f t="shared" ref="H11:H31" si="5">IF(C11=0,"NA",(SUMPRODUCT(H41,C41)+SUMPRODUCT(H71,C71)+SUMPRODUCT(H101,C101))/C11)</f>
        <v>NA</v>
      </c>
      <c r="I11" s="514">
        <f t="shared" ref="I11:I32" si="6">I41+I71+I101</f>
        <v>0</v>
      </c>
      <c r="J11" s="516" t="str">
        <f t="shared" ref="J11:J30" si="7">IF(I11=0,"NA",(SUMPRODUCT(J41,I41)+SUMPRODUCT(J71,I71)+SUMPRODUCT(J101,I101))/I11)</f>
        <v>NA</v>
      </c>
      <c r="K11" s="516" t="str">
        <f t="shared" ref="K11:K31" si="8">IF(I11=0,"NA",(SUMPRODUCT(K41,I41)+SUMPRODUCT(K71,I71)+SUMPRODUCT(K101,I101))/I11)</f>
        <v>NA</v>
      </c>
      <c r="L11" s="516" t="str">
        <f t="shared" ref="L11:L31" si="9">IF(I11=0,"NA",(SUMPRODUCT(L41,I41)+SUMPRODUCT(L71,I71)+SUMPRODUCT(L101,I101))/I11)</f>
        <v>NA</v>
      </c>
      <c r="M11" s="516" t="str">
        <f t="shared" ref="M11:M31" si="10">IF(I11=0,"NA",(SUMPRODUCT(M41,I41)+SUMPRODUCT(M71,I71)+SUMPRODUCT(M101,I101))/I11)</f>
        <v>NA</v>
      </c>
      <c r="N11" s="517" t="str">
        <f t="shared" ref="N11:N31" si="11">IF(I11=0,"NA",(SUMPRODUCT(N41,I41)+SUMPRODUCT(N71,I71)+SUMPRODUCT(N101,I101))/I11)</f>
        <v>NA</v>
      </c>
      <c r="O11" s="518">
        <f>ABS(C11-I11)</f>
        <v>0</v>
      </c>
      <c r="P11" s="519" t="str">
        <f t="shared" ref="P11:P31" si="12">IFERROR((I11/C11-1),"NA")</f>
        <v>NA</v>
      </c>
      <c r="Q11" s="520" t="str">
        <f t="shared" ref="Q11:Q31" si="13">IFERROR((J11/D11-1),"NA")</f>
        <v>NA</v>
      </c>
      <c r="R11" s="520" t="str">
        <f t="shared" ref="R11:R31" si="14">IFERROR((K11/E11-1),"NA")</f>
        <v>NA</v>
      </c>
      <c r="S11" s="520" t="str">
        <f t="shared" ref="S11:S31" si="15">IFERROR((L11/F11-1),"NA")</f>
        <v>NA</v>
      </c>
      <c r="T11" s="520" t="str">
        <f t="shared" ref="T11:T31" si="16">IFERROR((M11/G11-1),"NA")</f>
        <v>NA</v>
      </c>
      <c r="U11" s="520" t="str">
        <f t="shared" ref="U11:U31" si="17">IFERROR((N11/H11-1),"NA")</f>
        <v>NA</v>
      </c>
      <c r="V11" s="511"/>
    </row>
    <row r="12" spans="1:22" x14ac:dyDescent="0.25">
      <c r="A12" s="218">
        <v>101</v>
      </c>
      <c r="B12" s="495" t="s">
        <v>609</v>
      </c>
      <c r="C12" s="514">
        <f t="shared" si="0"/>
        <v>0</v>
      </c>
      <c r="D12" s="516" t="str">
        <f t="shared" si="1"/>
        <v>NA</v>
      </c>
      <c r="E12" s="516" t="str">
        <f t="shared" si="2"/>
        <v>NA</v>
      </c>
      <c r="F12" s="516" t="str">
        <f t="shared" si="3"/>
        <v>NA</v>
      </c>
      <c r="G12" s="516" t="str">
        <f t="shared" si="4"/>
        <v>NA</v>
      </c>
      <c r="H12" s="517" t="str">
        <f t="shared" si="5"/>
        <v>NA</v>
      </c>
      <c r="I12" s="514">
        <f t="shared" si="6"/>
        <v>0</v>
      </c>
      <c r="J12" s="516" t="str">
        <f t="shared" si="7"/>
        <v>NA</v>
      </c>
      <c r="K12" s="516" t="str">
        <f t="shared" si="8"/>
        <v>NA</v>
      </c>
      <c r="L12" s="516" t="str">
        <f t="shared" si="9"/>
        <v>NA</v>
      </c>
      <c r="M12" s="516" t="str">
        <f t="shared" si="10"/>
        <v>NA</v>
      </c>
      <c r="N12" s="517" t="str">
        <f t="shared" si="11"/>
        <v>NA</v>
      </c>
      <c r="O12" s="518">
        <f t="shared" ref="O12:O31" si="18">ABS(C12-I12)</f>
        <v>0</v>
      </c>
      <c r="P12" s="519" t="str">
        <f t="shared" si="12"/>
        <v>NA</v>
      </c>
      <c r="Q12" s="520" t="str">
        <f t="shared" si="13"/>
        <v>NA</v>
      </c>
      <c r="R12" s="520" t="str">
        <f t="shared" si="14"/>
        <v>NA</v>
      </c>
      <c r="S12" s="520" t="str">
        <f t="shared" si="15"/>
        <v>NA</v>
      </c>
      <c r="T12" s="520" t="str">
        <f t="shared" si="16"/>
        <v>NA</v>
      </c>
      <c r="U12" s="520" t="str">
        <f t="shared" si="17"/>
        <v>NA</v>
      </c>
    </row>
    <row r="13" spans="1:22" x14ac:dyDescent="0.25">
      <c r="A13" s="218">
        <v>102</v>
      </c>
      <c r="B13" s="566" t="s">
        <v>610</v>
      </c>
      <c r="C13" s="514">
        <f t="shared" si="0"/>
        <v>0</v>
      </c>
      <c r="D13" s="516" t="str">
        <f t="shared" si="1"/>
        <v>NA</v>
      </c>
      <c r="E13" s="516" t="str">
        <f t="shared" si="2"/>
        <v>NA</v>
      </c>
      <c r="F13" s="516" t="str">
        <f t="shared" si="3"/>
        <v>NA</v>
      </c>
      <c r="G13" s="516" t="str">
        <f t="shared" si="4"/>
        <v>NA</v>
      </c>
      <c r="H13" s="517" t="str">
        <f t="shared" si="5"/>
        <v>NA</v>
      </c>
      <c r="I13" s="514">
        <f t="shared" si="6"/>
        <v>0</v>
      </c>
      <c r="J13" s="516" t="str">
        <f t="shared" si="7"/>
        <v>NA</v>
      </c>
      <c r="K13" s="516" t="str">
        <f t="shared" si="8"/>
        <v>NA</v>
      </c>
      <c r="L13" s="516" t="str">
        <f t="shared" si="9"/>
        <v>NA</v>
      </c>
      <c r="M13" s="516" t="str">
        <f t="shared" si="10"/>
        <v>NA</v>
      </c>
      <c r="N13" s="517" t="str">
        <f t="shared" si="11"/>
        <v>NA</v>
      </c>
      <c r="O13" s="518">
        <f t="shared" si="18"/>
        <v>0</v>
      </c>
      <c r="P13" s="519" t="str">
        <f t="shared" si="12"/>
        <v>NA</v>
      </c>
      <c r="Q13" s="520" t="str">
        <f t="shared" si="13"/>
        <v>NA</v>
      </c>
      <c r="R13" s="520" t="str">
        <f t="shared" si="14"/>
        <v>NA</v>
      </c>
      <c r="S13" s="520" t="str">
        <f t="shared" si="15"/>
        <v>NA</v>
      </c>
      <c r="T13" s="520" t="str">
        <f t="shared" si="16"/>
        <v>NA</v>
      </c>
      <c r="U13" s="520" t="str">
        <f t="shared" si="17"/>
        <v>NA</v>
      </c>
    </row>
    <row r="14" spans="1:22" ht="30" x14ac:dyDescent="0.25">
      <c r="A14" s="218">
        <v>103</v>
      </c>
      <c r="B14" s="495" t="s">
        <v>73</v>
      </c>
      <c r="C14" s="514">
        <f t="shared" si="0"/>
        <v>0</v>
      </c>
      <c r="D14" s="516" t="str">
        <f t="shared" si="1"/>
        <v>NA</v>
      </c>
      <c r="E14" s="516" t="str">
        <f t="shared" si="2"/>
        <v>NA</v>
      </c>
      <c r="F14" s="516" t="str">
        <f t="shared" si="3"/>
        <v>NA</v>
      </c>
      <c r="G14" s="516" t="str">
        <f t="shared" si="4"/>
        <v>NA</v>
      </c>
      <c r="H14" s="517" t="str">
        <f t="shared" si="5"/>
        <v>NA</v>
      </c>
      <c r="I14" s="514">
        <f t="shared" si="6"/>
        <v>0</v>
      </c>
      <c r="J14" s="516" t="str">
        <f t="shared" si="7"/>
        <v>NA</v>
      </c>
      <c r="K14" s="516" t="str">
        <f t="shared" si="8"/>
        <v>NA</v>
      </c>
      <c r="L14" s="516" t="str">
        <f t="shared" si="9"/>
        <v>NA</v>
      </c>
      <c r="M14" s="516" t="str">
        <f t="shared" si="10"/>
        <v>NA</v>
      </c>
      <c r="N14" s="517" t="str">
        <f t="shared" si="11"/>
        <v>NA</v>
      </c>
      <c r="O14" s="518">
        <f t="shared" si="18"/>
        <v>0</v>
      </c>
      <c r="P14" s="519" t="str">
        <f t="shared" si="12"/>
        <v>NA</v>
      </c>
      <c r="Q14" s="520" t="str">
        <f t="shared" si="13"/>
        <v>NA</v>
      </c>
      <c r="R14" s="520" t="str">
        <f t="shared" si="14"/>
        <v>NA</v>
      </c>
      <c r="S14" s="520" t="str">
        <f t="shared" si="15"/>
        <v>NA</v>
      </c>
      <c r="T14" s="520" t="str">
        <f t="shared" si="16"/>
        <v>NA</v>
      </c>
      <c r="U14" s="520" t="str">
        <f t="shared" si="17"/>
        <v>NA</v>
      </c>
    </row>
    <row r="15" spans="1:22" x14ac:dyDescent="0.25">
      <c r="A15" s="218">
        <v>104</v>
      </c>
      <c r="B15" s="495" t="s">
        <v>611</v>
      </c>
      <c r="C15" s="514">
        <f t="shared" si="0"/>
        <v>0</v>
      </c>
      <c r="D15" s="516" t="str">
        <f t="shared" si="1"/>
        <v>NA</v>
      </c>
      <c r="E15" s="516" t="str">
        <f t="shared" si="2"/>
        <v>NA</v>
      </c>
      <c r="F15" s="516" t="str">
        <f t="shared" si="3"/>
        <v>NA</v>
      </c>
      <c r="G15" s="516" t="str">
        <f t="shared" si="4"/>
        <v>NA</v>
      </c>
      <c r="H15" s="517" t="str">
        <f t="shared" si="5"/>
        <v>NA</v>
      </c>
      <c r="I15" s="514">
        <f t="shared" si="6"/>
        <v>0</v>
      </c>
      <c r="J15" s="516" t="str">
        <f t="shared" si="7"/>
        <v>NA</v>
      </c>
      <c r="K15" s="516" t="str">
        <f t="shared" si="8"/>
        <v>NA</v>
      </c>
      <c r="L15" s="516" t="str">
        <f t="shared" si="9"/>
        <v>NA</v>
      </c>
      <c r="M15" s="516" t="str">
        <f t="shared" si="10"/>
        <v>NA</v>
      </c>
      <c r="N15" s="517" t="str">
        <f t="shared" si="11"/>
        <v>NA</v>
      </c>
      <c r="O15" s="518">
        <f t="shared" si="18"/>
        <v>0</v>
      </c>
      <c r="P15" s="519" t="str">
        <f t="shared" si="12"/>
        <v>NA</v>
      </c>
      <c r="Q15" s="520" t="str">
        <f t="shared" si="13"/>
        <v>NA</v>
      </c>
      <c r="R15" s="520" t="str">
        <f t="shared" si="14"/>
        <v>NA</v>
      </c>
      <c r="S15" s="520" t="str">
        <f t="shared" si="15"/>
        <v>NA</v>
      </c>
      <c r="T15" s="520" t="str">
        <f t="shared" si="16"/>
        <v>NA</v>
      </c>
      <c r="U15" s="520" t="str">
        <f t="shared" si="17"/>
        <v>NA</v>
      </c>
    </row>
    <row r="16" spans="1:22" x14ac:dyDescent="0.25">
      <c r="A16" s="218">
        <v>105</v>
      </c>
      <c r="B16" s="566" t="s">
        <v>607</v>
      </c>
      <c r="C16" s="514">
        <f t="shared" si="0"/>
        <v>0</v>
      </c>
      <c r="D16" s="516" t="str">
        <f t="shared" si="1"/>
        <v>NA</v>
      </c>
      <c r="E16" s="516" t="str">
        <f t="shared" si="2"/>
        <v>NA</v>
      </c>
      <c r="F16" s="516" t="str">
        <f t="shared" si="3"/>
        <v>NA</v>
      </c>
      <c r="G16" s="516" t="str">
        <f t="shared" si="4"/>
        <v>NA</v>
      </c>
      <c r="H16" s="517" t="str">
        <f t="shared" si="5"/>
        <v>NA</v>
      </c>
      <c r="I16" s="514">
        <f t="shared" si="6"/>
        <v>0</v>
      </c>
      <c r="J16" s="516" t="str">
        <f t="shared" si="7"/>
        <v>NA</v>
      </c>
      <c r="K16" s="516" t="str">
        <f t="shared" si="8"/>
        <v>NA</v>
      </c>
      <c r="L16" s="516" t="str">
        <f t="shared" si="9"/>
        <v>NA</v>
      </c>
      <c r="M16" s="516" t="str">
        <f t="shared" si="10"/>
        <v>NA</v>
      </c>
      <c r="N16" s="517" t="str">
        <f t="shared" si="11"/>
        <v>NA</v>
      </c>
      <c r="O16" s="518">
        <f t="shared" si="18"/>
        <v>0</v>
      </c>
      <c r="P16" s="519" t="str">
        <f t="shared" si="12"/>
        <v>NA</v>
      </c>
      <c r="Q16" s="520" t="str">
        <f t="shared" si="13"/>
        <v>NA</v>
      </c>
      <c r="R16" s="520" t="str">
        <f t="shared" si="14"/>
        <v>NA</v>
      </c>
      <c r="S16" s="520" t="str">
        <f t="shared" si="15"/>
        <v>NA</v>
      </c>
      <c r="T16" s="520" t="str">
        <f t="shared" si="16"/>
        <v>NA</v>
      </c>
      <c r="U16" s="520" t="str">
        <f t="shared" si="17"/>
        <v>NA</v>
      </c>
    </row>
    <row r="17" spans="1:21" x14ac:dyDescent="0.25">
      <c r="A17" s="218">
        <v>106</v>
      </c>
      <c r="B17" s="495" t="s">
        <v>74</v>
      </c>
      <c r="C17" s="514">
        <f t="shared" si="0"/>
        <v>0</v>
      </c>
      <c r="D17" s="516" t="str">
        <f t="shared" si="1"/>
        <v>NA</v>
      </c>
      <c r="E17" s="516" t="str">
        <f t="shared" si="2"/>
        <v>NA</v>
      </c>
      <c r="F17" s="516" t="str">
        <f t="shared" si="3"/>
        <v>NA</v>
      </c>
      <c r="G17" s="516" t="str">
        <f t="shared" si="4"/>
        <v>NA</v>
      </c>
      <c r="H17" s="517" t="str">
        <f t="shared" si="5"/>
        <v>NA</v>
      </c>
      <c r="I17" s="514">
        <f t="shared" si="6"/>
        <v>0</v>
      </c>
      <c r="J17" s="516" t="str">
        <f t="shared" si="7"/>
        <v>NA</v>
      </c>
      <c r="K17" s="516" t="str">
        <f t="shared" si="8"/>
        <v>NA</v>
      </c>
      <c r="L17" s="516" t="str">
        <f t="shared" si="9"/>
        <v>NA</v>
      </c>
      <c r="M17" s="516" t="str">
        <f t="shared" si="10"/>
        <v>NA</v>
      </c>
      <c r="N17" s="517" t="str">
        <f t="shared" si="11"/>
        <v>NA</v>
      </c>
      <c r="O17" s="518">
        <f t="shared" si="18"/>
        <v>0</v>
      </c>
      <c r="P17" s="519" t="str">
        <f t="shared" si="12"/>
        <v>NA</v>
      </c>
      <c r="Q17" s="520" t="str">
        <f t="shared" si="13"/>
        <v>NA</v>
      </c>
      <c r="R17" s="520" t="str">
        <f t="shared" si="14"/>
        <v>NA</v>
      </c>
      <c r="S17" s="520" t="str">
        <f t="shared" si="15"/>
        <v>NA</v>
      </c>
      <c r="T17" s="520" t="str">
        <f t="shared" si="16"/>
        <v>NA</v>
      </c>
      <c r="U17" s="520" t="str">
        <f t="shared" si="17"/>
        <v>NA</v>
      </c>
    </row>
    <row r="18" spans="1:21" ht="30" x14ac:dyDescent="0.25">
      <c r="A18" s="218">
        <v>107</v>
      </c>
      <c r="B18" s="495" t="s">
        <v>75</v>
      </c>
      <c r="C18" s="514">
        <f t="shared" si="0"/>
        <v>0</v>
      </c>
      <c r="D18" s="516" t="str">
        <f t="shared" si="1"/>
        <v>NA</v>
      </c>
      <c r="E18" s="516" t="str">
        <f t="shared" si="2"/>
        <v>NA</v>
      </c>
      <c r="F18" s="516" t="str">
        <f t="shared" si="3"/>
        <v>NA</v>
      </c>
      <c r="G18" s="516" t="str">
        <f t="shared" si="4"/>
        <v>NA</v>
      </c>
      <c r="H18" s="517" t="str">
        <f t="shared" si="5"/>
        <v>NA</v>
      </c>
      <c r="I18" s="514">
        <f t="shared" si="6"/>
        <v>0</v>
      </c>
      <c r="J18" s="516" t="str">
        <f t="shared" si="7"/>
        <v>NA</v>
      </c>
      <c r="K18" s="516" t="str">
        <f t="shared" si="8"/>
        <v>NA</v>
      </c>
      <c r="L18" s="516" t="str">
        <f t="shared" si="9"/>
        <v>NA</v>
      </c>
      <c r="M18" s="516" t="str">
        <f t="shared" si="10"/>
        <v>NA</v>
      </c>
      <c r="N18" s="517" t="str">
        <f t="shared" si="11"/>
        <v>NA</v>
      </c>
      <c r="O18" s="518">
        <f t="shared" si="18"/>
        <v>0</v>
      </c>
      <c r="P18" s="519" t="str">
        <f t="shared" si="12"/>
        <v>NA</v>
      </c>
      <c r="Q18" s="520" t="str">
        <f t="shared" si="13"/>
        <v>NA</v>
      </c>
      <c r="R18" s="520" t="str">
        <f t="shared" si="14"/>
        <v>NA</v>
      </c>
      <c r="S18" s="520" t="str">
        <f t="shared" si="15"/>
        <v>NA</v>
      </c>
      <c r="T18" s="520" t="str">
        <f t="shared" si="16"/>
        <v>NA</v>
      </c>
      <c r="U18" s="520" t="str">
        <f t="shared" si="17"/>
        <v>NA</v>
      </c>
    </row>
    <row r="19" spans="1:21" x14ac:dyDescent="0.25">
      <c r="A19" s="218">
        <v>108</v>
      </c>
      <c r="B19" s="495" t="s">
        <v>612</v>
      </c>
      <c r="C19" s="514">
        <f t="shared" si="0"/>
        <v>0</v>
      </c>
      <c r="D19" s="516" t="str">
        <f t="shared" si="1"/>
        <v>NA</v>
      </c>
      <c r="E19" s="516" t="str">
        <f t="shared" si="2"/>
        <v>NA</v>
      </c>
      <c r="F19" s="516" t="str">
        <f t="shared" si="3"/>
        <v>NA</v>
      </c>
      <c r="G19" s="516" t="str">
        <f t="shared" si="4"/>
        <v>NA</v>
      </c>
      <c r="H19" s="517" t="str">
        <f t="shared" si="5"/>
        <v>NA</v>
      </c>
      <c r="I19" s="514">
        <f t="shared" si="6"/>
        <v>0</v>
      </c>
      <c r="J19" s="516" t="str">
        <f t="shared" si="7"/>
        <v>NA</v>
      </c>
      <c r="K19" s="516" t="str">
        <f t="shared" si="8"/>
        <v>NA</v>
      </c>
      <c r="L19" s="516" t="str">
        <f t="shared" si="9"/>
        <v>NA</v>
      </c>
      <c r="M19" s="516" t="str">
        <f t="shared" si="10"/>
        <v>NA</v>
      </c>
      <c r="N19" s="517" t="str">
        <f t="shared" si="11"/>
        <v>NA</v>
      </c>
      <c r="O19" s="518">
        <f t="shared" si="18"/>
        <v>0</v>
      </c>
      <c r="P19" s="519" t="str">
        <f t="shared" si="12"/>
        <v>NA</v>
      </c>
      <c r="Q19" s="520" t="str">
        <f t="shared" si="13"/>
        <v>NA</v>
      </c>
      <c r="R19" s="520" t="str">
        <f t="shared" si="14"/>
        <v>NA</v>
      </c>
      <c r="S19" s="520" t="str">
        <f t="shared" si="15"/>
        <v>NA</v>
      </c>
      <c r="T19" s="520" t="str">
        <f t="shared" si="16"/>
        <v>NA</v>
      </c>
      <c r="U19" s="520" t="str">
        <f t="shared" si="17"/>
        <v>NA</v>
      </c>
    </row>
    <row r="20" spans="1:21" ht="30" x14ac:dyDescent="0.25">
      <c r="A20" s="218">
        <v>109</v>
      </c>
      <c r="B20" s="495" t="s">
        <v>76</v>
      </c>
      <c r="C20" s="514">
        <f t="shared" si="0"/>
        <v>0</v>
      </c>
      <c r="D20" s="516" t="str">
        <f t="shared" si="1"/>
        <v>NA</v>
      </c>
      <c r="E20" s="516" t="str">
        <f t="shared" si="2"/>
        <v>NA</v>
      </c>
      <c r="F20" s="516" t="str">
        <f t="shared" si="3"/>
        <v>NA</v>
      </c>
      <c r="G20" s="516" t="str">
        <f t="shared" si="4"/>
        <v>NA</v>
      </c>
      <c r="H20" s="517" t="str">
        <f t="shared" si="5"/>
        <v>NA</v>
      </c>
      <c r="I20" s="514">
        <f t="shared" si="6"/>
        <v>0</v>
      </c>
      <c r="J20" s="516" t="str">
        <f t="shared" si="7"/>
        <v>NA</v>
      </c>
      <c r="K20" s="516" t="str">
        <f t="shared" si="8"/>
        <v>NA</v>
      </c>
      <c r="L20" s="516" t="str">
        <f t="shared" si="9"/>
        <v>NA</v>
      </c>
      <c r="M20" s="516" t="str">
        <f t="shared" si="10"/>
        <v>NA</v>
      </c>
      <c r="N20" s="517" t="str">
        <f t="shared" si="11"/>
        <v>NA</v>
      </c>
      <c r="O20" s="518">
        <f t="shared" si="18"/>
        <v>0</v>
      </c>
      <c r="P20" s="519" t="str">
        <f t="shared" si="12"/>
        <v>NA</v>
      </c>
      <c r="Q20" s="520" t="str">
        <f t="shared" si="13"/>
        <v>NA</v>
      </c>
      <c r="R20" s="520" t="str">
        <f t="shared" si="14"/>
        <v>NA</v>
      </c>
      <c r="S20" s="520" t="str">
        <f t="shared" si="15"/>
        <v>NA</v>
      </c>
      <c r="T20" s="520" t="str">
        <f t="shared" si="16"/>
        <v>NA</v>
      </c>
      <c r="U20" s="520" t="str">
        <f t="shared" si="17"/>
        <v>NA</v>
      </c>
    </row>
    <row r="21" spans="1:21" x14ac:dyDescent="0.25">
      <c r="A21" s="218">
        <v>110</v>
      </c>
      <c r="B21" s="495" t="s">
        <v>77</v>
      </c>
      <c r="C21" s="514">
        <f t="shared" si="0"/>
        <v>0</v>
      </c>
      <c r="D21" s="516" t="str">
        <f t="shared" si="1"/>
        <v>NA</v>
      </c>
      <c r="E21" s="516" t="str">
        <f t="shared" si="2"/>
        <v>NA</v>
      </c>
      <c r="F21" s="516" t="str">
        <f t="shared" si="3"/>
        <v>NA</v>
      </c>
      <c r="G21" s="516" t="str">
        <f t="shared" si="4"/>
        <v>NA</v>
      </c>
      <c r="H21" s="517" t="str">
        <f t="shared" si="5"/>
        <v>NA</v>
      </c>
      <c r="I21" s="514">
        <f t="shared" si="6"/>
        <v>0</v>
      </c>
      <c r="J21" s="516" t="str">
        <f t="shared" si="7"/>
        <v>NA</v>
      </c>
      <c r="K21" s="516" t="str">
        <f t="shared" si="8"/>
        <v>NA</v>
      </c>
      <c r="L21" s="516" t="str">
        <f t="shared" si="9"/>
        <v>NA</v>
      </c>
      <c r="M21" s="516" t="str">
        <f t="shared" si="10"/>
        <v>NA</v>
      </c>
      <c r="N21" s="517" t="str">
        <f t="shared" si="11"/>
        <v>NA</v>
      </c>
      <c r="O21" s="518">
        <f t="shared" si="18"/>
        <v>0</v>
      </c>
      <c r="P21" s="519" t="str">
        <f t="shared" si="12"/>
        <v>NA</v>
      </c>
      <c r="Q21" s="520" t="str">
        <f t="shared" si="13"/>
        <v>NA</v>
      </c>
      <c r="R21" s="520" t="str">
        <f t="shared" si="14"/>
        <v>NA</v>
      </c>
      <c r="S21" s="520" t="str">
        <f t="shared" si="15"/>
        <v>NA</v>
      </c>
      <c r="T21" s="520" t="str">
        <f t="shared" si="16"/>
        <v>NA</v>
      </c>
      <c r="U21" s="520" t="str">
        <f t="shared" si="17"/>
        <v>NA</v>
      </c>
    </row>
    <row r="22" spans="1:21" x14ac:dyDescent="0.25">
      <c r="A22" s="218">
        <v>111</v>
      </c>
      <c r="B22" s="566" t="s">
        <v>78</v>
      </c>
      <c r="C22" s="514">
        <f t="shared" si="0"/>
        <v>0</v>
      </c>
      <c r="D22" s="516" t="str">
        <f t="shared" si="1"/>
        <v>NA</v>
      </c>
      <c r="E22" s="516" t="str">
        <f t="shared" si="2"/>
        <v>NA</v>
      </c>
      <c r="F22" s="516" t="str">
        <f t="shared" si="3"/>
        <v>NA</v>
      </c>
      <c r="G22" s="516" t="str">
        <f t="shared" si="4"/>
        <v>NA</v>
      </c>
      <c r="H22" s="517" t="str">
        <f t="shared" si="5"/>
        <v>NA</v>
      </c>
      <c r="I22" s="514">
        <f t="shared" si="6"/>
        <v>0</v>
      </c>
      <c r="J22" s="516" t="str">
        <f t="shared" si="7"/>
        <v>NA</v>
      </c>
      <c r="K22" s="516" t="str">
        <f t="shared" si="8"/>
        <v>NA</v>
      </c>
      <c r="L22" s="516" t="str">
        <f t="shared" si="9"/>
        <v>NA</v>
      </c>
      <c r="M22" s="516" t="str">
        <f t="shared" si="10"/>
        <v>NA</v>
      </c>
      <c r="N22" s="517" t="str">
        <f t="shared" si="11"/>
        <v>NA</v>
      </c>
      <c r="O22" s="518">
        <f t="shared" si="18"/>
        <v>0</v>
      </c>
      <c r="P22" s="519" t="str">
        <f t="shared" si="12"/>
        <v>NA</v>
      </c>
      <c r="Q22" s="520" t="str">
        <f t="shared" si="13"/>
        <v>NA</v>
      </c>
      <c r="R22" s="520" t="str">
        <f t="shared" si="14"/>
        <v>NA</v>
      </c>
      <c r="S22" s="520" t="str">
        <f t="shared" si="15"/>
        <v>NA</v>
      </c>
      <c r="T22" s="520" t="str">
        <f t="shared" si="16"/>
        <v>NA</v>
      </c>
      <c r="U22" s="520" t="str">
        <f t="shared" si="17"/>
        <v>NA</v>
      </c>
    </row>
    <row r="23" spans="1:21" x14ac:dyDescent="0.25">
      <c r="A23" s="218">
        <v>112</v>
      </c>
      <c r="B23" s="566" t="s">
        <v>613</v>
      </c>
      <c r="C23" s="514">
        <f t="shared" si="0"/>
        <v>0</v>
      </c>
      <c r="D23" s="516" t="str">
        <f t="shared" si="1"/>
        <v>NA</v>
      </c>
      <c r="E23" s="516" t="str">
        <f t="shared" si="2"/>
        <v>NA</v>
      </c>
      <c r="F23" s="516" t="str">
        <f t="shared" si="3"/>
        <v>NA</v>
      </c>
      <c r="G23" s="516" t="str">
        <f t="shared" si="4"/>
        <v>NA</v>
      </c>
      <c r="H23" s="517" t="str">
        <f t="shared" si="5"/>
        <v>NA</v>
      </c>
      <c r="I23" s="514">
        <f t="shared" si="6"/>
        <v>0</v>
      </c>
      <c r="J23" s="516" t="str">
        <f t="shared" si="7"/>
        <v>NA</v>
      </c>
      <c r="K23" s="516" t="str">
        <f t="shared" si="8"/>
        <v>NA</v>
      </c>
      <c r="L23" s="516" t="str">
        <f t="shared" si="9"/>
        <v>NA</v>
      </c>
      <c r="M23" s="516" t="str">
        <f t="shared" si="10"/>
        <v>NA</v>
      </c>
      <c r="N23" s="517" t="str">
        <f t="shared" si="11"/>
        <v>NA</v>
      </c>
      <c r="O23" s="518">
        <f t="shared" si="18"/>
        <v>0</v>
      </c>
      <c r="P23" s="519" t="str">
        <f>IFERROR((I23/C23-1),"NA")</f>
        <v>NA</v>
      </c>
      <c r="Q23" s="520" t="str">
        <f t="shared" si="13"/>
        <v>NA</v>
      </c>
      <c r="R23" s="520" t="str">
        <f t="shared" si="14"/>
        <v>NA</v>
      </c>
      <c r="S23" s="520" t="str">
        <f t="shared" si="15"/>
        <v>NA</v>
      </c>
      <c r="T23" s="520" t="str">
        <f t="shared" si="16"/>
        <v>NA</v>
      </c>
      <c r="U23" s="520" t="str">
        <f t="shared" si="17"/>
        <v>NA</v>
      </c>
    </row>
    <row r="24" spans="1:21" x14ac:dyDescent="0.25">
      <c r="A24" s="218">
        <v>115</v>
      </c>
      <c r="B24" s="566" t="s">
        <v>79</v>
      </c>
      <c r="C24" s="514">
        <f t="shared" si="0"/>
        <v>0</v>
      </c>
      <c r="D24" s="516" t="str">
        <f t="shared" si="1"/>
        <v>NA</v>
      </c>
      <c r="E24" s="516" t="str">
        <f t="shared" si="2"/>
        <v>NA</v>
      </c>
      <c r="F24" s="516" t="str">
        <f t="shared" si="3"/>
        <v>NA</v>
      </c>
      <c r="G24" s="516" t="str">
        <f t="shared" si="4"/>
        <v>NA</v>
      </c>
      <c r="H24" s="517" t="str">
        <f t="shared" si="5"/>
        <v>NA</v>
      </c>
      <c r="I24" s="514">
        <f t="shared" si="6"/>
        <v>0</v>
      </c>
      <c r="J24" s="516" t="str">
        <f t="shared" si="7"/>
        <v>NA</v>
      </c>
      <c r="K24" s="516" t="str">
        <f t="shared" si="8"/>
        <v>NA</v>
      </c>
      <c r="L24" s="516" t="str">
        <f t="shared" si="9"/>
        <v>NA</v>
      </c>
      <c r="M24" s="516" t="str">
        <f t="shared" si="10"/>
        <v>NA</v>
      </c>
      <c r="N24" s="517" t="str">
        <f t="shared" si="11"/>
        <v>NA</v>
      </c>
      <c r="O24" s="518">
        <f t="shared" si="18"/>
        <v>0</v>
      </c>
      <c r="P24" s="519" t="str">
        <f t="shared" si="12"/>
        <v>NA</v>
      </c>
      <c r="Q24" s="520" t="str">
        <f t="shared" si="13"/>
        <v>NA</v>
      </c>
      <c r="R24" s="520" t="str">
        <f t="shared" si="14"/>
        <v>NA</v>
      </c>
      <c r="S24" s="520" t="str">
        <f t="shared" si="15"/>
        <v>NA</v>
      </c>
      <c r="T24" s="520" t="str">
        <f t="shared" si="16"/>
        <v>NA</v>
      </c>
      <c r="U24" s="520" t="str">
        <f t="shared" si="17"/>
        <v>NA</v>
      </c>
    </row>
    <row r="25" spans="1:21" x14ac:dyDescent="0.25">
      <c r="A25" s="218">
        <v>116</v>
      </c>
      <c r="B25" s="566" t="s">
        <v>614</v>
      </c>
      <c r="C25" s="514">
        <f t="shared" si="0"/>
        <v>0</v>
      </c>
      <c r="D25" s="516" t="str">
        <f t="shared" si="1"/>
        <v>NA</v>
      </c>
      <c r="E25" s="516" t="str">
        <f t="shared" si="2"/>
        <v>NA</v>
      </c>
      <c r="F25" s="516" t="str">
        <f t="shared" si="3"/>
        <v>NA</v>
      </c>
      <c r="G25" s="516" t="str">
        <f t="shared" si="4"/>
        <v>NA</v>
      </c>
      <c r="H25" s="517" t="str">
        <f t="shared" si="5"/>
        <v>NA</v>
      </c>
      <c r="I25" s="514">
        <f t="shared" si="6"/>
        <v>0</v>
      </c>
      <c r="J25" s="516" t="str">
        <f t="shared" si="7"/>
        <v>NA</v>
      </c>
      <c r="K25" s="516" t="str">
        <f t="shared" si="8"/>
        <v>NA</v>
      </c>
      <c r="L25" s="516" t="str">
        <f t="shared" si="9"/>
        <v>NA</v>
      </c>
      <c r="M25" s="516" t="str">
        <f t="shared" si="10"/>
        <v>NA</v>
      </c>
      <c r="N25" s="517" t="str">
        <f t="shared" si="11"/>
        <v>NA</v>
      </c>
      <c r="O25" s="518">
        <f t="shared" si="18"/>
        <v>0</v>
      </c>
      <c r="P25" s="519" t="str">
        <f t="shared" si="12"/>
        <v>NA</v>
      </c>
      <c r="Q25" s="520" t="str">
        <f t="shared" si="13"/>
        <v>NA</v>
      </c>
      <c r="R25" s="520" t="str">
        <f t="shared" si="14"/>
        <v>NA</v>
      </c>
      <c r="S25" s="520" t="str">
        <f t="shared" si="15"/>
        <v>NA</v>
      </c>
      <c r="T25" s="520" t="str">
        <f t="shared" si="16"/>
        <v>NA</v>
      </c>
      <c r="U25" s="520" t="str">
        <f t="shared" si="17"/>
        <v>NA</v>
      </c>
    </row>
    <row r="26" spans="1:21" x14ac:dyDescent="0.25">
      <c r="A26" s="218">
        <v>118</v>
      </c>
      <c r="B26" s="566" t="s">
        <v>80</v>
      </c>
      <c r="C26" s="514">
        <f t="shared" si="0"/>
        <v>0</v>
      </c>
      <c r="D26" s="516" t="str">
        <f t="shared" si="1"/>
        <v>NA</v>
      </c>
      <c r="E26" s="516" t="str">
        <f t="shared" si="2"/>
        <v>NA</v>
      </c>
      <c r="F26" s="516" t="str">
        <f t="shared" si="3"/>
        <v>NA</v>
      </c>
      <c r="G26" s="516" t="str">
        <f t="shared" si="4"/>
        <v>NA</v>
      </c>
      <c r="H26" s="517" t="str">
        <f t="shared" si="5"/>
        <v>NA</v>
      </c>
      <c r="I26" s="514">
        <f t="shared" si="6"/>
        <v>0</v>
      </c>
      <c r="J26" s="516" t="str">
        <f t="shared" si="7"/>
        <v>NA</v>
      </c>
      <c r="K26" s="516" t="str">
        <f t="shared" si="8"/>
        <v>NA</v>
      </c>
      <c r="L26" s="516" t="str">
        <f t="shared" si="9"/>
        <v>NA</v>
      </c>
      <c r="M26" s="516" t="str">
        <f t="shared" si="10"/>
        <v>NA</v>
      </c>
      <c r="N26" s="517" t="str">
        <f t="shared" si="11"/>
        <v>NA</v>
      </c>
      <c r="O26" s="518">
        <f t="shared" si="18"/>
        <v>0</v>
      </c>
      <c r="P26" s="519" t="str">
        <f t="shared" si="12"/>
        <v>NA</v>
      </c>
      <c r="Q26" s="520" t="str">
        <f t="shared" si="13"/>
        <v>NA</v>
      </c>
      <c r="R26" s="520" t="str">
        <f t="shared" si="14"/>
        <v>NA</v>
      </c>
      <c r="S26" s="520" t="str">
        <f t="shared" si="15"/>
        <v>NA</v>
      </c>
      <c r="T26" s="520" t="str">
        <f t="shared" si="16"/>
        <v>NA</v>
      </c>
      <c r="U26" s="520" t="str">
        <f t="shared" si="17"/>
        <v>NA</v>
      </c>
    </row>
    <row r="27" spans="1:21" x14ac:dyDescent="0.25">
      <c r="A27" s="218">
        <v>119</v>
      </c>
      <c r="B27" s="566" t="s">
        <v>615</v>
      </c>
      <c r="C27" s="514">
        <f t="shared" si="0"/>
        <v>0</v>
      </c>
      <c r="D27" s="516" t="str">
        <f t="shared" si="1"/>
        <v>NA</v>
      </c>
      <c r="E27" s="516" t="str">
        <f t="shared" si="2"/>
        <v>NA</v>
      </c>
      <c r="F27" s="516" t="str">
        <f t="shared" si="3"/>
        <v>NA</v>
      </c>
      <c r="G27" s="516" t="str">
        <f t="shared" si="4"/>
        <v>NA</v>
      </c>
      <c r="H27" s="517" t="str">
        <f t="shared" si="5"/>
        <v>NA</v>
      </c>
      <c r="I27" s="514">
        <f t="shared" si="6"/>
        <v>0</v>
      </c>
      <c r="J27" s="516" t="str">
        <f t="shared" si="7"/>
        <v>NA</v>
      </c>
      <c r="K27" s="516" t="str">
        <f t="shared" si="8"/>
        <v>NA</v>
      </c>
      <c r="L27" s="516" t="str">
        <f t="shared" si="9"/>
        <v>NA</v>
      </c>
      <c r="M27" s="516" t="str">
        <f t="shared" si="10"/>
        <v>NA</v>
      </c>
      <c r="N27" s="517" t="str">
        <f t="shared" si="11"/>
        <v>NA</v>
      </c>
      <c r="O27" s="518">
        <f>ABS(C27-I27)</f>
        <v>0</v>
      </c>
      <c r="P27" s="519" t="str">
        <f t="shared" ref="P27:U30" si="19">IFERROR((I27/C27-1),"NA")</f>
        <v>NA</v>
      </c>
      <c r="Q27" s="520" t="str">
        <f t="shared" si="19"/>
        <v>NA</v>
      </c>
      <c r="R27" s="520" t="str">
        <f t="shared" si="19"/>
        <v>NA</v>
      </c>
      <c r="S27" s="520" t="str">
        <f t="shared" si="19"/>
        <v>NA</v>
      </c>
      <c r="T27" s="520" t="str">
        <f t="shared" si="19"/>
        <v>NA</v>
      </c>
      <c r="U27" s="520" t="str">
        <f t="shared" si="19"/>
        <v>NA</v>
      </c>
    </row>
    <row r="28" spans="1:21" x14ac:dyDescent="0.25">
      <c r="A28" s="218">
        <v>120</v>
      </c>
      <c r="B28" s="566" t="s">
        <v>608</v>
      </c>
      <c r="C28" s="514">
        <f t="shared" si="0"/>
        <v>0</v>
      </c>
      <c r="D28" s="516" t="str">
        <f t="shared" si="1"/>
        <v>NA</v>
      </c>
      <c r="E28" s="516" t="str">
        <f t="shared" si="2"/>
        <v>NA</v>
      </c>
      <c r="F28" s="516" t="str">
        <f t="shared" si="3"/>
        <v>NA</v>
      </c>
      <c r="G28" s="516" t="str">
        <f t="shared" si="4"/>
        <v>NA</v>
      </c>
      <c r="H28" s="517" t="str">
        <f t="shared" si="5"/>
        <v>NA</v>
      </c>
      <c r="I28" s="514">
        <f t="shared" si="6"/>
        <v>0</v>
      </c>
      <c r="J28" s="516" t="str">
        <f t="shared" si="7"/>
        <v>NA</v>
      </c>
      <c r="K28" s="516" t="str">
        <f t="shared" si="8"/>
        <v>NA</v>
      </c>
      <c r="L28" s="516" t="str">
        <f t="shared" si="9"/>
        <v>NA</v>
      </c>
      <c r="M28" s="516" t="str">
        <f t="shared" si="10"/>
        <v>NA</v>
      </c>
      <c r="N28" s="517" t="str">
        <f t="shared" si="11"/>
        <v>NA</v>
      </c>
      <c r="O28" s="518">
        <f>ABS(C28-I28)</f>
        <v>0</v>
      </c>
      <c r="P28" s="519" t="str">
        <f>IFERROR((I28/C28-1),"NA")</f>
        <v>NA</v>
      </c>
      <c r="Q28" s="520" t="str">
        <f t="shared" si="19"/>
        <v>NA</v>
      </c>
      <c r="R28" s="520" t="str">
        <f t="shared" si="19"/>
        <v>NA</v>
      </c>
      <c r="S28" s="520" t="str">
        <f t="shared" si="19"/>
        <v>NA</v>
      </c>
      <c r="T28" s="520" t="str">
        <f t="shared" si="19"/>
        <v>NA</v>
      </c>
      <c r="U28" s="520" t="str">
        <f t="shared" si="19"/>
        <v>NA</v>
      </c>
    </row>
    <row r="29" spans="1:21" ht="30" x14ac:dyDescent="0.25">
      <c r="A29" s="218">
        <v>121</v>
      </c>
      <c r="B29" s="495" t="s">
        <v>616</v>
      </c>
      <c r="C29" s="514">
        <f>C59+C89+C119</f>
        <v>0</v>
      </c>
      <c r="D29" s="516" t="str">
        <f t="shared" si="1"/>
        <v>NA</v>
      </c>
      <c r="E29" s="516" t="str">
        <f t="shared" si="2"/>
        <v>NA</v>
      </c>
      <c r="F29" s="516" t="str">
        <f t="shared" si="3"/>
        <v>NA</v>
      </c>
      <c r="G29" s="516" t="str">
        <f t="shared" si="4"/>
        <v>NA</v>
      </c>
      <c r="H29" s="517" t="str">
        <f t="shared" si="5"/>
        <v>NA</v>
      </c>
      <c r="I29" s="514">
        <f t="shared" si="6"/>
        <v>0</v>
      </c>
      <c r="J29" s="516" t="str">
        <f t="shared" si="7"/>
        <v>NA</v>
      </c>
      <c r="K29" s="516" t="str">
        <f t="shared" si="8"/>
        <v>NA</v>
      </c>
      <c r="L29" s="516" t="str">
        <f t="shared" si="9"/>
        <v>NA</v>
      </c>
      <c r="M29" s="516" t="str">
        <f t="shared" si="10"/>
        <v>NA</v>
      </c>
      <c r="N29" s="517" t="str">
        <f t="shared" si="11"/>
        <v>NA</v>
      </c>
      <c r="O29" s="518">
        <f>ABS(C29-I29)</f>
        <v>0</v>
      </c>
      <c r="P29" s="519" t="str">
        <f>IFERROR((I29/C29-1),"NA")</f>
        <v>NA</v>
      </c>
      <c r="Q29" s="520" t="str">
        <f t="shared" ref="Q29" si="20">IFERROR((J29/D29-1),"NA")</f>
        <v>NA</v>
      </c>
      <c r="R29" s="520" t="str">
        <f t="shared" ref="R29" si="21">IFERROR((K29/E29-1),"NA")</f>
        <v>NA</v>
      </c>
      <c r="S29" s="520" t="str">
        <f t="shared" ref="S29" si="22">IFERROR((L29/F29-1),"NA")</f>
        <v>NA</v>
      </c>
      <c r="T29" s="520" t="str">
        <f t="shared" ref="T29" si="23">IFERROR((M29/G29-1),"NA")</f>
        <v>NA</v>
      </c>
      <c r="U29" s="520" t="str">
        <f t="shared" ref="U29" si="24">IFERROR((N29/H29-1),"NA")</f>
        <v>NA</v>
      </c>
    </row>
    <row r="30" spans="1:21" x14ac:dyDescent="0.25">
      <c r="A30" s="218">
        <v>122</v>
      </c>
      <c r="B30" s="566" t="s">
        <v>617</v>
      </c>
      <c r="C30" s="514">
        <f t="shared" si="0"/>
        <v>0</v>
      </c>
      <c r="D30" s="516" t="str">
        <f t="shared" si="1"/>
        <v>NA</v>
      </c>
      <c r="E30" s="516" t="str">
        <f t="shared" si="2"/>
        <v>NA</v>
      </c>
      <c r="F30" s="516" t="str">
        <f t="shared" si="3"/>
        <v>NA</v>
      </c>
      <c r="G30" s="516" t="str">
        <f t="shared" si="4"/>
        <v>NA</v>
      </c>
      <c r="H30" s="517" t="str">
        <f t="shared" si="5"/>
        <v>NA</v>
      </c>
      <c r="I30" s="514">
        <f t="shared" si="6"/>
        <v>0</v>
      </c>
      <c r="J30" s="516" t="str">
        <f t="shared" si="7"/>
        <v>NA</v>
      </c>
      <c r="K30" s="516" t="str">
        <f t="shared" si="8"/>
        <v>NA</v>
      </c>
      <c r="L30" s="516" t="str">
        <f t="shared" si="9"/>
        <v>NA</v>
      </c>
      <c r="M30" s="516" t="str">
        <f t="shared" si="10"/>
        <v>NA</v>
      </c>
      <c r="N30" s="517" t="str">
        <f t="shared" si="11"/>
        <v>NA</v>
      </c>
      <c r="O30" s="518">
        <f>ABS(C30-I30)</f>
        <v>0</v>
      </c>
      <c r="P30" s="519" t="str">
        <f t="shared" si="19"/>
        <v>NA</v>
      </c>
      <c r="Q30" s="520" t="str">
        <f t="shared" si="19"/>
        <v>NA</v>
      </c>
      <c r="R30" s="520" t="str">
        <f t="shared" si="19"/>
        <v>NA</v>
      </c>
      <c r="S30" s="520" t="str">
        <f t="shared" si="19"/>
        <v>NA</v>
      </c>
      <c r="T30" s="520" t="str">
        <f t="shared" si="19"/>
        <v>NA</v>
      </c>
      <c r="U30" s="520" t="str">
        <f t="shared" si="19"/>
        <v>NA</v>
      </c>
    </row>
    <row r="31" spans="1:21" x14ac:dyDescent="0.25">
      <c r="A31" s="218">
        <v>999</v>
      </c>
      <c r="B31" s="495" t="s">
        <v>81</v>
      </c>
      <c r="C31" s="514">
        <f t="shared" si="0"/>
        <v>0</v>
      </c>
      <c r="D31" s="516" t="str">
        <f t="shared" ref="D31" si="25">IF(C31=0,"NA",(SUMPRODUCT(D61,C61)+SUMPRODUCT(D91,C91)+SUMPRODUCT(D121,C121))/C31)</f>
        <v>NA</v>
      </c>
      <c r="E31" s="516" t="str">
        <f t="shared" si="2"/>
        <v>NA</v>
      </c>
      <c r="F31" s="516" t="str">
        <f t="shared" si="3"/>
        <v>NA</v>
      </c>
      <c r="G31" s="516" t="str">
        <f t="shared" si="4"/>
        <v>NA</v>
      </c>
      <c r="H31" s="517" t="str">
        <f t="shared" si="5"/>
        <v>NA</v>
      </c>
      <c r="I31" s="514">
        <f t="shared" si="6"/>
        <v>0</v>
      </c>
      <c r="J31" s="516" t="str">
        <f t="shared" ref="J31" si="26">IF(I31=0,"NA",(SUMPRODUCT(J61,I61)+SUMPRODUCT(J91,I91)+SUMPRODUCT(J121,I121))/I31)</f>
        <v>NA</v>
      </c>
      <c r="K31" s="516" t="str">
        <f t="shared" si="8"/>
        <v>NA</v>
      </c>
      <c r="L31" s="516" t="str">
        <f t="shared" si="9"/>
        <v>NA</v>
      </c>
      <c r="M31" s="516" t="str">
        <f t="shared" si="10"/>
        <v>NA</v>
      </c>
      <c r="N31" s="517" t="str">
        <f t="shared" si="11"/>
        <v>NA</v>
      </c>
      <c r="O31" s="518">
        <f t="shared" si="18"/>
        <v>0</v>
      </c>
      <c r="P31" s="519" t="str">
        <f t="shared" si="12"/>
        <v>NA</v>
      </c>
      <c r="Q31" s="520" t="str">
        <f t="shared" si="13"/>
        <v>NA</v>
      </c>
      <c r="R31" s="520" t="str">
        <f t="shared" si="14"/>
        <v>NA</v>
      </c>
      <c r="S31" s="520" t="str">
        <f t="shared" si="15"/>
        <v>NA</v>
      </c>
      <c r="T31" s="520" t="str">
        <f t="shared" si="16"/>
        <v>NA</v>
      </c>
      <c r="U31" s="520" t="str">
        <f t="shared" si="17"/>
        <v>NA</v>
      </c>
    </row>
    <row r="32" spans="1:21" ht="30" customHeight="1" x14ac:dyDescent="0.25">
      <c r="A32" s="719" t="s">
        <v>562</v>
      </c>
      <c r="B32" s="707"/>
      <c r="C32" s="521">
        <f>SUM(C12:C31)</f>
        <v>0</v>
      </c>
      <c r="D32" s="522" t="str">
        <f>IFERROR((SUMPRODUCT(D12:D31,C12:C31)/C32),"NA")</f>
        <v>NA</v>
      </c>
      <c r="E32" s="522" t="str">
        <f>IFERROR((SUMPRODUCT(E12:E31,C12:C31)/C32),"NA")</f>
        <v>NA</v>
      </c>
      <c r="F32" s="522" t="str">
        <f>IFERROR((SUMPRODUCT(F12:F31,C12:C31)/C32),"NA")</f>
        <v>NA</v>
      </c>
      <c r="G32" s="522" t="str">
        <f>IFERROR((SUMPRODUCT(G12:G31,C12:C31)/C32),"NA")</f>
        <v>NA</v>
      </c>
      <c r="H32" s="522" t="str">
        <f>IFERROR((SUMPRODUCT(H12:H31,C12:C31)/C32),"NA")</f>
        <v>NA</v>
      </c>
      <c r="I32" s="515">
        <f t="shared" si="6"/>
        <v>0</v>
      </c>
      <c r="J32" s="522" t="str">
        <f>IFERROR((SUMPRODUCT(J12:J31,I12:I31)/I32),"NA")</f>
        <v>NA</v>
      </c>
      <c r="K32" s="522" t="str">
        <f>IFERROR((SUMPRODUCT(K12:K31,I12:I31)/I32),"NA")</f>
        <v>NA</v>
      </c>
      <c r="L32" s="522" t="str">
        <f>IFERROR((SUMPRODUCT(L12:L31,I12:I31)/I32),"NA")</f>
        <v>NA</v>
      </c>
      <c r="M32" s="522" t="str">
        <f>IFERROR((SUMPRODUCT(M12:M31,I12:I31)/I32),"NA")</f>
        <v>NA</v>
      </c>
      <c r="N32" s="523" t="str">
        <f>IFERROR((SUMPRODUCT(N12:N31,I12:I31)/I32),"NA")</f>
        <v>NA</v>
      </c>
      <c r="O32" s="544" t="s">
        <v>500</v>
      </c>
      <c r="P32" s="435" t="s">
        <v>500</v>
      </c>
      <c r="Q32" s="433" t="s">
        <v>500</v>
      </c>
      <c r="R32" s="433" t="s">
        <v>500</v>
      </c>
      <c r="S32" s="433" t="s">
        <v>500</v>
      </c>
      <c r="T32" s="433" t="s">
        <v>500</v>
      </c>
      <c r="U32" s="433" t="s">
        <v>500</v>
      </c>
    </row>
    <row r="33" spans="1:21" x14ac:dyDescent="0.25">
      <c r="A33" s="720" t="s">
        <v>563</v>
      </c>
      <c r="B33" s="709"/>
      <c r="C33" s="547" t="s">
        <v>500</v>
      </c>
      <c r="D33" s="522" t="str">
        <f>IF($C$32=0,"NA",(SUMPRODUCT(D63,$C$62)+SUMPRODUCT(D93,$C$92)+SUMPRODUCT(D123,$C$122))/$C$32)</f>
        <v>NA</v>
      </c>
      <c r="E33" s="522" t="str">
        <f>IF($C$32=0,"NA",(SUMPRODUCT(E63,$C$62)+SUMPRODUCT(E93,$C$92)+SUMPRODUCT(E123,$C$122))/$C$32)</f>
        <v>NA</v>
      </c>
      <c r="F33" s="522" t="str">
        <f>IF($C$32=0,"NA",(SUMPRODUCT(F63,$C$62)+SUMPRODUCT(F93,$C$92)+SUMPRODUCT(F123,$C$122))/$C$32)</f>
        <v>NA</v>
      </c>
      <c r="G33" s="522" t="str">
        <f>IF($C$32=0,"NA",(SUMPRODUCT(G63,$C$62)+SUMPRODUCT(G93,$C$92)+SUMPRODUCT(G123,$C$122))/$C$32)</f>
        <v>NA</v>
      </c>
      <c r="H33" s="523" t="str">
        <f>IF($C$32=0,"NA",(SUMPRODUCT(H63,$C$62)+SUMPRODUCT(H93,$C$92)+SUMPRODUCT(H123,$C$122))/$C$32)</f>
        <v>NA</v>
      </c>
      <c r="I33" s="555" t="s">
        <v>500</v>
      </c>
      <c r="J33" s="522" t="str">
        <f>IF($I$32=0,"NA",(SUMPRODUCT(J63,$I$62)+SUMPRODUCT(J93,$I$92)+SUMPRODUCT(J123,$I$122))/$I$32)</f>
        <v>NA</v>
      </c>
      <c r="K33" s="522" t="str">
        <f>IF($I$32=0,"NA",(SUMPRODUCT(K63,$I$62)+SUMPRODUCT(K93,$I$92)+SUMPRODUCT(K123,$I$122))/$I$32)</f>
        <v>NA</v>
      </c>
      <c r="L33" s="522" t="str">
        <f>IF($I$32=0,"NA",(SUMPRODUCT(L63,$I$62)+SUMPRODUCT(L93,$I$92)+SUMPRODUCT(L123,$I$122))/$I$32)</f>
        <v>NA</v>
      </c>
      <c r="M33" s="522" t="str">
        <f>IF($I$32=0,"NA",(SUMPRODUCT(M63,$I$62)+SUMPRODUCT(M93,$I$92)+SUMPRODUCT(M123,$I$122))/$I$32)</f>
        <v>NA</v>
      </c>
      <c r="N33" s="523" t="str">
        <f>IF($I$32=0,"NA",(SUMPRODUCT(N63,$I$62)+SUMPRODUCT(N93,$I$92)+SUMPRODUCT(N123,$I$122))/$I$32)</f>
        <v>NA</v>
      </c>
      <c r="O33" s="544" t="s">
        <v>500</v>
      </c>
      <c r="P33" s="435" t="s">
        <v>500</v>
      </c>
      <c r="Q33" s="433" t="s">
        <v>500</v>
      </c>
      <c r="R33" s="433" t="s">
        <v>500</v>
      </c>
      <c r="S33" s="433" t="s">
        <v>500</v>
      </c>
      <c r="T33" s="433" t="s">
        <v>500</v>
      </c>
      <c r="U33" s="433" t="s">
        <v>500</v>
      </c>
    </row>
    <row r="34" spans="1:21" x14ac:dyDescent="0.25">
      <c r="A34" s="721" t="s">
        <v>564</v>
      </c>
      <c r="B34" s="717"/>
      <c r="C34" s="524">
        <f>ABS(C32-C11)</f>
        <v>0</v>
      </c>
      <c r="D34" s="525" t="e">
        <f>ABS(D32-D11)</f>
        <v>#VALUE!</v>
      </c>
      <c r="E34" s="526" t="e">
        <f>ABS(E32-E11)</f>
        <v>#VALUE!</v>
      </c>
      <c r="F34" s="526" t="e">
        <f>ABS(F32-F11)</f>
        <v>#VALUE!</v>
      </c>
      <c r="G34" s="227" t="s">
        <v>500</v>
      </c>
      <c r="H34" s="233" t="s">
        <v>500</v>
      </c>
      <c r="I34" s="527">
        <f>ABS(I32-I11)</f>
        <v>0</v>
      </c>
      <c r="J34" s="526" t="e">
        <f>ABS(J32-J11)</f>
        <v>#VALUE!</v>
      </c>
      <c r="K34" s="526" t="e">
        <f>ABS(K32-K11)</f>
        <v>#VALUE!</v>
      </c>
      <c r="L34" s="526" t="e">
        <f>ABS(L32-L11)</f>
        <v>#VALUE!</v>
      </c>
      <c r="M34" s="181" t="s">
        <v>500</v>
      </c>
      <c r="N34" s="233" t="s">
        <v>500</v>
      </c>
      <c r="O34" s="545" t="s">
        <v>500</v>
      </c>
      <c r="P34" s="546" t="s">
        <v>500</v>
      </c>
      <c r="Q34" s="548" t="s">
        <v>500</v>
      </c>
      <c r="R34" s="548" t="s">
        <v>500</v>
      </c>
      <c r="S34" s="548" t="s">
        <v>500</v>
      </c>
      <c r="T34" s="548" t="s">
        <v>500</v>
      </c>
      <c r="U34" s="548" t="s">
        <v>500</v>
      </c>
    </row>
    <row r="35" spans="1:21" ht="30" customHeight="1" x14ac:dyDescent="0.25">
      <c r="A35" s="722" t="s">
        <v>565</v>
      </c>
      <c r="B35" s="715"/>
      <c r="C35" s="259" t="str">
        <f>IF(((ABS(C11-C32))&lt;10),"Yes","No")</f>
        <v>Yes</v>
      </c>
      <c r="D35" s="181" t="e">
        <f>IF(((ABS(D11-D32))&lt;10),"Yes","No")</f>
        <v>#VALUE!</v>
      </c>
      <c r="E35" s="181" t="e">
        <f>IF(((ABS(E11-E32))&lt;10),"Yes","No")</f>
        <v>#VALUE!</v>
      </c>
      <c r="F35" s="181" t="e">
        <f>IF(((ABS(F11-F32))&lt;10),"Yes","No")</f>
        <v>#VALUE!</v>
      </c>
      <c r="G35" s="181" t="s">
        <v>500</v>
      </c>
      <c r="H35" s="233" t="s">
        <v>500</v>
      </c>
      <c r="I35" s="259" t="str">
        <f>IF(((ABS(I11-I32))&lt;10),"Yes","No")</f>
        <v>Yes</v>
      </c>
      <c r="J35" s="181" t="e">
        <f>IF(((ABS(J11-J32))&lt;10),"Yes","No")</f>
        <v>#VALUE!</v>
      </c>
      <c r="K35" s="181" t="e">
        <f>IF(((ABS(K11-K32))&lt;10),"Yes","No")</f>
        <v>#VALUE!</v>
      </c>
      <c r="L35" s="181" t="e">
        <f>IF(((ABS(L11-L32))&lt;10),"Yes","No")</f>
        <v>#VALUE!</v>
      </c>
      <c r="M35" s="181" t="s">
        <v>500</v>
      </c>
      <c r="N35" s="233" t="s">
        <v>500</v>
      </c>
      <c r="O35" s="545" t="s">
        <v>500</v>
      </c>
      <c r="P35" s="546" t="s">
        <v>500</v>
      </c>
      <c r="Q35" s="548" t="s">
        <v>500</v>
      </c>
      <c r="R35" s="548" t="s">
        <v>500</v>
      </c>
      <c r="S35" s="548" t="s">
        <v>500</v>
      </c>
      <c r="T35" s="548" t="s">
        <v>500</v>
      </c>
      <c r="U35" s="548" t="s">
        <v>500</v>
      </c>
    </row>
    <row r="36" spans="1:21" x14ac:dyDescent="0.25">
      <c r="A36"/>
      <c r="B36"/>
      <c r="C36"/>
      <c r="D36" s="150"/>
      <c r="E36"/>
      <c r="F36"/>
      <c r="G36"/>
      <c r="H36"/>
      <c r="I36"/>
      <c r="J36"/>
      <c r="K36"/>
      <c r="L36"/>
      <c r="M36"/>
      <c r="N36"/>
      <c r="O36"/>
      <c r="P36"/>
      <c r="Q36"/>
      <c r="R36"/>
      <c r="S36"/>
      <c r="T36"/>
      <c r="U36"/>
    </row>
    <row r="37" spans="1:21" x14ac:dyDescent="0.25">
      <c r="A37"/>
      <c r="B37"/>
      <c r="C37"/>
      <c r="D37"/>
      <c r="E37"/>
      <c r="F37"/>
      <c r="G37"/>
      <c r="H37"/>
      <c r="I37"/>
      <c r="J37"/>
      <c r="K37"/>
      <c r="L37"/>
      <c r="M37"/>
      <c r="N37"/>
      <c r="O37"/>
      <c r="P37"/>
      <c r="Q37"/>
      <c r="R37"/>
      <c r="S37"/>
      <c r="T37"/>
      <c r="U37"/>
    </row>
    <row r="38" spans="1:21" x14ac:dyDescent="0.25">
      <c r="A38" s="3" t="s">
        <v>566</v>
      </c>
      <c r="B38"/>
      <c r="C38"/>
      <c r="D38"/>
      <c r="E38"/>
      <c r="F38"/>
      <c r="G38"/>
      <c r="H38"/>
      <c r="I38"/>
      <c r="J38"/>
      <c r="K38"/>
      <c r="L38"/>
      <c r="M38"/>
      <c r="N38"/>
      <c r="O38"/>
      <c r="P38"/>
      <c r="Q38"/>
      <c r="R38"/>
      <c r="S38"/>
      <c r="T38"/>
      <c r="U38"/>
    </row>
    <row r="39" spans="1:21" ht="15" customHeight="1" x14ac:dyDescent="0.25">
      <c r="A39" s="657" t="s">
        <v>71</v>
      </c>
      <c r="B39" s="706" t="s">
        <v>547</v>
      </c>
      <c r="C39" s="697">
        <v>2021</v>
      </c>
      <c r="D39" s="698"/>
      <c r="E39" s="698"/>
      <c r="F39" s="698"/>
      <c r="G39" s="698"/>
      <c r="H39" s="699"/>
      <c r="I39" s="700">
        <v>2022</v>
      </c>
      <c r="J39" s="701"/>
      <c r="K39" s="701"/>
      <c r="L39" s="701"/>
      <c r="M39" s="701"/>
      <c r="N39" s="702"/>
      <c r="O39" s="703" t="s">
        <v>548</v>
      </c>
      <c r="P39" s="704"/>
      <c r="Q39" s="704"/>
      <c r="R39" s="704"/>
      <c r="S39" s="704"/>
      <c r="T39" s="704"/>
      <c r="U39" s="705"/>
    </row>
    <row r="40" spans="1:21" ht="45" x14ac:dyDescent="0.25">
      <c r="A40" s="657"/>
      <c r="B40" s="706"/>
      <c r="C40" s="90" t="s">
        <v>549</v>
      </c>
      <c r="D40" s="91" t="s">
        <v>550</v>
      </c>
      <c r="E40" s="91" t="s">
        <v>551</v>
      </c>
      <c r="F40" s="91" t="s">
        <v>552</v>
      </c>
      <c r="G40" s="91" t="s">
        <v>553</v>
      </c>
      <c r="H40" s="92" t="s">
        <v>554</v>
      </c>
      <c r="I40" s="87" t="s">
        <v>549</v>
      </c>
      <c r="J40" s="88" t="s">
        <v>550</v>
      </c>
      <c r="K40" s="88" t="s">
        <v>551</v>
      </c>
      <c r="L40" s="88" t="s">
        <v>552</v>
      </c>
      <c r="M40" s="88" t="s">
        <v>553</v>
      </c>
      <c r="N40" s="89" t="s">
        <v>554</v>
      </c>
      <c r="O40" s="513" t="s">
        <v>555</v>
      </c>
      <c r="P40" s="242" t="s">
        <v>556</v>
      </c>
      <c r="Q40" s="77" t="s">
        <v>557</v>
      </c>
      <c r="R40" s="77" t="s">
        <v>558</v>
      </c>
      <c r="S40" s="77" t="s">
        <v>559</v>
      </c>
      <c r="T40" s="77" t="s">
        <v>560</v>
      </c>
      <c r="U40" s="217" t="s">
        <v>561</v>
      </c>
    </row>
    <row r="41" spans="1:21" x14ac:dyDescent="0.25">
      <c r="A41" s="219">
        <v>100</v>
      </c>
      <c r="B41" s="495" t="s">
        <v>72</v>
      </c>
      <c r="C41" s="95">
        <f>SUMIFS(TM[[#All],[Member Months]],TM[[#All],[Reporting Year]],2021,TM[[#All],[Insurance Category Code]],3,TM[[#All],[Large Provider Entity Code]],A41)</f>
        <v>0</v>
      </c>
      <c r="D41" s="7" t="str">
        <f>IFERROR(SUMIFS(TM[[#All],[Total Non-Truncated Claims Spending]],TM[[#All],[Reporting Year]],2021,TM[[#All],[Insurance Category Code]],3,TM[[#All],[Large Provider Entity Code]],A41)/C41,"NA")</f>
        <v>NA</v>
      </c>
      <c r="E41" s="7" t="str">
        <f>IFERROR(SUMIFS(TM[[#All],[Total Non-Claims Spending]],TM[[#All],[Reporting Year]],2021,TM[[#All],[Insurance Category Code]],3,TM[[#All],[Large Provider Entity Code]],A41)/C41,"NA")</f>
        <v>NA</v>
      </c>
      <c r="F41" s="7" t="str">
        <f>IFERROR(SUMIFS(TM[[#All],[Total Non-Truncated Claims and Non-Claims Spending]],TM[[#All],[Reporting Year]],2021,TM[[#All],[Insurance Category Code]],3,TM[[#All],[Large Provider Entity Code]],A41)/C41,"NA")</f>
        <v>NA</v>
      </c>
      <c r="G41" s="7" t="str">
        <f>IFERROR(SUMIFS(TM[[#All],[Total Truncated Claims Spending]],TM[[#All],[Reporting Year]],2021,TM[[#All],[Insurance Category Code]],3,TM[[#All],[Large Provider Entity Code]],A41)/C41,"NA")</f>
        <v>NA</v>
      </c>
      <c r="H41" s="96" t="str">
        <f>IFERROR(SUMIFS(TM[[#All],[Total Truncated Expenses]],TM[[#All],[Reporting Year]],2021,TM[[#All],[Insurance Category Code]],3,TM[[#All],[Large Provider Entity Code]],A41)/C41,"NA")</f>
        <v>NA</v>
      </c>
      <c r="I41" s="95">
        <f>SUMIFS(TM[[#All],[Member Months]],TM[[#All],[Reporting Year]],2022,TM[[#All],[Insurance Category Code]],3,TM[[#All],[Large Provider Entity Code]],A41)</f>
        <v>0</v>
      </c>
      <c r="J41" s="7" t="str">
        <f>IFERROR(SUMIFS(TM[[#All],[Total Non-Truncated Claims Spending]],TM[[#All],[Reporting Year]],2022,TM[[#All],[Insurance Category Code]],3,TM[[#All],[Large Provider Entity Code]],A41)/I41,"NA")</f>
        <v>NA</v>
      </c>
      <c r="K41" s="7" t="str">
        <f>IFERROR(SUMIFS(TM[[#All],[Total Non-Claims Spending]],TM[[#All],[Reporting Year]],2022,TM[[#All],[Insurance Category Code]],3,TM[[#All],[Large Provider Entity Code]],A41)/I41,"NA")</f>
        <v>NA</v>
      </c>
      <c r="L41" s="7" t="str">
        <f>IFERROR(SUMIFS(TM[[#All],[Total Non-Truncated Claims and Non-Claims Spending]],TM[[#All],[Reporting Year]],2022,TM[[#All],[Insurance Category Code]],3,TM[[#All],[Large Provider Entity Code]],A41)/I41,"NA")</f>
        <v>NA</v>
      </c>
      <c r="M41" s="7" t="str">
        <f>IFERROR(SUMIFS(TM[[#All],[Total Truncated Claims Spending]],TM[[#All],[Reporting Year]],2022,TM[[#All],[Insurance Category Code]],3,TM[[#All],[Large Provider Entity Code]],A41)/I41,"NA")</f>
        <v>NA</v>
      </c>
      <c r="N41" s="96" t="str">
        <f>IFERROR(SUMIFS(TM[[#All],[Total Truncated Expenses]],TM[[#All],[Reporting Year]],2022,TM[[#All],[Insurance Category Code]],3,TM[[#All],[Large Provider Entity Code]],A41)/I41,"NA")</f>
        <v>NA</v>
      </c>
      <c r="O41" s="518">
        <f>ABS(C41-I41)</f>
        <v>0</v>
      </c>
      <c r="P41" s="243" t="str">
        <f t="shared" ref="P41:P61" si="27">IFERROR((I41/C41-1),"NA")</f>
        <v>NA</v>
      </c>
      <c r="Q41" s="97" t="str">
        <f t="shared" ref="Q41:Q61" si="28">IFERROR((J41/D41-1),"NA")</f>
        <v>NA</v>
      </c>
      <c r="R41" s="97" t="str">
        <f t="shared" ref="R41:R61" si="29">IFERROR((K41/E41-1),"NA")</f>
        <v>NA</v>
      </c>
      <c r="S41" s="97" t="str">
        <f t="shared" ref="S41:S61" si="30">IFERROR((L41/F41-1),"NA")</f>
        <v>NA</v>
      </c>
      <c r="T41" s="97" t="str">
        <f t="shared" ref="T41:T61" si="31">IFERROR((M41/G41-1),"NA")</f>
        <v>NA</v>
      </c>
      <c r="U41" s="97" t="str">
        <f t="shared" ref="U41:U61" si="32">IFERROR((N41/H41-1),"NA")</f>
        <v>NA</v>
      </c>
    </row>
    <row r="42" spans="1:21" x14ac:dyDescent="0.25">
      <c r="A42" s="218">
        <v>101</v>
      </c>
      <c r="B42" s="495" t="s">
        <v>609</v>
      </c>
      <c r="C42" s="95">
        <f>SUMIFS(TM[[#All],[Member Months]],TM[[#All],[Reporting Year]],2021,TM[[#All],[Insurance Category Code]],3,TM[[#All],[Large Provider Entity Code]],A42)</f>
        <v>0</v>
      </c>
      <c r="D42" s="7" t="str">
        <f>IFERROR(SUMIFS(TM[[#All],[Total Non-Truncated Claims Spending]],TM[[#All],[Reporting Year]],2021,TM[[#All],[Insurance Category Code]],3,TM[[#All],[Large Provider Entity Code]],A42)/C42,"NA")</f>
        <v>NA</v>
      </c>
      <c r="E42" s="7" t="str">
        <f>IFERROR(SUMIFS(TM[[#All],[Total Non-Claims Spending]],TM[[#All],[Reporting Year]],2021,TM[[#All],[Insurance Category Code]],3,TM[[#All],[Large Provider Entity Code]],A42)/C42,"NA")</f>
        <v>NA</v>
      </c>
      <c r="F42" s="7" t="str">
        <f>IFERROR(SUMIFS(TM[[#All],[Total Non-Truncated Claims and Non-Claims Spending]],TM[[#All],[Reporting Year]],2021,TM[[#All],[Insurance Category Code]],3,TM[[#All],[Large Provider Entity Code]],A42)/C42,"NA")</f>
        <v>NA</v>
      </c>
      <c r="G42" s="7" t="str">
        <f>IFERROR(SUMIFS(TM[[#All],[Total Truncated Claims Spending]],TM[[#All],[Reporting Year]],2021,TM[[#All],[Insurance Category Code]],3,TM[[#All],[Large Provider Entity Code]],A42)/C42,"NA")</f>
        <v>NA</v>
      </c>
      <c r="H42" s="96" t="str">
        <f>IFERROR(SUMIFS(TM[[#All],[Total Truncated Expenses]],TM[[#All],[Reporting Year]],2021,TM[[#All],[Insurance Category Code]],3,TM[[#All],[Large Provider Entity Code]],A42)/C42,"NA")</f>
        <v>NA</v>
      </c>
      <c r="I42" s="95">
        <f>SUMIFS(TM[[#All],[Member Months]],TM[[#All],[Reporting Year]],2022,TM[[#All],[Insurance Category Code]],3,TM[[#All],[Large Provider Entity Code]],A42)</f>
        <v>0</v>
      </c>
      <c r="J42" s="7" t="str">
        <f>IFERROR(SUMIFS(TM[[#All],[Total Non-Truncated Claims Spending]],TM[[#All],[Reporting Year]],2022,TM[[#All],[Insurance Category Code]],3,TM[[#All],[Large Provider Entity Code]],A42)/I42,"NA")</f>
        <v>NA</v>
      </c>
      <c r="K42" s="7" t="str">
        <f>IFERROR(SUMIFS(TM[[#All],[Total Non-Claims Spending]],TM[[#All],[Reporting Year]],2022,TM[[#All],[Insurance Category Code]],3,TM[[#All],[Large Provider Entity Code]],A42)/I42,"NA")</f>
        <v>NA</v>
      </c>
      <c r="L42" s="7" t="str">
        <f>IFERROR(SUMIFS(TM[[#All],[Total Non-Truncated Claims and Non-Claims Spending]],TM[[#All],[Reporting Year]],2022,TM[[#All],[Insurance Category Code]],3,TM[[#All],[Large Provider Entity Code]],A42)/I42,"NA")</f>
        <v>NA</v>
      </c>
      <c r="M42" s="7" t="str">
        <f>IFERROR(SUMIFS(TM[[#All],[Total Truncated Claims Spending]],TM[[#All],[Reporting Year]],2022,TM[[#All],[Insurance Category Code]],3,TM[[#All],[Large Provider Entity Code]],A42)/I42,"NA")</f>
        <v>NA</v>
      </c>
      <c r="N42" s="96" t="str">
        <f>IFERROR(SUMIFS(TM[[#All],[Total Truncated Expenses]],TM[[#All],[Reporting Year]],2022,TM[[#All],[Insurance Category Code]],3,TM[[#All],[Large Provider Entity Code]],A42)/I42,"NA")</f>
        <v>NA</v>
      </c>
      <c r="O42" s="518">
        <f t="shared" ref="O42:O61" si="33">ABS(C42-I42)</f>
        <v>0</v>
      </c>
      <c r="P42" s="243" t="str">
        <f t="shared" si="27"/>
        <v>NA</v>
      </c>
      <c r="Q42" s="97" t="str">
        <f t="shared" si="28"/>
        <v>NA</v>
      </c>
      <c r="R42" s="97" t="str">
        <f t="shared" si="29"/>
        <v>NA</v>
      </c>
      <c r="S42" s="97" t="str">
        <f t="shared" si="30"/>
        <v>NA</v>
      </c>
      <c r="T42" s="97" t="str">
        <f t="shared" si="31"/>
        <v>NA</v>
      </c>
      <c r="U42" s="97" t="str">
        <f t="shared" si="32"/>
        <v>NA</v>
      </c>
    </row>
    <row r="43" spans="1:21" x14ac:dyDescent="0.25">
      <c r="A43" s="218">
        <v>102</v>
      </c>
      <c r="B43" s="566" t="s">
        <v>610</v>
      </c>
      <c r="C43" s="95">
        <f>SUMIFS(TM[[#All],[Member Months]],TM[[#All],[Reporting Year]],2021,TM[[#All],[Insurance Category Code]],3,TM[[#All],[Large Provider Entity Code]],A43)</f>
        <v>0</v>
      </c>
      <c r="D43" s="7" t="str">
        <f>IFERROR(SUMIFS(TM[[#All],[Total Non-Truncated Claims Spending]],TM[[#All],[Reporting Year]],2021,TM[[#All],[Insurance Category Code]],3,TM[[#All],[Large Provider Entity Code]],A43)/C43,"NA")</f>
        <v>NA</v>
      </c>
      <c r="E43" s="7" t="str">
        <f>IFERROR(SUMIFS(TM[[#All],[Total Non-Claims Spending]],TM[[#All],[Reporting Year]],2021,TM[[#All],[Insurance Category Code]],3,TM[[#All],[Large Provider Entity Code]],A43)/C43,"NA")</f>
        <v>NA</v>
      </c>
      <c r="F43" s="7" t="str">
        <f>IFERROR(SUMIFS(TM[[#All],[Total Non-Truncated Claims and Non-Claims Spending]],TM[[#All],[Reporting Year]],2021,TM[[#All],[Insurance Category Code]],3,TM[[#All],[Large Provider Entity Code]],A43)/C43,"NA")</f>
        <v>NA</v>
      </c>
      <c r="G43" s="7" t="str">
        <f>IFERROR(SUMIFS(TM[[#All],[Total Truncated Claims Spending]],TM[[#All],[Reporting Year]],2021,TM[[#All],[Insurance Category Code]],3,TM[[#All],[Large Provider Entity Code]],A43)/C43,"NA")</f>
        <v>NA</v>
      </c>
      <c r="H43" s="96" t="str">
        <f>IFERROR(SUMIFS(TM[[#All],[Total Truncated Expenses]],TM[[#All],[Reporting Year]],2021,TM[[#All],[Insurance Category Code]],3,TM[[#All],[Large Provider Entity Code]],A43)/C43,"NA")</f>
        <v>NA</v>
      </c>
      <c r="I43" s="95">
        <f>SUMIFS(TM[[#All],[Member Months]],TM[[#All],[Reporting Year]],2022,TM[[#All],[Insurance Category Code]],3,TM[[#All],[Large Provider Entity Code]],A43)</f>
        <v>0</v>
      </c>
      <c r="J43" s="7" t="str">
        <f>IFERROR(SUMIFS(TM[[#All],[Total Non-Truncated Claims Spending]],TM[[#All],[Reporting Year]],2022,TM[[#All],[Insurance Category Code]],3,TM[[#All],[Large Provider Entity Code]],A43)/I43,"NA")</f>
        <v>NA</v>
      </c>
      <c r="K43" s="7" t="str">
        <f>IFERROR(SUMIFS(TM[[#All],[Total Non-Claims Spending]],TM[[#All],[Reporting Year]],2022,TM[[#All],[Insurance Category Code]],3,TM[[#All],[Large Provider Entity Code]],A43)/I43,"NA")</f>
        <v>NA</v>
      </c>
      <c r="L43" s="7" t="str">
        <f>IFERROR(SUMIFS(TM[[#All],[Total Non-Truncated Claims and Non-Claims Spending]],TM[[#All],[Reporting Year]],2022,TM[[#All],[Insurance Category Code]],3,TM[[#All],[Large Provider Entity Code]],A43)/I43,"NA")</f>
        <v>NA</v>
      </c>
      <c r="M43" s="7" t="str">
        <f>IFERROR(SUMIFS(TM[[#All],[Total Truncated Claims Spending]],TM[[#All],[Reporting Year]],2022,TM[[#All],[Insurance Category Code]],3,TM[[#All],[Large Provider Entity Code]],A43)/I43,"NA")</f>
        <v>NA</v>
      </c>
      <c r="N43" s="96" t="str">
        <f>IFERROR(SUMIFS(TM[[#All],[Total Truncated Expenses]],TM[[#All],[Reporting Year]],2022,TM[[#All],[Insurance Category Code]],3,TM[[#All],[Large Provider Entity Code]],A43)/I43,"NA")</f>
        <v>NA</v>
      </c>
      <c r="O43" s="518">
        <f t="shared" si="33"/>
        <v>0</v>
      </c>
      <c r="P43" s="243" t="str">
        <f t="shared" si="27"/>
        <v>NA</v>
      </c>
      <c r="Q43" s="97" t="str">
        <f t="shared" si="28"/>
        <v>NA</v>
      </c>
      <c r="R43" s="97" t="str">
        <f t="shared" si="29"/>
        <v>NA</v>
      </c>
      <c r="S43" s="97" t="str">
        <f t="shared" si="30"/>
        <v>NA</v>
      </c>
      <c r="T43" s="97" t="str">
        <f t="shared" si="31"/>
        <v>NA</v>
      </c>
      <c r="U43" s="97" t="str">
        <f t="shared" si="32"/>
        <v>NA</v>
      </c>
    </row>
    <row r="44" spans="1:21" ht="30" x14ac:dyDescent="0.25">
      <c r="A44" s="218">
        <v>103</v>
      </c>
      <c r="B44" s="495" t="s">
        <v>73</v>
      </c>
      <c r="C44" s="95">
        <f>SUMIFS(TM[[#All],[Member Months]],TM[[#All],[Reporting Year]],2021,TM[[#All],[Insurance Category Code]],3,TM[[#All],[Large Provider Entity Code]],A44)</f>
        <v>0</v>
      </c>
      <c r="D44" s="7" t="str">
        <f>IFERROR(SUMIFS(TM[[#All],[Total Non-Truncated Claims Spending]],TM[[#All],[Reporting Year]],2021,TM[[#All],[Insurance Category Code]],3,TM[[#All],[Large Provider Entity Code]],A44)/C44,"NA")</f>
        <v>NA</v>
      </c>
      <c r="E44" s="7" t="str">
        <f>IFERROR(SUMIFS(TM[[#All],[Total Non-Claims Spending]],TM[[#All],[Reporting Year]],2021,TM[[#All],[Insurance Category Code]],3,TM[[#All],[Large Provider Entity Code]],A44)/C44,"NA")</f>
        <v>NA</v>
      </c>
      <c r="F44" s="7" t="str">
        <f>IFERROR(SUMIFS(TM[[#All],[Total Non-Truncated Claims and Non-Claims Spending]],TM[[#All],[Reporting Year]],2021,TM[[#All],[Insurance Category Code]],3,TM[[#All],[Large Provider Entity Code]],A44)/C44,"NA")</f>
        <v>NA</v>
      </c>
      <c r="G44" s="7" t="str">
        <f>IFERROR(SUMIFS(TM[[#All],[Total Truncated Claims Spending]],TM[[#All],[Reporting Year]],2021,TM[[#All],[Insurance Category Code]],3,TM[[#All],[Large Provider Entity Code]],A44)/C44,"NA")</f>
        <v>NA</v>
      </c>
      <c r="H44" s="96" t="str">
        <f>IFERROR(SUMIFS(TM[[#All],[Total Truncated Expenses]],TM[[#All],[Reporting Year]],2021,TM[[#All],[Insurance Category Code]],3,TM[[#All],[Large Provider Entity Code]],A44)/C44,"NA")</f>
        <v>NA</v>
      </c>
      <c r="I44" s="95">
        <f>SUMIFS(TM[[#All],[Member Months]],TM[[#All],[Reporting Year]],2022,TM[[#All],[Insurance Category Code]],3,TM[[#All],[Large Provider Entity Code]],A44)</f>
        <v>0</v>
      </c>
      <c r="J44" s="7" t="str">
        <f>IFERROR(SUMIFS(TM[[#All],[Total Non-Truncated Claims Spending]],TM[[#All],[Reporting Year]],2022,TM[[#All],[Insurance Category Code]],3,TM[[#All],[Large Provider Entity Code]],A44)/I44,"NA")</f>
        <v>NA</v>
      </c>
      <c r="K44" s="7" t="str">
        <f>IFERROR(SUMIFS(TM[[#All],[Total Non-Claims Spending]],TM[[#All],[Reporting Year]],2022,TM[[#All],[Insurance Category Code]],3,TM[[#All],[Large Provider Entity Code]],A44)/I44,"NA")</f>
        <v>NA</v>
      </c>
      <c r="L44" s="7" t="str">
        <f>IFERROR(SUMIFS(TM[[#All],[Total Non-Truncated Claims and Non-Claims Spending]],TM[[#All],[Reporting Year]],2022,TM[[#All],[Insurance Category Code]],3,TM[[#All],[Large Provider Entity Code]],A44)/I44,"NA")</f>
        <v>NA</v>
      </c>
      <c r="M44" s="7" t="str">
        <f>IFERROR(SUMIFS(TM[[#All],[Total Truncated Claims Spending]],TM[[#All],[Reporting Year]],2022,TM[[#All],[Insurance Category Code]],3,TM[[#All],[Large Provider Entity Code]],A44)/I44,"NA")</f>
        <v>NA</v>
      </c>
      <c r="N44" s="96" t="str">
        <f>IFERROR(SUMIFS(TM[[#All],[Total Truncated Expenses]],TM[[#All],[Reporting Year]],2022,TM[[#All],[Insurance Category Code]],3,TM[[#All],[Large Provider Entity Code]],A44)/I44,"NA")</f>
        <v>NA</v>
      </c>
      <c r="O44" s="518">
        <f t="shared" si="33"/>
        <v>0</v>
      </c>
      <c r="P44" s="243" t="str">
        <f t="shared" si="27"/>
        <v>NA</v>
      </c>
      <c r="Q44" s="97" t="str">
        <f t="shared" si="28"/>
        <v>NA</v>
      </c>
      <c r="R44" s="97" t="str">
        <f t="shared" si="29"/>
        <v>NA</v>
      </c>
      <c r="S44" s="97" t="str">
        <f t="shared" si="30"/>
        <v>NA</v>
      </c>
      <c r="T44" s="97" t="str">
        <f t="shared" si="31"/>
        <v>NA</v>
      </c>
      <c r="U44" s="97" t="str">
        <f t="shared" si="32"/>
        <v>NA</v>
      </c>
    </row>
    <row r="45" spans="1:21" x14ac:dyDescent="0.25">
      <c r="A45" s="218">
        <v>104</v>
      </c>
      <c r="B45" s="495" t="s">
        <v>611</v>
      </c>
      <c r="C45" s="95">
        <f>SUMIFS(TM[[#All],[Member Months]],TM[[#All],[Reporting Year]],2021,TM[[#All],[Insurance Category Code]],3,TM[[#All],[Large Provider Entity Code]],A45)</f>
        <v>0</v>
      </c>
      <c r="D45" s="7" t="str">
        <f>IFERROR(SUMIFS(TM[[#All],[Total Non-Truncated Claims Spending]],TM[[#All],[Reporting Year]],2021,TM[[#All],[Insurance Category Code]],3,TM[[#All],[Large Provider Entity Code]],A45)/C45,"NA")</f>
        <v>NA</v>
      </c>
      <c r="E45" s="7" t="str">
        <f>IFERROR(SUMIFS(TM[[#All],[Total Non-Claims Spending]],TM[[#All],[Reporting Year]],2021,TM[[#All],[Insurance Category Code]],3,TM[[#All],[Large Provider Entity Code]],A45)/C45,"NA")</f>
        <v>NA</v>
      </c>
      <c r="F45" s="7" t="str">
        <f>IFERROR(SUMIFS(TM[[#All],[Total Non-Truncated Claims and Non-Claims Spending]],TM[[#All],[Reporting Year]],2021,TM[[#All],[Insurance Category Code]],3,TM[[#All],[Large Provider Entity Code]],A45)/C45,"NA")</f>
        <v>NA</v>
      </c>
      <c r="G45" s="7" t="str">
        <f>IFERROR(SUMIFS(TM[[#All],[Total Truncated Claims Spending]],TM[[#All],[Reporting Year]],2021,TM[[#All],[Insurance Category Code]],3,TM[[#All],[Large Provider Entity Code]],A45)/C45,"NA")</f>
        <v>NA</v>
      </c>
      <c r="H45" s="96" t="str">
        <f>IFERROR(SUMIFS(TM[[#All],[Total Truncated Expenses]],TM[[#All],[Reporting Year]],2021,TM[[#All],[Insurance Category Code]],3,TM[[#All],[Large Provider Entity Code]],A45)/C45,"NA")</f>
        <v>NA</v>
      </c>
      <c r="I45" s="95">
        <f>SUMIFS(TM[[#All],[Member Months]],TM[[#All],[Reporting Year]],2022,TM[[#All],[Insurance Category Code]],3,TM[[#All],[Large Provider Entity Code]],A45)</f>
        <v>0</v>
      </c>
      <c r="J45" s="7" t="str">
        <f>IFERROR(SUMIFS(TM[[#All],[Total Non-Truncated Claims Spending]],TM[[#All],[Reporting Year]],2022,TM[[#All],[Insurance Category Code]],3,TM[[#All],[Large Provider Entity Code]],A45)/I45,"NA")</f>
        <v>NA</v>
      </c>
      <c r="K45" s="7" t="str">
        <f>IFERROR(SUMIFS(TM[[#All],[Total Non-Claims Spending]],TM[[#All],[Reporting Year]],2022,TM[[#All],[Insurance Category Code]],3,TM[[#All],[Large Provider Entity Code]],A45)/I45,"NA")</f>
        <v>NA</v>
      </c>
      <c r="L45" s="7" t="str">
        <f>IFERROR(SUMIFS(TM[[#All],[Total Non-Truncated Claims and Non-Claims Spending]],TM[[#All],[Reporting Year]],2022,TM[[#All],[Insurance Category Code]],3,TM[[#All],[Large Provider Entity Code]],A45)/I45,"NA")</f>
        <v>NA</v>
      </c>
      <c r="M45" s="7" t="str">
        <f>IFERROR(SUMIFS(TM[[#All],[Total Truncated Claims Spending]],TM[[#All],[Reporting Year]],2022,TM[[#All],[Insurance Category Code]],3,TM[[#All],[Large Provider Entity Code]],A45)/I45,"NA")</f>
        <v>NA</v>
      </c>
      <c r="N45" s="96" t="str">
        <f>IFERROR(SUMIFS(TM[[#All],[Total Truncated Expenses]],TM[[#All],[Reporting Year]],2022,TM[[#All],[Insurance Category Code]],3,TM[[#All],[Large Provider Entity Code]],A45)/I45,"NA")</f>
        <v>NA</v>
      </c>
      <c r="O45" s="518">
        <f t="shared" si="33"/>
        <v>0</v>
      </c>
      <c r="P45" s="243" t="str">
        <f t="shared" si="27"/>
        <v>NA</v>
      </c>
      <c r="Q45" s="97" t="str">
        <f t="shared" si="28"/>
        <v>NA</v>
      </c>
      <c r="R45" s="97" t="str">
        <f t="shared" si="29"/>
        <v>NA</v>
      </c>
      <c r="S45" s="97" t="str">
        <f t="shared" si="30"/>
        <v>NA</v>
      </c>
      <c r="T45" s="97" t="str">
        <f t="shared" si="31"/>
        <v>NA</v>
      </c>
      <c r="U45" s="97" t="str">
        <f t="shared" si="32"/>
        <v>NA</v>
      </c>
    </row>
    <row r="46" spans="1:21" x14ac:dyDescent="0.25">
      <c r="A46" s="218">
        <v>105</v>
      </c>
      <c r="B46" s="566" t="s">
        <v>607</v>
      </c>
      <c r="C46" s="95">
        <f>SUMIFS(TM[[#All],[Member Months]],TM[[#All],[Reporting Year]],2021,TM[[#All],[Insurance Category Code]],3,TM[[#All],[Large Provider Entity Code]],A46)</f>
        <v>0</v>
      </c>
      <c r="D46" s="7" t="str">
        <f>IFERROR(SUMIFS(TM[[#All],[Total Non-Truncated Claims Spending]],TM[[#All],[Reporting Year]],2021,TM[[#All],[Insurance Category Code]],3,TM[[#All],[Large Provider Entity Code]],A46)/C46,"NA")</f>
        <v>NA</v>
      </c>
      <c r="E46" s="7" t="str">
        <f>IFERROR(SUMIFS(TM[[#All],[Total Non-Claims Spending]],TM[[#All],[Reporting Year]],2021,TM[[#All],[Insurance Category Code]],3,TM[[#All],[Large Provider Entity Code]],A46)/C46,"NA")</f>
        <v>NA</v>
      </c>
      <c r="F46" s="7" t="str">
        <f>IFERROR(SUMIFS(TM[[#All],[Total Non-Truncated Claims and Non-Claims Spending]],TM[[#All],[Reporting Year]],2021,TM[[#All],[Insurance Category Code]],3,TM[[#All],[Large Provider Entity Code]],A46)/C46,"NA")</f>
        <v>NA</v>
      </c>
      <c r="G46" s="7" t="str">
        <f>IFERROR(SUMIFS(TM[[#All],[Total Truncated Claims Spending]],TM[[#All],[Reporting Year]],2021,TM[[#All],[Insurance Category Code]],3,TM[[#All],[Large Provider Entity Code]],A46)/C46,"NA")</f>
        <v>NA</v>
      </c>
      <c r="H46" s="96" t="str">
        <f>IFERROR(SUMIFS(TM[[#All],[Total Truncated Expenses]],TM[[#All],[Reporting Year]],2021,TM[[#All],[Insurance Category Code]],3,TM[[#All],[Large Provider Entity Code]],A46)/C46,"NA")</f>
        <v>NA</v>
      </c>
      <c r="I46" s="95">
        <f>SUMIFS(TM[[#All],[Member Months]],TM[[#All],[Reporting Year]],2022,TM[[#All],[Insurance Category Code]],3,TM[[#All],[Large Provider Entity Code]],A46)</f>
        <v>0</v>
      </c>
      <c r="J46" s="7" t="str">
        <f>IFERROR(SUMIFS(TM[[#All],[Total Non-Truncated Claims Spending]],TM[[#All],[Reporting Year]],2022,TM[[#All],[Insurance Category Code]],3,TM[[#All],[Large Provider Entity Code]],A46)/I46,"NA")</f>
        <v>NA</v>
      </c>
      <c r="K46" s="7" t="str">
        <f>IFERROR(SUMIFS(TM[[#All],[Total Non-Claims Spending]],TM[[#All],[Reporting Year]],2022,TM[[#All],[Insurance Category Code]],3,TM[[#All],[Large Provider Entity Code]],A46)/I46,"NA")</f>
        <v>NA</v>
      </c>
      <c r="L46" s="7" t="str">
        <f>IFERROR(SUMIFS(TM[[#All],[Total Non-Truncated Claims and Non-Claims Spending]],TM[[#All],[Reporting Year]],2022,TM[[#All],[Insurance Category Code]],3,TM[[#All],[Large Provider Entity Code]],A46)/I46,"NA")</f>
        <v>NA</v>
      </c>
      <c r="M46" s="7" t="str">
        <f>IFERROR(SUMIFS(TM[[#All],[Total Truncated Claims Spending]],TM[[#All],[Reporting Year]],2022,TM[[#All],[Insurance Category Code]],3,TM[[#All],[Large Provider Entity Code]],A46)/I46,"NA")</f>
        <v>NA</v>
      </c>
      <c r="N46" s="96" t="str">
        <f>IFERROR(SUMIFS(TM[[#All],[Total Truncated Expenses]],TM[[#All],[Reporting Year]],2022,TM[[#All],[Insurance Category Code]],3,TM[[#All],[Large Provider Entity Code]],A46)/I46,"NA")</f>
        <v>NA</v>
      </c>
      <c r="O46" s="518">
        <f t="shared" si="33"/>
        <v>0</v>
      </c>
      <c r="P46" s="243" t="str">
        <f t="shared" si="27"/>
        <v>NA</v>
      </c>
      <c r="Q46" s="97" t="str">
        <f t="shared" si="28"/>
        <v>NA</v>
      </c>
      <c r="R46" s="97" t="str">
        <f t="shared" si="29"/>
        <v>NA</v>
      </c>
      <c r="S46" s="97" t="str">
        <f t="shared" si="30"/>
        <v>NA</v>
      </c>
      <c r="T46" s="97" t="str">
        <f t="shared" si="31"/>
        <v>NA</v>
      </c>
      <c r="U46" s="97" t="str">
        <f t="shared" si="32"/>
        <v>NA</v>
      </c>
    </row>
    <row r="47" spans="1:21" x14ac:dyDescent="0.25">
      <c r="A47" s="218">
        <v>106</v>
      </c>
      <c r="B47" s="495" t="s">
        <v>74</v>
      </c>
      <c r="C47" s="95">
        <f>SUMIFS(TM[[#All],[Member Months]],TM[[#All],[Reporting Year]],2021,TM[[#All],[Insurance Category Code]],3,TM[[#All],[Large Provider Entity Code]],A47)</f>
        <v>0</v>
      </c>
      <c r="D47" s="7" t="str">
        <f>IFERROR(SUMIFS(TM[[#All],[Total Non-Truncated Claims Spending]],TM[[#All],[Reporting Year]],2021,TM[[#All],[Insurance Category Code]],3,TM[[#All],[Large Provider Entity Code]],A47)/C47,"NA")</f>
        <v>NA</v>
      </c>
      <c r="E47" s="7" t="str">
        <f>IFERROR(SUMIFS(TM[[#All],[Total Non-Claims Spending]],TM[[#All],[Reporting Year]],2021,TM[[#All],[Insurance Category Code]],3,TM[[#All],[Large Provider Entity Code]],A47)/C47,"NA")</f>
        <v>NA</v>
      </c>
      <c r="F47" s="7" t="str">
        <f>IFERROR(SUMIFS(TM[[#All],[Total Non-Truncated Claims and Non-Claims Spending]],TM[[#All],[Reporting Year]],2021,TM[[#All],[Insurance Category Code]],3,TM[[#All],[Large Provider Entity Code]],A47)/C47,"NA")</f>
        <v>NA</v>
      </c>
      <c r="G47" s="7" t="str">
        <f>IFERROR(SUMIFS(TM[[#All],[Total Truncated Claims Spending]],TM[[#All],[Reporting Year]],2021,TM[[#All],[Insurance Category Code]],3,TM[[#All],[Large Provider Entity Code]],A47)/C47,"NA")</f>
        <v>NA</v>
      </c>
      <c r="H47" s="96" t="str">
        <f>IFERROR(SUMIFS(TM[[#All],[Total Truncated Expenses]],TM[[#All],[Reporting Year]],2021,TM[[#All],[Insurance Category Code]],3,TM[[#All],[Large Provider Entity Code]],A47)/C47,"NA")</f>
        <v>NA</v>
      </c>
      <c r="I47" s="95">
        <f>SUMIFS(TM[[#All],[Member Months]],TM[[#All],[Reporting Year]],2022,TM[[#All],[Insurance Category Code]],3,TM[[#All],[Large Provider Entity Code]],A47)</f>
        <v>0</v>
      </c>
      <c r="J47" s="7" t="str">
        <f>IFERROR(SUMIFS(TM[[#All],[Total Non-Truncated Claims Spending]],TM[[#All],[Reporting Year]],2022,TM[[#All],[Insurance Category Code]],3,TM[[#All],[Large Provider Entity Code]],A47)/I47,"NA")</f>
        <v>NA</v>
      </c>
      <c r="K47" s="7" t="str">
        <f>IFERROR(SUMIFS(TM[[#All],[Total Non-Claims Spending]],TM[[#All],[Reporting Year]],2022,TM[[#All],[Insurance Category Code]],3,TM[[#All],[Large Provider Entity Code]],A47)/I47,"NA")</f>
        <v>NA</v>
      </c>
      <c r="L47" s="7" t="str">
        <f>IFERROR(SUMIFS(TM[[#All],[Total Non-Truncated Claims and Non-Claims Spending]],TM[[#All],[Reporting Year]],2022,TM[[#All],[Insurance Category Code]],3,TM[[#All],[Large Provider Entity Code]],A47)/I47,"NA")</f>
        <v>NA</v>
      </c>
      <c r="M47" s="7" t="str">
        <f>IFERROR(SUMIFS(TM[[#All],[Total Truncated Claims Spending]],TM[[#All],[Reporting Year]],2022,TM[[#All],[Insurance Category Code]],3,TM[[#All],[Large Provider Entity Code]],A47)/I47,"NA")</f>
        <v>NA</v>
      </c>
      <c r="N47" s="96" t="str">
        <f>IFERROR(SUMIFS(TM[[#All],[Total Truncated Expenses]],TM[[#All],[Reporting Year]],2022,TM[[#All],[Insurance Category Code]],3,TM[[#All],[Large Provider Entity Code]],A47)/I47,"NA")</f>
        <v>NA</v>
      </c>
      <c r="O47" s="518">
        <f t="shared" si="33"/>
        <v>0</v>
      </c>
      <c r="P47" s="243" t="str">
        <f t="shared" si="27"/>
        <v>NA</v>
      </c>
      <c r="Q47" s="97" t="str">
        <f t="shared" si="28"/>
        <v>NA</v>
      </c>
      <c r="R47" s="97" t="str">
        <f t="shared" si="29"/>
        <v>NA</v>
      </c>
      <c r="S47" s="97" t="str">
        <f t="shared" si="30"/>
        <v>NA</v>
      </c>
      <c r="T47" s="97" t="str">
        <f t="shared" si="31"/>
        <v>NA</v>
      </c>
      <c r="U47" s="97" t="str">
        <f t="shared" si="32"/>
        <v>NA</v>
      </c>
    </row>
    <row r="48" spans="1:21" ht="30" x14ac:dyDescent="0.25">
      <c r="A48" s="218">
        <v>107</v>
      </c>
      <c r="B48" s="495" t="s">
        <v>75</v>
      </c>
      <c r="C48" s="95">
        <f>SUMIFS(TM[[#All],[Member Months]],TM[[#All],[Reporting Year]],2021,TM[[#All],[Insurance Category Code]],3,TM[[#All],[Large Provider Entity Code]],A48)</f>
        <v>0</v>
      </c>
      <c r="D48" s="7" t="str">
        <f>IFERROR(SUMIFS(TM[[#All],[Total Non-Truncated Claims Spending]],TM[[#All],[Reporting Year]],2021,TM[[#All],[Insurance Category Code]],3,TM[[#All],[Large Provider Entity Code]],A48)/C48,"NA")</f>
        <v>NA</v>
      </c>
      <c r="E48" s="7" t="str">
        <f>IFERROR(SUMIFS(TM[[#All],[Total Non-Claims Spending]],TM[[#All],[Reporting Year]],2021,TM[[#All],[Insurance Category Code]],3,TM[[#All],[Large Provider Entity Code]],A48)/C48,"NA")</f>
        <v>NA</v>
      </c>
      <c r="F48" s="7" t="str">
        <f>IFERROR(SUMIFS(TM[[#All],[Total Non-Truncated Claims and Non-Claims Spending]],TM[[#All],[Reporting Year]],2021,TM[[#All],[Insurance Category Code]],3,TM[[#All],[Large Provider Entity Code]],A48)/C48,"NA")</f>
        <v>NA</v>
      </c>
      <c r="G48" s="7" t="str">
        <f>IFERROR(SUMIFS(TM[[#All],[Total Truncated Claims Spending]],TM[[#All],[Reporting Year]],2021,TM[[#All],[Insurance Category Code]],3,TM[[#All],[Large Provider Entity Code]],A48)/C48,"NA")</f>
        <v>NA</v>
      </c>
      <c r="H48" s="96" t="str">
        <f>IFERROR(SUMIFS(TM[[#All],[Total Truncated Expenses]],TM[[#All],[Reporting Year]],2021,TM[[#All],[Insurance Category Code]],3,TM[[#All],[Large Provider Entity Code]],A48)/C48,"NA")</f>
        <v>NA</v>
      </c>
      <c r="I48" s="95">
        <f>SUMIFS(TM[[#All],[Member Months]],TM[[#All],[Reporting Year]],2022,TM[[#All],[Insurance Category Code]],3,TM[[#All],[Large Provider Entity Code]],A48)</f>
        <v>0</v>
      </c>
      <c r="J48" s="7" t="str">
        <f>IFERROR(SUMIFS(TM[[#All],[Total Non-Truncated Claims Spending]],TM[[#All],[Reporting Year]],2022,TM[[#All],[Insurance Category Code]],3,TM[[#All],[Large Provider Entity Code]],A48)/I48,"NA")</f>
        <v>NA</v>
      </c>
      <c r="K48" s="7" t="str">
        <f>IFERROR(SUMIFS(TM[[#All],[Total Non-Claims Spending]],TM[[#All],[Reporting Year]],2022,TM[[#All],[Insurance Category Code]],3,TM[[#All],[Large Provider Entity Code]],A48)/I48,"NA")</f>
        <v>NA</v>
      </c>
      <c r="L48" s="7" t="str">
        <f>IFERROR(SUMIFS(TM[[#All],[Total Non-Truncated Claims and Non-Claims Spending]],TM[[#All],[Reporting Year]],2022,TM[[#All],[Insurance Category Code]],3,TM[[#All],[Large Provider Entity Code]],A48)/I48,"NA")</f>
        <v>NA</v>
      </c>
      <c r="M48" s="7" t="str">
        <f>IFERROR(SUMIFS(TM[[#All],[Total Truncated Claims Spending]],TM[[#All],[Reporting Year]],2022,TM[[#All],[Insurance Category Code]],3,TM[[#All],[Large Provider Entity Code]],A48)/I48,"NA")</f>
        <v>NA</v>
      </c>
      <c r="N48" s="96" t="str">
        <f>IFERROR(SUMIFS(TM[[#All],[Total Truncated Expenses]],TM[[#All],[Reporting Year]],2022,TM[[#All],[Insurance Category Code]],3,TM[[#All],[Large Provider Entity Code]],A48)/I48,"NA")</f>
        <v>NA</v>
      </c>
      <c r="O48" s="518">
        <f t="shared" si="33"/>
        <v>0</v>
      </c>
      <c r="P48" s="243" t="str">
        <f t="shared" si="27"/>
        <v>NA</v>
      </c>
      <c r="Q48" s="97" t="str">
        <f t="shared" si="28"/>
        <v>NA</v>
      </c>
      <c r="R48" s="97" t="str">
        <f t="shared" si="29"/>
        <v>NA</v>
      </c>
      <c r="S48" s="97" t="str">
        <f t="shared" si="30"/>
        <v>NA</v>
      </c>
      <c r="T48" s="97" t="str">
        <f t="shared" si="31"/>
        <v>NA</v>
      </c>
      <c r="U48" s="97" t="str">
        <f t="shared" si="32"/>
        <v>NA</v>
      </c>
    </row>
    <row r="49" spans="1:21" x14ac:dyDescent="0.25">
      <c r="A49" s="218">
        <v>108</v>
      </c>
      <c r="B49" s="495" t="s">
        <v>612</v>
      </c>
      <c r="C49" s="95">
        <f>SUMIFS(TM[[#All],[Member Months]],TM[[#All],[Reporting Year]],2021,TM[[#All],[Insurance Category Code]],3,TM[[#All],[Large Provider Entity Code]],A49)</f>
        <v>0</v>
      </c>
      <c r="D49" s="7" t="str">
        <f>IFERROR(SUMIFS(TM[[#All],[Total Non-Truncated Claims Spending]],TM[[#All],[Reporting Year]],2021,TM[[#All],[Insurance Category Code]],3,TM[[#All],[Large Provider Entity Code]],A49)/C49,"NA")</f>
        <v>NA</v>
      </c>
      <c r="E49" s="7" t="str">
        <f>IFERROR(SUMIFS(TM[[#All],[Total Non-Claims Spending]],TM[[#All],[Reporting Year]],2021,TM[[#All],[Insurance Category Code]],3,TM[[#All],[Large Provider Entity Code]],A49)/C49,"NA")</f>
        <v>NA</v>
      </c>
      <c r="F49" s="7" t="str">
        <f>IFERROR(SUMIFS(TM[[#All],[Total Non-Truncated Claims and Non-Claims Spending]],TM[[#All],[Reporting Year]],2021,TM[[#All],[Insurance Category Code]],3,TM[[#All],[Large Provider Entity Code]],A49)/C49,"NA")</f>
        <v>NA</v>
      </c>
      <c r="G49" s="7" t="str">
        <f>IFERROR(SUMIFS(TM[[#All],[Total Truncated Claims Spending]],TM[[#All],[Reporting Year]],2021,TM[[#All],[Insurance Category Code]],3,TM[[#All],[Large Provider Entity Code]],A49)/C49,"NA")</f>
        <v>NA</v>
      </c>
      <c r="H49" s="96" t="str">
        <f>IFERROR(SUMIFS(TM[[#All],[Total Truncated Expenses]],TM[[#All],[Reporting Year]],2021,TM[[#All],[Insurance Category Code]],3,TM[[#All],[Large Provider Entity Code]],A49)/C49,"NA")</f>
        <v>NA</v>
      </c>
      <c r="I49" s="95">
        <f>SUMIFS(TM[[#All],[Member Months]],TM[[#All],[Reporting Year]],2022,TM[[#All],[Insurance Category Code]],3,TM[[#All],[Large Provider Entity Code]],A49)</f>
        <v>0</v>
      </c>
      <c r="J49" s="7" t="str">
        <f>IFERROR(SUMIFS(TM[[#All],[Total Non-Truncated Claims Spending]],TM[[#All],[Reporting Year]],2022,TM[[#All],[Insurance Category Code]],3,TM[[#All],[Large Provider Entity Code]],A49)/I49,"NA")</f>
        <v>NA</v>
      </c>
      <c r="K49" s="7" t="str">
        <f>IFERROR(SUMIFS(TM[[#All],[Total Non-Claims Spending]],TM[[#All],[Reporting Year]],2022,TM[[#All],[Insurance Category Code]],3,TM[[#All],[Large Provider Entity Code]],A49)/I49,"NA")</f>
        <v>NA</v>
      </c>
      <c r="L49" s="7" t="str">
        <f>IFERROR(SUMIFS(TM[[#All],[Total Non-Truncated Claims and Non-Claims Spending]],TM[[#All],[Reporting Year]],2022,TM[[#All],[Insurance Category Code]],3,TM[[#All],[Large Provider Entity Code]],A49)/I49,"NA")</f>
        <v>NA</v>
      </c>
      <c r="M49" s="7" t="str">
        <f>IFERROR(SUMIFS(TM[[#All],[Total Truncated Claims Spending]],TM[[#All],[Reporting Year]],2022,TM[[#All],[Insurance Category Code]],3,TM[[#All],[Large Provider Entity Code]],A49)/I49,"NA")</f>
        <v>NA</v>
      </c>
      <c r="N49" s="96" t="str">
        <f>IFERROR(SUMIFS(TM[[#All],[Total Truncated Expenses]],TM[[#All],[Reporting Year]],2022,TM[[#All],[Insurance Category Code]],3,TM[[#All],[Large Provider Entity Code]],A49)/I49,"NA")</f>
        <v>NA</v>
      </c>
      <c r="O49" s="518">
        <f t="shared" si="33"/>
        <v>0</v>
      </c>
      <c r="P49" s="243" t="str">
        <f t="shared" si="27"/>
        <v>NA</v>
      </c>
      <c r="Q49" s="97" t="str">
        <f t="shared" si="28"/>
        <v>NA</v>
      </c>
      <c r="R49" s="97" t="str">
        <f t="shared" si="29"/>
        <v>NA</v>
      </c>
      <c r="S49" s="97" t="str">
        <f t="shared" si="30"/>
        <v>NA</v>
      </c>
      <c r="T49" s="97" t="str">
        <f t="shared" si="31"/>
        <v>NA</v>
      </c>
      <c r="U49" s="97" t="str">
        <f t="shared" si="32"/>
        <v>NA</v>
      </c>
    </row>
    <row r="50" spans="1:21" x14ac:dyDescent="0.25">
      <c r="A50" s="218">
        <v>109</v>
      </c>
      <c r="B50" s="566" t="s">
        <v>76</v>
      </c>
      <c r="C50" s="95">
        <f>SUMIFS(TM[[#All],[Member Months]],TM[[#All],[Reporting Year]],2021,TM[[#All],[Insurance Category Code]],3,TM[[#All],[Large Provider Entity Code]],A50)</f>
        <v>0</v>
      </c>
      <c r="D50" s="7" t="str">
        <f>IFERROR(SUMIFS(TM[[#All],[Total Non-Truncated Claims Spending]],TM[[#All],[Reporting Year]],2021,TM[[#All],[Insurance Category Code]],3,TM[[#All],[Large Provider Entity Code]],A50)/C50,"NA")</f>
        <v>NA</v>
      </c>
      <c r="E50" s="7" t="str">
        <f>IFERROR(SUMIFS(TM[[#All],[Total Non-Claims Spending]],TM[[#All],[Reporting Year]],2021,TM[[#All],[Insurance Category Code]],3,TM[[#All],[Large Provider Entity Code]],A50)/C50,"NA")</f>
        <v>NA</v>
      </c>
      <c r="F50" s="7" t="str">
        <f>IFERROR(SUMIFS(TM[[#All],[Total Non-Truncated Claims and Non-Claims Spending]],TM[[#All],[Reporting Year]],2021,TM[[#All],[Insurance Category Code]],3,TM[[#All],[Large Provider Entity Code]],A50)/C50,"NA")</f>
        <v>NA</v>
      </c>
      <c r="G50" s="7" t="str">
        <f>IFERROR(SUMIFS(TM[[#All],[Total Truncated Claims Spending]],TM[[#All],[Reporting Year]],2021,TM[[#All],[Insurance Category Code]],3,TM[[#All],[Large Provider Entity Code]],A50)/C50,"NA")</f>
        <v>NA</v>
      </c>
      <c r="H50" s="96" t="str">
        <f>IFERROR(SUMIFS(TM[[#All],[Total Truncated Expenses]],TM[[#All],[Reporting Year]],2021,TM[[#All],[Insurance Category Code]],3,TM[[#All],[Large Provider Entity Code]],A50)/C50,"NA")</f>
        <v>NA</v>
      </c>
      <c r="I50" s="95">
        <f>SUMIFS(TM[[#All],[Member Months]],TM[[#All],[Reporting Year]],2022,TM[[#All],[Insurance Category Code]],3,TM[[#All],[Large Provider Entity Code]],A50)</f>
        <v>0</v>
      </c>
      <c r="J50" s="7" t="str">
        <f>IFERROR(SUMIFS(TM[[#All],[Total Non-Truncated Claims Spending]],TM[[#All],[Reporting Year]],2022,TM[[#All],[Insurance Category Code]],3,TM[[#All],[Large Provider Entity Code]],A50)/I50,"NA")</f>
        <v>NA</v>
      </c>
      <c r="K50" s="7" t="str">
        <f>IFERROR(SUMIFS(TM[[#All],[Total Non-Claims Spending]],TM[[#All],[Reporting Year]],2022,TM[[#All],[Insurance Category Code]],3,TM[[#All],[Large Provider Entity Code]],A50)/I50,"NA")</f>
        <v>NA</v>
      </c>
      <c r="L50" s="7" t="str">
        <f>IFERROR(SUMIFS(TM[[#All],[Total Non-Truncated Claims and Non-Claims Spending]],TM[[#All],[Reporting Year]],2022,TM[[#All],[Insurance Category Code]],3,TM[[#All],[Large Provider Entity Code]],A50)/I50,"NA")</f>
        <v>NA</v>
      </c>
      <c r="M50" s="7" t="str">
        <f>IFERROR(SUMIFS(TM[[#All],[Total Truncated Claims Spending]],TM[[#All],[Reporting Year]],2022,TM[[#All],[Insurance Category Code]],3,TM[[#All],[Large Provider Entity Code]],A50)/I50,"NA")</f>
        <v>NA</v>
      </c>
      <c r="N50" s="96" t="str">
        <f>IFERROR(SUMIFS(TM[[#All],[Total Truncated Expenses]],TM[[#All],[Reporting Year]],2022,TM[[#All],[Insurance Category Code]],3,TM[[#All],[Large Provider Entity Code]],A50)/I50,"NA")</f>
        <v>NA</v>
      </c>
      <c r="O50" s="518">
        <f t="shared" si="33"/>
        <v>0</v>
      </c>
      <c r="P50" s="243" t="str">
        <f t="shared" si="27"/>
        <v>NA</v>
      </c>
      <c r="Q50" s="97" t="str">
        <f t="shared" si="28"/>
        <v>NA</v>
      </c>
      <c r="R50" s="97" t="str">
        <f t="shared" si="29"/>
        <v>NA</v>
      </c>
      <c r="S50" s="97" t="str">
        <f t="shared" si="30"/>
        <v>NA</v>
      </c>
      <c r="T50" s="97" t="str">
        <f t="shared" si="31"/>
        <v>NA</v>
      </c>
      <c r="U50" s="97" t="str">
        <f t="shared" si="32"/>
        <v>NA</v>
      </c>
    </row>
    <row r="51" spans="1:21" x14ac:dyDescent="0.25">
      <c r="A51" s="218">
        <v>110</v>
      </c>
      <c r="B51" s="495" t="s">
        <v>77</v>
      </c>
      <c r="C51" s="95">
        <f>SUMIFS(TM[[#All],[Member Months]],TM[[#All],[Reporting Year]],2021,TM[[#All],[Insurance Category Code]],3,TM[[#All],[Large Provider Entity Code]],A51)</f>
        <v>0</v>
      </c>
      <c r="D51" s="7" t="str">
        <f>IFERROR(SUMIFS(TM[[#All],[Total Non-Truncated Claims Spending]],TM[[#All],[Reporting Year]],2021,TM[[#All],[Insurance Category Code]],3,TM[[#All],[Large Provider Entity Code]],A51)/C51,"NA")</f>
        <v>NA</v>
      </c>
      <c r="E51" s="7" t="str">
        <f>IFERROR(SUMIFS(TM[[#All],[Total Non-Claims Spending]],TM[[#All],[Reporting Year]],2021,TM[[#All],[Insurance Category Code]],3,TM[[#All],[Large Provider Entity Code]],A51)/C51,"NA")</f>
        <v>NA</v>
      </c>
      <c r="F51" s="7" t="str">
        <f>IFERROR(SUMIFS(TM[[#All],[Total Non-Truncated Claims and Non-Claims Spending]],TM[[#All],[Reporting Year]],2021,TM[[#All],[Insurance Category Code]],3,TM[[#All],[Large Provider Entity Code]],A51)/C51,"NA")</f>
        <v>NA</v>
      </c>
      <c r="G51" s="7" t="str">
        <f>IFERROR(SUMIFS(TM[[#All],[Total Truncated Claims Spending]],TM[[#All],[Reporting Year]],2021,TM[[#All],[Insurance Category Code]],3,TM[[#All],[Large Provider Entity Code]],A51)/C51,"NA")</f>
        <v>NA</v>
      </c>
      <c r="H51" s="96" t="str">
        <f>IFERROR(SUMIFS(TM[[#All],[Total Truncated Expenses]],TM[[#All],[Reporting Year]],2021,TM[[#All],[Insurance Category Code]],3,TM[[#All],[Large Provider Entity Code]],A51)/C51,"NA")</f>
        <v>NA</v>
      </c>
      <c r="I51" s="95">
        <f>SUMIFS(TM[[#All],[Member Months]],TM[[#All],[Reporting Year]],2022,TM[[#All],[Insurance Category Code]],3,TM[[#All],[Large Provider Entity Code]],A51)</f>
        <v>0</v>
      </c>
      <c r="J51" s="7" t="str">
        <f>IFERROR(SUMIFS(TM[[#All],[Total Non-Truncated Claims Spending]],TM[[#All],[Reporting Year]],2022,TM[[#All],[Insurance Category Code]],3,TM[[#All],[Large Provider Entity Code]],A51)/I51,"NA")</f>
        <v>NA</v>
      </c>
      <c r="K51" s="7" t="str">
        <f>IFERROR(SUMIFS(TM[[#All],[Total Non-Claims Spending]],TM[[#All],[Reporting Year]],2022,TM[[#All],[Insurance Category Code]],3,TM[[#All],[Large Provider Entity Code]],A51)/I51,"NA")</f>
        <v>NA</v>
      </c>
      <c r="L51" s="7" t="str">
        <f>IFERROR(SUMIFS(TM[[#All],[Total Non-Truncated Claims and Non-Claims Spending]],TM[[#All],[Reporting Year]],2022,TM[[#All],[Insurance Category Code]],3,TM[[#All],[Large Provider Entity Code]],A51)/I51,"NA")</f>
        <v>NA</v>
      </c>
      <c r="M51" s="7" t="str">
        <f>IFERROR(SUMIFS(TM[[#All],[Total Truncated Claims Spending]],TM[[#All],[Reporting Year]],2022,TM[[#All],[Insurance Category Code]],3,TM[[#All],[Large Provider Entity Code]],A51)/I51,"NA")</f>
        <v>NA</v>
      </c>
      <c r="N51" s="96" t="str">
        <f>IFERROR(SUMIFS(TM[[#All],[Total Truncated Expenses]],TM[[#All],[Reporting Year]],2022,TM[[#All],[Insurance Category Code]],3,TM[[#All],[Large Provider Entity Code]],A51)/I51,"NA")</f>
        <v>NA</v>
      </c>
      <c r="O51" s="518">
        <f t="shared" si="33"/>
        <v>0</v>
      </c>
      <c r="P51" s="243" t="str">
        <f t="shared" si="27"/>
        <v>NA</v>
      </c>
      <c r="Q51" s="97" t="str">
        <f t="shared" si="28"/>
        <v>NA</v>
      </c>
      <c r="R51" s="97" t="str">
        <f t="shared" si="29"/>
        <v>NA</v>
      </c>
      <c r="S51" s="97" t="str">
        <f t="shared" si="30"/>
        <v>NA</v>
      </c>
      <c r="T51" s="97" t="str">
        <f t="shared" si="31"/>
        <v>NA</v>
      </c>
      <c r="U51" s="97" t="str">
        <f t="shared" si="32"/>
        <v>NA</v>
      </c>
    </row>
    <row r="52" spans="1:21" x14ac:dyDescent="0.25">
      <c r="A52" s="218">
        <v>111</v>
      </c>
      <c r="B52" s="566" t="s">
        <v>78</v>
      </c>
      <c r="C52" s="95">
        <f>SUMIFS(TM[[#All],[Member Months]],TM[[#All],[Reporting Year]],2021,TM[[#All],[Insurance Category Code]],3,TM[[#All],[Large Provider Entity Code]],A52)</f>
        <v>0</v>
      </c>
      <c r="D52" s="7" t="str">
        <f>IFERROR(SUMIFS(TM[[#All],[Total Non-Truncated Claims Spending]],TM[[#All],[Reporting Year]],2021,TM[[#All],[Insurance Category Code]],3,TM[[#All],[Large Provider Entity Code]],A52)/C52,"NA")</f>
        <v>NA</v>
      </c>
      <c r="E52" s="7" t="str">
        <f>IFERROR(SUMIFS(TM[[#All],[Total Non-Claims Spending]],TM[[#All],[Reporting Year]],2021,TM[[#All],[Insurance Category Code]],3,TM[[#All],[Large Provider Entity Code]],A52)/C52,"NA")</f>
        <v>NA</v>
      </c>
      <c r="F52" s="7" t="str">
        <f>IFERROR(SUMIFS(TM[[#All],[Total Non-Truncated Claims and Non-Claims Spending]],TM[[#All],[Reporting Year]],2021,TM[[#All],[Insurance Category Code]],3,TM[[#All],[Large Provider Entity Code]],A52)/C52,"NA")</f>
        <v>NA</v>
      </c>
      <c r="G52" s="7" t="str">
        <f>IFERROR(SUMIFS(TM[[#All],[Total Truncated Claims Spending]],TM[[#All],[Reporting Year]],2021,TM[[#All],[Insurance Category Code]],3,TM[[#All],[Large Provider Entity Code]],A52)/C52,"NA")</f>
        <v>NA</v>
      </c>
      <c r="H52" s="96" t="str">
        <f>IFERROR(SUMIFS(TM[[#All],[Total Truncated Expenses]],TM[[#All],[Reporting Year]],2021,TM[[#All],[Insurance Category Code]],3,TM[[#All],[Large Provider Entity Code]],A52)/C52,"NA")</f>
        <v>NA</v>
      </c>
      <c r="I52" s="95">
        <f>SUMIFS(TM[[#All],[Member Months]],TM[[#All],[Reporting Year]],2022,TM[[#All],[Insurance Category Code]],3,TM[[#All],[Large Provider Entity Code]],A52)</f>
        <v>0</v>
      </c>
      <c r="J52" s="7" t="str">
        <f>IFERROR(SUMIFS(TM[[#All],[Total Non-Truncated Claims Spending]],TM[[#All],[Reporting Year]],2022,TM[[#All],[Insurance Category Code]],3,TM[[#All],[Large Provider Entity Code]],A52)/I52,"NA")</f>
        <v>NA</v>
      </c>
      <c r="K52" s="7" t="str">
        <f>IFERROR(SUMIFS(TM[[#All],[Total Non-Claims Spending]],TM[[#All],[Reporting Year]],2022,TM[[#All],[Insurance Category Code]],3,TM[[#All],[Large Provider Entity Code]],A52)/I52,"NA")</f>
        <v>NA</v>
      </c>
      <c r="L52" s="7" t="str">
        <f>IFERROR(SUMIFS(TM[[#All],[Total Non-Truncated Claims and Non-Claims Spending]],TM[[#All],[Reporting Year]],2022,TM[[#All],[Insurance Category Code]],3,TM[[#All],[Large Provider Entity Code]],A52)/I52,"NA")</f>
        <v>NA</v>
      </c>
      <c r="M52" s="7" t="str">
        <f>IFERROR(SUMIFS(TM[[#All],[Total Truncated Claims Spending]],TM[[#All],[Reporting Year]],2022,TM[[#All],[Insurance Category Code]],3,TM[[#All],[Large Provider Entity Code]],A52)/I52,"NA")</f>
        <v>NA</v>
      </c>
      <c r="N52" s="96" t="str">
        <f>IFERROR(SUMIFS(TM[[#All],[Total Truncated Expenses]],TM[[#All],[Reporting Year]],2022,TM[[#All],[Insurance Category Code]],3,TM[[#All],[Large Provider Entity Code]],A52)/I52,"NA")</f>
        <v>NA</v>
      </c>
      <c r="O52" s="518">
        <f t="shared" si="33"/>
        <v>0</v>
      </c>
      <c r="P52" s="243" t="str">
        <f t="shared" si="27"/>
        <v>NA</v>
      </c>
      <c r="Q52" s="97" t="str">
        <f t="shared" si="28"/>
        <v>NA</v>
      </c>
      <c r="R52" s="97" t="str">
        <f t="shared" si="29"/>
        <v>NA</v>
      </c>
      <c r="S52" s="97" t="str">
        <f t="shared" si="30"/>
        <v>NA</v>
      </c>
      <c r="T52" s="97" t="str">
        <f t="shared" si="31"/>
        <v>NA</v>
      </c>
      <c r="U52" s="97" t="str">
        <f t="shared" si="32"/>
        <v>NA</v>
      </c>
    </row>
    <row r="53" spans="1:21" x14ac:dyDescent="0.25">
      <c r="A53" s="218">
        <v>112</v>
      </c>
      <c r="B53" s="566" t="s">
        <v>613</v>
      </c>
      <c r="C53" s="95">
        <f>SUMIFS(TM[[#All],[Member Months]],TM[[#All],[Reporting Year]],2021,TM[[#All],[Insurance Category Code]],3,TM[[#All],[Large Provider Entity Code]],A53)</f>
        <v>0</v>
      </c>
      <c r="D53" s="7" t="str">
        <f>IFERROR(SUMIFS(TM[[#All],[Total Non-Truncated Claims Spending]],TM[[#All],[Reporting Year]],2021,TM[[#All],[Insurance Category Code]],3,TM[[#All],[Large Provider Entity Code]],A53)/C53,"NA")</f>
        <v>NA</v>
      </c>
      <c r="E53" s="7" t="str">
        <f>IFERROR(SUMIFS(TM[[#All],[Total Non-Claims Spending]],TM[[#All],[Reporting Year]],2021,TM[[#All],[Insurance Category Code]],3,TM[[#All],[Large Provider Entity Code]],A53)/C53,"NA")</f>
        <v>NA</v>
      </c>
      <c r="F53" s="7" t="str">
        <f>IFERROR(SUMIFS(TM[[#All],[Total Non-Truncated Claims and Non-Claims Spending]],TM[[#All],[Reporting Year]],2021,TM[[#All],[Insurance Category Code]],3,TM[[#All],[Large Provider Entity Code]],A53)/C53,"NA")</f>
        <v>NA</v>
      </c>
      <c r="G53" s="7" t="str">
        <f>IFERROR(SUMIFS(TM[[#All],[Total Truncated Claims Spending]],TM[[#All],[Reporting Year]],2021,TM[[#All],[Insurance Category Code]],3,TM[[#All],[Large Provider Entity Code]],A53)/C53,"NA")</f>
        <v>NA</v>
      </c>
      <c r="H53" s="96" t="str">
        <f>IFERROR(SUMIFS(TM[[#All],[Total Truncated Expenses]],TM[[#All],[Reporting Year]],2021,TM[[#All],[Insurance Category Code]],3,TM[[#All],[Large Provider Entity Code]],A53)/C53,"NA")</f>
        <v>NA</v>
      </c>
      <c r="I53" s="95">
        <f>SUMIFS(TM[[#All],[Member Months]],TM[[#All],[Reporting Year]],2022,TM[[#All],[Insurance Category Code]],3,TM[[#All],[Large Provider Entity Code]],A53)</f>
        <v>0</v>
      </c>
      <c r="J53" s="7" t="str">
        <f>IFERROR(SUMIFS(TM[[#All],[Total Non-Truncated Claims Spending]],TM[[#All],[Reporting Year]],2022,TM[[#All],[Insurance Category Code]],3,TM[[#All],[Large Provider Entity Code]],A53)/I53,"NA")</f>
        <v>NA</v>
      </c>
      <c r="K53" s="7" t="str">
        <f>IFERROR(SUMIFS(TM[[#All],[Total Non-Claims Spending]],TM[[#All],[Reporting Year]],2022,TM[[#All],[Insurance Category Code]],3,TM[[#All],[Large Provider Entity Code]],A53)/I53,"NA")</f>
        <v>NA</v>
      </c>
      <c r="L53" s="7" t="str">
        <f>IFERROR(SUMIFS(TM[[#All],[Total Non-Truncated Claims and Non-Claims Spending]],TM[[#All],[Reporting Year]],2022,TM[[#All],[Insurance Category Code]],3,TM[[#All],[Large Provider Entity Code]],A53)/I53,"NA")</f>
        <v>NA</v>
      </c>
      <c r="M53" s="7" t="str">
        <f>IFERROR(SUMIFS(TM[[#All],[Total Truncated Claims Spending]],TM[[#All],[Reporting Year]],2022,TM[[#All],[Insurance Category Code]],3,TM[[#All],[Large Provider Entity Code]],A53)/I53,"NA")</f>
        <v>NA</v>
      </c>
      <c r="N53" s="96" t="str">
        <f>IFERROR(SUMIFS(TM[[#All],[Total Truncated Expenses]],TM[[#All],[Reporting Year]],2022,TM[[#All],[Insurance Category Code]],3,TM[[#All],[Large Provider Entity Code]],A53)/I53,"NA")</f>
        <v>NA</v>
      </c>
      <c r="O53" s="518">
        <f t="shared" si="33"/>
        <v>0</v>
      </c>
      <c r="P53" s="243" t="str">
        <f t="shared" si="27"/>
        <v>NA</v>
      </c>
      <c r="Q53" s="97" t="str">
        <f t="shared" si="28"/>
        <v>NA</v>
      </c>
      <c r="R53" s="97" t="str">
        <f t="shared" si="29"/>
        <v>NA</v>
      </c>
      <c r="S53" s="97" t="str">
        <f t="shared" si="30"/>
        <v>NA</v>
      </c>
      <c r="T53" s="97" t="str">
        <f t="shared" si="31"/>
        <v>NA</v>
      </c>
      <c r="U53" s="97" t="str">
        <f t="shared" si="32"/>
        <v>NA</v>
      </c>
    </row>
    <row r="54" spans="1:21" x14ac:dyDescent="0.25">
      <c r="A54" s="218">
        <v>115</v>
      </c>
      <c r="B54" s="566" t="s">
        <v>79</v>
      </c>
      <c r="C54" s="95">
        <f>SUMIFS(TM[[#All],[Member Months]],TM[[#All],[Reporting Year]],2021,TM[[#All],[Insurance Category Code]],3,TM[[#All],[Large Provider Entity Code]],A54)</f>
        <v>0</v>
      </c>
      <c r="D54" s="7" t="str">
        <f>IFERROR(SUMIFS(TM[[#All],[Total Non-Truncated Claims Spending]],TM[[#All],[Reporting Year]],2021,TM[[#All],[Insurance Category Code]],3,TM[[#All],[Large Provider Entity Code]],A54)/C54,"NA")</f>
        <v>NA</v>
      </c>
      <c r="E54" s="7" t="str">
        <f>IFERROR(SUMIFS(TM[[#All],[Total Non-Claims Spending]],TM[[#All],[Reporting Year]],2021,TM[[#All],[Insurance Category Code]],3,TM[[#All],[Large Provider Entity Code]],A54)/C54,"NA")</f>
        <v>NA</v>
      </c>
      <c r="F54" s="7" t="str">
        <f>IFERROR(SUMIFS(TM[[#All],[Total Non-Truncated Claims and Non-Claims Spending]],TM[[#All],[Reporting Year]],2021,TM[[#All],[Insurance Category Code]],3,TM[[#All],[Large Provider Entity Code]],A54)/C54,"NA")</f>
        <v>NA</v>
      </c>
      <c r="G54" s="7" t="str">
        <f>IFERROR(SUMIFS(TM[[#All],[Total Truncated Claims Spending]],TM[[#All],[Reporting Year]],2021,TM[[#All],[Insurance Category Code]],3,TM[[#All],[Large Provider Entity Code]],A54)/C54,"NA")</f>
        <v>NA</v>
      </c>
      <c r="H54" s="96" t="str">
        <f>IFERROR(SUMIFS(TM[[#All],[Total Truncated Expenses]],TM[[#All],[Reporting Year]],2021,TM[[#All],[Insurance Category Code]],3,TM[[#All],[Large Provider Entity Code]],A54)/C54,"NA")</f>
        <v>NA</v>
      </c>
      <c r="I54" s="95">
        <f>SUMIFS(TM[[#All],[Member Months]],TM[[#All],[Reporting Year]],2022,TM[[#All],[Insurance Category Code]],3,TM[[#All],[Large Provider Entity Code]],A54)</f>
        <v>0</v>
      </c>
      <c r="J54" s="7" t="str">
        <f>IFERROR(SUMIFS(TM[[#All],[Total Non-Truncated Claims Spending]],TM[[#All],[Reporting Year]],2022,TM[[#All],[Insurance Category Code]],3,TM[[#All],[Large Provider Entity Code]],A54)/I54,"NA")</f>
        <v>NA</v>
      </c>
      <c r="K54" s="7" t="str">
        <f>IFERROR(SUMIFS(TM[[#All],[Total Non-Claims Spending]],TM[[#All],[Reporting Year]],2022,TM[[#All],[Insurance Category Code]],3,TM[[#All],[Large Provider Entity Code]],A54)/I54,"NA")</f>
        <v>NA</v>
      </c>
      <c r="L54" s="7" t="str">
        <f>IFERROR(SUMIFS(TM[[#All],[Total Non-Truncated Claims and Non-Claims Spending]],TM[[#All],[Reporting Year]],2022,TM[[#All],[Insurance Category Code]],3,TM[[#All],[Large Provider Entity Code]],A54)/I54,"NA")</f>
        <v>NA</v>
      </c>
      <c r="M54" s="7" t="str">
        <f>IFERROR(SUMIFS(TM[[#All],[Total Truncated Claims Spending]],TM[[#All],[Reporting Year]],2022,TM[[#All],[Insurance Category Code]],3,TM[[#All],[Large Provider Entity Code]],A54)/I54,"NA")</f>
        <v>NA</v>
      </c>
      <c r="N54" s="96" t="str">
        <f>IFERROR(SUMIFS(TM[[#All],[Total Truncated Expenses]],TM[[#All],[Reporting Year]],2022,TM[[#All],[Insurance Category Code]],3,TM[[#All],[Large Provider Entity Code]],A54)/I54,"NA")</f>
        <v>NA</v>
      </c>
      <c r="O54" s="518">
        <f t="shared" si="33"/>
        <v>0</v>
      </c>
      <c r="P54" s="243" t="str">
        <f t="shared" si="27"/>
        <v>NA</v>
      </c>
      <c r="Q54" s="97" t="str">
        <f t="shared" si="28"/>
        <v>NA</v>
      </c>
      <c r="R54" s="97" t="str">
        <f t="shared" si="29"/>
        <v>NA</v>
      </c>
      <c r="S54" s="97" t="str">
        <f t="shared" si="30"/>
        <v>NA</v>
      </c>
      <c r="T54" s="97" t="str">
        <f t="shared" si="31"/>
        <v>NA</v>
      </c>
      <c r="U54" s="97" t="str">
        <f t="shared" si="32"/>
        <v>NA</v>
      </c>
    </row>
    <row r="55" spans="1:21" x14ac:dyDescent="0.25">
      <c r="A55" s="218">
        <v>116</v>
      </c>
      <c r="B55" s="566" t="s">
        <v>614</v>
      </c>
      <c r="C55" s="95">
        <f>SUMIFS(TM[[#All],[Member Months]],TM[[#All],[Reporting Year]],2021,TM[[#All],[Insurance Category Code]],3,TM[[#All],[Large Provider Entity Code]],A55)</f>
        <v>0</v>
      </c>
      <c r="D55" s="7" t="str">
        <f>IFERROR(SUMIFS(TM[[#All],[Total Non-Truncated Claims Spending]],TM[[#All],[Reporting Year]],2021,TM[[#All],[Insurance Category Code]],3,TM[[#All],[Large Provider Entity Code]],A55)/C55,"NA")</f>
        <v>NA</v>
      </c>
      <c r="E55" s="7" t="str">
        <f>IFERROR(SUMIFS(TM[[#All],[Total Non-Claims Spending]],TM[[#All],[Reporting Year]],2021,TM[[#All],[Insurance Category Code]],3,TM[[#All],[Large Provider Entity Code]],A55)/C55,"NA")</f>
        <v>NA</v>
      </c>
      <c r="F55" s="7" t="str">
        <f>IFERROR(SUMIFS(TM[[#All],[Total Non-Truncated Claims and Non-Claims Spending]],TM[[#All],[Reporting Year]],2021,TM[[#All],[Insurance Category Code]],3,TM[[#All],[Large Provider Entity Code]],A55)/C55,"NA")</f>
        <v>NA</v>
      </c>
      <c r="G55" s="7" t="str">
        <f>IFERROR(SUMIFS(TM[[#All],[Total Truncated Claims Spending]],TM[[#All],[Reporting Year]],2021,TM[[#All],[Insurance Category Code]],3,TM[[#All],[Large Provider Entity Code]],A55)/C55,"NA")</f>
        <v>NA</v>
      </c>
      <c r="H55" s="96" t="str">
        <f>IFERROR(SUMIFS(TM[[#All],[Total Truncated Expenses]],TM[[#All],[Reporting Year]],2021,TM[[#All],[Insurance Category Code]],3,TM[[#All],[Large Provider Entity Code]],A55)/C55,"NA")</f>
        <v>NA</v>
      </c>
      <c r="I55" s="95">
        <f>SUMIFS(TM[[#All],[Member Months]],TM[[#All],[Reporting Year]],2022,TM[[#All],[Insurance Category Code]],3,TM[[#All],[Large Provider Entity Code]],A55)</f>
        <v>0</v>
      </c>
      <c r="J55" s="7" t="str">
        <f>IFERROR(SUMIFS(TM[[#All],[Total Non-Truncated Claims Spending]],TM[[#All],[Reporting Year]],2022,TM[[#All],[Insurance Category Code]],3,TM[[#All],[Large Provider Entity Code]],A55)/I55,"NA")</f>
        <v>NA</v>
      </c>
      <c r="K55" s="7" t="str">
        <f>IFERROR(SUMIFS(TM[[#All],[Total Non-Claims Spending]],TM[[#All],[Reporting Year]],2022,TM[[#All],[Insurance Category Code]],3,TM[[#All],[Large Provider Entity Code]],A55)/I55,"NA")</f>
        <v>NA</v>
      </c>
      <c r="L55" s="7" t="str">
        <f>IFERROR(SUMIFS(TM[[#All],[Total Non-Truncated Claims and Non-Claims Spending]],TM[[#All],[Reporting Year]],2022,TM[[#All],[Insurance Category Code]],3,TM[[#All],[Large Provider Entity Code]],A55)/I55,"NA")</f>
        <v>NA</v>
      </c>
      <c r="M55" s="7" t="str">
        <f>IFERROR(SUMIFS(TM[[#All],[Total Truncated Claims Spending]],TM[[#All],[Reporting Year]],2022,TM[[#All],[Insurance Category Code]],3,TM[[#All],[Large Provider Entity Code]],A55)/I55,"NA")</f>
        <v>NA</v>
      </c>
      <c r="N55" s="96" t="str">
        <f>IFERROR(SUMIFS(TM[[#All],[Total Truncated Expenses]],TM[[#All],[Reporting Year]],2022,TM[[#All],[Insurance Category Code]],3,TM[[#All],[Large Provider Entity Code]],A55)/I55,"NA")</f>
        <v>NA</v>
      </c>
      <c r="O55" s="518">
        <f t="shared" si="33"/>
        <v>0</v>
      </c>
      <c r="P55" s="243" t="str">
        <f t="shared" si="27"/>
        <v>NA</v>
      </c>
      <c r="Q55" s="97" t="str">
        <f t="shared" si="28"/>
        <v>NA</v>
      </c>
      <c r="R55" s="97" t="str">
        <f t="shared" si="29"/>
        <v>NA</v>
      </c>
      <c r="S55" s="97" t="str">
        <f t="shared" si="30"/>
        <v>NA</v>
      </c>
      <c r="T55" s="97" t="str">
        <f t="shared" si="31"/>
        <v>NA</v>
      </c>
      <c r="U55" s="97" t="str">
        <f t="shared" si="32"/>
        <v>NA</v>
      </c>
    </row>
    <row r="56" spans="1:21" x14ac:dyDescent="0.25">
      <c r="A56" s="218">
        <v>118</v>
      </c>
      <c r="B56" s="566" t="s">
        <v>80</v>
      </c>
      <c r="C56" s="95">
        <f>SUMIFS(TM[[#All],[Member Months]],TM[[#All],[Reporting Year]],2021,TM[[#All],[Insurance Category Code]],3,TM[[#All],[Large Provider Entity Code]],A56)</f>
        <v>0</v>
      </c>
      <c r="D56" s="7" t="str">
        <f>IFERROR(SUMIFS(TM[[#All],[Total Non-Truncated Claims Spending]],TM[[#All],[Reporting Year]],2021,TM[[#All],[Insurance Category Code]],3,TM[[#All],[Large Provider Entity Code]],A56)/C56,"NA")</f>
        <v>NA</v>
      </c>
      <c r="E56" s="7" t="str">
        <f>IFERROR(SUMIFS(TM[[#All],[Total Non-Claims Spending]],TM[[#All],[Reporting Year]],2021,TM[[#All],[Insurance Category Code]],3,TM[[#All],[Large Provider Entity Code]],A56)/C56,"NA")</f>
        <v>NA</v>
      </c>
      <c r="F56" s="7" t="str">
        <f>IFERROR(SUMIFS(TM[[#All],[Total Non-Truncated Claims and Non-Claims Spending]],TM[[#All],[Reporting Year]],2021,TM[[#All],[Insurance Category Code]],3,TM[[#All],[Large Provider Entity Code]],A56)/C56,"NA")</f>
        <v>NA</v>
      </c>
      <c r="G56" s="7" t="str">
        <f>IFERROR(SUMIFS(TM[[#All],[Total Truncated Claims Spending]],TM[[#All],[Reporting Year]],2021,TM[[#All],[Insurance Category Code]],3,TM[[#All],[Large Provider Entity Code]],A56)/C56,"NA")</f>
        <v>NA</v>
      </c>
      <c r="H56" s="96" t="str">
        <f>IFERROR(SUMIFS(TM[[#All],[Total Truncated Expenses]],TM[[#All],[Reporting Year]],2021,TM[[#All],[Insurance Category Code]],3,TM[[#All],[Large Provider Entity Code]],A56)/C56,"NA")</f>
        <v>NA</v>
      </c>
      <c r="I56" s="95">
        <f>SUMIFS(TM[[#All],[Member Months]],TM[[#All],[Reporting Year]],2022,TM[[#All],[Insurance Category Code]],3,TM[[#All],[Large Provider Entity Code]],A56)</f>
        <v>0</v>
      </c>
      <c r="J56" s="7" t="str">
        <f>IFERROR(SUMIFS(TM[[#All],[Total Non-Truncated Claims Spending]],TM[[#All],[Reporting Year]],2022,TM[[#All],[Insurance Category Code]],3,TM[[#All],[Large Provider Entity Code]],A56)/I56,"NA")</f>
        <v>NA</v>
      </c>
      <c r="K56" s="7" t="str">
        <f>IFERROR(SUMIFS(TM[[#All],[Total Non-Claims Spending]],TM[[#All],[Reporting Year]],2022,TM[[#All],[Insurance Category Code]],3,TM[[#All],[Large Provider Entity Code]],A56)/I56,"NA")</f>
        <v>NA</v>
      </c>
      <c r="L56" s="7" t="str">
        <f>IFERROR(SUMIFS(TM[[#All],[Total Non-Truncated Claims and Non-Claims Spending]],TM[[#All],[Reporting Year]],2022,TM[[#All],[Insurance Category Code]],3,TM[[#All],[Large Provider Entity Code]],A56)/I56,"NA")</f>
        <v>NA</v>
      </c>
      <c r="M56" s="7" t="str">
        <f>IFERROR(SUMIFS(TM[[#All],[Total Truncated Claims Spending]],TM[[#All],[Reporting Year]],2022,TM[[#All],[Insurance Category Code]],3,TM[[#All],[Large Provider Entity Code]],A56)/I56,"NA")</f>
        <v>NA</v>
      </c>
      <c r="N56" s="96" t="str">
        <f>IFERROR(SUMIFS(TM[[#All],[Total Truncated Expenses]],TM[[#All],[Reporting Year]],2022,TM[[#All],[Insurance Category Code]],3,TM[[#All],[Large Provider Entity Code]],A56)/I56,"NA")</f>
        <v>NA</v>
      </c>
      <c r="O56" s="518">
        <f t="shared" si="33"/>
        <v>0</v>
      </c>
      <c r="P56" s="243" t="str">
        <f t="shared" si="27"/>
        <v>NA</v>
      </c>
      <c r="Q56" s="97" t="str">
        <f t="shared" si="28"/>
        <v>NA</v>
      </c>
      <c r="R56" s="97" t="str">
        <f t="shared" si="29"/>
        <v>NA</v>
      </c>
      <c r="S56" s="97" t="str">
        <f t="shared" si="30"/>
        <v>NA</v>
      </c>
      <c r="T56" s="97" t="str">
        <f t="shared" si="31"/>
        <v>NA</v>
      </c>
      <c r="U56" s="97" t="str">
        <f t="shared" si="32"/>
        <v>NA</v>
      </c>
    </row>
    <row r="57" spans="1:21" x14ac:dyDescent="0.25">
      <c r="A57" s="218">
        <v>119</v>
      </c>
      <c r="B57" s="566" t="s">
        <v>615</v>
      </c>
      <c r="C57" s="95">
        <f>SUMIFS(TM[[#All],[Member Months]],TM[[#All],[Reporting Year]],2021,TM[[#All],[Insurance Category Code]],3,TM[[#All],[Large Provider Entity Code]],A57)</f>
        <v>0</v>
      </c>
      <c r="D57" s="7" t="str">
        <f>IFERROR(SUMIFS(TM[[#All],[Total Non-Truncated Claims Spending]],TM[[#All],[Reporting Year]],2021,TM[[#All],[Insurance Category Code]],3,TM[[#All],[Large Provider Entity Code]],A57)/C57,"NA")</f>
        <v>NA</v>
      </c>
      <c r="E57" s="7" t="str">
        <f>IFERROR(SUMIFS(TM[[#All],[Total Non-Claims Spending]],TM[[#All],[Reporting Year]],2021,TM[[#All],[Insurance Category Code]],3,TM[[#All],[Large Provider Entity Code]],A57)/C57,"NA")</f>
        <v>NA</v>
      </c>
      <c r="F57" s="7" t="str">
        <f>IFERROR(SUMIFS(TM[[#All],[Total Non-Truncated Claims and Non-Claims Spending]],TM[[#All],[Reporting Year]],2021,TM[[#All],[Insurance Category Code]],3,TM[[#All],[Large Provider Entity Code]],A57)/C57,"NA")</f>
        <v>NA</v>
      </c>
      <c r="G57" s="7" t="str">
        <f>IFERROR(SUMIFS(TM[[#All],[Total Truncated Claims Spending]],TM[[#All],[Reporting Year]],2021,TM[[#All],[Insurance Category Code]],3,TM[[#All],[Large Provider Entity Code]],A57)/C57,"NA")</f>
        <v>NA</v>
      </c>
      <c r="H57" s="96" t="str">
        <f>IFERROR(SUMIFS(TM[[#All],[Total Truncated Expenses]],TM[[#All],[Reporting Year]],2021,TM[[#All],[Insurance Category Code]],3,TM[[#All],[Large Provider Entity Code]],A57)/C57,"NA")</f>
        <v>NA</v>
      </c>
      <c r="I57" s="95">
        <f>SUMIFS(TM[[#All],[Member Months]],TM[[#All],[Reporting Year]],2022,TM[[#All],[Insurance Category Code]],3,TM[[#All],[Large Provider Entity Code]],A57)</f>
        <v>0</v>
      </c>
      <c r="J57" s="7" t="str">
        <f>IFERROR(SUMIFS(TM[[#All],[Total Non-Truncated Claims Spending]],TM[[#All],[Reporting Year]],2022,TM[[#All],[Insurance Category Code]],3,TM[[#All],[Large Provider Entity Code]],A57)/I57,"NA")</f>
        <v>NA</v>
      </c>
      <c r="K57" s="7" t="str">
        <f>IFERROR(SUMIFS(TM[[#All],[Total Non-Claims Spending]],TM[[#All],[Reporting Year]],2022,TM[[#All],[Insurance Category Code]],3,TM[[#All],[Large Provider Entity Code]],A57)/I57,"NA")</f>
        <v>NA</v>
      </c>
      <c r="L57" s="7" t="str">
        <f>IFERROR(SUMIFS(TM[[#All],[Total Non-Truncated Claims and Non-Claims Spending]],TM[[#All],[Reporting Year]],2022,TM[[#All],[Insurance Category Code]],3,TM[[#All],[Large Provider Entity Code]],A57)/I57,"NA")</f>
        <v>NA</v>
      </c>
      <c r="M57" s="7" t="str">
        <f>IFERROR(SUMIFS(TM[[#All],[Total Truncated Claims Spending]],TM[[#All],[Reporting Year]],2022,TM[[#All],[Insurance Category Code]],3,TM[[#All],[Large Provider Entity Code]],A57)/I57,"NA")</f>
        <v>NA</v>
      </c>
      <c r="N57" s="96" t="str">
        <f>IFERROR(SUMIFS(TM[[#All],[Total Truncated Expenses]],TM[[#All],[Reporting Year]],2022,TM[[#All],[Insurance Category Code]],3,TM[[#All],[Large Provider Entity Code]],A57)/I57,"NA")</f>
        <v>NA</v>
      </c>
      <c r="O57" s="518">
        <f t="shared" ref="O57" si="34">ABS(C57-I57)</f>
        <v>0</v>
      </c>
      <c r="P57" s="243" t="str">
        <f t="shared" ref="P57" si="35">IFERROR((I57/C57-1),"NA")</f>
        <v>NA</v>
      </c>
      <c r="Q57" s="97" t="str">
        <f t="shared" ref="Q57" si="36">IFERROR((J57/D57-1),"NA")</f>
        <v>NA</v>
      </c>
      <c r="R57" s="97" t="str">
        <f t="shared" ref="R57" si="37">IFERROR((K57/E57-1),"NA")</f>
        <v>NA</v>
      </c>
      <c r="S57" s="97" t="str">
        <f t="shared" ref="S57" si="38">IFERROR((L57/F57-1),"NA")</f>
        <v>NA</v>
      </c>
      <c r="T57" s="97" t="str">
        <f t="shared" ref="T57" si="39">IFERROR((M57/G57-1),"NA")</f>
        <v>NA</v>
      </c>
      <c r="U57" s="97" t="str">
        <f t="shared" ref="U57" si="40">IFERROR((N57/H57-1),"NA")</f>
        <v>NA</v>
      </c>
    </row>
    <row r="58" spans="1:21" x14ac:dyDescent="0.25">
      <c r="A58" s="218">
        <v>120</v>
      </c>
      <c r="B58" s="566" t="s">
        <v>608</v>
      </c>
      <c r="C58" s="95">
        <f>SUMIFS(TM[[#All],[Member Months]],TM[[#All],[Reporting Year]],2021,TM[[#All],[Insurance Category Code]],3,TM[[#All],[Large Provider Entity Code]],A58)</f>
        <v>0</v>
      </c>
      <c r="D58" s="7" t="str">
        <f>IFERROR(SUMIFS(TM[[#All],[Total Non-Truncated Claims Spending]],TM[[#All],[Reporting Year]],2021,TM[[#All],[Insurance Category Code]],3,TM[[#All],[Large Provider Entity Code]],A58)/C58,"NA")</f>
        <v>NA</v>
      </c>
      <c r="E58" s="7" t="str">
        <f>IFERROR(SUMIFS(TM[[#All],[Total Non-Claims Spending]],TM[[#All],[Reporting Year]],2021,TM[[#All],[Insurance Category Code]],3,TM[[#All],[Large Provider Entity Code]],A58)/C58,"NA")</f>
        <v>NA</v>
      </c>
      <c r="F58" s="7" t="str">
        <f>IFERROR(SUMIFS(TM[[#All],[Total Non-Truncated Claims and Non-Claims Spending]],TM[[#All],[Reporting Year]],2021,TM[[#All],[Insurance Category Code]],3,TM[[#All],[Large Provider Entity Code]],A58)/C58,"NA")</f>
        <v>NA</v>
      </c>
      <c r="G58" s="7" t="str">
        <f>IFERROR(SUMIFS(TM[[#All],[Total Truncated Claims Spending]],TM[[#All],[Reporting Year]],2021,TM[[#All],[Insurance Category Code]],3,TM[[#All],[Large Provider Entity Code]],A58)/C58,"NA")</f>
        <v>NA</v>
      </c>
      <c r="H58" s="96" t="str">
        <f>IFERROR(SUMIFS(TM[[#All],[Total Truncated Expenses]],TM[[#All],[Reporting Year]],2021,TM[[#All],[Insurance Category Code]],3,TM[[#All],[Large Provider Entity Code]],A58)/C58,"NA")</f>
        <v>NA</v>
      </c>
      <c r="I58" s="95">
        <f>SUMIFS(TM[[#All],[Member Months]],TM[[#All],[Reporting Year]],2022,TM[[#All],[Insurance Category Code]],3,TM[[#All],[Large Provider Entity Code]],A58)</f>
        <v>0</v>
      </c>
      <c r="J58" s="7" t="str">
        <f>IFERROR(SUMIFS(TM[[#All],[Total Non-Truncated Claims Spending]],TM[[#All],[Reporting Year]],2022,TM[[#All],[Insurance Category Code]],3,TM[[#All],[Large Provider Entity Code]],A58)/I58,"NA")</f>
        <v>NA</v>
      </c>
      <c r="K58" s="7" t="str">
        <f>IFERROR(SUMIFS(TM[[#All],[Total Non-Claims Spending]],TM[[#All],[Reporting Year]],2022,TM[[#All],[Insurance Category Code]],3,TM[[#All],[Large Provider Entity Code]],A58)/I58,"NA")</f>
        <v>NA</v>
      </c>
      <c r="L58" s="7" t="str">
        <f>IFERROR(SUMIFS(TM[[#All],[Total Non-Truncated Claims and Non-Claims Spending]],TM[[#All],[Reporting Year]],2022,TM[[#All],[Insurance Category Code]],3,TM[[#All],[Large Provider Entity Code]],A58)/I58,"NA")</f>
        <v>NA</v>
      </c>
      <c r="M58" s="7" t="str">
        <f>IFERROR(SUMIFS(TM[[#All],[Total Truncated Claims Spending]],TM[[#All],[Reporting Year]],2022,TM[[#All],[Insurance Category Code]],3,TM[[#All],[Large Provider Entity Code]],A58)/I58,"NA")</f>
        <v>NA</v>
      </c>
      <c r="N58" s="96" t="str">
        <f>IFERROR(SUMIFS(TM[[#All],[Total Truncated Expenses]],TM[[#All],[Reporting Year]],2022,TM[[#All],[Insurance Category Code]],3,TM[[#All],[Large Provider Entity Code]],A58)/I58,"NA")</f>
        <v>NA</v>
      </c>
      <c r="O58" s="518">
        <f t="shared" si="33"/>
        <v>0</v>
      </c>
      <c r="P58" s="243" t="str">
        <f t="shared" ref="P58:P60" si="41">IFERROR((I58/C58-1),"NA")</f>
        <v>NA</v>
      </c>
      <c r="Q58" s="97" t="str">
        <f t="shared" ref="Q58:Q60" si="42">IFERROR((J58/D58-1),"NA")</f>
        <v>NA</v>
      </c>
      <c r="R58" s="97" t="str">
        <f t="shared" ref="R58:R60" si="43">IFERROR((K58/E58-1),"NA")</f>
        <v>NA</v>
      </c>
      <c r="S58" s="97" t="str">
        <f t="shared" ref="S58:S60" si="44">IFERROR((L58/F58-1),"NA")</f>
        <v>NA</v>
      </c>
      <c r="T58" s="97" t="str">
        <f t="shared" ref="T58:T60" si="45">IFERROR((M58/G58-1),"NA")</f>
        <v>NA</v>
      </c>
      <c r="U58" s="97" t="str">
        <f t="shared" ref="U58:U60" si="46">IFERROR((N58/H58-1),"NA")</f>
        <v>NA</v>
      </c>
    </row>
    <row r="59" spans="1:21" ht="30" x14ac:dyDescent="0.25">
      <c r="A59" s="218">
        <v>121</v>
      </c>
      <c r="B59" s="495" t="s">
        <v>616</v>
      </c>
      <c r="C59" s="95">
        <f>SUMIFS(TM[[#All],[Member Months]],TM[[#All],[Reporting Year]],2021,TM[[#All],[Insurance Category Code]],3,TM[[#All],[Large Provider Entity Code]],A59)</f>
        <v>0</v>
      </c>
      <c r="D59" s="7" t="str">
        <f>IFERROR(SUMIFS(TM[[#All],[Total Non-Truncated Claims Spending]],TM[[#All],[Reporting Year]],2021,TM[[#All],[Insurance Category Code]],3,TM[[#All],[Large Provider Entity Code]],A59)/C59,"NA")</f>
        <v>NA</v>
      </c>
      <c r="E59" s="7" t="str">
        <f>IFERROR(SUMIFS(TM[[#All],[Total Non-Claims Spending]],TM[[#All],[Reporting Year]],2021,TM[[#All],[Insurance Category Code]],3,TM[[#All],[Large Provider Entity Code]],A59)/C59,"NA")</f>
        <v>NA</v>
      </c>
      <c r="F59" s="7" t="str">
        <f>IFERROR(SUMIFS(TM[[#All],[Total Non-Truncated Claims and Non-Claims Spending]],TM[[#All],[Reporting Year]],2021,TM[[#All],[Insurance Category Code]],3,TM[[#All],[Large Provider Entity Code]],A59)/C59,"NA")</f>
        <v>NA</v>
      </c>
      <c r="G59" s="7" t="str">
        <f>IFERROR(SUMIFS(TM[[#All],[Total Truncated Claims Spending]],TM[[#All],[Reporting Year]],2021,TM[[#All],[Insurance Category Code]],3,TM[[#All],[Large Provider Entity Code]],A59)/C59,"NA")</f>
        <v>NA</v>
      </c>
      <c r="H59" s="96" t="str">
        <f>IFERROR(SUMIFS(TM[[#All],[Total Truncated Expenses]],TM[[#All],[Reporting Year]],2021,TM[[#All],[Insurance Category Code]],3,TM[[#All],[Large Provider Entity Code]],A59)/C59,"NA")</f>
        <v>NA</v>
      </c>
      <c r="I59" s="95">
        <f>SUMIFS(TM[[#All],[Member Months]],TM[[#All],[Reporting Year]],2022,TM[[#All],[Insurance Category Code]],3,TM[[#All],[Large Provider Entity Code]],A59)</f>
        <v>0</v>
      </c>
      <c r="J59" s="7" t="str">
        <f>IFERROR(SUMIFS(TM[[#All],[Total Non-Truncated Claims Spending]],TM[[#All],[Reporting Year]],2022,TM[[#All],[Insurance Category Code]],3,TM[[#All],[Large Provider Entity Code]],A59)/I59,"NA")</f>
        <v>NA</v>
      </c>
      <c r="K59" s="7" t="str">
        <f>IFERROR(SUMIFS(TM[[#All],[Total Non-Claims Spending]],TM[[#All],[Reporting Year]],2022,TM[[#All],[Insurance Category Code]],3,TM[[#All],[Large Provider Entity Code]],A59)/I59,"NA")</f>
        <v>NA</v>
      </c>
      <c r="L59" s="7" t="str">
        <f>IFERROR(SUMIFS(TM[[#All],[Total Non-Truncated Claims and Non-Claims Spending]],TM[[#All],[Reporting Year]],2022,TM[[#All],[Insurance Category Code]],3,TM[[#All],[Large Provider Entity Code]],A59)/I59,"NA")</f>
        <v>NA</v>
      </c>
      <c r="M59" s="7" t="str">
        <f>IFERROR(SUMIFS(TM[[#All],[Total Truncated Claims Spending]],TM[[#All],[Reporting Year]],2022,TM[[#All],[Insurance Category Code]],3,TM[[#All],[Large Provider Entity Code]],A59)/I59,"NA")</f>
        <v>NA</v>
      </c>
      <c r="N59" s="96" t="str">
        <f>IFERROR(SUMIFS(TM[[#All],[Total Truncated Expenses]],TM[[#All],[Reporting Year]],2022,TM[[#All],[Insurance Category Code]],3,TM[[#All],[Large Provider Entity Code]],A59)/I59,"NA")</f>
        <v>NA</v>
      </c>
      <c r="O59" s="518">
        <f t="shared" si="33"/>
        <v>0</v>
      </c>
      <c r="P59" s="243" t="str">
        <f t="shared" si="41"/>
        <v>NA</v>
      </c>
      <c r="Q59" s="97" t="str">
        <f t="shared" si="42"/>
        <v>NA</v>
      </c>
      <c r="R59" s="97" t="str">
        <f t="shared" si="43"/>
        <v>NA</v>
      </c>
      <c r="S59" s="97" t="str">
        <f t="shared" si="44"/>
        <v>NA</v>
      </c>
      <c r="T59" s="97" t="str">
        <f t="shared" si="45"/>
        <v>NA</v>
      </c>
      <c r="U59" s="97" t="str">
        <f t="shared" si="46"/>
        <v>NA</v>
      </c>
    </row>
    <row r="60" spans="1:21" x14ac:dyDescent="0.25">
      <c r="A60" s="218">
        <v>122</v>
      </c>
      <c r="B60" s="566" t="s">
        <v>617</v>
      </c>
      <c r="C60" s="95">
        <f>SUMIFS(TM[[#All],[Member Months]],TM[[#All],[Reporting Year]],2021,TM[[#All],[Insurance Category Code]],3,TM[[#All],[Large Provider Entity Code]],A60)</f>
        <v>0</v>
      </c>
      <c r="D60" s="7" t="str">
        <f>IFERROR(SUMIFS(TM[[#All],[Total Non-Truncated Claims Spending]],TM[[#All],[Reporting Year]],2021,TM[[#All],[Insurance Category Code]],3,TM[[#All],[Large Provider Entity Code]],A60)/C60,"NA")</f>
        <v>NA</v>
      </c>
      <c r="E60" s="7" t="str">
        <f>IFERROR(SUMIFS(TM[[#All],[Total Non-Claims Spending]],TM[[#All],[Reporting Year]],2021,TM[[#All],[Insurance Category Code]],3,TM[[#All],[Large Provider Entity Code]],A60)/C60,"NA")</f>
        <v>NA</v>
      </c>
      <c r="F60" s="7" t="str">
        <f>IFERROR(SUMIFS(TM[[#All],[Total Non-Truncated Claims and Non-Claims Spending]],TM[[#All],[Reporting Year]],2021,TM[[#All],[Insurance Category Code]],3,TM[[#All],[Large Provider Entity Code]],A60)/C60,"NA")</f>
        <v>NA</v>
      </c>
      <c r="G60" s="7" t="str">
        <f>IFERROR(SUMIFS(TM[[#All],[Total Truncated Claims Spending]],TM[[#All],[Reporting Year]],2021,TM[[#All],[Insurance Category Code]],3,TM[[#All],[Large Provider Entity Code]],A60)/C60,"NA")</f>
        <v>NA</v>
      </c>
      <c r="H60" s="96" t="str">
        <f>IFERROR(SUMIFS(TM[[#All],[Total Truncated Expenses]],TM[[#All],[Reporting Year]],2021,TM[[#All],[Insurance Category Code]],3,TM[[#All],[Large Provider Entity Code]],A60)/C60,"NA")</f>
        <v>NA</v>
      </c>
      <c r="I60" s="95">
        <f>SUMIFS(TM[[#All],[Member Months]],TM[[#All],[Reporting Year]],2022,TM[[#All],[Insurance Category Code]],3,TM[[#All],[Large Provider Entity Code]],A60)</f>
        <v>0</v>
      </c>
      <c r="J60" s="7" t="str">
        <f>IFERROR(SUMIFS(TM[[#All],[Total Non-Truncated Claims Spending]],TM[[#All],[Reporting Year]],2022,TM[[#All],[Insurance Category Code]],3,TM[[#All],[Large Provider Entity Code]],A60)/I60,"NA")</f>
        <v>NA</v>
      </c>
      <c r="K60" s="7" t="str">
        <f>IFERROR(SUMIFS(TM[[#All],[Total Non-Claims Spending]],TM[[#All],[Reporting Year]],2022,TM[[#All],[Insurance Category Code]],3,TM[[#All],[Large Provider Entity Code]],A60)/I60,"NA")</f>
        <v>NA</v>
      </c>
      <c r="L60" s="7" t="str">
        <f>IFERROR(SUMIFS(TM[[#All],[Total Non-Truncated Claims and Non-Claims Spending]],TM[[#All],[Reporting Year]],2022,TM[[#All],[Insurance Category Code]],3,TM[[#All],[Large Provider Entity Code]],A60)/I60,"NA")</f>
        <v>NA</v>
      </c>
      <c r="M60" s="7" t="str">
        <f>IFERROR(SUMIFS(TM[[#All],[Total Truncated Claims Spending]],TM[[#All],[Reporting Year]],2022,TM[[#All],[Insurance Category Code]],3,TM[[#All],[Large Provider Entity Code]],A60)/I60,"NA")</f>
        <v>NA</v>
      </c>
      <c r="N60" s="96" t="str">
        <f>IFERROR(SUMIFS(TM[[#All],[Total Truncated Expenses]],TM[[#All],[Reporting Year]],2022,TM[[#All],[Insurance Category Code]],3,TM[[#All],[Large Provider Entity Code]],A60)/I60,"NA")</f>
        <v>NA</v>
      </c>
      <c r="O60" s="518">
        <f t="shared" si="33"/>
        <v>0</v>
      </c>
      <c r="P60" s="243" t="str">
        <f t="shared" si="41"/>
        <v>NA</v>
      </c>
      <c r="Q60" s="97" t="str">
        <f t="shared" si="42"/>
        <v>NA</v>
      </c>
      <c r="R60" s="97" t="str">
        <f t="shared" si="43"/>
        <v>NA</v>
      </c>
      <c r="S60" s="97" t="str">
        <f t="shared" si="44"/>
        <v>NA</v>
      </c>
      <c r="T60" s="97" t="str">
        <f t="shared" si="45"/>
        <v>NA</v>
      </c>
      <c r="U60" s="97" t="str">
        <f t="shared" si="46"/>
        <v>NA</v>
      </c>
    </row>
    <row r="61" spans="1:21" x14ac:dyDescent="0.25">
      <c r="A61" s="218">
        <v>999</v>
      </c>
      <c r="B61" s="495" t="s">
        <v>81</v>
      </c>
      <c r="C61" s="95">
        <f>SUMIFS(TM[[#All],[Member Months]],TM[[#All],[Reporting Year]],2021,TM[[#All],[Insurance Category Code]],3,TM[[#All],[Large Provider Entity Code]],A61)</f>
        <v>0</v>
      </c>
      <c r="D61" s="7" t="str">
        <f>IFERROR(SUMIFS(TM[[#All],[Total Non-Truncated Claims Spending]],TM[[#All],[Reporting Year]],2021,TM[[#All],[Insurance Category Code]],3,TM[[#All],[Large Provider Entity Code]],A61)/C61,"NA")</f>
        <v>NA</v>
      </c>
      <c r="E61" s="7" t="str">
        <f>IFERROR(SUMIFS(TM[[#All],[Total Non-Claims Spending]],TM[[#All],[Reporting Year]],2021,TM[[#All],[Insurance Category Code]],3,TM[[#All],[Large Provider Entity Code]],A61)/C61,"NA")</f>
        <v>NA</v>
      </c>
      <c r="F61" s="7" t="str">
        <f>IFERROR(SUMIFS(TM[[#All],[Total Non-Truncated Claims and Non-Claims Spending]],TM[[#All],[Reporting Year]],2021,TM[[#All],[Insurance Category Code]],3,TM[[#All],[Large Provider Entity Code]],A61)/C61,"NA")</f>
        <v>NA</v>
      </c>
      <c r="G61" s="7" t="str">
        <f>IFERROR(SUMIFS(TM[[#All],[Total Truncated Claims Spending]],TM[[#All],[Reporting Year]],2021,TM[[#All],[Insurance Category Code]],3,TM[[#All],[Large Provider Entity Code]],A61)/C61,"NA")</f>
        <v>NA</v>
      </c>
      <c r="H61" s="96" t="str">
        <f>IFERROR(SUMIFS(TM[[#All],[Total Truncated Expenses]],TM[[#All],[Reporting Year]],2021,TM[[#All],[Insurance Category Code]],3,TM[[#All],[Large Provider Entity Code]],A61)/C61,"NA")</f>
        <v>NA</v>
      </c>
      <c r="I61" s="95">
        <f>SUMIFS(TM[[#All],[Member Months]],TM[[#All],[Reporting Year]],2022,TM[[#All],[Insurance Category Code]],3,TM[[#All],[Large Provider Entity Code]],A61)</f>
        <v>0</v>
      </c>
      <c r="J61" s="7" t="str">
        <f>IFERROR(SUMIFS(TM[[#All],[Total Non-Truncated Claims Spending]],TM[[#All],[Reporting Year]],2022,TM[[#All],[Insurance Category Code]],3,TM[[#All],[Large Provider Entity Code]],A61)/I61,"NA")</f>
        <v>NA</v>
      </c>
      <c r="K61" s="7" t="str">
        <f>IFERROR(SUMIFS(TM[[#All],[Total Non-Claims Spending]],TM[[#All],[Reporting Year]],2022,TM[[#All],[Insurance Category Code]],3,TM[[#All],[Large Provider Entity Code]],A61)/I61,"NA")</f>
        <v>NA</v>
      </c>
      <c r="L61" s="7" t="str">
        <f>IFERROR(SUMIFS(TM[[#All],[Total Non-Truncated Claims and Non-Claims Spending]],TM[[#All],[Reporting Year]],2022,TM[[#All],[Insurance Category Code]],3,TM[[#All],[Large Provider Entity Code]],A61)/I61,"NA")</f>
        <v>NA</v>
      </c>
      <c r="M61" s="7" t="str">
        <f>IFERROR(SUMIFS(TM[[#All],[Total Truncated Claims Spending]],TM[[#All],[Reporting Year]],2022,TM[[#All],[Insurance Category Code]],3,TM[[#All],[Large Provider Entity Code]],A61)/I61,"NA")</f>
        <v>NA</v>
      </c>
      <c r="N61" s="96" t="str">
        <f>IFERROR(SUMIFS(TM[[#All],[Total Truncated Expenses]],TM[[#All],[Reporting Year]],2022,TM[[#All],[Insurance Category Code]],3,TM[[#All],[Large Provider Entity Code]],A61)/I61,"NA")</f>
        <v>NA</v>
      </c>
      <c r="O61" s="518">
        <f t="shared" si="33"/>
        <v>0</v>
      </c>
      <c r="P61" s="243" t="str">
        <f t="shared" si="27"/>
        <v>NA</v>
      </c>
      <c r="Q61" s="97" t="str">
        <f t="shared" si="28"/>
        <v>NA</v>
      </c>
      <c r="R61" s="97" t="str">
        <f t="shared" si="29"/>
        <v>NA</v>
      </c>
      <c r="S61" s="97" t="str">
        <f t="shared" si="30"/>
        <v>NA</v>
      </c>
      <c r="T61" s="97" t="str">
        <f t="shared" si="31"/>
        <v>NA</v>
      </c>
      <c r="U61" s="97" t="str">
        <f t="shared" si="32"/>
        <v>NA</v>
      </c>
    </row>
    <row r="62" spans="1:21" ht="30" customHeight="1" x14ac:dyDescent="0.25">
      <c r="A62" s="707" t="s">
        <v>567</v>
      </c>
      <c r="B62" s="708"/>
      <c r="C62" s="165">
        <f>SUM(C42:C61)</f>
        <v>0</v>
      </c>
      <c r="D62" s="131" t="str">
        <f>IFERROR((SUMPRODUCT(D42:D61,C42:C61)/C62),"NA")</f>
        <v>NA</v>
      </c>
      <c r="E62" s="131" t="str">
        <f>IFERROR((SUMPRODUCT(E42:E61,C42:C61)/C62),"NA")</f>
        <v>NA</v>
      </c>
      <c r="F62" s="131" t="str">
        <f>IFERROR((SUMPRODUCT(F42:F61,C42:C61)/C62),"NA")</f>
        <v>NA</v>
      </c>
      <c r="G62" s="131" t="str">
        <f>IFERROR((SUMPRODUCT(G42:G61,C42:C61)/C62),"NA")</f>
        <v>NA</v>
      </c>
      <c r="H62" s="131" t="str">
        <f>IFERROR((SUMPRODUCT(H42:H61,C42:C61)/C62),"NA")</f>
        <v>NA</v>
      </c>
      <c r="I62" s="165">
        <f>SUM(I42:I61)</f>
        <v>0</v>
      </c>
      <c r="J62" s="131" t="str">
        <f>IFERROR((SUMPRODUCT(J42:J61,I42:I61)/I62),"NA")</f>
        <v>NA</v>
      </c>
      <c r="K62" s="131" t="str">
        <f>IFERROR((SUMPRODUCT(K42:K61,I42:I61)/I62),"NA")</f>
        <v>NA</v>
      </c>
      <c r="L62" s="131" t="str">
        <f>IFERROR((SUMPRODUCT(L42:L61,I42:I61)/I62),"NA")</f>
        <v>NA</v>
      </c>
      <c r="M62" s="131" t="str">
        <f>IFERROR((SUMPRODUCT(M42:M61,I42:I61)/I62),"NA")</f>
        <v>NA</v>
      </c>
      <c r="N62" s="251" t="str">
        <f>IFERROR((SUMPRODUCT(N42:N61,I42:I61)/I62),"NA")</f>
        <v>NA</v>
      </c>
      <c r="O62" s="544" t="s">
        <v>500</v>
      </c>
      <c r="P62" s="439" t="s">
        <v>500</v>
      </c>
      <c r="Q62" s="438" t="s">
        <v>500</v>
      </c>
      <c r="R62" s="438" t="s">
        <v>500</v>
      </c>
      <c r="S62" s="438" t="s">
        <v>500</v>
      </c>
      <c r="T62" s="438" t="s">
        <v>500</v>
      </c>
      <c r="U62" s="438" t="s">
        <v>500</v>
      </c>
    </row>
    <row r="63" spans="1:21" x14ac:dyDescent="0.25">
      <c r="A63" s="709" t="s">
        <v>563</v>
      </c>
      <c r="B63" s="710"/>
      <c r="C63" s="165" t="s">
        <v>500</v>
      </c>
      <c r="D63" s="130" t="str">
        <f>IFERROR(((SUMPRODUCT(D41,$C$41))-ABS(SUMIFS(RX[[#All],[Total Medical and Retail Pharmacy Rebate Amount]],RX[[#All],[Reporting Year]],2021,RX[[#All],[Insurance Category Code]],3)))/$C$62,"NA")</f>
        <v>NA</v>
      </c>
      <c r="E63" s="130" t="str">
        <f>IFERROR(((SUMPRODUCT(E41,$C$41))-ABS(SUMIFS(RX[[#All],[Total Medical and Retail Pharmacy Rebate Amount]],RX[[#All],[Reporting Year]],2021,RX[[#All],[Insurance Category Code]],3)))/$C$62,"NA")</f>
        <v>NA</v>
      </c>
      <c r="F63" s="130" t="str">
        <f>IFERROR(((SUMPRODUCT(F41,$C$41))-ABS(SUMIFS(RX[[#All],[Total Medical and Retail Pharmacy Rebate Amount]],RX[[#All],[Reporting Year]],2021,RX[[#All],[Insurance Category Code]],3)))/$C$62,"NA")</f>
        <v>NA</v>
      </c>
      <c r="G63" s="130" t="str">
        <f>IFERROR(((SUMPRODUCT(G41,$C$41))-ABS(SUMIFS(RX[[#All],[Total Medical and Retail Pharmacy Rebate Amount]],RX[[#All],[Reporting Year]],2021,RX[[#All],[Insurance Category Code]],3)))/$C$62,"NA")</f>
        <v>NA</v>
      </c>
      <c r="H63" s="130" t="str">
        <f>IFERROR(((SUMPRODUCT(H41,$C$41))-ABS(SUMIFS(RX[[#All],[Total Medical and Retail Pharmacy Rebate Amount]],RX[[#All],[Reporting Year]],2021,RX[[#All],[Insurance Category Code]],3)))/$C$62,"NA")</f>
        <v>NA</v>
      </c>
      <c r="I63" s="165" t="s">
        <v>500</v>
      </c>
      <c r="J63" s="130" t="str">
        <f>IFERROR(((SUMPRODUCT(J41,$I$41))-ABS(SUMIFS(RX[[#All],[Total Medical and Retail Pharmacy Rebate Amount]],RX[[#All],[Reporting Year]],2022,RX[[#All],[Insurance Category Code]],3)))/$I$62,"NA")</f>
        <v>NA</v>
      </c>
      <c r="K63" s="130" t="str">
        <f>IFERROR(((SUMPRODUCT(K41,$I$41))-ABS(SUMIFS(RX[[#All],[Total Medical and Retail Pharmacy Rebate Amount]],RX[[#All],[Reporting Year]],2022,RX[[#All],[Insurance Category Code]],3)))/$I$62,"NA")</f>
        <v>NA</v>
      </c>
      <c r="L63" s="130" t="str">
        <f>IFERROR(((SUMPRODUCT(L41,$I$41))-ABS(SUMIFS(RX[[#All],[Total Medical and Retail Pharmacy Rebate Amount]],RX[[#All],[Reporting Year]],2022,RX[[#All],[Insurance Category Code]],3)))/$I$62,"NA")</f>
        <v>NA</v>
      </c>
      <c r="M63" s="130" t="str">
        <f>IFERROR(((SUMPRODUCT(M41,$I$41))-ABS(SUMIFS(RX[[#All],[Total Medical and Retail Pharmacy Rebate Amount]],RX[[#All],[Reporting Year]],2022,RX[[#All],[Insurance Category Code]],3)))/$I$62,"NA")</f>
        <v>NA</v>
      </c>
      <c r="N63" s="208" t="str">
        <f>IFERROR(((SUMPRODUCT(N41,$I$41))-ABS(SUMIFS(RX[[#All],[Total Medical and Retail Pharmacy Rebate Amount]],RX[[#All],[Reporting Year]],2022,RX[[#All],[Insurance Category Code]],3)))/$I$62,"NA")</f>
        <v>NA</v>
      </c>
      <c r="O63" s="544" t="s">
        <v>500</v>
      </c>
      <c r="P63" s="439" t="s">
        <v>500</v>
      </c>
      <c r="Q63" s="438" t="s">
        <v>500</v>
      </c>
      <c r="R63" s="438" t="s">
        <v>500</v>
      </c>
      <c r="S63" s="438" t="s">
        <v>500</v>
      </c>
      <c r="T63" s="438" t="s">
        <v>500</v>
      </c>
      <c r="U63" s="438" t="s">
        <v>500</v>
      </c>
    </row>
    <row r="64" spans="1:21" x14ac:dyDescent="0.25">
      <c r="A64" s="717" t="s">
        <v>564</v>
      </c>
      <c r="B64" s="718"/>
      <c r="C64" s="250">
        <f>ABS(C62-C41)</f>
        <v>0</v>
      </c>
      <c r="D64" s="258" t="e">
        <f>ABS(D41-D62)</f>
        <v>#VALUE!</v>
      </c>
      <c r="E64" s="258" t="e">
        <f>ABS(E41-E62)</f>
        <v>#VALUE!</v>
      </c>
      <c r="F64" s="258" t="e">
        <f>ABS(F41-F62)</f>
        <v>#VALUE!</v>
      </c>
      <c r="G64" s="181" t="s">
        <v>500</v>
      </c>
      <c r="H64" s="233" t="s">
        <v>500</v>
      </c>
      <c r="I64" s="230">
        <f>ABS(I62-I41)</f>
        <v>0</v>
      </c>
      <c r="J64" s="227" t="e">
        <f>ABS(J62-J41)</f>
        <v>#VALUE!</v>
      </c>
      <c r="K64" s="227" t="e">
        <f>ABS(K62-K41)</f>
        <v>#VALUE!</v>
      </c>
      <c r="L64" s="227" t="e">
        <f>ABS(L62-L41)</f>
        <v>#VALUE!</v>
      </c>
      <c r="M64" s="244" t="s">
        <v>500</v>
      </c>
      <c r="N64" s="207" t="s">
        <v>500</v>
      </c>
      <c r="O64" s="545" t="s">
        <v>500</v>
      </c>
      <c r="P64" s="546" t="s">
        <v>500</v>
      </c>
      <c r="Q64" s="548" t="s">
        <v>500</v>
      </c>
      <c r="R64" s="548" t="s">
        <v>500</v>
      </c>
      <c r="S64" s="548" t="s">
        <v>500</v>
      </c>
      <c r="T64" s="548" t="s">
        <v>500</v>
      </c>
      <c r="U64" s="548" t="s">
        <v>500</v>
      </c>
    </row>
    <row r="65" spans="1:21" x14ac:dyDescent="0.25">
      <c r="A65" s="715" t="s">
        <v>565</v>
      </c>
      <c r="B65" s="716"/>
      <c r="C65" s="260" t="str">
        <f>IF(((ABS(C41-C62))&lt;10),"Yes","No")</f>
        <v>Yes</v>
      </c>
      <c r="D65" s="181" t="e">
        <f>IF(((ABS(D41-D62))&lt;10),"Yes","No")</f>
        <v>#VALUE!</v>
      </c>
      <c r="E65" s="181" t="e">
        <f>IF(((ABS(E41-E62))&lt;10),"Yes","No")</f>
        <v>#VALUE!</v>
      </c>
      <c r="F65" s="181" t="e">
        <f>IF(((ABS(F41-F62))&lt;10),"Yes","No")</f>
        <v>#VALUE!</v>
      </c>
      <c r="G65" s="181" t="s">
        <v>500</v>
      </c>
      <c r="H65" s="233" t="s">
        <v>500</v>
      </c>
      <c r="I65" s="260" t="str">
        <f>IF(((ABS(I41-I62))&lt;10),"Yes","No")</f>
        <v>Yes</v>
      </c>
      <c r="J65" s="181" t="e">
        <f>IF(((ABS(J41-J62))&lt;10),"Yes","No")</f>
        <v>#VALUE!</v>
      </c>
      <c r="K65" s="181" t="e">
        <f>IF(((ABS(K41-K62))&lt;10),"Yes","No")</f>
        <v>#VALUE!</v>
      </c>
      <c r="L65" s="181" t="e">
        <f>IF(((ABS(L41-L62))&lt;10),"Yes","No")</f>
        <v>#VALUE!</v>
      </c>
      <c r="M65" s="181" t="s">
        <v>500</v>
      </c>
      <c r="N65" s="233" t="s">
        <v>500</v>
      </c>
      <c r="O65" s="545" t="s">
        <v>500</v>
      </c>
      <c r="P65" s="546" t="s">
        <v>500</v>
      </c>
      <c r="Q65" s="548" t="s">
        <v>500</v>
      </c>
      <c r="R65" s="548" t="s">
        <v>500</v>
      </c>
      <c r="S65" s="548" t="s">
        <v>500</v>
      </c>
      <c r="T65" s="548" t="s">
        <v>500</v>
      </c>
      <c r="U65" s="548" t="s">
        <v>500</v>
      </c>
    </row>
    <row r="66" spans="1:21" x14ac:dyDescent="0.25">
      <c r="A66"/>
      <c r="B66"/>
      <c r="C66"/>
      <c r="D66" s="150"/>
      <c r="E66"/>
      <c r="F66"/>
      <c r="G66"/>
      <c r="H66"/>
      <c r="I66"/>
      <c r="J66"/>
      <c r="K66"/>
      <c r="L66"/>
      <c r="M66"/>
      <c r="N66"/>
      <c r="O66"/>
      <c r="P66"/>
      <c r="Q66"/>
      <c r="R66"/>
      <c r="S66"/>
      <c r="T66"/>
      <c r="U66"/>
    </row>
    <row r="67" spans="1:21" x14ac:dyDescent="0.25">
      <c r="A67"/>
      <c r="B67"/>
      <c r="C67"/>
      <c r="D67"/>
      <c r="E67"/>
      <c r="F67"/>
      <c r="G67"/>
      <c r="H67"/>
      <c r="I67"/>
      <c r="J67"/>
      <c r="K67"/>
      <c r="L67"/>
      <c r="M67"/>
      <c r="N67"/>
      <c r="O67"/>
      <c r="P67"/>
      <c r="Q67"/>
      <c r="R67"/>
      <c r="S67"/>
      <c r="T67"/>
      <c r="U67"/>
    </row>
    <row r="68" spans="1:21" x14ac:dyDescent="0.25">
      <c r="A68" s="3" t="s">
        <v>568</v>
      </c>
      <c r="B68"/>
      <c r="C68"/>
      <c r="D68"/>
      <c r="E68"/>
      <c r="F68"/>
      <c r="G68"/>
      <c r="H68"/>
      <c r="I68"/>
      <c r="J68"/>
      <c r="K68"/>
      <c r="L68"/>
      <c r="M68"/>
      <c r="N68"/>
      <c r="O68"/>
      <c r="P68"/>
      <c r="Q68"/>
      <c r="R68"/>
      <c r="S68"/>
      <c r="T68"/>
      <c r="U68"/>
    </row>
    <row r="69" spans="1:21" ht="15" customHeight="1" x14ac:dyDescent="0.25">
      <c r="A69" s="723" t="s">
        <v>71</v>
      </c>
      <c r="B69" s="725" t="s">
        <v>547</v>
      </c>
      <c r="C69" s="697">
        <v>2021</v>
      </c>
      <c r="D69" s="698"/>
      <c r="E69" s="698"/>
      <c r="F69" s="698"/>
      <c r="G69" s="698"/>
      <c r="H69" s="699"/>
      <c r="I69" s="700">
        <v>2022</v>
      </c>
      <c r="J69" s="701"/>
      <c r="K69" s="701"/>
      <c r="L69" s="701"/>
      <c r="M69" s="701"/>
      <c r="N69" s="702"/>
      <c r="O69" s="498"/>
      <c r="P69" s="703" t="s">
        <v>548</v>
      </c>
      <c r="Q69" s="704"/>
      <c r="R69" s="704"/>
      <c r="S69" s="704"/>
      <c r="T69" s="704"/>
      <c r="U69" s="705"/>
    </row>
    <row r="70" spans="1:21" ht="45" x14ac:dyDescent="0.25">
      <c r="A70" s="724"/>
      <c r="B70" s="726"/>
      <c r="C70" s="215" t="s">
        <v>352</v>
      </c>
      <c r="D70" s="124" t="s">
        <v>550</v>
      </c>
      <c r="E70" s="124" t="s">
        <v>551</v>
      </c>
      <c r="F70" s="124" t="s">
        <v>552</v>
      </c>
      <c r="G70" s="124" t="s">
        <v>553</v>
      </c>
      <c r="H70" s="216" t="s">
        <v>554</v>
      </c>
      <c r="I70" s="211" t="s">
        <v>352</v>
      </c>
      <c r="J70" s="125" t="s">
        <v>550</v>
      </c>
      <c r="K70" s="125" t="s">
        <v>551</v>
      </c>
      <c r="L70" s="125" t="s">
        <v>552</v>
      </c>
      <c r="M70" s="125" t="s">
        <v>553</v>
      </c>
      <c r="N70" s="212" t="s">
        <v>554</v>
      </c>
      <c r="O70" s="513" t="s">
        <v>555</v>
      </c>
      <c r="P70" s="242" t="s">
        <v>556</v>
      </c>
      <c r="Q70" s="77" t="s">
        <v>557</v>
      </c>
      <c r="R70" s="77" t="s">
        <v>558</v>
      </c>
      <c r="S70" s="77" t="s">
        <v>559</v>
      </c>
      <c r="T70" s="77" t="s">
        <v>560</v>
      </c>
      <c r="U70" s="217" t="s">
        <v>561</v>
      </c>
    </row>
    <row r="71" spans="1:21" x14ac:dyDescent="0.25">
      <c r="A71" s="219">
        <v>100</v>
      </c>
      <c r="B71" s="495" t="s">
        <v>72</v>
      </c>
      <c r="C71" s="95">
        <f>SUMIFS(TM[[#All],[Member Months]],TM[[#All],[Reporting Year]],2021,TM[[#All],[Insurance Category Code]],4,TM[[#All],[Large Provider Entity Code]],A71)</f>
        <v>0</v>
      </c>
      <c r="D71" s="7" t="str">
        <f>IFERROR(SUMIFS(TM[[#All],[Total Non-Truncated Claims Spending]],TM[[#All],[Reporting Year]],2021,TM[[#All],[Insurance Category Code]],4,TM[[#All],[Large Provider Entity Code]],A71)/C71,"NA")</f>
        <v>NA</v>
      </c>
      <c r="E71" s="7" t="str">
        <f>IFERROR(SUMIFS(TM[[#All],[Total Non-Claims Spending]],TM[[#All],[Reporting Year]],2021,TM[[#All],[Insurance Category Code]],4,TM[[#All],[Large Provider Entity Code]],A71)/C71,"NA")</f>
        <v>NA</v>
      </c>
      <c r="F71" s="7" t="str">
        <f>IFERROR(SUMIFS(TM[[#All],[Total Non-Truncated Claims and Non-Claims Spending]],TM[[#All],[Reporting Year]],2021,TM[[#All],[Insurance Category Code]],4,TM[[#All],[Large Provider Entity Code]],A71)/C71,"NA")</f>
        <v>NA</v>
      </c>
      <c r="G71" s="7" t="str">
        <f>IFERROR(SUMIFS(TM[[#All],[Total Truncated Claims Spending]],TM[[#All],[Reporting Year]],2021,TM[[#All],[Insurance Category Code]],4,TM[[#All],[Large Provider Entity Code]],A71)/C71,"NA")</f>
        <v>NA</v>
      </c>
      <c r="H71" s="96" t="str">
        <f>IFERROR(SUMIFS(TM[[#All],[Total Truncated Expenses]],TM[[#All],[Reporting Year]],2021,TM[[#All],[Insurance Category Code]],4,TM[[#All],[Large Provider Entity Code]],A71)/C71,"NA")</f>
        <v>NA</v>
      </c>
      <c r="I71" s="95">
        <f>SUMIFS(TM[[#All],[Member Months]],TM[[#All],[Reporting Year]],2022,TM[[#All],[Insurance Category Code]],4,TM[[#All],[Large Provider Entity Code]],A71)</f>
        <v>0</v>
      </c>
      <c r="J71" s="7" t="str">
        <f>IFERROR(SUMIFS(TM[[#All],[Total Non-Truncated Claims Spending]],TM[[#All],[Reporting Year]],2022,TM[[#All],[Insurance Category Code]],4,TM[[#All],[Large Provider Entity Code]],A71)/I71,"NA")</f>
        <v>NA</v>
      </c>
      <c r="K71" s="7" t="str">
        <f>IFERROR(SUMIFS(TM[[#All],[Total Non-Claims Spending]],TM[[#All],[Reporting Year]],2022,TM[[#All],[Insurance Category Code]],4,TM[[#All],[Large Provider Entity Code]],A71)/I71,"NA")</f>
        <v>NA</v>
      </c>
      <c r="L71" s="7" t="str">
        <f>IFERROR(SUMIFS(TM[[#All],[Total Non-Truncated Claims and Non-Claims Spending]],TM[[#All],[Reporting Year]],2022,TM[[#All],[Insurance Category Code]],4,TM[[#All],[Large Provider Entity Code]],A71)/I71,"NA")</f>
        <v>NA</v>
      </c>
      <c r="M71" s="7" t="str">
        <f>IFERROR(SUMIFS(TM[[#All],[Total Truncated Claims Spending]],TM[[#All],[Reporting Year]],2022,TM[[#All],[Insurance Category Code]],4,TM[[#All],[Large Provider Entity Code]],A71)/I71,"NA")</f>
        <v>NA</v>
      </c>
      <c r="N71" s="96" t="str">
        <f>IFERROR(SUMIFS(TM[[#All],[Total Truncated Expenses]],TM[[#All],[Reporting Year]],2022,TM[[#All],[Insurance Category Code]],4,TM[[#All],[Large Provider Entity Code]],A71)/I71,"NA")</f>
        <v>NA</v>
      </c>
      <c r="O71" s="518">
        <f>ABS(C71-I71)</f>
        <v>0</v>
      </c>
      <c r="P71" s="243" t="str">
        <f t="shared" ref="P71:P91" si="47">IFERROR((I71/C71-1),"NA")</f>
        <v>NA</v>
      </c>
      <c r="Q71" s="97" t="str">
        <f t="shared" ref="Q71:Q91" si="48">IFERROR((J71/D71-1),"NA")</f>
        <v>NA</v>
      </c>
      <c r="R71" s="97" t="str">
        <f t="shared" ref="R71:R91" si="49">IFERROR((K71/E71-1),"NA")</f>
        <v>NA</v>
      </c>
      <c r="S71" s="97" t="str">
        <f t="shared" ref="S71:S91" si="50">IFERROR((L71/F71-1),"NA")</f>
        <v>NA</v>
      </c>
      <c r="T71" s="97" t="str">
        <f t="shared" ref="T71:T91" si="51">IFERROR((M71/G71-1),"NA")</f>
        <v>NA</v>
      </c>
      <c r="U71" s="97" t="str">
        <f t="shared" ref="U71:U91" si="52">IFERROR((N71/H71-1),"NA")</f>
        <v>NA</v>
      </c>
    </row>
    <row r="72" spans="1:21" x14ac:dyDescent="0.25">
      <c r="A72" s="218">
        <v>101</v>
      </c>
      <c r="B72" s="495" t="s">
        <v>609</v>
      </c>
      <c r="C72" s="95">
        <f>SUMIFS(TM[[#All],[Member Months]],TM[[#All],[Reporting Year]],2021,TM[[#All],[Insurance Category Code]],4,TM[[#All],[Large Provider Entity Code]],A72)</f>
        <v>0</v>
      </c>
      <c r="D72" s="7" t="str">
        <f>IFERROR(SUMIFS(TM[[#All],[Total Non-Truncated Claims Spending]],TM[[#All],[Reporting Year]],2021,TM[[#All],[Insurance Category Code]],4,TM[[#All],[Large Provider Entity Code]],A72)/C72,"NA")</f>
        <v>NA</v>
      </c>
      <c r="E72" s="7" t="str">
        <f>IFERROR(SUMIFS(TM[[#All],[Total Non-Claims Spending]],TM[[#All],[Reporting Year]],2021,TM[[#All],[Insurance Category Code]],4,TM[[#All],[Large Provider Entity Code]],A72)/C72,"NA")</f>
        <v>NA</v>
      </c>
      <c r="F72" s="7" t="str">
        <f>IFERROR(SUMIFS(TM[[#All],[Total Non-Truncated Claims and Non-Claims Spending]],TM[[#All],[Reporting Year]],2021,TM[[#All],[Insurance Category Code]],4,TM[[#All],[Large Provider Entity Code]],A72)/C72,"NA")</f>
        <v>NA</v>
      </c>
      <c r="G72" s="7" t="str">
        <f>IFERROR(SUMIFS(TM[[#All],[Total Truncated Claims Spending]],TM[[#All],[Reporting Year]],2021,TM[[#All],[Insurance Category Code]],4,TM[[#All],[Large Provider Entity Code]],A72)/C72,"NA")</f>
        <v>NA</v>
      </c>
      <c r="H72" s="96" t="str">
        <f>IFERROR(SUMIFS(TM[[#All],[Total Truncated Expenses]],TM[[#All],[Reporting Year]],2021,TM[[#All],[Insurance Category Code]],4,TM[[#All],[Large Provider Entity Code]],A72)/C72,"NA")</f>
        <v>NA</v>
      </c>
      <c r="I72" s="95">
        <f>SUMIFS(TM[[#All],[Member Months]],TM[[#All],[Reporting Year]],2022,TM[[#All],[Insurance Category Code]],4,TM[[#All],[Large Provider Entity Code]],A72)</f>
        <v>0</v>
      </c>
      <c r="J72" s="7" t="str">
        <f>IFERROR(SUMIFS(TM[[#All],[Total Non-Truncated Claims Spending]],TM[[#All],[Reporting Year]],2022,TM[[#All],[Insurance Category Code]],4,TM[[#All],[Large Provider Entity Code]],A72)/I72,"NA")</f>
        <v>NA</v>
      </c>
      <c r="K72" s="7" t="str">
        <f>IFERROR(SUMIFS(TM[[#All],[Total Non-Claims Spending]],TM[[#All],[Reporting Year]],2022,TM[[#All],[Insurance Category Code]],4,TM[[#All],[Large Provider Entity Code]],A72)/I72,"NA")</f>
        <v>NA</v>
      </c>
      <c r="L72" s="7" t="str">
        <f>IFERROR(SUMIFS(TM[[#All],[Total Non-Truncated Claims and Non-Claims Spending]],TM[[#All],[Reporting Year]],2022,TM[[#All],[Insurance Category Code]],4,TM[[#All],[Large Provider Entity Code]],A72)/I72,"NA")</f>
        <v>NA</v>
      </c>
      <c r="M72" s="7" t="str">
        <f>IFERROR(SUMIFS(TM[[#All],[Total Truncated Claims Spending]],TM[[#All],[Reporting Year]],2022,TM[[#All],[Insurance Category Code]],4,TM[[#All],[Large Provider Entity Code]],A72)/I72,"NA")</f>
        <v>NA</v>
      </c>
      <c r="N72" s="96" t="str">
        <f>IFERROR(SUMIFS(TM[[#All],[Total Truncated Expenses]],TM[[#All],[Reporting Year]],2022,TM[[#All],[Insurance Category Code]],4,TM[[#All],[Large Provider Entity Code]],A72)/I72,"NA")</f>
        <v>NA</v>
      </c>
      <c r="O72" s="518">
        <f t="shared" ref="O72:O91" si="53">ABS(C72-I72)</f>
        <v>0</v>
      </c>
      <c r="P72" s="243" t="str">
        <f t="shared" si="47"/>
        <v>NA</v>
      </c>
      <c r="Q72" s="97" t="str">
        <f t="shared" si="48"/>
        <v>NA</v>
      </c>
      <c r="R72" s="97" t="str">
        <f t="shared" si="49"/>
        <v>NA</v>
      </c>
      <c r="S72" s="97" t="str">
        <f t="shared" si="50"/>
        <v>NA</v>
      </c>
      <c r="T72" s="97" t="str">
        <f t="shared" si="51"/>
        <v>NA</v>
      </c>
      <c r="U72" s="97" t="str">
        <f t="shared" si="52"/>
        <v>NA</v>
      </c>
    </row>
    <row r="73" spans="1:21" x14ac:dyDescent="0.25">
      <c r="A73" s="218">
        <v>102</v>
      </c>
      <c r="B73" s="566" t="s">
        <v>610</v>
      </c>
      <c r="C73" s="95">
        <f>SUMIFS(TM[[#All],[Member Months]],TM[[#All],[Reporting Year]],2021,TM[[#All],[Insurance Category Code]],4,TM[[#All],[Large Provider Entity Code]],A73)</f>
        <v>0</v>
      </c>
      <c r="D73" s="7" t="str">
        <f>IFERROR(SUMIFS(TM[[#All],[Total Non-Truncated Claims Spending]],TM[[#All],[Reporting Year]],2021,TM[[#All],[Insurance Category Code]],4,TM[[#All],[Large Provider Entity Code]],A73)/C73,"NA")</f>
        <v>NA</v>
      </c>
      <c r="E73" s="7" t="str">
        <f>IFERROR(SUMIFS(TM[[#All],[Total Non-Claims Spending]],TM[[#All],[Reporting Year]],2021,TM[[#All],[Insurance Category Code]],4,TM[[#All],[Large Provider Entity Code]],A73)/C73,"NA")</f>
        <v>NA</v>
      </c>
      <c r="F73" s="7" t="str">
        <f>IFERROR(SUMIFS(TM[[#All],[Total Non-Truncated Claims and Non-Claims Spending]],TM[[#All],[Reporting Year]],2021,TM[[#All],[Insurance Category Code]],4,TM[[#All],[Large Provider Entity Code]],A73)/C73,"NA")</f>
        <v>NA</v>
      </c>
      <c r="G73" s="7" t="str">
        <f>IFERROR(SUMIFS(TM[[#All],[Total Truncated Claims Spending]],TM[[#All],[Reporting Year]],2021,TM[[#All],[Insurance Category Code]],4,TM[[#All],[Large Provider Entity Code]],A73)/C73,"NA")</f>
        <v>NA</v>
      </c>
      <c r="H73" s="96" t="str">
        <f>IFERROR(SUMIFS(TM[[#All],[Total Truncated Expenses]],TM[[#All],[Reporting Year]],2021,TM[[#All],[Insurance Category Code]],4,TM[[#All],[Large Provider Entity Code]],A73)/C73,"NA")</f>
        <v>NA</v>
      </c>
      <c r="I73" s="95">
        <f>SUMIFS(TM[[#All],[Member Months]],TM[[#All],[Reporting Year]],2022,TM[[#All],[Insurance Category Code]],4,TM[[#All],[Large Provider Entity Code]],A73)</f>
        <v>0</v>
      </c>
      <c r="J73" s="7" t="str">
        <f>IFERROR(SUMIFS(TM[[#All],[Total Non-Truncated Claims Spending]],TM[[#All],[Reporting Year]],2022,TM[[#All],[Insurance Category Code]],4,TM[[#All],[Large Provider Entity Code]],A73)/I73,"NA")</f>
        <v>NA</v>
      </c>
      <c r="K73" s="7" t="str">
        <f>IFERROR(SUMIFS(TM[[#All],[Total Non-Claims Spending]],TM[[#All],[Reporting Year]],2022,TM[[#All],[Insurance Category Code]],4,TM[[#All],[Large Provider Entity Code]],A73)/I73,"NA")</f>
        <v>NA</v>
      </c>
      <c r="L73" s="7" t="str">
        <f>IFERROR(SUMIFS(TM[[#All],[Total Non-Truncated Claims and Non-Claims Spending]],TM[[#All],[Reporting Year]],2022,TM[[#All],[Insurance Category Code]],4,TM[[#All],[Large Provider Entity Code]],A73)/I73,"NA")</f>
        <v>NA</v>
      </c>
      <c r="M73" s="7" t="str">
        <f>IFERROR(SUMIFS(TM[[#All],[Total Truncated Claims Spending]],TM[[#All],[Reporting Year]],2022,TM[[#All],[Insurance Category Code]],4,TM[[#All],[Large Provider Entity Code]],A73)/I73,"NA")</f>
        <v>NA</v>
      </c>
      <c r="N73" s="96" t="str">
        <f>IFERROR(SUMIFS(TM[[#All],[Total Truncated Expenses]],TM[[#All],[Reporting Year]],2022,TM[[#All],[Insurance Category Code]],4,TM[[#All],[Large Provider Entity Code]],A73)/I73,"NA")</f>
        <v>NA</v>
      </c>
      <c r="O73" s="518">
        <f t="shared" si="53"/>
        <v>0</v>
      </c>
      <c r="P73" s="243" t="str">
        <f t="shared" si="47"/>
        <v>NA</v>
      </c>
      <c r="Q73" s="97" t="str">
        <f t="shared" si="48"/>
        <v>NA</v>
      </c>
      <c r="R73" s="97" t="str">
        <f t="shared" si="49"/>
        <v>NA</v>
      </c>
      <c r="S73" s="97" t="str">
        <f t="shared" si="50"/>
        <v>NA</v>
      </c>
      <c r="T73" s="97" t="str">
        <f t="shared" si="51"/>
        <v>NA</v>
      </c>
      <c r="U73" s="97" t="str">
        <f t="shared" si="52"/>
        <v>NA</v>
      </c>
    </row>
    <row r="74" spans="1:21" ht="14.45" customHeight="1" x14ac:dyDescent="0.25">
      <c r="A74" s="218">
        <v>103</v>
      </c>
      <c r="B74" s="495" t="s">
        <v>73</v>
      </c>
      <c r="C74" s="95">
        <f>SUMIFS(TM[[#All],[Member Months]],TM[[#All],[Reporting Year]],2021,TM[[#All],[Insurance Category Code]],4,TM[[#All],[Large Provider Entity Code]],A74)</f>
        <v>0</v>
      </c>
      <c r="D74" s="7" t="str">
        <f>IFERROR(SUMIFS(TM[[#All],[Total Non-Truncated Claims Spending]],TM[[#All],[Reporting Year]],2021,TM[[#All],[Insurance Category Code]],4,TM[[#All],[Large Provider Entity Code]],A74)/C74,"NA")</f>
        <v>NA</v>
      </c>
      <c r="E74" s="7" t="str">
        <f>IFERROR(SUMIFS(TM[[#All],[Total Non-Claims Spending]],TM[[#All],[Reporting Year]],2021,TM[[#All],[Insurance Category Code]],4,TM[[#All],[Large Provider Entity Code]],A74)/C74,"NA")</f>
        <v>NA</v>
      </c>
      <c r="F74" s="7" t="str">
        <f>IFERROR(SUMIFS(TM[[#All],[Total Non-Truncated Claims and Non-Claims Spending]],TM[[#All],[Reporting Year]],2021,TM[[#All],[Insurance Category Code]],4,TM[[#All],[Large Provider Entity Code]],A74)/C74,"NA")</f>
        <v>NA</v>
      </c>
      <c r="G74" s="7" t="str">
        <f>IFERROR(SUMIFS(TM[[#All],[Total Truncated Claims Spending]],TM[[#All],[Reporting Year]],2021,TM[[#All],[Insurance Category Code]],4,TM[[#All],[Large Provider Entity Code]],A74)/C74,"NA")</f>
        <v>NA</v>
      </c>
      <c r="H74" s="96" t="str">
        <f>IFERROR(SUMIFS(TM[[#All],[Total Truncated Expenses]],TM[[#All],[Reporting Year]],2021,TM[[#All],[Insurance Category Code]],4,TM[[#All],[Large Provider Entity Code]],A74)/C74,"NA")</f>
        <v>NA</v>
      </c>
      <c r="I74" s="95">
        <f>SUMIFS(TM[[#All],[Member Months]],TM[[#All],[Reporting Year]],2022,TM[[#All],[Insurance Category Code]],4,TM[[#All],[Large Provider Entity Code]],A74)</f>
        <v>0</v>
      </c>
      <c r="J74" s="7" t="str">
        <f>IFERROR(SUMIFS(TM[[#All],[Total Non-Truncated Claims Spending]],TM[[#All],[Reporting Year]],2022,TM[[#All],[Insurance Category Code]],4,TM[[#All],[Large Provider Entity Code]],A74)/I74,"NA")</f>
        <v>NA</v>
      </c>
      <c r="K74" s="7" t="str">
        <f>IFERROR(SUMIFS(TM[[#All],[Total Non-Claims Spending]],TM[[#All],[Reporting Year]],2022,TM[[#All],[Insurance Category Code]],4,TM[[#All],[Large Provider Entity Code]],A74)/I74,"NA")</f>
        <v>NA</v>
      </c>
      <c r="L74" s="7" t="str">
        <f>IFERROR(SUMIFS(TM[[#All],[Total Non-Truncated Claims and Non-Claims Spending]],TM[[#All],[Reporting Year]],2022,TM[[#All],[Insurance Category Code]],4,TM[[#All],[Large Provider Entity Code]],A74)/I74,"NA")</f>
        <v>NA</v>
      </c>
      <c r="M74" s="7" t="str">
        <f>IFERROR(SUMIFS(TM[[#All],[Total Truncated Claims Spending]],TM[[#All],[Reporting Year]],2022,TM[[#All],[Insurance Category Code]],4,TM[[#All],[Large Provider Entity Code]],A74)/I74,"NA")</f>
        <v>NA</v>
      </c>
      <c r="N74" s="96" t="str">
        <f>IFERROR(SUMIFS(TM[[#All],[Total Truncated Expenses]],TM[[#All],[Reporting Year]],2022,TM[[#All],[Insurance Category Code]],4,TM[[#All],[Large Provider Entity Code]],A74)/I74,"NA")</f>
        <v>NA</v>
      </c>
      <c r="O74" s="518">
        <f t="shared" si="53"/>
        <v>0</v>
      </c>
      <c r="P74" s="243" t="str">
        <f t="shared" si="47"/>
        <v>NA</v>
      </c>
      <c r="Q74" s="97" t="str">
        <f t="shared" si="48"/>
        <v>NA</v>
      </c>
      <c r="R74" s="97" t="str">
        <f t="shared" si="49"/>
        <v>NA</v>
      </c>
      <c r="S74" s="97" t="str">
        <f t="shared" si="50"/>
        <v>NA</v>
      </c>
      <c r="T74" s="97" t="str">
        <f t="shared" si="51"/>
        <v>NA</v>
      </c>
      <c r="U74" s="97" t="str">
        <f t="shared" si="52"/>
        <v>NA</v>
      </c>
    </row>
    <row r="75" spans="1:21" x14ac:dyDescent="0.25">
      <c r="A75" s="218">
        <v>104</v>
      </c>
      <c r="B75" s="495" t="s">
        <v>611</v>
      </c>
      <c r="C75" s="95">
        <f>SUMIFS(TM[[#All],[Member Months]],TM[[#All],[Reporting Year]],2021,TM[[#All],[Insurance Category Code]],4,TM[[#All],[Large Provider Entity Code]],A75)</f>
        <v>0</v>
      </c>
      <c r="D75" s="7" t="str">
        <f>IFERROR(SUMIFS(TM[[#All],[Total Non-Truncated Claims Spending]],TM[[#All],[Reporting Year]],2021,TM[[#All],[Insurance Category Code]],4,TM[[#All],[Large Provider Entity Code]],A75)/C75,"NA")</f>
        <v>NA</v>
      </c>
      <c r="E75" s="7" t="str">
        <f>IFERROR(SUMIFS(TM[[#All],[Total Non-Claims Spending]],TM[[#All],[Reporting Year]],2021,TM[[#All],[Insurance Category Code]],4,TM[[#All],[Large Provider Entity Code]],A75)/C75,"NA")</f>
        <v>NA</v>
      </c>
      <c r="F75" s="7" t="str">
        <f>IFERROR(SUMIFS(TM[[#All],[Total Non-Truncated Claims and Non-Claims Spending]],TM[[#All],[Reporting Year]],2021,TM[[#All],[Insurance Category Code]],4,TM[[#All],[Large Provider Entity Code]],A75)/C75,"NA")</f>
        <v>NA</v>
      </c>
      <c r="G75" s="7" t="str">
        <f>IFERROR(SUMIFS(TM[[#All],[Total Truncated Claims Spending]],TM[[#All],[Reporting Year]],2021,TM[[#All],[Insurance Category Code]],4,TM[[#All],[Large Provider Entity Code]],A75)/C75,"NA")</f>
        <v>NA</v>
      </c>
      <c r="H75" s="96" t="str">
        <f>IFERROR(SUMIFS(TM[[#All],[Total Truncated Expenses]],TM[[#All],[Reporting Year]],2021,TM[[#All],[Insurance Category Code]],4,TM[[#All],[Large Provider Entity Code]],A75)/C75,"NA")</f>
        <v>NA</v>
      </c>
      <c r="I75" s="95">
        <f>SUMIFS(TM[[#All],[Member Months]],TM[[#All],[Reporting Year]],2022,TM[[#All],[Insurance Category Code]],4,TM[[#All],[Large Provider Entity Code]],A75)</f>
        <v>0</v>
      </c>
      <c r="J75" s="7" t="str">
        <f>IFERROR(SUMIFS(TM[[#All],[Total Non-Truncated Claims Spending]],TM[[#All],[Reporting Year]],2022,TM[[#All],[Insurance Category Code]],4,TM[[#All],[Large Provider Entity Code]],A75)/I75,"NA")</f>
        <v>NA</v>
      </c>
      <c r="K75" s="7" t="str">
        <f>IFERROR(SUMIFS(TM[[#All],[Total Non-Claims Spending]],TM[[#All],[Reporting Year]],2022,TM[[#All],[Insurance Category Code]],4,TM[[#All],[Large Provider Entity Code]],A75)/I75,"NA")</f>
        <v>NA</v>
      </c>
      <c r="L75" s="7" t="str">
        <f>IFERROR(SUMIFS(TM[[#All],[Total Non-Truncated Claims and Non-Claims Spending]],TM[[#All],[Reporting Year]],2022,TM[[#All],[Insurance Category Code]],4,TM[[#All],[Large Provider Entity Code]],A75)/I75,"NA")</f>
        <v>NA</v>
      </c>
      <c r="M75" s="7" t="str">
        <f>IFERROR(SUMIFS(TM[[#All],[Total Truncated Claims Spending]],TM[[#All],[Reporting Year]],2022,TM[[#All],[Insurance Category Code]],4,TM[[#All],[Large Provider Entity Code]],A75)/I75,"NA")</f>
        <v>NA</v>
      </c>
      <c r="N75" s="96" t="str">
        <f>IFERROR(SUMIFS(TM[[#All],[Total Truncated Expenses]],TM[[#All],[Reporting Year]],2022,TM[[#All],[Insurance Category Code]],4,TM[[#All],[Large Provider Entity Code]],A75)/I75,"NA")</f>
        <v>NA</v>
      </c>
      <c r="O75" s="518">
        <f t="shared" si="53"/>
        <v>0</v>
      </c>
      <c r="P75" s="243" t="str">
        <f t="shared" si="47"/>
        <v>NA</v>
      </c>
      <c r="Q75" s="97" t="str">
        <f t="shared" si="48"/>
        <v>NA</v>
      </c>
      <c r="R75" s="97" t="str">
        <f t="shared" si="49"/>
        <v>NA</v>
      </c>
      <c r="S75" s="97" t="str">
        <f t="shared" si="50"/>
        <v>NA</v>
      </c>
      <c r="T75" s="97" t="str">
        <f t="shared" si="51"/>
        <v>NA</v>
      </c>
      <c r="U75" s="97" t="str">
        <f t="shared" si="52"/>
        <v>NA</v>
      </c>
    </row>
    <row r="76" spans="1:21" x14ac:dyDescent="0.25">
      <c r="A76" s="218">
        <v>105</v>
      </c>
      <c r="B76" s="566" t="s">
        <v>607</v>
      </c>
      <c r="C76" s="95">
        <f>SUMIFS(TM[[#All],[Member Months]],TM[[#All],[Reporting Year]],2021,TM[[#All],[Insurance Category Code]],4,TM[[#All],[Large Provider Entity Code]],A76)</f>
        <v>0</v>
      </c>
      <c r="D76" s="7" t="str">
        <f>IFERROR(SUMIFS(TM[[#All],[Total Non-Truncated Claims Spending]],TM[[#All],[Reporting Year]],2021,TM[[#All],[Insurance Category Code]],4,TM[[#All],[Large Provider Entity Code]],A76)/C76,"NA")</f>
        <v>NA</v>
      </c>
      <c r="E76" s="7" t="str">
        <f>IFERROR(SUMIFS(TM[[#All],[Total Non-Claims Spending]],TM[[#All],[Reporting Year]],2021,TM[[#All],[Insurance Category Code]],4,TM[[#All],[Large Provider Entity Code]],A76)/C76,"NA")</f>
        <v>NA</v>
      </c>
      <c r="F76" s="7" t="str">
        <f>IFERROR(SUMIFS(TM[[#All],[Total Non-Truncated Claims and Non-Claims Spending]],TM[[#All],[Reporting Year]],2021,TM[[#All],[Insurance Category Code]],4,TM[[#All],[Large Provider Entity Code]],A76)/C76,"NA")</f>
        <v>NA</v>
      </c>
      <c r="G76" s="7" t="str">
        <f>IFERROR(SUMIFS(TM[[#All],[Total Truncated Claims Spending]],TM[[#All],[Reporting Year]],2021,TM[[#All],[Insurance Category Code]],4,TM[[#All],[Large Provider Entity Code]],A76)/C76,"NA")</f>
        <v>NA</v>
      </c>
      <c r="H76" s="96" t="str">
        <f>IFERROR(SUMIFS(TM[[#All],[Total Truncated Expenses]],TM[[#All],[Reporting Year]],2021,TM[[#All],[Insurance Category Code]],4,TM[[#All],[Large Provider Entity Code]],A76)/C76,"NA")</f>
        <v>NA</v>
      </c>
      <c r="I76" s="95">
        <f>SUMIFS(TM[[#All],[Member Months]],TM[[#All],[Reporting Year]],2022,TM[[#All],[Insurance Category Code]],4,TM[[#All],[Large Provider Entity Code]],A76)</f>
        <v>0</v>
      </c>
      <c r="J76" s="7" t="str">
        <f>IFERROR(SUMIFS(TM[[#All],[Total Non-Truncated Claims Spending]],TM[[#All],[Reporting Year]],2022,TM[[#All],[Insurance Category Code]],4,TM[[#All],[Large Provider Entity Code]],A76)/I76,"NA")</f>
        <v>NA</v>
      </c>
      <c r="K76" s="7" t="str">
        <f>IFERROR(SUMIFS(TM[[#All],[Total Non-Claims Spending]],TM[[#All],[Reporting Year]],2022,TM[[#All],[Insurance Category Code]],4,TM[[#All],[Large Provider Entity Code]],A76)/I76,"NA")</f>
        <v>NA</v>
      </c>
      <c r="L76" s="7" t="str">
        <f>IFERROR(SUMIFS(TM[[#All],[Total Non-Truncated Claims and Non-Claims Spending]],TM[[#All],[Reporting Year]],2022,TM[[#All],[Insurance Category Code]],4,TM[[#All],[Large Provider Entity Code]],A76)/I76,"NA")</f>
        <v>NA</v>
      </c>
      <c r="M76" s="7" t="str">
        <f>IFERROR(SUMIFS(TM[[#All],[Total Truncated Claims Spending]],TM[[#All],[Reporting Year]],2022,TM[[#All],[Insurance Category Code]],4,TM[[#All],[Large Provider Entity Code]],A76)/I76,"NA")</f>
        <v>NA</v>
      </c>
      <c r="N76" s="96" t="str">
        <f>IFERROR(SUMIFS(TM[[#All],[Total Truncated Expenses]],TM[[#All],[Reporting Year]],2022,TM[[#All],[Insurance Category Code]],4,TM[[#All],[Large Provider Entity Code]],A76)/I76,"NA")</f>
        <v>NA</v>
      </c>
      <c r="O76" s="518">
        <f t="shared" si="53"/>
        <v>0</v>
      </c>
      <c r="P76" s="243" t="str">
        <f t="shared" si="47"/>
        <v>NA</v>
      </c>
      <c r="Q76" s="97" t="str">
        <f t="shared" si="48"/>
        <v>NA</v>
      </c>
      <c r="R76" s="97" t="str">
        <f t="shared" si="49"/>
        <v>NA</v>
      </c>
      <c r="S76" s="97" t="str">
        <f t="shared" si="50"/>
        <v>NA</v>
      </c>
      <c r="T76" s="97" t="str">
        <f t="shared" si="51"/>
        <v>NA</v>
      </c>
      <c r="U76" s="97" t="str">
        <f t="shared" si="52"/>
        <v>NA</v>
      </c>
    </row>
    <row r="77" spans="1:21" x14ac:dyDescent="0.25">
      <c r="A77" s="218">
        <v>106</v>
      </c>
      <c r="B77" s="495" t="s">
        <v>74</v>
      </c>
      <c r="C77" s="95">
        <f>SUMIFS(TM[[#All],[Member Months]],TM[[#All],[Reporting Year]],2021,TM[[#All],[Insurance Category Code]],4,TM[[#All],[Large Provider Entity Code]],A77)</f>
        <v>0</v>
      </c>
      <c r="D77" s="7" t="str">
        <f>IFERROR(SUMIFS(TM[[#All],[Total Non-Truncated Claims Spending]],TM[[#All],[Reporting Year]],2021,TM[[#All],[Insurance Category Code]],4,TM[[#All],[Large Provider Entity Code]],A77)/C77,"NA")</f>
        <v>NA</v>
      </c>
      <c r="E77" s="7" t="str">
        <f>IFERROR(SUMIFS(TM[[#All],[Total Non-Claims Spending]],TM[[#All],[Reporting Year]],2021,TM[[#All],[Insurance Category Code]],4,TM[[#All],[Large Provider Entity Code]],A77)/C77,"NA")</f>
        <v>NA</v>
      </c>
      <c r="F77" s="7" t="str">
        <f>IFERROR(SUMIFS(TM[[#All],[Total Non-Truncated Claims and Non-Claims Spending]],TM[[#All],[Reporting Year]],2021,TM[[#All],[Insurance Category Code]],4,TM[[#All],[Large Provider Entity Code]],A77)/C77,"NA")</f>
        <v>NA</v>
      </c>
      <c r="G77" s="7" t="str">
        <f>IFERROR(SUMIFS(TM[[#All],[Total Truncated Claims Spending]],TM[[#All],[Reporting Year]],2021,TM[[#All],[Insurance Category Code]],4,TM[[#All],[Large Provider Entity Code]],A77)/C77,"NA")</f>
        <v>NA</v>
      </c>
      <c r="H77" s="96" t="str">
        <f>IFERROR(SUMIFS(TM[[#All],[Total Truncated Expenses]],TM[[#All],[Reporting Year]],2021,TM[[#All],[Insurance Category Code]],4,TM[[#All],[Large Provider Entity Code]],A77)/C77,"NA")</f>
        <v>NA</v>
      </c>
      <c r="I77" s="95">
        <f>SUMIFS(TM[[#All],[Member Months]],TM[[#All],[Reporting Year]],2022,TM[[#All],[Insurance Category Code]],4,TM[[#All],[Large Provider Entity Code]],A77)</f>
        <v>0</v>
      </c>
      <c r="J77" s="7" t="str">
        <f>IFERROR(SUMIFS(TM[[#All],[Total Non-Truncated Claims Spending]],TM[[#All],[Reporting Year]],2022,TM[[#All],[Insurance Category Code]],4,TM[[#All],[Large Provider Entity Code]],A77)/I77,"NA")</f>
        <v>NA</v>
      </c>
      <c r="K77" s="7" t="str">
        <f>IFERROR(SUMIFS(TM[[#All],[Total Non-Claims Spending]],TM[[#All],[Reporting Year]],2022,TM[[#All],[Insurance Category Code]],4,TM[[#All],[Large Provider Entity Code]],A77)/I77,"NA")</f>
        <v>NA</v>
      </c>
      <c r="L77" s="7" t="str">
        <f>IFERROR(SUMIFS(TM[[#All],[Total Non-Truncated Claims and Non-Claims Spending]],TM[[#All],[Reporting Year]],2022,TM[[#All],[Insurance Category Code]],4,TM[[#All],[Large Provider Entity Code]],A77)/I77,"NA")</f>
        <v>NA</v>
      </c>
      <c r="M77" s="7" t="str">
        <f>IFERROR(SUMIFS(TM[[#All],[Total Truncated Claims Spending]],TM[[#All],[Reporting Year]],2022,TM[[#All],[Insurance Category Code]],4,TM[[#All],[Large Provider Entity Code]],A77)/I77,"NA")</f>
        <v>NA</v>
      </c>
      <c r="N77" s="96" t="str">
        <f>IFERROR(SUMIFS(TM[[#All],[Total Truncated Expenses]],TM[[#All],[Reporting Year]],2022,TM[[#All],[Insurance Category Code]],4,TM[[#All],[Large Provider Entity Code]],A77)/I77,"NA")</f>
        <v>NA</v>
      </c>
      <c r="O77" s="518">
        <f t="shared" si="53"/>
        <v>0</v>
      </c>
      <c r="P77" s="243" t="str">
        <f t="shared" si="47"/>
        <v>NA</v>
      </c>
      <c r="Q77" s="97" t="str">
        <f t="shared" si="48"/>
        <v>NA</v>
      </c>
      <c r="R77" s="97" t="str">
        <f t="shared" si="49"/>
        <v>NA</v>
      </c>
      <c r="S77" s="97" t="str">
        <f t="shared" si="50"/>
        <v>NA</v>
      </c>
      <c r="T77" s="97" t="str">
        <f t="shared" si="51"/>
        <v>NA</v>
      </c>
      <c r="U77" s="97" t="str">
        <f t="shared" si="52"/>
        <v>NA</v>
      </c>
    </row>
    <row r="78" spans="1:21" ht="30" x14ac:dyDescent="0.25">
      <c r="A78" s="218">
        <v>107</v>
      </c>
      <c r="B78" s="495" t="s">
        <v>75</v>
      </c>
      <c r="C78" s="95">
        <f>SUMIFS(TM[[#All],[Member Months]],TM[[#All],[Reporting Year]],2021,TM[[#All],[Insurance Category Code]],4,TM[[#All],[Large Provider Entity Code]],A78)</f>
        <v>0</v>
      </c>
      <c r="D78" s="7" t="str">
        <f>IFERROR(SUMIFS(TM[[#All],[Total Non-Truncated Claims Spending]],TM[[#All],[Reporting Year]],2021,TM[[#All],[Insurance Category Code]],4,TM[[#All],[Large Provider Entity Code]],A78)/C78,"NA")</f>
        <v>NA</v>
      </c>
      <c r="E78" s="7" t="str">
        <f>IFERROR(SUMIFS(TM[[#All],[Total Non-Claims Spending]],TM[[#All],[Reporting Year]],2021,TM[[#All],[Insurance Category Code]],4,TM[[#All],[Large Provider Entity Code]],A78)/C78,"NA")</f>
        <v>NA</v>
      </c>
      <c r="F78" s="7" t="str">
        <f>IFERROR(SUMIFS(TM[[#All],[Total Non-Truncated Claims and Non-Claims Spending]],TM[[#All],[Reporting Year]],2021,TM[[#All],[Insurance Category Code]],4,TM[[#All],[Large Provider Entity Code]],A78)/C78,"NA")</f>
        <v>NA</v>
      </c>
      <c r="G78" s="7" t="str">
        <f>IFERROR(SUMIFS(TM[[#All],[Total Truncated Claims Spending]],TM[[#All],[Reporting Year]],2021,TM[[#All],[Insurance Category Code]],4,TM[[#All],[Large Provider Entity Code]],A78)/C78,"NA")</f>
        <v>NA</v>
      </c>
      <c r="H78" s="96" t="str">
        <f>IFERROR(SUMIFS(TM[[#All],[Total Truncated Expenses]],TM[[#All],[Reporting Year]],2021,TM[[#All],[Insurance Category Code]],4,TM[[#All],[Large Provider Entity Code]],A78)/C78,"NA")</f>
        <v>NA</v>
      </c>
      <c r="I78" s="95">
        <f>SUMIFS(TM[[#All],[Member Months]],TM[[#All],[Reporting Year]],2022,TM[[#All],[Insurance Category Code]],4,TM[[#All],[Large Provider Entity Code]],A78)</f>
        <v>0</v>
      </c>
      <c r="J78" s="7" t="str">
        <f>IFERROR(SUMIFS(TM[[#All],[Total Non-Truncated Claims Spending]],TM[[#All],[Reporting Year]],2022,TM[[#All],[Insurance Category Code]],4,TM[[#All],[Large Provider Entity Code]],A78)/I78,"NA")</f>
        <v>NA</v>
      </c>
      <c r="K78" s="7" t="str">
        <f>IFERROR(SUMIFS(TM[[#All],[Total Non-Claims Spending]],TM[[#All],[Reporting Year]],2022,TM[[#All],[Insurance Category Code]],4,TM[[#All],[Large Provider Entity Code]],A78)/I78,"NA")</f>
        <v>NA</v>
      </c>
      <c r="L78" s="7" t="str">
        <f>IFERROR(SUMIFS(TM[[#All],[Total Non-Truncated Claims and Non-Claims Spending]],TM[[#All],[Reporting Year]],2022,TM[[#All],[Insurance Category Code]],4,TM[[#All],[Large Provider Entity Code]],A78)/I78,"NA")</f>
        <v>NA</v>
      </c>
      <c r="M78" s="7" t="str">
        <f>IFERROR(SUMIFS(TM[[#All],[Total Truncated Claims Spending]],TM[[#All],[Reporting Year]],2022,TM[[#All],[Insurance Category Code]],4,TM[[#All],[Large Provider Entity Code]],A78)/I78,"NA")</f>
        <v>NA</v>
      </c>
      <c r="N78" s="96" t="str">
        <f>IFERROR(SUMIFS(TM[[#All],[Total Truncated Expenses]],TM[[#All],[Reporting Year]],2022,TM[[#All],[Insurance Category Code]],4,TM[[#All],[Large Provider Entity Code]],A78)/I78,"NA")</f>
        <v>NA</v>
      </c>
      <c r="O78" s="518">
        <f t="shared" si="53"/>
        <v>0</v>
      </c>
      <c r="P78" s="243" t="str">
        <f t="shared" si="47"/>
        <v>NA</v>
      </c>
      <c r="Q78" s="97" t="str">
        <f t="shared" si="48"/>
        <v>NA</v>
      </c>
      <c r="R78" s="97" t="str">
        <f t="shared" si="49"/>
        <v>NA</v>
      </c>
      <c r="S78" s="97" t="str">
        <f t="shared" si="50"/>
        <v>NA</v>
      </c>
      <c r="T78" s="97" t="str">
        <f t="shared" si="51"/>
        <v>NA</v>
      </c>
      <c r="U78" s="97" t="str">
        <f t="shared" si="52"/>
        <v>NA</v>
      </c>
    </row>
    <row r="79" spans="1:21" x14ac:dyDescent="0.25">
      <c r="A79" s="218">
        <v>108</v>
      </c>
      <c r="B79" s="495" t="s">
        <v>612</v>
      </c>
      <c r="C79" s="95">
        <f>SUMIFS(TM[[#All],[Member Months]],TM[[#All],[Reporting Year]],2021,TM[[#All],[Insurance Category Code]],4,TM[[#All],[Large Provider Entity Code]],A79)</f>
        <v>0</v>
      </c>
      <c r="D79" s="7" t="str">
        <f>IFERROR(SUMIFS(TM[[#All],[Total Non-Truncated Claims Spending]],TM[[#All],[Reporting Year]],2021,TM[[#All],[Insurance Category Code]],4,TM[[#All],[Large Provider Entity Code]],A79)/C79,"NA")</f>
        <v>NA</v>
      </c>
      <c r="E79" s="7" t="str">
        <f>IFERROR(SUMIFS(TM[[#All],[Total Non-Claims Spending]],TM[[#All],[Reporting Year]],2021,TM[[#All],[Insurance Category Code]],4,TM[[#All],[Large Provider Entity Code]],A79)/C79,"NA")</f>
        <v>NA</v>
      </c>
      <c r="F79" s="7" t="str">
        <f>IFERROR(SUMIFS(TM[[#All],[Total Non-Truncated Claims and Non-Claims Spending]],TM[[#All],[Reporting Year]],2021,TM[[#All],[Insurance Category Code]],4,TM[[#All],[Large Provider Entity Code]],A79)/C79,"NA")</f>
        <v>NA</v>
      </c>
      <c r="G79" s="7" t="str">
        <f>IFERROR(SUMIFS(TM[[#All],[Total Truncated Claims Spending]],TM[[#All],[Reporting Year]],2021,TM[[#All],[Insurance Category Code]],4,TM[[#All],[Large Provider Entity Code]],A79)/C79,"NA")</f>
        <v>NA</v>
      </c>
      <c r="H79" s="96" t="str">
        <f>IFERROR(SUMIFS(TM[[#All],[Total Truncated Expenses]],TM[[#All],[Reporting Year]],2021,TM[[#All],[Insurance Category Code]],4,TM[[#All],[Large Provider Entity Code]],A79)/C79,"NA")</f>
        <v>NA</v>
      </c>
      <c r="I79" s="95">
        <f>SUMIFS(TM[[#All],[Member Months]],TM[[#All],[Reporting Year]],2022,TM[[#All],[Insurance Category Code]],4,TM[[#All],[Large Provider Entity Code]],A79)</f>
        <v>0</v>
      </c>
      <c r="J79" s="7" t="str">
        <f>IFERROR(SUMIFS(TM[[#All],[Total Non-Truncated Claims Spending]],TM[[#All],[Reporting Year]],2022,TM[[#All],[Insurance Category Code]],4,TM[[#All],[Large Provider Entity Code]],A79)/I79,"NA")</f>
        <v>NA</v>
      </c>
      <c r="K79" s="7" t="str">
        <f>IFERROR(SUMIFS(TM[[#All],[Total Non-Claims Spending]],TM[[#All],[Reporting Year]],2022,TM[[#All],[Insurance Category Code]],4,TM[[#All],[Large Provider Entity Code]],A79)/I79,"NA")</f>
        <v>NA</v>
      </c>
      <c r="L79" s="7" t="str">
        <f>IFERROR(SUMIFS(TM[[#All],[Total Non-Truncated Claims and Non-Claims Spending]],TM[[#All],[Reporting Year]],2022,TM[[#All],[Insurance Category Code]],4,TM[[#All],[Large Provider Entity Code]],A79)/I79,"NA")</f>
        <v>NA</v>
      </c>
      <c r="M79" s="7" t="str">
        <f>IFERROR(SUMIFS(TM[[#All],[Total Truncated Claims Spending]],TM[[#All],[Reporting Year]],2022,TM[[#All],[Insurance Category Code]],4,TM[[#All],[Large Provider Entity Code]],A79)/I79,"NA")</f>
        <v>NA</v>
      </c>
      <c r="N79" s="96" t="str">
        <f>IFERROR(SUMIFS(TM[[#All],[Total Truncated Expenses]],TM[[#All],[Reporting Year]],2022,TM[[#All],[Insurance Category Code]],4,TM[[#All],[Large Provider Entity Code]],A79)/I79,"NA")</f>
        <v>NA</v>
      </c>
      <c r="O79" s="518">
        <f t="shared" si="53"/>
        <v>0</v>
      </c>
      <c r="P79" s="243" t="str">
        <f t="shared" si="47"/>
        <v>NA</v>
      </c>
      <c r="Q79" s="97" t="str">
        <f t="shared" si="48"/>
        <v>NA</v>
      </c>
      <c r="R79" s="97" t="str">
        <f t="shared" si="49"/>
        <v>NA</v>
      </c>
      <c r="S79" s="97" t="str">
        <f t="shared" si="50"/>
        <v>NA</v>
      </c>
      <c r="T79" s="97" t="str">
        <f t="shared" si="51"/>
        <v>NA</v>
      </c>
      <c r="U79" s="97" t="str">
        <f t="shared" si="52"/>
        <v>NA</v>
      </c>
    </row>
    <row r="80" spans="1:21" x14ac:dyDescent="0.25">
      <c r="A80" s="218">
        <v>109</v>
      </c>
      <c r="B80" s="566" t="s">
        <v>76</v>
      </c>
      <c r="C80" s="95">
        <f>SUMIFS(TM[[#All],[Member Months]],TM[[#All],[Reporting Year]],2021,TM[[#All],[Insurance Category Code]],4,TM[[#All],[Large Provider Entity Code]],A80)</f>
        <v>0</v>
      </c>
      <c r="D80" s="7" t="str">
        <f>IFERROR(SUMIFS(TM[[#All],[Total Non-Truncated Claims Spending]],TM[[#All],[Reporting Year]],2021,TM[[#All],[Insurance Category Code]],4,TM[[#All],[Large Provider Entity Code]],A80)/C80,"NA")</f>
        <v>NA</v>
      </c>
      <c r="E80" s="7" t="str">
        <f>IFERROR(SUMIFS(TM[[#All],[Total Non-Claims Spending]],TM[[#All],[Reporting Year]],2021,TM[[#All],[Insurance Category Code]],4,TM[[#All],[Large Provider Entity Code]],A80)/C80,"NA")</f>
        <v>NA</v>
      </c>
      <c r="F80" s="7" t="str">
        <f>IFERROR(SUMIFS(TM[[#All],[Total Non-Truncated Claims and Non-Claims Spending]],TM[[#All],[Reporting Year]],2021,TM[[#All],[Insurance Category Code]],4,TM[[#All],[Large Provider Entity Code]],A80)/C80,"NA")</f>
        <v>NA</v>
      </c>
      <c r="G80" s="7" t="str">
        <f>IFERROR(SUMIFS(TM[[#All],[Total Truncated Claims Spending]],TM[[#All],[Reporting Year]],2021,TM[[#All],[Insurance Category Code]],4,TM[[#All],[Large Provider Entity Code]],A80)/C80,"NA")</f>
        <v>NA</v>
      </c>
      <c r="H80" s="96" t="str">
        <f>IFERROR(SUMIFS(TM[[#All],[Total Truncated Expenses]],TM[[#All],[Reporting Year]],2021,TM[[#All],[Insurance Category Code]],4,TM[[#All],[Large Provider Entity Code]],A80)/C80,"NA")</f>
        <v>NA</v>
      </c>
      <c r="I80" s="95">
        <f>SUMIFS(TM[[#All],[Member Months]],TM[[#All],[Reporting Year]],2022,TM[[#All],[Insurance Category Code]],4,TM[[#All],[Large Provider Entity Code]],A80)</f>
        <v>0</v>
      </c>
      <c r="J80" s="7" t="str">
        <f>IFERROR(SUMIFS(TM[[#All],[Total Non-Truncated Claims Spending]],TM[[#All],[Reporting Year]],2022,TM[[#All],[Insurance Category Code]],4,TM[[#All],[Large Provider Entity Code]],A80)/I80,"NA")</f>
        <v>NA</v>
      </c>
      <c r="K80" s="7" t="str">
        <f>IFERROR(SUMIFS(TM[[#All],[Total Non-Claims Spending]],TM[[#All],[Reporting Year]],2022,TM[[#All],[Insurance Category Code]],4,TM[[#All],[Large Provider Entity Code]],A80)/I80,"NA")</f>
        <v>NA</v>
      </c>
      <c r="L80" s="7" t="str">
        <f>IFERROR(SUMIFS(TM[[#All],[Total Non-Truncated Claims and Non-Claims Spending]],TM[[#All],[Reporting Year]],2022,TM[[#All],[Insurance Category Code]],4,TM[[#All],[Large Provider Entity Code]],A80)/I80,"NA")</f>
        <v>NA</v>
      </c>
      <c r="M80" s="7" t="str">
        <f>IFERROR(SUMIFS(TM[[#All],[Total Truncated Claims Spending]],TM[[#All],[Reporting Year]],2022,TM[[#All],[Insurance Category Code]],4,TM[[#All],[Large Provider Entity Code]],A80)/I80,"NA")</f>
        <v>NA</v>
      </c>
      <c r="N80" s="96" t="str">
        <f>IFERROR(SUMIFS(TM[[#All],[Total Truncated Expenses]],TM[[#All],[Reporting Year]],2022,TM[[#All],[Insurance Category Code]],4,TM[[#All],[Large Provider Entity Code]],A80)/I80,"NA")</f>
        <v>NA</v>
      </c>
      <c r="O80" s="518">
        <f t="shared" si="53"/>
        <v>0</v>
      </c>
      <c r="P80" s="243" t="str">
        <f t="shared" si="47"/>
        <v>NA</v>
      </c>
      <c r="Q80" s="97" t="str">
        <f t="shared" si="48"/>
        <v>NA</v>
      </c>
      <c r="R80" s="97" t="str">
        <f t="shared" si="49"/>
        <v>NA</v>
      </c>
      <c r="S80" s="97" t="str">
        <f t="shared" si="50"/>
        <v>NA</v>
      </c>
      <c r="T80" s="97" t="str">
        <f t="shared" si="51"/>
        <v>NA</v>
      </c>
      <c r="U80" s="97" t="str">
        <f t="shared" si="52"/>
        <v>NA</v>
      </c>
    </row>
    <row r="81" spans="1:21" x14ac:dyDescent="0.25">
      <c r="A81" s="218">
        <v>110</v>
      </c>
      <c r="B81" s="495" t="s">
        <v>77</v>
      </c>
      <c r="C81" s="95">
        <f>SUMIFS(TM[[#All],[Member Months]],TM[[#All],[Reporting Year]],2021,TM[[#All],[Insurance Category Code]],4,TM[[#All],[Large Provider Entity Code]],A81)</f>
        <v>0</v>
      </c>
      <c r="D81" s="7" t="str">
        <f>IFERROR(SUMIFS(TM[[#All],[Total Non-Truncated Claims Spending]],TM[[#All],[Reporting Year]],2021,TM[[#All],[Insurance Category Code]],4,TM[[#All],[Large Provider Entity Code]],A81)/C81,"NA")</f>
        <v>NA</v>
      </c>
      <c r="E81" s="7" t="str">
        <f>IFERROR(SUMIFS(TM[[#All],[Total Non-Claims Spending]],TM[[#All],[Reporting Year]],2021,TM[[#All],[Insurance Category Code]],4,TM[[#All],[Large Provider Entity Code]],A81)/C81,"NA")</f>
        <v>NA</v>
      </c>
      <c r="F81" s="7" t="str">
        <f>IFERROR(SUMIFS(TM[[#All],[Total Non-Truncated Claims and Non-Claims Spending]],TM[[#All],[Reporting Year]],2021,TM[[#All],[Insurance Category Code]],4,TM[[#All],[Large Provider Entity Code]],A81)/C81,"NA")</f>
        <v>NA</v>
      </c>
      <c r="G81" s="7" t="str">
        <f>IFERROR(SUMIFS(TM[[#All],[Total Truncated Claims Spending]],TM[[#All],[Reporting Year]],2021,TM[[#All],[Insurance Category Code]],4,TM[[#All],[Large Provider Entity Code]],A81)/C81,"NA")</f>
        <v>NA</v>
      </c>
      <c r="H81" s="96" t="str">
        <f>IFERROR(SUMIFS(TM[[#All],[Total Truncated Expenses]],TM[[#All],[Reporting Year]],2021,TM[[#All],[Insurance Category Code]],4,TM[[#All],[Large Provider Entity Code]],A81)/C81,"NA")</f>
        <v>NA</v>
      </c>
      <c r="I81" s="95">
        <f>SUMIFS(TM[[#All],[Member Months]],TM[[#All],[Reporting Year]],2022,TM[[#All],[Insurance Category Code]],4,TM[[#All],[Large Provider Entity Code]],A81)</f>
        <v>0</v>
      </c>
      <c r="J81" s="7" t="str">
        <f>IFERROR(SUMIFS(TM[[#All],[Total Non-Truncated Claims Spending]],TM[[#All],[Reporting Year]],2022,TM[[#All],[Insurance Category Code]],4,TM[[#All],[Large Provider Entity Code]],A81)/I81,"NA")</f>
        <v>NA</v>
      </c>
      <c r="K81" s="7" t="str">
        <f>IFERROR(SUMIFS(TM[[#All],[Total Non-Claims Spending]],TM[[#All],[Reporting Year]],2022,TM[[#All],[Insurance Category Code]],4,TM[[#All],[Large Provider Entity Code]],A81)/I81,"NA")</f>
        <v>NA</v>
      </c>
      <c r="L81" s="7" t="str">
        <f>IFERROR(SUMIFS(TM[[#All],[Total Non-Truncated Claims and Non-Claims Spending]],TM[[#All],[Reporting Year]],2022,TM[[#All],[Insurance Category Code]],4,TM[[#All],[Large Provider Entity Code]],A81)/I81,"NA")</f>
        <v>NA</v>
      </c>
      <c r="M81" s="7" t="str">
        <f>IFERROR(SUMIFS(TM[[#All],[Total Truncated Claims Spending]],TM[[#All],[Reporting Year]],2022,TM[[#All],[Insurance Category Code]],4,TM[[#All],[Large Provider Entity Code]],A81)/I81,"NA")</f>
        <v>NA</v>
      </c>
      <c r="N81" s="96" t="str">
        <f>IFERROR(SUMIFS(TM[[#All],[Total Truncated Expenses]],TM[[#All],[Reporting Year]],2022,TM[[#All],[Insurance Category Code]],4,TM[[#All],[Large Provider Entity Code]],A81)/I81,"NA")</f>
        <v>NA</v>
      </c>
      <c r="O81" s="518">
        <f t="shared" si="53"/>
        <v>0</v>
      </c>
      <c r="P81" s="243" t="str">
        <f t="shared" si="47"/>
        <v>NA</v>
      </c>
      <c r="Q81" s="97" t="str">
        <f t="shared" si="48"/>
        <v>NA</v>
      </c>
      <c r="R81" s="97" t="str">
        <f t="shared" si="49"/>
        <v>NA</v>
      </c>
      <c r="S81" s="97" t="str">
        <f t="shared" si="50"/>
        <v>NA</v>
      </c>
      <c r="T81" s="97" t="str">
        <f t="shared" si="51"/>
        <v>NA</v>
      </c>
      <c r="U81" s="97" t="str">
        <f t="shared" si="52"/>
        <v>NA</v>
      </c>
    </row>
    <row r="82" spans="1:21" x14ac:dyDescent="0.25">
      <c r="A82" s="218">
        <v>111</v>
      </c>
      <c r="B82" s="566" t="s">
        <v>78</v>
      </c>
      <c r="C82" s="95">
        <f>SUMIFS(TM[[#All],[Member Months]],TM[[#All],[Reporting Year]],2021,TM[[#All],[Insurance Category Code]],4,TM[[#All],[Large Provider Entity Code]],A82)</f>
        <v>0</v>
      </c>
      <c r="D82" s="7" t="str">
        <f>IFERROR(SUMIFS(TM[[#All],[Total Non-Truncated Claims Spending]],TM[[#All],[Reporting Year]],2021,TM[[#All],[Insurance Category Code]],4,TM[[#All],[Large Provider Entity Code]],A82)/C82,"NA")</f>
        <v>NA</v>
      </c>
      <c r="E82" s="7" t="str">
        <f>IFERROR(SUMIFS(TM[[#All],[Total Non-Claims Spending]],TM[[#All],[Reporting Year]],2021,TM[[#All],[Insurance Category Code]],4,TM[[#All],[Large Provider Entity Code]],A82)/C82,"NA")</f>
        <v>NA</v>
      </c>
      <c r="F82" s="7" t="str">
        <f>IFERROR(SUMIFS(TM[[#All],[Total Non-Truncated Claims and Non-Claims Spending]],TM[[#All],[Reporting Year]],2021,TM[[#All],[Insurance Category Code]],4,TM[[#All],[Large Provider Entity Code]],A82)/C82,"NA")</f>
        <v>NA</v>
      </c>
      <c r="G82" s="7" t="str">
        <f>IFERROR(SUMIFS(TM[[#All],[Total Truncated Claims Spending]],TM[[#All],[Reporting Year]],2021,TM[[#All],[Insurance Category Code]],4,TM[[#All],[Large Provider Entity Code]],A82)/C82,"NA")</f>
        <v>NA</v>
      </c>
      <c r="H82" s="96" t="str">
        <f>IFERROR(SUMIFS(TM[[#All],[Total Truncated Expenses]],TM[[#All],[Reporting Year]],2021,TM[[#All],[Insurance Category Code]],4,TM[[#All],[Large Provider Entity Code]],A82)/C82,"NA")</f>
        <v>NA</v>
      </c>
      <c r="I82" s="95">
        <f>SUMIFS(TM[[#All],[Member Months]],TM[[#All],[Reporting Year]],2022,TM[[#All],[Insurance Category Code]],4,TM[[#All],[Large Provider Entity Code]],A82)</f>
        <v>0</v>
      </c>
      <c r="J82" s="7" t="str">
        <f>IFERROR(SUMIFS(TM[[#All],[Total Non-Truncated Claims Spending]],TM[[#All],[Reporting Year]],2022,TM[[#All],[Insurance Category Code]],4,TM[[#All],[Large Provider Entity Code]],A82)/I82,"NA")</f>
        <v>NA</v>
      </c>
      <c r="K82" s="7" t="str">
        <f>IFERROR(SUMIFS(TM[[#All],[Total Non-Claims Spending]],TM[[#All],[Reporting Year]],2022,TM[[#All],[Insurance Category Code]],4,TM[[#All],[Large Provider Entity Code]],A82)/I82,"NA")</f>
        <v>NA</v>
      </c>
      <c r="L82" s="7" t="str">
        <f>IFERROR(SUMIFS(TM[[#All],[Total Non-Truncated Claims and Non-Claims Spending]],TM[[#All],[Reporting Year]],2022,TM[[#All],[Insurance Category Code]],4,TM[[#All],[Large Provider Entity Code]],A82)/I82,"NA")</f>
        <v>NA</v>
      </c>
      <c r="M82" s="7" t="str">
        <f>IFERROR(SUMIFS(TM[[#All],[Total Truncated Claims Spending]],TM[[#All],[Reporting Year]],2022,TM[[#All],[Insurance Category Code]],4,TM[[#All],[Large Provider Entity Code]],A82)/I82,"NA")</f>
        <v>NA</v>
      </c>
      <c r="N82" s="96" t="str">
        <f>IFERROR(SUMIFS(TM[[#All],[Total Truncated Expenses]],TM[[#All],[Reporting Year]],2022,TM[[#All],[Insurance Category Code]],4,TM[[#All],[Large Provider Entity Code]],A82)/I82,"NA")</f>
        <v>NA</v>
      </c>
      <c r="O82" s="518">
        <f t="shared" si="53"/>
        <v>0</v>
      </c>
      <c r="P82" s="243" t="str">
        <f t="shared" si="47"/>
        <v>NA</v>
      </c>
      <c r="Q82" s="97" t="str">
        <f t="shared" si="48"/>
        <v>NA</v>
      </c>
      <c r="R82" s="97" t="str">
        <f t="shared" si="49"/>
        <v>NA</v>
      </c>
      <c r="S82" s="97" t="str">
        <f t="shared" si="50"/>
        <v>NA</v>
      </c>
      <c r="T82" s="97" t="str">
        <f t="shared" si="51"/>
        <v>NA</v>
      </c>
      <c r="U82" s="97" t="str">
        <f t="shared" si="52"/>
        <v>NA</v>
      </c>
    </row>
    <row r="83" spans="1:21" x14ac:dyDescent="0.25">
      <c r="A83" s="218">
        <v>112</v>
      </c>
      <c r="B83" s="566" t="s">
        <v>613</v>
      </c>
      <c r="C83" s="95">
        <f>SUMIFS(TM[[#All],[Member Months]],TM[[#All],[Reporting Year]],2021,TM[[#All],[Insurance Category Code]],4,TM[[#All],[Large Provider Entity Code]],A83)</f>
        <v>0</v>
      </c>
      <c r="D83" s="7" t="str">
        <f>IFERROR(SUMIFS(TM[[#All],[Total Non-Truncated Claims Spending]],TM[[#All],[Reporting Year]],2021,TM[[#All],[Insurance Category Code]],4,TM[[#All],[Large Provider Entity Code]],A83)/C83,"NA")</f>
        <v>NA</v>
      </c>
      <c r="E83" s="7" t="str">
        <f>IFERROR(SUMIFS(TM[[#All],[Total Non-Claims Spending]],TM[[#All],[Reporting Year]],2021,TM[[#All],[Insurance Category Code]],4,TM[[#All],[Large Provider Entity Code]],A83)/C83,"NA")</f>
        <v>NA</v>
      </c>
      <c r="F83" s="7" t="str">
        <f>IFERROR(SUMIFS(TM[[#All],[Total Non-Truncated Claims and Non-Claims Spending]],TM[[#All],[Reporting Year]],2021,TM[[#All],[Insurance Category Code]],4,TM[[#All],[Large Provider Entity Code]],A83)/C83,"NA")</f>
        <v>NA</v>
      </c>
      <c r="G83" s="7" t="str">
        <f>IFERROR(SUMIFS(TM[[#All],[Total Truncated Claims Spending]],TM[[#All],[Reporting Year]],2021,TM[[#All],[Insurance Category Code]],4,TM[[#All],[Large Provider Entity Code]],A83)/C83,"NA")</f>
        <v>NA</v>
      </c>
      <c r="H83" s="96" t="str">
        <f>IFERROR(SUMIFS(TM[[#All],[Total Truncated Expenses]],TM[[#All],[Reporting Year]],2021,TM[[#All],[Insurance Category Code]],4,TM[[#All],[Large Provider Entity Code]],A83)/C83,"NA")</f>
        <v>NA</v>
      </c>
      <c r="I83" s="95">
        <f>SUMIFS(TM[[#All],[Member Months]],TM[[#All],[Reporting Year]],2022,TM[[#All],[Insurance Category Code]],4,TM[[#All],[Large Provider Entity Code]],A83)</f>
        <v>0</v>
      </c>
      <c r="J83" s="7" t="str">
        <f>IFERROR(SUMIFS(TM[[#All],[Total Non-Truncated Claims Spending]],TM[[#All],[Reporting Year]],2022,TM[[#All],[Insurance Category Code]],4,TM[[#All],[Large Provider Entity Code]],A83)/I83,"NA")</f>
        <v>NA</v>
      </c>
      <c r="K83" s="7" t="str">
        <f>IFERROR(SUMIFS(TM[[#All],[Total Non-Claims Spending]],TM[[#All],[Reporting Year]],2022,TM[[#All],[Insurance Category Code]],4,TM[[#All],[Large Provider Entity Code]],A83)/I83,"NA")</f>
        <v>NA</v>
      </c>
      <c r="L83" s="7" t="str">
        <f>IFERROR(SUMIFS(TM[[#All],[Total Non-Truncated Claims and Non-Claims Spending]],TM[[#All],[Reporting Year]],2022,TM[[#All],[Insurance Category Code]],4,TM[[#All],[Large Provider Entity Code]],A83)/I83,"NA")</f>
        <v>NA</v>
      </c>
      <c r="M83" s="7" t="str">
        <f>IFERROR(SUMIFS(TM[[#All],[Total Truncated Claims Spending]],TM[[#All],[Reporting Year]],2022,TM[[#All],[Insurance Category Code]],4,TM[[#All],[Large Provider Entity Code]],A83)/I83,"NA")</f>
        <v>NA</v>
      </c>
      <c r="N83" s="96" t="str">
        <f>IFERROR(SUMIFS(TM[[#All],[Total Truncated Expenses]],TM[[#All],[Reporting Year]],2022,TM[[#All],[Insurance Category Code]],4,TM[[#All],[Large Provider Entity Code]],A83)/I83,"NA")</f>
        <v>NA</v>
      </c>
      <c r="O83" s="518">
        <f t="shared" si="53"/>
        <v>0</v>
      </c>
      <c r="P83" s="243" t="str">
        <f t="shared" si="47"/>
        <v>NA</v>
      </c>
      <c r="Q83" s="97" t="str">
        <f t="shared" si="48"/>
        <v>NA</v>
      </c>
      <c r="R83" s="97" t="str">
        <f t="shared" si="49"/>
        <v>NA</v>
      </c>
      <c r="S83" s="97" t="str">
        <f t="shared" si="50"/>
        <v>NA</v>
      </c>
      <c r="T83" s="97" t="str">
        <f t="shared" si="51"/>
        <v>NA</v>
      </c>
      <c r="U83" s="97" t="str">
        <f t="shared" si="52"/>
        <v>NA</v>
      </c>
    </row>
    <row r="84" spans="1:21" x14ac:dyDescent="0.25">
      <c r="A84" s="218">
        <v>115</v>
      </c>
      <c r="B84" s="566" t="s">
        <v>79</v>
      </c>
      <c r="C84" s="95">
        <f>SUMIFS(TM[[#All],[Member Months]],TM[[#All],[Reporting Year]],2021,TM[[#All],[Insurance Category Code]],4,TM[[#All],[Large Provider Entity Code]],A84)</f>
        <v>0</v>
      </c>
      <c r="D84" s="7" t="str">
        <f>IFERROR(SUMIFS(TM[[#All],[Total Non-Truncated Claims Spending]],TM[[#All],[Reporting Year]],2021,TM[[#All],[Insurance Category Code]],4,TM[[#All],[Large Provider Entity Code]],A84)/C84,"NA")</f>
        <v>NA</v>
      </c>
      <c r="E84" s="7" t="str">
        <f>IFERROR(SUMIFS(TM[[#All],[Total Non-Claims Spending]],TM[[#All],[Reporting Year]],2021,TM[[#All],[Insurance Category Code]],4,TM[[#All],[Large Provider Entity Code]],A84)/C84,"NA")</f>
        <v>NA</v>
      </c>
      <c r="F84" s="7" t="str">
        <f>IFERROR(SUMIFS(TM[[#All],[Total Non-Truncated Claims and Non-Claims Spending]],TM[[#All],[Reporting Year]],2021,TM[[#All],[Insurance Category Code]],4,TM[[#All],[Large Provider Entity Code]],A84)/C84,"NA")</f>
        <v>NA</v>
      </c>
      <c r="G84" s="7" t="str">
        <f>IFERROR(SUMIFS(TM[[#All],[Total Truncated Claims Spending]],TM[[#All],[Reporting Year]],2021,TM[[#All],[Insurance Category Code]],4,TM[[#All],[Large Provider Entity Code]],A84)/C84,"NA")</f>
        <v>NA</v>
      </c>
      <c r="H84" s="96" t="str">
        <f>IFERROR(SUMIFS(TM[[#All],[Total Truncated Expenses]],TM[[#All],[Reporting Year]],2021,TM[[#All],[Insurance Category Code]],4,TM[[#All],[Large Provider Entity Code]],A84)/C84,"NA")</f>
        <v>NA</v>
      </c>
      <c r="I84" s="95">
        <f>SUMIFS(TM[[#All],[Member Months]],TM[[#All],[Reporting Year]],2022,TM[[#All],[Insurance Category Code]],4,TM[[#All],[Large Provider Entity Code]],A84)</f>
        <v>0</v>
      </c>
      <c r="J84" s="7" t="str">
        <f>IFERROR(SUMIFS(TM[[#All],[Total Non-Truncated Claims Spending]],TM[[#All],[Reporting Year]],2022,TM[[#All],[Insurance Category Code]],4,TM[[#All],[Large Provider Entity Code]],A84)/I84,"NA")</f>
        <v>NA</v>
      </c>
      <c r="K84" s="7" t="str">
        <f>IFERROR(SUMIFS(TM[[#All],[Total Non-Claims Spending]],TM[[#All],[Reporting Year]],2022,TM[[#All],[Insurance Category Code]],4,TM[[#All],[Large Provider Entity Code]],A84)/I84,"NA")</f>
        <v>NA</v>
      </c>
      <c r="L84" s="7" t="str">
        <f>IFERROR(SUMIFS(TM[[#All],[Total Non-Truncated Claims and Non-Claims Spending]],TM[[#All],[Reporting Year]],2022,TM[[#All],[Insurance Category Code]],4,TM[[#All],[Large Provider Entity Code]],A84)/I84,"NA")</f>
        <v>NA</v>
      </c>
      <c r="M84" s="7" t="str">
        <f>IFERROR(SUMIFS(TM[[#All],[Total Truncated Claims Spending]],TM[[#All],[Reporting Year]],2022,TM[[#All],[Insurance Category Code]],4,TM[[#All],[Large Provider Entity Code]],A84)/I84,"NA")</f>
        <v>NA</v>
      </c>
      <c r="N84" s="96" t="str">
        <f>IFERROR(SUMIFS(TM[[#All],[Total Truncated Expenses]],TM[[#All],[Reporting Year]],2022,TM[[#All],[Insurance Category Code]],4,TM[[#All],[Large Provider Entity Code]],A84)/I84,"NA")</f>
        <v>NA</v>
      </c>
      <c r="O84" s="518">
        <f t="shared" si="53"/>
        <v>0</v>
      </c>
      <c r="P84" s="243" t="str">
        <f t="shared" si="47"/>
        <v>NA</v>
      </c>
      <c r="Q84" s="97" t="str">
        <f t="shared" si="48"/>
        <v>NA</v>
      </c>
      <c r="R84" s="97" t="str">
        <f t="shared" si="49"/>
        <v>NA</v>
      </c>
      <c r="S84" s="97" t="str">
        <f t="shared" si="50"/>
        <v>NA</v>
      </c>
      <c r="T84" s="97" t="str">
        <f t="shared" si="51"/>
        <v>NA</v>
      </c>
      <c r="U84" s="97" t="str">
        <f t="shared" si="52"/>
        <v>NA</v>
      </c>
    </row>
    <row r="85" spans="1:21" x14ac:dyDescent="0.25">
      <c r="A85" s="218">
        <v>116</v>
      </c>
      <c r="B85" s="566" t="s">
        <v>614</v>
      </c>
      <c r="C85" s="95">
        <f>SUMIFS(TM[[#All],[Member Months]],TM[[#All],[Reporting Year]],2021,TM[[#All],[Insurance Category Code]],4,TM[[#All],[Large Provider Entity Code]],A85)</f>
        <v>0</v>
      </c>
      <c r="D85" s="7" t="str">
        <f>IFERROR(SUMIFS(TM[[#All],[Total Non-Truncated Claims Spending]],TM[[#All],[Reporting Year]],2021,TM[[#All],[Insurance Category Code]],4,TM[[#All],[Large Provider Entity Code]],A85)/C85,"NA")</f>
        <v>NA</v>
      </c>
      <c r="E85" s="7" t="str">
        <f>IFERROR(SUMIFS(TM[[#All],[Total Non-Claims Spending]],TM[[#All],[Reporting Year]],2021,TM[[#All],[Insurance Category Code]],4,TM[[#All],[Large Provider Entity Code]],A85)/C85,"NA")</f>
        <v>NA</v>
      </c>
      <c r="F85" s="7" t="str">
        <f>IFERROR(SUMIFS(TM[[#All],[Total Non-Truncated Claims and Non-Claims Spending]],TM[[#All],[Reporting Year]],2021,TM[[#All],[Insurance Category Code]],4,TM[[#All],[Large Provider Entity Code]],A85)/C85,"NA")</f>
        <v>NA</v>
      </c>
      <c r="G85" s="7" t="str">
        <f>IFERROR(SUMIFS(TM[[#All],[Total Truncated Claims Spending]],TM[[#All],[Reporting Year]],2021,TM[[#All],[Insurance Category Code]],4,TM[[#All],[Large Provider Entity Code]],A85)/C85,"NA")</f>
        <v>NA</v>
      </c>
      <c r="H85" s="96" t="str">
        <f>IFERROR(SUMIFS(TM[[#All],[Total Truncated Expenses]],TM[[#All],[Reporting Year]],2021,TM[[#All],[Insurance Category Code]],4,TM[[#All],[Large Provider Entity Code]],A85)/C85,"NA")</f>
        <v>NA</v>
      </c>
      <c r="I85" s="95">
        <f>SUMIFS(TM[[#All],[Member Months]],TM[[#All],[Reporting Year]],2022,TM[[#All],[Insurance Category Code]],4,TM[[#All],[Large Provider Entity Code]],A85)</f>
        <v>0</v>
      </c>
      <c r="J85" s="7" t="str">
        <f>IFERROR(SUMIFS(TM[[#All],[Total Non-Truncated Claims Spending]],TM[[#All],[Reporting Year]],2022,TM[[#All],[Insurance Category Code]],4,TM[[#All],[Large Provider Entity Code]],A85)/I85,"NA")</f>
        <v>NA</v>
      </c>
      <c r="K85" s="7" t="str">
        <f>IFERROR(SUMIFS(TM[[#All],[Total Non-Claims Spending]],TM[[#All],[Reporting Year]],2022,TM[[#All],[Insurance Category Code]],4,TM[[#All],[Large Provider Entity Code]],A85)/I85,"NA")</f>
        <v>NA</v>
      </c>
      <c r="L85" s="7" t="str">
        <f>IFERROR(SUMIFS(TM[[#All],[Total Non-Truncated Claims and Non-Claims Spending]],TM[[#All],[Reporting Year]],2022,TM[[#All],[Insurance Category Code]],4,TM[[#All],[Large Provider Entity Code]],A85)/I85,"NA")</f>
        <v>NA</v>
      </c>
      <c r="M85" s="7" t="str">
        <f>IFERROR(SUMIFS(TM[[#All],[Total Truncated Claims Spending]],TM[[#All],[Reporting Year]],2022,TM[[#All],[Insurance Category Code]],4,TM[[#All],[Large Provider Entity Code]],A85)/I85,"NA")</f>
        <v>NA</v>
      </c>
      <c r="N85" s="96" t="str">
        <f>IFERROR(SUMIFS(TM[[#All],[Total Truncated Expenses]],TM[[#All],[Reporting Year]],2022,TM[[#All],[Insurance Category Code]],4,TM[[#All],[Large Provider Entity Code]],A85)/I85,"NA")</f>
        <v>NA</v>
      </c>
      <c r="O85" s="518">
        <f t="shared" si="53"/>
        <v>0</v>
      </c>
      <c r="P85" s="243" t="str">
        <f t="shared" si="47"/>
        <v>NA</v>
      </c>
      <c r="Q85" s="97" t="str">
        <f t="shared" si="48"/>
        <v>NA</v>
      </c>
      <c r="R85" s="97" t="str">
        <f t="shared" si="49"/>
        <v>NA</v>
      </c>
      <c r="S85" s="97" t="str">
        <f t="shared" si="50"/>
        <v>NA</v>
      </c>
      <c r="T85" s="97" t="str">
        <f t="shared" si="51"/>
        <v>NA</v>
      </c>
      <c r="U85" s="97" t="str">
        <f t="shared" si="52"/>
        <v>NA</v>
      </c>
    </row>
    <row r="86" spans="1:21" x14ac:dyDescent="0.25">
      <c r="A86" s="218">
        <v>118</v>
      </c>
      <c r="B86" s="566" t="s">
        <v>80</v>
      </c>
      <c r="C86" s="95">
        <f>SUMIFS(TM[[#All],[Member Months]],TM[[#All],[Reporting Year]],2021,TM[[#All],[Insurance Category Code]],4,TM[[#All],[Large Provider Entity Code]],A86)</f>
        <v>0</v>
      </c>
      <c r="D86" s="7" t="str">
        <f>IFERROR(SUMIFS(TM[[#All],[Total Non-Truncated Claims Spending]],TM[[#All],[Reporting Year]],2021,TM[[#All],[Insurance Category Code]],4,TM[[#All],[Large Provider Entity Code]],A86)/C86,"NA")</f>
        <v>NA</v>
      </c>
      <c r="E86" s="7" t="str">
        <f>IFERROR(SUMIFS(TM[[#All],[Total Non-Claims Spending]],TM[[#All],[Reporting Year]],2021,TM[[#All],[Insurance Category Code]],4,TM[[#All],[Large Provider Entity Code]],A86)/C86,"NA")</f>
        <v>NA</v>
      </c>
      <c r="F86" s="7" t="str">
        <f>IFERROR(SUMIFS(TM[[#All],[Total Non-Truncated Claims and Non-Claims Spending]],TM[[#All],[Reporting Year]],2021,TM[[#All],[Insurance Category Code]],4,TM[[#All],[Large Provider Entity Code]],A86)/C86,"NA")</f>
        <v>NA</v>
      </c>
      <c r="G86" s="7" t="str">
        <f>IFERROR(SUMIFS(TM[[#All],[Total Truncated Claims Spending]],TM[[#All],[Reporting Year]],2021,TM[[#All],[Insurance Category Code]],4,TM[[#All],[Large Provider Entity Code]],A86)/C86,"NA")</f>
        <v>NA</v>
      </c>
      <c r="H86" s="96" t="str">
        <f>IFERROR(SUMIFS(TM[[#All],[Total Truncated Expenses]],TM[[#All],[Reporting Year]],2021,TM[[#All],[Insurance Category Code]],4,TM[[#All],[Large Provider Entity Code]],A86)/C86,"NA")</f>
        <v>NA</v>
      </c>
      <c r="I86" s="95">
        <f>SUMIFS(TM[[#All],[Member Months]],TM[[#All],[Reporting Year]],2022,TM[[#All],[Insurance Category Code]],4,TM[[#All],[Large Provider Entity Code]],A86)</f>
        <v>0</v>
      </c>
      <c r="J86" s="7" t="str">
        <f>IFERROR(SUMIFS(TM[[#All],[Total Non-Truncated Claims Spending]],TM[[#All],[Reporting Year]],2022,TM[[#All],[Insurance Category Code]],4,TM[[#All],[Large Provider Entity Code]],A86)/I86,"NA")</f>
        <v>NA</v>
      </c>
      <c r="K86" s="7" t="str">
        <f>IFERROR(SUMIFS(TM[[#All],[Total Non-Claims Spending]],TM[[#All],[Reporting Year]],2022,TM[[#All],[Insurance Category Code]],4,TM[[#All],[Large Provider Entity Code]],A86)/I86,"NA")</f>
        <v>NA</v>
      </c>
      <c r="L86" s="7" t="str">
        <f>IFERROR(SUMIFS(TM[[#All],[Total Non-Truncated Claims and Non-Claims Spending]],TM[[#All],[Reporting Year]],2022,TM[[#All],[Insurance Category Code]],4,TM[[#All],[Large Provider Entity Code]],A86)/I86,"NA")</f>
        <v>NA</v>
      </c>
      <c r="M86" s="7" t="str">
        <f>IFERROR(SUMIFS(TM[[#All],[Total Truncated Claims Spending]],TM[[#All],[Reporting Year]],2022,TM[[#All],[Insurance Category Code]],4,TM[[#All],[Large Provider Entity Code]],A86)/I86,"NA")</f>
        <v>NA</v>
      </c>
      <c r="N86" s="96" t="str">
        <f>IFERROR(SUMIFS(TM[[#All],[Total Truncated Expenses]],TM[[#All],[Reporting Year]],2022,TM[[#All],[Insurance Category Code]],4,TM[[#All],[Large Provider Entity Code]],A86)/I86,"NA")</f>
        <v>NA</v>
      </c>
      <c r="O86" s="518">
        <f t="shared" si="53"/>
        <v>0</v>
      </c>
      <c r="P86" s="243" t="str">
        <f t="shared" si="47"/>
        <v>NA</v>
      </c>
      <c r="Q86" s="97" t="str">
        <f t="shared" si="48"/>
        <v>NA</v>
      </c>
      <c r="R86" s="97" t="str">
        <f t="shared" si="49"/>
        <v>NA</v>
      </c>
      <c r="S86" s="97" t="str">
        <f t="shared" si="50"/>
        <v>NA</v>
      </c>
      <c r="T86" s="97" t="str">
        <f t="shared" si="51"/>
        <v>NA</v>
      </c>
      <c r="U86" s="97" t="str">
        <f t="shared" si="52"/>
        <v>NA</v>
      </c>
    </row>
    <row r="87" spans="1:21" x14ac:dyDescent="0.25">
      <c r="A87" s="218">
        <v>119</v>
      </c>
      <c r="B87" s="566" t="s">
        <v>615</v>
      </c>
      <c r="C87" s="95">
        <f>SUMIFS(TM[[#All],[Member Months]],TM[[#All],[Reporting Year]],2021,TM[[#All],[Insurance Category Code]],4,TM[[#All],[Large Provider Entity Code]],A87)</f>
        <v>0</v>
      </c>
      <c r="D87" s="7" t="str">
        <f>IFERROR(SUMIFS(TM[[#All],[Total Non-Truncated Claims Spending]],TM[[#All],[Reporting Year]],2021,TM[[#All],[Insurance Category Code]],4,TM[[#All],[Large Provider Entity Code]],A87)/C87,"NA")</f>
        <v>NA</v>
      </c>
      <c r="E87" s="7" t="str">
        <f>IFERROR(SUMIFS(TM[[#All],[Total Non-Claims Spending]],TM[[#All],[Reporting Year]],2021,TM[[#All],[Insurance Category Code]],4,TM[[#All],[Large Provider Entity Code]],A87)/C87,"NA")</f>
        <v>NA</v>
      </c>
      <c r="F87" s="7" t="str">
        <f>IFERROR(SUMIFS(TM[[#All],[Total Non-Truncated Claims and Non-Claims Spending]],TM[[#All],[Reporting Year]],2021,TM[[#All],[Insurance Category Code]],4,TM[[#All],[Large Provider Entity Code]],A87)/C87,"NA")</f>
        <v>NA</v>
      </c>
      <c r="G87" s="7" t="str">
        <f>IFERROR(SUMIFS(TM[[#All],[Total Truncated Claims Spending]],TM[[#All],[Reporting Year]],2021,TM[[#All],[Insurance Category Code]],4,TM[[#All],[Large Provider Entity Code]],A87)/C87,"NA")</f>
        <v>NA</v>
      </c>
      <c r="H87" s="96" t="str">
        <f>IFERROR(SUMIFS(TM[[#All],[Total Truncated Expenses]],TM[[#All],[Reporting Year]],2021,TM[[#All],[Insurance Category Code]],4,TM[[#All],[Large Provider Entity Code]],A87)/C87,"NA")</f>
        <v>NA</v>
      </c>
      <c r="I87" s="95">
        <f>SUMIFS(TM[[#All],[Member Months]],TM[[#All],[Reporting Year]],2022,TM[[#All],[Insurance Category Code]],4,TM[[#All],[Large Provider Entity Code]],A87)</f>
        <v>0</v>
      </c>
      <c r="J87" s="7" t="str">
        <f>IFERROR(SUMIFS(TM[[#All],[Total Non-Truncated Claims Spending]],TM[[#All],[Reporting Year]],2022,TM[[#All],[Insurance Category Code]],4,TM[[#All],[Large Provider Entity Code]],A87)/I87,"NA")</f>
        <v>NA</v>
      </c>
      <c r="K87" s="7" t="str">
        <f>IFERROR(SUMIFS(TM[[#All],[Total Non-Claims Spending]],TM[[#All],[Reporting Year]],2022,TM[[#All],[Insurance Category Code]],4,TM[[#All],[Large Provider Entity Code]],A87)/I87,"NA")</f>
        <v>NA</v>
      </c>
      <c r="L87" s="7" t="str">
        <f>IFERROR(SUMIFS(TM[[#All],[Total Non-Truncated Claims and Non-Claims Spending]],TM[[#All],[Reporting Year]],2022,TM[[#All],[Insurance Category Code]],4,TM[[#All],[Large Provider Entity Code]],A87)/I87,"NA")</f>
        <v>NA</v>
      </c>
      <c r="M87" s="7" t="str">
        <f>IFERROR(SUMIFS(TM[[#All],[Total Truncated Claims Spending]],TM[[#All],[Reporting Year]],2022,TM[[#All],[Insurance Category Code]],4,TM[[#All],[Large Provider Entity Code]],A87)/I87,"NA")</f>
        <v>NA</v>
      </c>
      <c r="N87" s="96" t="str">
        <f>IFERROR(SUMIFS(TM[[#All],[Total Truncated Expenses]],TM[[#All],[Reporting Year]],2022,TM[[#All],[Insurance Category Code]],4,TM[[#All],[Large Provider Entity Code]],A87)/I87,"NA")</f>
        <v>NA</v>
      </c>
      <c r="O87" s="518">
        <f t="shared" ref="O87" si="54">ABS(C87-I87)</f>
        <v>0</v>
      </c>
      <c r="P87" s="243" t="str">
        <f t="shared" ref="P87" si="55">IFERROR((I87/C87-1),"NA")</f>
        <v>NA</v>
      </c>
      <c r="Q87" s="97" t="str">
        <f t="shared" ref="Q87" si="56">IFERROR((J87/D87-1),"NA")</f>
        <v>NA</v>
      </c>
      <c r="R87" s="97" t="str">
        <f t="shared" ref="R87" si="57">IFERROR((K87/E87-1),"NA")</f>
        <v>NA</v>
      </c>
      <c r="S87" s="97" t="str">
        <f t="shared" ref="S87" si="58">IFERROR((L87/F87-1),"NA")</f>
        <v>NA</v>
      </c>
      <c r="T87" s="97" t="str">
        <f t="shared" ref="T87" si="59">IFERROR((M87/G87-1),"NA")</f>
        <v>NA</v>
      </c>
      <c r="U87" s="97" t="str">
        <f t="shared" ref="U87" si="60">IFERROR((N87/H87-1),"NA")</f>
        <v>NA</v>
      </c>
    </row>
    <row r="88" spans="1:21" x14ac:dyDescent="0.25">
      <c r="A88" s="218">
        <v>120</v>
      </c>
      <c r="B88" s="566" t="s">
        <v>608</v>
      </c>
      <c r="C88" s="95">
        <f>SUMIFS(TM[[#All],[Member Months]],TM[[#All],[Reporting Year]],2021,TM[[#All],[Insurance Category Code]],4,TM[[#All],[Large Provider Entity Code]],A88)</f>
        <v>0</v>
      </c>
      <c r="D88" s="7" t="str">
        <f>IFERROR(SUMIFS(TM[[#All],[Total Non-Truncated Claims Spending]],TM[[#All],[Reporting Year]],2021,TM[[#All],[Insurance Category Code]],4,TM[[#All],[Large Provider Entity Code]],A88)/C88,"NA")</f>
        <v>NA</v>
      </c>
      <c r="E88" s="7" t="str">
        <f>IFERROR(SUMIFS(TM[[#All],[Total Non-Claims Spending]],TM[[#All],[Reporting Year]],2021,TM[[#All],[Insurance Category Code]],4,TM[[#All],[Large Provider Entity Code]],A88)/C88,"NA")</f>
        <v>NA</v>
      </c>
      <c r="F88" s="7" t="str">
        <f>IFERROR(SUMIFS(TM[[#All],[Total Non-Truncated Claims and Non-Claims Spending]],TM[[#All],[Reporting Year]],2021,TM[[#All],[Insurance Category Code]],4,TM[[#All],[Large Provider Entity Code]],A88)/C88,"NA")</f>
        <v>NA</v>
      </c>
      <c r="G88" s="7" t="str">
        <f>IFERROR(SUMIFS(TM[[#All],[Total Truncated Claims Spending]],TM[[#All],[Reporting Year]],2021,TM[[#All],[Insurance Category Code]],4,TM[[#All],[Large Provider Entity Code]],A88)/C88,"NA")</f>
        <v>NA</v>
      </c>
      <c r="H88" s="96" t="str">
        <f>IFERROR(SUMIFS(TM[[#All],[Total Truncated Expenses]],TM[[#All],[Reporting Year]],2021,TM[[#All],[Insurance Category Code]],4,TM[[#All],[Large Provider Entity Code]],A88)/C88,"NA")</f>
        <v>NA</v>
      </c>
      <c r="I88" s="95">
        <f>SUMIFS(TM[[#All],[Member Months]],TM[[#All],[Reporting Year]],2022,TM[[#All],[Insurance Category Code]],4,TM[[#All],[Large Provider Entity Code]],A88)</f>
        <v>0</v>
      </c>
      <c r="J88" s="7" t="str">
        <f>IFERROR(SUMIFS(TM[[#All],[Total Non-Truncated Claims Spending]],TM[[#All],[Reporting Year]],2022,TM[[#All],[Insurance Category Code]],4,TM[[#All],[Large Provider Entity Code]],A88)/I88,"NA")</f>
        <v>NA</v>
      </c>
      <c r="K88" s="7" t="str">
        <f>IFERROR(SUMIFS(TM[[#All],[Total Non-Claims Spending]],TM[[#All],[Reporting Year]],2022,TM[[#All],[Insurance Category Code]],4,TM[[#All],[Large Provider Entity Code]],A88)/I88,"NA")</f>
        <v>NA</v>
      </c>
      <c r="L88" s="7" t="str">
        <f>IFERROR(SUMIFS(TM[[#All],[Total Non-Truncated Claims and Non-Claims Spending]],TM[[#All],[Reporting Year]],2022,TM[[#All],[Insurance Category Code]],4,TM[[#All],[Large Provider Entity Code]],A88)/I88,"NA")</f>
        <v>NA</v>
      </c>
      <c r="M88" s="7" t="str">
        <f>IFERROR(SUMIFS(TM[[#All],[Total Truncated Claims Spending]],TM[[#All],[Reporting Year]],2022,TM[[#All],[Insurance Category Code]],4,TM[[#All],[Large Provider Entity Code]],A88)/I88,"NA")</f>
        <v>NA</v>
      </c>
      <c r="N88" s="96" t="str">
        <f>IFERROR(SUMIFS(TM[[#All],[Total Truncated Expenses]],TM[[#All],[Reporting Year]],2022,TM[[#All],[Insurance Category Code]],4,TM[[#All],[Large Provider Entity Code]],A88)/I88,"NA")</f>
        <v>NA</v>
      </c>
      <c r="O88" s="518">
        <f t="shared" si="53"/>
        <v>0</v>
      </c>
      <c r="P88" s="243" t="str">
        <f t="shared" ref="P88:P90" si="61">IFERROR((I88/C88-1),"NA")</f>
        <v>NA</v>
      </c>
      <c r="Q88" s="97" t="str">
        <f t="shared" ref="Q88:Q90" si="62">IFERROR((J88/D88-1),"NA")</f>
        <v>NA</v>
      </c>
      <c r="R88" s="97" t="str">
        <f t="shared" ref="R88:R90" si="63">IFERROR((K88/E88-1),"NA")</f>
        <v>NA</v>
      </c>
      <c r="S88" s="97" t="str">
        <f t="shared" ref="S88:S90" si="64">IFERROR((L88/F88-1),"NA")</f>
        <v>NA</v>
      </c>
      <c r="T88" s="97" t="str">
        <f t="shared" ref="T88:T90" si="65">IFERROR((M88/G88-1),"NA")</f>
        <v>NA</v>
      </c>
      <c r="U88" s="97" t="str">
        <f t="shared" ref="U88:U90" si="66">IFERROR((N88/H88-1),"NA")</f>
        <v>NA</v>
      </c>
    </row>
    <row r="89" spans="1:21" ht="30" x14ac:dyDescent="0.25">
      <c r="A89" s="218">
        <v>121</v>
      </c>
      <c r="B89" s="495" t="s">
        <v>616</v>
      </c>
      <c r="C89" s="213">
        <f>SUMIFS(TM[[#All],[Member Months]],TM[[#All],[Reporting Year]],2021,TM[[#All],[Insurance Category Code]],4,TM[[#All],[Large Provider Entity Code]],A89)</f>
        <v>0</v>
      </c>
      <c r="D89" s="7" t="str">
        <f>IFERROR(SUMIFS(TM[[#All],[Total Non-Truncated Claims Spending]],TM[[#All],[Reporting Year]],2021,TM[[#All],[Insurance Category Code]],4,TM[[#All],[Large Provider Entity Code]],A89)/C89,"NA")</f>
        <v>NA</v>
      </c>
      <c r="E89" s="7" t="str">
        <f>IFERROR(SUMIFS(TM[[#All],[Total Non-Claims Spending]],TM[[#All],[Reporting Year]],2021,TM[[#All],[Insurance Category Code]],4,TM[[#All],[Large Provider Entity Code]],A89)/C89,"NA")</f>
        <v>NA</v>
      </c>
      <c r="F89" s="7" t="str">
        <f>IFERROR(SUMIFS(TM[[#All],[Total Non-Truncated Claims and Non-Claims Spending]],TM[[#All],[Reporting Year]],2021,TM[[#All],[Insurance Category Code]],4,TM[[#All],[Large Provider Entity Code]],A89)/C89,"NA")</f>
        <v>NA</v>
      </c>
      <c r="G89" s="7" t="str">
        <f>IFERROR(SUMIFS(TM[[#All],[Total Truncated Claims Spending]],TM[[#All],[Reporting Year]],2021,TM[[#All],[Insurance Category Code]],4,TM[[#All],[Large Provider Entity Code]],A89)/C89,"NA")</f>
        <v>NA</v>
      </c>
      <c r="H89" s="214" t="str">
        <f>IFERROR(SUMIFS(TM[[#All],[Total Truncated Expenses]],TM[[#All],[Reporting Year]],2021,TM[[#All],[Insurance Category Code]],4,TM[[#All],[Large Provider Entity Code]],A89)/C89,"NA")</f>
        <v>NA</v>
      </c>
      <c r="I89" s="213">
        <f>SUMIFS(TM[[#All],[Member Months]],TM[[#All],[Reporting Year]],2022,TM[[#All],[Insurance Category Code]],4,TM[[#All],[Large Provider Entity Code]],A89)</f>
        <v>0</v>
      </c>
      <c r="J89" s="126" t="str">
        <f>IFERROR(SUMIFS(TM[[#All],[Total Non-Truncated Claims Spending]],TM[[#All],[Reporting Year]],2022,TM[[#All],[Insurance Category Code]],4,TM[[#All],[Large Provider Entity Code]],A89)/I89,"NA")</f>
        <v>NA</v>
      </c>
      <c r="K89" s="126" t="str">
        <f>IFERROR(SUMIFS(TM[[#All],[Total Non-Claims Spending]],TM[[#All],[Reporting Year]],2022,TM[[#All],[Insurance Category Code]],4,TM[[#All],[Large Provider Entity Code]],A89)/I89,"NA")</f>
        <v>NA</v>
      </c>
      <c r="L89" s="126" t="str">
        <f>IFERROR(SUMIFS(TM[[#All],[Total Non-Truncated Claims and Non-Claims Spending]],TM[[#All],[Reporting Year]],2022,TM[[#All],[Insurance Category Code]],4,TM[[#All],[Large Provider Entity Code]],A89)/I89,"NA")</f>
        <v>NA</v>
      </c>
      <c r="M89" s="126" t="str">
        <f>IFERROR(SUMIFS(TM[[#All],[Total Truncated Claims Spending]],TM[[#All],[Reporting Year]],2022,TM[[#All],[Insurance Category Code]],4,TM[[#All],[Large Provider Entity Code]],A89)/I89,"NA")</f>
        <v>NA</v>
      </c>
      <c r="N89" s="214" t="str">
        <f>IFERROR(SUMIFS(TM[[#All],[Total Truncated Expenses]],TM[[#All],[Reporting Year]],2022,TM[[#All],[Insurance Category Code]],4,TM[[#All],[Large Provider Entity Code]],A89)/I89,"NA")</f>
        <v>NA</v>
      </c>
      <c r="O89" s="518">
        <f t="shared" si="53"/>
        <v>0</v>
      </c>
      <c r="P89" s="245" t="str">
        <f t="shared" si="61"/>
        <v>NA</v>
      </c>
      <c r="Q89" s="127" t="str">
        <f t="shared" si="62"/>
        <v>NA</v>
      </c>
      <c r="R89" s="127" t="str">
        <f t="shared" si="63"/>
        <v>NA</v>
      </c>
      <c r="S89" s="127" t="str">
        <f t="shared" si="64"/>
        <v>NA</v>
      </c>
      <c r="T89" s="127" t="str">
        <f t="shared" si="65"/>
        <v>NA</v>
      </c>
      <c r="U89" s="127" t="str">
        <f t="shared" si="66"/>
        <v>NA</v>
      </c>
    </row>
    <row r="90" spans="1:21" x14ac:dyDescent="0.25">
      <c r="A90" s="218">
        <v>122</v>
      </c>
      <c r="B90" s="566" t="s">
        <v>617</v>
      </c>
      <c r="C90" s="213">
        <f>SUMIFS(TM[[#All],[Member Months]],TM[[#All],[Reporting Year]],2021,TM[[#All],[Insurance Category Code]],4,TM[[#All],[Large Provider Entity Code]],A90)</f>
        <v>0</v>
      </c>
      <c r="D90" s="7" t="str">
        <f>IFERROR(SUMIFS(TM[[#All],[Total Non-Truncated Claims Spending]],TM[[#All],[Reporting Year]],2021,TM[[#All],[Insurance Category Code]],4,TM[[#All],[Large Provider Entity Code]],A90)/C90,"NA")</f>
        <v>NA</v>
      </c>
      <c r="E90" s="7" t="str">
        <f>IFERROR(SUMIFS(TM[[#All],[Total Non-Claims Spending]],TM[[#All],[Reporting Year]],2021,TM[[#All],[Insurance Category Code]],4,TM[[#All],[Large Provider Entity Code]],A90)/C90,"NA")</f>
        <v>NA</v>
      </c>
      <c r="F90" s="7" t="str">
        <f>IFERROR(SUMIFS(TM[[#All],[Total Non-Truncated Claims and Non-Claims Spending]],TM[[#All],[Reporting Year]],2021,TM[[#All],[Insurance Category Code]],4,TM[[#All],[Large Provider Entity Code]],A90)/C90,"NA")</f>
        <v>NA</v>
      </c>
      <c r="G90" s="7" t="str">
        <f>IFERROR(SUMIFS(TM[[#All],[Total Truncated Claims Spending]],TM[[#All],[Reporting Year]],2021,TM[[#All],[Insurance Category Code]],4,TM[[#All],[Large Provider Entity Code]],A90)/C90,"NA")</f>
        <v>NA</v>
      </c>
      <c r="H90" s="214" t="str">
        <f>IFERROR(SUMIFS(TM[[#All],[Total Truncated Expenses]],TM[[#All],[Reporting Year]],2021,TM[[#All],[Insurance Category Code]],4,TM[[#All],[Large Provider Entity Code]],A90)/C90,"NA")</f>
        <v>NA</v>
      </c>
      <c r="I90" s="213">
        <f>SUMIFS(TM[[#All],[Member Months]],TM[[#All],[Reporting Year]],2022,TM[[#All],[Insurance Category Code]],4,TM[[#All],[Large Provider Entity Code]],A90)</f>
        <v>0</v>
      </c>
      <c r="J90" s="126" t="str">
        <f>IFERROR(SUMIFS(TM[[#All],[Total Non-Truncated Claims Spending]],TM[[#All],[Reporting Year]],2022,TM[[#All],[Insurance Category Code]],4,TM[[#All],[Large Provider Entity Code]],A90)/I90,"NA")</f>
        <v>NA</v>
      </c>
      <c r="K90" s="126" t="str">
        <f>IFERROR(SUMIFS(TM[[#All],[Total Non-Claims Spending]],TM[[#All],[Reporting Year]],2022,TM[[#All],[Insurance Category Code]],4,TM[[#All],[Large Provider Entity Code]],A90)/I90,"NA")</f>
        <v>NA</v>
      </c>
      <c r="L90" s="126" t="str">
        <f>IFERROR(SUMIFS(TM[[#All],[Total Non-Truncated Claims and Non-Claims Spending]],TM[[#All],[Reporting Year]],2022,TM[[#All],[Insurance Category Code]],4,TM[[#All],[Large Provider Entity Code]],A90)/I90,"NA")</f>
        <v>NA</v>
      </c>
      <c r="M90" s="126" t="str">
        <f>IFERROR(SUMIFS(TM[[#All],[Total Truncated Claims Spending]],TM[[#All],[Reporting Year]],2022,TM[[#All],[Insurance Category Code]],4,TM[[#All],[Large Provider Entity Code]],A90)/I90,"NA")</f>
        <v>NA</v>
      </c>
      <c r="N90" s="214" t="str">
        <f>IFERROR(SUMIFS(TM[[#All],[Total Truncated Expenses]],TM[[#All],[Reporting Year]],2022,TM[[#All],[Insurance Category Code]],4,TM[[#All],[Large Provider Entity Code]],A90)/I90,"NA")</f>
        <v>NA</v>
      </c>
      <c r="O90" s="518">
        <f t="shared" si="53"/>
        <v>0</v>
      </c>
      <c r="P90" s="245" t="str">
        <f t="shared" si="61"/>
        <v>NA</v>
      </c>
      <c r="Q90" s="127" t="str">
        <f t="shared" si="62"/>
        <v>NA</v>
      </c>
      <c r="R90" s="127" t="str">
        <f t="shared" si="63"/>
        <v>NA</v>
      </c>
      <c r="S90" s="127" t="str">
        <f t="shared" si="64"/>
        <v>NA</v>
      </c>
      <c r="T90" s="127" t="str">
        <f t="shared" si="65"/>
        <v>NA</v>
      </c>
      <c r="U90" s="127" t="str">
        <f t="shared" si="66"/>
        <v>NA</v>
      </c>
    </row>
    <row r="91" spans="1:21" x14ac:dyDescent="0.25">
      <c r="A91" s="218">
        <v>999</v>
      </c>
      <c r="B91" s="495" t="s">
        <v>81</v>
      </c>
      <c r="C91" s="213">
        <f>SUMIFS(TM[[#All],[Member Months]],TM[[#All],[Reporting Year]],2021,TM[[#All],[Insurance Category Code]],4,TM[[#All],[Large Provider Entity Code]],A91)</f>
        <v>0</v>
      </c>
      <c r="D91" s="7" t="str">
        <f>IFERROR(SUMIFS(TM[[#All],[Total Non-Truncated Claims Spending]],TM[[#All],[Reporting Year]],2021,TM[[#All],[Insurance Category Code]],4,TM[[#All],[Large Provider Entity Code]],A91)/C91,"NA")</f>
        <v>NA</v>
      </c>
      <c r="E91" s="7" t="str">
        <f>IFERROR(SUMIFS(TM[[#All],[Total Non-Claims Spending]],TM[[#All],[Reporting Year]],2021,TM[[#All],[Insurance Category Code]],4,TM[[#All],[Large Provider Entity Code]],A91)/C91,"NA")</f>
        <v>NA</v>
      </c>
      <c r="F91" s="7" t="str">
        <f>IFERROR(SUMIFS(TM[[#All],[Total Non-Truncated Claims and Non-Claims Spending]],TM[[#All],[Reporting Year]],2021,TM[[#All],[Insurance Category Code]],4,TM[[#All],[Large Provider Entity Code]],A91)/C91,"NA")</f>
        <v>NA</v>
      </c>
      <c r="G91" s="7" t="str">
        <f>IFERROR(SUMIFS(TM[[#All],[Total Truncated Claims Spending]],TM[[#All],[Reporting Year]],2021,TM[[#All],[Insurance Category Code]],4,TM[[#All],[Large Provider Entity Code]],A91)/C91,"NA")</f>
        <v>NA</v>
      </c>
      <c r="H91" s="214" t="str">
        <f>IFERROR(SUMIFS(TM[[#All],[Total Truncated Expenses]],TM[[#All],[Reporting Year]],2021,TM[[#All],[Insurance Category Code]],4,TM[[#All],[Large Provider Entity Code]],A91)/C91,"NA")</f>
        <v>NA</v>
      </c>
      <c r="I91" s="213">
        <f>SUMIFS(TM[[#All],[Member Months]],TM[[#All],[Reporting Year]],2022,TM[[#All],[Insurance Category Code]],4,TM[[#All],[Large Provider Entity Code]],A91)</f>
        <v>0</v>
      </c>
      <c r="J91" s="126" t="str">
        <f>IFERROR(SUMIFS(TM[[#All],[Total Non-Truncated Claims Spending]],TM[[#All],[Reporting Year]],2022,TM[[#All],[Insurance Category Code]],4,TM[[#All],[Large Provider Entity Code]],A91)/I91,"NA")</f>
        <v>NA</v>
      </c>
      <c r="K91" s="126" t="str">
        <f>IFERROR(SUMIFS(TM[[#All],[Total Non-Claims Spending]],TM[[#All],[Reporting Year]],2022,TM[[#All],[Insurance Category Code]],4,TM[[#All],[Large Provider Entity Code]],A91)/I91,"NA")</f>
        <v>NA</v>
      </c>
      <c r="L91" s="126" t="str">
        <f>IFERROR(SUMIFS(TM[[#All],[Total Non-Truncated Claims and Non-Claims Spending]],TM[[#All],[Reporting Year]],2022,TM[[#All],[Insurance Category Code]],4,TM[[#All],[Large Provider Entity Code]],A91)/I91,"NA")</f>
        <v>NA</v>
      </c>
      <c r="M91" s="126" t="str">
        <f>IFERROR(SUMIFS(TM[[#All],[Total Truncated Claims Spending]],TM[[#All],[Reporting Year]],2022,TM[[#All],[Insurance Category Code]],4,TM[[#All],[Large Provider Entity Code]],A91)/I91,"NA")</f>
        <v>NA</v>
      </c>
      <c r="N91" s="96" t="str">
        <f>IFERROR(SUMIFS(TM[[#All],[Total Truncated Expenses]],TM[[#All],[Reporting Year]],2022,TM[[#All],[Insurance Category Code]],4,TM[[#All],[Large Provider Entity Code]],A91)/I91,"NA")</f>
        <v>NA</v>
      </c>
      <c r="O91" s="518">
        <f t="shared" si="53"/>
        <v>0</v>
      </c>
      <c r="P91" s="245" t="str">
        <f t="shared" si="47"/>
        <v>NA</v>
      </c>
      <c r="Q91" s="127" t="str">
        <f t="shared" si="48"/>
        <v>NA</v>
      </c>
      <c r="R91" s="127" t="str">
        <f t="shared" si="49"/>
        <v>NA</v>
      </c>
      <c r="S91" s="127" t="str">
        <f t="shared" si="50"/>
        <v>NA</v>
      </c>
      <c r="T91" s="127" t="str">
        <f t="shared" si="51"/>
        <v>NA</v>
      </c>
      <c r="U91" s="127" t="str">
        <f t="shared" si="52"/>
        <v>NA</v>
      </c>
    </row>
    <row r="92" spans="1:21" ht="30" customHeight="1" x14ac:dyDescent="0.25">
      <c r="A92" s="707" t="s">
        <v>567</v>
      </c>
      <c r="B92" s="708"/>
      <c r="C92" s="165">
        <f>SUM(C72:C91)</f>
        <v>0</v>
      </c>
      <c r="D92" s="131" t="str">
        <f>IFERROR((SUMPRODUCT(D72:D91,C72:C91)/C92),"NA")</f>
        <v>NA</v>
      </c>
      <c r="E92" s="131" t="str">
        <f>IFERROR((SUMPRODUCT(E72:E91,C72:C91)/C92),"NA")</f>
        <v>NA</v>
      </c>
      <c r="F92" s="131" t="str">
        <f>IFERROR((SUMPRODUCT(F72:F91,C72:C91)/C92),"NA")</f>
        <v>NA</v>
      </c>
      <c r="G92" s="131" t="str">
        <f>IFERROR((SUMPRODUCT(G72:G91,C72:C91)/C92),"NA")</f>
        <v>NA</v>
      </c>
      <c r="H92" s="131" t="str">
        <f>IFERROR((SUMPRODUCT(H72:H91,C72:C91)/C92),"NA")</f>
        <v>NA</v>
      </c>
      <c r="I92" s="165">
        <f>SUM(I72:I91)</f>
        <v>0</v>
      </c>
      <c r="J92" s="131" t="str">
        <f>IFERROR((SUMPRODUCT(J72:J91,I72:I91)/I92),"NA")</f>
        <v>NA</v>
      </c>
      <c r="K92" s="131" t="str">
        <f>IFERROR((SUMPRODUCT(K72:K91,I72:I91)/I92),"NA")</f>
        <v>NA</v>
      </c>
      <c r="L92" s="131" t="str">
        <f>IFERROR((SUMPRODUCT(L72:L91,I72:I91)/I92),"NA")</f>
        <v>NA</v>
      </c>
      <c r="M92" s="131" t="str">
        <f>IFERROR((SUMPRODUCT(M72:M91,I72:I91)/I92),"NA")</f>
        <v>NA</v>
      </c>
      <c r="N92" s="206" t="str">
        <f>IFERROR((SUMPRODUCT(N72:N91,I72:I91)/I92),"NA")</f>
        <v>NA</v>
      </c>
      <c r="O92" s="544" t="s">
        <v>500</v>
      </c>
      <c r="P92" s="439" t="s">
        <v>500</v>
      </c>
      <c r="Q92" s="438" t="s">
        <v>500</v>
      </c>
      <c r="R92" s="438" t="s">
        <v>500</v>
      </c>
      <c r="S92" s="438" t="s">
        <v>500</v>
      </c>
      <c r="T92" s="438" t="s">
        <v>500</v>
      </c>
      <c r="U92" s="438" t="s">
        <v>500</v>
      </c>
    </row>
    <row r="93" spans="1:21" x14ac:dyDescent="0.25">
      <c r="A93" s="709" t="s">
        <v>563</v>
      </c>
      <c r="B93" s="710"/>
      <c r="C93" s="165" t="s">
        <v>500</v>
      </c>
      <c r="D93" s="130" t="str">
        <f>IFERROR(((SUMPRODUCT(D71,$C$71))-ABS(SUMIFS(RX[[#All],[Total Medical and Retail Pharmacy Rebate Amount]],RX[[#All],[Reporting Year]],2021,RX[[#All],[Insurance Category Code]],4)))/$C$92,"NA")</f>
        <v>NA</v>
      </c>
      <c r="E93" s="130" t="str">
        <f>IFERROR(((SUMPRODUCT(E71,$C$71))-ABS(SUMIFS(RX[[#All],[Total Medical and Retail Pharmacy Rebate Amount]],RX[[#All],[Reporting Year]],2021,RX[[#All],[Insurance Category Code]],4)))/$C$92,"NA")</f>
        <v>NA</v>
      </c>
      <c r="F93" s="130" t="str">
        <f>IFERROR(((SUMPRODUCT(F71,$C$71))-ABS(SUMIFS(RX[[#All],[Total Medical and Retail Pharmacy Rebate Amount]],RX[[#All],[Reporting Year]],2021,RX[[#All],[Insurance Category Code]],4)))/$C$92,"NA")</f>
        <v>NA</v>
      </c>
      <c r="G93" s="130" t="str">
        <f>IFERROR(((SUMPRODUCT(G71,$C$71))-ABS(SUMIFS(RX[[#All],[Total Medical and Retail Pharmacy Rebate Amount]],RX[[#All],[Reporting Year]],2021,RX[[#All],[Insurance Category Code]],4)))/$C$92,"NA")</f>
        <v>NA</v>
      </c>
      <c r="H93" s="130" t="str">
        <f>IFERROR(((SUMPRODUCT(H71,$C$71))-ABS(SUMIFS(RX[[#All],[Total Medical and Retail Pharmacy Rebate Amount]],RX[[#All],[Reporting Year]],2021,RX[[#All],[Insurance Category Code]],4)))/$C$92,"NA")</f>
        <v>NA</v>
      </c>
      <c r="I93" s="165" t="s">
        <v>500</v>
      </c>
      <c r="J93" s="130" t="str">
        <f>IFERROR(((SUMPRODUCT(J71,$I$71))-ABS(SUMIFS(RX[[#All],[Total Medical and Retail Pharmacy Rebate Amount]],RX[[#All],[Reporting Year]],2022,RX[[#All],[Insurance Category Code]],4)))/$I$92,"NA")</f>
        <v>NA</v>
      </c>
      <c r="K93" s="130" t="str">
        <f>IFERROR(((SUMPRODUCT(K71,$I$71))-ABS(SUMIFS(RX[[#All],[Total Medical and Retail Pharmacy Rebate Amount]],RX[[#All],[Reporting Year]],2022,RX[[#All],[Insurance Category Code]],4)))/$I$92,"NA")</f>
        <v>NA</v>
      </c>
      <c r="L93" s="130" t="str">
        <f>IFERROR(((SUMPRODUCT(L71,$I$71))-ABS(SUMIFS(RX[[#All],[Total Medical and Retail Pharmacy Rebate Amount]],RX[[#All],[Reporting Year]],2022,RX[[#All],[Insurance Category Code]],4)))/$I$92,"NA")</f>
        <v>NA</v>
      </c>
      <c r="M93" s="130" t="str">
        <f>IFERROR(((SUMPRODUCT(M71,$I$71))-ABS(SUMIFS(RX[[#All],[Total Medical and Retail Pharmacy Rebate Amount]],RX[[#All],[Reporting Year]],2022,RX[[#All],[Insurance Category Code]],4)))/$I$92,"NA")</f>
        <v>NA</v>
      </c>
      <c r="N93" s="208" t="str">
        <f>IFERROR(((SUMPRODUCT(N71,$I$71))-ABS(SUMIFS(RX[[#All],[Total Medical and Retail Pharmacy Rebate Amount]],RX[[#All],[Reporting Year]],2022,RX[[#All],[Insurance Category Code]],4)))/$I$92,"NA")</f>
        <v>NA</v>
      </c>
      <c r="O93" s="544" t="s">
        <v>500</v>
      </c>
      <c r="P93" s="439" t="s">
        <v>500</v>
      </c>
      <c r="Q93" s="438" t="s">
        <v>500</v>
      </c>
      <c r="R93" s="438" t="s">
        <v>500</v>
      </c>
      <c r="S93" s="438" t="s">
        <v>500</v>
      </c>
      <c r="T93" s="438" t="s">
        <v>500</v>
      </c>
      <c r="U93" s="438" t="s">
        <v>500</v>
      </c>
    </row>
    <row r="94" spans="1:21" x14ac:dyDescent="0.25">
      <c r="A94" s="717" t="s">
        <v>564</v>
      </c>
      <c r="B94" s="718"/>
      <c r="C94" s="230">
        <f>ABS(C92-C71)</f>
        <v>0</v>
      </c>
      <c r="D94" s="227" t="e">
        <f>ABS(D92-D71)</f>
        <v>#VALUE!</v>
      </c>
      <c r="E94" s="227" t="e">
        <f>ABS(E92-E71)</f>
        <v>#VALUE!</v>
      </c>
      <c r="F94" s="227" t="e">
        <f>ABS(F92-F71)</f>
        <v>#VALUE!</v>
      </c>
      <c r="G94" s="181" t="s">
        <v>500</v>
      </c>
      <c r="H94" s="233" t="s">
        <v>500</v>
      </c>
      <c r="I94" s="230">
        <f>ABS(I92-I71)</f>
        <v>0</v>
      </c>
      <c r="J94" s="232" t="e">
        <f>ABS(J92-J71)</f>
        <v>#VALUE!</v>
      </c>
      <c r="K94" s="232" t="e">
        <f>ABS(K92-K71)</f>
        <v>#VALUE!</v>
      </c>
      <c r="L94" s="232" t="e">
        <f>ABS(L92-L71)</f>
        <v>#VALUE!</v>
      </c>
      <c r="M94" s="181" t="s">
        <v>500</v>
      </c>
      <c r="N94" s="233" t="s">
        <v>500</v>
      </c>
      <c r="O94" s="545" t="s">
        <v>500</v>
      </c>
      <c r="P94" s="546" t="s">
        <v>500</v>
      </c>
      <c r="Q94" s="548" t="s">
        <v>500</v>
      </c>
      <c r="R94" s="548" t="s">
        <v>500</v>
      </c>
      <c r="S94" s="548" t="s">
        <v>500</v>
      </c>
      <c r="T94" s="548" t="s">
        <v>500</v>
      </c>
      <c r="U94" s="548" t="s">
        <v>500</v>
      </c>
    </row>
    <row r="95" spans="1:21" ht="14.45" customHeight="1" x14ac:dyDescent="0.25">
      <c r="A95" s="715" t="s">
        <v>565</v>
      </c>
      <c r="B95" s="716"/>
      <c r="C95" s="260" t="str">
        <f>IF(((ABS(C92-C71))&lt;10),"Yes","No")</f>
        <v>Yes</v>
      </c>
      <c r="D95" s="181" t="e">
        <f>IF(((ABS(D92-D71))&lt;10),"Yes","No")</f>
        <v>#VALUE!</v>
      </c>
      <c r="E95" s="181" t="e">
        <f>IF(((ABS(E92-E71))&lt;10),"Yes","No")</f>
        <v>#VALUE!</v>
      </c>
      <c r="F95" s="181" t="e">
        <f>IF(((ABS(F92-F71))&lt;10),"Yes","No")</f>
        <v>#VALUE!</v>
      </c>
      <c r="G95" s="181" t="s">
        <v>500</v>
      </c>
      <c r="H95" s="233" t="s">
        <v>500</v>
      </c>
      <c r="I95" s="260" t="str">
        <f>IF(((ABS(I92-I71))&lt;10),"Yes","No")</f>
        <v>Yes</v>
      </c>
      <c r="J95" s="252" t="e">
        <f>IF(((ABS(J92-J71))&lt;10),"Yes","No")</f>
        <v>#VALUE!</v>
      </c>
      <c r="K95" s="252" t="e">
        <f>IF(((ABS(K92-K71))&lt;10),"Yes","No")</f>
        <v>#VALUE!</v>
      </c>
      <c r="L95" s="252" t="e">
        <f>IF(((ABS(L92-L71))&lt;10),"Yes","No")</f>
        <v>#VALUE!</v>
      </c>
      <c r="M95" s="181" t="s">
        <v>500</v>
      </c>
      <c r="N95" s="233" t="s">
        <v>500</v>
      </c>
      <c r="O95" s="545" t="s">
        <v>500</v>
      </c>
      <c r="P95" s="546" t="s">
        <v>500</v>
      </c>
      <c r="Q95" s="548" t="s">
        <v>500</v>
      </c>
      <c r="R95" s="548" t="s">
        <v>500</v>
      </c>
      <c r="S95" s="548" t="s">
        <v>500</v>
      </c>
      <c r="T95" s="548" t="s">
        <v>500</v>
      </c>
      <c r="U95" s="548" t="s">
        <v>500</v>
      </c>
    </row>
    <row r="96" spans="1:21" x14ac:dyDescent="0.25">
      <c r="A96"/>
      <c r="B96"/>
      <c r="C96" s="115"/>
      <c r="D96" s="116"/>
      <c r="E96" s="116"/>
      <c r="F96" s="116"/>
      <c r="G96" s="116"/>
      <c r="H96" s="116"/>
      <c r="I96" s="115"/>
      <c r="J96" s="116"/>
      <c r="K96" s="116"/>
      <c r="L96" s="116"/>
      <c r="M96" s="116"/>
      <c r="N96" s="116"/>
      <c r="O96" s="116"/>
      <c r="P96" s="117"/>
      <c r="Q96" s="117"/>
      <c r="R96" s="117"/>
      <c r="S96" s="117"/>
      <c r="T96" s="117"/>
      <c r="U96" s="117"/>
    </row>
    <row r="97" spans="1:21" x14ac:dyDescent="0.25">
      <c r="A97"/>
      <c r="B97"/>
      <c r="C97" s="115"/>
      <c r="D97" s="116"/>
      <c r="E97" s="116"/>
      <c r="F97" s="116"/>
      <c r="G97" s="116"/>
      <c r="H97" s="116"/>
      <c r="I97" s="115"/>
      <c r="J97" s="116"/>
      <c r="K97" s="116"/>
      <c r="L97" s="116"/>
      <c r="M97" s="116"/>
      <c r="N97" s="116"/>
      <c r="O97" s="116"/>
      <c r="P97" s="117"/>
      <c r="Q97" s="117"/>
      <c r="R97" s="117"/>
      <c r="S97" s="117"/>
      <c r="T97" s="117"/>
      <c r="U97" s="117"/>
    </row>
    <row r="98" spans="1:21" x14ac:dyDescent="0.25">
      <c r="A98" s="3" t="s">
        <v>569</v>
      </c>
      <c r="B98"/>
      <c r="C98"/>
      <c r="D98"/>
      <c r="E98"/>
      <c r="F98"/>
      <c r="G98"/>
      <c r="H98"/>
      <c r="I98"/>
      <c r="J98"/>
      <c r="K98"/>
      <c r="L98"/>
      <c r="M98"/>
      <c r="N98"/>
      <c r="O98"/>
      <c r="P98"/>
      <c r="Q98"/>
      <c r="R98"/>
      <c r="S98"/>
      <c r="T98"/>
      <c r="U98"/>
    </row>
    <row r="99" spans="1:21" ht="15" customHeight="1" x14ac:dyDescent="0.25">
      <c r="A99" s="657" t="s">
        <v>71</v>
      </c>
      <c r="B99" s="706" t="s">
        <v>547</v>
      </c>
      <c r="C99" s="697">
        <v>2021</v>
      </c>
      <c r="D99" s="698"/>
      <c r="E99" s="698"/>
      <c r="F99" s="698"/>
      <c r="G99" s="698"/>
      <c r="H99" s="699"/>
      <c r="I99" s="700">
        <v>2022</v>
      </c>
      <c r="J99" s="701"/>
      <c r="K99" s="701"/>
      <c r="L99" s="701"/>
      <c r="M99" s="701"/>
      <c r="N99" s="702"/>
      <c r="O99" s="498"/>
      <c r="P99" s="703" t="s">
        <v>548</v>
      </c>
      <c r="Q99" s="704"/>
      <c r="R99" s="704"/>
      <c r="S99" s="704"/>
      <c r="T99" s="704"/>
      <c r="U99" s="705"/>
    </row>
    <row r="100" spans="1:21" ht="45" x14ac:dyDescent="0.25">
      <c r="A100" s="657"/>
      <c r="B100" s="706"/>
      <c r="C100" s="90" t="s">
        <v>352</v>
      </c>
      <c r="D100" s="91" t="s">
        <v>550</v>
      </c>
      <c r="E100" s="91" t="s">
        <v>551</v>
      </c>
      <c r="F100" s="91" t="s">
        <v>552</v>
      </c>
      <c r="G100" s="91" t="s">
        <v>553</v>
      </c>
      <c r="H100" s="92" t="s">
        <v>554</v>
      </c>
      <c r="I100" s="87" t="s">
        <v>352</v>
      </c>
      <c r="J100" s="88" t="s">
        <v>550</v>
      </c>
      <c r="K100" s="88" t="s">
        <v>551</v>
      </c>
      <c r="L100" s="88" t="s">
        <v>552</v>
      </c>
      <c r="M100" s="88" t="s">
        <v>553</v>
      </c>
      <c r="N100" s="89" t="s">
        <v>554</v>
      </c>
      <c r="O100" s="513" t="s">
        <v>555</v>
      </c>
      <c r="P100" s="242" t="s">
        <v>556</v>
      </c>
      <c r="Q100" s="77" t="s">
        <v>557</v>
      </c>
      <c r="R100" s="77" t="s">
        <v>558</v>
      </c>
      <c r="S100" s="77" t="s">
        <v>559</v>
      </c>
      <c r="T100" s="77" t="s">
        <v>560</v>
      </c>
      <c r="U100" s="217" t="s">
        <v>561</v>
      </c>
    </row>
    <row r="101" spans="1:21" x14ac:dyDescent="0.25">
      <c r="A101" s="219">
        <v>100</v>
      </c>
      <c r="B101" s="495" t="s">
        <v>72</v>
      </c>
      <c r="C101" s="95">
        <f>SUMIFS(TM[[#All],[Member Months]],TM[[#All],[Reporting Year]],2021,TM[[#All],[Insurance Category Code]],7,TM[[#All],[Large Provider Entity Code]],A101)</f>
        <v>0</v>
      </c>
      <c r="D101" s="7" t="str">
        <f>IFERROR(SUMIFS(TM[[#All],[Total Non-Truncated Claims Spending]],TM[[#All],[Reporting Year]],2021,TM[[#All],[Insurance Category Code]],7,TM[[#All],[Large Provider Entity Code]],A101)/C101,"NA")</f>
        <v>NA</v>
      </c>
      <c r="E101" s="7" t="str">
        <f>IFERROR(SUMIFS(TM[[#All],[Total Non-Claims Spending]],TM[[#All],[Reporting Year]],2021,TM[[#All],[Insurance Category Code]],7,TM[[#All],[Large Provider Entity Code]],A101)/C101,"NA")</f>
        <v>NA</v>
      </c>
      <c r="F101" s="7" t="str">
        <f>IFERROR(SUMIFS(TM[[#All],[Total Non-Truncated Claims and Non-Claims Spending]],TM[[#All],[Reporting Year]],2021,TM[[#All],[Insurance Category Code]],7,TM[[#All],[Large Provider Entity Code]],A101)/C101,"NA")</f>
        <v>NA</v>
      </c>
      <c r="G101" s="7" t="str">
        <f>IFERROR(SUMIFS(TM[[#All],[Total Truncated Claims Spending]],TM[[#All],[Reporting Year]],2021,TM[[#All],[Insurance Category Code]],7,TM[[#All],[Large Provider Entity Code]],A101)/C101,"NA")</f>
        <v>NA</v>
      </c>
      <c r="H101" s="96" t="str">
        <f>IFERROR(SUMIFS(TM[[#All],[Total Truncated Expenses]],TM[[#All],[Reporting Year]],2021,TM[[#All],[Insurance Category Code]],7,TM[[#All],[Large Provider Entity Code]],A101)/C101,"NA")</f>
        <v>NA</v>
      </c>
      <c r="I101" s="95">
        <f>SUMIFS(TM[[#All],[Member Months]],TM[[#All],[Reporting Year]],2022,TM[[#All],[Insurance Category Code]],7,TM[[#All],[Large Provider Entity Code]],A101)</f>
        <v>0</v>
      </c>
      <c r="J101" s="7" t="str">
        <f>IFERROR(SUMIFS(TM[[#All],[Total Non-Truncated Claims Spending]],TM[[#All],[Reporting Year]],2022,TM[[#All],[Insurance Category Code]],7,TM[[#All],[Large Provider Entity Code]],A101)/I101,"NA")</f>
        <v>NA</v>
      </c>
      <c r="K101" s="7" t="str">
        <f>IFERROR(SUMIFS(TM[[#All],[Total Non-Claims Spending]],TM[[#All],[Reporting Year]],2022,TM[[#All],[Insurance Category Code]],7,TM[[#All],[Large Provider Entity Code]],A101)/I101,"NA")</f>
        <v>NA</v>
      </c>
      <c r="L101" s="7" t="str">
        <f>IFERROR(SUMIFS(TM[[#All],[Total Non-Truncated Claims and Non-Claims Spending]],TM[[#All],[Reporting Year]],2022,TM[[#All],[Insurance Category Code]],7,TM[[#All],[Large Provider Entity Code]],A101)/I101,"NA")</f>
        <v>NA</v>
      </c>
      <c r="M101" s="7" t="str">
        <f>IFERROR(SUMIFS(TM[[#All],[Total Truncated Claims Spending]],TM[[#All],[Reporting Year]],2022,TM[[#All],[Insurance Category Code]],7,TM[[#All],[Large Provider Entity Code]],A101)/I101,"NA")</f>
        <v>NA</v>
      </c>
      <c r="N101" s="96" t="str">
        <f>IFERROR(SUMIFS(TM[[#All],[Total Truncated Expenses]],TM[[#All],[Reporting Year]],2022,TM[[#All],[Insurance Category Code]],7,TM[[#All],[Large Provider Entity Code]],A101)/I101,"NA")</f>
        <v>NA</v>
      </c>
      <c r="O101" s="518">
        <f>ABS(C101-I101)</f>
        <v>0</v>
      </c>
      <c r="P101" s="243" t="str">
        <f t="shared" ref="P101:P121" si="67">IFERROR((I101/C101-1),"NA")</f>
        <v>NA</v>
      </c>
      <c r="Q101" s="97" t="str">
        <f t="shared" ref="Q101:Q121" si="68">IFERROR((J101/D101-1),"NA")</f>
        <v>NA</v>
      </c>
      <c r="R101" s="97" t="str">
        <f t="shared" ref="R101:R121" si="69">IFERROR((K101/E101-1),"NA")</f>
        <v>NA</v>
      </c>
      <c r="S101" s="97" t="str">
        <f t="shared" ref="S101:S121" si="70">IFERROR((L101/F101-1),"NA")</f>
        <v>NA</v>
      </c>
      <c r="T101" s="97" t="str">
        <f t="shared" ref="T101:T121" si="71">IFERROR((M101/G101-1),"NA")</f>
        <v>NA</v>
      </c>
      <c r="U101" s="97" t="str">
        <f t="shared" ref="U101:U121" si="72">IFERROR((N101/H101-1),"NA")</f>
        <v>NA</v>
      </c>
    </row>
    <row r="102" spans="1:21" x14ac:dyDescent="0.25">
      <c r="A102" s="218">
        <v>101</v>
      </c>
      <c r="B102" s="495" t="s">
        <v>609</v>
      </c>
      <c r="C102" s="95">
        <f>SUMIFS(TM[[#All],[Member Months]],TM[[#All],[Reporting Year]],2021,TM[[#All],[Insurance Category Code]],7,TM[[#All],[Large Provider Entity Code]],A102)</f>
        <v>0</v>
      </c>
      <c r="D102" s="7" t="str">
        <f>IFERROR(SUMIFS(TM[[#All],[Total Non-Truncated Claims Spending]],TM[[#All],[Reporting Year]],2021,TM[[#All],[Insurance Category Code]],7,TM[[#All],[Large Provider Entity Code]],A102)/C102,"NA")</f>
        <v>NA</v>
      </c>
      <c r="E102" s="7" t="str">
        <f>IFERROR(SUMIFS(TM[[#All],[Total Non-Claims Spending]],TM[[#All],[Reporting Year]],2021,TM[[#All],[Insurance Category Code]],7,TM[[#All],[Large Provider Entity Code]],A102)/C102,"NA")</f>
        <v>NA</v>
      </c>
      <c r="F102" s="7" t="str">
        <f>IFERROR(SUMIFS(TM[[#All],[Total Non-Truncated Claims and Non-Claims Spending]],TM[[#All],[Reporting Year]],2021,TM[[#All],[Insurance Category Code]],7,TM[[#All],[Large Provider Entity Code]],A102)/C102,"NA")</f>
        <v>NA</v>
      </c>
      <c r="G102" s="7" t="str">
        <f>IFERROR(SUMIFS(TM[[#All],[Total Truncated Claims Spending]],TM[[#All],[Reporting Year]],2021,TM[[#All],[Insurance Category Code]],7,TM[[#All],[Large Provider Entity Code]],A102)/C102,"NA")</f>
        <v>NA</v>
      </c>
      <c r="H102" s="96" t="str">
        <f>IFERROR(SUMIFS(TM[[#All],[Total Truncated Expenses]],TM[[#All],[Reporting Year]],2021,TM[[#All],[Insurance Category Code]],7,TM[[#All],[Large Provider Entity Code]],A102)/C102,"NA")</f>
        <v>NA</v>
      </c>
      <c r="I102" s="95">
        <f>SUMIFS(TM[[#All],[Member Months]],TM[[#All],[Reporting Year]],2022,TM[[#All],[Insurance Category Code]],7,TM[[#All],[Large Provider Entity Code]],A102)</f>
        <v>0</v>
      </c>
      <c r="J102" s="7" t="str">
        <f>IFERROR(SUMIFS(TM[[#All],[Total Non-Truncated Claims Spending]],TM[[#All],[Reporting Year]],2022,TM[[#All],[Insurance Category Code]],7,TM[[#All],[Large Provider Entity Code]],A102)/I102,"NA")</f>
        <v>NA</v>
      </c>
      <c r="K102" s="7" t="str">
        <f>IFERROR(SUMIFS(TM[[#All],[Total Non-Claims Spending]],TM[[#All],[Reporting Year]],2022,TM[[#All],[Insurance Category Code]],7,TM[[#All],[Large Provider Entity Code]],A102)/I102,"NA")</f>
        <v>NA</v>
      </c>
      <c r="L102" s="7" t="str">
        <f>IFERROR(SUMIFS(TM[[#All],[Total Non-Truncated Claims and Non-Claims Spending]],TM[[#All],[Reporting Year]],2022,TM[[#All],[Insurance Category Code]],7,TM[[#All],[Large Provider Entity Code]],A102)/I102,"NA")</f>
        <v>NA</v>
      </c>
      <c r="M102" s="7" t="str">
        <f>IFERROR(SUMIFS(TM[[#All],[Total Truncated Claims Spending]],TM[[#All],[Reporting Year]],2022,TM[[#All],[Insurance Category Code]],7,TM[[#All],[Large Provider Entity Code]],A102)/I102,"NA")</f>
        <v>NA</v>
      </c>
      <c r="N102" s="96" t="str">
        <f>IFERROR(SUMIFS(TM[[#All],[Total Truncated Expenses]],TM[[#All],[Reporting Year]],2022,TM[[#All],[Insurance Category Code]],7,TM[[#All],[Large Provider Entity Code]],A102)/I102,"NA")</f>
        <v>NA</v>
      </c>
      <c r="O102" s="518">
        <f t="shared" ref="O102:O121" si="73">ABS(C102-I102)</f>
        <v>0</v>
      </c>
      <c r="P102" s="243" t="str">
        <f t="shared" si="67"/>
        <v>NA</v>
      </c>
      <c r="Q102" s="97" t="str">
        <f t="shared" si="68"/>
        <v>NA</v>
      </c>
      <c r="R102" s="97" t="str">
        <f t="shared" si="69"/>
        <v>NA</v>
      </c>
      <c r="S102" s="97" t="str">
        <f t="shared" si="70"/>
        <v>NA</v>
      </c>
      <c r="T102" s="97" t="str">
        <f t="shared" si="71"/>
        <v>NA</v>
      </c>
      <c r="U102" s="97" t="str">
        <f t="shared" si="72"/>
        <v>NA</v>
      </c>
    </row>
    <row r="103" spans="1:21" x14ac:dyDescent="0.25">
      <c r="A103" s="218">
        <v>102</v>
      </c>
      <c r="B103" s="566" t="s">
        <v>610</v>
      </c>
      <c r="C103" s="95">
        <f>SUMIFS(TM[[#All],[Member Months]],TM[[#All],[Reporting Year]],2021,TM[[#All],[Insurance Category Code]],7,TM[[#All],[Large Provider Entity Code]],A103)</f>
        <v>0</v>
      </c>
      <c r="D103" s="7" t="str">
        <f>IFERROR(SUMIFS(TM[[#All],[Total Non-Truncated Claims Spending]],TM[[#All],[Reporting Year]],2021,TM[[#All],[Insurance Category Code]],7,TM[[#All],[Large Provider Entity Code]],A103)/C103,"NA")</f>
        <v>NA</v>
      </c>
      <c r="E103" s="7" t="str">
        <f>IFERROR(SUMIFS(TM[[#All],[Total Non-Claims Spending]],TM[[#All],[Reporting Year]],2021,TM[[#All],[Insurance Category Code]],7,TM[[#All],[Large Provider Entity Code]],A103)/C103,"NA")</f>
        <v>NA</v>
      </c>
      <c r="F103" s="7" t="str">
        <f>IFERROR(SUMIFS(TM[[#All],[Total Non-Truncated Claims and Non-Claims Spending]],TM[[#All],[Reporting Year]],2021,TM[[#All],[Insurance Category Code]],7,TM[[#All],[Large Provider Entity Code]],A103)/C103,"NA")</f>
        <v>NA</v>
      </c>
      <c r="G103" s="7" t="str">
        <f>IFERROR(SUMIFS(TM[[#All],[Total Truncated Claims Spending]],TM[[#All],[Reporting Year]],2021,TM[[#All],[Insurance Category Code]],7,TM[[#All],[Large Provider Entity Code]],A103)/C103,"NA")</f>
        <v>NA</v>
      </c>
      <c r="H103" s="96" t="str">
        <f>IFERROR(SUMIFS(TM[[#All],[Total Truncated Expenses]],TM[[#All],[Reporting Year]],2021,TM[[#All],[Insurance Category Code]],7,TM[[#All],[Large Provider Entity Code]],A103)/C103,"NA")</f>
        <v>NA</v>
      </c>
      <c r="I103" s="95">
        <f>SUMIFS(TM[[#All],[Member Months]],TM[[#All],[Reporting Year]],2022,TM[[#All],[Insurance Category Code]],7,TM[[#All],[Large Provider Entity Code]],A103)</f>
        <v>0</v>
      </c>
      <c r="J103" s="7" t="str">
        <f>IFERROR(SUMIFS(TM[[#All],[Total Non-Truncated Claims Spending]],TM[[#All],[Reporting Year]],2022,TM[[#All],[Insurance Category Code]],7,TM[[#All],[Large Provider Entity Code]],A103)/I103,"NA")</f>
        <v>NA</v>
      </c>
      <c r="K103" s="7" t="str">
        <f>IFERROR(SUMIFS(TM[[#All],[Total Non-Claims Spending]],TM[[#All],[Reporting Year]],2022,TM[[#All],[Insurance Category Code]],7,TM[[#All],[Large Provider Entity Code]],A103)/I103,"NA")</f>
        <v>NA</v>
      </c>
      <c r="L103" s="7" t="str">
        <f>IFERROR(SUMIFS(TM[[#All],[Total Non-Truncated Claims and Non-Claims Spending]],TM[[#All],[Reporting Year]],2022,TM[[#All],[Insurance Category Code]],7,TM[[#All],[Large Provider Entity Code]],A103)/I103,"NA")</f>
        <v>NA</v>
      </c>
      <c r="M103" s="7" t="str">
        <f>IFERROR(SUMIFS(TM[[#All],[Total Truncated Claims Spending]],TM[[#All],[Reporting Year]],2022,TM[[#All],[Insurance Category Code]],7,TM[[#All],[Large Provider Entity Code]],A103)/I103,"NA")</f>
        <v>NA</v>
      </c>
      <c r="N103" s="96" t="str">
        <f>IFERROR(SUMIFS(TM[[#All],[Total Truncated Expenses]],TM[[#All],[Reporting Year]],2022,TM[[#All],[Insurance Category Code]],7,TM[[#All],[Large Provider Entity Code]],A103)/I103,"NA")</f>
        <v>NA</v>
      </c>
      <c r="O103" s="518">
        <f t="shared" si="73"/>
        <v>0</v>
      </c>
      <c r="P103" s="243" t="str">
        <f t="shared" si="67"/>
        <v>NA</v>
      </c>
      <c r="Q103" s="97" t="str">
        <f t="shared" si="68"/>
        <v>NA</v>
      </c>
      <c r="R103" s="97" t="str">
        <f t="shared" si="69"/>
        <v>NA</v>
      </c>
      <c r="S103" s="97" t="str">
        <f t="shared" si="70"/>
        <v>NA</v>
      </c>
      <c r="T103" s="97" t="str">
        <f t="shared" si="71"/>
        <v>NA</v>
      </c>
      <c r="U103" s="97" t="str">
        <f t="shared" si="72"/>
        <v>NA</v>
      </c>
    </row>
    <row r="104" spans="1:21" ht="30" x14ac:dyDescent="0.25">
      <c r="A104" s="218">
        <v>103</v>
      </c>
      <c r="B104" s="495" t="s">
        <v>73</v>
      </c>
      <c r="C104" s="95">
        <f>SUMIFS(TM[[#All],[Member Months]],TM[[#All],[Reporting Year]],2021,TM[[#All],[Insurance Category Code]],7,TM[[#All],[Large Provider Entity Code]],A104)</f>
        <v>0</v>
      </c>
      <c r="D104" s="7" t="str">
        <f>IFERROR(SUMIFS(TM[[#All],[Total Non-Truncated Claims Spending]],TM[[#All],[Reporting Year]],2021,TM[[#All],[Insurance Category Code]],7,TM[[#All],[Large Provider Entity Code]],A104)/C104,"NA")</f>
        <v>NA</v>
      </c>
      <c r="E104" s="7" t="str">
        <f>IFERROR(SUMIFS(TM[[#All],[Total Non-Claims Spending]],TM[[#All],[Reporting Year]],2021,TM[[#All],[Insurance Category Code]],7,TM[[#All],[Large Provider Entity Code]],A104)/C104,"NA")</f>
        <v>NA</v>
      </c>
      <c r="F104" s="7" t="str">
        <f>IFERROR(SUMIFS(TM[[#All],[Total Non-Truncated Claims and Non-Claims Spending]],TM[[#All],[Reporting Year]],2021,TM[[#All],[Insurance Category Code]],7,TM[[#All],[Large Provider Entity Code]],A104)/C104,"NA")</f>
        <v>NA</v>
      </c>
      <c r="G104" s="7" t="str">
        <f>IFERROR(SUMIFS(TM[[#All],[Total Truncated Claims Spending]],TM[[#All],[Reporting Year]],2021,TM[[#All],[Insurance Category Code]],7,TM[[#All],[Large Provider Entity Code]],A104)/C104,"NA")</f>
        <v>NA</v>
      </c>
      <c r="H104" s="96" t="str">
        <f>IFERROR(SUMIFS(TM[[#All],[Total Truncated Expenses]],TM[[#All],[Reporting Year]],2021,TM[[#All],[Insurance Category Code]],7,TM[[#All],[Large Provider Entity Code]],A104)/C104,"NA")</f>
        <v>NA</v>
      </c>
      <c r="I104" s="95">
        <f>SUMIFS(TM[[#All],[Member Months]],TM[[#All],[Reporting Year]],2022,TM[[#All],[Insurance Category Code]],7,TM[[#All],[Large Provider Entity Code]],A104)</f>
        <v>0</v>
      </c>
      <c r="J104" s="7" t="str">
        <f>IFERROR(SUMIFS(TM[[#All],[Total Non-Truncated Claims Spending]],TM[[#All],[Reporting Year]],2022,TM[[#All],[Insurance Category Code]],7,TM[[#All],[Large Provider Entity Code]],A104)/I104,"NA")</f>
        <v>NA</v>
      </c>
      <c r="K104" s="7" t="str">
        <f>IFERROR(SUMIFS(TM[[#All],[Total Non-Claims Spending]],TM[[#All],[Reporting Year]],2022,TM[[#All],[Insurance Category Code]],7,TM[[#All],[Large Provider Entity Code]],A104)/I104,"NA")</f>
        <v>NA</v>
      </c>
      <c r="L104" s="7" t="str">
        <f>IFERROR(SUMIFS(TM[[#All],[Total Non-Truncated Claims and Non-Claims Spending]],TM[[#All],[Reporting Year]],2022,TM[[#All],[Insurance Category Code]],7,TM[[#All],[Large Provider Entity Code]],A104)/I104,"NA")</f>
        <v>NA</v>
      </c>
      <c r="M104" s="7" t="str">
        <f>IFERROR(SUMIFS(TM[[#All],[Total Truncated Claims Spending]],TM[[#All],[Reporting Year]],2022,TM[[#All],[Insurance Category Code]],7,TM[[#All],[Large Provider Entity Code]],A104)/I104,"NA")</f>
        <v>NA</v>
      </c>
      <c r="N104" s="96" t="str">
        <f>IFERROR(SUMIFS(TM[[#All],[Total Truncated Expenses]],TM[[#All],[Reporting Year]],2022,TM[[#All],[Insurance Category Code]],7,TM[[#All],[Large Provider Entity Code]],A104)/I104,"NA")</f>
        <v>NA</v>
      </c>
      <c r="O104" s="518">
        <f t="shared" si="73"/>
        <v>0</v>
      </c>
      <c r="P104" s="243" t="str">
        <f t="shared" si="67"/>
        <v>NA</v>
      </c>
      <c r="Q104" s="97" t="str">
        <f t="shared" si="68"/>
        <v>NA</v>
      </c>
      <c r="R104" s="97" t="str">
        <f t="shared" si="69"/>
        <v>NA</v>
      </c>
      <c r="S104" s="97" t="str">
        <f t="shared" si="70"/>
        <v>NA</v>
      </c>
      <c r="T104" s="97" t="str">
        <f t="shared" si="71"/>
        <v>NA</v>
      </c>
      <c r="U104" s="97" t="str">
        <f t="shared" si="72"/>
        <v>NA</v>
      </c>
    </row>
    <row r="105" spans="1:21" x14ac:dyDescent="0.25">
      <c r="A105" s="218">
        <v>104</v>
      </c>
      <c r="B105" s="495" t="s">
        <v>611</v>
      </c>
      <c r="C105" s="95">
        <f>SUMIFS(TM[[#All],[Member Months]],TM[[#All],[Reporting Year]],2021,TM[[#All],[Insurance Category Code]],7,TM[[#All],[Large Provider Entity Code]],A105)</f>
        <v>0</v>
      </c>
      <c r="D105" s="7" t="str">
        <f>IFERROR(SUMIFS(TM[[#All],[Total Non-Truncated Claims Spending]],TM[[#All],[Reporting Year]],2021,TM[[#All],[Insurance Category Code]],7,TM[[#All],[Large Provider Entity Code]],A105)/C105,"NA")</f>
        <v>NA</v>
      </c>
      <c r="E105" s="7" t="str">
        <f>IFERROR(SUMIFS(TM[[#All],[Total Non-Claims Spending]],TM[[#All],[Reporting Year]],2021,TM[[#All],[Insurance Category Code]],7,TM[[#All],[Large Provider Entity Code]],A105)/C105,"NA")</f>
        <v>NA</v>
      </c>
      <c r="F105" s="7" t="str">
        <f>IFERROR(SUMIFS(TM[[#All],[Total Non-Truncated Claims and Non-Claims Spending]],TM[[#All],[Reporting Year]],2021,TM[[#All],[Insurance Category Code]],7,TM[[#All],[Large Provider Entity Code]],A105)/C105,"NA")</f>
        <v>NA</v>
      </c>
      <c r="G105" s="7" t="str">
        <f>IFERROR(SUMIFS(TM[[#All],[Total Truncated Claims Spending]],TM[[#All],[Reporting Year]],2021,TM[[#All],[Insurance Category Code]],7,TM[[#All],[Large Provider Entity Code]],A105)/C105,"NA")</f>
        <v>NA</v>
      </c>
      <c r="H105" s="96" t="str">
        <f>IFERROR(SUMIFS(TM[[#All],[Total Truncated Expenses]],TM[[#All],[Reporting Year]],2021,TM[[#All],[Insurance Category Code]],7,TM[[#All],[Large Provider Entity Code]],A105)/C105,"NA")</f>
        <v>NA</v>
      </c>
      <c r="I105" s="95">
        <f>SUMIFS(TM[[#All],[Member Months]],TM[[#All],[Reporting Year]],2022,TM[[#All],[Insurance Category Code]],7,TM[[#All],[Large Provider Entity Code]],A105)</f>
        <v>0</v>
      </c>
      <c r="J105" s="7" t="str">
        <f>IFERROR(SUMIFS(TM[[#All],[Total Non-Truncated Claims Spending]],TM[[#All],[Reporting Year]],2022,TM[[#All],[Insurance Category Code]],7,TM[[#All],[Large Provider Entity Code]],A105)/I105,"NA")</f>
        <v>NA</v>
      </c>
      <c r="K105" s="7" t="str">
        <f>IFERROR(SUMIFS(TM[[#All],[Total Non-Claims Spending]],TM[[#All],[Reporting Year]],2022,TM[[#All],[Insurance Category Code]],7,TM[[#All],[Large Provider Entity Code]],A105)/I105,"NA")</f>
        <v>NA</v>
      </c>
      <c r="L105" s="7" t="str">
        <f>IFERROR(SUMIFS(TM[[#All],[Total Non-Truncated Claims and Non-Claims Spending]],TM[[#All],[Reporting Year]],2022,TM[[#All],[Insurance Category Code]],7,TM[[#All],[Large Provider Entity Code]],A105)/I105,"NA")</f>
        <v>NA</v>
      </c>
      <c r="M105" s="7" t="str">
        <f>IFERROR(SUMIFS(TM[[#All],[Total Truncated Claims Spending]],TM[[#All],[Reporting Year]],2022,TM[[#All],[Insurance Category Code]],7,TM[[#All],[Large Provider Entity Code]],A105)/I105,"NA")</f>
        <v>NA</v>
      </c>
      <c r="N105" s="96" t="str">
        <f>IFERROR(SUMIFS(TM[[#All],[Total Truncated Expenses]],TM[[#All],[Reporting Year]],2022,TM[[#All],[Insurance Category Code]],7,TM[[#All],[Large Provider Entity Code]],A105)/I105,"NA")</f>
        <v>NA</v>
      </c>
      <c r="O105" s="518">
        <f t="shared" si="73"/>
        <v>0</v>
      </c>
      <c r="P105" s="243" t="str">
        <f t="shared" si="67"/>
        <v>NA</v>
      </c>
      <c r="Q105" s="97" t="str">
        <f t="shared" si="68"/>
        <v>NA</v>
      </c>
      <c r="R105" s="97" t="str">
        <f t="shared" si="69"/>
        <v>NA</v>
      </c>
      <c r="S105" s="97" t="str">
        <f t="shared" si="70"/>
        <v>NA</v>
      </c>
      <c r="T105" s="97" t="str">
        <f t="shared" si="71"/>
        <v>NA</v>
      </c>
      <c r="U105" s="97" t="str">
        <f t="shared" si="72"/>
        <v>NA</v>
      </c>
    </row>
    <row r="106" spans="1:21" x14ac:dyDescent="0.25">
      <c r="A106" s="218">
        <v>105</v>
      </c>
      <c r="B106" s="566" t="s">
        <v>607</v>
      </c>
      <c r="C106" s="95">
        <f>SUMIFS(TM[[#All],[Member Months]],TM[[#All],[Reporting Year]],2021,TM[[#All],[Insurance Category Code]],7,TM[[#All],[Large Provider Entity Code]],A106)</f>
        <v>0</v>
      </c>
      <c r="D106" s="7" t="str">
        <f>IFERROR(SUMIFS(TM[[#All],[Total Non-Truncated Claims Spending]],TM[[#All],[Reporting Year]],2021,TM[[#All],[Insurance Category Code]],7,TM[[#All],[Large Provider Entity Code]],A106)/C106,"NA")</f>
        <v>NA</v>
      </c>
      <c r="E106" s="7" t="str">
        <f>IFERROR(SUMIFS(TM[[#All],[Total Non-Claims Spending]],TM[[#All],[Reporting Year]],2021,TM[[#All],[Insurance Category Code]],7,TM[[#All],[Large Provider Entity Code]],A106)/C106,"NA")</f>
        <v>NA</v>
      </c>
      <c r="F106" s="7" t="str">
        <f>IFERROR(SUMIFS(TM[[#All],[Total Non-Truncated Claims and Non-Claims Spending]],TM[[#All],[Reporting Year]],2021,TM[[#All],[Insurance Category Code]],7,TM[[#All],[Large Provider Entity Code]],A106)/C106,"NA")</f>
        <v>NA</v>
      </c>
      <c r="G106" s="7" t="str">
        <f>IFERROR(SUMIFS(TM[[#All],[Total Truncated Claims Spending]],TM[[#All],[Reporting Year]],2021,TM[[#All],[Insurance Category Code]],7,TM[[#All],[Large Provider Entity Code]],A106)/C106,"NA")</f>
        <v>NA</v>
      </c>
      <c r="H106" s="96" t="str">
        <f>IFERROR(SUMIFS(TM[[#All],[Total Truncated Expenses]],TM[[#All],[Reporting Year]],2021,TM[[#All],[Insurance Category Code]],7,TM[[#All],[Large Provider Entity Code]],A106)/C106,"NA")</f>
        <v>NA</v>
      </c>
      <c r="I106" s="95">
        <f>SUMIFS(TM[[#All],[Member Months]],TM[[#All],[Reporting Year]],2022,TM[[#All],[Insurance Category Code]],7,TM[[#All],[Large Provider Entity Code]],A106)</f>
        <v>0</v>
      </c>
      <c r="J106" s="7" t="str">
        <f>IFERROR(SUMIFS(TM[[#All],[Total Non-Truncated Claims Spending]],TM[[#All],[Reporting Year]],2022,TM[[#All],[Insurance Category Code]],7,TM[[#All],[Large Provider Entity Code]],A106)/I106,"NA")</f>
        <v>NA</v>
      </c>
      <c r="K106" s="7" t="str">
        <f>IFERROR(SUMIFS(TM[[#All],[Total Non-Claims Spending]],TM[[#All],[Reporting Year]],2022,TM[[#All],[Insurance Category Code]],7,TM[[#All],[Large Provider Entity Code]],A106)/I106,"NA")</f>
        <v>NA</v>
      </c>
      <c r="L106" s="7" t="str">
        <f>IFERROR(SUMIFS(TM[[#All],[Total Non-Truncated Claims and Non-Claims Spending]],TM[[#All],[Reporting Year]],2022,TM[[#All],[Insurance Category Code]],7,TM[[#All],[Large Provider Entity Code]],A106)/I106,"NA")</f>
        <v>NA</v>
      </c>
      <c r="M106" s="7" t="str">
        <f>IFERROR(SUMIFS(TM[[#All],[Total Truncated Claims Spending]],TM[[#All],[Reporting Year]],2022,TM[[#All],[Insurance Category Code]],7,TM[[#All],[Large Provider Entity Code]],A106)/I106,"NA")</f>
        <v>NA</v>
      </c>
      <c r="N106" s="96" t="str">
        <f>IFERROR(SUMIFS(TM[[#All],[Total Truncated Expenses]],TM[[#All],[Reporting Year]],2022,TM[[#All],[Insurance Category Code]],7,TM[[#All],[Large Provider Entity Code]],A106)/I106,"NA")</f>
        <v>NA</v>
      </c>
      <c r="O106" s="518">
        <f t="shared" si="73"/>
        <v>0</v>
      </c>
      <c r="P106" s="243" t="str">
        <f t="shared" si="67"/>
        <v>NA</v>
      </c>
      <c r="Q106" s="97" t="str">
        <f t="shared" si="68"/>
        <v>NA</v>
      </c>
      <c r="R106" s="97" t="str">
        <f t="shared" si="69"/>
        <v>NA</v>
      </c>
      <c r="S106" s="97" t="str">
        <f t="shared" si="70"/>
        <v>NA</v>
      </c>
      <c r="T106" s="97" t="str">
        <f t="shared" si="71"/>
        <v>NA</v>
      </c>
      <c r="U106" s="97" t="str">
        <f t="shared" si="72"/>
        <v>NA</v>
      </c>
    </row>
    <row r="107" spans="1:21" x14ac:dyDescent="0.25">
      <c r="A107" s="218">
        <v>106</v>
      </c>
      <c r="B107" s="495" t="s">
        <v>74</v>
      </c>
      <c r="C107" s="95">
        <f>SUMIFS(TM[[#All],[Member Months]],TM[[#All],[Reporting Year]],2021,TM[[#All],[Insurance Category Code]],7,TM[[#All],[Large Provider Entity Code]],A107)</f>
        <v>0</v>
      </c>
      <c r="D107" s="7" t="str">
        <f>IFERROR(SUMIFS(TM[[#All],[Total Non-Truncated Claims Spending]],TM[[#All],[Reporting Year]],2021,TM[[#All],[Insurance Category Code]],7,TM[[#All],[Large Provider Entity Code]],A107)/C107,"NA")</f>
        <v>NA</v>
      </c>
      <c r="E107" s="7" t="str">
        <f>IFERROR(SUMIFS(TM[[#All],[Total Non-Claims Spending]],TM[[#All],[Reporting Year]],2021,TM[[#All],[Insurance Category Code]],7,TM[[#All],[Large Provider Entity Code]],A107)/C107,"NA")</f>
        <v>NA</v>
      </c>
      <c r="F107" s="7" t="str">
        <f>IFERROR(SUMIFS(TM[[#All],[Total Non-Truncated Claims and Non-Claims Spending]],TM[[#All],[Reporting Year]],2021,TM[[#All],[Insurance Category Code]],7,TM[[#All],[Large Provider Entity Code]],A107)/C107,"NA")</f>
        <v>NA</v>
      </c>
      <c r="G107" s="7" t="str">
        <f>IFERROR(SUMIFS(TM[[#All],[Total Truncated Claims Spending]],TM[[#All],[Reporting Year]],2021,TM[[#All],[Insurance Category Code]],7,TM[[#All],[Large Provider Entity Code]],A107)/C107,"NA")</f>
        <v>NA</v>
      </c>
      <c r="H107" s="96" t="str">
        <f>IFERROR(SUMIFS(TM[[#All],[Total Truncated Expenses]],TM[[#All],[Reporting Year]],2021,TM[[#All],[Insurance Category Code]],7,TM[[#All],[Large Provider Entity Code]],A107)/C107,"NA")</f>
        <v>NA</v>
      </c>
      <c r="I107" s="95">
        <f>SUMIFS(TM[[#All],[Member Months]],TM[[#All],[Reporting Year]],2022,TM[[#All],[Insurance Category Code]],7,TM[[#All],[Large Provider Entity Code]],A107)</f>
        <v>0</v>
      </c>
      <c r="J107" s="7" t="str">
        <f>IFERROR(SUMIFS(TM[[#All],[Total Non-Truncated Claims Spending]],TM[[#All],[Reporting Year]],2022,TM[[#All],[Insurance Category Code]],7,TM[[#All],[Large Provider Entity Code]],A107)/I107,"NA")</f>
        <v>NA</v>
      </c>
      <c r="K107" s="7" t="str">
        <f>IFERROR(SUMIFS(TM[[#All],[Total Non-Claims Spending]],TM[[#All],[Reporting Year]],2022,TM[[#All],[Insurance Category Code]],7,TM[[#All],[Large Provider Entity Code]],A107)/I107,"NA")</f>
        <v>NA</v>
      </c>
      <c r="L107" s="7" t="str">
        <f>IFERROR(SUMIFS(TM[[#All],[Total Non-Truncated Claims and Non-Claims Spending]],TM[[#All],[Reporting Year]],2022,TM[[#All],[Insurance Category Code]],7,TM[[#All],[Large Provider Entity Code]],A107)/I107,"NA")</f>
        <v>NA</v>
      </c>
      <c r="M107" s="7" t="str">
        <f>IFERROR(SUMIFS(TM[[#All],[Total Truncated Claims Spending]],TM[[#All],[Reporting Year]],2022,TM[[#All],[Insurance Category Code]],7,TM[[#All],[Large Provider Entity Code]],A107)/I107,"NA")</f>
        <v>NA</v>
      </c>
      <c r="N107" s="96" t="str">
        <f>IFERROR(SUMIFS(TM[[#All],[Total Truncated Expenses]],TM[[#All],[Reporting Year]],2022,TM[[#All],[Insurance Category Code]],7,TM[[#All],[Large Provider Entity Code]],A107)/I107,"NA")</f>
        <v>NA</v>
      </c>
      <c r="O107" s="518">
        <f t="shared" si="73"/>
        <v>0</v>
      </c>
      <c r="P107" s="243" t="str">
        <f t="shared" si="67"/>
        <v>NA</v>
      </c>
      <c r="Q107" s="97" t="str">
        <f t="shared" si="68"/>
        <v>NA</v>
      </c>
      <c r="R107" s="97" t="str">
        <f t="shared" si="69"/>
        <v>NA</v>
      </c>
      <c r="S107" s="97" t="str">
        <f t="shared" si="70"/>
        <v>NA</v>
      </c>
      <c r="T107" s="97" t="str">
        <f t="shared" si="71"/>
        <v>NA</v>
      </c>
      <c r="U107" s="97" t="str">
        <f t="shared" si="72"/>
        <v>NA</v>
      </c>
    </row>
    <row r="108" spans="1:21" ht="30" x14ac:dyDescent="0.25">
      <c r="A108" s="218">
        <v>107</v>
      </c>
      <c r="B108" s="495" t="s">
        <v>75</v>
      </c>
      <c r="C108" s="95">
        <f>SUMIFS(TM[[#All],[Member Months]],TM[[#All],[Reporting Year]],2021,TM[[#All],[Insurance Category Code]],7,TM[[#All],[Large Provider Entity Code]],A108)</f>
        <v>0</v>
      </c>
      <c r="D108" s="7" t="str">
        <f>IFERROR(SUMIFS(TM[[#All],[Total Non-Truncated Claims Spending]],TM[[#All],[Reporting Year]],2021,TM[[#All],[Insurance Category Code]],7,TM[[#All],[Large Provider Entity Code]],A108)/C108,"NA")</f>
        <v>NA</v>
      </c>
      <c r="E108" s="7" t="str">
        <f>IFERROR(SUMIFS(TM[[#All],[Total Non-Claims Spending]],TM[[#All],[Reporting Year]],2021,TM[[#All],[Insurance Category Code]],7,TM[[#All],[Large Provider Entity Code]],A108)/C108,"NA")</f>
        <v>NA</v>
      </c>
      <c r="F108" s="7" t="str">
        <f>IFERROR(SUMIFS(TM[[#All],[Total Non-Truncated Claims and Non-Claims Spending]],TM[[#All],[Reporting Year]],2021,TM[[#All],[Insurance Category Code]],7,TM[[#All],[Large Provider Entity Code]],A108)/C108,"NA")</f>
        <v>NA</v>
      </c>
      <c r="G108" s="7" t="str">
        <f>IFERROR(SUMIFS(TM[[#All],[Total Truncated Claims Spending]],TM[[#All],[Reporting Year]],2021,TM[[#All],[Insurance Category Code]],7,TM[[#All],[Large Provider Entity Code]],A108)/C108,"NA")</f>
        <v>NA</v>
      </c>
      <c r="H108" s="96" t="str">
        <f>IFERROR(SUMIFS(TM[[#All],[Total Truncated Expenses]],TM[[#All],[Reporting Year]],2021,TM[[#All],[Insurance Category Code]],7,TM[[#All],[Large Provider Entity Code]],A108)/C108,"NA")</f>
        <v>NA</v>
      </c>
      <c r="I108" s="95">
        <f>SUMIFS(TM[[#All],[Member Months]],TM[[#All],[Reporting Year]],2022,TM[[#All],[Insurance Category Code]],7,TM[[#All],[Large Provider Entity Code]],A108)</f>
        <v>0</v>
      </c>
      <c r="J108" s="7" t="str">
        <f>IFERROR(SUMIFS(TM[[#All],[Total Non-Truncated Claims Spending]],TM[[#All],[Reporting Year]],2022,TM[[#All],[Insurance Category Code]],7,TM[[#All],[Large Provider Entity Code]],A108)/I108,"NA")</f>
        <v>NA</v>
      </c>
      <c r="K108" s="7" t="str">
        <f>IFERROR(SUMIFS(TM[[#All],[Total Non-Claims Spending]],TM[[#All],[Reporting Year]],2022,TM[[#All],[Insurance Category Code]],7,TM[[#All],[Large Provider Entity Code]],A108)/I108,"NA")</f>
        <v>NA</v>
      </c>
      <c r="L108" s="7" t="str">
        <f>IFERROR(SUMIFS(TM[[#All],[Total Non-Truncated Claims and Non-Claims Spending]],TM[[#All],[Reporting Year]],2022,TM[[#All],[Insurance Category Code]],7,TM[[#All],[Large Provider Entity Code]],A108)/I108,"NA")</f>
        <v>NA</v>
      </c>
      <c r="M108" s="7" t="str">
        <f>IFERROR(SUMIFS(TM[[#All],[Total Truncated Claims Spending]],TM[[#All],[Reporting Year]],2022,TM[[#All],[Insurance Category Code]],7,TM[[#All],[Large Provider Entity Code]],A108)/I108,"NA")</f>
        <v>NA</v>
      </c>
      <c r="N108" s="96" t="str">
        <f>IFERROR(SUMIFS(TM[[#All],[Total Truncated Expenses]],TM[[#All],[Reporting Year]],2022,TM[[#All],[Insurance Category Code]],7,TM[[#All],[Large Provider Entity Code]],A108)/I108,"NA")</f>
        <v>NA</v>
      </c>
      <c r="O108" s="518">
        <f t="shared" si="73"/>
        <v>0</v>
      </c>
      <c r="P108" s="243" t="str">
        <f t="shared" si="67"/>
        <v>NA</v>
      </c>
      <c r="Q108" s="97" t="str">
        <f t="shared" si="68"/>
        <v>NA</v>
      </c>
      <c r="R108" s="97" t="str">
        <f t="shared" si="69"/>
        <v>NA</v>
      </c>
      <c r="S108" s="97" t="str">
        <f t="shared" si="70"/>
        <v>NA</v>
      </c>
      <c r="T108" s="97" t="str">
        <f t="shared" si="71"/>
        <v>NA</v>
      </c>
      <c r="U108" s="97" t="str">
        <f t="shared" si="72"/>
        <v>NA</v>
      </c>
    </row>
    <row r="109" spans="1:21" x14ac:dyDescent="0.25">
      <c r="A109" s="218">
        <v>108</v>
      </c>
      <c r="B109" s="495" t="s">
        <v>612</v>
      </c>
      <c r="C109" s="95">
        <f>SUMIFS(TM[[#All],[Member Months]],TM[[#All],[Reporting Year]],2021,TM[[#All],[Insurance Category Code]],7,TM[[#All],[Large Provider Entity Code]],A109)</f>
        <v>0</v>
      </c>
      <c r="D109" s="7" t="str">
        <f>IFERROR(SUMIFS(TM[[#All],[Total Non-Truncated Claims Spending]],TM[[#All],[Reporting Year]],2021,TM[[#All],[Insurance Category Code]],7,TM[[#All],[Large Provider Entity Code]],A109)/C109,"NA")</f>
        <v>NA</v>
      </c>
      <c r="E109" s="7" t="str">
        <f>IFERROR(SUMIFS(TM[[#All],[Total Non-Claims Spending]],TM[[#All],[Reporting Year]],2021,TM[[#All],[Insurance Category Code]],7,TM[[#All],[Large Provider Entity Code]],A109)/C109,"NA")</f>
        <v>NA</v>
      </c>
      <c r="F109" s="7" t="str">
        <f>IFERROR(SUMIFS(TM[[#All],[Total Non-Truncated Claims and Non-Claims Spending]],TM[[#All],[Reporting Year]],2021,TM[[#All],[Insurance Category Code]],7,TM[[#All],[Large Provider Entity Code]],A109)/C109,"NA")</f>
        <v>NA</v>
      </c>
      <c r="G109" s="7" t="str">
        <f>IFERROR(SUMIFS(TM[[#All],[Total Truncated Claims Spending]],TM[[#All],[Reporting Year]],2021,TM[[#All],[Insurance Category Code]],7,TM[[#All],[Large Provider Entity Code]],A109)/C109,"NA")</f>
        <v>NA</v>
      </c>
      <c r="H109" s="96" t="str">
        <f>IFERROR(SUMIFS(TM[[#All],[Total Truncated Expenses]],TM[[#All],[Reporting Year]],2021,TM[[#All],[Insurance Category Code]],7,TM[[#All],[Large Provider Entity Code]],A109)/C109,"NA")</f>
        <v>NA</v>
      </c>
      <c r="I109" s="95">
        <f>SUMIFS(TM[[#All],[Member Months]],TM[[#All],[Reporting Year]],2022,TM[[#All],[Insurance Category Code]],7,TM[[#All],[Large Provider Entity Code]],A109)</f>
        <v>0</v>
      </c>
      <c r="J109" s="7" t="str">
        <f>IFERROR(SUMIFS(TM[[#All],[Total Non-Truncated Claims Spending]],TM[[#All],[Reporting Year]],2022,TM[[#All],[Insurance Category Code]],7,TM[[#All],[Large Provider Entity Code]],A109)/I109,"NA")</f>
        <v>NA</v>
      </c>
      <c r="K109" s="7" t="str">
        <f>IFERROR(SUMIFS(TM[[#All],[Total Non-Claims Spending]],TM[[#All],[Reporting Year]],2022,TM[[#All],[Insurance Category Code]],7,TM[[#All],[Large Provider Entity Code]],A109)/I109,"NA")</f>
        <v>NA</v>
      </c>
      <c r="L109" s="7" t="str">
        <f>IFERROR(SUMIFS(TM[[#All],[Total Non-Truncated Claims and Non-Claims Spending]],TM[[#All],[Reporting Year]],2022,TM[[#All],[Insurance Category Code]],7,TM[[#All],[Large Provider Entity Code]],A109)/I109,"NA")</f>
        <v>NA</v>
      </c>
      <c r="M109" s="7" t="str">
        <f>IFERROR(SUMIFS(TM[[#All],[Total Truncated Claims Spending]],TM[[#All],[Reporting Year]],2022,TM[[#All],[Insurance Category Code]],7,TM[[#All],[Large Provider Entity Code]],A109)/I109,"NA")</f>
        <v>NA</v>
      </c>
      <c r="N109" s="96" t="str">
        <f>IFERROR(SUMIFS(TM[[#All],[Total Truncated Expenses]],TM[[#All],[Reporting Year]],2022,TM[[#All],[Insurance Category Code]],7,TM[[#All],[Large Provider Entity Code]],A109)/I109,"NA")</f>
        <v>NA</v>
      </c>
      <c r="O109" s="518">
        <f t="shared" si="73"/>
        <v>0</v>
      </c>
      <c r="P109" s="243" t="str">
        <f t="shared" si="67"/>
        <v>NA</v>
      </c>
      <c r="Q109" s="97" t="str">
        <f t="shared" si="68"/>
        <v>NA</v>
      </c>
      <c r="R109" s="97" t="str">
        <f t="shared" si="69"/>
        <v>NA</v>
      </c>
      <c r="S109" s="97" t="str">
        <f t="shared" si="70"/>
        <v>NA</v>
      </c>
      <c r="T109" s="97" t="str">
        <f t="shared" si="71"/>
        <v>NA</v>
      </c>
      <c r="U109" s="97" t="str">
        <f t="shared" si="72"/>
        <v>NA</v>
      </c>
    </row>
    <row r="110" spans="1:21" x14ac:dyDescent="0.25">
      <c r="A110" s="218">
        <v>109</v>
      </c>
      <c r="B110" s="571" t="s">
        <v>76</v>
      </c>
      <c r="C110" s="95">
        <f>SUMIFS(TM[[#All],[Member Months]],TM[[#All],[Reporting Year]],2021,TM[[#All],[Insurance Category Code]],7,TM[[#All],[Large Provider Entity Code]],A110)</f>
        <v>0</v>
      </c>
      <c r="D110" s="7" t="str">
        <f>IFERROR(SUMIFS(TM[[#All],[Total Non-Truncated Claims Spending]],TM[[#All],[Reporting Year]],2021,TM[[#All],[Insurance Category Code]],7,TM[[#All],[Large Provider Entity Code]],A110)/C110,"NA")</f>
        <v>NA</v>
      </c>
      <c r="E110" s="7" t="str">
        <f>IFERROR(SUMIFS(TM[[#All],[Total Non-Claims Spending]],TM[[#All],[Reporting Year]],2021,TM[[#All],[Insurance Category Code]],7,TM[[#All],[Large Provider Entity Code]],A110)/C110,"NA")</f>
        <v>NA</v>
      </c>
      <c r="F110" s="7" t="str">
        <f>IFERROR(SUMIFS(TM[[#All],[Total Non-Truncated Claims and Non-Claims Spending]],TM[[#All],[Reporting Year]],2021,TM[[#All],[Insurance Category Code]],7,TM[[#All],[Large Provider Entity Code]],A110)/C110,"NA")</f>
        <v>NA</v>
      </c>
      <c r="G110" s="7" t="str">
        <f>IFERROR(SUMIFS(TM[[#All],[Total Truncated Claims Spending]],TM[[#All],[Reporting Year]],2021,TM[[#All],[Insurance Category Code]],7,TM[[#All],[Large Provider Entity Code]],A110)/C110,"NA")</f>
        <v>NA</v>
      </c>
      <c r="H110" s="96" t="str">
        <f>IFERROR(SUMIFS(TM[[#All],[Total Truncated Expenses]],TM[[#All],[Reporting Year]],2021,TM[[#All],[Insurance Category Code]],7,TM[[#All],[Large Provider Entity Code]],A110)/C110,"NA")</f>
        <v>NA</v>
      </c>
      <c r="I110" s="95">
        <f>SUMIFS(TM[[#All],[Member Months]],TM[[#All],[Reporting Year]],2022,TM[[#All],[Insurance Category Code]],7,TM[[#All],[Large Provider Entity Code]],A110)</f>
        <v>0</v>
      </c>
      <c r="J110" s="7" t="str">
        <f>IFERROR(SUMIFS(TM[[#All],[Total Non-Truncated Claims Spending]],TM[[#All],[Reporting Year]],2022,TM[[#All],[Insurance Category Code]],7,TM[[#All],[Large Provider Entity Code]],A110)/I110,"NA")</f>
        <v>NA</v>
      </c>
      <c r="K110" s="7" t="str">
        <f>IFERROR(SUMIFS(TM[[#All],[Total Non-Claims Spending]],TM[[#All],[Reporting Year]],2022,TM[[#All],[Insurance Category Code]],7,TM[[#All],[Large Provider Entity Code]],A110)/I110,"NA")</f>
        <v>NA</v>
      </c>
      <c r="L110" s="7" t="str">
        <f>IFERROR(SUMIFS(TM[[#All],[Total Non-Truncated Claims and Non-Claims Spending]],TM[[#All],[Reporting Year]],2022,TM[[#All],[Insurance Category Code]],7,TM[[#All],[Large Provider Entity Code]],A110)/I110,"NA")</f>
        <v>NA</v>
      </c>
      <c r="M110" s="7" t="str">
        <f>IFERROR(SUMIFS(TM[[#All],[Total Truncated Claims Spending]],TM[[#All],[Reporting Year]],2022,TM[[#All],[Insurance Category Code]],7,TM[[#All],[Large Provider Entity Code]],A110)/I110,"NA")</f>
        <v>NA</v>
      </c>
      <c r="N110" s="96" t="str">
        <f>IFERROR(SUMIFS(TM[[#All],[Total Truncated Expenses]],TM[[#All],[Reporting Year]],2022,TM[[#All],[Insurance Category Code]],7,TM[[#All],[Large Provider Entity Code]],A110)/I110,"NA")</f>
        <v>NA</v>
      </c>
      <c r="O110" s="518">
        <f t="shared" si="73"/>
        <v>0</v>
      </c>
      <c r="P110" s="243" t="str">
        <f t="shared" si="67"/>
        <v>NA</v>
      </c>
      <c r="Q110" s="97" t="str">
        <f t="shared" si="68"/>
        <v>NA</v>
      </c>
      <c r="R110" s="97" t="str">
        <f t="shared" si="69"/>
        <v>NA</v>
      </c>
      <c r="S110" s="97" t="str">
        <f t="shared" si="70"/>
        <v>NA</v>
      </c>
      <c r="T110" s="97" t="str">
        <f t="shared" si="71"/>
        <v>NA</v>
      </c>
      <c r="U110" s="97" t="str">
        <f t="shared" si="72"/>
        <v>NA</v>
      </c>
    </row>
    <row r="111" spans="1:21" x14ac:dyDescent="0.25">
      <c r="A111" s="218">
        <v>110</v>
      </c>
      <c r="B111" s="495" t="s">
        <v>77</v>
      </c>
      <c r="C111" s="95">
        <f>SUMIFS(TM[[#All],[Member Months]],TM[[#All],[Reporting Year]],2021,TM[[#All],[Insurance Category Code]],7,TM[[#All],[Large Provider Entity Code]],A111)</f>
        <v>0</v>
      </c>
      <c r="D111" s="7" t="str">
        <f>IFERROR(SUMIFS(TM[[#All],[Total Non-Truncated Claims Spending]],TM[[#All],[Reporting Year]],2021,TM[[#All],[Insurance Category Code]],7,TM[[#All],[Large Provider Entity Code]],A111)/C111,"NA")</f>
        <v>NA</v>
      </c>
      <c r="E111" s="7" t="str">
        <f>IFERROR(SUMIFS(TM[[#All],[Total Non-Claims Spending]],TM[[#All],[Reporting Year]],2021,TM[[#All],[Insurance Category Code]],7,TM[[#All],[Large Provider Entity Code]],A111)/C111,"NA")</f>
        <v>NA</v>
      </c>
      <c r="F111" s="7" t="str">
        <f>IFERROR(SUMIFS(TM[[#All],[Total Non-Truncated Claims and Non-Claims Spending]],TM[[#All],[Reporting Year]],2021,TM[[#All],[Insurance Category Code]],7,TM[[#All],[Large Provider Entity Code]],A111)/C111,"NA")</f>
        <v>NA</v>
      </c>
      <c r="G111" s="7" t="str">
        <f>IFERROR(SUMIFS(TM[[#All],[Total Truncated Claims Spending]],TM[[#All],[Reporting Year]],2021,TM[[#All],[Insurance Category Code]],7,TM[[#All],[Large Provider Entity Code]],A111)/C111,"NA")</f>
        <v>NA</v>
      </c>
      <c r="H111" s="96" t="str">
        <f>IFERROR(SUMIFS(TM[[#All],[Total Truncated Expenses]],TM[[#All],[Reporting Year]],2021,TM[[#All],[Insurance Category Code]],7,TM[[#All],[Large Provider Entity Code]],A111)/C111,"NA")</f>
        <v>NA</v>
      </c>
      <c r="I111" s="95">
        <f>SUMIFS(TM[[#All],[Member Months]],TM[[#All],[Reporting Year]],2022,TM[[#All],[Insurance Category Code]],7,TM[[#All],[Large Provider Entity Code]],A111)</f>
        <v>0</v>
      </c>
      <c r="J111" s="7" t="str">
        <f>IFERROR(SUMIFS(TM[[#All],[Total Non-Truncated Claims Spending]],TM[[#All],[Reporting Year]],2022,TM[[#All],[Insurance Category Code]],7,TM[[#All],[Large Provider Entity Code]],A111)/I111,"NA")</f>
        <v>NA</v>
      </c>
      <c r="K111" s="7" t="str">
        <f>IFERROR(SUMIFS(TM[[#All],[Total Non-Claims Spending]],TM[[#All],[Reporting Year]],2022,TM[[#All],[Insurance Category Code]],7,TM[[#All],[Large Provider Entity Code]],A111)/I111,"NA")</f>
        <v>NA</v>
      </c>
      <c r="L111" s="7" t="str">
        <f>IFERROR(SUMIFS(TM[[#All],[Total Non-Truncated Claims and Non-Claims Spending]],TM[[#All],[Reporting Year]],2022,TM[[#All],[Insurance Category Code]],7,TM[[#All],[Large Provider Entity Code]],A111)/I111,"NA")</f>
        <v>NA</v>
      </c>
      <c r="M111" s="7" t="str">
        <f>IFERROR(SUMIFS(TM[[#All],[Total Truncated Claims Spending]],TM[[#All],[Reporting Year]],2022,TM[[#All],[Insurance Category Code]],7,TM[[#All],[Large Provider Entity Code]],A111)/I111,"NA")</f>
        <v>NA</v>
      </c>
      <c r="N111" s="96" t="str">
        <f>IFERROR(SUMIFS(TM[[#All],[Total Truncated Expenses]],TM[[#All],[Reporting Year]],2022,TM[[#All],[Insurance Category Code]],7,TM[[#All],[Large Provider Entity Code]],A111)/I111,"NA")</f>
        <v>NA</v>
      </c>
      <c r="O111" s="518">
        <f t="shared" si="73"/>
        <v>0</v>
      </c>
      <c r="P111" s="243" t="str">
        <f t="shared" si="67"/>
        <v>NA</v>
      </c>
      <c r="Q111" s="97" t="str">
        <f t="shared" si="68"/>
        <v>NA</v>
      </c>
      <c r="R111" s="97" t="str">
        <f t="shared" si="69"/>
        <v>NA</v>
      </c>
      <c r="S111" s="97" t="str">
        <f t="shared" si="70"/>
        <v>NA</v>
      </c>
      <c r="T111" s="97" t="str">
        <f t="shared" si="71"/>
        <v>NA</v>
      </c>
      <c r="U111" s="97" t="str">
        <f t="shared" si="72"/>
        <v>NA</v>
      </c>
    </row>
    <row r="112" spans="1:21" x14ac:dyDescent="0.25">
      <c r="A112" s="218">
        <v>111</v>
      </c>
      <c r="B112" s="566" t="s">
        <v>78</v>
      </c>
      <c r="C112" s="95">
        <f>SUMIFS(TM[[#All],[Member Months]],TM[[#All],[Reporting Year]],2021,TM[[#All],[Insurance Category Code]],7,TM[[#All],[Large Provider Entity Code]],A112)</f>
        <v>0</v>
      </c>
      <c r="D112" s="7" t="str">
        <f>IFERROR(SUMIFS(TM[[#All],[Total Non-Truncated Claims Spending]],TM[[#All],[Reporting Year]],2021,TM[[#All],[Insurance Category Code]],7,TM[[#All],[Large Provider Entity Code]],A112)/C112,"NA")</f>
        <v>NA</v>
      </c>
      <c r="E112" s="7" t="str">
        <f>IFERROR(SUMIFS(TM[[#All],[Total Non-Claims Spending]],TM[[#All],[Reporting Year]],2021,TM[[#All],[Insurance Category Code]],7,TM[[#All],[Large Provider Entity Code]],A112)/C112,"NA")</f>
        <v>NA</v>
      </c>
      <c r="F112" s="7" t="str">
        <f>IFERROR(SUMIFS(TM[[#All],[Total Non-Truncated Claims and Non-Claims Spending]],TM[[#All],[Reporting Year]],2021,TM[[#All],[Insurance Category Code]],7,TM[[#All],[Large Provider Entity Code]],A112)/C112,"NA")</f>
        <v>NA</v>
      </c>
      <c r="G112" s="7" t="str">
        <f>IFERROR(SUMIFS(TM[[#All],[Total Truncated Claims Spending]],TM[[#All],[Reporting Year]],2021,TM[[#All],[Insurance Category Code]],7,TM[[#All],[Large Provider Entity Code]],A112)/C112,"NA")</f>
        <v>NA</v>
      </c>
      <c r="H112" s="96" t="str">
        <f>IFERROR(SUMIFS(TM[[#All],[Total Truncated Expenses]],TM[[#All],[Reporting Year]],2021,TM[[#All],[Insurance Category Code]],7,TM[[#All],[Large Provider Entity Code]],A112)/C112,"NA")</f>
        <v>NA</v>
      </c>
      <c r="I112" s="95">
        <f>SUMIFS(TM[[#All],[Member Months]],TM[[#All],[Reporting Year]],2022,TM[[#All],[Insurance Category Code]],7,TM[[#All],[Large Provider Entity Code]],A112)</f>
        <v>0</v>
      </c>
      <c r="J112" s="7" t="str">
        <f>IFERROR(SUMIFS(TM[[#All],[Total Non-Truncated Claims Spending]],TM[[#All],[Reporting Year]],2022,TM[[#All],[Insurance Category Code]],7,TM[[#All],[Large Provider Entity Code]],A112)/I112,"NA")</f>
        <v>NA</v>
      </c>
      <c r="K112" s="7" t="str">
        <f>IFERROR(SUMIFS(TM[[#All],[Total Non-Claims Spending]],TM[[#All],[Reporting Year]],2022,TM[[#All],[Insurance Category Code]],7,TM[[#All],[Large Provider Entity Code]],A112)/I112,"NA")</f>
        <v>NA</v>
      </c>
      <c r="L112" s="7" t="str">
        <f>IFERROR(SUMIFS(TM[[#All],[Total Non-Truncated Claims and Non-Claims Spending]],TM[[#All],[Reporting Year]],2022,TM[[#All],[Insurance Category Code]],7,TM[[#All],[Large Provider Entity Code]],A112)/I112,"NA")</f>
        <v>NA</v>
      </c>
      <c r="M112" s="7" t="str">
        <f>IFERROR(SUMIFS(TM[[#All],[Total Truncated Claims Spending]],TM[[#All],[Reporting Year]],2022,TM[[#All],[Insurance Category Code]],7,TM[[#All],[Large Provider Entity Code]],A112)/I112,"NA")</f>
        <v>NA</v>
      </c>
      <c r="N112" s="96" t="str">
        <f>IFERROR(SUMIFS(TM[[#All],[Total Truncated Expenses]],TM[[#All],[Reporting Year]],2022,TM[[#All],[Insurance Category Code]],7,TM[[#All],[Large Provider Entity Code]],A112)/I112,"NA")</f>
        <v>NA</v>
      </c>
      <c r="O112" s="518">
        <f t="shared" si="73"/>
        <v>0</v>
      </c>
      <c r="P112" s="243" t="str">
        <f t="shared" si="67"/>
        <v>NA</v>
      </c>
      <c r="Q112" s="97" t="str">
        <f t="shared" si="68"/>
        <v>NA</v>
      </c>
      <c r="R112" s="97" t="str">
        <f t="shared" si="69"/>
        <v>NA</v>
      </c>
      <c r="S112" s="97" t="str">
        <f t="shared" si="70"/>
        <v>NA</v>
      </c>
      <c r="T112" s="97" t="str">
        <f t="shared" si="71"/>
        <v>NA</v>
      </c>
      <c r="U112" s="97" t="str">
        <f t="shared" si="72"/>
        <v>NA</v>
      </c>
    </row>
    <row r="113" spans="1:21" x14ac:dyDescent="0.25">
      <c r="A113" s="218">
        <v>112</v>
      </c>
      <c r="B113" s="566" t="s">
        <v>613</v>
      </c>
      <c r="C113" s="95">
        <f>SUMIFS(TM[[#All],[Member Months]],TM[[#All],[Reporting Year]],2021,TM[[#All],[Insurance Category Code]],7,TM[[#All],[Large Provider Entity Code]],A113)</f>
        <v>0</v>
      </c>
      <c r="D113" s="7" t="str">
        <f>IFERROR(SUMIFS(TM[[#All],[Total Non-Truncated Claims Spending]],TM[[#All],[Reporting Year]],2021,TM[[#All],[Insurance Category Code]],7,TM[[#All],[Large Provider Entity Code]],A113)/C113,"NA")</f>
        <v>NA</v>
      </c>
      <c r="E113" s="7" t="str">
        <f>IFERROR(SUMIFS(TM[[#All],[Total Non-Claims Spending]],TM[[#All],[Reporting Year]],2021,TM[[#All],[Insurance Category Code]],7,TM[[#All],[Large Provider Entity Code]],A113)/C113,"NA")</f>
        <v>NA</v>
      </c>
      <c r="F113" s="7" t="str">
        <f>IFERROR(SUMIFS(TM[[#All],[Total Non-Truncated Claims and Non-Claims Spending]],TM[[#All],[Reporting Year]],2021,TM[[#All],[Insurance Category Code]],7,TM[[#All],[Large Provider Entity Code]],A113)/C113,"NA")</f>
        <v>NA</v>
      </c>
      <c r="G113" s="7" t="str">
        <f>IFERROR(SUMIFS(TM[[#All],[Total Truncated Claims Spending]],TM[[#All],[Reporting Year]],2021,TM[[#All],[Insurance Category Code]],7,TM[[#All],[Large Provider Entity Code]],A113)/C113,"NA")</f>
        <v>NA</v>
      </c>
      <c r="H113" s="96" t="str">
        <f>IFERROR(SUMIFS(TM[[#All],[Total Truncated Expenses]],TM[[#All],[Reporting Year]],2021,TM[[#All],[Insurance Category Code]],7,TM[[#All],[Large Provider Entity Code]],A113)/C113,"NA")</f>
        <v>NA</v>
      </c>
      <c r="I113" s="95">
        <f>SUMIFS(TM[[#All],[Member Months]],TM[[#All],[Reporting Year]],2022,TM[[#All],[Insurance Category Code]],7,TM[[#All],[Large Provider Entity Code]],A113)</f>
        <v>0</v>
      </c>
      <c r="J113" s="7" t="str">
        <f>IFERROR(SUMIFS(TM[[#All],[Total Non-Truncated Claims Spending]],TM[[#All],[Reporting Year]],2022,TM[[#All],[Insurance Category Code]],7,TM[[#All],[Large Provider Entity Code]],A113)/I113,"NA")</f>
        <v>NA</v>
      </c>
      <c r="K113" s="7" t="str">
        <f>IFERROR(SUMIFS(TM[[#All],[Total Non-Claims Spending]],TM[[#All],[Reporting Year]],2022,TM[[#All],[Insurance Category Code]],7,TM[[#All],[Large Provider Entity Code]],A113)/I113,"NA")</f>
        <v>NA</v>
      </c>
      <c r="L113" s="7" t="str">
        <f>IFERROR(SUMIFS(TM[[#All],[Total Non-Truncated Claims and Non-Claims Spending]],TM[[#All],[Reporting Year]],2022,TM[[#All],[Insurance Category Code]],7,TM[[#All],[Large Provider Entity Code]],A113)/I113,"NA")</f>
        <v>NA</v>
      </c>
      <c r="M113" s="7" t="str">
        <f>IFERROR(SUMIFS(TM[[#All],[Total Truncated Claims Spending]],TM[[#All],[Reporting Year]],2022,TM[[#All],[Insurance Category Code]],7,TM[[#All],[Large Provider Entity Code]],A113)/I113,"NA")</f>
        <v>NA</v>
      </c>
      <c r="N113" s="96" t="str">
        <f>IFERROR(SUMIFS(TM[[#All],[Total Truncated Expenses]],TM[[#All],[Reporting Year]],2022,TM[[#All],[Insurance Category Code]],7,TM[[#All],[Large Provider Entity Code]],A113)/I113,"NA")</f>
        <v>NA</v>
      </c>
      <c r="O113" s="518">
        <f t="shared" si="73"/>
        <v>0</v>
      </c>
      <c r="P113" s="243" t="str">
        <f t="shared" si="67"/>
        <v>NA</v>
      </c>
      <c r="Q113" s="97" t="str">
        <f t="shared" si="68"/>
        <v>NA</v>
      </c>
      <c r="R113" s="97" t="str">
        <f t="shared" si="69"/>
        <v>NA</v>
      </c>
      <c r="S113" s="97" t="str">
        <f t="shared" si="70"/>
        <v>NA</v>
      </c>
      <c r="T113" s="97" t="str">
        <f t="shared" si="71"/>
        <v>NA</v>
      </c>
      <c r="U113" s="97" t="str">
        <f t="shared" si="72"/>
        <v>NA</v>
      </c>
    </row>
    <row r="114" spans="1:21" x14ac:dyDescent="0.25">
      <c r="A114" s="218">
        <v>115</v>
      </c>
      <c r="B114" s="566" t="s">
        <v>79</v>
      </c>
      <c r="C114" s="95">
        <f>SUMIFS(TM[[#All],[Member Months]],TM[[#All],[Reporting Year]],2021,TM[[#All],[Insurance Category Code]],7,TM[[#All],[Large Provider Entity Code]],A114)</f>
        <v>0</v>
      </c>
      <c r="D114" s="7" t="str">
        <f>IFERROR(SUMIFS(TM[[#All],[Total Non-Truncated Claims Spending]],TM[[#All],[Reporting Year]],2021,TM[[#All],[Insurance Category Code]],7,TM[[#All],[Large Provider Entity Code]],A114)/C114,"NA")</f>
        <v>NA</v>
      </c>
      <c r="E114" s="7" t="str">
        <f>IFERROR(SUMIFS(TM[[#All],[Total Non-Claims Spending]],TM[[#All],[Reporting Year]],2021,TM[[#All],[Insurance Category Code]],7,TM[[#All],[Large Provider Entity Code]],A114)/C114,"NA")</f>
        <v>NA</v>
      </c>
      <c r="F114" s="7" t="str">
        <f>IFERROR(SUMIFS(TM[[#All],[Total Non-Truncated Claims and Non-Claims Spending]],TM[[#All],[Reporting Year]],2021,TM[[#All],[Insurance Category Code]],7,TM[[#All],[Large Provider Entity Code]],A114)/C114,"NA")</f>
        <v>NA</v>
      </c>
      <c r="G114" s="7" t="str">
        <f>IFERROR(SUMIFS(TM[[#All],[Total Truncated Claims Spending]],TM[[#All],[Reporting Year]],2021,TM[[#All],[Insurance Category Code]],7,TM[[#All],[Large Provider Entity Code]],A114)/C114,"NA")</f>
        <v>NA</v>
      </c>
      <c r="H114" s="96" t="str">
        <f>IFERROR(SUMIFS(TM[[#All],[Total Truncated Expenses]],TM[[#All],[Reporting Year]],2021,TM[[#All],[Insurance Category Code]],7,TM[[#All],[Large Provider Entity Code]],A114)/C114,"NA")</f>
        <v>NA</v>
      </c>
      <c r="I114" s="95">
        <f>SUMIFS(TM[[#All],[Member Months]],TM[[#All],[Reporting Year]],2022,TM[[#All],[Insurance Category Code]],7,TM[[#All],[Large Provider Entity Code]],A114)</f>
        <v>0</v>
      </c>
      <c r="J114" s="7" t="str">
        <f>IFERROR(SUMIFS(TM[[#All],[Total Non-Truncated Claims Spending]],TM[[#All],[Reporting Year]],2022,TM[[#All],[Insurance Category Code]],7,TM[[#All],[Large Provider Entity Code]],A114)/I114,"NA")</f>
        <v>NA</v>
      </c>
      <c r="K114" s="7" t="str">
        <f>IFERROR(SUMIFS(TM[[#All],[Total Non-Claims Spending]],TM[[#All],[Reporting Year]],2022,TM[[#All],[Insurance Category Code]],7,TM[[#All],[Large Provider Entity Code]],A114)/I114,"NA")</f>
        <v>NA</v>
      </c>
      <c r="L114" s="7" t="str">
        <f>IFERROR(SUMIFS(TM[[#All],[Total Non-Truncated Claims and Non-Claims Spending]],TM[[#All],[Reporting Year]],2022,TM[[#All],[Insurance Category Code]],7,TM[[#All],[Large Provider Entity Code]],A114)/I114,"NA")</f>
        <v>NA</v>
      </c>
      <c r="M114" s="7" t="str">
        <f>IFERROR(SUMIFS(TM[[#All],[Total Truncated Claims Spending]],TM[[#All],[Reporting Year]],2022,TM[[#All],[Insurance Category Code]],7,TM[[#All],[Large Provider Entity Code]],A114)/I114,"NA")</f>
        <v>NA</v>
      </c>
      <c r="N114" s="96" t="str">
        <f>IFERROR(SUMIFS(TM[[#All],[Total Truncated Expenses]],TM[[#All],[Reporting Year]],2022,TM[[#All],[Insurance Category Code]],7,TM[[#All],[Large Provider Entity Code]],A114)/I114,"NA")</f>
        <v>NA</v>
      </c>
      <c r="O114" s="518">
        <f t="shared" si="73"/>
        <v>0</v>
      </c>
      <c r="P114" s="243" t="str">
        <f t="shared" si="67"/>
        <v>NA</v>
      </c>
      <c r="Q114" s="97" t="str">
        <f t="shared" si="68"/>
        <v>NA</v>
      </c>
      <c r="R114" s="97" t="str">
        <f t="shared" si="69"/>
        <v>NA</v>
      </c>
      <c r="S114" s="97" t="str">
        <f t="shared" si="70"/>
        <v>NA</v>
      </c>
      <c r="T114" s="97" t="str">
        <f t="shared" si="71"/>
        <v>NA</v>
      </c>
      <c r="U114" s="97" t="str">
        <f t="shared" si="72"/>
        <v>NA</v>
      </c>
    </row>
    <row r="115" spans="1:21" x14ac:dyDescent="0.25">
      <c r="A115" s="218">
        <v>116</v>
      </c>
      <c r="B115" s="566" t="s">
        <v>614</v>
      </c>
      <c r="C115" s="95">
        <f>SUMIFS(TM[[#All],[Member Months]],TM[[#All],[Reporting Year]],2021,TM[[#All],[Insurance Category Code]],7,TM[[#All],[Large Provider Entity Code]],A115)</f>
        <v>0</v>
      </c>
      <c r="D115" s="7" t="str">
        <f>IFERROR(SUMIFS(TM[[#All],[Total Non-Truncated Claims Spending]],TM[[#All],[Reporting Year]],2021,TM[[#All],[Insurance Category Code]],7,TM[[#All],[Large Provider Entity Code]],A115)/C115,"NA")</f>
        <v>NA</v>
      </c>
      <c r="E115" s="7" t="str">
        <f>IFERROR(SUMIFS(TM[[#All],[Total Non-Claims Spending]],TM[[#All],[Reporting Year]],2021,TM[[#All],[Insurance Category Code]],7,TM[[#All],[Large Provider Entity Code]],A115)/C115,"NA")</f>
        <v>NA</v>
      </c>
      <c r="F115" s="7" t="str">
        <f>IFERROR(SUMIFS(TM[[#All],[Total Non-Truncated Claims and Non-Claims Spending]],TM[[#All],[Reporting Year]],2021,TM[[#All],[Insurance Category Code]],7,TM[[#All],[Large Provider Entity Code]],A115)/C115,"NA")</f>
        <v>NA</v>
      </c>
      <c r="G115" s="7" t="str">
        <f>IFERROR(SUMIFS(TM[[#All],[Total Truncated Claims Spending]],TM[[#All],[Reporting Year]],2021,TM[[#All],[Insurance Category Code]],7,TM[[#All],[Large Provider Entity Code]],A115)/C115,"NA")</f>
        <v>NA</v>
      </c>
      <c r="H115" s="96" t="str">
        <f>IFERROR(SUMIFS(TM[[#All],[Total Truncated Expenses]],TM[[#All],[Reporting Year]],2021,TM[[#All],[Insurance Category Code]],7,TM[[#All],[Large Provider Entity Code]],A115)/C115,"NA")</f>
        <v>NA</v>
      </c>
      <c r="I115" s="95">
        <f>SUMIFS(TM[[#All],[Member Months]],TM[[#All],[Reporting Year]],2022,TM[[#All],[Insurance Category Code]],7,TM[[#All],[Large Provider Entity Code]],A115)</f>
        <v>0</v>
      </c>
      <c r="J115" s="7" t="str">
        <f>IFERROR(SUMIFS(TM[[#All],[Total Non-Truncated Claims Spending]],TM[[#All],[Reporting Year]],2022,TM[[#All],[Insurance Category Code]],7,TM[[#All],[Large Provider Entity Code]],A115)/I115,"NA")</f>
        <v>NA</v>
      </c>
      <c r="K115" s="7" t="str">
        <f>IFERROR(SUMIFS(TM[[#All],[Total Non-Claims Spending]],TM[[#All],[Reporting Year]],2022,TM[[#All],[Insurance Category Code]],7,TM[[#All],[Large Provider Entity Code]],A115)/I115,"NA")</f>
        <v>NA</v>
      </c>
      <c r="L115" s="7" t="str">
        <f>IFERROR(SUMIFS(TM[[#All],[Total Non-Truncated Claims and Non-Claims Spending]],TM[[#All],[Reporting Year]],2022,TM[[#All],[Insurance Category Code]],7,TM[[#All],[Large Provider Entity Code]],A115)/I115,"NA")</f>
        <v>NA</v>
      </c>
      <c r="M115" s="7" t="str">
        <f>IFERROR(SUMIFS(TM[[#All],[Total Truncated Claims Spending]],TM[[#All],[Reporting Year]],2022,TM[[#All],[Insurance Category Code]],7,TM[[#All],[Large Provider Entity Code]],A115)/I115,"NA")</f>
        <v>NA</v>
      </c>
      <c r="N115" s="96" t="str">
        <f>IFERROR(SUMIFS(TM[[#All],[Total Truncated Expenses]],TM[[#All],[Reporting Year]],2022,TM[[#All],[Insurance Category Code]],7,TM[[#All],[Large Provider Entity Code]],A115)/I115,"NA")</f>
        <v>NA</v>
      </c>
      <c r="O115" s="518">
        <f t="shared" si="73"/>
        <v>0</v>
      </c>
      <c r="P115" s="243" t="str">
        <f t="shared" si="67"/>
        <v>NA</v>
      </c>
      <c r="Q115" s="97" t="str">
        <f t="shared" si="68"/>
        <v>NA</v>
      </c>
      <c r="R115" s="97" t="str">
        <f t="shared" si="69"/>
        <v>NA</v>
      </c>
      <c r="S115" s="97" t="str">
        <f t="shared" si="70"/>
        <v>NA</v>
      </c>
      <c r="T115" s="97" t="str">
        <f t="shared" si="71"/>
        <v>NA</v>
      </c>
      <c r="U115" s="97" t="str">
        <f t="shared" si="72"/>
        <v>NA</v>
      </c>
    </row>
    <row r="116" spans="1:21" x14ac:dyDescent="0.25">
      <c r="A116" s="218">
        <v>118</v>
      </c>
      <c r="B116" s="566" t="s">
        <v>80</v>
      </c>
      <c r="C116" s="95">
        <f>SUMIFS(TM[[#All],[Member Months]],TM[[#All],[Reporting Year]],2021,TM[[#All],[Insurance Category Code]],7,TM[[#All],[Large Provider Entity Code]],A116)</f>
        <v>0</v>
      </c>
      <c r="D116" s="7" t="str">
        <f>IFERROR(SUMIFS(TM[[#All],[Total Non-Truncated Claims Spending]],TM[[#All],[Reporting Year]],2021,TM[[#All],[Insurance Category Code]],7,TM[[#All],[Large Provider Entity Code]],A116)/C116,"NA")</f>
        <v>NA</v>
      </c>
      <c r="E116" s="7" t="str">
        <f>IFERROR(SUMIFS(TM[[#All],[Total Non-Claims Spending]],TM[[#All],[Reporting Year]],2021,TM[[#All],[Insurance Category Code]],7,TM[[#All],[Large Provider Entity Code]],A116)/C116,"NA")</f>
        <v>NA</v>
      </c>
      <c r="F116" s="7" t="str">
        <f>IFERROR(SUMIFS(TM[[#All],[Total Non-Truncated Claims and Non-Claims Spending]],TM[[#All],[Reporting Year]],2021,TM[[#All],[Insurance Category Code]],7,TM[[#All],[Large Provider Entity Code]],A116)/C116,"NA")</f>
        <v>NA</v>
      </c>
      <c r="G116" s="7" t="str">
        <f>IFERROR(SUMIFS(TM[[#All],[Total Truncated Claims Spending]],TM[[#All],[Reporting Year]],2021,TM[[#All],[Insurance Category Code]],7,TM[[#All],[Large Provider Entity Code]],A116)/C116,"NA")</f>
        <v>NA</v>
      </c>
      <c r="H116" s="96" t="str">
        <f>IFERROR(SUMIFS(TM[[#All],[Total Truncated Expenses]],TM[[#All],[Reporting Year]],2021,TM[[#All],[Insurance Category Code]],7,TM[[#All],[Large Provider Entity Code]],A116)/C116,"NA")</f>
        <v>NA</v>
      </c>
      <c r="I116" s="95">
        <f>SUMIFS(TM[[#All],[Member Months]],TM[[#All],[Reporting Year]],2022,TM[[#All],[Insurance Category Code]],7,TM[[#All],[Large Provider Entity Code]],A116)</f>
        <v>0</v>
      </c>
      <c r="J116" s="7" t="str">
        <f>IFERROR(SUMIFS(TM[[#All],[Total Non-Truncated Claims Spending]],TM[[#All],[Reporting Year]],2022,TM[[#All],[Insurance Category Code]],7,TM[[#All],[Large Provider Entity Code]],A116)/I116,"NA")</f>
        <v>NA</v>
      </c>
      <c r="K116" s="7" t="str">
        <f>IFERROR(SUMIFS(TM[[#All],[Total Non-Claims Spending]],TM[[#All],[Reporting Year]],2022,TM[[#All],[Insurance Category Code]],7,TM[[#All],[Large Provider Entity Code]],A116)/I116,"NA")</f>
        <v>NA</v>
      </c>
      <c r="L116" s="7" t="str">
        <f>IFERROR(SUMIFS(TM[[#All],[Total Non-Truncated Claims and Non-Claims Spending]],TM[[#All],[Reporting Year]],2022,TM[[#All],[Insurance Category Code]],7,TM[[#All],[Large Provider Entity Code]],A116)/I116,"NA")</f>
        <v>NA</v>
      </c>
      <c r="M116" s="7" t="str">
        <f>IFERROR(SUMIFS(TM[[#All],[Total Truncated Claims Spending]],TM[[#All],[Reporting Year]],2022,TM[[#All],[Insurance Category Code]],7,TM[[#All],[Large Provider Entity Code]],A116)/I116,"NA")</f>
        <v>NA</v>
      </c>
      <c r="N116" s="96" t="str">
        <f>IFERROR(SUMIFS(TM[[#All],[Total Truncated Expenses]],TM[[#All],[Reporting Year]],2022,TM[[#All],[Insurance Category Code]],7,TM[[#All],[Large Provider Entity Code]],A116)/I116,"NA")</f>
        <v>NA</v>
      </c>
      <c r="O116" s="518">
        <f t="shared" si="73"/>
        <v>0</v>
      </c>
      <c r="P116" s="243" t="str">
        <f t="shared" si="67"/>
        <v>NA</v>
      </c>
      <c r="Q116" s="97" t="str">
        <f t="shared" si="68"/>
        <v>NA</v>
      </c>
      <c r="R116" s="97" t="str">
        <f t="shared" si="69"/>
        <v>NA</v>
      </c>
      <c r="S116" s="97" t="str">
        <f t="shared" si="70"/>
        <v>NA</v>
      </c>
      <c r="T116" s="97" t="str">
        <f t="shared" si="71"/>
        <v>NA</v>
      </c>
      <c r="U116" s="97" t="str">
        <f t="shared" si="72"/>
        <v>NA</v>
      </c>
    </row>
    <row r="117" spans="1:21" x14ac:dyDescent="0.25">
      <c r="A117" s="218">
        <v>119</v>
      </c>
      <c r="B117" s="566" t="s">
        <v>615</v>
      </c>
      <c r="C117" s="95">
        <f>SUMIFS(TM[[#All],[Member Months]],TM[[#All],[Reporting Year]],2021,TM[[#All],[Insurance Category Code]],7,TM[[#All],[Large Provider Entity Code]],A117)</f>
        <v>0</v>
      </c>
      <c r="D117" s="7" t="str">
        <f>IFERROR(SUMIFS(TM[[#All],[Total Non-Truncated Claims Spending]],TM[[#All],[Reporting Year]],2021,TM[[#All],[Insurance Category Code]],7,TM[[#All],[Large Provider Entity Code]],A117)/C117,"NA")</f>
        <v>NA</v>
      </c>
      <c r="E117" s="7" t="str">
        <f>IFERROR(SUMIFS(TM[[#All],[Total Non-Claims Spending]],TM[[#All],[Reporting Year]],2021,TM[[#All],[Insurance Category Code]],7,TM[[#All],[Large Provider Entity Code]],A117)/C117,"NA")</f>
        <v>NA</v>
      </c>
      <c r="F117" s="7" t="str">
        <f>IFERROR(SUMIFS(TM[[#All],[Total Non-Truncated Claims and Non-Claims Spending]],TM[[#All],[Reporting Year]],2021,TM[[#All],[Insurance Category Code]],7,TM[[#All],[Large Provider Entity Code]],A117)/C117,"NA")</f>
        <v>NA</v>
      </c>
      <c r="G117" s="7" t="str">
        <f>IFERROR(SUMIFS(TM[[#All],[Total Truncated Claims Spending]],TM[[#All],[Reporting Year]],2021,TM[[#All],[Insurance Category Code]],7,TM[[#All],[Large Provider Entity Code]],A117)/C117,"NA")</f>
        <v>NA</v>
      </c>
      <c r="H117" s="96" t="str">
        <f>IFERROR(SUMIFS(TM[[#All],[Total Truncated Expenses]],TM[[#All],[Reporting Year]],2021,TM[[#All],[Insurance Category Code]],7,TM[[#All],[Large Provider Entity Code]],A117)/C117,"NA")</f>
        <v>NA</v>
      </c>
      <c r="I117" s="95">
        <f>SUMIFS(TM[[#All],[Member Months]],TM[[#All],[Reporting Year]],2022,TM[[#All],[Insurance Category Code]],7,TM[[#All],[Large Provider Entity Code]],A117)</f>
        <v>0</v>
      </c>
      <c r="J117" s="7" t="str">
        <f>IFERROR(SUMIFS(TM[[#All],[Total Non-Truncated Claims Spending]],TM[[#All],[Reporting Year]],2022,TM[[#All],[Insurance Category Code]],7,TM[[#All],[Large Provider Entity Code]],A117)/I117,"NA")</f>
        <v>NA</v>
      </c>
      <c r="K117" s="7" t="str">
        <f>IFERROR(SUMIFS(TM[[#All],[Total Non-Claims Spending]],TM[[#All],[Reporting Year]],2022,TM[[#All],[Insurance Category Code]],7,TM[[#All],[Large Provider Entity Code]],A117)/I117,"NA")</f>
        <v>NA</v>
      </c>
      <c r="L117" s="7" t="str">
        <f>IFERROR(SUMIFS(TM[[#All],[Total Non-Truncated Claims and Non-Claims Spending]],TM[[#All],[Reporting Year]],2022,TM[[#All],[Insurance Category Code]],7,TM[[#All],[Large Provider Entity Code]],A117)/I117,"NA")</f>
        <v>NA</v>
      </c>
      <c r="M117" s="7" t="str">
        <f>IFERROR(SUMIFS(TM[[#All],[Total Truncated Claims Spending]],TM[[#All],[Reporting Year]],2022,TM[[#All],[Insurance Category Code]],7,TM[[#All],[Large Provider Entity Code]],A117)/I117,"NA")</f>
        <v>NA</v>
      </c>
      <c r="N117" s="96" t="str">
        <f>IFERROR(SUMIFS(TM[[#All],[Total Truncated Expenses]],TM[[#All],[Reporting Year]],2022,TM[[#All],[Insurance Category Code]],7,TM[[#All],[Large Provider Entity Code]],A117)/I117,"NA")</f>
        <v>NA</v>
      </c>
      <c r="O117" s="518">
        <f t="shared" si="73"/>
        <v>0</v>
      </c>
      <c r="P117" s="243" t="str">
        <f t="shared" ref="P117:P120" si="74">IFERROR((I117/C117-1),"NA")</f>
        <v>NA</v>
      </c>
      <c r="Q117" s="97" t="str">
        <f t="shared" ref="Q117:Q120" si="75">IFERROR((J117/D117-1),"NA")</f>
        <v>NA</v>
      </c>
      <c r="R117" s="97" t="str">
        <f t="shared" ref="R117:R120" si="76">IFERROR((K117/E117-1),"NA")</f>
        <v>NA</v>
      </c>
      <c r="S117" s="97" t="str">
        <f t="shared" ref="S117:S120" si="77">IFERROR((L117/F117-1),"NA")</f>
        <v>NA</v>
      </c>
      <c r="T117" s="97" t="str">
        <f t="shared" ref="T117:T120" si="78">IFERROR((M117/G117-1),"NA")</f>
        <v>NA</v>
      </c>
      <c r="U117" s="97" t="str">
        <f t="shared" ref="U117:U120" si="79">IFERROR((N117/H117-1),"NA")</f>
        <v>NA</v>
      </c>
    </row>
    <row r="118" spans="1:21" x14ac:dyDescent="0.25">
      <c r="A118" s="218">
        <v>120</v>
      </c>
      <c r="B118" s="566" t="s">
        <v>608</v>
      </c>
      <c r="C118" s="95">
        <f>SUMIFS(TM[[#All],[Member Months]],TM[[#All],[Reporting Year]],2021,TM[[#All],[Insurance Category Code]],7,TM[[#All],[Large Provider Entity Code]],A118)</f>
        <v>0</v>
      </c>
      <c r="D118" s="7" t="str">
        <f>IFERROR(SUMIFS(TM[[#All],[Total Non-Truncated Claims Spending]],TM[[#All],[Reporting Year]],2021,TM[[#All],[Insurance Category Code]],7,TM[[#All],[Large Provider Entity Code]],A118)/C118,"NA")</f>
        <v>NA</v>
      </c>
      <c r="E118" s="7" t="str">
        <f>IFERROR(SUMIFS(TM[[#All],[Total Non-Claims Spending]],TM[[#All],[Reporting Year]],2021,TM[[#All],[Insurance Category Code]],7,TM[[#All],[Large Provider Entity Code]],A118)/C118,"NA")</f>
        <v>NA</v>
      </c>
      <c r="F118" s="7" t="str">
        <f>IFERROR(SUMIFS(TM[[#All],[Total Non-Truncated Claims and Non-Claims Spending]],TM[[#All],[Reporting Year]],2021,TM[[#All],[Insurance Category Code]],7,TM[[#All],[Large Provider Entity Code]],A118)/C118,"NA")</f>
        <v>NA</v>
      </c>
      <c r="G118" s="7" t="str">
        <f>IFERROR(SUMIFS(TM[[#All],[Total Truncated Claims Spending]],TM[[#All],[Reporting Year]],2021,TM[[#All],[Insurance Category Code]],7,TM[[#All],[Large Provider Entity Code]],A118)/C118,"NA")</f>
        <v>NA</v>
      </c>
      <c r="H118" s="96" t="str">
        <f>IFERROR(SUMIFS(TM[[#All],[Total Truncated Expenses]],TM[[#All],[Reporting Year]],2021,TM[[#All],[Insurance Category Code]],7,TM[[#All],[Large Provider Entity Code]],A118)/C118,"NA")</f>
        <v>NA</v>
      </c>
      <c r="I118" s="95">
        <f>SUMIFS(TM[[#All],[Member Months]],TM[[#All],[Reporting Year]],2022,TM[[#All],[Insurance Category Code]],7,TM[[#All],[Large Provider Entity Code]],A118)</f>
        <v>0</v>
      </c>
      <c r="J118" s="7" t="str">
        <f>IFERROR(SUMIFS(TM[[#All],[Total Non-Truncated Claims Spending]],TM[[#All],[Reporting Year]],2022,TM[[#All],[Insurance Category Code]],7,TM[[#All],[Large Provider Entity Code]],A118)/I118,"NA")</f>
        <v>NA</v>
      </c>
      <c r="K118" s="7" t="str">
        <f>IFERROR(SUMIFS(TM[[#All],[Total Non-Claims Spending]],TM[[#All],[Reporting Year]],2022,TM[[#All],[Insurance Category Code]],7,TM[[#All],[Large Provider Entity Code]],A118)/I118,"NA")</f>
        <v>NA</v>
      </c>
      <c r="L118" s="7" t="str">
        <f>IFERROR(SUMIFS(TM[[#All],[Total Non-Truncated Claims and Non-Claims Spending]],TM[[#All],[Reporting Year]],2022,TM[[#All],[Insurance Category Code]],7,TM[[#All],[Large Provider Entity Code]],A118)/I118,"NA")</f>
        <v>NA</v>
      </c>
      <c r="M118" s="7" t="str">
        <f>IFERROR(SUMIFS(TM[[#All],[Total Truncated Claims Spending]],TM[[#All],[Reporting Year]],2022,TM[[#All],[Insurance Category Code]],7,TM[[#All],[Large Provider Entity Code]],A118)/I118,"NA")</f>
        <v>NA</v>
      </c>
      <c r="N118" s="96" t="str">
        <f>IFERROR(SUMIFS(TM[[#All],[Total Truncated Expenses]],TM[[#All],[Reporting Year]],2022,TM[[#All],[Insurance Category Code]],7,TM[[#All],[Large Provider Entity Code]],A118)/I118,"NA")</f>
        <v>NA</v>
      </c>
      <c r="O118" s="518">
        <f t="shared" si="73"/>
        <v>0</v>
      </c>
      <c r="P118" s="243" t="str">
        <f t="shared" si="74"/>
        <v>NA</v>
      </c>
      <c r="Q118" s="97" t="str">
        <f t="shared" si="75"/>
        <v>NA</v>
      </c>
      <c r="R118" s="97" t="str">
        <f t="shared" si="76"/>
        <v>NA</v>
      </c>
      <c r="S118" s="97" t="str">
        <f t="shared" si="77"/>
        <v>NA</v>
      </c>
      <c r="T118" s="97" t="str">
        <f t="shared" si="78"/>
        <v>NA</v>
      </c>
      <c r="U118" s="97" t="str">
        <f t="shared" si="79"/>
        <v>NA</v>
      </c>
    </row>
    <row r="119" spans="1:21" ht="30" x14ac:dyDescent="0.25">
      <c r="A119" s="218">
        <v>121</v>
      </c>
      <c r="B119" s="495" t="s">
        <v>616</v>
      </c>
      <c r="C119" s="95">
        <f>SUMIFS(TM[[#All],[Member Months]],TM[[#All],[Reporting Year]],2021,TM[[#All],[Insurance Category Code]],7,TM[[#All],[Large Provider Entity Code]],A119)</f>
        <v>0</v>
      </c>
      <c r="D119" s="7" t="str">
        <f>IFERROR(SUMIFS(TM[[#All],[Total Non-Truncated Claims Spending]],TM[[#All],[Reporting Year]],2021,TM[[#All],[Insurance Category Code]],7,TM[[#All],[Large Provider Entity Code]],A119)/C119,"NA")</f>
        <v>NA</v>
      </c>
      <c r="E119" s="7" t="str">
        <f>IFERROR(SUMIFS(TM[[#All],[Total Non-Claims Spending]],TM[[#All],[Reporting Year]],2021,TM[[#All],[Insurance Category Code]],7,TM[[#All],[Large Provider Entity Code]],A119)/C119,"NA")</f>
        <v>NA</v>
      </c>
      <c r="F119" s="7" t="str">
        <f>IFERROR(SUMIFS(TM[[#All],[Total Non-Truncated Claims and Non-Claims Spending]],TM[[#All],[Reporting Year]],2021,TM[[#All],[Insurance Category Code]],7,TM[[#All],[Large Provider Entity Code]],A119)/C119,"NA")</f>
        <v>NA</v>
      </c>
      <c r="G119" s="7" t="str">
        <f>IFERROR(SUMIFS(TM[[#All],[Total Truncated Claims Spending]],TM[[#All],[Reporting Year]],2021,TM[[#All],[Insurance Category Code]],7,TM[[#All],[Large Provider Entity Code]],A119)/C119,"NA")</f>
        <v>NA</v>
      </c>
      <c r="H119" s="96" t="str">
        <f>IFERROR(SUMIFS(TM[[#All],[Total Truncated Expenses]],TM[[#All],[Reporting Year]],2021,TM[[#All],[Insurance Category Code]],7,TM[[#All],[Large Provider Entity Code]],A119)/C119,"NA")</f>
        <v>NA</v>
      </c>
      <c r="I119" s="95">
        <f>SUMIFS(TM[[#All],[Member Months]],TM[[#All],[Reporting Year]],2022,TM[[#All],[Insurance Category Code]],7,TM[[#All],[Large Provider Entity Code]],A119)</f>
        <v>0</v>
      </c>
      <c r="J119" s="7" t="str">
        <f>IFERROR(SUMIFS(TM[[#All],[Total Non-Truncated Claims Spending]],TM[[#All],[Reporting Year]],2022,TM[[#All],[Insurance Category Code]],7,TM[[#All],[Large Provider Entity Code]],A119)/I119,"NA")</f>
        <v>NA</v>
      </c>
      <c r="K119" s="7" t="str">
        <f>IFERROR(SUMIFS(TM[[#All],[Total Non-Claims Spending]],TM[[#All],[Reporting Year]],2022,TM[[#All],[Insurance Category Code]],7,TM[[#All],[Large Provider Entity Code]],A119)/I119,"NA")</f>
        <v>NA</v>
      </c>
      <c r="L119" s="7" t="str">
        <f>IFERROR(SUMIFS(TM[[#All],[Total Non-Truncated Claims and Non-Claims Spending]],TM[[#All],[Reporting Year]],2022,TM[[#All],[Insurance Category Code]],7,TM[[#All],[Large Provider Entity Code]],A119)/I119,"NA")</f>
        <v>NA</v>
      </c>
      <c r="M119" s="7" t="str">
        <f>IFERROR(SUMIFS(TM[[#All],[Total Truncated Claims Spending]],TM[[#All],[Reporting Year]],2022,TM[[#All],[Insurance Category Code]],7,TM[[#All],[Large Provider Entity Code]],A119)/I119,"NA")</f>
        <v>NA</v>
      </c>
      <c r="N119" s="96" t="str">
        <f>IFERROR(SUMIFS(TM[[#All],[Total Truncated Expenses]],TM[[#All],[Reporting Year]],2022,TM[[#All],[Insurance Category Code]],7,TM[[#All],[Large Provider Entity Code]],A119)/I119,"NA")</f>
        <v>NA</v>
      </c>
      <c r="O119" s="518">
        <f t="shared" ref="O119" si="80">ABS(C119-I119)</f>
        <v>0</v>
      </c>
      <c r="P119" s="243" t="str">
        <f t="shared" ref="P119" si="81">IFERROR((I119/C119-1),"NA")</f>
        <v>NA</v>
      </c>
      <c r="Q119" s="97" t="str">
        <f t="shared" ref="Q119" si="82">IFERROR((J119/D119-1),"NA")</f>
        <v>NA</v>
      </c>
      <c r="R119" s="97" t="str">
        <f t="shared" ref="R119" si="83">IFERROR((K119/E119-1),"NA")</f>
        <v>NA</v>
      </c>
      <c r="S119" s="97" t="str">
        <f t="shared" ref="S119" si="84">IFERROR((L119/F119-1),"NA")</f>
        <v>NA</v>
      </c>
      <c r="T119" s="97" t="str">
        <f t="shared" ref="T119" si="85">IFERROR((M119/G119-1),"NA")</f>
        <v>NA</v>
      </c>
      <c r="U119" s="97" t="str">
        <f t="shared" ref="U119" si="86">IFERROR((N119/H119-1),"NA")</f>
        <v>NA</v>
      </c>
    </row>
    <row r="120" spans="1:21" x14ac:dyDescent="0.25">
      <c r="A120" s="218">
        <v>122</v>
      </c>
      <c r="B120" s="566" t="s">
        <v>617</v>
      </c>
      <c r="C120" s="95">
        <f>SUMIFS(TM[[#All],[Member Months]],TM[[#All],[Reporting Year]],2021,TM[[#All],[Insurance Category Code]],7,TM[[#All],[Large Provider Entity Code]],A120)</f>
        <v>0</v>
      </c>
      <c r="D120" s="7" t="str">
        <f>IFERROR(SUMIFS(TM[[#All],[Total Non-Truncated Claims Spending]],TM[[#All],[Reporting Year]],2021,TM[[#All],[Insurance Category Code]],7,TM[[#All],[Large Provider Entity Code]],A120)/C120,"NA")</f>
        <v>NA</v>
      </c>
      <c r="E120" s="7" t="str">
        <f>IFERROR(SUMIFS(TM[[#All],[Total Non-Claims Spending]],TM[[#All],[Reporting Year]],2021,TM[[#All],[Insurance Category Code]],7,TM[[#All],[Large Provider Entity Code]],A120)/C120,"NA")</f>
        <v>NA</v>
      </c>
      <c r="F120" s="7" t="str">
        <f>IFERROR(SUMIFS(TM[[#All],[Total Non-Truncated Claims and Non-Claims Spending]],TM[[#All],[Reporting Year]],2021,TM[[#All],[Insurance Category Code]],7,TM[[#All],[Large Provider Entity Code]],A120)/C120,"NA")</f>
        <v>NA</v>
      </c>
      <c r="G120" s="7" t="str">
        <f>IFERROR(SUMIFS(TM[[#All],[Total Truncated Claims Spending]],TM[[#All],[Reporting Year]],2021,TM[[#All],[Insurance Category Code]],7,TM[[#All],[Large Provider Entity Code]],A120)/C120,"NA")</f>
        <v>NA</v>
      </c>
      <c r="H120" s="96" t="str">
        <f>IFERROR(SUMIFS(TM[[#All],[Total Truncated Expenses]],TM[[#All],[Reporting Year]],2021,TM[[#All],[Insurance Category Code]],7,TM[[#All],[Large Provider Entity Code]],A120)/C120,"NA")</f>
        <v>NA</v>
      </c>
      <c r="I120" s="95">
        <f>SUMIFS(TM[[#All],[Member Months]],TM[[#All],[Reporting Year]],2022,TM[[#All],[Insurance Category Code]],7,TM[[#All],[Large Provider Entity Code]],A120)</f>
        <v>0</v>
      </c>
      <c r="J120" s="7" t="str">
        <f>IFERROR(SUMIFS(TM[[#All],[Total Non-Truncated Claims Spending]],TM[[#All],[Reporting Year]],2022,TM[[#All],[Insurance Category Code]],7,TM[[#All],[Large Provider Entity Code]],A120)/I120,"NA")</f>
        <v>NA</v>
      </c>
      <c r="K120" s="7" t="str">
        <f>IFERROR(SUMIFS(TM[[#All],[Total Non-Claims Spending]],TM[[#All],[Reporting Year]],2022,TM[[#All],[Insurance Category Code]],7,TM[[#All],[Large Provider Entity Code]],A120)/I120,"NA")</f>
        <v>NA</v>
      </c>
      <c r="L120" s="7" t="str">
        <f>IFERROR(SUMIFS(TM[[#All],[Total Non-Truncated Claims and Non-Claims Spending]],TM[[#All],[Reporting Year]],2022,TM[[#All],[Insurance Category Code]],7,TM[[#All],[Large Provider Entity Code]],A120)/I120,"NA")</f>
        <v>NA</v>
      </c>
      <c r="M120" s="7" t="str">
        <f>IFERROR(SUMIFS(TM[[#All],[Total Truncated Claims Spending]],TM[[#All],[Reporting Year]],2022,TM[[#All],[Insurance Category Code]],7,TM[[#All],[Large Provider Entity Code]],A120)/I120,"NA")</f>
        <v>NA</v>
      </c>
      <c r="N120" s="96" t="str">
        <f>IFERROR(SUMIFS(TM[[#All],[Total Truncated Expenses]],TM[[#All],[Reporting Year]],2022,TM[[#All],[Insurance Category Code]],7,TM[[#All],[Large Provider Entity Code]],A120)/I120,"NA")</f>
        <v>NA</v>
      </c>
      <c r="O120" s="518">
        <f t="shared" si="73"/>
        <v>0</v>
      </c>
      <c r="P120" s="243" t="str">
        <f t="shared" si="74"/>
        <v>NA</v>
      </c>
      <c r="Q120" s="97" t="str">
        <f t="shared" si="75"/>
        <v>NA</v>
      </c>
      <c r="R120" s="97" t="str">
        <f t="shared" si="76"/>
        <v>NA</v>
      </c>
      <c r="S120" s="97" t="str">
        <f t="shared" si="77"/>
        <v>NA</v>
      </c>
      <c r="T120" s="97" t="str">
        <f t="shared" si="78"/>
        <v>NA</v>
      </c>
      <c r="U120" s="97" t="str">
        <f t="shared" si="79"/>
        <v>NA</v>
      </c>
    </row>
    <row r="121" spans="1:21" x14ac:dyDescent="0.25">
      <c r="A121" s="218">
        <v>999</v>
      </c>
      <c r="B121" s="495" t="s">
        <v>81</v>
      </c>
      <c r="C121" s="95">
        <f>SUMIFS(TM[[#All],[Member Months]],TM[[#All],[Reporting Year]],2021,TM[[#All],[Insurance Category Code]],7,TM[[#All],[Large Provider Entity Code]],A121)</f>
        <v>0</v>
      </c>
      <c r="D121" s="7" t="str">
        <f>IFERROR(SUMIFS(TM[[#All],[Total Non-Truncated Claims Spending]],TM[[#All],[Reporting Year]],2021,TM[[#All],[Insurance Category Code]],7,TM[[#All],[Large Provider Entity Code]],A121)/C121,"NA")</f>
        <v>NA</v>
      </c>
      <c r="E121" s="7" t="str">
        <f>IFERROR(SUMIFS(TM[[#All],[Total Non-Claims Spending]],TM[[#All],[Reporting Year]],2021,TM[[#All],[Insurance Category Code]],7,TM[[#All],[Large Provider Entity Code]],A121)/C121,"NA")</f>
        <v>NA</v>
      </c>
      <c r="F121" s="7" t="str">
        <f>IFERROR(SUMIFS(TM[[#All],[Total Non-Truncated Claims and Non-Claims Spending]],TM[[#All],[Reporting Year]],2021,TM[[#All],[Insurance Category Code]],7,TM[[#All],[Large Provider Entity Code]],A121)/C121,"NA")</f>
        <v>NA</v>
      </c>
      <c r="G121" s="7" t="str">
        <f>IFERROR(SUMIFS(TM[[#All],[Total Truncated Claims Spending]],TM[[#All],[Reporting Year]],2021,TM[[#All],[Insurance Category Code]],7,TM[[#All],[Large Provider Entity Code]],A121)/C121,"NA")</f>
        <v>NA</v>
      </c>
      <c r="H121" s="96" t="str">
        <f>IFERROR(SUMIFS(TM[[#All],[Total Truncated Expenses]],TM[[#All],[Reporting Year]],2021,TM[[#All],[Insurance Category Code]],7,TM[[#All],[Large Provider Entity Code]],A121)/C121,"NA")</f>
        <v>NA</v>
      </c>
      <c r="I121" s="95">
        <f>SUMIFS(TM[[#All],[Member Months]],TM[[#All],[Reporting Year]],2022,TM[[#All],[Insurance Category Code]],7,TM[[#All],[Large Provider Entity Code]],A121)</f>
        <v>0</v>
      </c>
      <c r="J121" s="7" t="str">
        <f>IFERROR(SUMIFS(TM[[#All],[Total Non-Truncated Claims Spending]],TM[[#All],[Reporting Year]],2022,TM[[#All],[Insurance Category Code]],7,TM[[#All],[Large Provider Entity Code]],A121)/I121,"NA")</f>
        <v>NA</v>
      </c>
      <c r="K121" s="7" t="str">
        <f>IFERROR(SUMIFS(TM[[#All],[Total Non-Claims Spending]],TM[[#All],[Reporting Year]],2022,TM[[#All],[Insurance Category Code]],7,TM[[#All],[Large Provider Entity Code]],A121)/I121,"NA")</f>
        <v>NA</v>
      </c>
      <c r="L121" s="7" t="str">
        <f>IFERROR(SUMIFS(TM[[#All],[Total Non-Truncated Claims and Non-Claims Spending]],TM[[#All],[Reporting Year]],2022,TM[[#All],[Insurance Category Code]],7,TM[[#All],[Large Provider Entity Code]],A121)/I121,"NA")</f>
        <v>NA</v>
      </c>
      <c r="M121" s="7" t="str">
        <f>IFERROR(SUMIFS(TM[[#All],[Total Truncated Claims Spending]],TM[[#All],[Reporting Year]],2022,TM[[#All],[Insurance Category Code]],7,TM[[#All],[Large Provider Entity Code]],A121)/I121,"NA")</f>
        <v>NA</v>
      </c>
      <c r="N121" s="96" t="str">
        <f>IFERROR(SUMIFS(TM[[#All],[Total Truncated Expenses]],TM[[#All],[Reporting Year]],2022,TM[[#All],[Insurance Category Code]],7,TM[[#All],[Large Provider Entity Code]],A121)/I121,"NA")</f>
        <v>NA</v>
      </c>
      <c r="O121" s="518">
        <f t="shared" si="73"/>
        <v>0</v>
      </c>
      <c r="P121" s="243" t="str">
        <f t="shared" si="67"/>
        <v>NA</v>
      </c>
      <c r="Q121" s="97" t="str">
        <f t="shared" si="68"/>
        <v>NA</v>
      </c>
      <c r="R121" s="97" t="str">
        <f t="shared" si="69"/>
        <v>NA</v>
      </c>
      <c r="S121" s="97" t="str">
        <f t="shared" si="70"/>
        <v>NA</v>
      </c>
      <c r="T121" s="97" t="str">
        <f t="shared" si="71"/>
        <v>NA</v>
      </c>
      <c r="U121" s="97" t="str">
        <f t="shared" si="72"/>
        <v>NA</v>
      </c>
    </row>
    <row r="122" spans="1:21" ht="30" customHeight="1" x14ac:dyDescent="0.25">
      <c r="A122" s="707" t="s">
        <v>567</v>
      </c>
      <c r="B122" s="708"/>
      <c r="C122" s="165">
        <f>SUM(C102:C121)</f>
        <v>0</v>
      </c>
      <c r="D122" s="131" t="str">
        <f>IFERROR((SUMPRODUCT(D102:D121,C102:C121)/C122),"NA")</f>
        <v>NA</v>
      </c>
      <c r="E122" s="131" t="str">
        <f>IFERROR((SUMPRODUCT(E102:E121,C102:C121)/C122),"NA")</f>
        <v>NA</v>
      </c>
      <c r="F122" s="131" t="str">
        <f>IFERROR((SUMPRODUCT(F102:F121,C102:C121)/C122),"NA")</f>
        <v>NA</v>
      </c>
      <c r="G122" s="131" t="str">
        <f>IFERROR((SUMPRODUCT(G102:G121,C102:C121)/C122),"NA")</f>
        <v>NA</v>
      </c>
      <c r="H122" s="131" t="str">
        <f>IFERROR((SUMPRODUCT(H102:H121,C102:C121)/C122),"NA")</f>
        <v>NA</v>
      </c>
      <c r="I122" s="165">
        <f>SUM(I102:I121)</f>
        <v>0</v>
      </c>
      <c r="J122" s="131" t="str">
        <f>IFERROR((SUMPRODUCT(J102:J121,I102:I121)/I122),"NA")</f>
        <v>NA</v>
      </c>
      <c r="K122" s="131" t="str">
        <f>IFERROR((SUMPRODUCT(K102:K121,I102:I121)/I122),"NA")</f>
        <v>NA</v>
      </c>
      <c r="L122" s="131" t="str">
        <f>IFERROR((SUMPRODUCT(L102:L121,I102:I121)/I122),"NA")</f>
        <v>NA</v>
      </c>
      <c r="M122" s="131" t="str">
        <f>IFERROR((SUMPRODUCT(M102:M121,I102:I121)/I122),"NA")</f>
        <v>NA</v>
      </c>
      <c r="N122" s="206" t="str">
        <f>IFERROR((SUMPRODUCT(N102:N121,I102:I121)/I122),"NA")</f>
        <v>NA</v>
      </c>
      <c r="O122" s="544" t="s">
        <v>500</v>
      </c>
      <c r="P122" s="435" t="s">
        <v>500</v>
      </c>
      <c r="Q122" s="433" t="s">
        <v>500</v>
      </c>
      <c r="R122" s="433" t="s">
        <v>500</v>
      </c>
      <c r="S122" s="433" t="s">
        <v>500</v>
      </c>
      <c r="T122" s="433" t="s">
        <v>500</v>
      </c>
      <c r="U122" s="433" t="s">
        <v>500</v>
      </c>
    </row>
    <row r="123" spans="1:21" x14ac:dyDescent="0.25">
      <c r="A123" s="709" t="s">
        <v>563</v>
      </c>
      <c r="B123" s="710"/>
      <c r="C123" s="165" t="s">
        <v>500</v>
      </c>
      <c r="D123" s="130" t="str">
        <f>IFERROR(((SUMPRODUCT(D101,$C$101))-ABS(SUMIFS(RX[[#All],[Total Medical and Retail Pharmacy Rebate Amount]],RX[[#All],[Reporting Year]],2021,RX[[#All],[Insurance Category Code]],7)))/$C$122,"NA")</f>
        <v>NA</v>
      </c>
      <c r="E123" s="130" t="str">
        <f>IFERROR(((SUMPRODUCT(E101,$C$101))-ABS(SUMIFS(RX[[#All],[Total Medical and Retail Pharmacy Rebate Amount]],RX[[#All],[Reporting Year]],2021,RX[[#All],[Insurance Category Code]],7)))/$C$122,"NA")</f>
        <v>NA</v>
      </c>
      <c r="F123" s="130" t="str">
        <f>IFERROR(((SUMPRODUCT(F101,$C$101))-ABS(SUMIFS(RX[[#All],[Total Medical and Retail Pharmacy Rebate Amount]],RX[[#All],[Reporting Year]],2021,RX[[#All],[Insurance Category Code]],7)))/$C$122,"NA")</f>
        <v>NA</v>
      </c>
      <c r="G123" s="130" t="str">
        <f>IFERROR(((SUMPRODUCT(G101,$C$101))-ABS(SUMIFS(RX[[#All],[Total Medical and Retail Pharmacy Rebate Amount]],RX[[#All],[Reporting Year]],2021,RX[[#All],[Insurance Category Code]],7)))/$C$122,"NA")</f>
        <v>NA</v>
      </c>
      <c r="H123" s="208" t="str">
        <f>IFERROR(((SUMPRODUCT(H101,$C$101))-ABS(SUMIFS(RX[[#All],[Total Medical and Retail Pharmacy Rebate Amount]],RX[[#All],[Reporting Year]],2021,RX[[#All],[Insurance Category Code]],7)))/$C$122,"NA")</f>
        <v>NA</v>
      </c>
      <c r="I123" s="165" t="s">
        <v>500</v>
      </c>
      <c r="J123" s="130" t="str">
        <f>IFERROR(((SUMPRODUCT(J101,$I$101))-ABS(SUMIFS(RX[[#All],[Total Medical and Retail Pharmacy Rebate Amount]],RX[[#All],[Reporting Year]],2022,RX[[#All],[Insurance Category Code]],7)))/$I$122,"NA")</f>
        <v>NA</v>
      </c>
      <c r="K123" s="130" t="str">
        <f>IFERROR(((SUMPRODUCT(K101,$I$101))-ABS(SUMIFS(RX[[#All],[Total Medical and Retail Pharmacy Rebate Amount]],RX[[#All],[Reporting Year]],2022,RX[[#All],[Insurance Category Code]],7)))/$I$122,"NA")</f>
        <v>NA</v>
      </c>
      <c r="L123" s="130" t="str">
        <f>IFERROR(((SUMPRODUCT(L101,$I$101))-ABS(SUMIFS(RX[[#All],[Total Medical and Retail Pharmacy Rebate Amount]],RX[[#All],[Reporting Year]],2022,RX[[#All],[Insurance Category Code]],7)))/$I$122,"NA")</f>
        <v>NA</v>
      </c>
      <c r="M123" s="130" t="str">
        <f>IFERROR(((SUMPRODUCT(M101,$I$101))-ABS(SUMIFS(RX[[#All],[Total Medical and Retail Pharmacy Rebate Amount]],RX[[#All],[Reporting Year]],2022,RX[[#All],[Insurance Category Code]],7)))/$I$122,"NA")</f>
        <v>NA</v>
      </c>
      <c r="N123" s="208" t="str">
        <f>IFERROR(((SUMPRODUCT(N101,$I$101))-ABS(SUMIFS(RX[[#All],[Total Medical and Retail Pharmacy Rebate Amount]],RX[[#All],[Reporting Year]],2022,RX[[#All],[Insurance Category Code]],7)))/$I$122,"NA")</f>
        <v>NA</v>
      </c>
      <c r="O123" s="544" t="s">
        <v>500</v>
      </c>
      <c r="P123" s="435" t="s">
        <v>500</v>
      </c>
      <c r="Q123" s="433" t="s">
        <v>500</v>
      </c>
      <c r="R123" s="433" t="s">
        <v>500</v>
      </c>
      <c r="S123" s="433" t="s">
        <v>500</v>
      </c>
      <c r="T123" s="433" t="s">
        <v>500</v>
      </c>
      <c r="U123" s="433" t="s">
        <v>500</v>
      </c>
    </row>
    <row r="124" spans="1:21" x14ac:dyDescent="0.25">
      <c r="A124" s="717" t="s">
        <v>564</v>
      </c>
      <c r="B124" s="718"/>
      <c r="C124" s="227">
        <f>ABS(C122-C101)</f>
        <v>0</v>
      </c>
      <c r="D124" s="227" t="e">
        <f>ABS(D122-D101)</f>
        <v>#VALUE!</v>
      </c>
      <c r="E124" s="227" t="e">
        <f>ABS(E122-E101)</f>
        <v>#VALUE!</v>
      </c>
      <c r="F124" s="227" t="e">
        <f>ABS(F122-F101)</f>
        <v>#VALUE!</v>
      </c>
      <c r="G124" s="181" t="s">
        <v>500</v>
      </c>
      <c r="H124" s="233" t="s">
        <v>500</v>
      </c>
      <c r="I124" s="221">
        <f>ABS(I122-I101)</f>
        <v>0</v>
      </c>
      <c r="J124" s="227" t="e">
        <f>ABS(J122-J101)</f>
        <v>#VALUE!</v>
      </c>
      <c r="K124" s="227" t="e">
        <f>ABS(K122-K101)</f>
        <v>#VALUE!</v>
      </c>
      <c r="L124" s="227" t="e">
        <f>ABS(L122-L101)</f>
        <v>#VALUE!</v>
      </c>
      <c r="M124" s="181" t="s">
        <v>500</v>
      </c>
      <c r="N124" s="233" t="s">
        <v>500</v>
      </c>
      <c r="O124" s="545" t="s">
        <v>500</v>
      </c>
      <c r="P124" s="546" t="s">
        <v>500</v>
      </c>
      <c r="Q124" s="548" t="s">
        <v>500</v>
      </c>
      <c r="R124" s="548" t="s">
        <v>500</v>
      </c>
      <c r="S124" s="548" t="s">
        <v>500</v>
      </c>
      <c r="T124" s="548" t="s">
        <v>500</v>
      </c>
      <c r="U124" s="548" t="s">
        <v>500</v>
      </c>
    </row>
    <row r="125" spans="1:21" x14ac:dyDescent="0.25">
      <c r="A125" s="715" t="s">
        <v>565</v>
      </c>
      <c r="B125" s="716"/>
      <c r="C125" s="261" t="str">
        <f>IF(((ABS(C101-C122))&lt;10),"Yes","No")</f>
        <v>Yes</v>
      </c>
      <c r="D125" s="181" t="e">
        <f>IF(((ABS(D101-D122))&lt;10),"Yes","No")</f>
        <v>#VALUE!</v>
      </c>
      <c r="E125" s="181" t="e">
        <f>IF(((ABS(E101-E122))&lt;10),"Yes","No")</f>
        <v>#VALUE!</v>
      </c>
      <c r="F125" s="181" t="e">
        <f>IF(((ABS(F101-F122))&lt;10),"Yes","No")</f>
        <v>#VALUE!</v>
      </c>
      <c r="G125" s="181" t="s">
        <v>500</v>
      </c>
      <c r="H125" s="233" t="s">
        <v>500</v>
      </c>
      <c r="I125" s="259" t="str">
        <f>IF(((ABS(I101-I122))&lt;10),"Yes","No")</f>
        <v>Yes</v>
      </c>
      <c r="J125" s="181" t="e">
        <f>IF(((ABS(J101-J122))&lt;10),"Yes","No")</f>
        <v>#VALUE!</v>
      </c>
      <c r="K125" s="181" t="e">
        <f>IF(((ABS(K101-K122))&lt;10),"Yes","No")</f>
        <v>#VALUE!</v>
      </c>
      <c r="L125" s="181" t="e">
        <f>IF(((ABS(L101-L122))&lt;10),"Yes","No")</f>
        <v>#VALUE!</v>
      </c>
      <c r="M125" s="181" t="s">
        <v>500</v>
      </c>
      <c r="N125" s="233" t="s">
        <v>500</v>
      </c>
      <c r="O125" s="545" t="s">
        <v>500</v>
      </c>
      <c r="P125" s="546" t="s">
        <v>500</v>
      </c>
      <c r="Q125" s="548" t="s">
        <v>500</v>
      </c>
      <c r="R125" s="548" t="s">
        <v>500</v>
      </c>
      <c r="S125" s="548" t="s">
        <v>500</v>
      </c>
      <c r="T125" s="548" t="s">
        <v>500</v>
      </c>
      <c r="U125" s="548" t="s">
        <v>500</v>
      </c>
    </row>
    <row r="126" spans="1:21" x14ac:dyDescent="0.25">
      <c r="A126"/>
      <c r="B126"/>
      <c r="C126" s="115"/>
      <c r="D126" s="116"/>
      <c r="E126" s="116"/>
      <c r="F126" s="116"/>
      <c r="G126" s="116"/>
      <c r="H126" s="116"/>
      <c r="I126" s="115"/>
      <c r="J126" s="116"/>
      <c r="K126" s="116"/>
      <c r="L126" s="116"/>
      <c r="M126" s="116"/>
      <c r="N126" s="116"/>
      <c r="O126" s="116"/>
      <c r="P126" s="117"/>
      <c r="Q126" s="117"/>
      <c r="R126" s="117"/>
      <c r="S126" s="117"/>
      <c r="T126" s="117"/>
      <c r="U126" s="117"/>
    </row>
    <row r="127" spans="1:21" x14ac:dyDescent="0.25">
      <c r="A127"/>
      <c r="B127"/>
      <c r="C127"/>
      <c r="D127"/>
      <c r="E127"/>
      <c r="F127"/>
      <c r="G127"/>
      <c r="H127"/>
      <c r="I127"/>
      <c r="J127"/>
      <c r="K127"/>
      <c r="L127"/>
      <c r="M127"/>
      <c r="N127"/>
      <c r="O127"/>
      <c r="P127"/>
      <c r="Q127"/>
      <c r="R127"/>
      <c r="S127"/>
      <c r="T127"/>
      <c r="U127"/>
    </row>
    <row r="128" spans="1:21" x14ac:dyDescent="0.25">
      <c r="A128" s="567" t="s">
        <v>570</v>
      </c>
      <c r="B128" s="568"/>
      <c r="C128" s="568"/>
      <c r="D128"/>
      <c r="E128"/>
      <c r="F128"/>
      <c r="G128"/>
      <c r="H128"/>
      <c r="I128"/>
      <c r="J128"/>
      <c r="K128"/>
      <c r="L128"/>
      <c r="M128"/>
      <c r="N128"/>
      <c r="O128"/>
      <c r="P128"/>
      <c r="Q128"/>
      <c r="R128"/>
      <c r="S128"/>
      <c r="T128"/>
      <c r="U128"/>
    </row>
    <row r="129" spans="1:21" ht="15" customHeight="1" thickBot="1" x14ac:dyDescent="0.3">
      <c r="A129" s="657" t="s">
        <v>71</v>
      </c>
      <c r="B129" s="706" t="s">
        <v>547</v>
      </c>
      <c r="C129" s="697">
        <v>2021</v>
      </c>
      <c r="D129" s="698"/>
      <c r="E129" s="698"/>
      <c r="F129" s="698"/>
      <c r="G129" s="698"/>
      <c r="H129" s="699"/>
      <c r="I129" s="700">
        <v>2022</v>
      </c>
      <c r="J129" s="701"/>
      <c r="K129" s="701"/>
      <c r="L129" s="701"/>
      <c r="M129" s="701"/>
      <c r="N129" s="702"/>
      <c r="O129" s="512"/>
      <c r="P129" s="727" t="s">
        <v>548</v>
      </c>
      <c r="Q129" s="728"/>
      <c r="R129" s="728"/>
      <c r="S129" s="728"/>
      <c r="T129" s="728"/>
      <c r="U129" s="729"/>
    </row>
    <row r="130" spans="1:21" ht="45" x14ac:dyDescent="0.25">
      <c r="A130" s="657"/>
      <c r="B130" s="706"/>
      <c r="C130" s="90" t="s">
        <v>352</v>
      </c>
      <c r="D130" s="91" t="s">
        <v>550</v>
      </c>
      <c r="E130" s="91" t="s">
        <v>551</v>
      </c>
      <c r="F130" s="91" t="s">
        <v>552</v>
      </c>
      <c r="G130" s="91" t="s">
        <v>553</v>
      </c>
      <c r="H130" s="92" t="s">
        <v>554</v>
      </c>
      <c r="I130" s="211" t="s">
        <v>352</v>
      </c>
      <c r="J130" s="125" t="s">
        <v>550</v>
      </c>
      <c r="K130" s="125" t="s">
        <v>551</v>
      </c>
      <c r="L130" s="125" t="s">
        <v>552</v>
      </c>
      <c r="M130" s="125" t="s">
        <v>553</v>
      </c>
      <c r="N130" s="212" t="s">
        <v>554</v>
      </c>
      <c r="O130" s="513" t="s">
        <v>555</v>
      </c>
      <c r="P130" s="246" t="s">
        <v>556</v>
      </c>
      <c r="Q130" s="210" t="s">
        <v>557</v>
      </c>
      <c r="R130" s="210" t="s">
        <v>558</v>
      </c>
      <c r="S130" s="210" t="s">
        <v>559</v>
      </c>
      <c r="T130" s="210" t="s">
        <v>560</v>
      </c>
      <c r="U130" s="220" t="s">
        <v>561</v>
      </c>
    </row>
    <row r="131" spans="1:21" x14ac:dyDescent="0.25">
      <c r="A131" s="219">
        <v>100</v>
      </c>
      <c r="B131" s="495" t="s">
        <v>72</v>
      </c>
      <c r="C131" s="95">
        <f t="shared" ref="C131:C151" si="87">C161+C191+C221</f>
        <v>0</v>
      </c>
      <c r="D131" s="7" t="str">
        <f t="shared" ref="D131:H140" si="88">IF($C131=0,"NA",(SUMPRODUCT(D161,$C161)+SUMPRODUCT(D191,$C191)+SUMPRODUCT(D221,$C221))/$C131)</f>
        <v>NA</v>
      </c>
      <c r="E131" s="7" t="str">
        <f t="shared" si="88"/>
        <v>NA</v>
      </c>
      <c r="F131" s="7" t="str">
        <f t="shared" si="88"/>
        <v>NA</v>
      </c>
      <c r="G131" s="7" t="str">
        <f t="shared" si="88"/>
        <v>NA</v>
      </c>
      <c r="H131" s="96" t="str">
        <f t="shared" si="88"/>
        <v>NA</v>
      </c>
      <c r="I131" s="95">
        <f t="shared" ref="I131:I151" si="89">I161+I191+I221</f>
        <v>0</v>
      </c>
      <c r="J131" s="7" t="str">
        <f t="shared" ref="J131:N140" si="90">IF($I131=0,"NA",(SUMPRODUCT(J161,$I161)+SUMPRODUCT(J191,$I191)+SUMPRODUCT(J221,$I221))/$I131)</f>
        <v>NA</v>
      </c>
      <c r="K131" s="7" t="str">
        <f t="shared" si="90"/>
        <v>NA</v>
      </c>
      <c r="L131" s="7" t="str">
        <f t="shared" si="90"/>
        <v>NA</v>
      </c>
      <c r="M131" s="7" t="str">
        <f t="shared" si="90"/>
        <v>NA</v>
      </c>
      <c r="N131" s="96" t="str">
        <f t="shared" si="90"/>
        <v>NA</v>
      </c>
      <c r="O131" s="518">
        <f>ABS(C131-I131)</f>
        <v>0</v>
      </c>
      <c r="P131" s="245" t="str">
        <f t="shared" ref="P131:P151" si="91">IFERROR((I131/C131-1),"NA")</f>
        <v>NA</v>
      </c>
      <c r="Q131" s="127" t="str">
        <f t="shared" ref="Q131:Q151" si="92">IFERROR((J131/D131-1),"NA")</f>
        <v>NA</v>
      </c>
      <c r="R131" s="127" t="str">
        <f t="shared" ref="R131:R151" si="93">IFERROR((K131/E131-1),"NA")</f>
        <v>NA</v>
      </c>
      <c r="S131" s="127" t="str">
        <f t="shared" ref="S131:S151" si="94">IFERROR((L131/F131-1),"NA")</f>
        <v>NA</v>
      </c>
      <c r="T131" s="127" t="str">
        <f t="shared" ref="T131:T151" si="95">IFERROR((M131/G131-1),"NA")</f>
        <v>NA</v>
      </c>
      <c r="U131" s="127" t="str">
        <f t="shared" ref="U131:U151" si="96">IFERROR((N131/H131-1),"NA")</f>
        <v>NA</v>
      </c>
    </row>
    <row r="132" spans="1:21" x14ac:dyDescent="0.25">
      <c r="A132" s="218">
        <v>101</v>
      </c>
      <c r="B132" s="495" t="s">
        <v>609</v>
      </c>
      <c r="C132" s="95">
        <f t="shared" si="87"/>
        <v>0</v>
      </c>
      <c r="D132" s="7" t="str">
        <f t="shared" si="88"/>
        <v>NA</v>
      </c>
      <c r="E132" s="7" t="str">
        <f t="shared" si="88"/>
        <v>NA</v>
      </c>
      <c r="F132" s="7" t="str">
        <f t="shared" si="88"/>
        <v>NA</v>
      </c>
      <c r="G132" s="7" t="str">
        <f t="shared" si="88"/>
        <v>NA</v>
      </c>
      <c r="H132" s="96" t="str">
        <f t="shared" si="88"/>
        <v>NA</v>
      </c>
      <c r="I132" s="95">
        <f t="shared" si="89"/>
        <v>0</v>
      </c>
      <c r="J132" s="7" t="str">
        <f t="shared" si="90"/>
        <v>NA</v>
      </c>
      <c r="K132" s="7" t="str">
        <f t="shared" si="90"/>
        <v>NA</v>
      </c>
      <c r="L132" s="7" t="str">
        <f t="shared" si="90"/>
        <v>NA</v>
      </c>
      <c r="M132" s="7" t="str">
        <f t="shared" si="90"/>
        <v>NA</v>
      </c>
      <c r="N132" s="96" t="str">
        <f t="shared" si="90"/>
        <v>NA</v>
      </c>
      <c r="O132" s="518">
        <f t="shared" ref="O132:O151" si="97">ABS(C132-I132)</f>
        <v>0</v>
      </c>
      <c r="P132" s="245" t="str">
        <f t="shared" si="91"/>
        <v>NA</v>
      </c>
      <c r="Q132" s="127" t="str">
        <f t="shared" si="92"/>
        <v>NA</v>
      </c>
      <c r="R132" s="127" t="str">
        <f t="shared" si="93"/>
        <v>NA</v>
      </c>
      <c r="S132" s="127" t="str">
        <f t="shared" si="94"/>
        <v>NA</v>
      </c>
      <c r="T132" s="127" t="str">
        <f t="shared" si="95"/>
        <v>NA</v>
      </c>
      <c r="U132" s="127" t="str">
        <f t="shared" si="96"/>
        <v>NA</v>
      </c>
    </row>
    <row r="133" spans="1:21" x14ac:dyDescent="0.25">
      <c r="A133" s="218">
        <v>102</v>
      </c>
      <c r="B133" s="566" t="s">
        <v>610</v>
      </c>
      <c r="C133" s="95">
        <f t="shared" si="87"/>
        <v>0</v>
      </c>
      <c r="D133" s="7" t="str">
        <f t="shared" si="88"/>
        <v>NA</v>
      </c>
      <c r="E133" s="7" t="str">
        <f t="shared" si="88"/>
        <v>NA</v>
      </c>
      <c r="F133" s="7" t="str">
        <f t="shared" si="88"/>
        <v>NA</v>
      </c>
      <c r="G133" s="7" t="str">
        <f t="shared" si="88"/>
        <v>NA</v>
      </c>
      <c r="H133" s="96" t="str">
        <f t="shared" si="88"/>
        <v>NA</v>
      </c>
      <c r="I133" s="95">
        <f t="shared" si="89"/>
        <v>0</v>
      </c>
      <c r="J133" s="7" t="str">
        <f t="shared" si="90"/>
        <v>NA</v>
      </c>
      <c r="K133" s="7" t="str">
        <f t="shared" si="90"/>
        <v>NA</v>
      </c>
      <c r="L133" s="7" t="str">
        <f t="shared" si="90"/>
        <v>NA</v>
      </c>
      <c r="M133" s="7" t="str">
        <f t="shared" si="90"/>
        <v>NA</v>
      </c>
      <c r="N133" s="96" t="str">
        <f t="shared" si="90"/>
        <v>NA</v>
      </c>
      <c r="O133" s="518">
        <f t="shared" si="97"/>
        <v>0</v>
      </c>
      <c r="P133" s="245" t="str">
        <f t="shared" si="91"/>
        <v>NA</v>
      </c>
      <c r="Q133" s="127" t="str">
        <f t="shared" si="92"/>
        <v>NA</v>
      </c>
      <c r="R133" s="127" t="str">
        <f t="shared" si="93"/>
        <v>NA</v>
      </c>
      <c r="S133" s="127" t="str">
        <f t="shared" si="94"/>
        <v>NA</v>
      </c>
      <c r="T133" s="127" t="str">
        <f t="shared" si="95"/>
        <v>NA</v>
      </c>
      <c r="U133" s="127" t="str">
        <f t="shared" si="96"/>
        <v>NA</v>
      </c>
    </row>
    <row r="134" spans="1:21" ht="30" x14ac:dyDescent="0.25">
      <c r="A134" s="218">
        <v>103</v>
      </c>
      <c r="B134" s="495" t="s">
        <v>73</v>
      </c>
      <c r="C134" s="95">
        <f t="shared" si="87"/>
        <v>0</v>
      </c>
      <c r="D134" s="7" t="str">
        <f t="shared" si="88"/>
        <v>NA</v>
      </c>
      <c r="E134" s="7" t="str">
        <f t="shared" si="88"/>
        <v>NA</v>
      </c>
      <c r="F134" s="7" t="str">
        <f t="shared" si="88"/>
        <v>NA</v>
      </c>
      <c r="G134" s="7" t="str">
        <f t="shared" si="88"/>
        <v>NA</v>
      </c>
      <c r="H134" s="96" t="str">
        <f t="shared" si="88"/>
        <v>NA</v>
      </c>
      <c r="I134" s="95">
        <f t="shared" si="89"/>
        <v>0</v>
      </c>
      <c r="J134" s="7" t="str">
        <f t="shared" si="90"/>
        <v>NA</v>
      </c>
      <c r="K134" s="7" t="str">
        <f t="shared" si="90"/>
        <v>NA</v>
      </c>
      <c r="L134" s="7" t="str">
        <f t="shared" si="90"/>
        <v>NA</v>
      </c>
      <c r="M134" s="7" t="str">
        <f t="shared" si="90"/>
        <v>NA</v>
      </c>
      <c r="N134" s="96" t="str">
        <f t="shared" si="90"/>
        <v>NA</v>
      </c>
      <c r="O134" s="518">
        <f t="shared" si="97"/>
        <v>0</v>
      </c>
      <c r="P134" s="245" t="str">
        <f t="shared" si="91"/>
        <v>NA</v>
      </c>
      <c r="Q134" s="127" t="str">
        <f t="shared" si="92"/>
        <v>NA</v>
      </c>
      <c r="R134" s="127" t="str">
        <f t="shared" si="93"/>
        <v>NA</v>
      </c>
      <c r="S134" s="127" t="str">
        <f t="shared" si="94"/>
        <v>NA</v>
      </c>
      <c r="T134" s="127" t="str">
        <f t="shared" si="95"/>
        <v>NA</v>
      </c>
      <c r="U134" s="127" t="str">
        <f t="shared" si="96"/>
        <v>NA</v>
      </c>
    </row>
    <row r="135" spans="1:21" x14ac:dyDescent="0.25">
      <c r="A135" s="218">
        <v>104</v>
      </c>
      <c r="B135" s="495" t="s">
        <v>611</v>
      </c>
      <c r="C135" s="95">
        <f t="shared" si="87"/>
        <v>0</v>
      </c>
      <c r="D135" s="7" t="str">
        <f t="shared" si="88"/>
        <v>NA</v>
      </c>
      <c r="E135" s="7" t="str">
        <f t="shared" si="88"/>
        <v>NA</v>
      </c>
      <c r="F135" s="7" t="str">
        <f t="shared" si="88"/>
        <v>NA</v>
      </c>
      <c r="G135" s="7" t="str">
        <f t="shared" si="88"/>
        <v>NA</v>
      </c>
      <c r="H135" s="96" t="str">
        <f t="shared" si="88"/>
        <v>NA</v>
      </c>
      <c r="I135" s="95">
        <f t="shared" si="89"/>
        <v>0</v>
      </c>
      <c r="J135" s="7" t="str">
        <f t="shared" si="90"/>
        <v>NA</v>
      </c>
      <c r="K135" s="7" t="str">
        <f t="shared" si="90"/>
        <v>NA</v>
      </c>
      <c r="L135" s="7" t="str">
        <f t="shared" si="90"/>
        <v>NA</v>
      </c>
      <c r="M135" s="7" t="str">
        <f t="shared" si="90"/>
        <v>NA</v>
      </c>
      <c r="N135" s="96" t="str">
        <f t="shared" si="90"/>
        <v>NA</v>
      </c>
      <c r="O135" s="518">
        <f t="shared" si="97"/>
        <v>0</v>
      </c>
      <c r="P135" s="245" t="str">
        <f t="shared" si="91"/>
        <v>NA</v>
      </c>
      <c r="Q135" s="127" t="str">
        <f t="shared" si="92"/>
        <v>NA</v>
      </c>
      <c r="R135" s="127" t="str">
        <f t="shared" si="93"/>
        <v>NA</v>
      </c>
      <c r="S135" s="127" t="str">
        <f t="shared" si="94"/>
        <v>NA</v>
      </c>
      <c r="T135" s="127" t="str">
        <f t="shared" si="95"/>
        <v>NA</v>
      </c>
      <c r="U135" s="127" t="str">
        <f t="shared" si="96"/>
        <v>NA</v>
      </c>
    </row>
    <row r="136" spans="1:21" x14ac:dyDescent="0.25">
      <c r="A136" s="218">
        <v>105</v>
      </c>
      <c r="B136" s="566" t="s">
        <v>607</v>
      </c>
      <c r="C136" s="95">
        <f t="shared" si="87"/>
        <v>0</v>
      </c>
      <c r="D136" s="7" t="str">
        <f t="shared" si="88"/>
        <v>NA</v>
      </c>
      <c r="E136" s="7" t="str">
        <f t="shared" si="88"/>
        <v>NA</v>
      </c>
      <c r="F136" s="7" t="str">
        <f t="shared" si="88"/>
        <v>NA</v>
      </c>
      <c r="G136" s="7" t="str">
        <f t="shared" si="88"/>
        <v>NA</v>
      </c>
      <c r="H136" s="96" t="str">
        <f t="shared" si="88"/>
        <v>NA</v>
      </c>
      <c r="I136" s="95">
        <f t="shared" si="89"/>
        <v>0</v>
      </c>
      <c r="J136" s="7" t="str">
        <f t="shared" si="90"/>
        <v>NA</v>
      </c>
      <c r="K136" s="7" t="str">
        <f t="shared" si="90"/>
        <v>NA</v>
      </c>
      <c r="L136" s="7" t="str">
        <f t="shared" si="90"/>
        <v>NA</v>
      </c>
      <c r="M136" s="7" t="str">
        <f t="shared" si="90"/>
        <v>NA</v>
      </c>
      <c r="N136" s="96" t="str">
        <f t="shared" si="90"/>
        <v>NA</v>
      </c>
      <c r="O136" s="518">
        <f t="shared" si="97"/>
        <v>0</v>
      </c>
      <c r="P136" s="245" t="str">
        <f t="shared" si="91"/>
        <v>NA</v>
      </c>
      <c r="Q136" s="127" t="str">
        <f t="shared" si="92"/>
        <v>NA</v>
      </c>
      <c r="R136" s="127" t="str">
        <f t="shared" si="93"/>
        <v>NA</v>
      </c>
      <c r="S136" s="127" t="str">
        <f t="shared" si="94"/>
        <v>NA</v>
      </c>
      <c r="T136" s="127" t="str">
        <f t="shared" si="95"/>
        <v>NA</v>
      </c>
      <c r="U136" s="127" t="str">
        <f t="shared" si="96"/>
        <v>NA</v>
      </c>
    </row>
    <row r="137" spans="1:21" x14ac:dyDescent="0.25">
      <c r="A137" s="218">
        <v>106</v>
      </c>
      <c r="B137" s="495" t="s">
        <v>74</v>
      </c>
      <c r="C137" s="95">
        <f t="shared" si="87"/>
        <v>0</v>
      </c>
      <c r="D137" s="7" t="str">
        <f t="shared" si="88"/>
        <v>NA</v>
      </c>
      <c r="E137" s="7" t="str">
        <f t="shared" si="88"/>
        <v>NA</v>
      </c>
      <c r="F137" s="7" t="str">
        <f t="shared" si="88"/>
        <v>NA</v>
      </c>
      <c r="G137" s="7" t="str">
        <f t="shared" si="88"/>
        <v>NA</v>
      </c>
      <c r="H137" s="96" t="str">
        <f t="shared" si="88"/>
        <v>NA</v>
      </c>
      <c r="I137" s="95">
        <f t="shared" si="89"/>
        <v>0</v>
      </c>
      <c r="J137" s="7" t="str">
        <f t="shared" si="90"/>
        <v>NA</v>
      </c>
      <c r="K137" s="7" t="str">
        <f t="shared" si="90"/>
        <v>NA</v>
      </c>
      <c r="L137" s="7" t="str">
        <f t="shared" si="90"/>
        <v>NA</v>
      </c>
      <c r="M137" s="7" t="str">
        <f t="shared" si="90"/>
        <v>NA</v>
      </c>
      <c r="N137" s="96" t="str">
        <f t="shared" si="90"/>
        <v>NA</v>
      </c>
      <c r="O137" s="518">
        <f t="shared" si="97"/>
        <v>0</v>
      </c>
      <c r="P137" s="245" t="str">
        <f t="shared" si="91"/>
        <v>NA</v>
      </c>
      <c r="Q137" s="127" t="str">
        <f t="shared" si="92"/>
        <v>NA</v>
      </c>
      <c r="R137" s="127" t="str">
        <f t="shared" si="93"/>
        <v>NA</v>
      </c>
      <c r="S137" s="127" t="str">
        <f t="shared" si="94"/>
        <v>NA</v>
      </c>
      <c r="T137" s="127" t="str">
        <f t="shared" si="95"/>
        <v>NA</v>
      </c>
      <c r="U137" s="127" t="str">
        <f t="shared" si="96"/>
        <v>NA</v>
      </c>
    </row>
    <row r="138" spans="1:21" ht="30" x14ac:dyDescent="0.25">
      <c r="A138" s="218">
        <v>107</v>
      </c>
      <c r="B138" s="495" t="s">
        <v>75</v>
      </c>
      <c r="C138" s="95">
        <f t="shared" si="87"/>
        <v>0</v>
      </c>
      <c r="D138" s="7" t="str">
        <f t="shared" si="88"/>
        <v>NA</v>
      </c>
      <c r="E138" s="7" t="str">
        <f t="shared" si="88"/>
        <v>NA</v>
      </c>
      <c r="F138" s="7" t="str">
        <f t="shared" si="88"/>
        <v>NA</v>
      </c>
      <c r="G138" s="7" t="str">
        <f t="shared" si="88"/>
        <v>NA</v>
      </c>
      <c r="H138" s="96" t="str">
        <f t="shared" si="88"/>
        <v>NA</v>
      </c>
      <c r="I138" s="95">
        <f t="shared" si="89"/>
        <v>0</v>
      </c>
      <c r="J138" s="7" t="str">
        <f t="shared" si="90"/>
        <v>NA</v>
      </c>
      <c r="K138" s="7" t="str">
        <f t="shared" si="90"/>
        <v>NA</v>
      </c>
      <c r="L138" s="7" t="str">
        <f t="shared" si="90"/>
        <v>NA</v>
      </c>
      <c r="M138" s="7" t="str">
        <f t="shared" si="90"/>
        <v>NA</v>
      </c>
      <c r="N138" s="96" t="str">
        <f t="shared" si="90"/>
        <v>NA</v>
      </c>
      <c r="O138" s="518">
        <f t="shared" si="97"/>
        <v>0</v>
      </c>
      <c r="P138" s="245" t="str">
        <f t="shared" si="91"/>
        <v>NA</v>
      </c>
      <c r="Q138" s="127" t="str">
        <f t="shared" si="92"/>
        <v>NA</v>
      </c>
      <c r="R138" s="127" t="str">
        <f t="shared" si="93"/>
        <v>NA</v>
      </c>
      <c r="S138" s="127" t="str">
        <f t="shared" si="94"/>
        <v>NA</v>
      </c>
      <c r="T138" s="127" t="str">
        <f t="shared" si="95"/>
        <v>NA</v>
      </c>
      <c r="U138" s="127" t="str">
        <f t="shared" si="96"/>
        <v>NA</v>
      </c>
    </row>
    <row r="139" spans="1:21" x14ac:dyDescent="0.25">
      <c r="A139" s="218">
        <v>108</v>
      </c>
      <c r="B139" s="495" t="s">
        <v>612</v>
      </c>
      <c r="C139" s="95">
        <f t="shared" si="87"/>
        <v>0</v>
      </c>
      <c r="D139" s="7" t="str">
        <f t="shared" si="88"/>
        <v>NA</v>
      </c>
      <c r="E139" s="7" t="str">
        <f t="shared" si="88"/>
        <v>NA</v>
      </c>
      <c r="F139" s="7" t="str">
        <f t="shared" si="88"/>
        <v>NA</v>
      </c>
      <c r="G139" s="7" t="str">
        <f t="shared" si="88"/>
        <v>NA</v>
      </c>
      <c r="H139" s="96" t="str">
        <f t="shared" si="88"/>
        <v>NA</v>
      </c>
      <c r="I139" s="95">
        <f t="shared" si="89"/>
        <v>0</v>
      </c>
      <c r="J139" s="7" t="str">
        <f t="shared" si="90"/>
        <v>NA</v>
      </c>
      <c r="K139" s="7" t="str">
        <f t="shared" si="90"/>
        <v>NA</v>
      </c>
      <c r="L139" s="7" t="str">
        <f t="shared" si="90"/>
        <v>NA</v>
      </c>
      <c r="M139" s="7" t="str">
        <f t="shared" si="90"/>
        <v>NA</v>
      </c>
      <c r="N139" s="96" t="str">
        <f t="shared" si="90"/>
        <v>NA</v>
      </c>
      <c r="O139" s="518">
        <f t="shared" si="97"/>
        <v>0</v>
      </c>
      <c r="P139" s="245" t="str">
        <f t="shared" si="91"/>
        <v>NA</v>
      </c>
      <c r="Q139" s="127" t="str">
        <f t="shared" si="92"/>
        <v>NA</v>
      </c>
      <c r="R139" s="127" t="str">
        <f t="shared" si="93"/>
        <v>NA</v>
      </c>
      <c r="S139" s="127" t="str">
        <f t="shared" si="94"/>
        <v>NA</v>
      </c>
      <c r="T139" s="127" t="str">
        <f t="shared" si="95"/>
        <v>NA</v>
      </c>
      <c r="U139" s="127" t="str">
        <f t="shared" si="96"/>
        <v>NA</v>
      </c>
    </row>
    <row r="140" spans="1:21" x14ac:dyDescent="0.25">
      <c r="A140" s="218">
        <v>109</v>
      </c>
      <c r="B140" s="571" t="s">
        <v>76</v>
      </c>
      <c r="C140" s="95">
        <f t="shared" si="87"/>
        <v>0</v>
      </c>
      <c r="D140" s="7" t="str">
        <f t="shared" si="88"/>
        <v>NA</v>
      </c>
      <c r="E140" s="7" t="str">
        <f t="shared" si="88"/>
        <v>NA</v>
      </c>
      <c r="F140" s="7" t="str">
        <f t="shared" si="88"/>
        <v>NA</v>
      </c>
      <c r="G140" s="7" t="str">
        <f t="shared" si="88"/>
        <v>NA</v>
      </c>
      <c r="H140" s="96" t="str">
        <f t="shared" si="88"/>
        <v>NA</v>
      </c>
      <c r="I140" s="95">
        <f t="shared" si="89"/>
        <v>0</v>
      </c>
      <c r="J140" s="7" t="str">
        <f t="shared" si="90"/>
        <v>NA</v>
      </c>
      <c r="K140" s="7" t="str">
        <f t="shared" si="90"/>
        <v>NA</v>
      </c>
      <c r="L140" s="7" t="str">
        <f t="shared" si="90"/>
        <v>NA</v>
      </c>
      <c r="M140" s="7" t="str">
        <f t="shared" si="90"/>
        <v>NA</v>
      </c>
      <c r="N140" s="96" t="str">
        <f t="shared" si="90"/>
        <v>NA</v>
      </c>
      <c r="O140" s="518">
        <f t="shared" si="97"/>
        <v>0</v>
      </c>
      <c r="P140" s="245" t="str">
        <f t="shared" si="91"/>
        <v>NA</v>
      </c>
      <c r="Q140" s="127" t="str">
        <f t="shared" si="92"/>
        <v>NA</v>
      </c>
      <c r="R140" s="127" t="str">
        <f t="shared" si="93"/>
        <v>NA</v>
      </c>
      <c r="S140" s="127" t="str">
        <f t="shared" si="94"/>
        <v>NA</v>
      </c>
      <c r="T140" s="127" t="str">
        <f t="shared" si="95"/>
        <v>NA</v>
      </c>
      <c r="U140" s="127" t="str">
        <f t="shared" si="96"/>
        <v>NA</v>
      </c>
    </row>
    <row r="141" spans="1:21" x14ac:dyDescent="0.25">
      <c r="A141" s="218">
        <v>110</v>
      </c>
      <c r="B141" s="495" t="s">
        <v>77</v>
      </c>
      <c r="C141" s="95">
        <f t="shared" si="87"/>
        <v>0</v>
      </c>
      <c r="D141" s="7" t="str">
        <f t="shared" ref="D141:H150" si="98">IF($C141=0,"NA",(SUMPRODUCT(D171,$C171)+SUMPRODUCT(D201,$C201)+SUMPRODUCT(D231,$C231))/$C141)</f>
        <v>NA</v>
      </c>
      <c r="E141" s="7" t="str">
        <f t="shared" si="98"/>
        <v>NA</v>
      </c>
      <c r="F141" s="7" t="str">
        <f t="shared" si="98"/>
        <v>NA</v>
      </c>
      <c r="G141" s="7" t="str">
        <f t="shared" si="98"/>
        <v>NA</v>
      </c>
      <c r="H141" s="96" t="str">
        <f t="shared" si="98"/>
        <v>NA</v>
      </c>
      <c r="I141" s="95">
        <f t="shared" si="89"/>
        <v>0</v>
      </c>
      <c r="J141" s="7" t="str">
        <f t="shared" ref="J141:N147" si="99">IF($I141=0,"NA",(SUMPRODUCT(J171,$I171)+SUMPRODUCT(J201,$I201)+SUMPRODUCT(J231,$I231))/$I141)</f>
        <v>NA</v>
      </c>
      <c r="K141" s="7" t="str">
        <f t="shared" si="99"/>
        <v>NA</v>
      </c>
      <c r="L141" s="7" t="str">
        <f t="shared" si="99"/>
        <v>NA</v>
      </c>
      <c r="M141" s="7" t="str">
        <f t="shared" si="99"/>
        <v>NA</v>
      </c>
      <c r="N141" s="96" t="str">
        <f t="shared" si="99"/>
        <v>NA</v>
      </c>
      <c r="O141" s="518">
        <f t="shared" si="97"/>
        <v>0</v>
      </c>
      <c r="P141" s="245" t="str">
        <f t="shared" si="91"/>
        <v>NA</v>
      </c>
      <c r="Q141" s="127" t="str">
        <f t="shared" si="92"/>
        <v>NA</v>
      </c>
      <c r="R141" s="127" t="str">
        <f t="shared" si="93"/>
        <v>NA</v>
      </c>
      <c r="S141" s="127" t="str">
        <f t="shared" si="94"/>
        <v>NA</v>
      </c>
      <c r="T141" s="127" t="str">
        <f t="shared" si="95"/>
        <v>NA</v>
      </c>
      <c r="U141" s="127" t="str">
        <f t="shared" si="96"/>
        <v>NA</v>
      </c>
    </row>
    <row r="142" spans="1:21" x14ac:dyDescent="0.25">
      <c r="A142" s="218">
        <v>111</v>
      </c>
      <c r="B142" s="566" t="s">
        <v>78</v>
      </c>
      <c r="C142" s="95">
        <f t="shared" si="87"/>
        <v>0</v>
      </c>
      <c r="D142" s="7" t="str">
        <f t="shared" si="98"/>
        <v>NA</v>
      </c>
      <c r="E142" s="7" t="str">
        <f t="shared" si="98"/>
        <v>NA</v>
      </c>
      <c r="F142" s="7" t="str">
        <f t="shared" si="98"/>
        <v>NA</v>
      </c>
      <c r="G142" s="7" t="str">
        <f t="shared" si="98"/>
        <v>NA</v>
      </c>
      <c r="H142" s="96" t="str">
        <f t="shared" si="98"/>
        <v>NA</v>
      </c>
      <c r="I142" s="95">
        <f t="shared" si="89"/>
        <v>0</v>
      </c>
      <c r="J142" s="7" t="str">
        <f t="shared" si="99"/>
        <v>NA</v>
      </c>
      <c r="K142" s="7" t="str">
        <f t="shared" si="99"/>
        <v>NA</v>
      </c>
      <c r="L142" s="7" t="str">
        <f t="shared" si="99"/>
        <v>NA</v>
      </c>
      <c r="M142" s="7" t="str">
        <f t="shared" si="99"/>
        <v>NA</v>
      </c>
      <c r="N142" s="96" t="str">
        <f t="shared" si="99"/>
        <v>NA</v>
      </c>
      <c r="O142" s="518">
        <f t="shared" si="97"/>
        <v>0</v>
      </c>
      <c r="P142" s="245" t="str">
        <f t="shared" si="91"/>
        <v>NA</v>
      </c>
      <c r="Q142" s="127" t="str">
        <f t="shared" si="92"/>
        <v>NA</v>
      </c>
      <c r="R142" s="127" t="str">
        <f t="shared" si="93"/>
        <v>NA</v>
      </c>
      <c r="S142" s="127" t="str">
        <f t="shared" si="94"/>
        <v>NA</v>
      </c>
      <c r="T142" s="127" t="str">
        <f t="shared" si="95"/>
        <v>NA</v>
      </c>
      <c r="U142" s="127" t="str">
        <f t="shared" si="96"/>
        <v>NA</v>
      </c>
    </row>
    <row r="143" spans="1:21" x14ac:dyDescent="0.25">
      <c r="A143" s="218">
        <v>112</v>
      </c>
      <c r="B143" s="566" t="s">
        <v>613</v>
      </c>
      <c r="C143" s="95">
        <f t="shared" si="87"/>
        <v>0</v>
      </c>
      <c r="D143" s="7" t="str">
        <f t="shared" si="98"/>
        <v>NA</v>
      </c>
      <c r="E143" s="7" t="str">
        <f t="shared" si="98"/>
        <v>NA</v>
      </c>
      <c r="F143" s="7" t="str">
        <f t="shared" si="98"/>
        <v>NA</v>
      </c>
      <c r="G143" s="7" t="str">
        <f t="shared" si="98"/>
        <v>NA</v>
      </c>
      <c r="H143" s="96" t="str">
        <f t="shared" si="98"/>
        <v>NA</v>
      </c>
      <c r="I143" s="95">
        <f t="shared" si="89"/>
        <v>0</v>
      </c>
      <c r="J143" s="7" t="str">
        <f t="shared" si="99"/>
        <v>NA</v>
      </c>
      <c r="K143" s="7" t="str">
        <f t="shared" si="99"/>
        <v>NA</v>
      </c>
      <c r="L143" s="7" t="str">
        <f t="shared" si="99"/>
        <v>NA</v>
      </c>
      <c r="M143" s="7" t="str">
        <f t="shared" si="99"/>
        <v>NA</v>
      </c>
      <c r="N143" s="96" t="str">
        <f t="shared" si="99"/>
        <v>NA</v>
      </c>
      <c r="O143" s="518">
        <f t="shared" si="97"/>
        <v>0</v>
      </c>
      <c r="P143" s="245" t="str">
        <f t="shared" si="91"/>
        <v>NA</v>
      </c>
      <c r="Q143" s="127" t="str">
        <f t="shared" si="92"/>
        <v>NA</v>
      </c>
      <c r="R143" s="127" t="str">
        <f t="shared" si="93"/>
        <v>NA</v>
      </c>
      <c r="S143" s="127" t="str">
        <f t="shared" si="94"/>
        <v>NA</v>
      </c>
      <c r="T143" s="127" t="str">
        <f t="shared" si="95"/>
        <v>NA</v>
      </c>
      <c r="U143" s="127" t="str">
        <f t="shared" si="96"/>
        <v>NA</v>
      </c>
    </row>
    <row r="144" spans="1:21" x14ac:dyDescent="0.25">
      <c r="A144" s="218">
        <v>115</v>
      </c>
      <c r="B144" s="566" t="s">
        <v>79</v>
      </c>
      <c r="C144" s="95">
        <f t="shared" si="87"/>
        <v>0</v>
      </c>
      <c r="D144" s="7" t="str">
        <f t="shared" si="98"/>
        <v>NA</v>
      </c>
      <c r="E144" s="7" t="str">
        <f t="shared" si="98"/>
        <v>NA</v>
      </c>
      <c r="F144" s="7" t="str">
        <f t="shared" si="98"/>
        <v>NA</v>
      </c>
      <c r="G144" s="7" t="str">
        <f t="shared" si="98"/>
        <v>NA</v>
      </c>
      <c r="H144" s="96" t="str">
        <f t="shared" si="98"/>
        <v>NA</v>
      </c>
      <c r="I144" s="95">
        <f t="shared" si="89"/>
        <v>0</v>
      </c>
      <c r="J144" s="7" t="str">
        <f t="shared" si="99"/>
        <v>NA</v>
      </c>
      <c r="K144" s="7" t="str">
        <f t="shared" si="99"/>
        <v>NA</v>
      </c>
      <c r="L144" s="7" t="str">
        <f t="shared" si="99"/>
        <v>NA</v>
      </c>
      <c r="M144" s="7" t="str">
        <f t="shared" si="99"/>
        <v>NA</v>
      </c>
      <c r="N144" s="96" t="str">
        <f t="shared" si="99"/>
        <v>NA</v>
      </c>
      <c r="O144" s="518">
        <f t="shared" si="97"/>
        <v>0</v>
      </c>
      <c r="P144" s="245" t="str">
        <f t="shared" si="91"/>
        <v>NA</v>
      </c>
      <c r="Q144" s="127" t="str">
        <f t="shared" si="92"/>
        <v>NA</v>
      </c>
      <c r="R144" s="127" t="str">
        <f t="shared" si="93"/>
        <v>NA</v>
      </c>
      <c r="S144" s="127" t="str">
        <f t="shared" si="94"/>
        <v>NA</v>
      </c>
      <c r="T144" s="127" t="str">
        <f t="shared" si="95"/>
        <v>NA</v>
      </c>
      <c r="U144" s="127" t="str">
        <f t="shared" si="96"/>
        <v>NA</v>
      </c>
    </row>
    <row r="145" spans="1:21" x14ac:dyDescent="0.25">
      <c r="A145" s="218">
        <v>116</v>
      </c>
      <c r="B145" s="566" t="s">
        <v>614</v>
      </c>
      <c r="C145" s="95">
        <f t="shared" si="87"/>
        <v>0</v>
      </c>
      <c r="D145" s="7" t="str">
        <f t="shared" si="98"/>
        <v>NA</v>
      </c>
      <c r="E145" s="7" t="str">
        <f t="shared" si="98"/>
        <v>NA</v>
      </c>
      <c r="F145" s="7" t="str">
        <f t="shared" si="98"/>
        <v>NA</v>
      </c>
      <c r="G145" s="7" t="str">
        <f t="shared" si="98"/>
        <v>NA</v>
      </c>
      <c r="H145" s="96" t="str">
        <f t="shared" si="98"/>
        <v>NA</v>
      </c>
      <c r="I145" s="95">
        <f t="shared" si="89"/>
        <v>0</v>
      </c>
      <c r="J145" s="7" t="str">
        <f t="shared" si="99"/>
        <v>NA</v>
      </c>
      <c r="K145" s="7" t="str">
        <f t="shared" si="99"/>
        <v>NA</v>
      </c>
      <c r="L145" s="7" t="str">
        <f t="shared" si="99"/>
        <v>NA</v>
      </c>
      <c r="M145" s="7" t="str">
        <f t="shared" si="99"/>
        <v>NA</v>
      </c>
      <c r="N145" s="96" t="str">
        <f t="shared" si="99"/>
        <v>NA</v>
      </c>
      <c r="O145" s="518">
        <f t="shared" si="97"/>
        <v>0</v>
      </c>
      <c r="P145" s="245" t="str">
        <f t="shared" si="91"/>
        <v>NA</v>
      </c>
      <c r="Q145" s="127" t="str">
        <f t="shared" si="92"/>
        <v>NA</v>
      </c>
      <c r="R145" s="127" t="str">
        <f t="shared" si="93"/>
        <v>NA</v>
      </c>
      <c r="S145" s="127" t="str">
        <f t="shared" si="94"/>
        <v>NA</v>
      </c>
      <c r="T145" s="127" t="str">
        <f t="shared" si="95"/>
        <v>NA</v>
      </c>
      <c r="U145" s="127" t="str">
        <f t="shared" si="96"/>
        <v>NA</v>
      </c>
    </row>
    <row r="146" spans="1:21" x14ac:dyDescent="0.25">
      <c r="A146" s="218">
        <v>118</v>
      </c>
      <c r="B146" s="566" t="s">
        <v>80</v>
      </c>
      <c r="C146" s="95">
        <f t="shared" si="87"/>
        <v>0</v>
      </c>
      <c r="D146" s="7" t="str">
        <f t="shared" si="98"/>
        <v>NA</v>
      </c>
      <c r="E146" s="7" t="str">
        <f t="shared" si="98"/>
        <v>NA</v>
      </c>
      <c r="F146" s="7" t="str">
        <f t="shared" si="98"/>
        <v>NA</v>
      </c>
      <c r="G146" s="7" t="str">
        <f t="shared" si="98"/>
        <v>NA</v>
      </c>
      <c r="H146" s="96" t="str">
        <f t="shared" si="98"/>
        <v>NA</v>
      </c>
      <c r="I146" s="95">
        <f t="shared" si="89"/>
        <v>0</v>
      </c>
      <c r="J146" s="7" t="str">
        <f t="shared" si="99"/>
        <v>NA</v>
      </c>
      <c r="K146" s="7" t="str">
        <f t="shared" si="99"/>
        <v>NA</v>
      </c>
      <c r="L146" s="7" t="str">
        <f t="shared" si="99"/>
        <v>NA</v>
      </c>
      <c r="M146" s="7" t="str">
        <f t="shared" si="99"/>
        <v>NA</v>
      </c>
      <c r="N146" s="96" t="str">
        <f t="shared" si="99"/>
        <v>NA</v>
      </c>
      <c r="O146" s="518">
        <f t="shared" si="97"/>
        <v>0</v>
      </c>
      <c r="P146" s="245" t="str">
        <f t="shared" si="91"/>
        <v>NA</v>
      </c>
      <c r="Q146" s="127" t="str">
        <f t="shared" si="92"/>
        <v>NA</v>
      </c>
      <c r="R146" s="127" t="str">
        <f t="shared" si="93"/>
        <v>NA</v>
      </c>
      <c r="S146" s="127" t="str">
        <f t="shared" si="94"/>
        <v>NA</v>
      </c>
      <c r="T146" s="127" t="str">
        <f t="shared" si="95"/>
        <v>NA</v>
      </c>
      <c r="U146" s="127" t="str">
        <f t="shared" si="96"/>
        <v>NA</v>
      </c>
    </row>
    <row r="147" spans="1:21" x14ac:dyDescent="0.25">
      <c r="A147" s="218">
        <v>119</v>
      </c>
      <c r="B147" s="566" t="s">
        <v>615</v>
      </c>
      <c r="C147" s="95">
        <f t="shared" si="87"/>
        <v>0</v>
      </c>
      <c r="D147" s="7" t="str">
        <f t="shared" si="98"/>
        <v>NA</v>
      </c>
      <c r="E147" s="7" t="str">
        <f t="shared" si="98"/>
        <v>NA</v>
      </c>
      <c r="F147" s="7" t="str">
        <f t="shared" si="98"/>
        <v>NA</v>
      </c>
      <c r="G147" s="7" t="str">
        <f t="shared" si="98"/>
        <v>NA</v>
      </c>
      <c r="H147" s="96" t="str">
        <f t="shared" si="98"/>
        <v>NA</v>
      </c>
      <c r="I147" s="95">
        <f t="shared" si="89"/>
        <v>0</v>
      </c>
      <c r="J147" s="7" t="str">
        <f t="shared" si="99"/>
        <v>NA</v>
      </c>
      <c r="K147" s="7" t="str">
        <f t="shared" si="99"/>
        <v>NA</v>
      </c>
      <c r="L147" s="7" t="str">
        <f t="shared" si="99"/>
        <v>NA</v>
      </c>
      <c r="M147" s="7" t="str">
        <f t="shared" si="99"/>
        <v>NA</v>
      </c>
      <c r="N147" s="96" t="str">
        <f t="shared" si="99"/>
        <v>NA</v>
      </c>
      <c r="O147" s="518">
        <f t="shared" si="97"/>
        <v>0</v>
      </c>
      <c r="P147" s="245" t="str">
        <f t="shared" ref="P147:P150" si="100">IFERROR((I147/C147-1),"NA")</f>
        <v>NA</v>
      </c>
      <c r="Q147" s="127" t="str">
        <f t="shared" ref="Q147:Q150" si="101">IFERROR((J147/D147-1),"NA")</f>
        <v>NA</v>
      </c>
      <c r="R147" s="127" t="str">
        <f t="shared" ref="R147:R150" si="102">IFERROR((K147/E147-1),"NA")</f>
        <v>NA</v>
      </c>
      <c r="S147" s="127" t="str">
        <f t="shared" ref="S147:S150" si="103">IFERROR((L147/F147-1),"NA")</f>
        <v>NA</v>
      </c>
      <c r="T147" s="127" t="str">
        <f t="shared" ref="T147:T150" si="104">IFERROR((M147/G147-1),"NA")</f>
        <v>NA</v>
      </c>
      <c r="U147" s="127" t="str">
        <f t="shared" ref="U147:U150" si="105">IFERROR((N147/H147-1),"NA")</f>
        <v>NA</v>
      </c>
    </row>
    <row r="148" spans="1:21" x14ac:dyDescent="0.25">
      <c r="A148" s="218">
        <v>120</v>
      </c>
      <c r="B148" s="566" t="s">
        <v>608</v>
      </c>
      <c r="C148" s="95">
        <f t="shared" si="87"/>
        <v>0</v>
      </c>
      <c r="D148" s="7" t="str">
        <f t="shared" si="98"/>
        <v>NA</v>
      </c>
      <c r="E148" s="7" t="str">
        <f t="shared" si="98"/>
        <v>NA</v>
      </c>
      <c r="F148" s="7" t="str">
        <f t="shared" si="98"/>
        <v>NA</v>
      </c>
      <c r="G148" s="7" t="str">
        <f t="shared" si="98"/>
        <v>NA</v>
      </c>
      <c r="H148" s="96" t="str">
        <f t="shared" si="98"/>
        <v>NA</v>
      </c>
      <c r="I148" s="95">
        <f t="shared" si="89"/>
        <v>0</v>
      </c>
      <c r="J148" s="7" t="str">
        <f>IF($I148=0,"NA",(SUMPRODUCT(J178,$I178)+SUMPRODUCT(J208,$I208)+SUMPRODUCT(J238,$I238))/$I148)</f>
        <v>NA</v>
      </c>
      <c r="K148" s="7" t="str">
        <f>IF($I148=0,"NA",(SUMPRODUCT(K178,$I178)+SUMPRODUCT(K208,$I208)+SUMPRODUCT(K238,$CI38))/$I148)</f>
        <v>NA</v>
      </c>
      <c r="L148" s="7" t="str">
        <f t="shared" ref="L148:N151" si="106">IF($I148=0,"NA",(SUMPRODUCT(L178,$I178)+SUMPRODUCT(L208,$I208)+SUMPRODUCT(L238,$I238))/$I148)</f>
        <v>NA</v>
      </c>
      <c r="M148" s="7" t="str">
        <f t="shared" si="106"/>
        <v>NA</v>
      </c>
      <c r="N148" s="96" t="str">
        <f t="shared" si="106"/>
        <v>NA</v>
      </c>
      <c r="O148" s="518">
        <f t="shared" si="97"/>
        <v>0</v>
      </c>
      <c r="P148" s="245" t="str">
        <f t="shared" si="100"/>
        <v>NA</v>
      </c>
      <c r="Q148" s="127" t="str">
        <f t="shared" si="101"/>
        <v>NA</v>
      </c>
      <c r="R148" s="127" t="str">
        <f t="shared" si="102"/>
        <v>NA</v>
      </c>
      <c r="S148" s="127" t="str">
        <f t="shared" si="103"/>
        <v>NA</v>
      </c>
      <c r="T148" s="127" t="str">
        <f t="shared" si="104"/>
        <v>NA</v>
      </c>
      <c r="U148" s="127" t="str">
        <f t="shared" si="105"/>
        <v>NA</v>
      </c>
    </row>
    <row r="149" spans="1:21" ht="30" x14ac:dyDescent="0.25">
      <c r="A149" s="218">
        <v>121</v>
      </c>
      <c r="B149" s="495" t="s">
        <v>616</v>
      </c>
      <c r="C149" s="95">
        <f t="shared" si="87"/>
        <v>0</v>
      </c>
      <c r="D149" s="7" t="str">
        <f t="shared" si="98"/>
        <v>NA</v>
      </c>
      <c r="E149" s="7" t="str">
        <f t="shared" si="98"/>
        <v>NA</v>
      </c>
      <c r="F149" s="7" t="str">
        <f t="shared" si="98"/>
        <v>NA</v>
      </c>
      <c r="G149" s="7" t="str">
        <f t="shared" si="98"/>
        <v>NA</v>
      </c>
      <c r="H149" s="96" t="str">
        <f t="shared" si="98"/>
        <v>NA</v>
      </c>
      <c r="I149" s="95">
        <f t="shared" si="89"/>
        <v>0</v>
      </c>
      <c r="J149" s="7" t="str">
        <f>IF($I149=0,"NA",(SUMPRODUCT(J179,$I179)+SUMPRODUCT(J209,$I209)+SUMPRODUCT(J239,$I239))/$I149)</f>
        <v>NA</v>
      </c>
      <c r="K149" s="7" t="str">
        <f>IF($I149=0,"NA",(SUMPRODUCT(K179,$I179)+SUMPRODUCT(K209,$I209)+SUMPRODUCT(K239,$CI39))/$I149)</f>
        <v>NA</v>
      </c>
      <c r="L149" s="7" t="str">
        <f t="shared" si="106"/>
        <v>NA</v>
      </c>
      <c r="M149" s="7" t="str">
        <f t="shared" si="106"/>
        <v>NA</v>
      </c>
      <c r="N149" s="96" t="str">
        <f t="shared" si="106"/>
        <v>NA</v>
      </c>
      <c r="O149" s="518">
        <f t="shared" ref="O149" si="107">ABS(C149-I149)</f>
        <v>0</v>
      </c>
      <c r="P149" s="245" t="str">
        <f t="shared" ref="P149" si="108">IFERROR((I149/C149-1),"NA")</f>
        <v>NA</v>
      </c>
      <c r="Q149" s="127" t="str">
        <f t="shared" ref="Q149" si="109">IFERROR((J149/D149-1),"NA")</f>
        <v>NA</v>
      </c>
      <c r="R149" s="127" t="str">
        <f t="shared" ref="R149" si="110">IFERROR((K149/E149-1),"NA")</f>
        <v>NA</v>
      </c>
      <c r="S149" s="127" t="str">
        <f t="shared" ref="S149" si="111">IFERROR((L149/F149-1),"NA")</f>
        <v>NA</v>
      </c>
      <c r="T149" s="127" t="str">
        <f t="shared" ref="T149" si="112">IFERROR((M149/G149-1),"NA")</f>
        <v>NA</v>
      </c>
      <c r="U149" s="127" t="str">
        <f t="shared" ref="U149" si="113">IFERROR((N149/H149-1),"NA")</f>
        <v>NA</v>
      </c>
    </row>
    <row r="150" spans="1:21" x14ac:dyDescent="0.25">
      <c r="A150" s="218">
        <v>122</v>
      </c>
      <c r="B150" s="566" t="s">
        <v>617</v>
      </c>
      <c r="C150" s="95">
        <f t="shared" si="87"/>
        <v>0</v>
      </c>
      <c r="D150" s="7" t="str">
        <f t="shared" si="98"/>
        <v>NA</v>
      </c>
      <c r="E150" s="7" t="str">
        <f t="shared" si="98"/>
        <v>NA</v>
      </c>
      <c r="F150" s="7" t="str">
        <f t="shared" si="98"/>
        <v>NA</v>
      </c>
      <c r="G150" s="7" t="str">
        <f t="shared" si="98"/>
        <v>NA</v>
      </c>
      <c r="H150" s="96" t="str">
        <f t="shared" si="98"/>
        <v>NA</v>
      </c>
      <c r="I150" s="95">
        <f t="shared" si="89"/>
        <v>0</v>
      </c>
      <c r="J150" s="7" t="str">
        <f>IF($I150=0,"NA",(SUMPRODUCT(J180,$I180)+SUMPRODUCT(J210,$I210)+SUMPRODUCT(J240,$I240))/$I150)</f>
        <v>NA</v>
      </c>
      <c r="K150" s="7" t="str">
        <f>IF($I150=0,"NA",(SUMPRODUCT(K180,$I180)+SUMPRODUCT(K210,$I210)+SUMPRODUCT(K240,$I240))/$I150)</f>
        <v>NA</v>
      </c>
      <c r="L150" s="7" t="str">
        <f t="shared" si="106"/>
        <v>NA</v>
      </c>
      <c r="M150" s="7" t="str">
        <f t="shared" si="106"/>
        <v>NA</v>
      </c>
      <c r="N150" s="96" t="str">
        <f t="shared" si="106"/>
        <v>NA</v>
      </c>
      <c r="O150" s="518">
        <f t="shared" si="97"/>
        <v>0</v>
      </c>
      <c r="P150" s="245" t="str">
        <f t="shared" si="100"/>
        <v>NA</v>
      </c>
      <c r="Q150" s="127" t="str">
        <f t="shared" si="101"/>
        <v>NA</v>
      </c>
      <c r="R150" s="127" t="str">
        <f t="shared" si="102"/>
        <v>NA</v>
      </c>
      <c r="S150" s="127" t="str">
        <f t="shared" si="103"/>
        <v>NA</v>
      </c>
      <c r="T150" s="127" t="str">
        <f t="shared" si="104"/>
        <v>NA</v>
      </c>
      <c r="U150" s="127" t="str">
        <f t="shared" si="105"/>
        <v>NA</v>
      </c>
    </row>
    <row r="151" spans="1:21" x14ac:dyDescent="0.25">
      <c r="A151" s="218">
        <v>999</v>
      </c>
      <c r="B151" s="495" t="s">
        <v>81</v>
      </c>
      <c r="C151" s="95">
        <f t="shared" si="87"/>
        <v>0</v>
      </c>
      <c r="D151" s="7" t="str">
        <f t="shared" ref="D151:H151" si="114">IF($C151=0,"NA",(SUMPRODUCT(D181,$C181)+SUMPRODUCT(D211,$C211)+SUMPRODUCT(D241,$C241))/$C151)</f>
        <v>NA</v>
      </c>
      <c r="E151" s="7" t="str">
        <f t="shared" si="114"/>
        <v>NA</v>
      </c>
      <c r="F151" s="7" t="str">
        <f t="shared" si="114"/>
        <v>NA</v>
      </c>
      <c r="G151" s="7" t="str">
        <f t="shared" si="114"/>
        <v>NA</v>
      </c>
      <c r="H151" s="96" t="str">
        <f t="shared" si="114"/>
        <v>NA</v>
      </c>
      <c r="I151" s="95">
        <f t="shared" si="89"/>
        <v>0</v>
      </c>
      <c r="J151" s="7" t="str">
        <f>IF($I151=0,"NA",(SUMPRODUCT(J181,$I181)+SUMPRODUCT(J211,$I211)+SUMPRODUCT(J241,$I241))/$I151)</f>
        <v>NA</v>
      </c>
      <c r="K151" s="7" t="str">
        <f>IF($I151=0,"NA",(SUMPRODUCT(K181,$I181)+SUMPRODUCT(K211,$I211)+SUMPRODUCT(K241,$I241))/$I151)</f>
        <v>NA</v>
      </c>
      <c r="L151" s="7" t="str">
        <f t="shared" si="106"/>
        <v>NA</v>
      </c>
      <c r="M151" s="7" t="str">
        <f t="shared" si="106"/>
        <v>NA</v>
      </c>
      <c r="N151" s="96" t="str">
        <f t="shared" si="106"/>
        <v>NA</v>
      </c>
      <c r="O151" s="518">
        <f t="shared" si="97"/>
        <v>0</v>
      </c>
      <c r="P151" s="245" t="str">
        <f t="shared" si="91"/>
        <v>NA</v>
      </c>
      <c r="Q151" s="127" t="str">
        <f t="shared" si="92"/>
        <v>NA</v>
      </c>
      <c r="R151" s="127" t="str">
        <f t="shared" si="93"/>
        <v>NA</v>
      </c>
      <c r="S151" s="127" t="str">
        <f t="shared" si="94"/>
        <v>NA</v>
      </c>
      <c r="T151" s="127" t="str">
        <f t="shared" si="95"/>
        <v>NA</v>
      </c>
      <c r="U151" s="127" t="str">
        <f t="shared" si="96"/>
        <v>NA</v>
      </c>
    </row>
    <row r="152" spans="1:21" ht="30" customHeight="1" x14ac:dyDescent="0.25">
      <c r="A152" s="707" t="s">
        <v>567</v>
      </c>
      <c r="B152" s="708"/>
      <c r="C152" s="165">
        <f>SUM(C132:C151)</f>
        <v>0</v>
      </c>
      <c r="D152" s="131" t="str">
        <f>IFERROR((SUMPRODUCT(D132:D151,C132:C151)/C152),"NA")</f>
        <v>NA</v>
      </c>
      <c r="E152" s="131" t="str">
        <f>IFERROR((SUMPRODUCT(E132:E151,C132:C151)/C152),"NA")</f>
        <v>NA</v>
      </c>
      <c r="F152" s="131" t="str">
        <f>IFERROR((SUMPRODUCT(F132:F151,C132:C151)/C152),"NA")</f>
        <v>NA</v>
      </c>
      <c r="G152" s="131" t="str">
        <f>IFERROR((SUMPRODUCT(G132:G151,C132:C151)/C152),"NA")</f>
        <v>NA</v>
      </c>
      <c r="H152" s="131" t="str">
        <f>IFERROR((SUMPRODUCT(H132:H151,C132:C151)/C152),"NA")</f>
        <v>NA</v>
      </c>
      <c r="I152" s="165">
        <f>SUM(I132:I151)</f>
        <v>0</v>
      </c>
      <c r="J152" s="131" t="str">
        <f>IFERROR((SUMPRODUCT(J132:J151,I132:I151)/I152),"NA")</f>
        <v>NA</v>
      </c>
      <c r="K152" s="131" t="str">
        <f>IFERROR((SUMPRODUCT(K132:K151,I132:I151)/I152),"NA")</f>
        <v>NA</v>
      </c>
      <c r="L152" s="131" t="str">
        <f>IFERROR((SUMPRODUCT(L132:L151,I132:I151)/I152),"NA")</f>
        <v>NA</v>
      </c>
      <c r="M152" s="131" t="str">
        <f>IFERROR((SUMPRODUCT(M132:M151,I132:I151)/I152),"NA")</f>
        <v>NA</v>
      </c>
      <c r="N152" s="206" t="str">
        <f>IFERROR((SUMPRODUCT(N132:N151,I132:I151)/I152),"NA")</f>
        <v>NA</v>
      </c>
      <c r="O152" s="544" t="s">
        <v>500</v>
      </c>
      <c r="P152" s="435" t="s">
        <v>500</v>
      </c>
      <c r="Q152" s="433" t="s">
        <v>500</v>
      </c>
      <c r="R152" s="433" t="s">
        <v>500</v>
      </c>
      <c r="S152" s="433" t="s">
        <v>500</v>
      </c>
      <c r="T152" s="433" t="s">
        <v>500</v>
      </c>
      <c r="U152" s="433" t="s">
        <v>500</v>
      </c>
    </row>
    <row r="153" spans="1:21" x14ac:dyDescent="0.25">
      <c r="A153" s="709" t="s">
        <v>563</v>
      </c>
      <c r="B153" s="710"/>
      <c r="C153" s="549" t="s">
        <v>500</v>
      </c>
      <c r="D153" s="550" t="str">
        <f>IF($C$152=0,"NA",(SUMPRODUCT(D183,$C$182)+SUMPRODUCT(D213,$C$212)+SUMPRODUCT(D243,$C$242))/$C$152)</f>
        <v>NA</v>
      </c>
      <c r="E153" s="550" t="str">
        <f>IF($C$152=0,"NA",(SUMPRODUCT(E183,$C$182)+SUMPRODUCT(E213,$C$212)+SUMPRODUCT(E243,$C$242))/$C$152)</f>
        <v>NA</v>
      </c>
      <c r="F153" s="550" t="str">
        <f>IF($C$152=0,"NA",(SUMPRODUCT(F183,$C$182)+SUMPRODUCT(F213,$C$212)+SUMPRODUCT(F243,$C$242))/$C$152)</f>
        <v>NA</v>
      </c>
      <c r="G153" s="550" t="str">
        <f>IF($C$152=0,"NA",(SUMPRODUCT(G183,$C$182)+SUMPRODUCT(G213,$C$212)+SUMPRODUCT(G243,$C$242))/$C$152)</f>
        <v>NA</v>
      </c>
      <c r="H153" s="550" t="str">
        <f>IF($C$152=0,"NA",(SUMPRODUCT(H183,$C$182)+SUMPRODUCT(H213,$C$212)+SUMPRODUCT(H243,$C$242))/$C$152)</f>
        <v>NA</v>
      </c>
      <c r="I153" s="549" t="s">
        <v>500</v>
      </c>
      <c r="J153" s="550" t="str">
        <f>IF($I$152=0,"NA",(SUMPRODUCT(J183,$I$182)+SUMPRODUCT(J213,$I$212)+SUMPRODUCT(J243,$I$242))/$I$152)</f>
        <v>NA</v>
      </c>
      <c r="K153" s="550" t="str">
        <f>IF($I$152=0,"NA",(SUMPRODUCT(K183,$I$182)+SUMPRODUCT(K213,$I$212)+SUMPRODUCT(K243,$I$242))/$I$152)</f>
        <v>NA</v>
      </c>
      <c r="L153" s="550" t="str">
        <f>IF($I$152=0,"NA",(SUMPRODUCT(L183,$I$182)+SUMPRODUCT(L213,$I$212)+SUMPRODUCT(L243,$I$242))/$I$152)</f>
        <v>NA</v>
      </c>
      <c r="M153" s="550" t="str">
        <f>IF($I$152=0,"NA",(SUMPRODUCT(M183,$I$182)+SUMPRODUCT(M213,$I$212)+SUMPRODUCT(M243,$I$242))/$I$152)</f>
        <v>NA</v>
      </c>
      <c r="N153" s="551" t="str">
        <f>IF($I$152=0,"NA",(SUMPRODUCT(N183,$I$182)+SUMPRODUCT(N213,$I$212)+SUMPRODUCT(N243,$I$242))/$I$152)</f>
        <v>NA</v>
      </c>
      <c r="O153" s="552" t="s">
        <v>500</v>
      </c>
      <c r="P153" s="553" t="s">
        <v>500</v>
      </c>
      <c r="Q153" s="554" t="s">
        <v>500</v>
      </c>
      <c r="R153" s="554" t="s">
        <v>500</v>
      </c>
      <c r="S153" s="554" t="s">
        <v>500</v>
      </c>
      <c r="T153" s="554" t="s">
        <v>500</v>
      </c>
      <c r="U153" s="554" t="s">
        <v>500</v>
      </c>
    </row>
    <row r="154" spans="1:21" x14ac:dyDescent="0.25">
      <c r="A154" s="717" t="s">
        <v>564</v>
      </c>
      <c r="B154" s="718"/>
      <c r="C154" s="181">
        <f>ABS(C152-C131)</f>
        <v>0</v>
      </c>
      <c r="D154" s="181" t="e">
        <f>ABS(D152-D131)</f>
        <v>#VALUE!</v>
      </c>
      <c r="E154" s="181" t="e">
        <f>ABS(E152-E131)</f>
        <v>#VALUE!</v>
      </c>
      <c r="F154" s="181" t="e">
        <f>ABS(F152-F131)</f>
        <v>#VALUE!</v>
      </c>
      <c r="G154" s="181" t="s">
        <v>500</v>
      </c>
      <c r="H154" s="233" t="s">
        <v>500</v>
      </c>
      <c r="I154" s="182">
        <f>ABS(I152-I131)</f>
        <v>0</v>
      </c>
      <c r="J154" s="181" t="e">
        <f>ABS(J152-J131)</f>
        <v>#VALUE!</v>
      </c>
      <c r="K154" s="181" t="e">
        <f>ABS(K152-K131)</f>
        <v>#VALUE!</v>
      </c>
      <c r="L154" s="181" t="e">
        <f>ABS(L152-L131)</f>
        <v>#VALUE!</v>
      </c>
      <c r="M154" s="181" t="s">
        <v>500</v>
      </c>
      <c r="N154" s="233" t="s">
        <v>500</v>
      </c>
      <c r="O154" s="545" t="s">
        <v>500</v>
      </c>
      <c r="P154" s="546" t="s">
        <v>500</v>
      </c>
      <c r="Q154" s="548" t="s">
        <v>500</v>
      </c>
      <c r="R154" s="548" t="s">
        <v>500</v>
      </c>
      <c r="S154" s="548" t="s">
        <v>500</v>
      </c>
      <c r="T154" s="548" t="s">
        <v>500</v>
      </c>
      <c r="U154" s="548" t="s">
        <v>500</v>
      </c>
    </row>
    <row r="155" spans="1:21" x14ac:dyDescent="0.25">
      <c r="A155" s="715" t="s">
        <v>565</v>
      </c>
      <c r="B155" s="716"/>
      <c r="C155" s="261" t="str">
        <f>IF(((ABS(C131-C152))&lt;10),"Yes","No")</f>
        <v>Yes</v>
      </c>
      <c r="D155" s="181" t="e">
        <f>IF(((ABS(D131-D152))&lt;10),"Yes","No")</f>
        <v>#VALUE!</v>
      </c>
      <c r="E155" s="181" t="e">
        <f>IF(((ABS(E131-E152))&lt;10),"Yes","No")</f>
        <v>#VALUE!</v>
      </c>
      <c r="F155" s="181" t="e">
        <f>IF(((ABS(F131-F152))&lt;10),"Yes","No")</f>
        <v>#VALUE!</v>
      </c>
      <c r="G155" s="181" t="s">
        <v>500</v>
      </c>
      <c r="H155" s="233" t="s">
        <v>500</v>
      </c>
      <c r="I155" s="259" t="str">
        <f>IF(((ABS(I131-I152))&lt;10),"Yes","No")</f>
        <v>Yes</v>
      </c>
      <c r="J155" s="181" t="e">
        <f>IF(((ABS(J131-J152))&lt;10),"Yes","No")</f>
        <v>#VALUE!</v>
      </c>
      <c r="K155" s="181" t="e">
        <f>IF(((ABS(K131-K152))&lt;10),"Yes","No")</f>
        <v>#VALUE!</v>
      </c>
      <c r="L155" s="181" t="e">
        <f>IF(((ABS(L131-L152))&lt;10),"Yes","No")</f>
        <v>#VALUE!</v>
      </c>
      <c r="M155" s="181" t="s">
        <v>500</v>
      </c>
      <c r="N155" s="233" t="s">
        <v>500</v>
      </c>
      <c r="O155" s="545" t="s">
        <v>500</v>
      </c>
      <c r="P155" s="546" t="s">
        <v>500</v>
      </c>
      <c r="Q155" s="548" t="s">
        <v>500</v>
      </c>
      <c r="R155" s="548" t="s">
        <v>500</v>
      </c>
      <c r="S155" s="548" t="s">
        <v>500</v>
      </c>
      <c r="T155" s="548" t="s">
        <v>500</v>
      </c>
      <c r="U155" s="548" t="s">
        <v>500</v>
      </c>
    </row>
    <row r="156" spans="1:21" x14ac:dyDescent="0.25">
      <c r="A156"/>
      <c r="B156"/>
      <c r="C156"/>
      <c r="D156"/>
      <c r="E156"/>
      <c r="F156"/>
      <c r="G156"/>
      <c r="H156"/>
      <c r="I156"/>
      <c r="J156"/>
      <c r="K156"/>
      <c r="L156"/>
      <c r="M156"/>
      <c r="N156"/>
      <c r="O156"/>
      <c r="P156"/>
      <c r="Q156"/>
      <c r="R156"/>
      <c r="S156"/>
      <c r="T156"/>
      <c r="U156"/>
    </row>
    <row r="157" spans="1:21" x14ac:dyDescent="0.25">
      <c r="A157"/>
      <c r="B157"/>
      <c r="C157"/>
      <c r="D157"/>
      <c r="E157"/>
      <c r="F157"/>
      <c r="G157"/>
      <c r="H157"/>
      <c r="I157"/>
      <c r="J157"/>
      <c r="K157"/>
      <c r="L157"/>
      <c r="M157"/>
      <c r="N157"/>
      <c r="O157"/>
      <c r="P157"/>
      <c r="Q157"/>
      <c r="R157"/>
      <c r="S157"/>
      <c r="T157"/>
      <c r="U157"/>
    </row>
    <row r="158" spans="1:21" x14ac:dyDescent="0.25">
      <c r="A158" s="3" t="s">
        <v>571</v>
      </c>
      <c r="B158"/>
      <c r="C158"/>
      <c r="D158"/>
      <c r="E158"/>
      <c r="F158"/>
      <c r="G158"/>
      <c r="H158"/>
      <c r="I158"/>
      <c r="J158"/>
      <c r="K158"/>
      <c r="L158"/>
      <c r="M158"/>
      <c r="N158"/>
      <c r="O158"/>
      <c r="P158"/>
      <c r="Q158"/>
      <c r="R158"/>
      <c r="S158"/>
      <c r="T158"/>
      <c r="U158"/>
    </row>
    <row r="159" spans="1:21" x14ac:dyDescent="0.25">
      <c r="A159" s="723" t="s">
        <v>71</v>
      </c>
      <c r="B159" s="725" t="s">
        <v>547</v>
      </c>
      <c r="C159" s="697">
        <v>2021</v>
      </c>
      <c r="D159" s="698"/>
      <c r="E159" s="698"/>
      <c r="F159" s="698"/>
      <c r="G159" s="698"/>
      <c r="H159" s="699"/>
      <c r="I159" s="700">
        <v>2022</v>
      </c>
      <c r="J159" s="701"/>
      <c r="K159" s="701"/>
      <c r="L159" s="701"/>
      <c r="M159" s="701"/>
      <c r="N159" s="702"/>
      <c r="O159" s="498"/>
      <c r="P159" s="703" t="s">
        <v>548</v>
      </c>
      <c r="Q159" s="704"/>
      <c r="R159" s="704"/>
      <c r="S159" s="704"/>
      <c r="T159" s="704"/>
      <c r="U159" s="705"/>
    </row>
    <row r="160" spans="1:21" ht="45" x14ac:dyDescent="0.25">
      <c r="A160" s="724"/>
      <c r="B160" s="726"/>
      <c r="C160" s="215" t="s">
        <v>352</v>
      </c>
      <c r="D160" s="124" t="s">
        <v>550</v>
      </c>
      <c r="E160" s="124" t="s">
        <v>551</v>
      </c>
      <c r="F160" s="124" t="s">
        <v>552</v>
      </c>
      <c r="G160" s="124" t="s">
        <v>553</v>
      </c>
      <c r="H160" s="216" t="s">
        <v>554</v>
      </c>
      <c r="I160" s="211" t="s">
        <v>352</v>
      </c>
      <c r="J160" s="125" t="s">
        <v>550</v>
      </c>
      <c r="K160" s="125" t="s">
        <v>551</v>
      </c>
      <c r="L160" s="125" t="s">
        <v>552</v>
      </c>
      <c r="M160" s="125" t="s">
        <v>553</v>
      </c>
      <c r="N160" s="212" t="s">
        <v>554</v>
      </c>
      <c r="O160" s="513" t="s">
        <v>555</v>
      </c>
      <c r="P160" s="242" t="s">
        <v>556</v>
      </c>
      <c r="Q160" s="77" t="s">
        <v>557</v>
      </c>
      <c r="R160" s="77" t="s">
        <v>558</v>
      </c>
      <c r="S160" s="77" t="s">
        <v>559</v>
      </c>
      <c r="T160" s="77" t="s">
        <v>560</v>
      </c>
      <c r="U160" s="217" t="s">
        <v>561</v>
      </c>
    </row>
    <row r="161" spans="1:21" x14ac:dyDescent="0.25">
      <c r="A161" s="219">
        <v>100</v>
      </c>
      <c r="B161" s="495" t="s">
        <v>72</v>
      </c>
      <c r="C161" s="213">
        <f>SUMIFS(TM[[#All],[Member Months]],TM[[#All],[Reporting Year]],2021,TM[[#All],[Insurance Category Code]],1,TM[[#All],[Large Provider Entity Code]],A161)</f>
        <v>0</v>
      </c>
      <c r="D161" s="126" t="str">
        <f>IFERROR(SUMIFS(TM[[#All],[Total Non-Truncated Claims Spending]],TM[[#All],[Reporting Year]],2021,TM[[#All],[Insurance Category Code]],1,TM[[#All],[Large Provider Entity Code]],A161)/C161,"NA")</f>
        <v>NA</v>
      </c>
      <c r="E161" s="126" t="str">
        <f>IFERROR(SUMIFS(TM[[#All],[Total Non-Claims Spending]],TM[[#All],[Reporting Year]],2021,TM[[#All],[Insurance Category Code]],1,TM[[#All],[Large Provider Entity Code]],A161)/C161,"NA")</f>
        <v>NA</v>
      </c>
      <c r="F161" s="126" t="str">
        <f>IFERROR(SUMIFS(TM[[#All],[Total Non-Truncated Claims and Non-Claims Spending]],TM[[#All],[Reporting Year]],2021,TM[[#All],[Insurance Category Code]],1,TM[[#All],[Large Provider Entity Code]],A161)/C161,"NA")</f>
        <v>NA</v>
      </c>
      <c r="G161" s="126" t="str">
        <f>IFERROR(SUMIFS(TM[[#All],[Total Truncated Claims Spending]],TM[[#All],[Reporting Year]],2021,TM[[#All],[Insurance Category Code]],1,TM[[#All],[Large Provider Entity Code]],A161)/C161,"NA")</f>
        <v>NA</v>
      </c>
      <c r="H161" s="214" t="str">
        <f>IFERROR(SUMIFS(TM[[#All],[Total Truncated Expenses]],TM[[#All],[Reporting Year]],2021,TM[[#All],[Insurance Category Code]],1,TM[[#All],[Large Provider Entity Code]],A161)/C161,"NA")</f>
        <v>NA</v>
      </c>
      <c r="I161" s="213">
        <f>SUMIFS(TM[[#All],[Member Months]],TM[[#All],[Reporting Year]],2022,TM[[#All],[Insurance Category Code]],1,TM[[#All],[Large Provider Entity Code]],A161)</f>
        <v>0</v>
      </c>
      <c r="J161" s="126" t="str">
        <f>IFERROR(SUMIFS(TM[[#All],[Total Non-Truncated Claims Spending]],TM[[#All],[Reporting Year]],2022,TM[[#All],[Insurance Category Code]],1,TM[[#All],[Large Provider Entity Code]],A161)/I161,"NA")</f>
        <v>NA</v>
      </c>
      <c r="K161" s="126" t="str">
        <f>IFERROR(SUMIFS(TM[[#All],[Total Non-Claims Spending]],TM[[#All],[Reporting Year]],2022,TM[[#All],[Insurance Category Code]],1,TM[[#All],[Large Provider Entity Code]],A161)/I161,"NA")</f>
        <v>NA</v>
      </c>
      <c r="L161" s="126" t="str">
        <f>IFERROR(SUMIFS(TM[[#All],[Total Non-Truncated Claims and Non-Claims Spending]],TM[[#All],[Reporting Year]],2022,TM[[#All],[Insurance Category Code]],1,TM[[#All],[Large Provider Entity Code]],A161)/I161,"NA")</f>
        <v>NA</v>
      </c>
      <c r="M161" s="126" t="str">
        <f>IFERROR(SUMIFS(TM[[#All],[Total Truncated Claims Spending]],TM[[#All],[Reporting Year]],2022,TM[[#All],[Insurance Category Code]],1,TM[[#All],[Large Provider Entity Code]],A161)/I161,"NA")</f>
        <v>NA</v>
      </c>
      <c r="N161" s="214" t="str">
        <f>IFERROR(SUMIFS(TM[[#All],[Total Truncated Expenses]],TM[[#All],[Reporting Year]],2022,TM[[#All],[Insurance Category Code]],1,TM[[#All],[Large Provider Entity Code]],A161)/I161,"NA")</f>
        <v>NA</v>
      </c>
      <c r="O161" s="518">
        <f>ABS(C161-I161)</f>
        <v>0</v>
      </c>
      <c r="P161" s="245" t="str">
        <f t="shared" ref="P161:P181" si="115">IFERROR((I161/C161-1),"NA")</f>
        <v>NA</v>
      </c>
      <c r="Q161" s="127" t="str">
        <f t="shared" ref="Q161:Q181" si="116">IFERROR((J161/D161-1),"NA")</f>
        <v>NA</v>
      </c>
      <c r="R161" s="127" t="str">
        <f t="shared" ref="R161:R181" si="117">IFERROR((K161/E161-1),"NA")</f>
        <v>NA</v>
      </c>
      <c r="S161" s="127" t="str">
        <f t="shared" ref="S161:S181" si="118">IFERROR((L161/F161-1),"NA")</f>
        <v>NA</v>
      </c>
      <c r="T161" s="127" t="str">
        <f t="shared" ref="T161:T181" si="119">IFERROR((M161/G161-1),"NA")</f>
        <v>NA</v>
      </c>
      <c r="U161" s="127" t="str">
        <f t="shared" ref="U161:U181" si="120">IFERROR((N161/H161-1),"NA")</f>
        <v>NA</v>
      </c>
    </row>
    <row r="162" spans="1:21" x14ac:dyDescent="0.25">
      <c r="A162" s="218">
        <v>101</v>
      </c>
      <c r="B162" s="495" t="s">
        <v>609</v>
      </c>
      <c r="C162" s="213">
        <f>SUMIFS(TM[[#All],[Member Months]],TM[[#All],[Reporting Year]],2021,TM[[#All],[Insurance Category Code]],1,TM[[#All],[Large Provider Entity Code]],A162)</f>
        <v>0</v>
      </c>
      <c r="D162" s="126" t="str">
        <f>IFERROR(SUMIFS(TM[[#All],[Total Non-Truncated Claims Spending]],TM[[#All],[Reporting Year]],2021,TM[[#All],[Insurance Category Code]],1,TM[[#All],[Large Provider Entity Code]],A162)/C162,"NA")</f>
        <v>NA</v>
      </c>
      <c r="E162" s="126" t="str">
        <f>IFERROR(SUMIFS(TM[[#All],[Total Non-Claims Spending]],TM[[#All],[Reporting Year]],2021,TM[[#All],[Insurance Category Code]],1,TM[[#All],[Large Provider Entity Code]],A162)/C162,"NA")</f>
        <v>NA</v>
      </c>
      <c r="F162" s="126" t="str">
        <f>IFERROR(SUMIFS(TM[[#All],[Total Non-Truncated Claims and Non-Claims Spending]],TM[[#All],[Reporting Year]],2021,TM[[#All],[Insurance Category Code]],1,TM[[#All],[Large Provider Entity Code]],A162)/C162,"NA")</f>
        <v>NA</v>
      </c>
      <c r="G162" s="126" t="str">
        <f>IFERROR(SUMIFS(TM[[#All],[Total Truncated Claims Spending]],TM[[#All],[Reporting Year]],2021,TM[[#All],[Insurance Category Code]],1,TM[[#All],[Large Provider Entity Code]],A162)/C162,"NA")</f>
        <v>NA</v>
      </c>
      <c r="H162" s="214" t="str">
        <f>IFERROR(SUMIFS(TM[[#All],[Total Truncated Expenses]],TM[[#All],[Reporting Year]],2021,TM[[#All],[Insurance Category Code]],1,TM[[#All],[Large Provider Entity Code]],A162)/C162,"NA")</f>
        <v>NA</v>
      </c>
      <c r="I162" s="213">
        <f>SUMIFS(TM[[#All],[Member Months]],TM[[#All],[Reporting Year]],2022,TM[[#All],[Insurance Category Code]],1,TM[[#All],[Large Provider Entity Code]],A162)</f>
        <v>0</v>
      </c>
      <c r="J162" s="126" t="str">
        <f>IFERROR(SUMIFS(TM[[#All],[Total Non-Truncated Claims Spending]],TM[[#All],[Reporting Year]],2022,TM[[#All],[Insurance Category Code]],1,TM[[#All],[Large Provider Entity Code]],A162)/I162,"NA")</f>
        <v>NA</v>
      </c>
      <c r="K162" s="126" t="str">
        <f>IFERROR(SUMIFS(TM[[#All],[Total Non-Claims Spending]],TM[[#All],[Reporting Year]],2022,TM[[#All],[Insurance Category Code]],1,TM[[#All],[Large Provider Entity Code]],A162)/I162,"NA")</f>
        <v>NA</v>
      </c>
      <c r="L162" s="126" t="str">
        <f>IFERROR(SUMIFS(TM[[#All],[Total Non-Truncated Claims and Non-Claims Spending]],TM[[#All],[Reporting Year]],2022,TM[[#All],[Insurance Category Code]],1,TM[[#All],[Large Provider Entity Code]],A162)/I162,"NA")</f>
        <v>NA</v>
      </c>
      <c r="M162" s="126" t="str">
        <f>IFERROR(SUMIFS(TM[[#All],[Total Truncated Claims Spending]],TM[[#All],[Reporting Year]],2022,TM[[#All],[Insurance Category Code]],1,TM[[#All],[Large Provider Entity Code]],A162)/I162,"NA")</f>
        <v>NA</v>
      </c>
      <c r="N162" s="214" t="str">
        <f>IFERROR(SUMIFS(TM[[#All],[Total Truncated Expenses]],TM[[#All],[Reporting Year]],2022,TM[[#All],[Insurance Category Code]],1,TM[[#All],[Large Provider Entity Code]],A162)/I162,"NA")</f>
        <v>NA</v>
      </c>
      <c r="O162" s="518">
        <f t="shared" ref="O162:O181" si="121">ABS(C162-I162)</f>
        <v>0</v>
      </c>
      <c r="P162" s="245" t="str">
        <f t="shared" si="115"/>
        <v>NA</v>
      </c>
      <c r="Q162" s="127" t="str">
        <f t="shared" si="116"/>
        <v>NA</v>
      </c>
      <c r="R162" s="127" t="str">
        <f t="shared" si="117"/>
        <v>NA</v>
      </c>
      <c r="S162" s="127" t="str">
        <f t="shared" si="118"/>
        <v>NA</v>
      </c>
      <c r="T162" s="127" t="str">
        <f t="shared" si="119"/>
        <v>NA</v>
      </c>
      <c r="U162" s="127" t="str">
        <f t="shared" si="120"/>
        <v>NA</v>
      </c>
    </row>
    <row r="163" spans="1:21" x14ac:dyDescent="0.25">
      <c r="A163" s="218">
        <v>102</v>
      </c>
      <c r="B163" s="566" t="s">
        <v>610</v>
      </c>
      <c r="C163" s="213">
        <f>SUMIFS(TM[[#All],[Member Months]],TM[[#All],[Reporting Year]],2021,TM[[#All],[Insurance Category Code]],1,TM[[#All],[Large Provider Entity Code]],A163)</f>
        <v>0</v>
      </c>
      <c r="D163" s="126" t="str">
        <f>IFERROR(SUMIFS(TM[[#All],[Total Non-Truncated Claims Spending]],TM[[#All],[Reporting Year]],2021,TM[[#All],[Insurance Category Code]],1,TM[[#All],[Large Provider Entity Code]],A163)/C163,"NA")</f>
        <v>NA</v>
      </c>
      <c r="E163" s="126" t="str">
        <f>IFERROR(SUMIFS(TM[[#All],[Total Non-Claims Spending]],TM[[#All],[Reporting Year]],2021,TM[[#All],[Insurance Category Code]],1,TM[[#All],[Large Provider Entity Code]],A163)/C163,"NA")</f>
        <v>NA</v>
      </c>
      <c r="F163" s="126" t="str">
        <f>IFERROR(SUMIFS(TM[[#All],[Total Non-Truncated Claims and Non-Claims Spending]],TM[[#All],[Reporting Year]],2021,TM[[#All],[Insurance Category Code]],1,TM[[#All],[Large Provider Entity Code]],A163)/C163,"NA")</f>
        <v>NA</v>
      </c>
      <c r="G163" s="126" t="str">
        <f>IFERROR(SUMIFS(TM[[#All],[Total Truncated Claims Spending]],TM[[#All],[Reporting Year]],2021,TM[[#All],[Insurance Category Code]],1,TM[[#All],[Large Provider Entity Code]],A163)/C163,"NA")</f>
        <v>NA</v>
      </c>
      <c r="H163" s="214" t="str">
        <f>IFERROR(SUMIFS(TM[[#All],[Total Truncated Expenses]],TM[[#All],[Reporting Year]],2021,TM[[#All],[Insurance Category Code]],1,TM[[#All],[Large Provider Entity Code]],A163)/C163,"NA")</f>
        <v>NA</v>
      </c>
      <c r="I163" s="213">
        <f>SUMIFS(TM[[#All],[Member Months]],TM[[#All],[Reporting Year]],2022,TM[[#All],[Insurance Category Code]],1,TM[[#All],[Large Provider Entity Code]],A163)</f>
        <v>0</v>
      </c>
      <c r="J163" s="126" t="str">
        <f>IFERROR(SUMIFS(TM[[#All],[Total Non-Truncated Claims Spending]],TM[[#All],[Reporting Year]],2022,TM[[#All],[Insurance Category Code]],1,TM[[#All],[Large Provider Entity Code]],A163)/I163,"NA")</f>
        <v>NA</v>
      </c>
      <c r="K163" s="126" t="str">
        <f>IFERROR(SUMIFS(TM[[#All],[Total Non-Claims Spending]],TM[[#All],[Reporting Year]],2022,TM[[#All],[Insurance Category Code]],1,TM[[#All],[Large Provider Entity Code]],A163)/I163,"NA")</f>
        <v>NA</v>
      </c>
      <c r="L163" s="126" t="str">
        <f>IFERROR(SUMIFS(TM[[#All],[Total Non-Truncated Claims and Non-Claims Spending]],TM[[#All],[Reporting Year]],2022,TM[[#All],[Insurance Category Code]],1,TM[[#All],[Large Provider Entity Code]],A163)/I163,"NA")</f>
        <v>NA</v>
      </c>
      <c r="M163" s="126" t="str">
        <f>IFERROR(SUMIFS(TM[[#All],[Total Truncated Claims Spending]],TM[[#All],[Reporting Year]],2022,TM[[#All],[Insurance Category Code]],1,TM[[#All],[Large Provider Entity Code]],A163)/I163,"NA")</f>
        <v>NA</v>
      </c>
      <c r="N163" s="214" t="str">
        <f>IFERROR(SUMIFS(TM[[#All],[Total Truncated Expenses]],TM[[#All],[Reporting Year]],2022,TM[[#All],[Insurance Category Code]],1,TM[[#All],[Large Provider Entity Code]],A163)/I163,"NA")</f>
        <v>NA</v>
      </c>
      <c r="O163" s="518">
        <f t="shared" si="121"/>
        <v>0</v>
      </c>
      <c r="P163" s="245" t="str">
        <f t="shared" si="115"/>
        <v>NA</v>
      </c>
      <c r="Q163" s="127" t="str">
        <f t="shared" si="116"/>
        <v>NA</v>
      </c>
      <c r="R163" s="127" t="str">
        <f t="shared" si="117"/>
        <v>NA</v>
      </c>
      <c r="S163" s="127" t="str">
        <f t="shared" si="118"/>
        <v>NA</v>
      </c>
      <c r="T163" s="127" t="str">
        <f t="shared" si="119"/>
        <v>NA</v>
      </c>
      <c r="U163" s="127" t="str">
        <f t="shared" si="120"/>
        <v>NA</v>
      </c>
    </row>
    <row r="164" spans="1:21" ht="30" x14ac:dyDescent="0.25">
      <c r="A164" s="218">
        <v>103</v>
      </c>
      <c r="B164" s="495" t="s">
        <v>73</v>
      </c>
      <c r="C164" s="213">
        <f>SUMIFS(TM[[#All],[Member Months]],TM[[#All],[Reporting Year]],2021,TM[[#All],[Insurance Category Code]],1,TM[[#All],[Large Provider Entity Code]],A164)</f>
        <v>0</v>
      </c>
      <c r="D164" s="126" t="str">
        <f>IFERROR(SUMIFS(TM[[#All],[Total Non-Truncated Claims Spending]],TM[[#All],[Reporting Year]],2021,TM[[#All],[Insurance Category Code]],1,TM[[#All],[Large Provider Entity Code]],A164)/C164,"NA")</f>
        <v>NA</v>
      </c>
      <c r="E164" s="126" t="str">
        <f>IFERROR(SUMIFS(TM[[#All],[Total Non-Claims Spending]],TM[[#All],[Reporting Year]],2021,TM[[#All],[Insurance Category Code]],1,TM[[#All],[Large Provider Entity Code]],A164)/C164,"NA")</f>
        <v>NA</v>
      </c>
      <c r="F164" s="126" t="str">
        <f>IFERROR(SUMIFS(TM[[#All],[Total Non-Truncated Claims and Non-Claims Spending]],TM[[#All],[Reporting Year]],2021,TM[[#All],[Insurance Category Code]],1,TM[[#All],[Large Provider Entity Code]],A164)/C164,"NA")</f>
        <v>NA</v>
      </c>
      <c r="G164" s="126" t="str">
        <f>IFERROR(SUMIFS(TM[[#All],[Total Truncated Claims Spending]],TM[[#All],[Reporting Year]],2021,TM[[#All],[Insurance Category Code]],1,TM[[#All],[Large Provider Entity Code]],A164)/C164,"NA")</f>
        <v>NA</v>
      </c>
      <c r="H164" s="214" t="str">
        <f>IFERROR(SUMIFS(TM[[#All],[Total Truncated Expenses]],TM[[#All],[Reporting Year]],2021,TM[[#All],[Insurance Category Code]],1,TM[[#All],[Large Provider Entity Code]],A164)/C164,"NA")</f>
        <v>NA</v>
      </c>
      <c r="I164" s="213">
        <f>SUMIFS(TM[[#All],[Member Months]],TM[[#All],[Reporting Year]],2022,TM[[#All],[Insurance Category Code]],1,TM[[#All],[Large Provider Entity Code]],A164)</f>
        <v>0</v>
      </c>
      <c r="J164" s="126" t="str">
        <f>IFERROR(SUMIFS(TM[[#All],[Total Non-Truncated Claims Spending]],TM[[#All],[Reporting Year]],2022,TM[[#All],[Insurance Category Code]],1,TM[[#All],[Large Provider Entity Code]],A164)/I164,"NA")</f>
        <v>NA</v>
      </c>
      <c r="K164" s="126" t="str">
        <f>IFERROR(SUMIFS(TM[[#All],[Total Non-Claims Spending]],TM[[#All],[Reporting Year]],2022,TM[[#All],[Insurance Category Code]],1,TM[[#All],[Large Provider Entity Code]],A164)/I164,"NA")</f>
        <v>NA</v>
      </c>
      <c r="L164" s="126" t="str">
        <f>IFERROR(SUMIFS(TM[[#All],[Total Non-Truncated Claims and Non-Claims Spending]],TM[[#All],[Reporting Year]],2022,TM[[#All],[Insurance Category Code]],1,TM[[#All],[Large Provider Entity Code]],A164)/I164,"NA")</f>
        <v>NA</v>
      </c>
      <c r="M164" s="126" t="str">
        <f>IFERROR(SUMIFS(TM[[#All],[Total Truncated Claims Spending]],TM[[#All],[Reporting Year]],2022,TM[[#All],[Insurance Category Code]],1,TM[[#All],[Large Provider Entity Code]],A164)/I164,"NA")</f>
        <v>NA</v>
      </c>
      <c r="N164" s="214" t="str">
        <f>IFERROR(SUMIFS(TM[[#All],[Total Truncated Expenses]],TM[[#All],[Reporting Year]],2022,TM[[#All],[Insurance Category Code]],1,TM[[#All],[Large Provider Entity Code]],A164)/I164,"NA")</f>
        <v>NA</v>
      </c>
      <c r="O164" s="518">
        <f t="shared" si="121"/>
        <v>0</v>
      </c>
      <c r="P164" s="245" t="str">
        <f t="shared" si="115"/>
        <v>NA</v>
      </c>
      <c r="Q164" s="127" t="str">
        <f t="shared" si="116"/>
        <v>NA</v>
      </c>
      <c r="R164" s="127" t="str">
        <f t="shared" si="117"/>
        <v>NA</v>
      </c>
      <c r="S164" s="127" t="str">
        <f t="shared" si="118"/>
        <v>NA</v>
      </c>
      <c r="T164" s="127" t="str">
        <f t="shared" si="119"/>
        <v>NA</v>
      </c>
      <c r="U164" s="127" t="str">
        <f t="shared" si="120"/>
        <v>NA</v>
      </c>
    </row>
    <row r="165" spans="1:21" x14ac:dyDescent="0.25">
      <c r="A165" s="218">
        <v>104</v>
      </c>
      <c r="B165" s="495" t="s">
        <v>611</v>
      </c>
      <c r="C165" s="213">
        <f>SUMIFS(TM[[#All],[Member Months]],TM[[#All],[Reporting Year]],2021,TM[[#All],[Insurance Category Code]],1,TM[[#All],[Large Provider Entity Code]],A165)</f>
        <v>0</v>
      </c>
      <c r="D165" s="126" t="str">
        <f>IFERROR(SUMIFS(TM[[#All],[Total Non-Truncated Claims Spending]],TM[[#All],[Reporting Year]],2021,TM[[#All],[Insurance Category Code]],1,TM[[#All],[Large Provider Entity Code]],A165)/C165,"NA")</f>
        <v>NA</v>
      </c>
      <c r="E165" s="126" t="str">
        <f>IFERROR(SUMIFS(TM[[#All],[Total Non-Claims Spending]],TM[[#All],[Reporting Year]],2021,TM[[#All],[Insurance Category Code]],1,TM[[#All],[Large Provider Entity Code]],A165)/C165,"NA")</f>
        <v>NA</v>
      </c>
      <c r="F165" s="126" t="str">
        <f>IFERROR(SUMIFS(TM[[#All],[Total Non-Truncated Claims and Non-Claims Spending]],TM[[#All],[Reporting Year]],2021,TM[[#All],[Insurance Category Code]],1,TM[[#All],[Large Provider Entity Code]],A165)/C165,"NA")</f>
        <v>NA</v>
      </c>
      <c r="G165" s="126" t="str">
        <f>IFERROR(SUMIFS(TM[[#All],[Total Truncated Claims Spending]],TM[[#All],[Reporting Year]],2021,TM[[#All],[Insurance Category Code]],1,TM[[#All],[Large Provider Entity Code]],A165)/C165,"NA")</f>
        <v>NA</v>
      </c>
      <c r="H165" s="214" t="str">
        <f>IFERROR(SUMIFS(TM[[#All],[Total Truncated Expenses]],TM[[#All],[Reporting Year]],2021,TM[[#All],[Insurance Category Code]],1,TM[[#All],[Large Provider Entity Code]],A165)/C165,"NA")</f>
        <v>NA</v>
      </c>
      <c r="I165" s="213">
        <f>SUMIFS(TM[[#All],[Member Months]],TM[[#All],[Reporting Year]],2022,TM[[#All],[Insurance Category Code]],1,TM[[#All],[Large Provider Entity Code]],A165)</f>
        <v>0</v>
      </c>
      <c r="J165" s="126" t="str">
        <f>IFERROR(SUMIFS(TM[[#All],[Total Non-Truncated Claims Spending]],TM[[#All],[Reporting Year]],2022,TM[[#All],[Insurance Category Code]],1,TM[[#All],[Large Provider Entity Code]],A165)/I165,"NA")</f>
        <v>NA</v>
      </c>
      <c r="K165" s="126" t="str">
        <f>IFERROR(SUMIFS(TM[[#All],[Total Non-Claims Spending]],TM[[#All],[Reporting Year]],2022,TM[[#All],[Insurance Category Code]],1,TM[[#All],[Large Provider Entity Code]],A165)/I165,"NA")</f>
        <v>NA</v>
      </c>
      <c r="L165" s="126" t="str">
        <f>IFERROR(SUMIFS(TM[[#All],[Total Non-Truncated Claims and Non-Claims Spending]],TM[[#All],[Reporting Year]],2022,TM[[#All],[Insurance Category Code]],1,TM[[#All],[Large Provider Entity Code]],A165)/I165,"NA")</f>
        <v>NA</v>
      </c>
      <c r="M165" s="126" t="str">
        <f>IFERROR(SUMIFS(TM[[#All],[Total Truncated Claims Spending]],TM[[#All],[Reporting Year]],2022,TM[[#All],[Insurance Category Code]],1,TM[[#All],[Large Provider Entity Code]],A165)/I165,"NA")</f>
        <v>NA</v>
      </c>
      <c r="N165" s="214" t="str">
        <f>IFERROR(SUMIFS(TM[[#All],[Total Truncated Expenses]],TM[[#All],[Reporting Year]],2022,TM[[#All],[Insurance Category Code]],1,TM[[#All],[Large Provider Entity Code]],A165)/I165,"NA")</f>
        <v>NA</v>
      </c>
      <c r="O165" s="518">
        <f t="shared" si="121"/>
        <v>0</v>
      </c>
      <c r="P165" s="245" t="str">
        <f t="shared" si="115"/>
        <v>NA</v>
      </c>
      <c r="Q165" s="127" t="str">
        <f t="shared" si="116"/>
        <v>NA</v>
      </c>
      <c r="R165" s="127" t="str">
        <f t="shared" si="117"/>
        <v>NA</v>
      </c>
      <c r="S165" s="127" t="str">
        <f t="shared" si="118"/>
        <v>NA</v>
      </c>
      <c r="T165" s="127" t="str">
        <f t="shared" si="119"/>
        <v>NA</v>
      </c>
      <c r="U165" s="127" t="str">
        <f t="shared" si="120"/>
        <v>NA</v>
      </c>
    </row>
    <row r="166" spans="1:21" x14ac:dyDescent="0.25">
      <c r="A166" s="218">
        <v>105</v>
      </c>
      <c r="B166" s="566" t="s">
        <v>607</v>
      </c>
      <c r="C166" s="213">
        <f>SUMIFS(TM[[#All],[Member Months]],TM[[#All],[Reporting Year]],2021,TM[[#All],[Insurance Category Code]],1,TM[[#All],[Large Provider Entity Code]],A166)</f>
        <v>0</v>
      </c>
      <c r="D166" s="126" t="str">
        <f>IFERROR(SUMIFS(TM[[#All],[Total Non-Truncated Claims Spending]],TM[[#All],[Reporting Year]],2021,TM[[#All],[Insurance Category Code]],1,TM[[#All],[Large Provider Entity Code]],A166)/C166,"NA")</f>
        <v>NA</v>
      </c>
      <c r="E166" s="126" t="str">
        <f>IFERROR(SUMIFS(TM[[#All],[Total Non-Claims Spending]],TM[[#All],[Reporting Year]],2021,TM[[#All],[Insurance Category Code]],1,TM[[#All],[Large Provider Entity Code]],A166)/C166,"NA")</f>
        <v>NA</v>
      </c>
      <c r="F166" s="126" t="str">
        <f>IFERROR(SUMIFS(TM[[#All],[Total Non-Truncated Claims and Non-Claims Spending]],TM[[#All],[Reporting Year]],2021,TM[[#All],[Insurance Category Code]],1,TM[[#All],[Large Provider Entity Code]],A166)/C166,"NA")</f>
        <v>NA</v>
      </c>
      <c r="G166" s="126" t="str">
        <f>IFERROR(SUMIFS(TM[[#All],[Total Truncated Claims Spending]],TM[[#All],[Reporting Year]],2021,TM[[#All],[Insurance Category Code]],1,TM[[#All],[Large Provider Entity Code]],A166)/C166,"NA")</f>
        <v>NA</v>
      </c>
      <c r="H166" s="214" t="str">
        <f>IFERROR(SUMIFS(TM[[#All],[Total Truncated Expenses]],TM[[#All],[Reporting Year]],2021,TM[[#All],[Insurance Category Code]],1,TM[[#All],[Large Provider Entity Code]],A166)/C166,"NA")</f>
        <v>NA</v>
      </c>
      <c r="I166" s="213">
        <f>SUMIFS(TM[[#All],[Member Months]],TM[[#All],[Reporting Year]],2022,TM[[#All],[Insurance Category Code]],1,TM[[#All],[Large Provider Entity Code]],A166)</f>
        <v>0</v>
      </c>
      <c r="J166" s="126" t="str">
        <f>IFERROR(SUMIFS(TM[[#All],[Total Non-Truncated Claims Spending]],TM[[#All],[Reporting Year]],2022,TM[[#All],[Insurance Category Code]],1,TM[[#All],[Large Provider Entity Code]],A166)/I166,"NA")</f>
        <v>NA</v>
      </c>
      <c r="K166" s="126" t="str">
        <f>IFERROR(SUMIFS(TM[[#All],[Total Non-Claims Spending]],TM[[#All],[Reporting Year]],2022,TM[[#All],[Insurance Category Code]],1,TM[[#All],[Large Provider Entity Code]],A166)/I166,"NA")</f>
        <v>NA</v>
      </c>
      <c r="L166" s="126" t="str">
        <f>IFERROR(SUMIFS(TM[[#All],[Total Non-Truncated Claims and Non-Claims Spending]],TM[[#All],[Reporting Year]],2022,TM[[#All],[Insurance Category Code]],1,TM[[#All],[Large Provider Entity Code]],A166)/I166,"NA")</f>
        <v>NA</v>
      </c>
      <c r="M166" s="126" t="str">
        <f>IFERROR(SUMIFS(TM[[#All],[Total Truncated Claims Spending]],TM[[#All],[Reporting Year]],2022,TM[[#All],[Insurance Category Code]],1,TM[[#All],[Large Provider Entity Code]],A166)/I166,"NA")</f>
        <v>NA</v>
      </c>
      <c r="N166" s="214" t="str">
        <f>IFERROR(SUMIFS(TM[[#All],[Total Truncated Expenses]],TM[[#All],[Reporting Year]],2022,TM[[#All],[Insurance Category Code]],1,TM[[#All],[Large Provider Entity Code]],A166)/I166,"NA")</f>
        <v>NA</v>
      </c>
      <c r="O166" s="518">
        <f t="shared" si="121"/>
        <v>0</v>
      </c>
      <c r="P166" s="245" t="str">
        <f t="shared" si="115"/>
        <v>NA</v>
      </c>
      <c r="Q166" s="127" t="str">
        <f t="shared" si="116"/>
        <v>NA</v>
      </c>
      <c r="R166" s="127" t="str">
        <f t="shared" si="117"/>
        <v>NA</v>
      </c>
      <c r="S166" s="127" t="str">
        <f t="shared" si="118"/>
        <v>NA</v>
      </c>
      <c r="T166" s="127" t="str">
        <f t="shared" si="119"/>
        <v>NA</v>
      </c>
      <c r="U166" s="127" t="str">
        <f t="shared" si="120"/>
        <v>NA</v>
      </c>
    </row>
    <row r="167" spans="1:21" x14ac:dyDescent="0.25">
      <c r="A167" s="218">
        <v>106</v>
      </c>
      <c r="B167" s="495" t="s">
        <v>74</v>
      </c>
      <c r="C167" s="213">
        <f>SUMIFS(TM[[#All],[Member Months]],TM[[#All],[Reporting Year]],2021,TM[[#All],[Insurance Category Code]],1,TM[[#All],[Large Provider Entity Code]],A167)</f>
        <v>0</v>
      </c>
      <c r="D167" s="126" t="str">
        <f>IFERROR(SUMIFS(TM[[#All],[Total Non-Truncated Claims Spending]],TM[[#All],[Reporting Year]],2021,TM[[#All],[Insurance Category Code]],1,TM[[#All],[Large Provider Entity Code]],A167)/C167,"NA")</f>
        <v>NA</v>
      </c>
      <c r="E167" s="126" t="str">
        <f>IFERROR(SUMIFS(TM[[#All],[Total Non-Claims Spending]],TM[[#All],[Reporting Year]],2021,TM[[#All],[Insurance Category Code]],1,TM[[#All],[Large Provider Entity Code]],A167)/C167,"NA")</f>
        <v>NA</v>
      </c>
      <c r="F167" s="126" t="str">
        <f>IFERROR(SUMIFS(TM[[#All],[Total Non-Truncated Claims and Non-Claims Spending]],TM[[#All],[Reporting Year]],2021,TM[[#All],[Insurance Category Code]],1,TM[[#All],[Large Provider Entity Code]],A167)/C167,"NA")</f>
        <v>NA</v>
      </c>
      <c r="G167" s="126" t="str">
        <f>IFERROR(SUMIFS(TM[[#All],[Total Truncated Claims Spending]],TM[[#All],[Reporting Year]],2021,TM[[#All],[Insurance Category Code]],1,TM[[#All],[Large Provider Entity Code]],A167)/C167,"NA")</f>
        <v>NA</v>
      </c>
      <c r="H167" s="214" t="str">
        <f>IFERROR(SUMIFS(TM[[#All],[Total Truncated Expenses]],TM[[#All],[Reporting Year]],2021,TM[[#All],[Insurance Category Code]],1,TM[[#All],[Large Provider Entity Code]],A167)/C167,"NA")</f>
        <v>NA</v>
      </c>
      <c r="I167" s="213">
        <f>SUMIFS(TM[[#All],[Member Months]],TM[[#All],[Reporting Year]],2022,TM[[#All],[Insurance Category Code]],1,TM[[#All],[Large Provider Entity Code]],A167)</f>
        <v>0</v>
      </c>
      <c r="J167" s="126" t="str">
        <f>IFERROR(SUMIFS(TM[[#All],[Total Non-Truncated Claims Spending]],TM[[#All],[Reporting Year]],2022,TM[[#All],[Insurance Category Code]],1,TM[[#All],[Large Provider Entity Code]],A167)/I167,"NA")</f>
        <v>NA</v>
      </c>
      <c r="K167" s="126" t="str">
        <f>IFERROR(SUMIFS(TM[[#All],[Total Non-Claims Spending]],TM[[#All],[Reporting Year]],2022,TM[[#All],[Insurance Category Code]],1,TM[[#All],[Large Provider Entity Code]],A167)/I167,"NA")</f>
        <v>NA</v>
      </c>
      <c r="L167" s="126" t="str">
        <f>IFERROR(SUMIFS(TM[[#All],[Total Non-Truncated Claims and Non-Claims Spending]],TM[[#All],[Reporting Year]],2022,TM[[#All],[Insurance Category Code]],1,TM[[#All],[Large Provider Entity Code]],A167)/I167,"NA")</f>
        <v>NA</v>
      </c>
      <c r="M167" s="126" t="str">
        <f>IFERROR(SUMIFS(TM[[#All],[Total Truncated Claims Spending]],TM[[#All],[Reporting Year]],2022,TM[[#All],[Insurance Category Code]],1,TM[[#All],[Large Provider Entity Code]],A167)/I167,"NA")</f>
        <v>NA</v>
      </c>
      <c r="N167" s="214" t="str">
        <f>IFERROR(SUMIFS(TM[[#All],[Total Truncated Expenses]],TM[[#All],[Reporting Year]],2022,TM[[#All],[Insurance Category Code]],1,TM[[#All],[Large Provider Entity Code]],A167)/I167,"NA")</f>
        <v>NA</v>
      </c>
      <c r="O167" s="518">
        <f t="shared" si="121"/>
        <v>0</v>
      </c>
      <c r="P167" s="245" t="str">
        <f t="shared" si="115"/>
        <v>NA</v>
      </c>
      <c r="Q167" s="127" t="str">
        <f t="shared" si="116"/>
        <v>NA</v>
      </c>
      <c r="R167" s="127" t="str">
        <f t="shared" si="117"/>
        <v>NA</v>
      </c>
      <c r="S167" s="127" t="str">
        <f t="shared" si="118"/>
        <v>NA</v>
      </c>
      <c r="T167" s="127" t="str">
        <f t="shared" si="119"/>
        <v>NA</v>
      </c>
      <c r="U167" s="127" t="str">
        <f t="shared" si="120"/>
        <v>NA</v>
      </c>
    </row>
    <row r="168" spans="1:21" ht="30" x14ac:dyDescent="0.25">
      <c r="A168" s="218">
        <v>107</v>
      </c>
      <c r="B168" s="495" t="s">
        <v>75</v>
      </c>
      <c r="C168" s="213">
        <f>SUMIFS(TM[[#All],[Member Months]],TM[[#All],[Reporting Year]],2021,TM[[#All],[Insurance Category Code]],1,TM[[#All],[Large Provider Entity Code]],A168)</f>
        <v>0</v>
      </c>
      <c r="D168" s="126" t="str">
        <f>IFERROR(SUMIFS(TM[[#All],[Total Non-Truncated Claims Spending]],TM[[#All],[Reporting Year]],2021,TM[[#All],[Insurance Category Code]],1,TM[[#All],[Large Provider Entity Code]],A168)/C168,"NA")</f>
        <v>NA</v>
      </c>
      <c r="E168" s="126" t="str">
        <f>IFERROR(SUMIFS(TM[[#All],[Total Non-Claims Spending]],TM[[#All],[Reporting Year]],2021,TM[[#All],[Insurance Category Code]],1,TM[[#All],[Large Provider Entity Code]],A168)/C168,"NA")</f>
        <v>NA</v>
      </c>
      <c r="F168" s="126" t="str">
        <f>IFERROR(SUMIFS(TM[[#All],[Total Non-Truncated Claims and Non-Claims Spending]],TM[[#All],[Reporting Year]],2021,TM[[#All],[Insurance Category Code]],1,TM[[#All],[Large Provider Entity Code]],A168)/C168,"NA")</f>
        <v>NA</v>
      </c>
      <c r="G168" s="126" t="str">
        <f>IFERROR(SUMIFS(TM[[#All],[Total Truncated Claims Spending]],TM[[#All],[Reporting Year]],2021,TM[[#All],[Insurance Category Code]],1,TM[[#All],[Large Provider Entity Code]],A168)/C168,"NA")</f>
        <v>NA</v>
      </c>
      <c r="H168" s="214" t="str">
        <f>IFERROR(SUMIFS(TM[[#All],[Total Truncated Expenses]],TM[[#All],[Reporting Year]],2021,TM[[#All],[Insurance Category Code]],1,TM[[#All],[Large Provider Entity Code]],A168)/C168,"NA")</f>
        <v>NA</v>
      </c>
      <c r="I168" s="213">
        <f>SUMIFS(TM[[#All],[Member Months]],TM[[#All],[Reporting Year]],2022,TM[[#All],[Insurance Category Code]],1,TM[[#All],[Large Provider Entity Code]],A168)</f>
        <v>0</v>
      </c>
      <c r="J168" s="126" t="str">
        <f>IFERROR(SUMIFS(TM[[#All],[Total Non-Truncated Claims Spending]],TM[[#All],[Reporting Year]],2022,TM[[#All],[Insurance Category Code]],1,TM[[#All],[Large Provider Entity Code]],A168)/I168,"NA")</f>
        <v>NA</v>
      </c>
      <c r="K168" s="126" t="str">
        <f>IFERROR(SUMIFS(TM[[#All],[Total Non-Claims Spending]],TM[[#All],[Reporting Year]],2022,TM[[#All],[Insurance Category Code]],1,TM[[#All],[Large Provider Entity Code]],A168)/I168,"NA")</f>
        <v>NA</v>
      </c>
      <c r="L168" s="126" t="str">
        <f>IFERROR(SUMIFS(TM[[#All],[Total Non-Truncated Claims and Non-Claims Spending]],TM[[#All],[Reporting Year]],2022,TM[[#All],[Insurance Category Code]],1,TM[[#All],[Large Provider Entity Code]],A168)/I168,"NA")</f>
        <v>NA</v>
      </c>
      <c r="M168" s="126" t="str">
        <f>IFERROR(SUMIFS(TM[[#All],[Total Truncated Claims Spending]],TM[[#All],[Reporting Year]],2022,TM[[#All],[Insurance Category Code]],1,TM[[#All],[Large Provider Entity Code]],A168)/I168,"NA")</f>
        <v>NA</v>
      </c>
      <c r="N168" s="214" t="str">
        <f>IFERROR(SUMIFS(TM[[#All],[Total Truncated Expenses]],TM[[#All],[Reporting Year]],2022,TM[[#All],[Insurance Category Code]],1,TM[[#All],[Large Provider Entity Code]],A168)/I168,"NA")</f>
        <v>NA</v>
      </c>
      <c r="O168" s="518">
        <f t="shared" si="121"/>
        <v>0</v>
      </c>
      <c r="P168" s="245" t="str">
        <f t="shared" si="115"/>
        <v>NA</v>
      </c>
      <c r="Q168" s="127" t="str">
        <f t="shared" si="116"/>
        <v>NA</v>
      </c>
      <c r="R168" s="127" t="str">
        <f t="shared" si="117"/>
        <v>NA</v>
      </c>
      <c r="S168" s="127" t="str">
        <f t="shared" si="118"/>
        <v>NA</v>
      </c>
      <c r="T168" s="127" t="str">
        <f t="shared" si="119"/>
        <v>NA</v>
      </c>
      <c r="U168" s="127" t="str">
        <f t="shared" si="120"/>
        <v>NA</v>
      </c>
    </row>
    <row r="169" spans="1:21" x14ac:dyDescent="0.25">
      <c r="A169" s="218">
        <v>108</v>
      </c>
      <c r="B169" s="495" t="s">
        <v>612</v>
      </c>
      <c r="C169" s="213">
        <f>SUMIFS(TM[[#All],[Member Months]],TM[[#All],[Reporting Year]],2021,TM[[#All],[Insurance Category Code]],1,TM[[#All],[Large Provider Entity Code]],A169)</f>
        <v>0</v>
      </c>
      <c r="D169" s="126" t="str">
        <f>IFERROR(SUMIFS(TM[[#All],[Total Non-Truncated Claims Spending]],TM[[#All],[Reporting Year]],2021,TM[[#All],[Insurance Category Code]],1,TM[[#All],[Large Provider Entity Code]],A169)/C169,"NA")</f>
        <v>NA</v>
      </c>
      <c r="E169" s="126" t="str">
        <f>IFERROR(SUMIFS(TM[[#All],[Total Non-Claims Spending]],TM[[#All],[Reporting Year]],2021,TM[[#All],[Insurance Category Code]],1,TM[[#All],[Large Provider Entity Code]],A169)/C169,"NA")</f>
        <v>NA</v>
      </c>
      <c r="F169" s="126" t="str">
        <f>IFERROR(SUMIFS(TM[[#All],[Total Non-Truncated Claims and Non-Claims Spending]],TM[[#All],[Reporting Year]],2021,TM[[#All],[Insurance Category Code]],1,TM[[#All],[Large Provider Entity Code]],A169)/C169,"NA")</f>
        <v>NA</v>
      </c>
      <c r="G169" s="126" t="str">
        <f>IFERROR(SUMIFS(TM[[#All],[Total Truncated Claims Spending]],TM[[#All],[Reporting Year]],2021,TM[[#All],[Insurance Category Code]],1,TM[[#All],[Large Provider Entity Code]],A169)/C169,"NA")</f>
        <v>NA</v>
      </c>
      <c r="H169" s="214" t="str">
        <f>IFERROR(SUMIFS(TM[[#All],[Total Truncated Expenses]],TM[[#All],[Reporting Year]],2021,TM[[#All],[Insurance Category Code]],1,TM[[#All],[Large Provider Entity Code]],A169)/C169,"NA")</f>
        <v>NA</v>
      </c>
      <c r="I169" s="213">
        <f>SUMIFS(TM[[#All],[Member Months]],TM[[#All],[Reporting Year]],2022,TM[[#All],[Insurance Category Code]],1,TM[[#All],[Large Provider Entity Code]],A169)</f>
        <v>0</v>
      </c>
      <c r="J169" s="126" t="str">
        <f>IFERROR(SUMIFS(TM[[#All],[Total Non-Truncated Claims Spending]],TM[[#All],[Reporting Year]],2022,TM[[#All],[Insurance Category Code]],1,TM[[#All],[Large Provider Entity Code]],A169)/I169,"NA")</f>
        <v>NA</v>
      </c>
      <c r="K169" s="126" t="str">
        <f>IFERROR(SUMIFS(TM[[#All],[Total Non-Claims Spending]],TM[[#All],[Reporting Year]],2022,TM[[#All],[Insurance Category Code]],1,TM[[#All],[Large Provider Entity Code]],A169)/I169,"NA")</f>
        <v>NA</v>
      </c>
      <c r="L169" s="126" t="str">
        <f>IFERROR(SUMIFS(TM[[#All],[Total Non-Truncated Claims and Non-Claims Spending]],TM[[#All],[Reporting Year]],2022,TM[[#All],[Insurance Category Code]],1,TM[[#All],[Large Provider Entity Code]],A169)/I169,"NA")</f>
        <v>NA</v>
      </c>
      <c r="M169" s="126" t="str">
        <f>IFERROR(SUMIFS(TM[[#All],[Total Truncated Claims Spending]],TM[[#All],[Reporting Year]],2022,TM[[#All],[Insurance Category Code]],1,TM[[#All],[Large Provider Entity Code]],A169)/I169,"NA")</f>
        <v>NA</v>
      </c>
      <c r="N169" s="214" t="str">
        <f>IFERROR(SUMIFS(TM[[#All],[Total Truncated Expenses]],TM[[#All],[Reporting Year]],2022,TM[[#All],[Insurance Category Code]],1,TM[[#All],[Large Provider Entity Code]],A169)/I169,"NA")</f>
        <v>NA</v>
      </c>
      <c r="O169" s="518">
        <f t="shared" si="121"/>
        <v>0</v>
      </c>
      <c r="P169" s="245" t="str">
        <f t="shared" si="115"/>
        <v>NA</v>
      </c>
      <c r="Q169" s="127" t="str">
        <f t="shared" si="116"/>
        <v>NA</v>
      </c>
      <c r="R169" s="127" t="str">
        <f t="shared" si="117"/>
        <v>NA</v>
      </c>
      <c r="S169" s="127" t="str">
        <f t="shared" si="118"/>
        <v>NA</v>
      </c>
      <c r="T169" s="127" t="str">
        <f t="shared" si="119"/>
        <v>NA</v>
      </c>
      <c r="U169" s="127" t="str">
        <f t="shared" si="120"/>
        <v>NA</v>
      </c>
    </row>
    <row r="170" spans="1:21" x14ac:dyDescent="0.25">
      <c r="A170" s="218">
        <v>109</v>
      </c>
      <c r="B170" s="571" t="s">
        <v>76</v>
      </c>
      <c r="C170" s="213">
        <f>SUMIFS(TM[[#All],[Member Months]],TM[[#All],[Reporting Year]],2021,TM[[#All],[Insurance Category Code]],1,TM[[#All],[Large Provider Entity Code]],A170)</f>
        <v>0</v>
      </c>
      <c r="D170" s="126" t="str">
        <f>IFERROR(SUMIFS(TM[[#All],[Total Non-Truncated Claims Spending]],TM[[#All],[Reporting Year]],2021,TM[[#All],[Insurance Category Code]],1,TM[[#All],[Large Provider Entity Code]],A170)/C170,"NA")</f>
        <v>NA</v>
      </c>
      <c r="E170" s="126" t="str">
        <f>IFERROR(SUMIFS(TM[[#All],[Total Non-Claims Spending]],TM[[#All],[Reporting Year]],2021,TM[[#All],[Insurance Category Code]],1,TM[[#All],[Large Provider Entity Code]],A170)/C170,"NA")</f>
        <v>NA</v>
      </c>
      <c r="F170" s="126" t="str">
        <f>IFERROR(SUMIFS(TM[[#All],[Total Non-Truncated Claims and Non-Claims Spending]],TM[[#All],[Reporting Year]],2021,TM[[#All],[Insurance Category Code]],1,TM[[#All],[Large Provider Entity Code]],A170)/C170,"NA")</f>
        <v>NA</v>
      </c>
      <c r="G170" s="126" t="str">
        <f>IFERROR(SUMIFS(TM[[#All],[Total Truncated Claims Spending]],TM[[#All],[Reporting Year]],2021,TM[[#All],[Insurance Category Code]],1,TM[[#All],[Large Provider Entity Code]],A170)/C170,"NA")</f>
        <v>NA</v>
      </c>
      <c r="H170" s="214" t="str">
        <f>IFERROR(SUMIFS(TM[[#All],[Total Truncated Expenses]],TM[[#All],[Reporting Year]],2021,TM[[#All],[Insurance Category Code]],1,TM[[#All],[Large Provider Entity Code]],A170)/C170,"NA")</f>
        <v>NA</v>
      </c>
      <c r="I170" s="213">
        <f>SUMIFS(TM[[#All],[Member Months]],TM[[#All],[Reporting Year]],2022,TM[[#All],[Insurance Category Code]],1,TM[[#All],[Large Provider Entity Code]],A170)</f>
        <v>0</v>
      </c>
      <c r="J170" s="126" t="str">
        <f>IFERROR(SUMIFS(TM[[#All],[Total Non-Truncated Claims Spending]],TM[[#All],[Reporting Year]],2022,TM[[#All],[Insurance Category Code]],1,TM[[#All],[Large Provider Entity Code]],A170)/I170,"NA")</f>
        <v>NA</v>
      </c>
      <c r="K170" s="126" t="str">
        <f>IFERROR(SUMIFS(TM[[#All],[Total Non-Claims Spending]],TM[[#All],[Reporting Year]],2022,TM[[#All],[Insurance Category Code]],1,TM[[#All],[Large Provider Entity Code]],A170)/I170,"NA")</f>
        <v>NA</v>
      </c>
      <c r="L170" s="126" t="str">
        <f>IFERROR(SUMIFS(TM[[#All],[Total Non-Truncated Claims and Non-Claims Spending]],TM[[#All],[Reporting Year]],2022,TM[[#All],[Insurance Category Code]],1,TM[[#All],[Large Provider Entity Code]],A170)/I170,"NA")</f>
        <v>NA</v>
      </c>
      <c r="M170" s="126" t="str">
        <f>IFERROR(SUMIFS(TM[[#All],[Total Truncated Claims Spending]],TM[[#All],[Reporting Year]],2022,TM[[#All],[Insurance Category Code]],1,TM[[#All],[Large Provider Entity Code]],A170)/I170,"NA")</f>
        <v>NA</v>
      </c>
      <c r="N170" s="214" t="str">
        <f>IFERROR(SUMIFS(TM[[#All],[Total Truncated Expenses]],TM[[#All],[Reporting Year]],2022,TM[[#All],[Insurance Category Code]],1,TM[[#All],[Large Provider Entity Code]],A170)/I170,"NA")</f>
        <v>NA</v>
      </c>
      <c r="O170" s="518">
        <f t="shared" si="121"/>
        <v>0</v>
      </c>
      <c r="P170" s="245" t="str">
        <f t="shared" si="115"/>
        <v>NA</v>
      </c>
      <c r="Q170" s="127" t="str">
        <f t="shared" si="116"/>
        <v>NA</v>
      </c>
      <c r="R170" s="127" t="str">
        <f t="shared" si="117"/>
        <v>NA</v>
      </c>
      <c r="S170" s="127" t="str">
        <f t="shared" si="118"/>
        <v>NA</v>
      </c>
      <c r="T170" s="127" t="str">
        <f t="shared" si="119"/>
        <v>NA</v>
      </c>
      <c r="U170" s="127" t="str">
        <f t="shared" si="120"/>
        <v>NA</v>
      </c>
    </row>
    <row r="171" spans="1:21" x14ac:dyDescent="0.25">
      <c r="A171" s="218">
        <v>110</v>
      </c>
      <c r="B171" s="495" t="s">
        <v>77</v>
      </c>
      <c r="C171" s="213">
        <f>SUMIFS(TM[[#All],[Member Months]],TM[[#All],[Reporting Year]],2021,TM[[#All],[Insurance Category Code]],1,TM[[#All],[Large Provider Entity Code]],A171)</f>
        <v>0</v>
      </c>
      <c r="D171" s="126" t="str">
        <f>IFERROR(SUMIFS(TM[[#All],[Total Non-Truncated Claims Spending]],TM[[#All],[Reporting Year]],2021,TM[[#All],[Insurance Category Code]],1,TM[[#All],[Large Provider Entity Code]],A171)/C171,"NA")</f>
        <v>NA</v>
      </c>
      <c r="E171" s="126" t="str">
        <f>IFERROR(SUMIFS(TM[[#All],[Total Non-Claims Spending]],TM[[#All],[Reporting Year]],2021,TM[[#All],[Insurance Category Code]],1,TM[[#All],[Large Provider Entity Code]],A171)/C171,"NA")</f>
        <v>NA</v>
      </c>
      <c r="F171" s="126" t="str">
        <f>IFERROR(SUMIFS(TM[[#All],[Total Non-Truncated Claims and Non-Claims Spending]],TM[[#All],[Reporting Year]],2021,TM[[#All],[Insurance Category Code]],1,TM[[#All],[Large Provider Entity Code]],A171)/C171,"NA")</f>
        <v>NA</v>
      </c>
      <c r="G171" s="126" t="str">
        <f>IFERROR(SUMIFS(TM[[#All],[Total Truncated Claims Spending]],TM[[#All],[Reporting Year]],2021,TM[[#All],[Insurance Category Code]],1,TM[[#All],[Large Provider Entity Code]],A171)/C171,"NA")</f>
        <v>NA</v>
      </c>
      <c r="H171" s="214" t="str">
        <f>IFERROR(SUMIFS(TM[[#All],[Total Truncated Expenses]],TM[[#All],[Reporting Year]],2021,TM[[#All],[Insurance Category Code]],1,TM[[#All],[Large Provider Entity Code]],A171)/C171,"NA")</f>
        <v>NA</v>
      </c>
      <c r="I171" s="213">
        <f>SUMIFS(TM[[#All],[Member Months]],TM[[#All],[Reporting Year]],2022,TM[[#All],[Insurance Category Code]],1,TM[[#All],[Large Provider Entity Code]],A171)</f>
        <v>0</v>
      </c>
      <c r="J171" s="126" t="str">
        <f>IFERROR(SUMIFS(TM[[#All],[Total Non-Truncated Claims Spending]],TM[[#All],[Reporting Year]],2022,TM[[#All],[Insurance Category Code]],1,TM[[#All],[Large Provider Entity Code]],A171)/I171,"NA")</f>
        <v>NA</v>
      </c>
      <c r="K171" s="126" t="str">
        <f>IFERROR(SUMIFS(TM[[#All],[Total Non-Claims Spending]],TM[[#All],[Reporting Year]],2022,TM[[#All],[Insurance Category Code]],1,TM[[#All],[Large Provider Entity Code]],A171)/I171,"NA")</f>
        <v>NA</v>
      </c>
      <c r="L171" s="126" t="str">
        <f>IFERROR(SUMIFS(TM[[#All],[Total Non-Truncated Claims and Non-Claims Spending]],TM[[#All],[Reporting Year]],2022,TM[[#All],[Insurance Category Code]],1,TM[[#All],[Large Provider Entity Code]],A171)/I171,"NA")</f>
        <v>NA</v>
      </c>
      <c r="M171" s="126" t="str">
        <f>IFERROR(SUMIFS(TM[[#All],[Total Truncated Claims Spending]],TM[[#All],[Reporting Year]],2022,TM[[#All],[Insurance Category Code]],1,TM[[#All],[Large Provider Entity Code]],A171)/I171,"NA")</f>
        <v>NA</v>
      </c>
      <c r="N171" s="214" t="str">
        <f>IFERROR(SUMIFS(TM[[#All],[Total Truncated Expenses]],TM[[#All],[Reporting Year]],2022,TM[[#All],[Insurance Category Code]],1,TM[[#All],[Large Provider Entity Code]],A171)/I171,"NA")</f>
        <v>NA</v>
      </c>
      <c r="O171" s="518">
        <f t="shared" si="121"/>
        <v>0</v>
      </c>
      <c r="P171" s="245" t="str">
        <f t="shared" si="115"/>
        <v>NA</v>
      </c>
      <c r="Q171" s="127" t="str">
        <f t="shared" si="116"/>
        <v>NA</v>
      </c>
      <c r="R171" s="127" t="str">
        <f t="shared" si="117"/>
        <v>NA</v>
      </c>
      <c r="S171" s="127" t="str">
        <f t="shared" si="118"/>
        <v>NA</v>
      </c>
      <c r="T171" s="127" t="str">
        <f t="shared" si="119"/>
        <v>NA</v>
      </c>
      <c r="U171" s="127" t="str">
        <f t="shared" si="120"/>
        <v>NA</v>
      </c>
    </row>
    <row r="172" spans="1:21" x14ac:dyDescent="0.25">
      <c r="A172" s="218">
        <v>111</v>
      </c>
      <c r="B172" s="566" t="s">
        <v>78</v>
      </c>
      <c r="C172" s="213">
        <f>SUMIFS(TM[[#All],[Member Months]],TM[[#All],[Reporting Year]],2021,TM[[#All],[Insurance Category Code]],1,TM[[#All],[Large Provider Entity Code]],A172)</f>
        <v>0</v>
      </c>
      <c r="D172" s="126" t="str">
        <f>IFERROR(SUMIFS(TM[[#All],[Total Non-Truncated Claims Spending]],TM[[#All],[Reporting Year]],2021,TM[[#All],[Insurance Category Code]],1,TM[[#All],[Large Provider Entity Code]],A172)/C172,"NA")</f>
        <v>NA</v>
      </c>
      <c r="E172" s="126" t="str">
        <f>IFERROR(SUMIFS(TM[[#All],[Total Non-Claims Spending]],TM[[#All],[Reporting Year]],2021,TM[[#All],[Insurance Category Code]],1,TM[[#All],[Large Provider Entity Code]],A172)/C172,"NA")</f>
        <v>NA</v>
      </c>
      <c r="F172" s="126" t="str">
        <f>IFERROR(SUMIFS(TM[[#All],[Total Non-Truncated Claims and Non-Claims Spending]],TM[[#All],[Reporting Year]],2021,TM[[#All],[Insurance Category Code]],1,TM[[#All],[Large Provider Entity Code]],A172)/C172,"NA")</f>
        <v>NA</v>
      </c>
      <c r="G172" s="126" t="str">
        <f>IFERROR(SUMIFS(TM[[#All],[Total Truncated Claims Spending]],TM[[#All],[Reporting Year]],2021,TM[[#All],[Insurance Category Code]],1,TM[[#All],[Large Provider Entity Code]],A172)/C172,"NA")</f>
        <v>NA</v>
      </c>
      <c r="H172" s="214" t="str">
        <f>IFERROR(SUMIFS(TM[[#All],[Total Truncated Expenses]],TM[[#All],[Reporting Year]],2021,TM[[#All],[Insurance Category Code]],1,TM[[#All],[Large Provider Entity Code]],A172)/C172,"NA")</f>
        <v>NA</v>
      </c>
      <c r="I172" s="213">
        <f>SUMIFS(TM[[#All],[Member Months]],TM[[#All],[Reporting Year]],2022,TM[[#All],[Insurance Category Code]],1,TM[[#All],[Large Provider Entity Code]],A172)</f>
        <v>0</v>
      </c>
      <c r="J172" s="126" t="str">
        <f>IFERROR(SUMIFS(TM[[#All],[Total Non-Truncated Claims Spending]],TM[[#All],[Reporting Year]],2022,TM[[#All],[Insurance Category Code]],1,TM[[#All],[Large Provider Entity Code]],A172)/I172,"NA")</f>
        <v>NA</v>
      </c>
      <c r="K172" s="126" t="str">
        <f>IFERROR(SUMIFS(TM[[#All],[Total Non-Claims Spending]],TM[[#All],[Reporting Year]],2022,TM[[#All],[Insurance Category Code]],1,TM[[#All],[Large Provider Entity Code]],A172)/I172,"NA")</f>
        <v>NA</v>
      </c>
      <c r="L172" s="126" t="str">
        <f>IFERROR(SUMIFS(TM[[#All],[Total Non-Truncated Claims and Non-Claims Spending]],TM[[#All],[Reporting Year]],2022,TM[[#All],[Insurance Category Code]],1,TM[[#All],[Large Provider Entity Code]],A172)/I172,"NA")</f>
        <v>NA</v>
      </c>
      <c r="M172" s="126" t="str">
        <f>IFERROR(SUMIFS(TM[[#All],[Total Truncated Claims Spending]],TM[[#All],[Reporting Year]],2022,TM[[#All],[Insurance Category Code]],1,TM[[#All],[Large Provider Entity Code]],A172)/I172,"NA")</f>
        <v>NA</v>
      </c>
      <c r="N172" s="214" t="str">
        <f>IFERROR(SUMIFS(TM[[#All],[Total Truncated Expenses]],TM[[#All],[Reporting Year]],2022,TM[[#All],[Insurance Category Code]],1,TM[[#All],[Large Provider Entity Code]],A172)/I172,"NA")</f>
        <v>NA</v>
      </c>
      <c r="O172" s="518">
        <f t="shared" si="121"/>
        <v>0</v>
      </c>
      <c r="P172" s="245" t="str">
        <f t="shared" si="115"/>
        <v>NA</v>
      </c>
      <c r="Q172" s="127" t="str">
        <f t="shared" si="116"/>
        <v>NA</v>
      </c>
      <c r="R172" s="127" t="str">
        <f t="shared" si="117"/>
        <v>NA</v>
      </c>
      <c r="S172" s="127" t="str">
        <f t="shared" si="118"/>
        <v>NA</v>
      </c>
      <c r="T172" s="127" t="str">
        <f t="shared" si="119"/>
        <v>NA</v>
      </c>
      <c r="U172" s="127" t="str">
        <f t="shared" si="120"/>
        <v>NA</v>
      </c>
    </row>
    <row r="173" spans="1:21" x14ac:dyDescent="0.25">
      <c r="A173" s="218">
        <v>112</v>
      </c>
      <c r="B173" s="566" t="s">
        <v>613</v>
      </c>
      <c r="C173" s="213">
        <f>SUMIFS(TM[[#All],[Member Months]],TM[[#All],[Reporting Year]],2021,TM[[#All],[Insurance Category Code]],1,TM[[#All],[Large Provider Entity Code]],A173)</f>
        <v>0</v>
      </c>
      <c r="D173" s="126" t="str">
        <f>IFERROR(SUMIFS(TM[[#All],[Total Non-Truncated Claims Spending]],TM[[#All],[Reporting Year]],2021,TM[[#All],[Insurance Category Code]],1,TM[[#All],[Large Provider Entity Code]],A173)/C173,"NA")</f>
        <v>NA</v>
      </c>
      <c r="E173" s="126" t="str">
        <f>IFERROR(SUMIFS(TM[[#All],[Total Non-Claims Spending]],TM[[#All],[Reporting Year]],2021,TM[[#All],[Insurance Category Code]],1,TM[[#All],[Large Provider Entity Code]],A173)/C173,"NA")</f>
        <v>NA</v>
      </c>
      <c r="F173" s="126" t="str">
        <f>IFERROR(SUMIFS(TM[[#All],[Total Non-Truncated Claims and Non-Claims Spending]],TM[[#All],[Reporting Year]],2021,TM[[#All],[Insurance Category Code]],1,TM[[#All],[Large Provider Entity Code]],A173)/C173,"NA")</f>
        <v>NA</v>
      </c>
      <c r="G173" s="126" t="str">
        <f>IFERROR(SUMIFS(TM[[#All],[Total Truncated Claims Spending]],TM[[#All],[Reporting Year]],2021,TM[[#All],[Insurance Category Code]],1,TM[[#All],[Large Provider Entity Code]],A173)/C173,"NA")</f>
        <v>NA</v>
      </c>
      <c r="H173" s="214" t="str">
        <f>IFERROR(SUMIFS(TM[[#All],[Total Truncated Expenses]],TM[[#All],[Reporting Year]],2021,TM[[#All],[Insurance Category Code]],1,TM[[#All],[Large Provider Entity Code]],A173)/C173,"NA")</f>
        <v>NA</v>
      </c>
      <c r="I173" s="213">
        <f>SUMIFS(TM[[#All],[Member Months]],TM[[#All],[Reporting Year]],2022,TM[[#All],[Insurance Category Code]],1,TM[[#All],[Large Provider Entity Code]],A173)</f>
        <v>0</v>
      </c>
      <c r="J173" s="126" t="str">
        <f>IFERROR(SUMIFS(TM[[#All],[Total Non-Truncated Claims Spending]],TM[[#All],[Reporting Year]],2022,TM[[#All],[Insurance Category Code]],1,TM[[#All],[Large Provider Entity Code]],A173)/I173,"NA")</f>
        <v>NA</v>
      </c>
      <c r="K173" s="126" t="str">
        <f>IFERROR(SUMIFS(TM[[#All],[Total Non-Claims Spending]],TM[[#All],[Reporting Year]],2022,TM[[#All],[Insurance Category Code]],1,TM[[#All],[Large Provider Entity Code]],A173)/I173,"NA")</f>
        <v>NA</v>
      </c>
      <c r="L173" s="126" t="str">
        <f>IFERROR(SUMIFS(TM[[#All],[Total Non-Truncated Claims and Non-Claims Spending]],TM[[#All],[Reporting Year]],2022,TM[[#All],[Insurance Category Code]],1,TM[[#All],[Large Provider Entity Code]],A173)/I173,"NA")</f>
        <v>NA</v>
      </c>
      <c r="M173" s="126" t="str">
        <f>IFERROR(SUMIFS(TM[[#All],[Total Truncated Claims Spending]],TM[[#All],[Reporting Year]],2022,TM[[#All],[Insurance Category Code]],1,TM[[#All],[Large Provider Entity Code]],A173)/I173,"NA")</f>
        <v>NA</v>
      </c>
      <c r="N173" s="214" t="str">
        <f>IFERROR(SUMIFS(TM[[#All],[Total Truncated Expenses]],TM[[#All],[Reporting Year]],2022,TM[[#All],[Insurance Category Code]],1,TM[[#All],[Large Provider Entity Code]],A173)/I173,"NA")</f>
        <v>NA</v>
      </c>
      <c r="O173" s="518">
        <f t="shared" si="121"/>
        <v>0</v>
      </c>
      <c r="P173" s="245" t="str">
        <f t="shared" si="115"/>
        <v>NA</v>
      </c>
      <c r="Q173" s="127" t="str">
        <f t="shared" si="116"/>
        <v>NA</v>
      </c>
      <c r="R173" s="127" t="str">
        <f t="shared" si="117"/>
        <v>NA</v>
      </c>
      <c r="S173" s="127" t="str">
        <f t="shared" si="118"/>
        <v>NA</v>
      </c>
      <c r="T173" s="127" t="str">
        <f t="shared" si="119"/>
        <v>NA</v>
      </c>
      <c r="U173" s="127" t="str">
        <f t="shared" si="120"/>
        <v>NA</v>
      </c>
    </row>
    <row r="174" spans="1:21" x14ac:dyDescent="0.25">
      <c r="A174" s="218">
        <v>115</v>
      </c>
      <c r="B174" s="566" t="s">
        <v>79</v>
      </c>
      <c r="C174" s="213">
        <f>SUMIFS(TM[[#All],[Member Months]],TM[[#All],[Reporting Year]],2021,TM[[#All],[Insurance Category Code]],1,TM[[#All],[Large Provider Entity Code]],A174)</f>
        <v>0</v>
      </c>
      <c r="D174" s="7" t="str">
        <f>IFERROR(SUMIFS(TM[[#All],[Total Non-Truncated Claims Spending]],TM[[#All],[Reporting Year]],2021,TM[[#All],[Insurance Category Code]],1,TM[[#All],[Large Provider Entity Code]],A174)/C174,"NA")</f>
        <v>NA</v>
      </c>
      <c r="E174" s="7" t="str">
        <f>IFERROR(SUMIFS(TM[[#All],[Total Non-Claims Spending]],TM[[#All],[Reporting Year]],2021,TM[[#All],[Insurance Category Code]],1,TM[[#All],[Large Provider Entity Code]],A174)/C174,"NA")</f>
        <v>NA</v>
      </c>
      <c r="F174" s="7" t="str">
        <f>IFERROR(SUMIFS(TM[[#All],[Total Non-Truncated Claims and Non-Claims Spending]],TM[[#All],[Reporting Year]],2021,TM[[#All],[Insurance Category Code]],1,TM[[#All],[Large Provider Entity Code]],A174)/C174,"NA")</f>
        <v>NA</v>
      </c>
      <c r="G174" s="7" t="str">
        <f>IFERROR(SUMIFS(TM[[#All],[Total Truncated Claims Spending]],TM[[#All],[Reporting Year]],2021,TM[[#All],[Insurance Category Code]],1,TM[[#All],[Large Provider Entity Code]],A174)/C174,"NA")</f>
        <v>NA</v>
      </c>
      <c r="H174" s="214" t="str">
        <f>IFERROR(SUMIFS(TM[[#All],[Total Truncated Expenses]],TM[[#All],[Reporting Year]],2021,TM[[#All],[Insurance Category Code]],1,TM[[#All],[Large Provider Entity Code]],A174)/C174,"NA")</f>
        <v>NA</v>
      </c>
      <c r="I174" s="213">
        <f>SUMIFS(TM[[#All],[Member Months]],TM[[#All],[Reporting Year]],2022,TM[[#All],[Insurance Category Code]],1,TM[[#All],[Large Provider Entity Code]],A174)</f>
        <v>0</v>
      </c>
      <c r="J174" s="7" t="str">
        <f>IFERROR(SUMIFS(TM[[#All],[Total Non-Truncated Claims Spending]],TM[[#All],[Reporting Year]],2022,TM[[#All],[Insurance Category Code]],1,TM[[#All],[Large Provider Entity Code]],A174)/I174,"NA")</f>
        <v>NA</v>
      </c>
      <c r="K174" s="7" t="str">
        <f>IFERROR(SUMIFS(TM[[#All],[Total Non-Claims Spending]],TM[[#All],[Reporting Year]],2022,TM[[#All],[Insurance Category Code]],1,TM[[#All],[Large Provider Entity Code]],A174)/I174,"NA")</f>
        <v>NA</v>
      </c>
      <c r="L174" s="7" t="str">
        <f>IFERROR(SUMIFS(TM[[#All],[Total Non-Truncated Claims and Non-Claims Spending]],TM[[#All],[Reporting Year]],2022,TM[[#All],[Insurance Category Code]],1,TM[[#All],[Large Provider Entity Code]],A174)/I174,"NA")</f>
        <v>NA</v>
      </c>
      <c r="M174" s="7" t="str">
        <f>IFERROR(SUMIFS(TM[[#All],[Total Truncated Claims Spending]],TM[[#All],[Reporting Year]],2022,TM[[#All],[Insurance Category Code]],1,TM[[#All],[Large Provider Entity Code]],A174)/I174,"NA")</f>
        <v>NA</v>
      </c>
      <c r="N174" s="214" t="str">
        <f>IFERROR(SUMIFS(TM[[#All],[Total Truncated Expenses]],TM[[#All],[Reporting Year]],2022,TM[[#All],[Insurance Category Code]],1,TM[[#All],[Large Provider Entity Code]],A174)/I174,"NA")</f>
        <v>NA</v>
      </c>
      <c r="O174" s="518">
        <f t="shared" si="121"/>
        <v>0</v>
      </c>
      <c r="P174" s="245" t="str">
        <f t="shared" si="115"/>
        <v>NA</v>
      </c>
      <c r="Q174" s="127" t="str">
        <f t="shared" si="116"/>
        <v>NA</v>
      </c>
      <c r="R174" s="127" t="str">
        <f t="shared" si="117"/>
        <v>NA</v>
      </c>
      <c r="S174" s="127" t="str">
        <f t="shared" si="118"/>
        <v>NA</v>
      </c>
      <c r="T174" s="127" t="str">
        <f t="shared" si="119"/>
        <v>NA</v>
      </c>
      <c r="U174" s="127" t="str">
        <f t="shared" si="120"/>
        <v>NA</v>
      </c>
    </row>
    <row r="175" spans="1:21" x14ac:dyDescent="0.25">
      <c r="A175" s="218">
        <v>116</v>
      </c>
      <c r="B175" s="566" t="s">
        <v>614</v>
      </c>
      <c r="C175" s="213">
        <f>SUMIFS(TM[[#All],[Member Months]],TM[[#All],[Reporting Year]],2021,TM[[#All],[Insurance Category Code]],1,TM[[#All],[Large Provider Entity Code]],A175)</f>
        <v>0</v>
      </c>
      <c r="D175" s="7" t="str">
        <f>IFERROR(SUMIFS(TM[[#All],[Total Non-Truncated Claims Spending]],TM[[#All],[Reporting Year]],2021,TM[[#All],[Insurance Category Code]],1,TM[[#All],[Large Provider Entity Code]],A175)/C175,"NA")</f>
        <v>NA</v>
      </c>
      <c r="E175" s="7" t="str">
        <f>IFERROR(SUMIFS(TM[[#All],[Total Non-Claims Spending]],TM[[#All],[Reporting Year]],2021,TM[[#All],[Insurance Category Code]],1,TM[[#All],[Large Provider Entity Code]],A175)/C175,"NA")</f>
        <v>NA</v>
      </c>
      <c r="F175" s="7" t="str">
        <f>IFERROR(SUMIFS(TM[[#All],[Total Non-Truncated Claims and Non-Claims Spending]],TM[[#All],[Reporting Year]],2021,TM[[#All],[Insurance Category Code]],1,TM[[#All],[Large Provider Entity Code]],A175)/C175,"NA")</f>
        <v>NA</v>
      </c>
      <c r="G175" s="7" t="str">
        <f>IFERROR(SUMIFS(TM[[#All],[Total Truncated Claims Spending]],TM[[#All],[Reporting Year]],2021,TM[[#All],[Insurance Category Code]],1,TM[[#All],[Large Provider Entity Code]],A175)/C175,"NA")</f>
        <v>NA</v>
      </c>
      <c r="H175" s="214" t="str">
        <f>IFERROR(SUMIFS(TM[[#All],[Total Truncated Expenses]],TM[[#All],[Reporting Year]],2021,TM[[#All],[Insurance Category Code]],1,TM[[#All],[Large Provider Entity Code]],A175)/C175,"NA")</f>
        <v>NA</v>
      </c>
      <c r="I175" s="213">
        <f>SUMIFS(TM[[#All],[Member Months]],TM[[#All],[Reporting Year]],2022,TM[[#All],[Insurance Category Code]],1,TM[[#All],[Large Provider Entity Code]],A175)</f>
        <v>0</v>
      </c>
      <c r="J175" s="7" t="str">
        <f>IFERROR(SUMIFS(TM[[#All],[Total Non-Truncated Claims Spending]],TM[[#All],[Reporting Year]],2022,TM[[#All],[Insurance Category Code]],1,TM[[#All],[Large Provider Entity Code]],A175)/I175,"NA")</f>
        <v>NA</v>
      </c>
      <c r="K175" s="7" t="str">
        <f>IFERROR(SUMIFS(TM[[#All],[Total Non-Claims Spending]],TM[[#All],[Reporting Year]],2022,TM[[#All],[Insurance Category Code]],1,TM[[#All],[Large Provider Entity Code]],A175)/I175,"NA")</f>
        <v>NA</v>
      </c>
      <c r="L175" s="7" t="str">
        <f>IFERROR(SUMIFS(TM[[#All],[Total Non-Truncated Claims and Non-Claims Spending]],TM[[#All],[Reporting Year]],2022,TM[[#All],[Insurance Category Code]],1,TM[[#All],[Large Provider Entity Code]],A175)/I175,"NA")</f>
        <v>NA</v>
      </c>
      <c r="M175" s="7" t="str">
        <f>IFERROR(SUMIFS(TM[[#All],[Total Truncated Claims Spending]],TM[[#All],[Reporting Year]],2022,TM[[#All],[Insurance Category Code]],1,TM[[#All],[Large Provider Entity Code]],A175)/I175,"NA")</f>
        <v>NA</v>
      </c>
      <c r="N175" s="214" t="str">
        <f>IFERROR(SUMIFS(TM[[#All],[Total Truncated Expenses]],TM[[#All],[Reporting Year]],2022,TM[[#All],[Insurance Category Code]],1,TM[[#All],[Large Provider Entity Code]],A175)/I175,"NA")</f>
        <v>NA</v>
      </c>
      <c r="O175" s="518">
        <f t="shared" si="121"/>
        <v>0</v>
      </c>
      <c r="P175" s="245" t="str">
        <f t="shared" si="115"/>
        <v>NA</v>
      </c>
      <c r="Q175" s="127" t="str">
        <f t="shared" si="116"/>
        <v>NA</v>
      </c>
      <c r="R175" s="127" t="str">
        <f t="shared" si="117"/>
        <v>NA</v>
      </c>
      <c r="S175" s="127" t="str">
        <f t="shared" si="118"/>
        <v>NA</v>
      </c>
      <c r="T175" s="127" t="str">
        <f t="shared" si="119"/>
        <v>NA</v>
      </c>
      <c r="U175" s="127" t="str">
        <f t="shared" si="120"/>
        <v>NA</v>
      </c>
    </row>
    <row r="176" spans="1:21" x14ac:dyDescent="0.25">
      <c r="A176" s="218">
        <v>118</v>
      </c>
      <c r="B176" s="566" t="s">
        <v>80</v>
      </c>
      <c r="C176" s="213">
        <f>SUMIFS(TM[[#All],[Member Months]],TM[[#All],[Reporting Year]],2021,TM[[#All],[Insurance Category Code]],1,TM[[#All],[Large Provider Entity Code]],A176)</f>
        <v>0</v>
      </c>
      <c r="D176" s="7" t="str">
        <f>IFERROR(SUMIFS(TM[[#All],[Total Non-Truncated Claims Spending]],TM[[#All],[Reporting Year]],2021,TM[[#All],[Insurance Category Code]],1,TM[[#All],[Large Provider Entity Code]],A176)/C176,"NA")</f>
        <v>NA</v>
      </c>
      <c r="E176" s="7" t="str">
        <f>IFERROR(SUMIFS(TM[[#All],[Total Non-Claims Spending]],TM[[#All],[Reporting Year]],2021,TM[[#All],[Insurance Category Code]],1,TM[[#All],[Large Provider Entity Code]],A176)/C176,"NA")</f>
        <v>NA</v>
      </c>
      <c r="F176" s="7" t="str">
        <f>IFERROR(SUMIFS(TM[[#All],[Total Non-Truncated Claims and Non-Claims Spending]],TM[[#All],[Reporting Year]],2021,TM[[#All],[Insurance Category Code]],1,TM[[#All],[Large Provider Entity Code]],A176)/C176,"NA")</f>
        <v>NA</v>
      </c>
      <c r="G176" s="7" t="str">
        <f>IFERROR(SUMIFS(TM[[#All],[Total Truncated Claims Spending]],TM[[#All],[Reporting Year]],2021,TM[[#All],[Insurance Category Code]],1,TM[[#All],[Large Provider Entity Code]],A176)/C176,"NA")</f>
        <v>NA</v>
      </c>
      <c r="H176" s="214" t="str">
        <f>IFERROR(SUMIFS(TM[[#All],[Total Truncated Expenses]],TM[[#All],[Reporting Year]],2021,TM[[#All],[Insurance Category Code]],1,TM[[#All],[Large Provider Entity Code]],A176)/C176,"NA")</f>
        <v>NA</v>
      </c>
      <c r="I176" s="213">
        <f>SUMIFS(TM[[#All],[Member Months]],TM[[#All],[Reporting Year]],2022,TM[[#All],[Insurance Category Code]],1,TM[[#All],[Large Provider Entity Code]],A176)</f>
        <v>0</v>
      </c>
      <c r="J176" s="7" t="str">
        <f>IFERROR(SUMIFS(TM[[#All],[Total Non-Truncated Claims Spending]],TM[[#All],[Reporting Year]],2022,TM[[#All],[Insurance Category Code]],1,TM[[#All],[Large Provider Entity Code]],A176)/I176,"NA")</f>
        <v>NA</v>
      </c>
      <c r="K176" s="7" t="str">
        <f>IFERROR(SUMIFS(TM[[#All],[Total Non-Claims Spending]],TM[[#All],[Reporting Year]],2022,TM[[#All],[Insurance Category Code]],1,TM[[#All],[Large Provider Entity Code]],A176)/I176,"NA")</f>
        <v>NA</v>
      </c>
      <c r="L176" s="7" t="str">
        <f>IFERROR(SUMIFS(TM[[#All],[Total Non-Truncated Claims and Non-Claims Spending]],TM[[#All],[Reporting Year]],2022,TM[[#All],[Insurance Category Code]],1,TM[[#All],[Large Provider Entity Code]],A176)/I176,"NA")</f>
        <v>NA</v>
      </c>
      <c r="M176" s="7" t="str">
        <f>IFERROR(SUMIFS(TM[[#All],[Total Truncated Claims Spending]],TM[[#All],[Reporting Year]],2022,TM[[#All],[Insurance Category Code]],1,TM[[#All],[Large Provider Entity Code]],A176)/I176,"NA")</f>
        <v>NA</v>
      </c>
      <c r="N176" s="214" t="str">
        <f>IFERROR(SUMIFS(TM[[#All],[Total Truncated Expenses]],TM[[#All],[Reporting Year]],2022,TM[[#All],[Insurance Category Code]],1,TM[[#All],[Large Provider Entity Code]],A176)/I176,"NA")</f>
        <v>NA</v>
      </c>
      <c r="O176" s="518">
        <f t="shared" si="121"/>
        <v>0</v>
      </c>
      <c r="P176" s="245" t="str">
        <f t="shared" si="115"/>
        <v>NA</v>
      </c>
      <c r="Q176" s="127" t="str">
        <f t="shared" si="116"/>
        <v>NA</v>
      </c>
      <c r="R176" s="127" t="str">
        <f t="shared" si="117"/>
        <v>NA</v>
      </c>
      <c r="S176" s="127" t="str">
        <f t="shared" si="118"/>
        <v>NA</v>
      </c>
      <c r="T176" s="127" t="str">
        <f t="shared" si="119"/>
        <v>NA</v>
      </c>
      <c r="U176" s="127" t="str">
        <f t="shared" si="120"/>
        <v>NA</v>
      </c>
    </row>
    <row r="177" spans="1:21" x14ac:dyDescent="0.25">
      <c r="A177" s="218">
        <v>119</v>
      </c>
      <c r="B177" s="566" t="s">
        <v>615</v>
      </c>
      <c r="C177" s="213">
        <f>SUMIFS(TM[[#All],[Member Months]],TM[[#All],[Reporting Year]],2021,TM[[#All],[Insurance Category Code]],1,TM[[#All],[Large Provider Entity Code]],A177)</f>
        <v>0</v>
      </c>
      <c r="D177" s="7" t="str">
        <f>IFERROR(SUMIFS(TM[[#All],[Total Non-Truncated Claims Spending]],TM[[#All],[Reporting Year]],2021,TM[[#All],[Insurance Category Code]],1,TM[[#All],[Large Provider Entity Code]],A177)/C177,"NA")</f>
        <v>NA</v>
      </c>
      <c r="E177" s="7" t="str">
        <f>IFERROR(SUMIFS(TM[[#All],[Total Non-Claims Spending]],TM[[#All],[Reporting Year]],2021,TM[[#All],[Insurance Category Code]],1,TM[[#All],[Large Provider Entity Code]],A177)/C177,"NA")</f>
        <v>NA</v>
      </c>
      <c r="F177" s="7" t="str">
        <f>IFERROR(SUMIFS(TM[[#All],[Total Non-Truncated Claims and Non-Claims Spending]],TM[[#All],[Reporting Year]],2021,TM[[#All],[Insurance Category Code]],1,TM[[#All],[Large Provider Entity Code]],A177)/C177,"NA")</f>
        <v>NA</v>
      </c>
      <c r="G177" s="7" t="str">
        <f>IFERROR(SUMIFS(TM[[#All],[Total Truncated Claims Spending]],TM[[#All],[Reporting Year]],2021,TM[[#All],[Insurance Category Code]],1,TM[[#All],[Large Provider Entity Code]],A177)/C177,"NA")</f>
        <v>NA</v>
      </c>
      <c r="H177" s="214" t="str">
        <f>IFERROR(SUMIFS(TM[[#All],[Total Truncated Expenses]],TM[[#All],[Reporting Year]],2021,TM[[#All],[Insurance Category Code]],1,TM[[#All],[Large Provider Entity Code]],A177)/C177,"NA")</f>
        <v>NA</v>
      </c>
      <c r="I177" s="213">
        <f>SUMIFS(TM[[#All],[Member Months]],TM[[#All],[Reporting Year]],2022,TM[[#All],[Insurance Category Code]],1,TM[[#All],[Large Provider Entity Code]],A177)</f>
        <v>0</v>
      </c>
      <c r="J177" s="7" t="str">
        <f>IFERROR(SUMIFS(TM[[#All],[Total Non-Truncated Claims Spending]],TM[[#All],[Reporting Year]],2022,TM[[#All],[Insurance Category Code]],1,TM[[#All],[Large Provider Entity Code]],A177)/I177,"NA")</f>
        <v>NA</v>
      </c>
      <c r="K177" s="7" t="str">
        <f>IFERROR(SUMIFS(TM[[#All],[Total Non-Claims Spending]],TM[[#All],[Reporting Year]],2022,TM[[#All],[Insurance Category Code]],1,TM[[#All],[Large Provider Entity Code]],A177)/I177,"NA")</f>
        <v>NA</v>
      </c>
      <c r="L177" s="7" t="str">
        <f>IFERROR(SUMIFS(TM[[#All],[Total Non-Truncated Claims and Non-Claims Spending]],TM[[#All],[Reporting Year]],2022,TM[[#All],[Insurance Category Code]],1,TM[[#All],[Large Provider Entity Code]],A177)/I177,"NA")</f>
        <v>NA</v>
      </c>
      <c r="M177" s="7" t="str">
        <f>IFERROR(SUMIFS(TM[[#All],[Total Truncated Claims Spending]],TM[[#All],[Reporting Year]],2022,TM[[#All],[Insurance Category Code]],1,TM[[#All],[Large Provider Entity Code]],A177)/I177,"NA")</f>
        <v>NA</v>
      </c>
      <c r="N177" s="214" t="str">
        <f>IFERROR(SUMIFS(TM[[#All],[Total Truncated Expenses]],TM[[#All],[Reporting Year]],2022,TM[[#All],[Insurance Category Code]],1,TM[[#All],[Large Provider Entity Code]],A177)/I177,"NA")</f>
        <v>NA</v>
      </c>
      <c r="O177" s="518">
        <f t="shared" si="121"/>
        <v>0</v>
      </c>
      <c r="P177" s="245" t="str">
        <f t="shared" ref="P177:P180" si="122">IFERROR((I177/C177-1),"NA")</f>
        <v>NA</v>
      </c>
      <c r="Q177" s="127" t="str">
        <f t="shared" ref="Q177:Q180" si="123">IFERROR((J177/D177-1),"NA")</f>
        <v>NA</v>
      </c>
      <c r="R177" s="127" t="str">
        <f t="shared" ref="R177:R180" si="124">IFERROR((K177/E177-1),"NA")</f>
        <v>NA</v>
      </c>
      <c r="S177" s="127" t="str">
        <f t="shared" ref="S177:S180" si="125">IFERROR((L177/F177-1),"NA")</f>
        <v>NA</v>
      </c>
      <c r="T177" s="127" t="str">
        <f t="shared" ref="T177:T180" si="126">IFERROR((M177/G177-1),"NA")</f>
        <v>NA</v>
      </c>
      <c r="U177" s="127" t="str">
        <f t="shared" ref="U177:U180" si="127">IFERROR((N177/H177-1),"NA")</f>
        <v>NA</v>
      </c>
    </row>
    <row r="178" spans="1:21" x14ac:dyDescent="0.25">
      <c r="A178" s="218">
        <v>120</v>
      </c>
      <c r="B178" s="566" t="s">
        <v>608</v>
      </c>
      <c r="C178" s="213">
        <f>SUMIFS(TM[[#All],[Member Months]],TM[[#All],[Reporting Year]],2021,TM[[#All],[Insurance Category Code]],1,TM[[#All],[Large Provider Entity Code]],A178)</f>
        <v>0</v>
      </c>
      <c r="D178" s="7" t="str">
        <f>IFERROR(SUMIFS(TM[[#All],[Total Non-Truncated Claims Spending]],TM[[#All],[Reporting Year]],2021,TM[[#All],[Insurance Category Code]],1,TM[[#All],[Large Provider Entity Code]],A178)/C178,"NA")</f>
        <v>NA</v>
      </c>
      <c r="E178" s="7" t="str">
        <f>IFERROR(SUMIFS(TM[[#All],[Total Non-Claims Spending]],TM[[#All],[Reporting Year]],2021,TM[[#All],[Insurance Category Code]],1,TM[[#All],[Large Provider Entity Code]],A178)/C178,"NA")</f>
        <v>NA</v>
      </c>
      <c r="F178" s="7" t="str">
        <f>IFERROR(SUMIFS(TM[[#All],[Total Non-Truncated Claims and Non-Claims Spending]],TM[[#All],[Reporting Year]],2021,TM[[#All],[Insurance Category Code]],1,TM[[#All],[Large Provider Entity Code]],A178)/C178,"NA")</f>
        <v>NA</v>
      </c>
      <c r="G178" s="7" t="str">
        <f>IFERROR(SUMIFS(TM[[#All],[Total Truncated Claims Spending]],TM[[#All],[Reporting Year]],2021,TM[[#All],[Insurance Category Code]],1,TM[[#All],[Large Provider Entity Code]],A178)/C178,"NA")</f>
        <v>NA</v>
      </c>
      <c r="H178" s="214" t="str">
        <f>IFERROR(SUMIFS(TM[[#All],[Total Truncated Expenses]],TM[[#All],[Reporting Year]],2021,TM[[#All],[Insurance Category Code]],1,TM[[#All],[Large Provider Entity Code]],A178)/C178,"NA")</f>
        <v>NA</v>
      </c>
      <c r="I178" s="213">
        <f>SUMIFS(TM[[#All],[Member Months]],TM[[#All],[Reporting Year]],2022,TM[[#All],[Insurance Category Code]],1,TM[[#All],[Large Provider Entity Code]],A178)</f>
        <v>0</v>
      </c>
      <c r="J178" s="7" t="str">
        <f>IFERROR(SUMIFS(TM[[#All],[Total Non-Truncated Claims Spending]],TM[[#All],[Reporting Year]],2022,TM[[#All],[Insurance Category Code]],1,TM[[#All],[Large Provider Entity Code]],A178)/I178,"NA")</f>
        <v>NA</v>
      </c>
      <c r="K178" s="7" t="str">
        <f>IFERROR(SUMIFS(TM[[#All],[Total Non-Claims Spending]],TM[[#All],[Reporting Year]],2022,TM[[#All],[Insurance Category Code]],1,TM[[#All],[Large Provider Entity Code]],A178)/I178,"NA")</f>
        <v>NA</v>
      </c>
      <c r="L178" s="7" t="str">
        <f>IFERROR(SUMIFS(TM[[#All],[Total Non-Truncated Claims and Non-Claims Spending]],TM[[#All],[Reporting Year]],2022,TM[[#All],[Insurance Category Code]],1,TM[[#All],[Large Provider Entity Code]],A178)/I178,"NA")</f>
        <v>NA</v>
      </c>
      <c r="M178" s="7" t="str">
        <f>IFERROR(SUMIFS(TM[[#All],[Total Truncated Claims Spending]],TM[[#All],[Reporting Year]],2022,TM[[#All],[Insurance Category Code]],1,TM[[#All],[Large Provider Entity Code]],A178)/I178,"NA")</f>
        <v>NA</v>
      </c>
      <c r="N178" s="214" t="str">
        <f>IFERROR(SUMIFS(TM[[#All],[Total Truncated Expenses]],TM[[#All],[Reporting Year]],2022,TM[[#All],[Insurance Category Code]],1,TM[[#All],[Large Provider Entity Code]],A178)/I178,"NA")</f>
        <v>NA</v>
      </c>
      <c r="O178" s="518">
        <f t="shared" ref="O178" si="128">ABS(C178-I178)</f>
        <v>0</v>
      </c>
      <c r="P178" s="245" t="str">
        <f t="shared" ref="P178" si="129">IFERROR((I178/C178-1),"NA")</f>
        <v>NA</v>
      </c>
      <c r="Q178" s="127" t="str">
        <f t="shared" ref="Q178" si="130">IFERROR((J178/D178-1),"NA")</f>
        <v>NA</v>
      </c>
      <c r="R178" s="127" t="str">
        <f t="shared" ref="R178" si="131">IFERROR((K178/E178-1),"NA")</f>
        <v>NA</v>
      </c>
      <c r="S178" s="127" t="str">
        <f t="shared" ref="S178" si="132">IFERROR((L178/F178-1),"NA")</f>
        <v>NA</v>
      </c>
      <c r="T178" s="127" t="str">
        <f t="shared" ref="T178" si="133">IFERROR((M178/G178-1),"NA")</f>
        <v>NA</v>
      </c>
      <c r="U178" s="127" t="str">
        <f t="shared" ref="U178" si="134">IFERROR((N178/H178-1),"NA")</f>
        <v>NA</v>
      </c>
    </row>
    <row r="179" spans="1:21" ht="30" x14ac:dyDescent="0.25">
      <c r="A179" s="218">
        <v>121</v>
      </c>
      <c r="B179" s="495" t="s">
        <v>616</v>
      </c>
      <c r="C179" s="213">
        <f>SUMIFS(TM[[#All],[Member Months]],TM[[#All],[Reporting Year]],2021,TM[[#All],[Insurance Category Code]],1,TM[[#All],[Large Provider Entity Code]],A179)</f>
        <v>0</v>
      </c>
      <c r="D179" s="7" t="str">
        <f>IFERROR(SUMIFS(TM[[#All],[Total Non-Truncated Claims Spending]],TM[[#All],[Reporting Year]],2021,TM[[#All],[Insurance Category Code]],1,TM[[#All],[Large Provider Entity Code]],A179)/C179,"NA")</f>
        <v>NA</v>
      </c>
      <c r="E179" s="7" t="str">
        <f>IFERROR(SUMIFS(TM[[#All],[Total Non-Claims Spending]],TM[[#All],[Reporting Year]],2021,TM[[#All],[Insurance Category Code]],1,TM[[#All],[Large Provider Entity Code]],A179)/C179,"NA")</f>
        <v>NA</v>
      </c>
      <c r="F179" s="7" t="str">
        <f>IFERROR(SUMIFS(TM[[#All],[Total Non-Truncated Claims and Non-Claims Spending]],TM[[#All],[Reporting Year]],2021,TM[[#All],[Insurance Category Code]],1,TM[[#All],[Large Provider Entity Code]],A179)/C179,"NA")</f>
        <v>NA</v>
      </c>
      <c r="G179" s="7" t="str">
        <f>IFERROR(SUMIFS(TM[[#All],[Total Truncated Claims Spending]],TM[[#All],[Reporting Year]],2021,TM[[#All],[Insurance Category Code]],1,TM[[#All],[Large Provider Entity Code]],A179)/C179,"NA")</f>
        <v>NA</v>
      </c>
      <c r="H179" s="214" t="str">
        <f>IFERROR(SUMIFS(TM[[#All],[Total Truncated Expenses]],TM[[#All],[Reporting Year]],2021,TM[[#All],[Insurance Category Code]],1,TM[[#All],[Large Provider Entity Code]],A179)/C179,"NA")</f>
        <v>NA</v>
      </c>
      <c r="I179" s="213">
        <f>SUMIFS(TM[[#All],[Member Months]],TM[[#All],[Reporting Year]],2022,TM[[#All],[Insurance Category Code]],1,TM[[#All],[Large Provider Entity Code]],A179)</f>
        <v>0</v>
      </c>
      <c r="J179" s="7" t="str">
        <f>IFERROR(SUMIFS(TM[[#All],[Total Non-Truncated Claims Spending]],TM[[#All],[Reporting Year]],2022,TM[[#All],[Insurance Category Code]],1,TM[[#All],[Large Provider Entity Code]],A179)/I179,"NA")</f>
        <v>NA</v>
      </c>
      <c r="K179" s="7" t="str">
        <f>IFERROR(SUMIFS(TM[[#All],[Total Non-Claims Spending]],TM[[#All],[Reporting Year]],2022,TM[[#All],[Insurance Category Code]],1,TM[[#All],[Large Provider Entity Code]],A179)/I179,"NA")</f>
        <v>NA</v>
      </c>
      <c r="L179" s="7" t="str">
        <f>IFERROR(SUMIFS(TM[[#All],[Total Non-Truncated Claims and Non-Claims Spending]],TM[[#All],[Reporting Year]],2022,TM[[#All],[Insurance Category Code]],1,TM[[#All],[Large Provider Entity Code]],A179)/I179,"NA")</f>
        <v>NA</v>
      </c>
      <c r="M179" s="7" t="str">
        <f>IFERROR(SUMIFS(TM[[#All],[Total Truncated Claims Spending]],TM[[#All],[Reporting Year]],2022,TM[[#All],[Insurance Category Code]],1,TM[[#All],[Large Provider Entity Code]],A179)/I179,"NA")</f>
        <v>NA</v>
      </c>
      <c r="N179" s="214" t="str">
        <f>IFERROR(SUMIFS(TM[[#All],[Total Truncated Expenses]],TM[[#All],[Reporting Year]],2022,TM[[#All],[Insurance Category Code]],1,TM[[#All],[Large Provider Entity Code]],A179)/I179,"NA")</f>
        <v>NA</v>
      </c>
      <c r="O179" s="518">
        <f t="shared" si="121"/>
        <v>0</v>
      </c>
      <c r="P179" s="245" t="str">
        <f t="shared" si="122"/>
        <v>NA</v>
      </c>
      <c r="Q179" s="127" t="str">
        <f t="shared" si="123"/>
        <v>NA</v>
      </c>
      <c r="R179" s="127" t="str">
        <f t="shared" si="124"/>
        <v>NA</v>
      </c>
      <c r="S179" s="127" t="str">
        <f t="shared" si="125"/>
        <v>NA</v>
      </c>
      <c r="T179" s="127" t="str">
        <f t="shared" si="126"/>
        <v>NA</v>
      </c>
      <c r="U179" s="127" t="str">
        <f t="shared" si="127"/>
        <v>NA</v>
      </c>
    </row>
    <row r="180" spans="1:21" x14ac:dyDescent="0.25">
      <c r="A180" s="218">
        <v>122</v>
      </c>
      <c r="B180" s="566" t="s">
        <v>617</v>
      </c>
      <c r="C180" s="213">
        <f>SUMIFS(TM[[#All],[Member Months]],TM[[#All],[Reporting Year]],2021,TM[[#All],[Insurance Category Code]],1,TM[[#All],[Large Provider Entity Code]],A180)</f>
        <v>0</v>
      </c>
      <c r="D180" s="7" t="str">
        <f>IFERROR(SUMIFS(TM[[#All],[Total Non-Truncated Claims Spending]],TM[[#All],[Reporting Year]],2021,TM[[#All],[Insurance Category Code]],1,TM[[#All],[Large Provider Entity Code]],A180)/C180,"NA")</f>
        <v>NA</v>
      </c>
      <c r="E180" s="7" t="str">
        <f>IFERROR(SUMIFS(TM[[#All],[Total Non-Claims Spending]],TM[[#All],[Reporting Year]],2021,TM[[#All],[Insurance Category Code]],1,TM[[#All],[Large Provider Entity Code]],A180)/C180,"NA")</f>
        <v>NA</v>
      </c>
      <c r="F180" s="7" t="str">
        <f>IFERROR(SUMIFS(TM[[#All],[Total Non-Truncated Claims and Non-Claims Spending]],TM[[#All],[Reporting Year]],2021,TM[[#All],[Insurance Category Code]],1,TM[[#All],[Large Provider Entity Code]],A180)/C180,"NA")</f>
        <v>NA</v>
      </c>
      <c r="G180" s="7" t="str">
        <f>IFERROR(SUMIFS(TM[[#All],[Total Truncated Claims Spending]],TM[[#All],[Reporting Year]],2021,TM[[#All],[Insurance Category Code]],1,TM[[#All],[Large Provider Entity Code]],A180)/C180,"NA")</f>
        <v>NA</v>
      </c>
      <c r="H180" s="214" t="str">
        <f>IFERROR(SUMIFS(TM[[#All],[Total Truncated Expenses]],TM[[#All],[Reporting Year]],2021,TM[[#All],[Insurance Category Code]],1,TM[[#All],[Large Provider Entity Code]],A180)/C180,"NA")</f>
        <v>NA</v>
      </c>
      <c r="I180" s="213">
        <f>SUMIFS(TM[[#All],[Member Months]],TM[[#All],[Reporting Year]],2022,TM[[#All],[Insurance Category Code]],1,TM[[#All],[Large Provider Entity Code]],A180)</f>
        <v>0</v>
      </c>
      <c r="J180" s="7" t="str">
        <f>IFERROR(SUMIFS(TM[[#All],[Total Non-Truncated Claims Spending]],TM[[#All],[Reporting Year]],2022,TM[[#All],[Insurance Category Code]],1,TM[[#All],[Large Provider Entity Code]],A180)/I180,"NA")</f>
        <v>NA</v>
      </c>
      <c r="K180" s="7" t="str">
        <f>IFERROR(SUMIFS(TM[[#All],[Total Non-Claims Spending]],TM[[#All],[Reporting Year]],2022,TM[[#All],[Insurance Category Code]],1,TM[[#All],[Large Provider Entity Code]],A180)/I180,"NA")</f>
        <v>NA</v>
      </c>
      <c r="L180" s="7" t="str">
        <f>IFERROR(SUMIFS(TM[[#All],[Total Non-Truncated Claims and Non-Claims Spending]],TM[[#All],[Reporting Year]],2022,TM[[#All],[Insurance Category Code]],1,TM[[#All],[Large Provider Entity Code]],A180)/I180,"NA")</f>
        <v>NA</v>
      </c>
      <c r="M180" s="7" t="str">
        <f>IFERROR(SUMIFS(TM[[#All],[Total Truncated Claims Spending]],TM[[#All],[Reporting Year]],2022,TM[[#All],[Insurance Category Code]],1,TM[[#All],[Large Provider Entity Code]],A180)/I180,"NA")</f>
        <v>NA</v>
      </c>
      <c r="N180" s="214" t="str">
        <f>IFERROR(SUMIFS(TM[[#All],[Total Truncated Expenses]],TM[[#All],[Reporting Year]],2022,TM[[#All],[Insurance Category Code]],1,TM[[#All],[Large Provider Entity Code]],A180)/I180,"NA")</f>
        <v>NA</v>
      </c>
      <c r="O180" s="518">
        <f t="shared" si="121"/>
        <v>0</v>
      </c>
      <c r="P180" s="245" t="str">
        <f t="shared" si="122"/>
        <v>NA</v>
      </c>
      <c r="Q180" s="127" t="str">
        <f t="shared" si="123"/>
        <v>NA</v>
      </c>
      <c r="R180" s="127" t="str">
        <f t="shared" si="124"/>
        <v>NA</v>
      </c>
      <c r="S180" s="127" t="str">
        <f t="shared" si="125"/>
        <v>NA</v>
      </c>
      <c r="T180" s="127" t="str">
        <f t="shared" si="126"/>
        <v>NA</v>
      </c>
      <c r="U180" s="127" t="str">
        <f t="shared" si="127"/>
        <v>NA</v>
      </c>
    </row>
    <row r="181" spans="1:21" x14ac:dyDescent="0.25">
      <c r="A181" s="218">
        <v>999</v>
      </c>
      <c r="B181" s="495" t="s">
        <v>81</v>
      </c>
      <c r="C181" s="213">
        <f>SUMIFS(TM[[#All],[Member Months]],TM[[#All],[Reporting Year]],2021,TM[[#All],[Insurance Category Code]],1,TM[[#All],[Large Provider Entity Code]],A181)</f>
        <v>0</v>
      </c>
      <c r="D181" s="7" t="str">
        <f>IFERROR(SUMIFS(TM[[#All],[Total Non-Truncated Claims Spending]],TM[[#All],[Reporting Year]],2021,TM[[#All],[Insurance Category Code]],1,TM[[#All],[Large Provider Entity Code]],A181)/C181,"NA")</f>
        <v>NA</v>
      </c>
      <c r="E181" s="7" t="str">
        <f>IFERROR(SUMIFS(TM[[#All],[Total Non-Claims Spending]],TM[[#All],[Reporting Year]],2021,TM[[#All],[Insurance Category Code]],1,TM[[#All],[Large Provider Entity Code]],A181)/C181,"NA")</f>
        <v>NA</v>
      </c>
      <c r="F181" s="7" t="str">
        <f>IFERROR(SUMIFS(TM[[#All],[Total Non-Truncated Claims and Non-Claims Spending]],TM[[#All],[Reporting Year]],2021,TM[[#All],[Insurance Category Code]],1,TM[[#All],[Large Provider Entity Code]],A181)/C181,"NA")</f>
        <v>NA</v>
      </c>
      <c r="G181" s="7" t="str">
        <f>IFERROR(SUMIFS(TM[[#All],[Total Truncated Claims Spending]],TM[[#All],[Reporting Year]],2021,TM[[#All],[Insurance Category Code]],1,TM[[#All],[Large Provider Entity Code]],A181)/C181,"NA")</f>
        <v>NA</v>
      </c>
      <c r="H181" s="214" t="str">
        <f>IFERROR(SUMIFS(TM[[#All],[Total Truncated Expenses]],TM[[#All],[Reporting Year]],2021,TM[[#All],[Insurance Category Code]],1,TM[[#All],[Large Provider Entity Code]],A181)/C181,"NA")</f>
        <v>NA</v>
      </c>
      <c r="I181" s="213">
        <f>SUMIFS(TM[[#All],[Member Months]],TM[[#All],[Reporting Year]],2022,TM[[#All],[Insurance Category Code]],1,TM[[#All],[Large Provider Entity Code]],A181)</f>
        <v>0</v>
      </c>
      <c r="J181" s="7" t="str">
        <f>IFERROR(SUMIFS(TM[[#All],[Total Non-Truncated Claims Spending]],TM[[#All],[Reporting Year]],2022,TM[[#All],[Insurance Category Code]],1,TM[[#All],[Large Provider Entity Code]],A181)/I181,"NA")</f>
        <v>NA</v>
      </c>
      <c r="K181" s="7" t="str">
        <f>IFERROR(SUMIFS(TM[[#All],[Total Non-Claims Spending]],TM[[#All],[Reporting Year]],2022,TM[[#All],[Insurance Category Code]],1,TM[[#All],[Large Provider Entity Code]],A181)/I181,"NA")</f>
        <v>NA</v>
      </c>
      <c r="L181" s="7" t="str">
        <f>IFERROR(SUMIFS(TM[[#All],[Total Non-Truncated Claims and Non-Claims Spending]],TM[[#All],[Reporting Year]],2022,TM[[#All],[Insurance Category Code]],1,TM[[#All],[Large Provider Entity Code]],A181)/I181,"NA")</f>
        <v>NA</v>
      </c>
      <c r="M181" s="7" t="str">
        <f>IFERROR(SUMIFS(TM[[#All],[Total Truncated Claims Spending]],TM[[#All],[Reporting Year]],2022,TM[[#All],[Insurance Category Code]],1,TM[[#All],[Large Provider Entity Code]],A181)/I181,"NA")</f>
        <v>NA</v>
      </c>
      <c r="N181" s="96" t="str">
        <f>IFERROR(SUMIFS(TM[[#All],[Total Truncated Expenses]],TM[[#All],[Reporting Year]],2022,TM[[#All],[Insurance Category Code]],1,TM[[#All],[Large Provider Entity Code]],A181)/I181,"NA")</f>
        <v>NA</v>
      </c>
      <c r="O181" s="518">
        <f t="shared" si="121"/>
        <v>0</v>
      </c>
      <c r="P181" s="245" t="str">
        <f t="shared" si="115"/>
        <v>NA</v>
      </c>
      <c r="Q181" s="127" t="str">
        <f t="shared" si="116"/>
        <v>NA</v>
      </c>
      <c r="R181" s="127" t="str">
        <f t="shared" si="117"/>
        <v>NA</v>
      </c>
      <c r="S181" s="127" t="str">
        <f t="shared" si="118"/>
        <v>NA</v>
      </c>
      <c r="T181" s="127" t="str">
        <f t="shared" si="119"/>
        <v>NA</v>
      </c>
      <c r="U181" s="127" t="str">
        <f t="shared" si="120"/>
        <v>NA</v>
      </c>
    </row>
    <row r="182" spans="1:21" ht="30" customHeight="1" x14ac:dyDescent="0.25">
      <c r="A182" s="707" t="s">
        <v>567</v>
      </c>
      <c r="B182" s="708"/>
      <c r="C182" s="165">
        <f>SUM(C162:C181)</f>
        <v>0</v>
      </c>
      <c r="D182" s="131" t="str">
        <f>IFERROR((SUMPRODUCT(D162:D181,C162:C181)/C182),"NA")</f>
        <v>NA</v>
      </c>
      <c r="E182" s="131" t="str">
        <f>IFERROR((SUMPRODUCT(E162:E181,C162:C181)/C182),"NA")</f>
        <v>NA</v>
      </c>
      <c r="F182" s="131" t="str">
        <f>IFERROR((SUMPRODUCT(F162:F181,C162:C181)/C182),"NA")</f>
        <v>NA</v>
      </c>
      <c r="G182" s="131" t="str">
        <f>IFERROR((SUMPRODUCT(G162:G181,C162:C181)/C182),"NA")</f>
        <v>NA</v>
      </c>
      <c r="H182" s="131" t="str">
        <f>IFERROR((SUMPRODUCT(H162:H181,C162:C181)/C182),"NA")</f>
        <v>NA</v>
      </c>
      <c r="I182" s="228">
        <f>SUM(I162:I181)</f>
        <v>0</v>
      </c>
      <c r="J182" s="131" t="str">
        <f>IFERROR((SUMPRODUCT(J162:J181,I162:I181)/I182),"NA")</f>
        <v>NA</v>
      </c>
      <c r="K182" s="131" t="str">
        <f>IFERROR((SUMPRODUCT(K162:K181,I162:I181)/I182),"NA")</f>
        <v>NA</v>
      </c>
      <c r="L182" s="131" t="str">
        <f>IFERROR((SUMPRODUCT(L162:L181,I162:I181)/I182),"NA")</f>
        <v>NA</v>
      </c>
      <c r="M182" s="131" t="str">
        <f>IFERROR((SUMPRODUCT(M162:M181,I162:I181)/I182),"NA")</f>
        <v>NA</v>
      </c>
      <c r="N182" s="206" t="str">
        <f>IFERROR((SUMPRODUCT(N162:N181,I162:I181)/I182),"NA")</f>
        <v>NA</v>
      </c>
      <c r="O182" s="544" t="s">
        <v>500</v>
      </c>
      <c r="P182" s="435" t="s">
        <v>500</v>
      </c>
      <c r="Q182" s="433" t="s">
        <v>500</v>
      </c>
      <c r="R182" s="433" t="s">
        <v>500</v>
      </c>
      <c r="S182" s="433" t="s">
        <v>500</v>
      </c>
      <c r="T182" s="433" t="s">
        <v>500</v>
      </c>
      <c r="U182" s="433" t="s">
        <v>500</v>
      </c>
    </row>
    <row r="183" spans="1:21" x14ac:dyDescent="0.25">
      <c r="A183" s="709" t="s">
        <v>563</v>
      </c>
      <c r="B183" s="710"/>
      <c r="C183" s="165" t="s">
        <v>500</v>
      </c>
      <c r="D183" s="130" t="str">
        <f>IFERROR(((SUMPRODUCT(D161,$C$161))-ABS(SUMIFS(RX[[#All],[Total Medical and Retail Pharmacy Rebate Amount]],RX[[#All],[Reporting Year]],2021,RX[[#All],[Insurance Category Code]],1)))/$C$182,"NA")</f>
        <v>NA</v>
      </c>
      <c r="E183" s="130" t="str">
        <f>IFERROR(((SUMPRODUCT(E161,$C$161))-ABS(SUMIFS(RX[[#All],[Total Medical and Retail Pharmacy Rebate Amount]],RX[[#All],[Reporting Year]],2021,RX[[#All],[Insurance Category Code]],1)))/$C$182,"NA")</f>
        <v>NA</v>
      </c>
      <c r="F183" s="130" t="str">
        <f>IFERROR(((SUMPRODUCT(F161,$C$161))-ABS(SUMIFS(RX[[#All],[Total Medical and Retail Pharmacy Rebate Amount]],RX[[#All],[Reporting Year]],2021,RX[[#All],[Insurance Category Code]],1)))/$C$182,"NA")</f>
        <v>NA</v>
      </c>
      <c r="G183" s="130" t="str">
        <f>IFERROR(((SUMPRODUCT(G161,$C$161))-ABS(SUMIFS(RX[[#All],[Total Medical and Retail Pharmacy Rebate Amount]],RX[[#All],[Reporting Year]],2021,RX[[#All],[Insurance Category Code]],1)))/$C$182,"NA")</f>
        <v>NA</v>
      </c>
      <c r="H183" s="208" t="str">
        <f>IFERROR(((SUMPRODUCT(H161,$C$161))-ABS(SUMIFS(RX[[#All],[Total Medical and Retail Pharmacy Rebate Amount]],RX[[#All],[Reporting Year]],2021,RX[[#All],[Insurance Category Code]],1)))/$C$182,"NA")</f>
        <v>NA</v>
      </c>
      <c r="I183" s="165" t="s">
        <v>500</v>
      </c>
      <c r="J183" s="130" t="str">
        <f>IFERROR(((SUMPRODUCT(J161,$I$161))-ABS(SUMIFS(RX[[#All],[Total Medical and Retail Pharmacy Rebate Amount]],RX[[#All],[Reporting Year]],2022,RX[[#All],[Insurance Category Code]],1)))/$I$182,"NA")</f>
        <v>NA</v>
      </c>
      <c r="K183" s="130" t="str">
        <f>IFERROR(((SUMPRODUCT(K161,$I$161))-ABS(SUMIFS(RX[[#All],[Total Medical and Retail Pharmacy Rebate Amount]],RX[[#All],[Reporting Year]],2022,RX[[#All],[Insurance Category Code]],1)))/$I$182,"NA")</f>
        <v>NA</v>
      </c>
      <c r="L183" s="130" t="str">
        <f>IFERROR(((SUMPRODUCT(L161,$I$161))-ABS(SUMIFS(RX[[#All],[Total Medical and Retail Pharmacy Rebate Amount]],RX[[#All],[Reporting Year]],2022,RX[[#All],[Insurance Category Code]],1)))/$I$182,"NA")</f>
        <v>NA</v>
      </c>
      <c r="M183" s="130" t="str">
        <f>IFERROR(((SUMPRODUCT(M161,$I$161))-ABS(SUMIFS(RX[[#All],[Total Medical and Retail Pharmacy Rebate Amount]],RX[[#All],[Reporting Year]],2022,RX[[#All],[Insurance Category Code]],1)))/$I$182,"NA")</f>
        <v>NA</v>
      </c>
      <c r="N183" s="208" t="str">
        <f>IFERROR(((SUMPRODUCT(N161,$I$161))-ABS(SUMIFS(RX[[#All],[Total Medical and Retail Pharmacy Rebate Amount]],RX[[#All],[Reporting Year]],2022,RX[[#All],[Insurance Category Code]],1)))/$I$182,"NA")</f>
        <v>NA</v>
      </c>
      <c r="O183" s="544" t="s">
        <v>500</v>
      </c>
      <c r="P183" s="435" t="s">
        <v>500</v>
      </c>
      <c r="Q183" s="433" t="s">
        <v>500</v>
      </c>
      <c r="R183" s="433" t="s">
        <v>500</v>
      </c>
      <c r="S183" s="433" t="s">
        <v>500</v>
      </c>
      <c r="T183" s="433" t="s">
        <v>500</v>
      </c>
      <c r="U183" s="433" t="s">
        <v>500</v>
      </c>
    </row>
    <row r="184" spans="1:21" x14ac:dyDescent="0.25">
      <c r="A184" s="717" t="s">
        <v>564</v>
      </c>
      <c r="B184" s="718"/>
      <c r="C184" s="227">
        <f>ABS(C182-C161)</f>
        <v>0</v>
      </c>
      <c r="D184" s="227" t="e">
        <f>ABS(D182-D161)</f>
        <v>#VALUE!</v>
      </c>
      <c r="E184" s="227" t="e">
        <f>ABS(E182-E161)</f>
        <v>#VALUE!</v>
      </c>
      <c r="F184" s="227" t="e">
        <f>ABS(F182-F161)</f>
        <v>#VALUE!</v>
      </c>
      <c r="G184" s="227" t="s">
        <v>500</v>
      </c>
      <c r="H184" s="231" t="s">
        <v>500</v>
      </c>
      <c r="I184" s="221">
        <f>ABS(I182-I161)</f>
        <v>0</v>
      </c>
      <c r="J184" s="227" t="e">
        <f>ABS(J182-J161)</f>
        <v>#VALUE!</v>
      </c>
      <c r="K184" s="227" t="e">
        <f>ABS(K182-K161)</f>
        <v>#VALUE!</v>
      </c>
      <c r="L184" s="227" t="e">
        <f>ABS(L182-L161)</f>
        <v>#VALUE!</v>
      </c>
      <c r="M184" s="227" t="s">
        <v>500</v>
      </c>
      <c r="N184" s="231" t="s">
        <v>500</v>
      </c>
      <c r="O184" s="545" t="s">
        <v>500</v>
      </c>
      <c r="P184" s="546" t="s">
        <v>500</v>
      </c>
      <c r="Q184" s="548" t="s">
        <v>500</v>
      </c>
      <c r="R184" s="548" t="s">
        <v>500</v>
      </c>
      <c r="S184" s="548" t="s">
        <v>500</v>
      </c>
      <c r="T184" s="548" t="s">
        <v>500</v>
      </c>
      <c r="U184" s="548" t="s">
        <v>500</v>
      </c>
    </row>
    <row r="185" spans="1:21" x14ac:dyDescent="0.25">
      <c r="A185" s="715" t="s">
        <v>565</v>
      </c>
      <c r="B185" s="716"/>
      <c r="C185" s="261" t="str">
        <f>IF(((ABS(C161-C182))&lt;10),"Yes","No")</f>
        <v>Yes</v>
      </c>
      <c r="D185" s="181" t="e">
        <f>IF(((ABS(D161-D182))&lt;10),"Yes","No")</f>
        <v>#VALUE!</v>
      </c>
      <c r="E185" s="181" t="e">
        <f>IF(((ABS(E161-E182))&lt;10),"Yes","No")</f>
        <v>#VALUE!</v>
      </c>
      <c r="F185" s="181" t="e">
        <f>IF(((ABS(F161-F182))&lt;10),"Yes","No")</f>
        <v>#VALUE!</v>
      </c>
      <c r="G185" s="181" t="s">
        <v>500</v>
      </c>
      <c r="H185" s="233" t="s">
        <v>500</v>
      </c>
      <c r="I185" s="259" t="str">
        <f>IF(((ABS(I161-I182))&lt;10),"Yes","No")</f>
        <v>Yes</v>
      </c>
      <c r="J185" s="181" t="e">
        <f>IF(((ABS(J161-J182))&lt;10),"Yes","No")</f>
        <v>#VALUE!</v>
      </c>
      <c r="K185" s="181" t="e">
        <f>IF(((ABS(K161-K182))&lt;10),"Yes","No")</f>
        <v>#VALUE!</v>
      </c>
      <c r="L185" s="181" t="e">
        <f>IF(((ABS(L161-L182))&lt;10),"Yes","No")</f>
        <v>#VALUE!</v>
      </c>
      <c r="M185" s="181" t="s">
        <v>500</v>
      </c>
      <c r="N185" s="233" t="s">
        <v>500</v>
      </c>
      <c r="O185" s="545" t="s">
        <v>500</v>
      </c>
      <c r="P185" s="546" t="s">
        <v>500</v>
      </c>
      <c r="Q185" s="548" t="s">
        <v>500</v>
      </c>
      <c r="R185" s="548" t="s">
        <v>500</v>
      </c>
      <c r="S185" s="548" t="s">
        <v>500</v>
      </c>
      <c r="T185" s="548" t="s">
        <v>500</v>
      </c>
      <c r="U185" s="548" t="s">
        <v>500</v>
      </c>
    </row>
    <row r="186" spans="1:21" x14ac:dyDescent="0.25">
      <c r="A186"/>
      <c r="B186"/>
      <c r="C186"/>
      <c r="D186"/>
      <c r="E186"/>
      <c r="F186"/>
      <c r="G186"/>
      <c r="H186"/>
      <c r="I186"/>
      <c r="J186"/>
      <c r="K186"/>
      <c r="L186"/>
      <c r="M186"/>
      <c r="N186"/>
      <c r="O186"/>
      <c r="P186"/>
      <c r="Q186"/>
      <c r="R186"/>
      <c r="S186"/>
      <c r="T186"/>
      <c r="U186"/>
    </row>
    <row r="187" spans="1:21" x14ac:dyDescent="0.25">
      <c r="A187"/>
      <c r="B187"/>
      <c r="C187"/>
      <c r="D187"/>
      <c r="E187"/>
      <c r="F187"/>
      <c r="G187"/>
      <c r="H187"/>
      <c r="I187"/>
      <c r="J187"/>
      <c r="K187"/>
      <c r="L187"/>
      <c r="M187"/>
      <c r="N187"/>
      <c r="O187"/>
      <c r="P187"/>
      <c r="Q187"/>
      <c r="R187"/>
      <c r="S187"/>
      <c r="T187"/>
      <c r="U187"/>
    </row>
    <row r="188" spans="1:21" x14ac:dyDescent="0.25">
      <c r="A188" s="3" t="s">
        <v>572</v>
      </c>
      <c r="B188"/>
      <c r="C188"/>
      <c r="D188"/>
      <c r="E188"/>
      <c r="F188"/>
      <c r="G188"/>
      <c r="H188"/>
      <c r="I188"/>
      <c r="J188"/>
      <c r="K188"/>
      <c r="L188"/>
      <c r="M188"/>
      <c r="N188"/>
      <c r="O188"/>
      <c r="P188"/>
      <c r="Q188"/>
      <c r="R188"/>
      <c r="S188"/>
      <c r="T188"/>
      <c r="U188"/>
    </row>
    <row r="189" spans="1:21" x14ac:dyDescent="0.25">
      <c r="A189" s="711" t="s">
        <v>71</v>
      </c>
      <c r="B189" s="713" t="s">
        <v>547</v>
      </c>
      <c r="C189" s="697">
        <v>2021</v>
      </c>
      <c r="D189" s="698"/>
      <c r="E189" s="698"/>
      <c r="F189" s="698"/>
      <c r="G189" s="698"/>
      <c r="H189" s="699"/>
      <c r="I189" s="255">
        <v>2022</v>
      </c>
      <c r="J189" s="256"/>
      <c r="K189" s="256"/>
      <c r="L189" s="256"/>
      <c r="M189" s="256"/>
      <c r="N189" s="257"/>
      <c r="O189" s="256"/>
      <c r="P189" s="253" t="s">
        <v>548</v>
      </c>
      <c r="Q189" s="253"/>
      <c r="R189" s="253"/>
      <c r="S189" s="253"/>
      <c r="T189" s="253"/>
      <c r="U189" s="254"/>
    </row>
    <row r="190" spans="1:21" ht="45" x14ac:dyDescent="0.25">
      <c r="A190" s="712"/>
      <c r="B190" s="714"/>
      <c r="C190" s="90" t="s">
        <v>352</v>
      </c>
      <c r="D190" s="91" t="s">
        <v>550</v>
      </c>
      <c r="E190" s="91" t="s">
        <v>551</v>
      </c>
      <c r="F190" s="91" t="s">
        <v>552</v>
      </c>
      <c r="G190" s="91" t="s">
        <v>553</v>
      </c>
      <c r="H190" s="205" t="s">
        <v>554</v>
      </c>
      <c r="I190" s="87" t="s">
        <v>352</v>
      </c>
      <c r="J190" s="88" t="s">
        <v>550</v>
      </c>
      <c r="K190" s="88" t="s">
        <v>551</v>
      </c>
      <c r="L190" s="88" t="s">
        <v>552</v>
      </c>
      <c r="M190" s="88" t="s">
        <v>553</v>
      </c>
      <c r="N190" s="89" t="s">
        <v>554</v>
      </c>
      <c r="O190" s="513" t="s">
        <v>555</v>
      </c>
      <c r="P190" s="242" t="s">
        <v>556</v>
      </c>
      <c r="Q190" s="77" t="s">
        <v>557</v>
      </c>
      <c r="R190" s="77" t="s">
        <v>558</v>
      </c>
      <c r="S190" s="77" t="s">
        <v>559</v>
      </c>
      <c r="T190" s="77" t="s">
        <v>560</v>
      </c>
      <c r="U190" s="217" t="s">
        <v>561</v>
      </c>
    </row>
    <row r="191" spans="1:21" x14ac:dyDescent="0.25">
      <c r="A191" s="219">
        <v>100</v>
      </c>
      <c r="B191" s="495" t="s">
        <v>72</v>
      </c>
      <c r="C191" s="95">
        <f>SUMIFS(TM[[#All],[Member Months]],TM[[#All],[Reporting Year]],2021,TM[[#All],[Insurance Category Code]],5,TM[[#All],[Large Provider Entity Code]],A191)</f>
        <v>0</v>
      </c>
      <c r="D191" s="7" t="str">
        <f>IFERROR(SUMIFS(TM[[#All],[Total Non-Truncated Claims Spending]],TM[[#All],[Reporting Year]],2021,TM[[#All],[Insurance Category Code]],5,TM[[#All],[Large Provider Entity Code]],A191)/C191,"NA")</f>
        <v>NA</v>
      </c>
      <c r="E191" s="7" t="str">
        <f>IFERROR(SUMIFS(TM[[#All],[Total Non-Claims Spending]],TM[[#All],[Reporting Year]],2021,TM[[#All],[Insurance Category Code]],5,TM[[#All],[Large Provider Entity Code]],A191)/C191,"NA")</f>
        <v>NA</v>
      </c>
      <c r="F191" s="7" t="str">
        <f>IFERROR(SUMIFS(TM[[#All],[Total Non-Truncated Claims and Non-Claims Spending]],TM[[#All],[Reporting Year]],2021,TM[[#All],[Insurance Category Code]],5,TM[[#All],[Large Provider Entity Code]],A191)/C191,"NA")</f>
        <v>NA</v>
      </c>
      <c r="G191" s="7" t="str">
        <f>IFERROR(SUMIFS(TM[[#All],[Total Truncated Claims Spending]],TM[[#All],[Reporting Year]],2021,TM[[#All],[Insurance Category Code]],5,TM[[#All],[Large Provider Entity Code]],A191)/C191,"NA")</f>
        <v>NA</v>
      </c>
      <c r="H191" s="204" t="str">
        <f>IFERROR(SUMIFS(TM[[#All],[Total Truncated Expenses]],TM[[#All],[Reporting Year]],2021,TM[[#All],[Insurance Category Code]],5,TM[[#All],[Large Provider Entity Code]],A191)/C191,"NA")</f>
        <v>NA</v>
      </c>
      <c r="I191" s="95">
        <f>SUMIFS(TM[[#All],[Member Months]],TM[[#All],[Reporting Year]],2022,TM[[#All],[Insurance Category Code]],5,TM[[#All],[Large Provider Entity Code]],A191)</f>
        <v>0</v>
      </c>
      <c r="J191" s="7" t="str">
        <f>IFERROR(SUMIFS(TM[[#All],[Total Non-Truncated Claims Spending]],TM[[#All],[Reporting Year]],2022,TM[[#All],[Insurance Category Code]],5,TM[[#All],[Large Provider Entity Code]],A191)/I191,"NA")</f>
        <v>NA</v>
      </c>
      <c r="K191" s="7" t="str">
        <f>IFERROR(SUMIFS(TM[[#All],[Total Non-Claims Spending]],TM[[#All],[Reporting Year]],2022,TM[[#All],[Insurance Category Code]],5,TM[[#All],[Large Provider Entity Code]],A191)/I191,"NA")</f>
        <v>NA</v>
      </c>
      <c r="L191" s="7" t="str">
        <f>IFERROR(SUMIFS(TM[[#All],[Total Non-Truncated Claims and Non-Claims Spending]],TM[[#All],[Reporting Year]],2022,TM[[#All],[Insurance Category Code]],5,TM[[#All],[Large Provider Entity Code]],A191)/I191,"NA")</f>
        <v>NA</v>
      </c>
      <c r="M191" s="7" t="str">
        <f>IFERROR(SUMIFS(TM[[#All],[Total Truncated Claims Spending]],TM[[#All],[Reporting Year]],2022,TM[[#All],[Insurance Category Code]],5,TM[[#All],[Large Provider Entity Code]],A191)/I191,"NA")</f>
        <v>NA</v>
      </c>
      <c r="N191" s="96" t="str">
        <f>IFERROR(SUMIFS(TM[[#All],[Total Truncated Expenses]],TM[[#All],[Reporting Year]],2022,TM[[#All],[Insurance Category Code]],5,TM[[#All],[Large Provider Entity Code]],A191)/I191,"NA")</f>
        <v>NA</v>
      </c>
      <c r="O191" s="518">
        <f>ABS(C191-I191)</f>
        <v>0</v>
      </c>
      <c r="P191" s="243" t="str">
        <f t="shared" ref="P191:P211" si="135">IFERROR((I191/C191-1),"NA")</f>
        <v>NA</v>
      </c>
      <c r="Q191" s="97" t="str">
        <f t="shared" ref="Q191:Q211" si="136">IFERROR((J191/D191-1),"NA")</f>
        <v>NA</v>
      </c>
      <c r="R191" s="97" t="str">
        <f t="shared" ref="R191:R211" si="137">IFERROR((K191/E191-1),"NA")</f>
        <v>NA</v>
      </c>
      <c r="S191" s="97" t="str">
        <f t="shared" ref="S191:S211" si="138">IFERROR((L191/F191-1),"NA")</f>
        <v>NA</v>
      </c>
      <c r="T191" s="97" t="str">
        <f t="shared" ref="T191:T211" si="139">IFERROR((M191/G191-1),"NA")</f>
        <v>NA</v>
      </c>
      <c r="U191" s="97" t="str">
        <f t="shared" ref="U191:U211" si="140">IFERROR((N191/H191-1),"NA")</f>
        <v>NA</v>
      </c>
    </row>
    <row r="192" spans="1:21" x14ac:dyDescent="0.25">
      <c r="A192" s="218">
        <v>101</v>
      </c>
      <c r="B192" s="495" t="s">
        <v>609</v>
      </c>
      <c r="C192" s="95">
        <f>SUMIFS(TM[[#All],[Member Months]],TM[[#All],[Reporting Year]],2021,TM[[#All],[Insurance Category Code]],5,TM[[#All],[Large Provider Entity Code]],A192)</f>
        <v>0</v>
      </c>
      <c r="D192" s="7" t="str">
        <f>IFERROR(SUMIFS(TM[[#All],[Total Non-Truncated Claims Spending]],TM[[#All],[Reporting Year]],2021,TM[[#All],[Insurance Category Code]],5,TM[[#All],[Large Provider Entity Code]],A192)/C192,"NA")</f>
        <v>NA</v>
      </c>
      <c r="E192" s="7" t="str">
        <f>IFERROR(SUMIFS(TM[[#All],[Total Non-Claims Spending]],TM[[#All],[Reporting Year]],2021,TM[[#All],[Insurance Category Code]],5,TM[[#All],[Large Provider Entity Code]],A192)/C192,"NA")</f>
        <v>NA</v>
      </c>
      <c r="F192" s="7" t="str">
        <f>IFERROR(SUMIFS(TM[[#All],[Total Non-Truncated Claims and Non-Claims Spending]],TM[[#All],[Reporting Year]],2021,TM[[#All],[Insurance Category Code]],5,TM[[#All],[Large Provider Entity Code]],A192)/C192,"NA")</f>
        <v>NA</v>
      </c>
      <c r="G192" s="7" t="str">
        <f>IFERROR(SUMIFS(TM[[#All],[Total Truncated Claims Spending]],TM[[#All],[Reporting Year]],2021,TM[[#All],[Insurance Category Code]],5,TM[[#All],[Large Provider Entity Code]],A192)/C192,"NA")</f>
        <v>NA</v>
      </c>
      <c r="H192" s="204" t="str">
        <f>IFERROR(SUMIFS(TM[[#All],[Total Truncated Expenses]],TM[[#All],[Reporting Year]],2021,TM[[#All],[Insurance Category Code]],5,TM[[#All],[Large Provider Entity Code]],A192)/C192,"NA")</f>
        <v>NA</v>
      </c>
      <c r="I192" s="95">
        <f>SUMIFS(TM[[#All],[Member Months]],TM[[#All],[Reporting Year]],2022,TM[[#All],[Insurance Category Code]],5,TM[[#All],[Large Provider Entity Code]],A192)</f>
        <v>0</v>
      </c>
      <c r="J192" s="7" t="str">
        <f>IFERROR(SUMIFS(TM[[#All],[Total Non-Truncated Claims Spending]],TM[[#All],[Reporting Year]],2022,TM[[#All],[Insurance Category Code]],5,TM[[#All],[Large Provider Entity Code]],A192)/I192,"NA")</f>
        <v>NA</v>
      </c>
      <c r="K192" s="7" t="str">
        <f>IFERROR(SUMIFS(TM[[#All],[Total Non-Claims Spending]],TM[[#All],[Reporting Year]],2022,TM[[#All],[Insurance Category Code]],5,TM[[#All],[Large Provider Entity Code]],A192)/I192,"NA")</f>
        <v>NA</v>
      </c>
      <c r="L192" s="7" t="str">
        <f>IFERROR(SUMIFS(TM[[#All],[Total Non-Truncated Claims and Non-Claims Spending]],TM[[#All],[Reporting Year]],2022,TM[[#All],[Insurance Category Code]],5,TM[[#All],[Large Provider Entity Code]],A192)/I192,"NA")</f>
        <v>NA</v>
      </c>
      <c r="M192" s="7" t="str">
        <f>IFERROR(SUMIFS(TM[[#All],[Total Truncated Claims Spending]],TM[[#All],[Reporting Year]],2022,TM[[#All],[Insurance Category Code]],5,TM[[#All],[Large Provider Entity Code]],A192)/I192,"NA")</f>
        <v>NA</v>
      </c>
      <c r="N192" s="96" t="str">
        <f>IFERROR(SUMIFS(TM[[#All],[Total Truncated Expenses]],TM[[#All],[Reporting Year]],2022,TM[[#All],[Insurance Category Code]],5,TM[[#All],[Large Provider Entity Code]],A192)/I192,"NA")</f>
        <v>NA</v>
      </c>
      <c r="O192" s="518">
        <f t="shared" ref="O192:O211" si="141">ABS(C192-I192)</f>
        <v>0</v>
      </c>
      <c r="P192" s="243" t="str">
        <f t="shared" si="135"/>
        <v>NA</v>
      </c>
      <c r="Q192" s="97" t="str">
        <f t="shared" si="136"/>
        <v>NA</v>
      </c>
      <c r="R192" s="97" t="str">
        <f t="shared" si="137"/>
        <v>NA</v>
      </c>
      <c r="S192" s="97" t="str">
        <f t="shared" si="138"/>
        <v>NA</v>
      </c>
      <c r="T192" s="97" t="str">
        <f t="shared" si="139"/>
        <v>NA</v>
      </c>
      <c r="U192" s="97" t="str">
        <f t="shared" si="140"/>
        <v>NA</v>
      </c>
    </row>
    <row r="193" spans="1:21" x14ac:dyDescent="0.25">
      <c r="A193" s="218">
        <v>102</v>
      </c>
      <c r="B193" s="566" t="s">
        <v>610</v>
      </c>
      <c r="C193" s="95">
        <f>SUMIFS(TM[[#All],[Member Months]],TM[[#All],[Reporting Year]],2021,TM[[#All],[Insurance Category Code]],5,TM[[#All],[Large Provider Entity Code]],A193)</f>
        <v>0</v>
      </c>
      <c r="D193" s="7" t="str">
        <f>IFERROR(SUMIFS(TM[[#All],[Total Non-Truncated Claims Spending]],TM[[#All],[Reporting Year]],2021,TM[[#All],[Insurance Category Code]],5,TM[[#All],[Large Provider Entity Code]],A193)/C193,"NA")</f>
        <v>NA</v>
      </c>
      <c r="E193" s="7" t="str">
        <f>IFERROR(SUMIFS(TM[[#All],[Total Non-Claims Spending]],TM[[#All],[Reporting Year]],2021,TM[[#All],[Insurance Category Code]],5,TM[[#All],[Large Provider Entity Code]],A193)/C193,"NA")</f>
        <v>NA</v>
      </c>
      <c r="F193" s="7" t="str">
        <f>IFERROR(SUMIFS(TM[[#All],[Total Non-Truncated Claims and Non-Claims Spending]],TM[[#All],[Reporting Year]],2021,TM[[#All],[Insurance Category Code]],5,TM[[#All],[Large Provider Entity Code]],A193)/C193,"NA")</f>
        <v>NA</v>
      </c>
      <c r="G193" s="7" t="str">
        <f>IFERROR(SUMIFS(TM[[#All],[Total Truncated Claims Spending]],TM[[#All],[Reporting Year]],2021,TM[[#All],[Insurance Category Code]],5,TM[[#All],[Large Provider Entity Code]],A193)/C193,"NA")</f>
        <v>NA</v>
      </c>
      <c r="H193" s="204" t="str">
        <f>IFERROR(SUMIFS(TM[[#All],[Total Truncated Expenses]],TM[[#All],[Reporting Year]],2021,TM[[#All],[Insurance Category Code]],5,TM[[#All],[Large Provider Entity Code]],A193)/C193,"NA")</f>
        <v>NA</v>
      </c>
      <c r="I193" s="95">
        <f>SUMIFS(TM[[#All],[Member Months]],TM[[#All],[Reporting Year]],2022,TM[[#All],[Insurance Category Code]],5,TM[[#All],[Large Provider Entity Code]],A193)</f>
        <v>0</v>
      </c>
      <c r="J193" s="7" t="str">
        <f>IFERROR(SUMIFS(TM[[#All],[Total Non-Truncated Claims Spending]],TM[[#All],[Reporting Year]],2022,TM[[#All],[Insurance Category Code]],5,TM[[#All],[Large Provider Entity Code]],A193)/I193,"NA")</f>
        <v>NA</v>
      </c>
      <c r="K193" s="7" t="str">
        <f>IFERROR(SUMIFS(TM[[#All],[Total Non-Claims Spending]],TM[[#All],[Reporting Year]],2022,TM[[#All],[Insurance Category Code]],5,TM[[#All],[Large Provider Entity Code]],A193)/I193,"NA")</f>
        <v>NA</v>
      </c>
      <c r="L193" s="7" t="str">
        <f>IFERROR(SUMIFS(TM[[#All],[Total Non-Truncated Claims and Non-Claims Spending]],TM[[#All],[Reporting Year]],2022,TM[[#All],[Insurance Category Code]],5,TM[[#All],[Large Provider Entity Code]],A193)/I193,"NA")</f>
        <v>NA</v>
      </c>
      <c r="M193" s="7" t="str">
        <f>IFERROR(SUMIFS(TM[[#All],[Total Truncated Claims Spending]],TM[[#All],[Reporting Year]],2022,TM[[#All],[Insurance Category Code]],5,TM[[#All],[Large Provider Entity Code]],A193)/I193,"NA")</f>
        <v>NA</v>
      </c>
      <c r="N193" s="96" t="str">
        <f>IFERROR(SUMIFS(TM[[#All],[Total Truncated Expenses]],TM[[#All],[Reporting Year]],2022,TM[[#All],[Insurance Category Code]],5,TM[[#All],[Large Provider Entity Code]],A193)/I193,"NA")</f>
        <v>NA</v>
      </c>
      <c r="O193" s="518">
        <f t="shared" si="141"/>
        <v>0</v>
      </c>
      <c r="P193" s="243" t="str">
        <f t="shared" si="135"/>
        <v>NA</v>
      </c>
      <c r="Q193" s="97" t="str">
        <f t="shared" si="136"/>
        <v>NA</v>
      </c>
      <c r="R193" s="97" t="str">
        <f t="shared" si="137"/>
        <v>NA</v>
      </c>
      <c r="S193" s="97" t="str">
        <f t="shared" si="138"/>
        <v>NA</v>
      </c>
      <c r="T193" s="97" t="str">
        <f t="shared" si="139"/>
        <v>NA</v>
      </c>
      <c r="U193" s="97" t="str">
        <f t="shared" si="140"/>
        <v>NA</v>
      </c>
    </row>
    <row r="194" spans="1:21" ht="30" x14ac:dyDescent="0.25">
      <c r="A194" s="218">
        <v>103</v>
      </c>
      <c r="B194" s="495" t="s">
        <v>73</v>
      </c>
      <c r="C194" s="95">
        <f>SUMIFS(TM[[#All],[Member Months]],TM[[#All],[Reporting Year]],2021,TM[[#All],[Insurance Category Code]],5,TM[[#All],[Large Provider Entity Code]],A194)</f>
        <v>0</v>
      </c>
      <c r="D194" s="7" t="str">
        <f>IFERROR(SUMIFS(TM[[#All],[Total Non-Truncated Claims Spending]],TM[[#All],[Reporting Year]],2021,TM[[#All],[Insurance Category Code]],5,TM[[#All],[Large Provider Entity Code]],A194)/C194,"NA")</f>
        <v>NA</v>
      </c>
      <c r="E194" s="7" t="str">
        <f>IFERROR(SUMIFS(TM[[#All],[Total Non-Claims Spending]],TM[[#All],[Reporting Year]],2021,TM[[#All],[Insurance Category Code]],5,TM[[#All],[Large Provider Entity Code]],A194)/C194,"NA")</f>
        <v>NA</v>
      </c>
      <c r="F194" s="7" t="str">
        <f>IFERROR(SUMIFS(TM[[#All],[Total Non-Truncated Claims and Non-Claims Spending]],TM[[#All],[Reporting Year]],2021,TM[[#All],[Insurance Category Code]],5,TM[[#All],[Large Provider Entity Code]],A194)/C194,"NA")</f>
        <v>NA</v>
      </c>
      <c r="G194" s="7" t="str">
        <f>IFERROR(SUMIFS(TM[[#All],[Total Truncated Claims Spending]],TM[[#All],[Reporting Year]],2021,TM[[#All],[Insurance Category Code]],5,TM[[#All],[Large Provider Entity Code]],A194)/C194,"NA")</f>
        <v>NA</v>
      </c>
      <c r="H194" s="204" t="str">
        <f>IFERROR(SUMIFS(TM[[#All],[Total Truncated Expenses]],TM[[#All],[Reporting Year]],2021,TM[[#All],[Insurance Category Code]],5,TM[[#All],[Large Provider Entity Code]],A194)/C194,"NA")</f>
        <v>NA</v>
      </c>
      <c r="I194" s="95">
        <f>SUMIFS(TM[[#All],[Member Months]],TM[[#All],[Reporting Year]],2022,TM[[#All],[Insurance Category Code]],5,TM[[#All],[Large Provider Entity Code]],A194)</f>
        <v>0</v>
      </c>
      <c r="J194" s="7" t="str">
        <f>IFERROR(SUMIFS(TM[[#All],[Total Non-Truncated Claims Spending]],TM[[#All],[Reporting Year]],2022,TM[[#All],[Insurance Category Code]],5,TM[[#All],[Large Provider Entity Code]],A194)/I194,"NA")</f>
        <v>NA</v>
      </c>
      <c r="K194" s="7" t="str">
        <f>IFERROR(SUMIFS(TM[[#All],[Total Non-Claims Spending]],TM[[#All],[Reporting Year]],2022,TM[[#All],[Insurance Category Code]],5,TM[[#All],[Large Provider Entity Code]],A194)/I194,"NA")</f>
        <v>NA</v>
      </c>
      <c r="L194" s="7" t="str">
        <f>IFERROR(SUMIFS(TM[[#All],[Total Non-Truncated Claims and Non-Claims Spending]],TM[[#All],[Reporting Year]],2022,TM[[#All],[Insurance Category Code]],5,TM[[#All],[Large Provider Entity Code]],A194)/I194,"NA")</f>
        <v>NA</v>
      </c>
      <c r="M194" s="7" t="str">
        <f>IFERROR(SUMIFS(TM[[#All],[Total Truncated Claims Spending]],TM[[#All],[Reporting Year]],2022,TM[[#All],[Insurance Category Code]],5,TM[[#All],[Large Provider Entity Code]],A194)/I194,"NA")</f>
        <v>NA</v>
      </c>
      <c r="N194" s="96" t="str">
        <f>IFERROR(SUMIFS(TM[[#All],[Total Truncated Expenses]],TM[[#All],[Reporting Year]],2022,TM[[#All],[Insurance Category Code]],5,TM[[#All],[Large Provider Entity Code]],A194)/I194,"NA")</f>
        <v>NA</v>
      </c>
      <c r="O194" s="518">
        <f t="shared" si="141"/>
        <v>0</v>
      </c>
      <c r="P194" s="243" t="str">
        <f t="shared" si="135"/>
        <v>NA</v>
      </c>
      <c r="Q194" s="97" t="str">
        <f t="shared" si="136"/>
        <v>NA</v>
      </c>
      <c r="R194" s="97" t="str">
        <f t="shared" si="137"/>
        <v>NA</v>
      </c>
      <c r="S194" s="97" t="str">
        <f t="shared" si="138"/>
        <v>NA</v>
      </c>
      <c r="T194" s="97" t="str">
        <f t="shared" si="139"/>
        <v>NA</v>
      </c>
      <c r="U194" s="97" t="str">
        <f t="shared" si="140"/>
        <v>NA</v>
      </c>
    </row>
    <row r="195" spans="1:21" x14ac:dyDescent="0.25">
      <c r="A195" s="218">
        <v>104</v>
      </c>
      <c r="B195" s="495" t="s">
        <v>611</v>
      </c>
      <c r="C195" s="95">
        <f>SUMIFS(TM[[#All],[Member Months]],TM[[#All],[Reporting Year]],2021,TM[[#All],[Insurance Category Code]],5,TM[[#All],[Large Provider Entity Code]],A195)</f>
        <v>0</v>
      </c>
      <c r="D195" s="7" t="str">
        <f>IFERROR(SUMIFS(TM[[#All],[Total Non-Truncated Claims Spending]],TM[[#All],[Reporting Year]],2021,TM[[#All],[Insurance Category Code]],5,TM[[#All],[Large Provider Entity Code]],A195)/C195,"NA")</f>
        <v>NA</v>
      </c>
      <c r="E195" s="7" t="str">
        <f>IFERROR(SUMIFS(TM[[#All],[Total Non-Claims Spending]],TM[[#All],[Reporting Year]],2021,TM[[#All],[Insurance Category Code]],5,TM[[#All],[Large Provider Entity Code]],A195)/C195,"NA")</f>
        <v>NA</v>
      </c>
      <c r="F195" s="7" t="str">
        <f>IFERROR(SUMIFS(TM[[#All],[Total Non-Truncated Claims and Non-Claims Spending]],TM[[#All],[Reporting Year]],2021,TM[[#All],[Insurance Category Code]],5,TM[[#All],[Large Provider Entity Code]],A195)/C195,"NA")</f>
        <v>NA</v>
      </c>
      <c r="G195" s="7" t="str">
        <f>IFERROR(SUMIFS(TM[[#All],[Total Truncated Claims Spending]],TM[[#All],[Reporting Year]],2021,TM[[#All],[Insurance Category Code]],5,TM[[#All],[Large Provider Entity Code]],A195)/C195,"NA")</f>
        <v>NA</v>
      </c>
      <c r="H195" s="204" t="str">
        <f>IFERROR(SUMIFS(TM[[#All],[Total Truncated Expenses]],TM[[#All],[Reporting Year]],2021,TM[[#All],[Insurance Category Code]],5,TM[[#All],[Large Provider Entity Code]],A195)/C195,"NA")</f>
        <v>NA</v>
      </c>
      <c r="I195" s="95">
        <f>SUMIFS(TM[[#All],[Member Months]],TM[[#All],[Reporting Year]],2022,TM[[#All],[Insurance Category Code]],5,TM[[#All],[Large Provider Entity Code]],A195)</f>
        <v>0</v>
      </c>
      <c r="J195" s="7" t="str">
        <f>IFERROR(SUMIFS(TM[[#All],[Total Non-Truncated Claims Spending]],TM[[#All],[Reporting Year]],2022,TM[[#All],[Insurance Category Code]],5,TM[[#All],[Large Provider Entity Code]],A195)/I195,"NA")</f>
        <v>NA</v>
      </c>
      <c r="K195" s="7" t="str">
        <f>IFERROR(SUMIFS(TM[[#All],[Total Non-Claims Spending]],TM[[#All],[Reporting Year]],2022,TM[[#All],[Insurance Category Code]],5,TM[[#All],[Large Provider Entity Code]],A195)/I195,"NA")</f>
        <v>NA</v>
      </c>
      <c r="L195" s="7" t="str">
        <f>IFERROR(SUMIFS(TM[[#All],[Total Non-Truncated Claims and Non-Claims Spending]],TM[[#All],[Reporting Year]],2022,TM[[#All],[Insurance Category Code]],5,TM[[#All],[Large Provider Entity Code]],A195)/I195,"NA")</f>
        <v>NA</v>
      </c>
      <c r="M195" s="7" t="str">
        <f>IFERROR(SUMIFS(TM[[#All],[Total Truncated Claims Spending]],TM[[#All],[Reporting Year]],2022,TM[[#All],[Insurance Category Code]],5,TM[[#All],[Large Provider Entity Code]],A195)/I195,"NA")</f>
        <v>NA</v>
      </c>
      <c r="N195" s="96" t="str">
        <f>IFERROR(SUMIFS(TM[[#All],[Total Truncated Expenses]],TM[[#All],[Reporting Year]],2022,TM[[#All],[Insurance Category Code]],5,TM[[#All],[Large Provider Entity Code]],A195)/I195,"NA")</f>
        <v>NA</v>
      </c>
      <c r="O195" s="518">
        <f t="shared" si="141"/>
        <v>0</v>
      </c>
      <c r="P195" s="243" t="str">
        <f t="shared" si="135"/>
        <v>NA</v>
      </c>
      <c r="Q195" s="97" t="str">
        <f t="shared" si="136"/>
        <v>NA</v>
      </c>
      <c r="R195" s="97" t="str">
        <f t="shared" si="137"/>
        <v>NA</v>
      </c>
      <c r="S195" s="97" t="str">
        <f t="shared" si="138"/>
        <v>NA</v>
      </c>
      <c r="T195" s="97" t="str">
        <f t="shared" si="139"/>
        <v>NA</v>
      </c>
      <c r="U195" s="97" t="str">
        <f t="shared" si="140"/>
        <v>NA</v>
      </c>
    </row>
    <row r="196" spans="1:21" x14ac:dyDescent="0.25">
      <c r="A196" s="218">
        <v>105</v>
      </c>
      <c r="B196" s="566" t="s">
        <v>607</v>
      </c>
      <c r="C196" s="95">
        <f>SUMIFS(TM[[#All],[Member Months]],TM[[#All],[Reporting Year]],2021,TM[[#All],[Insurance Category Code]],5,TM[[#All],[Large Provider Entity Code]],A196)</f>
        <v>0</v>
      </c>
      <c r="D196" s="7" t="str">
        <f>IFERROR(SUMIFS(TM[[#All],[Total Non-Truncated Claims Spending]],TM[[#All],[Reporting Year]],2021,TM[[#All],[Insurance Category Code]],5,TM[[#All],[Large Provider Entity Code]],A196)/C196,"NA")</f>
        <v>NA</v>
      </c>
      <c r="E196" s="7" t="str">
        <f>IFERROR(SUMIFS(TM[[#All],[Total Non-Claims Spending]],TM[[#All],[Reporting Year]],2021,TM[[#All],[Insurance Category Code]],5,TM[[#All],[Large Provider Entity Code]],A196)/C196,"NA")</f>
        <v>NA</v>
      </c>
      <c r="F196" s="7" t="str">
        <f>IFERROR(SUMIFS(TM[[#All],[Total Non-Truncated Claims and Non-Claims Spending]],TM[[#All],[Reporting Year]],2021,TM[[#All],[Insurance Category Code]],5,TM[[#All],[Large Provider Entity Code]],A196)/C196,"NA")</f>
        <v>NA</v>
      </c>
      <c r="G196" s="7" t="str">
        <f>IFERROR(SUMIFS(TM[[#All],[Total Truncated Claims Spending]],TM[[#All],[Reporting Year]],2021,TM[[#All],[Insurance Category Code]],5,TM[[#All],[Large Provider Entity Code]],A196)/C196,"NA")</f>
        <v>NA</v>
      </c>
      <c r="H196" s="204" t="str">
        <f>IFERROR(SUMIFS(TM[[#All],[Total Truncated Expenses]],TM[[#All],[Reporting Year]],2021,TM[[#All],[Insurance Category Code]],5,TM[[#All],[Large Provider Entity Code]],A196)/C196,"NA")</f>
        <v>NA</v>
      </c>
      <c r="I196" s="95">
        <f>SUMIFS(TM[[#All],[Member Months]],TM[[#All],[Reporting Year]],2022,TM[[#All],[Insurance Category Code]],5,TM[[#All],[Large Provider Entity Code]],A196)</f>
        <v>0</v>
      </c>
      <c r="J196" s="7" t="str">
        <f>IFERROR(SUMIFS(TM[[#All],[Total Non-Truncated Claims Spending]],TM[[#All],[Reporting Year]],2022,TM[[#All],[Insurance Category Code]],5,TM[[#All],[Large Provider Entity Code]],A196)/I196,"NA")</f>
        <v>NA</v>
      </c>
      <c r="K196" s="7" t="str">
        <f>IFERROR(SUMIFS(TM[[#All],[Total Non-Claims Spending]],TM[[#All],[Reporting Year]],2022,TM[[#All],[Insurance Category Code]],5,TM[[#All],[Large Provider Entity Code]],A196)/I196,"NA")</f>
        <v>NA</v>
      </c>
      <c r="L196" s="7" t="str">
        <f>IFERROR(SUMIFS(TM[[#All],[Total Non-Truncated Claims and Non-Claims Spending]],TM[[#All],[Reporting Year]],2022,TM[[#All],[Insurance Category Code]],5,TM[[#All],[Large Provider Entity Code]],A196)/I196,"NA")</f>
        <v>NA</v>
      </c>
      <c r="M196" s="7" t="str">
        <f>IFERROR(SUMIFS(TM[[#All],[Total Truncated Claims Spending]],TM[[#All],[Reporting Year]],2022,TM[[#All],[Insurance Category Code]],5,TM[[#All],[Large Provider Entity Code]],A196)/I196,"NA")</f>
        <v>NA</v>
      </c>
      <c r="N196" s="96" t="str">
        <f>IFERROR(SUMIFS(TM[[#All],[Total Truncated Expenses]],TM[[#All],[Reporting Year]],2022,TM[[#All],[Insurance Category Code]],5,TM[[#All],[Large Provider Entity Code]],A196)/I196,"NA")</f>
        <v>NA</v>
      </c>
      <c r="O196" s="518">
        <f t="shared" si="141"/>
        <v>0</v>
      </c>
      <c r="P196" s="243" t="str">
        <f t="shared" si="135"/>
        <v>NA</v>
      </c>
      <c r="Q196" s="97" t="str">
        <f t="shared" si="136"/>
        <v>NA</v>
      </c>
      <c r="R196" s="97" t="str">
        <f t="shared" si="137"/>
        <v>NA</v>
      </c>
      <c r="S196" s="97" t="str">
        <f t="shared" si="138"/>
        <v>NA</v>
      </c>
      <c r="T196" s="97" t="str">
        <f t="shared" si="139"/>
        <v>NA</v>
      </c>
      <c r="U196" s="97" t="str">
        <f t="shared" si="140"/>
        <v>NA</v>
      </c>
    </row>
    <row r="197" spans="1:21" x14ac:dyDescent="0.25">
      <c r="A197" s="218">
        <v>106</v>
      </c>
      <c r="B197" s="495" t="s">
        <v>74</v>
      </c>
      <c r="C197" s="95">
        <f>SUMIFS(TM[[#All],[Member Months]],TM[[#All],[Reporting Year]],2021,TM[[#All],[Insurance Category Code]],5,TM[[#All],[Large Provider Entity Code]],A197)</f>
        <v>0</v>
      </c>
      <c r="D197" s="7" t="str">
        <f>IFERROR(SUMIFS(TM[[#All],[Total Non-Truncated Claims Spending]],TM[[#All],[Reporting Year]],2021,TM[[#All],[Insurance Category Code]],5,TM[[#All],[Large Provider Entity Code]],A197)/C197,"NA")</f>
        <v>NA</v>
      </c>
      <c r="E197" s="7" t="str">
        <f>IFERROR(SUMIFS(TM[[#All],[Total Non-Claims Spending]],TM[[#All],[Reporting Year]],2021,TM[[#All],[Insurance Category Code]],5,TM[[#All],[Large Provider Entity Code]],A197)/C197,"NA")</f>
        <v>NA</v>
      </c>
      <c r="F197" s="7" t="str">
        <f>IFERROR(SUMIFS(TM[[#All],[Total Non-Truncated Claims and Non-Claims Spending]],TM[[#All],[Reporting Year]],2021,TM[[#All],[Insurance Category Code]],5,TM[[#All],[Large Provider Entity Code]],A197)/C197,"NA")</f>
        <v>NA</v>
      </c>
      <c r="G197" s="7" t="str">
        <f>IFERROR(SUMIFS(TM[[#All],[Total Truncated Claims Spending]],TM[[#All],[Reporting Year]],2021,TM[[#All],[Insurance Category Code]],5,TM[[#All],[Large Provider Entity Code]],A197)/C197,"NA")</f>
        <v>NA</v>
      </c>
      <c r="H197" s="204" t="str">
        <f>IFERROR(SUMIFS(TM[[#All],[Total Truncated Expenses]],TM[[#All],[Reporting Year]],2021,TM[[#All],[Insurance Category Code]],5,TM[[#All],[Large Provider Entity Code]],A197)/C197,"NA")</f>
        <v>NA</v>
      </c>
      <c r="I197" s="95">
        <f>SUMIFS(TM[[#All],[Member Months]],TM[[#All],[Reporting Year]],2022,TM[[#All],[Insurance Category Code]],5,TM[[#All],[Large Provider Entity Code]],A197)</f>
        <v>0</v>
      </c>
      <c r="J197" s="7" t="str">
        <f>IFERROR(SUMIFS(TM[[#All],[Total Non-Truncated Claims Spending]],TM[[#All],[Reporting Year]],2022,TM[[#All],[Insurance Category Code]],5,TM[[#All],[Large Provider Entity Code]],A197)/I197,"NA")</f>
        <v>NA</v>
      </c>
      <c r="K197" s="7" t="str">
        <f>IFERROR(SUMIFS(TM[[#All],[Total Non-Claims Spending]],TM[[#All],[Reporting Year]],2022,TM[[#All],[Insurance Category Code]],5,TM[[#All],[Large Provider Entity Code]],A197)/I197,"NA")</f>
        <v>NA</v>
      </c>
      <c r="L197" s="7" t="str">
        <f>IFERROR(SUMIFS(TM[[#All],[Total Non-Truncated Claims and Non-Claims Spending]],TM[[#All],[Reporting Year]],2022,TM[[#All],[Insurance Category Code]],5,TM[[#All],[Large Provider Entity Code]],A197)/I197,"NA")</f>
        <v>NA</v>
      </c>
      <c r="M197" s="7" t="str">
        <f>IFERROR(SUMIFS(TM[[#All],[Total Truncated Claims Spending]],TM[[#All],[Reporting Year]],2022,TM[[#All],[Insurance Category Code]],5,TM[[#All],[Large Provider Entity Code]],A197)/I197,"NA")</f>
        <v>NA</v>
      </c>
      <c r="N197" s="96" t="str">
        <f>IFERROR(SUMIFS(TM[[#All],[Total Truncated Expenses]],TM[[#All],[Reporting Year]],2022,TM[[#All],[Insurance Category Code]],5,TM[[#All],[Large Provider Entity Code]],A197)/I197,"NA")</f>
        <v>NA</v>
      </c>
      <c r="O197" s="518">
        <f t="shared" si="141"/>
        <v>0</v>
      </c>
      <c r="P197" s="243" t="str">
        <f t="shared" si="135"/>
        <v>NA</v>
      </c>
      <c r="Q197" s="97" t="str">
        <f t="shared" si="136"/>
        <v>NA</v>
      </c>
      <c r="R197" s="97" t="str">
        <f t="shared" si="137"/>
        <v>NA</v>
      </c>
      <c r="S197" s="97" t="str">
        <f t="shared" si="138"/>
        <v>NA</v>
      </c>
      <c r="T197" s="97" t="str">
        <f t="shared" si="139"/>
        <v>NA</v>
      </c>
      <c r="U197" s="97" t="str">
        <f t="shared" si="140"/>
        <v>NA</v>
      </c>
    </row>
    <row r="198" spans="1:21" ht="30" x14ac:dyDescent="0.25">
      <c r="A198" s="218">
        <v>107</v>
      </c>
      <c r="B198" s="495" t="s">
        <v>75</v>
      </c>
      <c r="C198" s="95">
        <f>SUMIFS(TM[[#All],[Member Months]],TM[[#All],[Reporting Year]],2021,TM[[#All],[Insurance Category Code]],5,TM[[#All],[Large Provider Entity Code]],A198)</f>
        <v>0</v>
      </c>
      <c r="D198" s="7" t="str">
        <f>IFERROR(SUMIFS(TM[[#All],[Total Non-Truncated Claims Spending]],TM[[#All],[Reporting Year]],2021,TM[[#All],[Insurance Category Code]],5,TM[[#All],[Large Provider Entity Code]],A198)/C198,"NA")</f>
        <v>NA</v>
      </c>
      <c r="E198" s="7" t="str">
        <f>IFERROR(SUMIFS(TM[[#All],[Total Non-Claims Spending]],TM[[#All],[Reporting Year]],2021,TM[[#All],[Insurance Category Code]],5,TM[[#All],[Large Provider Entity Code]],A198)/C198,"NA")</f>
        <v>NA</v>
      </c>
      <c r="F198" s="7" t="str">
        <f>IFERROR(SUMIFS(TM[[#All],[Total Non-Truncated Claims and Non-Claims Spending]],TM[[#All],[Reporting Year]],2021,TM[[#All],[Insurance Category Code]],5,TM[[#All],[Large Provider Entity Code]],A198)/C198,"NA")</f>
        <v>NA</v>
      </c>
      <c r="G198" s="7" t="str">
        <f>IFERROR(SUMIFS(TM[[#All],[Total Truncated Claims Spending]],TM[[#All],[Reporting Year]],2021,TM[[#All],[Insurance Category Code]],5,TM[[#All],[Large Provider Entity Code]],A198)/C198,"NA")</f>
        <v>NA</v>
      </c>
      <c r="H198" s="204" t="str">
        <f>IFERROR(SUMIFS(TM[[#All],[Total Truncated Expenses]],TM[[#All],[Reporting Year]],2021,TM[[#All],[Insurance Category Code]],5,TM[[#All],[Large Provider Entity Code]],A198)/C198,"NA")</f>
        <v>NA</v>
      </c>
      <c r="I198" s="95">
        <f>SUMIFS(TM[[#All],[Member Months]],TM[[#All],[Reporting Year]],2022,TM[[#All],[Insurance Category Code]],5,TM[[#All],[Large Provider Entity Code]],A198)</f>
        <v>0</v>
      </c>
      <c r="J198" s="7" t="str">
        <f>IFERROR(SUMIFS(TM[[#All],[Total Non-Truncated Claims Spending]],TM[[#All],[Reporting Year]],2022,TM[[#All],[Insurance Category Code]],5,TM[[#All],[Large Provider Entity Code]],A198)/I198,"NA")</f>
        <v>NA</v>
      </c>
      <c r="K198" s="7" t="str">
        <f>IFERROR(SUMIFS(TM[[#All],[Total Non-Claims Spending]],TM[[#All],[Reporting Year]],2022,TM[[#All],[Insurance Category Code]],5,TM[[#All],[Large Provider Entity Code]],A198)/I198,"NA")</f>
        <v>NA</v>
      </c>
      <c r="L198" s="7" t="str">
        <f>IFERROR(SUMIFS(TM[[#All],[Total Non-Truncated Claims and Non-Claims Spending]],TM[[#All],[Reporting Year]],2022,TM[[#All],[Insurance Category Code]],5,TM[[#All],[Large Provider Entity Code]],A198)/I198,"NA")</f>
        <v>NA</v>
      </c>
      <c r="M198" s="7" t="str">
        <f>IFERROR(SUMIFS(TM[[#All],[Total Truncated Claims Spending]],TM[[#All],[Reporting Year]],2022,TM[[#All],[Insurance Category Code]],5,TM[[#All],[Large Provider Entity Code]],A198)/I198,"NA")</f>
        <v>NA</v>
      </c>
      <c r="N198" s="96" t="str">
        <f>IFERROR(SUMIFS(TM[[#All],[Total Truncated Expenses]],TM[[#All],[Reporting Year]],2022,TM[[#All],[Insurance Category Code]],5,TM[[#All],[Large Provider Entity Code]],A198)/I198,"NA")</f>
        <v>NA</v>
      </c>
      <c r="O198" s="518">
        <f t="shared" si="141"/>
        <v>0</v>
      </c>
      <c r="P198" s="243" t="str">
        <f t="shared" si="135"/>
        <v>NA</v>
      </c>
      <c r="Q198" s="97" t="str">
        <f t="shared" si="136"/>
        <v>NA</v>
      </c>
      <c r="R198" s="97" t="str">
        <f t="shared" si="137"/>
        <v>NA</v>
      </c>
      <c r="S198" s="97" t="str">
        <f t="shared" si="138"/>
        <v>NA</v>
      </c>
      <c r="T198" s="97" t="str">
        <f t="shared" si="139"/>
        <v>NA</v>
      </c>
      <c r="U198" s="97" t="str">
        <f t="shared" si="140"/>
        <v>NA</v>
      </c>
    </row>
    <row r="199" spans="1:21" x14ac:dyDescent="0.25">
      <c r="A199" s="218">
        <v>108</v>
      </c>
      <c r="B199" s="495" t="s">
        <v>612</v>
      </c>
      <c r="C199" s="95">
        <f>SUMIFS(TM[[#All],[Member Months]],TM[[#All],[Reporting Year]],2021,TM[[#All],[Insurance Category Code]],5,TM[[#All],[Large Provider Entity Code]],A199)</f>
        <v>0</v>
      </c>
      <c r="D199" s="7" t="str">
        <f>IFERROR(SUMIFS(TM[[#All],[Total Non-Truncated Claims Spending]],TM[[#All],[Reporting Year]],2021,TM[[#All],[Insurance Category Code]],5,TM[[#All],[Large Provider Entity Code]],A199)/C199,"NA")</f>
        <v>NA</v>
      </c>
      <c r="E199" s="7" t="str">
        <f>IFERROR(SUMIFS(TM[[#All],[Total Non-Claims Spending]],TM[[#All],[Reporting Year]],2021,TM[[#All],[Insurance Category Code]],5,TM[[#All],[Large Provider Entity Code]],A199)/C199,"NA")</f>
        <v>NA</v>
      </c>
      <c r="F199" s="7" t="str">
        <f>IFERROR(SUMIFS(TM[[#All],[Total Non-Truncated Claims and Non-Claims Spending]],TM[[#All],[Reporting Year]],2021,TM[[#All],[Insurance Category Code]],5,TM[[#All],[Large Provider Entity Code]],A199)/C199,"NA")</f>
        <v>NA</v>
      </c>
      <c r="G199" s="7" t="str">
        <f>IFERROR(SUMIFS(TM[[#All],[Total Truncated Claims Spending]],TM[[#All],[Reporting Year]],2021,TM[[#All],[Insurance Category Code]],5,TM[[#All],[Large Provider Entity Code]],A199)/C199,"NA")</f>
        <v>NA</v>
      </c>
      <c r="H199" s="204" t="str">
        <f>IFERROR(SUMIFS(TM[[#All],[Total Truncated Expenses]],TM[[#All],[Reporting Year]],2021,TM[[#All],[Insurance Category Code]],5,TM[[#All],[Large Provider Entity Code]],A199)/C199,"NA")</f>
        <v>NA</v>
      </c>
      <c r="I199" s="95">
        <f>SUMIFS(TM[[#All],[Member Months]],TM[[#All],[Reporting Year]],2022,TM[[#All],[Insurance Category Code]],5,TM[[#All],[Large Provider Entity Code]],A199)</f>
        <v>0</v>
      </c>
      <c r="J199" s="7" t="str">
        <f>IFERROR(SUMIFS(TM[[#All],[Total Non-Truncated Claims Spending]],TM[[#All],[Reporting Year]],2022,TM[[#All],[Insurance Category Code]],5,TM[[#All],[Large Provider Entity Code]],A199)/I199,"NA")</f>
        <v>NA</v>
      </c>
      <c r="K199" s="7" t="str">
        <f>IFERROR(SUMIFS(TM[[#All],[Total Non-Claims Spending]],TM[[#All],[Reporting Year]],2022,TM[[#All],[Insurance Category Code]],5,TM[[#All],[Large Provider Entity Code]],A199)/I199,"NA")</f>
        <v>NA</v>
      </c>
      <c r="L199" s="7" t="str">
        <f>IFERROR(SUMIFS(TM[[#All],[Total Non-Truncated Claims and Non-Claims Spending]],TM[[#All],[Reporting Year]],2022,TM[[#All],[Insurance Category Code]],5,TM[[#All],[Large Provider Entity Code]],A199)/I199,"NA")</f>
        <v>NA</v>
      </c>
      <c r="M199" s="7" t="str">
        <f>IFERROR(SUMIFS(TM[[#All],[Total Truncated Claims Spending]],TM[[#All],[Reporting Year]],2022,TM[[#All],[Insurance Category Code]],5,TM[[#All],[Large Provider Entity Code]],A199)/I199,"NA")</f>
        <v>NA</v>
      </c>
      <c r="N199" s="96" t="str">
        <f>IFERROR(SUMIFS(TM[[#All],[Total Truncated Expenses]],TM[[#All],[Reporting Year]],2022,TM[[#All],[Insurance Category Code]],5,TM[[#All],[Large Provider Entity Code]],A199)/I199,"NA")</f>
        <v>NA</v>
      </c>
      <c r="O199" s="518">
        <f t="shared" si="141"/>
        <v>0</v>
      </c>
      <c r="P199" s="243" t="str">
        <f t="shared" si="135"/>
        <v>NA</v>
      </c>
      <c r="Q199" s="97" t="str">
        <f t="shared" si="136"/>
        <v>NA</v>
      </c>
      <c r="R199" s="97" t="str">
        <f t="shared" si="137"/>
        <v>NA</v>
      </c>
      <c r="S199" s="97" t="str">
        <f t="shared" si="138"/>
        <v>NA</v>
      </c>
      <c r="T199" s="97" t="str">
        <f t="shared" si="139"/>
        <v>NA</v>
      </c>
      <c r="U199" s="97" t="str">
        <f t="shared" si="140"/>
        <v>NA</v>
      </c>
    </row>
    <row r="200" spans="1:21" x14ac:dyDescent="0.25">
      <c r="A200" s="218">
        <v>109</v>
      </c>
      <c r="B200" s="571" t="s">
        <v>76</v>
      </c>
      <c r="C200" s="95">
        <f>SUMIFS(TM[[#All],[Member Months]],TM[[#All],[Reporting Year]],2021,TM[[#All],[Insurance Category Code]],5,TM[[#All],[Large Provider Entity Code]],A200)</f>
        <v>0</v>
      </c>
      <c r="D200" s="7" t="str">
        <f>IFERROR(SUMIFS(TM[[#All],[Total Non-Truncated Claims Spending]],TM[[#All],[Reporting Year]],2021,TM[[#All],[Insurance Category Code]],5,TM[[#All],[Large Provider Entity Code]],A200)/C200,"NA")</f>
        <v>NA</v>
      </c>
      <c r="E200" s="7" t="str">
        <f>IFERROR(SUMIFS(TM[[#All],[Total Non-Claims Spending]],TM[[#All],[Reporting Year]],2021,TM[[#All],[Insurance Category Code]],5,TM[[#All],[Large Provider Entity Code]],A200)/C200,"NA")</f>
        <v>NA</v>
      </c>
      <c r="F200" s="7" t="str">
        <f>IFERROR(SUMIFS(TM[[#All],[Total Non-Truncated Claims and Non-Claims Spending]],TM[[#All],[Reporting Year]],2021,TM[[#All],[Insurance Category Code]],5,TM[[#All],[Large Provider Entity Code]],A200)/C200,"NA")</f>
        <v>NA</v>
      </c>
      <c r="G200" s="7" t="str">
        <f>IFERROR(SUMIFS(TM[[#All],[Total Truncated Claims Spending]],TM[[#All],[Reporting Year]],2021,TM[[#All],[Insurance Category Code]],5,TM[[#All],[Large Provider Entity Code]],A200)/C200,"NA")</f>
        <v>NA</v>
      </c>
      <c r="H200" s="204" t="str">
        <f>IFERROR(SUMIFS(TM[[#All],[Total Truncated Expenses]],TM[[#All],[Reporting Year]],2021,TM[[#All],[Insurance Category Code]],5,TM[[#All],[Large Provider Entity Code]],A200)/C200,"NA")</f>
        <v>NA</v>
      </c>
      <c r="I200" s="95">
        <f>SUMIFS(TM[[#All],[Member Months]],TM[[#All],[Reporting Year]],2022,TM[[#All],[Insurance Category Code]],5,TM[[#All],[Large Provider Entity Code]],A200)</f>
        <v>0</v>
      </c>
      <c r="J200" s="7" t="str">
        <f>IFERROR(SUMIFS(TM[[#All],[Total Non-Truncated Claims Spending]],TM[[#All],[Reporting Year]],2022,TM[[#All],[Insurance Category Code]],5,TM[[#All],[Large Provider Entity Code]],A200)/I200,"NA")</f>
        <v>NA</v>
      </c>
      <c r="K200" s="7" t="str">
        <f>IFERROR(SUMIFS(TM[[#All],[Total Non-Claims Spending]],TM[[#All],[Reporting Year]],2022,TM[[#All],[Insurance Category Code]],5,TM[[#All],[Large Provider Entity Code]],A200)/I200,"NA")</f>
        <v>NA</v>
      </c>
      <c r="L200" s="7" t="str">
        <f>IFERROR(SUMIFS(TM[[#All],[Total Non-Truncated Claims and Non-Claims Spending]],TM[[#All],[Reporting Year]],2022,TM[[#All],[Insurance Category Code]],5,TM[[#All],[Large Provider Entity Code]],A200)/I200,"NA")</f>
        <v>NA</v>
      </c>
      <c r="M200" s="7" t="str">
        <f>IFERROR(SUMIFS(TM[[#All],[Total Truncated Claims Spending]],TM[[#All],[Reporting Year]],2022,TM[[#All],[Insurance Category Code]],5,TM[[#All],[Large Provider Entity Code]],A200)/I200,"NA")</f>
        <v>NA</v>
      </c>
      <c r="N200" s="96" t="str">
        <f>IFERROR(SUMIFS(TM[[#All],[Total Truncated Expenses]],TM[[#All],[Reporting Year]],2022,TM[[#All],[Insurance Category Code]],5,TM[[#All],[Large Provider Entity Code]],A200)/I200,"NA")</f>
        <v>NA</v>
      </c>
      <c r="O200" s="518">
        <f t="shared" si="141"/>
        <v>0</v>
      </c>
      <c r="P200" s="243" t="str">
        <f t="shared" si="135"/>
        <v>NA</v>
      </c>
      <c r="Q200" s="97" t="str">
        <f t="shared" si="136"/>
        <v>NA</v>
      </c>
      <c r="R200" s="97" t="str">
        <f t="shared" si="137"/>
        <v>NA</v>
      </c>
      <c r="S200" s="97" t="str">
        <f t="shared" si="138"/>
        <v>NA</v>
      </c>
      <c r="T200" s="97" t="str">
        <f t="shared" si="139"/>
        <v>NA</v>
      </c>
      <c r="U200" s="97" t="str">
        <f t="shared" si="140"/>
        <v>NA</v>
      </c>
    </row>
    <row r="201" spans="1:21" x14ac:dyDescent="0.25">
      <c r="A201" s="218">
        <v>110</v>
      </c>
      <c r="B201" s="495" t="s">
        <v>77</v>
      </c>
      <c r="C201" s="95">
        <f>SUMIFS(TM[[#All],[Member Months]],TM[[#All],[Reporting Year]],2021,TM[[#All],[Insurance Category Code]],5,TM[[#All],[Large Provider Entity Code]],A201)</f>
        <v>0</v>
      </c>
      <c r="D201" s="7" t="str">
        <f>IFERROR(SUMIFS(TM[[#All],[Total Non-Truncated Claims Spending]],TM[[#All],[Reporting Year]],2021,TM[[#All],[Insurance Category Code]],5,TM[[#All],[Large Provider Entity Code]],A201)/C201,"NA")</f>
        <v>NA</v>
      </c>
      <c r="E201" s="7" t="str">
        <f>IFERROR(SUMIFS(TM[[#All],[Total Non-Claims Spending]],TM[[#All],[Reporting Year]],2021,TM[[#All],[Insurance Category Code]],5,TM[[#All],[Large Provider Entity Code]],A201)/C201,"NA")</f>
        <v>NA</v>
      </c>
      <c r="F201" s="7" t="str">
        <f>IFERROR(SUMIFS(TM[[#All],[Total Non-Truncated Claims and Non-Claims Spending]],TM[[#All],[Reporting Year]],2021,TM[[#All],[Insurance Category Code]],5,TM[[#All],[Large Provider Entity Code]],A201)/C201,"NA")</f>
        <v>NA</v>
      </c>
      <c r="G201" s="7" t="str">
        <f>IFERROR(SUMIFS(TM[[#All],[Total Truncated Claims Spending]],TM[[#All],[Reporting Year]],2021,TM[[#All],[Insurance Category Code]],5,TM[[#All],[Large Provider Entity Code]],A201)/C201,"NA")</f>
        <v>NA</v>
      </c>
      <c r="H201" s="204" t="str">
        <f>IFERROR(SUMIFS(TM[[#All],[Total Truncated Expenses]],TM[[#All],[Reporting Year]],2021,TM[[#All],[Insurance Category Code]],5,TM[[#All],[Large Provider Entity Code]],A201)/C201,"NA")</f>
        <v>NA</v>
      </c>
      <c r="I201" s="95">
        <f>SUMIFS(TM[[#All],[Member Months]],TM[[#All],[Reporting Year]],2022,TM[[#All],[Insurance Category Code]],5,TM[[#All],[Large Provider Entity Code]],A201)</f>
        <v>0</v>
      </c>
      <c r="J201" s="7" t="str">
        <f>IFERROR(SUMIFS(TM[[#All],[Total Non-Truncated Claims Spending]],TM[[#All],[Reporting Year]],2022,TM[[#All],[Insurance Category Code]],5,TM[[#All],[Large Provider Entity Code]],A201)/I201,"NA")</f>
        <v>NA</v>
      </c>
      <c r="K201" s="7" t="str">
        <f>IFERROR(SUMIFS(TM[[#All],[Total Non-Claims Spending]],TM[[#All],[Reporting Year]],2022,TM[[#All],[Insurance Category Code]],5,TM[[#All],[Large Provider Entity Code]],A201)/I201,"NA")</f>
        <v>NA</v>
      </c>
      <c r="L201" s="7" t="str">
        <f>IFERROR(SUMIFS(TM[[#All],[Total Non-Truncated Claims and Non-Claims Spending]],TM[[#All],[Reporting Year]],2022,TM[[#All],[Insurance Category Code]],5,TM[[#All],[Large Provider Entity Code]],A201)/I201,"NA")</f>
        <v>NA</v>
      </c>
      <c r="M201" s="7" t="str">
        <f>IFERROR(SUMIFS(TM[[#All],[Total Truncated Claims Spending]],TM[[#All],[Reporting Year]],2022,TM[[#All],[Insurance Category Code]],5,TM[[#All],[Large Provider Entity Code]],A201)/I201,"NA")</f>
        <v>NA</v>
      </c>
      <c r="N201" s="96" t="str">
        <f>IFERROR(SUMIFS(TM[[#All],[Total Truncated Expenses]],TM[[#All],[Reporting Year]],2022,TM[[#All],[Insurance Category Code]],5,TM[[#All],[Large Provider Entity Code]],A201)/I201,"NA")</f>
        <v>NA</v>
      </c>
      <c r="O201" s="518">
        <f t="shared" si="141"/>
        <v>0</v>
      </c>
      <c r="P201" s="243" t="str">
        <f t="shared" si="135"/>
        <v>NA</v>
      </c>
      <c r="Q201" s="97" t="str">
        <f t="shared" si="136"/>
        <v>NA</v>
      </c>
      <c r="R201" s="97" t="str">
        <f t="shared" si="137"/>
        <v>NA</v>
      </c>
      <c r="S201" s="97" t="str">
        <f t="shared" si="138"/>
        <v>NA</v>
      </c>
      <c r="T201" s="97" t="str">
        <f t="shared" si="139"/>
        <v>NA</v>
      </c>
      <c r="U201" s="97" t="str">
        <f t="shared" si="140"/>
        <v>NA</v>
      </c>
    </row>
    <row r="202" spans="1:21" x14ac:dyDescent="0.25">
      <c r="A202" s="218">
        <v>111</v>
      </c>
      <c r="B202" s="566" t="s">
        <v>78</v>
      </c>
      <c r="C202" s="95">
        <f>SUMIFS(TM[[#All],[Member Months]],TM[[#All],[Reporting Year]],2021,TM[[#All],[Insurance Category Code]],5,TM[[#All],[Large Provider Entity Code]],A202)</f>
        <v>0</v>
      </c>
      <c r="D202" s="7" t="str">
        <f>IFERROR(SUMIFS(TM[[#All],[Total Non-Truncated Claims Spending]],TM[[#All],[Reporting Year]],2021,TM[[#All],[Insurance Category Code]],5,TM[[#All],[Large Provider Entity Code]],A202)/C202,"NA")</f>
        <v>NA</v>
      </c>
      <c r="E202" s="7" t="str">
        <f>IFERROR(SUMIFS(TM[[#All],[Total Non-Claims Spending]],TM[[#All],[Reporting Year]],2021,TM[[#All],[Insurance Category Code]],5,TM[[#All],[Large Provider Entity Code]],A202)/C202,"NA")</f>
        <v>NA</v>
      </c>
      <c r="F202" s="7" t="str">
        <f>IFERROR(SUMIFS(TM[[#All],[Total Non-Truncated Claims and Non-Claims Spending]],TM[[#All],[Reporting Year]],2021,TM[[#All],[Insurance Category Code]],5,TM[[#All],[Large Provider Entity Code]],A202)/C202,"NA")</f>
        <v>NA</v>
      </c>
      <c r="G202" s="7" t="str">
        <f>IFERROR(SUMIFS(TM[[#All],[Total Truncated Claims Spending]],TM[[#All],[Reporting Year]],2021,TM[[#All],[Insurance Category Code]],5,TM[[#All],[Large Provider Entity Code]],A202)/C202,"NA")</f>
        <v>NA</v>
      </c>
      <c r="H202" s="204" t="str">
        <f>IFERROR(SUMIFS(TM[[#All],[Total Truncated Expenses]],TM[[#All],[Reporting Year]],2021,TM[[#All],[Insurance Category Code]],5,TM[[#All],[Large Provider Entity Code]],A202)/C202,"NA")</f>
        <v>NA</v>
      </c>
      <c r="I202" s="95">
        <f>SUMIFS(TM[[#All],[Member Months]],TM[[#All],[Reporting Year]],2022,TM[[#All],[Insurance Category Code]],5,TM[[#All],[Large Provider Entity Code]],A202)</f>
        <v>0</v>
      </c>
      <c r="J202" s="7" t="str">
        <f>IFERROR(SUMIFS(TM[[#All],[Total Non-Truncated Claims Spending]],TM[[#All],[Reporting Year]],2022,TM[[#All],[Insurance Category Code]],5,TM[[#All],[Large Provider Entity Code]],A202)/I202,"NA")</f>
        <v>NA</v>
      </c>
      <c r="K202" s="7" t="str">
        <f>IFERROR(SUMIFS(TM[[#All],[Total Non-Claims Spending]],TM[[#All],[Reporting Year]],2022,TM[[#All],[Insurance Category Code]],5,TM[[#All],[Large Provider Entity Code]],A202)/I202,"NA")</f>
        <v>NA</v>
      </c>
      <c r="L202" s="7" t="str">
        <f>IFERROR(SUMIFS(TM[[#All],[Total Non-Truncated Claims and Non-Claims Spending]],TM[[#All],[Reporting Year]],2022,TM[[#All],[Insurance Category Code]],5,TM[[#All],[Large Provider Entity Code]],A202)/I202,"NA")</f>
        <v>NA</v>
      </c>
      <c r="M202" s="7" t="str">
        <f>IFERROR(SUMIFS(TM[[#All],[Total Truncated Claims Spending]],TM[[#All],[Reporting Year]],2022,TM[[#All],[Insurance Category Code]],5,TM[[#All],[Large Provider Entity Code]],A202)/I202,"NA")</f>
        <v>NA</v>
      </c>
      <c r="N202" s="96" t="str">
        <f>IFERROR(SUMIFS(TM[[#All],[Total Truncated Expenses]],TM[[#All],[Reporting Year]],2022,TM[[#All],[Insurance Category Code]],5,TM[[#All],[Large Provider Entity Code]],A202)/I202,"NA")</f>
        <v>NA</v>
      </c>
      <c r="O202" s="518">
        <f t="shared" si="141"/>
        <v>0</v>
      </c>
      <c r="P202" s="243" t="str">
        <f t="shared" si="135"/>
        <v>NA</v>
      </c>
      <c r="Q202" s="97" t="str">
        <f t="shared" si="136"/>
        <v>NA</v>
      </c>
      <c r="R202" s="97" t="str">
        <f t="shared" si="137"/>
        <v>NA</v>
      </c>
      <c r="S202" s="97" t="str">
        <f t="shared" si="138"/>
        <v>NA</v>
      </c>
      <c r="T202" s="97" t="str">
        <f t="shared" si="139"/>
        <v>NA</v>
      </c>
      <c r="U202" s="97" t="str">
        <f t="shared" si="140"/>
        <v>NA</v>
      </c>
    </row>
    <row r="203" spans="1:21" x14ac:dyDescent="0.25">
      <c r="A203" s="218">
        <v>112</v>
      </c>
      <c r="B203" s="566" t="s">
        <v>613</v>
      </c>
      <c r="C203" s="95">
        <f>SUMIFS(TM[[#All],[Member Months]],TM[[#All],[Reporting Year]],2021,TM[[#All],[Insurance Category Code]],5,TM[[#All],[Large Provider Entity Code]],A203)</f>
        <v>0</v>
      </c>
      <c r="D203" s="7" t="str">
        <f>IFERROR(SUMIFS(TM[[#All],[Total Non-Truncated Claims Spending]],TM[[#All],[Reporting Year]],2021,TM[[#All],[Insurance Category Code]],5,TM[[#All],[Large Provider Entity Code]],A203)/C203,"NA")</f>
        <v>NA</v>
      </c>
      <c r="E203" s="7" t="str">
        <f>IFERROR(SUMIFS(TM[[#All],[Total Non-Claims Spending]],TM[[#All],[Reporting Year]],2021,TM[[#All],[Insurance Category Code]],5,TM[[#All],[Large Provider Entity Code]],A203)/C203,"NA")</f>
        <v>NA</v>
      </c>
      <c r="F203" s="7" t="str">
        <f>IFERROR(SUMIFS(TM[[#All],[Total Non-Truncated Claims and Non-Claims Spending]],TM[[#All],[Reporting Year]],2021,TM[[#All],[Insurance Category Code]],5,TM[[#All],[Large Provider Entity Code]],A203)/C203,"NA")</f>
        <v>NA</v>
      </c>
      <c r="G203" s="7" t="str">
        <f>IFERROR(SUMIFS(TM[[#All],[Total Truncated Claims Spending]],TM[[#All],[Reporting Year]],2021,TM[[#All],[Insurance Category Code]],5,TM[[#All],[Large Provider Entity Code]],A203)/C203,"NA")</f>
        <v>NA</v>
      </c>
      <c r="H203" s="204" t="str">
        <f>IFERROR(SUMIFS(TM[[#All],[Total Truncated Expenses]],TM[[#All],[Reporting Year]],2021,TM[[#All],[Insurance Category Code]],5,TM[[#All],[Large Provider Entity Code]],A203)/C203,"NA")</f>
        <v>NA</v>
      </c>
      <c r="I203" s="95">
        <f>SUMIFS(TM[[#All],[Member Months]],TM[[#All],[Reporting Year]],2022,TM[[#All],[Insurance Category Code]],5,TM[[#All],[Large Provider Entity Code]],A203)</f>
        <v>0</v>
      </c>
      <c r="J203" s="7" t="str">
        <f>IFERROR(SUMIFS(TM[[#All],[Total Non-Truncated Claims Spending]],TM[[#All],[Reporting Year]],2022,TM[[#All],[Insurance Category Code]],5,TM[[#All],[Large Provider Entity Code]],A203)/I203,"NA")</f>
        <v>NA</v>
      </c>
      <c r="K203" s="7" t="str">
        <f>IFERROR(SUMIFS(TM[[#All],[Total Non-Claims Spending]],TM[[#All],[Reporting Year]],2022,TM[[#All],[Insurance Category Code]],5,TM[[#All],[Large Provider Entity Code]],A203)/I203,"NA")</f>
        <v>NA</v>
      </c>
      <c r="L203" s="7" t="str">
        <f>IFERROR(SUMIFS(TM[[#All],[Total Non-Truncated Claims and Non-Claims Spending]],TM[[#All],[Reporting Year]],2022,TM[[#All],[Insurance Category Code]],5,TM[[#All],[Large Provider Entity Code]],A203)/I203,"NA")</f>
        <v>NA</v>
      </c>
      <c r="M203" s="7" t="str">
        <f>IFERROR(SUMIFS(TM[[#All],[Total Truncated Claims Spending]],TM[[#All],[Reporting Year]],2022,TM[[#All],[Insurance Category Code]],5,TM[[#All],[Large Provider Entity Code]],A203)/I203,"NA")</f>
        <v>NA</v>
      </c>
      <c r="N203" s="96" t="str">
        <f>IFERROR(SUMIFS(TM[[#All],[Total Truncated Expenses]],TM[[#All],[Reporting Year]],2022,TM[[#All],[Insurance Category Code]],5,TM[[#All],[Large Provider Entity Code]],A203)/I203,"NA")</f>
        <v>NA</v>
      </c>
      <c r="O203" s="518">
        <f t="shared" si="141"/>
        <v>0</v>
      </c>
      <c r="P203" s="243" t="str">
        <f t="shared" si="135"/>
        <v>NA</v>
      </c>
      <c r="Q203" s="97" t="str">
        <f t="shared" si="136"/>
        <v>NA</v>
      </c>
      <c r="R203" s="97" t="str">
        <f t="shared" si="137"/>
        <v>NA</v>
      </c>
      <c r="S203" s="97" t="str">
        <f t="shared" si="138"/>
        <v>NA</v>
      </c>
      <c r="T203" s="97" t="str">
        <f t="shared" si="139"/>
        <v>NA</v>
      </c>
      <c r="U203" s="97" t="str">
        <f t="shared" si="140"/>
        <v>NA</v>
      </c>
    </row>
    <row r="204" spans="1:21" x14ac:dyDescent="0.25">
      <c r="A204" s="218">
        <v>115</v>
      </c>
      <c r="B204" s="566" t="s">
        <v>79</v>
      </c>
      <c r="C204" s="95">
        <f>SUMIFS(TM[[#All],[Member Months]],TM[[#All],[Reporting Year]],2021,TM[[#All],[Insurance Category Code]],5,TM[[#All],[Large Provider Entity Code]],A204)</f>
        <v>0</v>
      </c>
      <c r="D204" s="7" t="str">
        <f>IFERROR(SUMIFS(TM[[#All],[Total Non-Truncated Claims Spending]],TM[[#All],[Reporting Year]],2021,TM[[#All],[Insurance Category Code]],5,TM[[#All],[Large Provider Entity Code]],A204)/C204,"NA")</f>
        <v>NA</v>
      </c>
      <c r="E204" s="7" t="str">
        <f>IFERROR(SUMIFS(TM[[#All],[Total Non-Claims Spending]],TM[[#All],[Reporting Year]],2021,TM[[#All],[Insurance Category Code]],5,TM[[#All],[Large Provider Entity Code]],A204)/C204,"NA")</f>
        <v>NA</v>
      </c>
      <c r="F204" s="7" t="str">
        <f>IFERROR(SUMIFS(TM[[#All],[Total Non-Truncated Claims and Non-Claims Spending]],TM[[#All],[Reporting Year]],2021,TM[[#All],[Insurance Category Code]],5,TM[[#All],[Large Provider Entity Code]],A204)/C204,"NA")</f>
        <v>NA</v>
      </c>
      <c r="G204" s="7" t="str">
        <f>IFERROR(SUMIFS(TM[[#All],[Total Truncated Claims Spending]],TM[[#All],[Reporting Year]],2021,TM[[#All],[Insurance Category Code]],5,TM[[#All],[Large Provider Entity Code]],A204)/C204,"NA")</f>
        <v>NA</v>
      </c>
      <c r="H204" s="204" t="str">
        <f>IFERROR(SUMIFS(TM[[#All],[Total Truncated Expenses]],TM[[#All],[Reporting Year]],2021,TM[[#All],[Insurance Category Code]],5,TM[[#All],[Large Provider Entity Code]],A204)/C204,"NA")</f>
        <v>NA</v>
      </c>
      <c r="I204" s="95">
        <f>SUMIFS(TM[[#All],[Member Months]],TM[[#All],[Reporting Year]],2022,TM[[#All],[Insurance Category Code]],5,TM[[#All],[Large Provider Entity Code]],A204)</f>
        <v>0</v>
      </c>
      <c r="J204" s="7" t="str">
        <f>IFERROR(SUMIFS(TM[[#All],[Total Non-Truncated Claims Spending]],TM[[#All],[Reporting Year]],2022,TM[[#All],[Insurance Category Code]],5,TM[[#All],[Large Provider Entity Code]],A204)/I204,"NA")</f>
        <v>NA</v>
      </c>
      <c r="K204" s="7" t="str">
        <f>IFERROR(SUMIFS(TM[[#All],[Total Non-Claims Spending]],TM[[#All],[Reporting Year]],2022,TM[[#All],[Insurance Category Code]],5,TM[[#All],[Large Provider Entity Code]],A204)/I204,"NA")</f>
        <v>NA</v>
      </c>
      <c r="L204" s="7" t="str">
        <f>IFERROR(SUMIFS(TM[[#All],[Total Non-Truncated Claims and Non-Claims Spending]],TM[[#All],[Reporting Year]],2022,TM[[#All],[Insurance Category Code]],5,TM[[#All],[Large Provider Entity Code]],A204)/I204,"NA")</f>
        <v>NA</v>
      </c>
      <c r="M204" s="7" t="str">
        <f>IFERROR(SUMIFS(TM[[#All],[Total Truncated Claims Spending]],TM[[#All],[Reporting Year]],2022,TM[[#All],[Insurance Category Code]],5,TM[[#All],[Large Provider Entity Code]],A204)/I204,"NA")</f>
        <v>NA</v>
      </c>
      <c r="N204" s="96" t="str">
        <f>IFERROR(SUMIFS(TM[[#All],[Total Truncated Expenses]],TM[[#All],[Reporting Year]],2022,TM[[#All],[Insurance Category Code]],5,TM[[#All],[Large Provider Entity Code]],A204)/I204,"NA")</f>
        <v>NA</v>
      </c>
      <c r="O204" s="518">
        <f t="shared" si="141"/>
        <v>0</v>
      </c>
      <c r="P204" s="243" t="str">
        <f t="shared" si="135"/>
        <v>NA</v>
      </c>
      <c r="Q204" s="97" t="str">
        <f t="shared" si="136"/>
        <v>NA</v>
      </c>
      <c r="R204" s="97" t="str">
        <f t="shared" si="137"/>
        <v>NA</v>
      </c>
      <c r="S204" s="97" t="str">
        <f t="shared" si="138"/>
        <v>NA</v>
      </c>
      <c r="T204" s="97" t="str">
        <f t="shared" si="139"/>
        <v>NA</v>
      </c>
      <c r="U204" s="97" t="str">
        <f t="shared" si="140"/>
        <v>NA</v>
      </c>
    </row>
    <row r="205" spans="1:21" x14ac:dyDescent="0.25">
      <c r="A205" s="218">
        <v>116</v>
      </c>
      <c r="B205" s="566" t="s">
        <v>614</v>
      </c>
      <c r="C205" s="95">
        <f>SUMIFS(TM[[#All],[Member Months]],TM[[#All],[Reporting Year]],2021,TM[[#All],[Insurance Category Code]],5,TM[[#All],[Large Provider Entity Code]],A205)</f>
        <v>0</v>
      </c>
      <c r="D205" s="7" t="str">
        <f>IFERROR(SUMIFS(TM[[#All],[Total Non-Truncated Claims Spending]],TM[[#All],[Reporting Year]],2021,TM[[#All],[Insurance Category Code]],5,TM[[#All],[Large Provider Entity Code]],A205)/C205,"NA")</f>
        <v>NA</v>
      </c>
      <c r="E205" s="7" t="str">
        <f>IFERROR(SUMIFS(TM[[#All],[Total Non-Claims Spending]],TM[[#All],[Reporting Year]],2021,TM[[#All],[Insurance Category Code]],5,TM[[#All],[Large Provider Entity Code]],A205)/C205,"NA")</f>
        <v>NA</v>
      </c>
      <c r="F205" s="7" t="str">
        <f>IFERROR(SUMIFS(TM[[#All],[Total Non-Truncated Claims and Non-Claims Spending]],TM[[#All],[Reporting Year]],2021,TM[[#All],[Insurance Category Code]],5,TM[[#All],[Large Provider Entity Code]],A205)/C205,"NA")</f>
        <v>NA</v>
      </c>
      <c r="G205" s="7" t="str">
        <f>IFERROR(SUMIFS(TM[[#All],[Total Truncated Claims Spending]],TM[[#All],[Reporting Year]],2021,TM[[#All],[Insurance Category Code]],5,TM[[#All],[Large Provider Entity Code]],A205)/C205,"NA")</f>
        <v>NA</v>
      </c>
      <c r="H205" s="204" t="str">
        <f>IFERROR(SUMIFS(TM[[#All],[Total Truncated Expenses]],TM[[#All],[Reporting Year]],2021,TM[[#All],[Insurance Category Code]],5,TM[[#All],[Large Provider Entity Code]],A205)/C205,"NA")</f>
        <v>NA</v>
      </c>
      <c r="I205" s="95">
        <f>SUMIFS(TM[[#All],[Member Months]],TM[[#All],[Reporting Year]],2022,TM[[#All],[Insurance Category Code]],5,TM[[#All],[Large Provider Entity Code]],A205)</f>
        <v>0</v>
      </c>
      <c r="J205" s="7" t="str">
        <f>IFERROR(SUMIFS(TM[[#All],[Total Non-Truncated Claims Spending]],TM[[#All],[Reporting Year]],2022,TM[[#All],[Insurance Category Code]],5,TM[[#All],[Large Provider Entity Code]],A205)/I205,"NA")</f>
        <v>NA</v>
      </c>
      <c r="K205" s="7" t="str">
        <f>IFERROR(SUMIFS(TM[[#All],[Total Non-Claims Spending]],TM[[#All],[Reporting Year]],2022,TM[[#All],[Insurance Category Code]],5,TM[[#All],[Large Provider Entity Code]],A205)/I205,"NA")</f>
        <v>NA</v>
      </c>
      <c r="L205" s="7" t="str">
        <f>IFERROR(SUMIFS(TM[[#All],[Total Non-Truncated Claims and Non-Claims Spending]],TM[[#All],[Reporting Year]],2022,TM[[#All],[Insurance Category Code]],5,TM[[#All],[Large Provider Entity Code]],A205)/I205,"NA")</f>
        <v>NA</v>
      </c>
      <c r="M205" s="7" t="str">
        <f>IFERROR(SUMIFS(TM[[#All],[Total Truncated Claims Spending]],TM[[#All],[Reporting Year]],2022,TM[[#All],[Insurance Category Code]],5,TM[[#All],[Large Provider Entity Code]],A205)/I205,"NA")</f>
        <v>NA</v>
      </c>
      <c r="N205" s="96" t="str">
        <f>IFERROR(SUMIFS(TM[[#All],[Total Truncated Expenses]],TM[[#All],[Reporting Year]],2022,TM[[#All],[Insurance Category Code]],5,TM[[#All],[Large Provider Entity Code]],A205)/I205,"NA")</f>
        <v>NA</v>
      </c>
      <c r="O205" s="518">
        <f t="shared" si="141"/>
        <v>0</v>
      </c>
      <c r="P205" s="243" t="str">
        <f t="shared" si="135"/>
        <v>NA</v>
      </c>
      <c r="Q205" s="97" t="str">
        <f t="shared" si="136"/>
        <v>NA</v>
      </c>
      <c r="R205" s="97" t="str">
        <f t="shared" si="137"/>
        <v>NA</v>
      </c>
      <c r="S205" s="97" t="str">
        <f t="shared" si="138"/>
        <v>NA</v>
      </c>
      <c r="T205" s="97" t="str">
        <f t="shared" si="139"/>
        <v>NA</v>
      </c>
      <c r="U205" s="97" t="str">
        <f t="shared" si="140"/>
        <v>NA</v>
      </c>
    </row>
    <row r="206" spans="1:21" x14ac:dyDescent="0.25">
      <c r="A206" s="218">
        <v>118</v>
      </c>
      <c r="B206" s="566" t="s">
        <v>80</v>
      </c>
      <c r="C206" s="95">
        <f>SUMIFS(TM[[#All],[Member Months]],TM[[#All],[Reporting Year]],2021,TM[[#All],[Insurance Category Code]],5,TM[[#All],[Large Provider Entity Code]],A206)</f>
        <v>0</v>
      </c>
      <c r="D206" s="7" t="str">
        <f>IFERROR(SUMIFS(TM[[#All],[Total Non-Truncated Claims Spending]],TM[[#All],[Reporting Year]],2021,TM[[#All],[Insurance Category Code]],5,TM[[#All],[Large Provider Entity Code]],A206)/C206,"NA")</f>
        <v>NA</v>
      </c>
      <c r="E206" s="7" t="str">
        <f>IFERROR(SUMIFS(TM[[#All],[Total Non-Claims Spending]],TM[[#All],[Reporting Year]],2021,TM[[#All],[Insurance Category Code]],5,TM[[#All],[Large Provider Entity Code]],A206)/C206,"NA")</f>
        <v>NA</v>
      </c>
      <c r="F206" s="7" t="str">
        <f>IFERROR(SUMIFS(TM[[#All],[Total Non-Truncated Claims and Non-Claims Spending]],TM[[#All],[Reporting Year]],2021,TM[[#All],[Insurance Category Code]],5,TM[[#All],[Large Provider Entity Code]],A206)/C206,"NA")</f>
        <v>NA</v>
      </c>
      <c r="G206" s="7" t="str">
        <f>IFERROR(SUMIFS(TM[[#All],[Total Truncated Claims Spending]],TM[[#All],[Reporting Year]],2021,TM[[#All],[Insurance Category Code]],5,TM[[#All],[Large Provider Entity Code]],A206)/C206,"NA")</f>
        <v>NA</v>
      </c>
      <c r="H206" s="204" t="str">
        <f>IFERROR(SUMIFS(TM[[#All],[Total Truncated Expenses]],TM[[#All],[Reporting Year]],2021,TM[[#All],[Insurance Category Code]],5,TM[[#All],[Large Provider Entity Code]],A206)/C206,"NA")</f>
        <v>NA</v>
      </c>
      <c r="I206" s="95">
        <f>SUMIFS(TM[[#All],[Member Months]],TM[[#All],[Reporting Year]],2022,TM[[#All],[Insurance Category Code]],5,TM[[#All],[Large Provider Entity Code]],A206)</f>
        <v>0</v>
      </c>
      <c r="J206" s="7" t="str">
        <f>IFERROR(SUMIFS(TM[[#All],[Total Non-Truncated Claims Spending]],TM[[#All],[Reporting Year]],2022,TM[[#All],[Insurance Category Code]],5,TM[[#All],[Large Provider Entity Code]],A206)/I206,"NA")</f>
        <v>NA</v>
      </c>
      <c r="K206" s="7" t="str">
        <f>IFERROR(SUMIFS(TM[[#All],[Total Non-Claims Spending]],TM[[#All],[Reporting Year]],2022,TM[[#All],[Insurance Category Code]],5,TM[[#All],[Large Provider Entity Code]],A206)/I206,"NA")</f>
        <v>NA</v>
      </c>
      <c r="L206" s="7" t="str">
        <f>IFERROR(SUMIFS(TM[[#All],[Total Non-Truncated Claims and Non-Claims Spending]],TM[[#All],[Reporting Year]],2022,TM[[#All],[Insurance Category Code]],5,TM[[#All],[Large Provider Entity Code]],A206)/I206,"NA")</f>
        <v>NA</v>
      </c>
      <c r="M206" s="7" t="str">
        <f>IFERROR(SUMIFS(TM[[#All],[Total Truncated Claims Spending]],TM[[#All],[Reporting Year]],2022,TM[[#All],[Insurance Category Code]],5,TM[[#All],[Large Provider Entity Code]],A206)/I206,"NA")</f>
        <v>NA</v>
      </c>
      <c r="N206" s="96" t="str">
        <f>IFERROR(SUMIFS(TM[[#All],[Total Truncated Expenses]],TM[[#All],[Reporting Year]],2022,TM[[#All],[Insurance Category Code]],5,TM[[#All],[Large Provider Entity Code]],A206)/I206,"NA")</f>
        <v>NA</v>
      </c>
      <c r="O206" s="518">
        <f t="shared" si="141"/>
        <v>0</v>
      </c>
      <c r="P206" s="243" t="str">
        <f t="shared" si="135"/>
        <v>NA</v>
      </c>
      <c r="Q206" s="97" t="str">
        <f t="shared" si="136"/>
        <v>NA</v>
      </c>
      <c r="R206" s="97" t="str">
        <f t="shared" si="137"/>
        <v>NA</v>
      </c>
      <c r="S206" s="97" t="str">
        <f t="shared" si="138"/>
        <v>NA</v>
      </c>
      <c r="T206" s="97" t="str">
        <f t="shared" si="139"/>
        <v>NA</v>
      </c>
      <c r="U206" s="97" t="str">
        <f t="shared" si="140"/>
        <v>NA</v>
      </c>
    </row>
    <row r="207" spans="1:21" x14ac:dyDescent="0.25">
      <c r="A207" s="218">
        <v>119</v>
      </c>
      <c r="B207" s="566" t="s">
        <v>615</v>
      </c>
      <c r="C207" s="95">
        <f>SUMIFS(TM[[#All],[Member Months]],TM[[#All],[Reporting Year]],2021,TM[[#All],[Insurance Category Code]],5,TM[[#All],[Large Provider Entity Code]],A207)</f>
        <v>0</v>
      </c>
      <c r="D207" s="7" t="str">
        <f>IFERROR(SUMIFS(TM[[#All],[Total Non-Truncated Claims Spending]],TM[[#All],[Reporting Year]],2021,TM[[#All],[Insurance Category Code]],5,TM[[#All],[Large Provider Entity Code]],A207)/C207,"NA")</f>
        <v>NA</v>
      </c>
      <c r="E207" s="7" t="str">
        <f>IFERROR(SUMIFS(TM[[#All],[Total Non-Claims Spending]],TM[[#All],[Reporting Year]],2021,TM[[#All],[Insurance Category Code]],5,TM[[#All],[Large Provider Entity Code]],A207)/C207,"NA")</f>
        <v>NA</v>
      </c>
      <c r="F207" s="7" t="str">
        <f>IFERROR(SUMIFS(TM[[#All],[Total Non-Truncated Claims and Non-Claims Spending]],TM[[#All],[Reporting Year]],2021,TM[[#All],[Insurance Category Code]],5,TM[[#All],[Large Provider Entity Code]],A207)/C207,"NA")</f>
        <v>NA</v>
      </c>
      <c r="G207" s="7" t="str">
        <f>IFERROR(SUMIFS(TM[[#All],[Total Truncated Claims Spending]],TM[[#All],[Reporting Year]],2021,TM[[#All],[Insurance Category Code]],5,TM[[#All],[Large Provider Entity Code]],A207)/C207,"NA")</f>
        <v>NA</v>
      </c>
      <c r="H207" s="204" t="str">
        <f>IFERROR(SUMIFS(TM[[#All],[Total Truncated Expenses]],TM[[#All],[Reporting Year]],2021,TM[[#All],[Insurance Category Code]],5,TM[[#All],[Large Provider Entity Code]],A207)/C207,"NA")</f>
        <v>NA</v>
      </c>
      <c r="I207" s="95">
        <f>SUMIFS(TM[[#All],[Member Months]],TM[[#All],[Reporting Year]],2022,TM[[#All],[Insurance Category Code]],5,TM[[#All],[Large Provider Entity Code]],A207)</f>
        <v>0</v>
      </c>
      <c r="J207" s="7" t="str">
        <f>IFERROR(SUMIFS(TM[[#All],[Total Non-Truncated Claims Spending]],TM[[#All],[Reporting Year]],2022,TM[[#All],[Insurance Category Code]],5,TM[[#All],[Large Provider Entity Code]],A207)/I207,"NA")</f>
        <v>NA</v>
      </c>
      <c r="K207" s="7" t="str">
        <f>IFERROR(SUMIFS(TM[[#All],[Total Non-Claims Spending]],TM[[#All],[Reporting Year]],2022,TM[[#All],[Insurance Category Code]],5,TM[[#All],[Large Provider Entity Code]],A207)/I207,"NA")</f>
        <v>NA</v>
      </c>
      <c r="L207" s="7" t="str">
        <f>IFERROR(SUMIFS(TM[[#All],[Total Non-Truncated Claims and Non-Claims Spending]],TM[[#All],[Reporting Year]],2022,TM[[#All],[Insurance Category Code]],5,TM[[#All],[Large Provider Entity Code]],A207)/I207,"NA")</f>
        <v>NA</v>
      </c>
      <c r="M207" s="7" t="str">
        <f>IFERROR(SUMIFS(TM[[#All],[Total Truncated Claims Spending]],TM[[#All],[Reporting Year]],2022,TM[[#All],[Insurance Category Code]],5,TM[[#All],[Large Provider Entity Code]],A207)/I207,"NA")</f>
        <v>NA</v>
      </c>
      <c r="N207" s="96" t="str">
        <f>IFERROR(SUMIFS(TM[[#All],[Total Truncated Expenses]],TM[[#All],[Reporting Year]],2022,TM[[#All],[Insurance Category Code]],5,TM[[#All],[Large Provider Entity Code]],A207)/I207,"NA")</f>
        <v>NA</v>
      </c>
      <c r="O207" s="518">
        <f t="shared" si="141"/>
        <v>0</v>
      </c>
      <c r="P207" s="243" t="str">
        <f t="shared" ref="P207:P210" si="142">IFERROR((I207/C207-1),"NA")</f>
        <v>NA</v>
      </c>
      <c r="Q207" s="97" t="str">
        <f t="shared" ref="Q207:Q210" si="143">IFERROR((J207/D207-1),"NA")</f>
        <v>NA</v>
      </c>
      <c r="R207" s="97" t="str">
        <f t="shared" ref="R207:R210" si="144">IFERROR((K207/E207-1),"NA")</f>
        <v>NA</v>
      </c>
      <c r="S207" s="97" t="str">
        <f t="shared" ref="S207:S210" si="145">IFERROR((L207/F207-1),"NA")</f>
        <v>NA</v>
      </c>
      <c r="T207" s="97" t="str">
        <f t="shared" ref="T207:T210" si="146">IFERROR((M207/G207-1),"NA")</f>
        <v>NA</v>
      </c>
      <c r="U207" s="97" t="str">
        <f t="shared" ref="U207:U210" si="147">IFERROR((N207/H207-1),"NA")</f>
        <v>NA</v>
      </c>
    </row>
    <row r="208" spans="1:21" x14ac:dyDescent="0.25">
      <c r="A208" s="218">
        <v>120</v>
      </c>
      <c r="B208" s="566" t="s">
        <v>608</v>
      </c>
      <c r="C208" s="95">
        <f>SUMIFS(TM[[#All],[Member Months]],TM[[#All],[Reporting Year]],2021,TM[[#All],[Insurance Category Code]],5,TM[[#All],[Large Provider Entity Code]],A208)</f>
        <v>0</v>
      </c>
      <c r="D208" s="7" t="str">
        <f>IFERROR(SUMIFS(TM[[#All],[Total Non-Truncated Claims Spending]],TM[[#All],[Reporting Year]],2021,TM[[#All],[Insurance Category Code]],5,TM[[#All],[Large Provider Entity Code]],A208)/C208,"NA")</f>
        <v>NA</v>
      </c>
      <c r="E208" s="7" t="str">
        <f>IFERROR(SUMIFS(TM[[#All],[Total Non-Claims Spending]],TM[[#All],[Reporting Year]],2021,TM[[#All],[Insurance Category Code]],5,TM[[#All],[Large Provider Entity Code]],A208)/C208,"NA")</f>
        <v>NA</v>
      </c>
      <c r="F208" s="7" t="str">
        <f>IFERROR(SUMIFS(TM[[#All],[Total Non-Truncated Claims and Non-Claims Spending]],TM[[#All],[Reporting Year]],2021,TM[[#All],[Insurance Category Code]],5,TM[[#All],[Large Provider Entity Code]],A208)/C208,"NA")</f>
        <v>NA</v>
      </c>
      <c r="G208" s="7" t="str">
        <f>IFERROR(SUMIFS(TM[[#All],[Total Truncated Claims Spending]],TM[[#All],[Reporting Year]],2021,TM[[#All],[Insurance Category Code]],5,TM[[#All],[Large Provider Entity Code]],A208)/C208,"NA")</f>
        <v>NA</v>
      </c>
      <c r="H208" s="204" t="str">
        <f>IFERROR(SUMIFS(TM[[#All],[Total Truncated Expenses]],TM[[#All],[Reporting Year]],2021,TM[[#All],[Insurance Category Code]],5,TM[[#All],[Large Provider Entity Code]],A208)/C208,"NA")</f>
        <v>NA</v>
      </c>
      <c r="I208" s="95">
        <f>SUMIFS(TM[[#All],[Member Months]],TM[[#All],[Reporting Year]],2022,TM[[#All],[Insurance Category Code]],5,TM[[#All],[Large Provider Entity Code]],A208)</f>
        <v>0</v>
      </c>
      <c r="J208" s="7" t="str">
        <f>IFERROR(SUMIFS(TM[[#All],[Total Non-Truncated Claims Spending]],TM[[#All],[Reporting Year]],2022,TM[[#All],[Insurance Category Code]],5,TM[[#All],[Large Provider Entity Code]],A208)/I208,"NA")</f>
        <v>NA</v>
      </c>
      <c r="K208" s="7" t="str">
        <f>IFERROR(SUMIFS(TM[[#All],[Total Non-Claims Spending]],TM[[#All],[Reporting Year]],2022,TM[[#All],[Insurance Category Code]],5,TM[[#All],[Large Provider Entity Code]],A208)/I208,"NA")</f>
        <v>NA</v>
      </c>
      <c r="L208" s="7" t="str">
        <f>IFERROR(SUMIFS(TM[[#All],[Total Non-Truncated Claims and Non-Claims Spending]],TM[[#All],[Reporting Year]],2022,TM[[#All],[Insurance Category Code]],5,TM[[#All],[Large Provider Entity Code]],A208)/I208,"NA")</f>
        <v>NA</v>
      </c>
      <c r="M208" s="7" t="str">
        <f>IFERROR(SUMIFS(TM[[#All],[Total Truncated Claims Spending]],TM[[#All],[Reporting Year]],2022,TM[[#All],[Insurance Category Code]],5,TM[[#All],[Large Provider Entity Code]],A208)/I208,"NA")</f>
        <v>NA</v>
      </c>
      <c r="N208" s="96" t="str">
        <f>IFERROR(SUMIFS(TM[[#All],[Total Truncated Expenses]],TM[[#All],[Reporting Year]],2022,TM[[#All],[Insurance Category Code]],5,TM[[#All],[Large Provider Entity Code]],A208)/I208,"NA")</f>
        <v>NA</v>
      </c>
      <c r="O208" s="518">
        <f t="shared" ref="O208" si="148">ABS(C208-I208)</f>
        <v>0</v>
      </c>
      <c r="P208" s="243" t="str">
        <f t="shared" ref="P208" si="149">IFERROR((I208/C208-1),"NA")</f>
        <v>NA</v>
      </c>
      <c r="Q208" s="97" t="str">
        <f t="shared" ref="Q208" si="150">IFERROR((J208/D208-1),"NA")</f>
        <v>NA</v>
      </c>
      <c r="R208" s="97" t="str">
        <f t="shared" ref="R208" si="151">IFERROR((K208/E208-1),"NA")</f>
        <v>NA</v>
      </c>
      <c r="S208" s="97" t="str">
        <f t="shared" ref="S208" si="152">IFERROR((L208/F208-1),"NA")</f>
        <v>NA</v>
      </c>
      <c r="T208" s="97" t="str">
        <f t="shared" ref="T208" si="153">IFERROR((M208/G208-1),"NA")</f>
        <v>NA</v>
      </c>
      <c r="U208" s="97" t="str">
        <f t="shared" ref="U208" si="154">IFERROR((N208/H208-1),"NA")</f>
        <v>NA</v>
      </c>
    </row>
    <row r="209" spans="1:21" ht="30" x14ac:dyDescent="0.25">
      <c r="A209" s="218">
        <v>121</v>
      </c>
      <c r="B209" s="495" t="s">
        <v>616</v>
      </c>
      <c r="C209" s="95">
        <f>SUMIFS(TM[[#All],[Member Months]],TM[[#All],[Reporting Year]],2021,TM[[#All],[Insurance Category Code]],5,TM[[#All],[Large Provider Entity Code]],A209)</f>
        <v>0</v>
      </c>
      <c r="D209" s="7" t="str">
        <f>IFERROR(SUMIFS(TM[[#All],[Total Non-Truncated Claims Spending]],TM[[#All],[Reporting Year]],2021,TM[[#All],[Insurance Category Code]],5,TM[[#All],[Large Provider Entity Code]],A209)/C209,"NA")</f>
        <v>NA</v>
      </c>
      <c r="E209" s="7" t="str">
        <f>IFERROR(SUMIFS(TM[[#All],[Total Non-Claims Spending]],TM[[#All],[Reporting Year]],2021,TM[[#All],[Insurance Category Code]],5,TM[[#All],[Large Provider Entity Code]],A209)/C209,"NA")</f>
        <v>NA</v>
      </c>
      <c r="F209" s="7" t="str">
        <f>IFERROR(SUMIFS(TM[[#All],[Total Non-Truncated Claims and Non-Claims Spending]],TM[[#All],[Reporting Year]],2021,TM[[#All],[Insurance Category Code]],5,TM[[#All],[Large Provider Entity Code]],A209)/C209,"NA")</f>
        <v>NA</v>
      </c>
      <c r="G209" s="7" t="str">
        <f>IFERROR(SUMIFS(TM[[#All],[Total Truncated Claims Spending]],TM[[#All],[Reporting Year]],2021,TM[[#All],[Insurance Category Code]],5,TM[[#All],[Large Provider Entity Code]],A209)/C209,"NA")</f>
        <v>NA</v>
      </c>
      <c r="H209" s="204" t="str">
        <f>IFERROR(SUMIFS(TM[[#All],[Total Truncated Expenses]],TM[[#All],[Reporting Year]],2021,TM[[#All],[Insurance Category Code]],5,TM[[#All],[Large Provider Entity Code]],A209)/C209,"NA")</f>
        <v>NA</v>
      </c>
      <c r="I209" s="95">
        <f>SUMIFS(TM[[#All],[Member Months]],TM[[#All],[Reporting Year]],2022,TM[[#All],[Insurance Category Code]],5,TM[[#All],[Large Provider Entity Code]],A209)</f>
        <v>0</v>
      </c>
      <c r="J209" s="7" t="str">
        <f>IFERROR(SUMIFS(TM[[#All],[Total Non-Truncated Claims Spending]],TM[[#All],[Reporting Year]],2022,TM[[#All],[Insurance Category Code]],5,TM[[#All],[Large Provider Entity Code]],A209)/I209,"NA")</f>
        <v>NA</v>
      </c>
      <c r="K209" s="7" t="str">
        <f>IFERROR(SUMIFS(TM[[#All],[Total Non-Claims Spending]],TM[[#All],[Reporting Year]],2022,TM[[#All],[Insurance Category Code]],5,TM[[#All],[Large Provider Entity Code]],A209)/I209,"NA")</f>
        <v>NA</v>
      </c>
      <c r="L209" s="7" t="str">
        <f>IFERROR(SUMIFS(TM[[#All],[Total Non-Truncated Claims and Non-Claims Spending]],TM[[#All],[Reporting Year]],2022,TM[[#All],[Insurance Category Code]],5,TM[[#All],[Large Provider Entity Code]],A209)/I209,"NA")</f>
        <v>NA</v>
      </c>
      <c r="M209" s="7" t="str">
        <f>IFERROR(SUMIFS(TM[[#All],[Total Truncated Claims Spending]],TM[[#All],[Reporting Year]],2022,TM[[#All],[Insurance Category Code]],5,TM[[#All],[Large Provider Entity Code]],A209)/I209,"NA")</f>
        <v>NA</v>
      </c>
      <c r="N209" s="96" t="str">
        <f>IFERROR(SUMIFS(TM[[#All],[Total Truncated Expenses]],TM[[#All],[Reporting Year]],2022,TM[[#All],[Insurance Category Code]],5,TM[[#All],[Large Provider Entity Code]],A209)/I209,"NA")</f>
        <v>NA</v>
      </c>
      <c r="O209" s="518">
        <f t="shared" si="141"/>
        <v>0</v>
      </c>
      <c r="P209" s="243" t="str">
        <f t="shared" si="142"/>
        <v>NA</v>
      </c>
      <c r="Q209" s="97" t="str">
        <f t="shared" si="143"/>
        <v>NA</v>
      </c>
      <c r="R209" s="97" t="str">
        <f t="shared" si="144"/>
        <v>NA</v>
      </c>
      <c r="S209" s="97" t="str">
        <f t="shared" si="145"/>
        <v>NA</v>
      </c>
      <c r="T209" s="97" t="str">
        <f t="shared" si="146"/>
        <v>NA</v>
      </c>
      <c r="U209" s="97" t="str">
        <f t="shared" si="147"/>
        <v>NA</v>
      </c>
    </row>
    <row r="210" spans="1:21" x14ac:dyDescent="0.25">
      <c r="A210" s="218">
        <v>122</v>
      </c>
      <c r="B210" s="566" t="s">
        <v>617</v>
      </c>
      <c r="C210" s="95">
        <f>SUMIFS(TM[[#All],[Member Months]],TM[[#All],[Reporting Year]],2021,TM[[#All],[Insurance Category Code]],5,TM[[#All],[Large Provider Entity Code]],A210)</f>
        <v>0</v>
      </c>
      <c r="D210" s="7" t="str">
        <f>IFERROR(SUMIFS(TM[[#All],[Total Non-Truncated Claims Spending]],TM[[#All],[Reporting Year]],2021,TM[[#All],[Insurance Category Code]],5,TM[[#All],[Large Provider Entity Code]],A210)/C210,"NA")</f>
        <v>NA</v>
      </c>
      <c r="E210" s="7" t="str">
        <f>IFERROR(SUMIFS(TM[[#All],[Total Non-Claims Spending]],TM[[#All],[Reporting Year]],2021,TM[[#All],[Insurance Category Code]],5,TM[[#All],[Large Provider Entity Code]],A210)/C210,"NA")</f>
        <v>NA</v>
      </c>
      <c r="F210" s="7" t="str">
        <f>IFERROR(SUMIFS(TM[[#All],[Total Non-Truncated Claims and Non-Claims Spending]],TM[[#All],[Reporting Year]],2021,TM[[#All],[Insurance Category Code]],5,TM[[#All],[Large Provider Entity Code]],A210)/C210,"NA")</f>
        <v>NA</v>
      </c>
      <c r="G210" s="7" t="str">
        <f>IFERROR(SUMIFS(TM[[#All],[Total Truncated Claims Spending]],TM[[#All],[Reporting Year]],2021,TM[[#All],[Insurance Category Code]],5,TM[[#All],[Large Provider Entity Code]],A210)/C210,"NA")</f>
        <v>NA</v>
      </c>
      <c r="H210" s="204" t="str">
        <f>IFERROR(SUMIFS(TM[[#All],[Total Truncated Expenses]],TM[[#All],[Reporting Year]],2021,TM[[#All],[Insurance Category Code]],5,TM[[#All],[Large Provider Entity Code]],A210)/C210,"NA")</f>
        <v>NA</v>
      </c>
      <c r="I210" s="95">
        <f>SUMIFS(TM[[#All],[Member Months]],TM[[#All],[Reporting Year]],2022,TM[[#All],[Insurance Category Code]],5,TM[[#All],[Large Provider Entity Code]],A210)</f>
        <v>0</v>
      </c>
      <c r="J210" s="7" t="str">
        <f>IFERROR(SUMIFS(TM[[#All],[Total Non-Truncated Claims Spending]],TM[[#All],[Reporting Year]],2022,TM[[#All],[Insurance Category Code]],5,TM[[#All],[Large Provider Entity Code]],A210)/I210,"NA")</f>
        <v>NA</v>
      </c>
      <c r="K210" s="7" t="str">
        <f>IFERROR(SUMIFS(TM[[#All],[Total Non-Claims Spending]],TM[[#All],[Reporting Year]],2022,TM[[#All],[Insurance Category Code]],5,TM[[#All],[Large Provider Entity Code]],A210)/I210,"NA")</f>
        <v>NA</v>
      </c>
      <c r="L210" s="7" t="str">
        <f>IFERROR(SUMIFS(TM[[#All],[Total Non-Truncated Claims and Non-Claims Spending]],TM[[#All],[Reporting Year]],2022,TM[[#All],[Insurance Category Code]],5,TM[[#All],[Large Provider Entity Code]],A210)/I210,"NA")</f>
        <v>NA</v>
      </c>
      <c r="M210" s="7" t="str">
        <f>IFERROR(SUMIFS(TM[[#All],[Total Truncated Claims Spending]],TM[[#All],[Reporting Year]],2022,TM[[#All],[Insurance Category Code]],5,TM[[#All],[Large Provider Entity Code]],A210)/I210,"NA")</f>
        <v>NA</v>
      </c>
      <c r="N210" s="96" t="str">
        <f>IFERROR(SUMIFS(TM[[#All],[Total Truncated Expenses]],TM[[#All],[Reporting Year]],2022,TM[[#All],[Insurance Category Code]],5,TM[[#All],[Large Provider Entity Code]],A210)/I210,"NA")</f>
        <v>NA</v>
      </c>
      <c r="O210" s="518">
        <f t="shared" si="141"/>
        <v>0</v>
      </c>
      <c r="P210" s="243" t="str">
        <f t="shared" si="142"/>
        <v>NA</v>
      </c>
      <c r="Q210" s="97" t="str">
        <f t="shared" si="143"/>
        <v>NA</v>
      </c>
      <c r="R210" s="97" t="str">
        <f t="shared" si="144"/>
        <v>NA</v>
      </c>
      <c r="S210" s="97" t="str">
        <f t="shared" si="145"/>
        <v>NA</v>
      </c>
      <c r="T210" s="97" t="str">
        <f t="shared" si="146"/>
        <v>NA</v>
      </c>
      <c r="U210" s="97" t="str">
        <f t="shared" si="147"/>
        <v>NA</v>
      </c>
    </row>
    <row r="211" spans="1:21" x14ac:dyDescent="0.25">
      <c r="A211" s="218">
        <v>999</v>
      </c>
      <c r="B211" s="495" t="s">
        <v>81</v>
      </c>
      <c r="C211" s="95">
        <f>SUMIFS(TM[[#All],[Member Months]],TM[[#All],[Reporting Year]],2021,TM[[#All],[Insurance Category Code]],5,TM[[#All],[Large Provider Entity Code]],A211)</f>
        <v>0</v>
      </c>
      <c r="D211" s="7" t="str">
        <f>IFERROR(SUMIFS(TM[[#All],[Total Non-Truncated Claims Spending]],TM[[#All],[Reporting Year]],2021,TM[[#All],[Insurance Category Code]],5,TM[[#All],[Large Provider Entity Code]],A211)/C211,"NA")</f>
        <v>NA</v>
      </c>
      <c r="E211" s="7" t="str">
        <f>IFERROR(SUMIFS(TM[[#All],[Total Non-Claims Spending]],TM[[#All],[Reporting Year]],2021,TM[[#All],[Insurance Category Code]],5,TM[[#All],[Large Provider Entity Code]],A211)/C211,"NA")</f>
        <v>NA</v>
      </c>
      <c r="F211" s="7" t="str">
        <f>IFERROR(SUMIFS(TM[[#All],[Total Non-Truncated Claims and Non-Claims Spending]],TM[[#All],[Reporting Year]],2021,TM[[#All],[Insurance Category Code]],5,TM[[#All],[Large Provider Entity Code]],A211)/C211,"NA")</f>
        <v>NA</v>
      </c>
      <c r="G211" s="7" t="str">
        <f>IFERROR(SUMIFS(TM[[#All],[Total Truncated Claims Spending]],TM[[#All],[Reporting Year]],2021,TM[[#All],[Insurance Category Code]],5,TM[[#All],[Large Provider Entity Code]],A211)/C211,"NA")</f>
        <v>NA</v>
      </c>
      <c r="H211" s="204" t="str">
        <f>IFERROR(SUMIFS(TM[[#All],[Total Truncated Expenses]],TM[[#All],[Reporting Year]],2021,TM[[#All],[Insurance Category Code]],5,TM[[#All],[Large Provider Entity Code]],A211)/C211,"NA")</f>
        <v>NA</v>
      </c>
      <c r="I211" s="95">
        <f>SUMIFS(TM[[#All],[Member Months]],TM[[#All],[Reporting Year]],2022,TM[[#All],[Insurance Category Code]],5,TM[[#All],[Large Provider Entity Code]],A211)</f>
        <v>0</v>
      </c>
      <c r="J211" s="7" t="str">
        <f>IFERROR(SUMIFS(TM[[#All],[Total Non-Truncated Claims Spending]],TM[[#All],[Reporting Year]],2022,TM[[#All],[Insurance Category Code]],5,TM[[#All],[Large Provider Entity Code]],A211)/I211,"NA")</f>
        <v>NA</v>
      </c>
      <c r="K211" s="7" t="str">
        <f>IFERROR(SUMIFS(TM[[#All],[Total Non-Claims Spending]],TM[[#All],[Reporting Year]],2022,TM[[#All],[Insurance Category Code]],5,TM[[#All],[Large Provider Entity Code]],A211)/I211,"NA")</f>
        <v>NA</v>
      </c>
      <c r="L211" s="7" t="str">
        <f>IFERROR(SUMIFS(TM[[#All],[Total Non-Truncated Claims and Non-Claims Spending]],TM[[#All],[Reporting Year]],2022,TM[[#All],[Insurance Category Code]],5,TM[[#All],[Large Provider Entity Code]],A211)/I211,"NA")</f>
        <v>NA</v>
      </c>
      <c r="M211" s="7" t="str">
        <f>IFERROR(SUMIFS(TM[[#All],[Total Truncated Claims Spending]],TM[[#All],[Reporting Year]],2022,TM[[#All],[Insurance Category Code]],5,TM[[#All],[Large Provider Entity Code]],A211)/I211,"NA")</f>
        <v>NA</v>
      </c>
      <c r="N211" s="96" t="str">
        <f>IFERROR(SUMIFS(TM[[#All],[Total Truncated Expenses]],TM[[#All],[Reporting Year]],2022,TM[[#All],[Insurance Category Code]],5,TM[[#All],[Large Provider Entity Code]],A211)/I211,"NA")</f>
        <v>NA</v>
      </c>
      <c r="O211" s="518">
        <f t="shared" si="141"/>
        <v>0</v>
      </c>
      <c r="P211" s="243" t="str">
        <f t="shared" si="135"/>
        <v>NA</v>
      </c>
      <c r="Q211" s="97" t="str">
        <f t="shared" si="136"/>
        <v>NA</v>
      </c>
      <c r="R211" s="97" t="str">
        <f t="shared" si="137"/>
        <v>NA</v>
      </c>
      <c r="S211" s="97" t="str">
        <f t="shared" si="138"/>
        <v>NA</v>
      </c>
      <c r="T211" s="97" t="str">
        <f t="shared" si="139"/>
        <v>NA</v>
      </c>
      <c r="U211" s="97" t="str">
        <f t="shared" si="140"/>
        <v>NA</v>
      </c>
    </row>
    <row r="212" spans="1:21" ht="30" customHeight="1" x14ac:dyDescent="0.25">
      <c r="A212" s="707" t="s">
        <v>567</v>
      </c>
      <c r="B212" s="708"/>
      <c r="C212" s="165">
        <f>SUM(C192:C211)</f>
        <v>0</v>
      </c>
      <c r="D212" s="131" t="str">
        <f>IFERROR((SUMPRODUCT(D192:D211,C192:C211)/C212),"NA")</f>
        <v>NA</v>
      </c>
      <c r="E212" s="131" t="str">
        <f>IFERROR((SUMPRODUCT(E192:E211,C192:C211)/C212),"NA")</f>
        <v>NA</v>
      </c>
      <c r="F212" s="131" t="str">
        <f>IFERROR((SUMPRODUCT(F192:F211,C192:C211)/C212),"NA")</f>
        <v>NA</v>
      </c>
      <c r="G212" s="131" t="str">
        <f>IFERROR((SUMPRODUCT(G192:G211,C192:C211)/C212),"NA")</f>
        <v>NA</v>
      </c>
      <c r="H212" s="131" t="str">
        <f>IFERROR((SUMPRODUCT(H192:H211,C192:C211)/C212),"NA")</f>
        <v>NA</v>
      </c>
      <c r="I212" s="226">
        <f>SUM(I192:I211)</f>
        <v>0</v>
      </c>
      <c r="J212" s="131" t="str">
        <f>IFERROR((SUMPRODUCT(J192:J211,I192:I211)/I212),"NA")</f>
        <v>NA</v>
      </c>
      <c r="K212" s="131" t="str">
        <f>IFERROR((SUMPRODUCT(K192:K211,I192:I211)/I212),"NA")</f>
        <v>NA</v>
      </c>
      <c r="L212" s="131" t="str">
        <f>IFERROR((SUMPRODUCT(L192:L211,I192:I211)/I212),"NA")</f>
        <v>NA</v>
      </c>
      <c r="M212" s="131" t="str">
        <f>IFERROR((SUMPRODUCT(M192:M211,I192:I211)/I212),"NA")</f>
        <v>NA</v>
      </c>
      <c r="N212" s="206" t="str">
        <f>IFERROR((SUMPRODUCT(N192:N211,I192:I211)/I212),"NA")</f>
        <v>NA</v>
      </c>
      <c r="O212" s="544" t="s">
        <v>500</v>
      </c>
      <c r="P212" s="435" t="s">
        <v>500</v>
      </c>
      <c r="Q212" s="433" t="s">
        <v>500</v>
      </c>
      <c r="R212" s="433" t="s">
        <v>500</v>
      </c>
      <c r="S212" s="433" t="s">
        <v>500</v>
      </c>
      <c r="T212" s="433" t="s">
        <v>500</v>
      </c>
      <c r="U212" s="433" t="s">
        <v>500</v>
      </c>
    </row>
    <row r="213" spans="1:21" x14ac:dyDescent="0.25">
      <c r="A213" s="709" t="s">
        <v>563</v>
      </c>
      <c r="B213" s="710"/>
      <c r="C213" s="165" t="s">
        <v>500</v>
      </c>
      <c r="D213" s="130" t="str">
        <f>IFERROR(((SUMPRODUCT(D191,$C$191))-ABS(SUMIFS(RX[[#All],[Total Medical and Retail Pharmacy Rebate Amount]],RX[[#All],[Reporting Year]],2021,RX[[#All],[Insurance Category Code]],5)))/$C$212,"NA")</f>
        <v>NA</v>
      </c>
      <c r="E213" s="130" t="str">
        <f>IFERROR(((SUMPRODUCT(E191,$C$191))-ABS(SUMIFS(RX[[#All],[Total Medical and Retail Pharmacy Rebate Amount]],RX[[#All],[Reporting Year]],2021,RX[[#All],[Insurance Category Code]],5)))/$C$212,"NA")</f>
        <v>NA</v>
      </c>
      <c r="F213" s="130" t="str">
        <f>IFERROR(((SUMPRODUCT(F191,$C$191))-ABS(SUMIFS(RX[[#All],[Total Medical and Retail Pharmacy Rebate Amount]],RX[[#All],[Reporting Year]],2021,RX[[#All],[Insurance Category Code]],5)))/$C$212,"NA")</f>
        <v>NA</v>
      </c>
      <c r="G213" s="130" t="str">
        <f>IFERROR(((SUMPRODUCT(G191,$C$191))-ABS(SUMIFS(RX[[#All],[Total Medical and Retail Pharmacy Rebate Amount]],RX[[#All],[Reporting Year]],2021,RX[[#All],[Insurance Category Code]],5)))/$C$212,"NA")</f>
        <v>NA</v>
      </c>
      <c r="H213" s="208" t="str">
        <f>IFERROR(((SUMPRODUCT(H191,$C$191))-ABS(SUMIFS(RX[[#All],[Total Medical and Retail Pharmacy Rebate Amount]],RX[[#All],[Reporting Year]],2021,RX[[#All],[Insurance Category Code]],5)))/$C$212,"NA")</f>
        <v>NA</v>
      </c>
      <c r="I213" s="165" t="s">
        <v>500</v>
      </c>
      <c r="J213" s="130" t="str">
        <f>IFERROR(((SUMPRODUCT(J191,$I$191))-ABS(SUMIFS(RX[[#All],[Total Medical and Retail Pharmacy Rebate Amount]],RX[[#All],[Reporting Year]],2022,RX[[#All],[Insurance Category Code]],5)))/$I$212,"NA")</f>
        <v>NA</v>
      </c>
      <c r="K213" s="130" t="str">
        <f>IFERROR(((SUMPRODUCT(K191,$I$191))-ABS(SUMIFS(RX[[#All],[Total Medical and Retail Pharmacy Rebate Amount]],RX[[#All],[Reporting Year]],2022,RX[[#All],[Insurance Category Code]],5)))/$I$212,"NA")</f>
        <v>NA</v>
      </c>
      <c r="L213" s="130" t="str">
        <f>IFERROR(((SUMPRODUCT(L191,$I$191))-ABS(SUMIFS(RX[[#All],[Total Medical and Retail Pharmacy Rebate Amount]],RX[[#All],[Reporting Year]],2022,RX[[#All],[Insurance Category Code]],5)))/$I$212,"NA")</f>
        <v>NA</v>
      </c>
      <c r="M213" s="130" t="str">
        <f>IFERROR(((SUMPRODUCT(M191,$I$191))-ABS(SUMIFS(RX[[#All],[Total Medical and Retail Pharmacy Rebate Amount]],RX[[#All],[Reporting Year]],2022,RX[[#All],[Insurance Category Code]],5)))/$I$212,"NA")</f>
        <v>NA</v>
      </c>
      <c r="N213" s="208" t="str">
        <f>IFERROR(((SUMPRODUCT(N191,$I$191))-ABS(SUMIFS(RX[[#All],[Total Medical and Retail Pharmacy Rebate Amount]],RX[[#All],[Reporting Year]],2022,RX[[#All],[Insurance Category Code]],5)))/$I$212,"NA")</f>
        <v>NA</v>
      </c>
      <c r="O213" s="544" t="s">
        <v>500</v>
      </c>
      <c r="P213" s="435" t="s">
        <v>500</v>
      </c>
      <c r="Q213" s="433" t="s">
        <v>500</v>
      </c>
      <c r="R213" s="433" t="s">
        <v>500</v>
      </c>
      <c r="S213" s="433" t="s">
        <v>500</v>
      </c>
      <c r="T213" s="433" t="s">
        <v>500</v>
      </c>
      <c r="U213" s="433" t="s">
        <v>500</v>
      </c>
    </row>
    <row r="214" spans="1:21" x14ac:dyDescent="0.25">
      <c r="A214" s="717" t="s">
        <v>564</v>
      </c>
      <c r="B214" s="718"/>
      <c r="C214" s="227">
        <f>ABS(C212-C191)</f>
        <v>0</v>
      </c>
      <c r="D214" s="227" t="e">
        <f>ABS(D212-D191)</f>
        <v>#VALUE!</v>
      </c>
      <c r="E214" s="227" t="e">
        <f>ABS(E212-E191)</f>
        <v>#VALUE!</v>
      </c>
      <c r="F214" s="227" t="e">
        <f>ABS(F212-F191)</f>
        <v>#VALUE!</v>
      </c>
      <c r="G214" s="227" t="s">
        <v>500</v>
      </c>
      <c r="H214" s="231" t="s">
        <v>500</v>
      </c>
      <c r="I214" s="221">
        <f>ABS(I212-I191)</f>
        <v>0</v>
      </c>
      <c r="J214" s="227" t="e">
        <f>ABS(J212-J191)</f>
        <v>#VALUE!</v>
      </c>
      <c r="K214" s="227" t="e">
        <f>ABS(K212-K191)</f>
        <v>#VALUE!</v>
      </c>
      <c r="L214" s="227" t="e">
        <f>ABS(L212-L191)</f>
        <v>#VALUE!</v>
      </c>
      <c r="M214" s="227" t="s">
        <v>500</v>
      </c>
      <c r="N214" s="231" t="s">
        <v>500</v>
      </c>
      <c r="O214" s="545" t="s">
        <v>500</v>
      </c>
      <c r="P214" s="546" t="s">
        <v>500</v>
      </c>
      <c r="Q214" s="548" t="s">
        <v>500</v>
      </c>
      <c r="R214" s="548" t="s">
        <v>500</v>
      </c>
      <c r="S214" s="548" t="s">
        <v>500</v>
      </c>
      <c r="T214" s="548" t="s">
        <v>500</v>
      </c>
      <c r="U214" s="548" t="s">
        <v>500</v>
      </c>
    </row>
    <row r="215" spans="1:21" x14ac:dyDescent="0.25">
      <c r="A215" s="715" t="s">
        <v>565</v>
      </c>
      <c r="B215" s="716"/>
      <c r="C215" s="261" t="str">
        <f>IF(((ABS(C191-C212))&lt;10),"Yes","No")</f>
        <v>Yes</v>
      </c>
      <c r="D215" s="181" t="e">
        <f>IF(((ABS(D191-D212))&lt;10),"Yes","No")</f>
        <v>#VALUE!</v>
      </c>
      <c r="E215" s="181" t="e">
        <f>IF(((ABS(E191-E212))&lt;10),"Yes","No")</f>
        <v>#VALUE!</v>
      </c>
      <c r="F215" s="181" t="e">
        <f>IF(((ABS(F191-F212))&lt;10),"Yes","No")</f>
        <v>#VALUE!</v>
      </c>
      <c r="G215" s="181" t="s">
        <v>500</v>
      </c>
      <c r="H215" s="233" t="s">
        <v>500</v>
      </c>
      <c r="I215" s="259" t="str">
        <f>IF(((ABS(I191-I212))&lt;10),"Yes","No")</f>
        <v>Yes</v>
      </c>
      <c r="J215" s="181" t="e">
        <f>IF(((ABS(J191-J212))&lt;10),"Yes","No")</f>
        <v>#VALUE!</v>
      </c>
      <c r="K215" s="181" t="e">
        <f>IF(((ABS(K191-K212))&lt;10),"Yes","No")</f>
        <v>#VALUE!</v>
      </c>
      <c r="L215" s="181" t="e">
        <f>IF(((ABS(L191-L212))&lt;10),"Yes","No")</f>
        <v>#VALUE!</v>
      </c>
      <c r="M215" s="181" t="s">
        <v>500</v>
      </c>
      <c r="N215" s="233" t="s">
        <v>500</v>
      </c>
      <c r="O215" s="545" t="s">
        <v>500</v>
      </c>
      <c r="P215" s="546" t="s">
        <v>500</v>
      </c>
      <c r="Q215" s="548" t="s">
        <v>500</v>
      </c>
      <c r="R215" s="548" t="s">
        <v>500</v>
      </c>
      <c r="S215" s="548" t="s">
        <v>500</v>
      </c>
      <c r="T215" s="548" t="s">
        <v>500</v>
      </c>
      <c r="U215" s="548" t="s">
        <v>500</v>
      </c>
    </row>
    <row r="216" spans="1:21" x14ac:dyDescent="0.25">
      <c r="A216"/>
      <c r="B216"/>
      <c r="C216"/>
      <c r="D216"/>
      <c r="E216"/>
      <c r="F216"/>
      <c r="G216"/>
      <c r="H216"/>
      <c r="I216"/>
      <c r="J216"/>
      <c r="K216"/>
      <c r="L216"/>
      <c r="M216"/>
      <c r="N216"/>
      <c r="O216"/>
      <c r="P216"/>
      <c r="Q216"/>
      <c r="R216"/>
      <c r="S216"/>
      <c r="T216"/>
      <c r="U216"/>
    </row>
    <row r="217" spans="1:21" x14ac:dyDescent="0.25">
      <c r="A217"/>
      <c r="B217"/>
      <c r="C217" s="115"/>
      <c r="D217" s="116"/>
      <c r="E217" s="116"/>
      <c r="F217" s="116"/>
      <c r="G217" s="116"/>
      <c r="H217" s="116"/>
      <c r="I217" s="115"/>
      <c r="J217" s="116"/>
      <c r="K217" s="116"/>
      <c r="L217" s="116"/>
      <c r="M217" s="116"/>
      <c r="N217" s="116"/>
      <c r="O217" s="116"/>
      <c r="P217" s="117"/>
      <c r="Q217" s="117"/>
      <c r="R217" s="117"/>
      <c r="S217" s="117"/>
      <c r="T217" s="117"/>
      <c r="U217" s="117"/>
    </row>
    <row r="218" spans="1:21" x14ac:dyDescent="0.25">
      <c r="A218" s="3" t="s">
        <v>573</v>
      </c>
      <c r="B218"/>
      <c r="C218"/>
      <c r="D218"/>
      <c r="E218"/>
      <c r="F218"/>
      <c r="G218"/>
      <c r="H218"/>
      <c r="I218"/>
      <c r="J218"/>
      <c r="K218"/>
      <c r="L218"/>
      <c r="M218"/>
      <c r="N218"/>
      <c r="O218"/>
      <c r="P218"/>
      <c r="Q218"/>
      <c r="R218"/>
      <c r="S218"/>
      <c r="T218"/>
      <c r="U218"/>
    </row>
    <row r="219" spans="1:21" ht="15" customHeight="1" x14ac:dyDescent="0.25">
      <c r="A219" s="711" t="s">
        <v>71</v>
      </c>
      <c r="B219" s="713" t="s">
        <v>547</v>
      </c>
      <c r="C219" s="697">
        <v>2021</v>
      </c>
      <c r="D219" s="698"/>
      <c r="E219" s="698"/>
      <c r="F219" s="698"/>
      <c r="G219" s="698"/>
      <c r="H219" s="699"/>
      <c r="I219" s="700">
        <v>2022</v>
      </c>
      <c r="J219" s="701"/>
      <c r="K219" s="701"/>
      <c r="L219" s="701"/>
      <c r="M219" s="701"/>
      <c r="N219" s="702"/>
      <c r="O219" s="498"/>
      <c r="P219" s="703" t="s">
        <v>548</v>
      </c>
      <c r="Q219" s="704"/>
      <c r="R219" s="704"/>
      <c r="S219" s="704"/>
      <c r="T219" s="704"/>
      <c r="U219" s="705"/>
    </row>
    <row r="220" spans="1:21" ht="45" x14ac:dyDescent="0.25">
      <c r="A220" s="712"/>
      <c r="B220" s="714"/>
      <c r="C220" s="91" t="s">
        <v>352</v>
      </c>
      <c r="D220" s="91" t="s">
        <v>550</v>
      </c>
      <c r="E220" s="91" t="s">
        <v>551</v>
      </c>
      <c r="F220" s="91" t="s">
        <v>552</v>
      </c>
      <c r="G220" s="91" t="s">
        <v>553</v>
      </c>
      <c r="H220" s="205" t="s">
        <v>554</v>
      </c>
      <c r="I220" s="87" t="s">
        <v>352</v>
      </c>
      <c r="J220" s="88" t="s">
        <v>550</v>
      </c>
      <c r="K220" s="88" t="s">
        <v>551</v>
      </c>
      <c r="L220" s="88" t="s">
        <v>552</v>
      </c>
      <c r="M220" s="88" t="s">
        <v>553</v>
      </c>
      <c r="N220" s="89" t="s">
        <v>554</v>
      </c>
      <c r="O220" s="513" t="s">
        <v>555</v>
      </c>
      <c r="P220" s="242" t="s">
        <v>556</v>
      </c>
      <c r="Q220" s="77" t="s">
        <v>557</v>
      </c>
      <c r="R220" s="77" t="s">
        <v>558</v>
      </c>
      <c r="S220" s="77" t="s">
        <v>559</v>
      </c>
      <c r="T220" s="77" t="s">
        <v>560</v>
      </c>
      <c r="U220" s="217" t="s">
        <v>561</v>
      </c>
    </row>
    <row r="221" spans="1:21" x14ac:dyDescent="0.25">
      <c r="A221" s="219">
        <v>100</v>
      </c>
      <c r="B221" s="495" t="s">
        <v>72</v>
      </c>
      <c r="C221" s="8">
        <f>SUMIFS(TM[[#All],[Member Months]],TM[[#All],[Reporting Year]],2021,TM[[#All],[Insurance Category Code]],8,TM[[#All],[Large Provider Entity Code]],A221)</f>
        <v>0</v>
      </c>
      <c r="D221" s="7" t="str">
        <f>IFERROR(SUMIFS(TM[[#All],[Total Non-Truncated Claims Spending]],TM[[#All],[Reporting Year]],2021,TM[[#All],[Insurance Category Code]],8,TM[[#All],[Large Provider Entity Code]],A221)/C221,"NA")</f>
        <v>NA</v>
      </c>
      <c r="E221" s="7" t="str">
        <f>IFERROR(SUMIFS(TM[[#All],[Total Non-Claims Spending]],TM[[#All],[Reporting Year]],2021,TM[[#All],[Insurance Category Code]],8,TM[[#All],[Large Provider Entity Code]],A221)/C221,"NA")</f>
        <v>NA</v>
      </c>
      <c r="F221" s="7" t="str">
        <f>IFERROR(SUMIFS(TM[[#All],[Total Non-Truncated Claims and Non-Claims Spending]],TM[[#All],[Reporting Year]],2021,TM[[#All],[Insurance Category Code]],8,TM[[#All],[Large Provider Entity Code]],A221)/C221,"NA")</f>
        <v>NA</v>
      </c>
      <c r="G221" s="7" t="str">
        <f>IFERROR(SUMIFS(TM[[#All],[Total Truncated Claims Spending]],TM[[#All],[Reporting Year]],2021,TM[[#All],[Insurance Category Code]],8,TM[[#All],[Large Provider Entity Code]],A221)/C221,"NA")</f>
        <v>NA</v>
      </c>
      <c r="H221" s="204" t="str">
        <f>IFERROR(SUMIFS(TM[[#All],[Total Truncated Expenses]],TM[[#All],[Reporting Year]],2021,TM[[#All],[Insurance Category Code]],8,TM[[#All],[Large Provider Entity Code]],A221)/C221,"NA")</f>
        <v>NA</v>
      </c>
      <c r="I221" s="95">
        <f>SUMIFS(TM[[#All],[Member Months]],TM[[#All],[Reporting Year]],2022,TM[[#All],[Insurance Category Code]],8,TM[[#All],[Large Provider Entity Code]],A221)</f>
        <v>0</v>
      </c>
      <c r="J221" s="7" t="str">
        <f>IFERROR(SUMIFS(TM[[#All],[Total Non-Truncated Claims Spending]],TM[[#All],[Reporting Year]],2022,TM[[#All],[Insurance Category Code]],8,TM[[#All],[Large Provider Entity Code]],A221)/I221,"NA")</f>
        <v>NA</v>
      </c>
      <c r="K221" s="7" t="str">
        <f>IFERROR(SUMIFS(TM[[#All],[Total Non-Claims Spending]],TM[[#All],[Reporting Year]],2022,TM[[#All],[Insurance Category Code]],8,TM[[#All],[Large Provider Entity Code]],A221)/I221,"NA")</f>
        <v>NA</v>
      </c>
      <c r="L221" s="7" t="str">
        <f>IFERROR(SUMIFS(TM[[#All],[Total Non-Truncated Claims and Non-Claims Spending]],TM[[#All],[Reporting Year]],2022,TM[[#All],[Insurance Category Code]],8,TM[[#All],[Large Provider Entity Code]],A221)/I221,"NA")</f>
        <v>NA</v>
      </c>
      <c r="M221" s="7" t="str">
        <f>IFERROR(SUMIFS(TM[[#All],[Total Truncated Claims Spending]],TM[[#All],[Reporting Year]],2022,TM[[#All],[Insurance Category Code]],8,TM[[#All],[Large Provider Entity Code]],A221)/I221,"NA")</f>
        <v>NA</v>
      </c>
      <c r="N221" s="96" t="str">
        <f>IFERROR(SUMIFS(TM[[#All],[Total Truncated Expenses]],TM[[#All],[Reporting Year]],2022,TM[[#All],[Insurance Category Code]],8,TM[[#All],[Large Provider Entity Code]],A221)/I221,"NA")</f>
        <v>NA</v>
      </c>
      <c r="O221" s="518">
        <f>ABS(C221-I221)</f>
        <v>0</v>
      </c>
      <c r="P221" s="243" t="str">
        <f t="shared" ref="P221:P241" si="155">IFERROR((I221/C221-1),"NA")</f>
        <v>NA</v>
      </c>
      <c r="Q221" s="97" t="str">
        <f t="shared" ref="Q221:Q241" si="156">IFERROR((J221/D221-1),"NA")</f>
        <v>NA</v>
      </c>
      <c r="R221" s="97" t="str">
        <f t="shared" ref="R221:R241" si="157">IFERROR((K221/E221-1),"NA")</f>
        <v>NA</v>
      </c>
      <c r="S221" s="97" t="str">
        <f t="shared" ref="S221:S241" si="158">IFERROR((L221/F221-1),"NA")</f>
        <v>NA</v>
      </c>
      <c r="T221" s="97" t="str">
        <f t="shared" ref="T221:T241" si="159">IFERROR((M221/G221-1),"NA")</f>
        <v>NA</v>
      </c>
      <c r="U221" s="97" t="str">
        <f t="shared" ref="U221:U241" si="160">IFERROR((N221/H221-1),"NA")</f>
        <v>NA</v>
      </c>
    </row>
    <row r="222" spans="1:21" x14ac:dyDescent="0.25">
      <c r="A222" s="218">
        <v>101</v>
      </c>
      <c r="B222" s="495" t="s">
        <v>609</v>
      </c>
      <c r="C222" s="8">
        <f>SUMIFS(TM[[#All],[Member Months]],TM[[#All],[Reporting Year]],2021,TM[[#All],[Insurance Category Code]],8,TM[[#All],[Large Provider Entity Code]],A222)</f>
        <v>0</v>
      </c>
      <c r="D222" s="7" t="str">
        <f>IFERROR(SUMIFS(TM[[#All],[Total Non-Truncated Claims Spending]],TM[[#All],[Reporting Year]],2021,TM[[#All],[Insurance Category Code]],8,TM[[#All],[Large Provider Entity Code]],A222)/C222,"NA")</f>
        <v>NA</v>
      </c>
      <c r="E222" s="7" t="str">
        <f>IFERROR(SUMIFS(TM[[#All],[Total Non-Claims Spending]],TM[[#All],[Reporting Year]],2021,TM[[#All],[Insurance Category Code]],8,TM[[#All],[Large Provider Entity Code]],A222)/C222,"NA")</f>
        <v>NA</v>
      </c>
      <c r="F222" s="7" t="str">
        <f>IFERROR(SUMIFS(TM[[#All],[Total Non-Truncated Claims and Non-Claims Spending]],TM[[#All],[Reporting Year]],2021,TM[[#All],[Insurance Category Code]],8,TM[[#All],[Large Provider Entity Code]],A222)/C222,"NA")</f>
        <v>NA</v>
      </c>
      <c r="G222" s="7" t="str">
        <f>IFERROR(SUMIFS(TM[[#All],[Total Truncated Claims Spending]],TM[[#All],[Reporting Year]],2021,TM[[#All],[Insurance Category Code]],8,TM[[#All],[Large Provider Entity Code]],A222)/C222,"NA")</f>
        <v>NA</v>
      </c>
      <c r="H222" s="204" t="str">
        <f>IFERROR(SUMIFS(TM[[#All],[Total Truncated Expenses]],TM[[#All],[Reporting Year]],2021,TM[[#All],[Insurance Category Code]],8,TM[[#All],[Large Provider Entity Code]],A222)/C222,"NA")</f>
        <v>NA</v>
      </c>
      <c r="I222" s="95">
        <f>SUMIFS(TM[[#All],[Member Months]],TM[[#All],[Reporting Year]],2022,TM[[#All],[Insurance Category Code]],8,TM[[#All],[Large Provider Entity Code]],A222)</f>
        <v>0</v>
      </c>
      <c r="J222" s="7" t="str">
        <f>IFERROR(SUMIFS(TM[[#All],[Total Non-Truncated Claims Spending]],TM[[#All],[Reporting Year]],2022,TM[[#All],[Insurance Category Code]],8,TM[[#All],[Large Provider Entity Code]],A222)/I222,"NA")</f>
        <v>NA</v>
      </c>
      <c r="K222" s="7" t="str">
        <f>IFERROR(SUMIFS(TM[[#All],[Total Non-Claims Spending]],TM[[#All],[Reporting Year]],2022,TM[[#All],[Insurance Category Code]],8,TM[[#All],[Large Provider Entity Code]],A222)/I222,"NA")</f>
        <v>NA</v>
      </c>
      <c r="L222" s="7" t="str">
        <f>IFERROR(SUMIFS(TM[[#All],[Total Non-Truncated Claims and Non-Claims Spending]],TM[[#All],[Reporting Year]],2022,TM[[#All],[Insurance Category Code]],8,TM[[#All],[Large Provider Entity Code]],A222)/I222,"NA")</f>
        <v>NA</v>
      </c>
      <c r="M222" s="7" t="str">
        <f>IFERROR(SUMIFS(TM[[#All],[Total Truncated Claims Spending]],TM[[#All],[Reporting Year]],2022,TM[[#All],[Insurance Category Code]],8,TM[[#All],[Large Provider Entity Code]],A222)/I222,"NA")</f>
        <v>NA</v>
      </c>
      <c r="N222" s="96" t="str">
        <f>IFERROR(SUMIFS(TM[[#All],[Total Truncated Expenses]],TM[[#All],[Reporting Year]],2022,TM[[#All],[Insurance Category Code]],8,TM[[#All],[Large Provider Entity Code]],A222)/I222,"NA")</f>
        <v>NA</v>
      </c>
      <c r="O222" s="518">
        <f t="shared" ref="O222:O236" si="161">ABS(C222-I222)</f>
        <v>0</v>
      </c>
      <c r="P222" s="243" t="str">
        <f t="shared" si="155"/>
        <v>NA</v>
      </c>
      <c r="Q222" s="97" t="str">
        <f t="shared" si="156"/>
        <v>NA</v>
      </c>
      <c r="R222" s="97" t="str">
        <f t="shared" si="157"/>
        <v>NA</v>
      </c>
      <c r="S222" s="97" t="str">
        <f t="shared" si="158"/>
        <v>NA</v>
      </c>
      <c r="T222" s="97" t="str">
        <f t="shared" si="159"/>
        <v>NA</v>
      </c>
      <c r="U222" s="97" t="str">
        <f t="shared" si="160"/>
        <v>NA</v>
      </c>
    </row>
    <row r="223" spans="1:21" x14ac:dyDescent="0.25">
      <c r="A223" s="218">
        <v>102</v>
      </c>
      <c r="B223" s="566" t="s">
        <v>610</v>
      </c>
      <c r="C223" s="8">
        <f>SUMIFS(TM[[#All],[Member Months]],TM[[#All],[Reporting Year]],2021,TM[[#All],[Insurance Category Code]],8,TM[[#All],[Large Provider Entity Code]],A223)</f>
        <v>0</v>
      </c>
      <c r="D223" s="7" t="str">
        <f>IFERROR(SUMIFS(TM[[#All],[Total Non-Truncated Claims Spending]],TM[[#All],[Reporting Year]],2021,TM[[#All],[Insurance Category Code]],8,TM[[#All],[Large Provider Entity Code]],A223)/C223,"NA")</f>
        <v>NA</v>
      </c>
      <c r="E223" s="7" t="str">
        <f>IFERROR(SUMIFS(TM[[#All],[Total Non-Claims Spending]],TM[[#All],[Reporting Year]],2021,TM[[#All],[Insurance Category Code]],8,TM[[#All],[Large Provider Entity Code]],A223)/C223,"NA")</f>
        <v>NA</v>
      </c>
      <c r="F223" s="7" t="str">
        <f>IFERROR(SUMIFS(TM[[#All],[Total Non-Truncated Claims and Non-Claims Spending]],TM[[#All],[Reporting Year]],2021,TM[[#All],[Insurance Category Code]],8,TM[[#All],[Large Provider Entity Code]],A223)/C223,"NA")</f>
        <v>NA</v>
      </c>
      <c r="G223" s="7" t="str">
        <f>IFERROR(SUMIFS(TM[[#All],[Total Truncated Claims Spending]],TM[[#All],[Reporting Year]],2021,TM[[#All],[Insurance Category Code]],8,TM[[#All],[Large Provider Entity Code]],A223)/C223,"NA")</f>
        <v>NA</v>
      </c>
      <c r="H223" s="204" t="str">
        <f>IFERROR(SUMIFS(TM[[#All],[Total Truncated Expenses]],TM[[#All],[Reporting Year]],2021,TM[[#All],[Insurance Category Code]],8,TM[[#All],[Large Provider Entity Code]],A223)/C223,"NA")</f>
        <v>NA</v>
      </c>
      <c r="I223" s="95">
        <f>SUMIFS(TM[[#All],[Member Months]],TM[[#All],[Reporting Year]],2022,TM[[#All],[Insurance Category Code]],8,TM[[#All],[Large Provider Entity Code]],A223)</f>
        <v>0</v>
      </c>
      <c r="J223" s="7" t="str">
        <f>IFERROR(SUMIFS(TM[[#All],[Total Non-Truncated Claims Spending]],TM[[#All],[Reporting Year]],2022,TM[[#All],[Insurance Category Code]],8,TM[[#All],[Large Provider Entity Code]],A223)/I223,"NA")</f>
        <v>NA</v>
      </c>
      <c r="K223" s="7" t="str">
        <f>IFERROR(SUMIFS(TM[[#All],[Total Non-Claims Spending]],TM[[#All],[Reporting Year]],2022,TM[[#All],[Insurance Category Code]],8,TM[[#All],[Large Provider Entity Code]],A223)/I223,"NA")</f>
        <v>NA</v>
      </c>
      <c r="L223" s="7" t="str">
        <f>IFERROR(SUMIFS(TM[[#All],[Total Non-Truncated Claims and Non-Claims Spending]],TM[[#All],[Reporting Year]],2022,TM[[#All],[Insurance Category Code]],8,TM[[#All],[Large Provider Entity Code]],A223)/I223,"NA")</f>
        <v>NA</v>
      </c>
      <c r="M223" s="7" t="str">
        <f>IFERROR(SUMIFS(TM[[#All],[Total Truncated Claims Spending]],TM[[#All],[Reporting Year]],2022,TM[[#All],[Insurance Category Code]],8,TM[[#All],[Large Provider Entity Code]],A223)/I223,"NA")</f>
        <v>NA</v>
      </c>
      <c r="N223" s="96" t="str">
        <f>IFERROR(SUMIFS(TM[[#All],[Total Truncated Expenses]],TM[[#All],[Reporting Year]],2022,TM[[#All],[Insurance Category Code]],8,TM[[#All],[Large Provider Entity Code]],A223)/I223,"NA")</f>
        <v>NA</v>
      </c>
      <c r="O223" s="518">
        <f t="shared" si="161"/>
        <v>0</v>
      </c>
      <c r="P223" s="243" t="str">
        <f t="shared" si="155"/>
        <v>NA</v>
      </c>
      <c r="Q223" s="97" t="str">
        <f t="shared" si="156"/>
        <v>NA</v>
      </c>
      <c r="R223" s="97" t="str">
        <f t="shared" si="157"/>
        <v>NA</v>
      </c>
      <c r="S223" s="97" t="str">
        <f t="shared" si="158"/>
        <v>NA</v>
      </c>
      <c r="T223" s="97" t="str">
        <f t="shared" si="159"/>
        <v>NA</v>
      </c>
      <c r="U223" s="97" t="str">
        <f t="shared" si="160"/>
        <v>NA</v>
      </c>
    </row>
    <row r="224" spans="1:21" ht="30" x14ac:dyDescent="0.25">
      <c r="A224" s="218">
        <v>103</v>
      </c>
      <c r="B224" s="495" t="s">
        <v>73</v>
      </c>
      <c r="C224" s="8">
        <f>SUMIFS(TM[[#All],[Member Months]],TM[[#All],[Reporting Year]],2021,TM[[#All],[Insurance Category Code]],8,TM[[#All],[Large Provider Entity Code]],A224)</f>
        <v>0</v>
      </c>
      <c r="D224" s="7" t="str">
        <f>IFERROR(SUMIFS(TM[[#All],[Total Non-Truncated Claims Spending]],TM[[#All],[Reporting Year]],2021,TM[[#All],[Insurance Category Code]],8,TM[[#All],[Large Provider Entity Code]],A224)/C224,"NA")</f>
        <v>NA</v>
      </c>
      <c r="E224" s="7" t="str">
        <f>IFERROR(SUMIFS(TM[[#All],[Total Non-Claims Spending]],TM[[#All],[Reporting Year]],2021,TM[[#All],[Insurance Category Code]],8,TM[[#All],[Large Provider Entity Code]],A224)/C224,"NA")</f>
        <v>NA</v>
      </c>
      <c r="F224" s="7" t="str">
        <f>IFERROR(SUMIFS(TM[[#All],[Total Non-Truncated Claims and Non-Claims Spending]],TM[[#All],[Reporting Year]],2021,TM[[#All],[Insurance Category Code]],8,TM[[#All],[Large Provider Entity Code]],A224)/C224,"NA")</f>
        <v>NA</v>
      </c>
      <c r="G224" s="7" t="str">
        <f>IFERROR(SUMIFS(TM[[#All],[Total Truncated Claims Spending]],TM[[#All],[Reporting Year]],2021,TM[[#All],[Insurance Category Code]],8,TM[[#All],[Large Provider Entity Code]],A224)/C224,"NA")</f>
        <v>NA</v>
      </c>
      <c r="H224" s="204" t="str">
        <f>IFERROR(SUMIFS(TM[[#All],[Total Truncated Expenses]],TM[[#All],[Reporting Year]],2021,TM[[#All],[Insurance Category Code]],8,TM[[#All],[Large Provider Entity Code]],A224)/C224,"NA")</f>
        <v>NA</v>
      </c>
      <c r="I224" s="95">
        <f>SUMIFS(TM[[#All],[Member Months]],TM[[#All],[Reporting Year]],2022,TM[[#All],[Insurance Category Code]],8,TM[[#All],[Large Provider Entity Code]],A224)</f>
        <v>0</v>
      </c>
      <c r="J224" s="7" t="str">
        <f>IFERROR(SUMIFS(TM[[#All],[Total Non-Truncated Claims Spending]],TM[[#All],[Reporting Year]],2022,TM[[#All],[Insurance Category Code]],8,TM[[#All],[Large Provider Entity Code]],A224)/I224,"NA")</f>
        <v>NA</v>
      </c>
      <c r="K224" s="7" t="str">
        <f>IFERROR(SUMIFS(TM[[#All],[Total Non-Claims Spending]],TM[[#All],[Reporting Year]],2022,TM[[#All],[Insurance Category Code]],8,TM[[#All],[Large Provider Entity Code]],A224)/I224,"NA")</f>
        <v>NA</v>
      </c>
      <c r="L224" s="7" t="str">
        <f>IFERROR(SUMIFS(TM[[#All],[Total Non-Truncated Claims and Non-Claims Spending]],TM[[#All],[Reporting Year]],2022,TM[[#All],[Insurance Category Code]],8,TM[[#All],[Large Provider Entity Code]],A224)/I224,"NA")</f>
        <v>NA</v>
      </c>
      <c r="M224" s="7" t="str">
        <f>IFERROR(SUMIFS(TM[[#All],[Total Truncated Claims Spending]],TM[[#All],[Reporting Year]],2022,TM[[#All],[Insurance Category Code]],8,TM[[#All],[Large Provider Entity Code]],A224)/I224,"NA")</f>
        <v>NA</v>
      </c>
      <c r="N224" s="96" t="str">
        <f>IFERROR(SUMIFS(TM[[#All],[Total Truncated Expenses]],TM[[#All],[Reporting Year]],2022,TM[[#All],[Insurance Category Code]],8,TM[[#All],[Large Provider Entity Code]],A224)/I224,"NA")</f>
        <v>NA</v>
      </c>
      <c r="O224" s="518">
        <f t="shared" si="161"/>
        <v>0</v>
      </c>
      <c r="P224" s="243" t="str">
        <f t="shared" si="155"/>
        <v>NA</v>
      </c>
      <c r="Q224" s="97" t="str">
        <f t="shared" si="156"/>
        <v>NA</v>
      </c>
      <c r="R224" s="97" t="str">
        <f t="shared" si="157"/>
        <v>NA</v>
      </c>
      <c r="S224" s="97" t="str">
        <f t="shared" si="158"/>
        <v>NA</v>
      </c>
      <c r="T224" s="97" t="str">
        <f t="shared" si="159"/>
        <v>NA</v>
      </c>
      <c r="U224" s="97" t="str">
        <f t="shared" si="160"/>
        <v>NA</v>
      </c>
    </row>
    <row r="225" spans="1:21" x14ac:dyDescent="0.25">
      <c r="A225" s="218">
        <v>104</v>
      </c>
      <c r="B225" s="495" t="s">
        <v>611</v>
      </c>
      <c r="C225" s="8">
        <f>SUMIFS(TM[[#All],[Member Months]],TM[[#All],[Reporting Year]],2021,TM[[#All],[Insurance Category Code]],8,TM[[#All],[Large Provider Entity Code]],A225)</f>
        <v>0</v>
      </c>
      <c r="D225" s="7" t="str">
        <f>IFERROR(SUMIFS(TM[[#All],[Total Non-Truncated Claims Spending]],TM[[#All],[Reporting Year]],2021,TM[[#All],[Insurance Category Code]],8,TM[[#All],[Large Provider Entity Code]],A225)/C225,"NA")</f>
        <v>NA</v>
      </c>
      <c r="E225" s="7" t="str">
        <f>IFERROR(SUMIFS(TM[[#All],[Total Non-Claims Spending]],TM[[#All],[Reporting Year]],2021,TM[[#All],[Insurance Category Code]],8,TM[[#All],[Large Provider Entity Code]],A225)/C225,"NA")</f>
        <v>NA</v>
      </c>
      <c r="F225" s="7" t="str">
        <f>IFERROR(SUMIFS(TM[[#All],[Total Non-Truncated Claims and Non-Claims Spending]],TM[[#All],[Reporting Year]],2021,TM[[#All],[Insurance Category Code]],8,TM[[#All],[Large Provider Entity Code]],A225)/C225,"NA")</f>
        <v>NA</v>
      </c>
      <c r="G225" s="7" t="str">
        <f>IFERROR(SUMIFS(TM[[#All],[Total Truncated Claims Spending]],TM[[#All],[Reporting Year]],2021,TM[[#All],[Insurance Category Code]],8,TM[[#All],[Large Provider Entity Code]],A225)/C225,"NA")</f>
        <v>NA</v>
      </c>
      <c r="H225" s="204" t="str">
        <f>IFERROR(SUMIFS(TM[[#All],[Total Truncated Expenses]],TM[[#All],[Reporting Year]],2021,TM[[#All],[Insurance Category Code]],8,TM[[#All],[Large Provider Entity Code]],A225)/C225,"NA")</f>
        <v>NA</v>
      </c>
      <c r="I225" s="95">
        <f>SUMIFS(TM[[#All],[Member Months]],TM[[#All],[Reporting Year]],2022,TM[[#All],[Insurance Category Code]],8,TM[[#All],[Large Provider Entity Code]],A225)</f>
        <v>0</v>
      </c>
      <c r="J225" s="7" t="str">
        <f>IFERROR(SUMIFS(TM[[#All],[Total Non-Truncated Claims Spending]],TM[[#All],[Reporting Year]],2022,TM[[#All],[Insurance Category Code]],8,TM[[#All],[Large Provider Entity Code]],A225)/I225,"NA")</f>
        <v>NA</v>
      </c>
      <c r="K225" s="7" t="str">
        <f>IFERROR(SUMIFS(TM[[#All],[Total Non-Claims Spending]],TM[[#All],[Reporting Year]],2022,TM[[#All],[Insurance Category Code]],8,TM[[#All],[Large Provider Entity Code]],A225)/I225,"NA")</f>
        <v>NA</v>
      </c>
      <c r="L225" s="7" t="str">
        <f>IFERROR(SUMIFS(TM[[#All],[Total Non-Truncated Claims and Non-Claims Spending]],TM[[#All],[Reporting Year]],2022,TM[[#All],[Insurance Category Code]],8,TM[[#All],[Large Provider Entity Code]],A225)/I225,"NA")</f>
        <v>NA</v>
      </c>
      <c r="M225" s="7" t="str">
        <f>IFERROR(SUMIFS(TM[[#All],[Total Truncated Claims Spending]],TM[[#All],[Reporting Year]],2022,TM[[#All],[Insurance Category Code]],8,TM[[#All],[Large Provider Entity Code]],A225)/I225,"NA")</f>
        <v>NA</v>
      </c>
      <c r="N225" s="96" t="str">
        <f>IFERROR(SUMIFS(TM[[#All],[Total Truncated Expenses]],TM[[#All],[Reporting Year]],2022,TM[[#All],[Insurance Category Code]],8,TM[[#All],[Large Provider Entity Code]],A225)/I225,"NA")</f>
        <v>NA</v>
      </c>
      <c r="O225" s="518">
        <f t="shared" si="161"/>
        <v>0</v>
      </c>
      <c r="P225" s="243" t="str">
        <f t="shared" si="155"/>
        <v>NA</v>
      </c>
      <c r="Q225" s="97" t="str">
        <f t="shared" si="156"/>
        <v>NA</v>
      </c>
      <c r="R225" s="97" t="str">
        <f t="shared" si="157"/>
        <v>NA</v>
      </c>
      <c r="S225" s="97" t="str">
        <f t="shared" si="158"/>
        <v>NA</v>
      </c>
      <c r="T225" s="97" t="str">
        <f t="shared" si="159"/>
        <v>NA</v>
      </c>
      <c r="U225" s="97" t="str">
        <f t="shared" si="160"/>
        <v>NA</v>
      </c>
    </row>
    <row r="226" spans="1:21" x14ac:dyDescent="0.25">
      <c r="A226" s="218">
        <v>105</v>
      </c>
      <c r="B226" s="566" t="s">
        <v>607</v>
      </c>
      <c r="C226" s="8">
        <f>SUMIFS(TM[[#All],[Member Months]],TM[[#All],[Reporting Year]],2021,TM[[#All],[Insurance Category Code]],8,TM[[#All],[Large Provider Entity Code]],A226)</f>
        <v>0</v>
      </c>
      <c r="D226" s="7" t="str">
        <f>IFERROR(SUMIFS(TM[[#All],[Total Non-Truncated Claims Spending]],TM[[#All],[Reporting Year]],2021,TM[[#All],[Insurance Category Code]],8,TM[[#All],[Large Provider Entity Code]],A226)/C226,"NA")</f>
        <v>NA</v>
      </c>
      <c r="E226" s="7" t="str">
        <f>IFERROR(SUMIFS(TM[[#All],[Total Non-Claims Spending]],TM[[#All],[Reporting Year]],2021,TM[[#All],[Insurance Category Code]],8,TM[[#All],[Large Provider Entity Code]],A226)/C226,"NA")</f>
        <v>NA</v>
      </c>
      <c r="F226" s="7" t="str">
        <f>IFERROR(SUMIFS(TM[[#All],[Total Non-Truncated Claims and Non-Claims Spending]],TM[[#All],[Reporting Year]],2021,TM[[#All],[Insurance Category Code]],8,TM[[#All],[Large Provider Entity Code]],A226)/C226,"NA")</f>
        <v>NA</v>
      </c>
      <c r="G226" s="7" t="str">
        <f>IFERROR(SUMIFS(TM[[#All],[Total Truncated Claims Spending]],TM[[#All],[Reporting Year]],2021,TM[[#All],[Insurance Category Code]],8,TM[[#All],[Large Provider Entity Code]],A226)/C226,"NA")</f>
        <v>NA</v>
      </c>
      <c r="H226" s="204" t="str">
        <f>IFERROR(SUMIFS(TM[[#All],[Total Truncated Expenses]],TM[[#All],[Reporting Year]],2021,TM[[#All],[Insurance Category Code]],8,TM[[#All],[Large Provider Entity Code]],A226)/C226,"NA")</f>
        <v>NA</v>
      </c>
      <c r="I226" s="95">
        <f>SUMIFS(TM[[#All],[Member Months]],TM[[#All],[Reporting Year]],2022,TM[[#All],[Insurance Category Code]],8,TM[[#All],[Large Provider Entity Code]],A226)</f>
        <v>0</v>
      </c>
      <c r="J226" s="7" t="str">
        <f>IFERROR(SUMIFS(TM[[#All],[Total Non-Truncated Claims Spending]],TM[[#All],[Reporting Year]],2022,TM[[#All],[Insurance Category Code]],8,TM[[#All],[Large Provider Entity Code]],A226)/I226,"NA")</f>
        <v>NA</v>
      </c>
      <c r="K226" s="7" t="str">
        <f>IFERROR(SUMIFS(TM[[#All],[Total Non-Claims Spending]],TM[[#All],[Reporting Year]],2022,TM[[#All],[Insurance Category Code]],8,TM[[#All],[Large Provider Entity Code]],A226)/I226,"NA")</f>
        <v>NA</v>
      </c>
      <c r="L226" s="7" t="str">
        <f>IFERROR(SUMIFS(TM[[#All],[Total Non-Truncated Claims and Non-Claims Spending]],TM[[#All],[Reporting Year]],2022,TM[[#All],[Insurance Category Code]],8,TM[[#All],[Large Provider Entity Code]],A226)/I226,"NA")</f>
        <v>NA</v>
      </c>
      <c r="M226" s="7" t="str">
        <f>IFERROR(SUMIFS(TM[[#All],[Total Truncated Claims Spending]],TM[[#All],[Reporting Year]],2022,TM[[#All],[Insurance Category Code]],8,TM[[#All],[Large Provider Entity Code]],A226)/I226,"NA")</f>
        <v>NA</v>
      </c>
      <c r="N226" s="96" t="str">
        <f>IFERROR(SUMIFS(TM[[#All],[Total Truncated Expenses]],TM[[#All],[Reporting Year]],2022,TM[[#All],[Insurance Category Code]],8,TM[[#All],[Large Provider Entity Code]],A226)/I226,"NA")</f>
        <v>NA</v>
      </c>
      <c r="O226" s="518">
        <f t="shared" si="161"/>
        <v>0</v>
      </c>
      <c r="P226" s="243" t="str">
        <f t="shared" si="155"/>
        <v>NA</v>
      </c>
      <c r="Q226" s="97" t="str">
        <f t="shared" si="156"/>
        <v>NA</v>
      </c>
      <c r="R226" s="97" t="str">
        <f t="shared" si="157"/>
        <v>NA</v>
      </c>
      <c r="S226" s="97" t="str">
        <f t="shared" si="158"/>
        <v>NA</v>
      </c>
      <c r="T226" s="97" t="str">
        <f t="shared" si="159"/>
        <v>NA</v>
      </c>
      <c r="U226" s="97" t="str">
        <f t="shared" si="160"/>
        <v>NA</v>
      </c>
    </row>
    <row r="227" spans="1:21" x14ac:dyDescent="0.25">
      <c r="A227" s="218">
        <v>106</v>
      </c>
      <c r="B227" s="495" t="s">
        <v>74</v>
      </c>
      <c r="C227" s="8">
        <f>SUMIFS(TM[[#All],[Member Months]],TM[[#All],[Reporting Year]],2021,TM[[#All],[Insurance Category Code]],8,TM[[#All],[Large Provider Entity Code]],A227)</f>
        <v>0</v>
      </c>
      <c r="D227" s="7" t="str">
        <f>IFERROR(SUMIFS(TM[[#All],[Total Non-Truncated Claims Spending]],TM[[#All],[Reporting Year]],2021,TM[[#All],[Insurance Category Code]],8,TM[[#All],[Large Provider Entity Code]],A227)/C227,"NA")</f>
        <v>NA</v>
      </c>
      <c r="E227" s="7" t="str">
        <f>IFERROR(SUMIFS(TM[[#All],[Total Non-Claims Spending]],TM[[#All],[Reporting Year]],2021,TM[[#All],[Insurance Category Code]],8,TM[[#All],[Large Provider Entity Code]],A227)/C227,"NA")</f>
        <v>NA</v>
      </c>
      <c r="F227" s="7" t="str">
        <f>IFERROR(SUMIFS(TM[[#All],[Total Non-Truncated Claims and Non-Claims Spending]],TM[[#All],[Reporting Year]],2021,TM[[#All],[Insurance Category Code]],8,TM[[#All],[Large Provider Entity Code]],A227)/C227,"NA")</f>
        <v>NA</v>
      </c>
      <c r="G227" s="7" t="str">
        <f>IFERROR(SUMIFS(TM[[#All],[Total Truncated Claims Spending]],TM[[#All],[Reporting Year]],2021,TM[[#All],[Insurance Category Code]],8,TM[[#All],[Large Provider Entity Code]],A227)/C227,"NA")</f>
        <v>NA</v>
      </c>
      <c r="H227" s="204" t="str">
        <f>IFERROR(SUMIFS(TM[[#All],[Total Truncated Expenses]],TM[[#All],[Reporting Year]],2021,TM[[#All],[Insurance Category Code]],8,TM[[#All],[Large Provider Entity Code]],A227)/C227,"NA")</f>
        <v>NA</v>
      </c>
      <c r="I227" s="95">
        <f>SUMIFS(TM[[#All],[Member Months]],TM[[#All],[Reporting Year]],2022,TM[[#All],[Insurance Category Code]],8,TM[[#All],[Large Provider Entity Code]],A227)</f>
        <v>0</v>
      </c>
      <c r="J227" s="7" t="str">
        <f>IFERROR(SUMIFS(TM[[#All],[Total Non-Truncated Claims Spending]],TM[[#All],[Reporting Year]],2022,TM[[#All],[Insurance Category Code]],8,TM[[#All],[Large Provider Entity Code]],A227)/I227,"NA")</f>
        <v>NA</v>
      </c>
      <c r="K227" s="7" t="str">
        <f>IFERROR(SUMIFS(TM[[#All],[Total Non-Claims Spending]],TM[[#All],[Reporting Year]],2022,TM[[#All],[Insurance Category Code]],8,TM[[#All],[Large Provider Entity Code]],A227)/I227,"NA")</f>
        <v>NA</v>
      </c>
      <c r="L227" s="7" t="str">
        <f>IFERROR(SUMIFS(TM[[#All],[Total Non-Truncated Claims and Non-Claims Spending]],TM[[#All],[Reporting Year]],2022,TM[[#All],[Insurance Category Code]],8,TM[[#All],[Large Provider Entity Code]],A227)/I227,"NA")</f>
        <v>NA</v>
      </c>
      <c r="M227" s="7" t="str">
        <f>IFERROR(SUMIFS(TM[[#All],[Total Truncated Claims Spending]],TM[[#All],[Reporting Year]],2022,TM[[#All],[Insurance Category Code]],8,TM[[#All],[Large Provider Entity Code]],A227)/I227,"NA")</f>
        <v>NA</v>
      </c>
      <c r="N227" s="96" t="str">
        <f>IFERROR(SUMIFS(TM[[#All],[Total Truncated Expenses]],TM[[#All],[Reporting Year]],2022,TM[[#All],[Insurance Category Code]],8,TM[[#All],[Large Provider Entity Code]],A227)/I227,"NA")</f>
        <v>NA</v>
      </c>
      <c r="O227" s="518">
        <f t="shared" si="161"/>
        <v>0</v>
      </c>
      <c r="P227" s="243" t="str">
        <f t="shared" si="155"/>
        <v>NA</v>
      </c>
      <c r="Q227" s="97" t="str">
        <f t="shared" si="156"/>
        <v>NA</v>
      </c>
      <c r="R227" s="97" t="str">
        <f t="shared" si="157"/>
        <v>NA</v>
      </c>
      <c r="S227" s="97" t="str">
        <f t="shared" si="158"/>
        <v>NA</v>
      </c>
      <c r="T227" s="97" t="str">
        <f t="shared" si="159"/>
        <v>NA</v>
      </c>
      <c r="U227" s="97" t="str">
        <f t="shared" si="160"/>
        <v>NA</v>
      </c>
    </row>
    <row r="228" spans="1:21" ht="30" x14ac:dyDescent="0.25">
      <c r="A228" s="218">
        <v>107</v>
      </c>
      <c r="B228" s="495" t="s">
        <v>75</v>
      </c>
      <c r="C228" s="8">
        <f>SUMIFS(TM[[#All],[Member Months]],TM[[#All],[Reporting Year]],2021,TM[[#All],[Insurance Category Code]],8,TM[[#All],[Large Provider Entity Code]],A228)</f>
        <v>0</v>
      </c>
      <c r="D228" s="7" t="str">
        <f>IFERROR(SUMIFS(TM[[#All],[Total Non-Truncated Claims Spending]],TM[[#All],[Reporting Year]],2021,TM[[#All],[Insurance Category Code]],8,TM[[#All],[Large Provider Entity Code]],A228)/C228,"NA")</f>
        <v>NA</v>
      </c>
      <c r="E228" s="7" t="str">
        <f>IFERROR(SUMIFS(TM[[#All],[Total Non-Claims Spending]],TM[[#All],[Reporting Year]],2021,TM[[#All],[Insurance Category Code]],8,TM[[#All],[Large Provider Entity Code]],A228)/C228,"NA")</f>
        <v>NA</v>
      </c>
      <c r="F228" s="7" t="str">
        <f>IFERROR(SUMIFS(TM[[#All],[Total Non-Truncated Claims and Non-Claims Spending]],TM[[#All],[Reporting Year]],2021,TM[[#All],[Insurance Category Code]],8,TM[[#All],[Large Provider Entity Code]],A228)/C228,"NA")</f>
        <v>NA</v>
      </c>
      <c r="G228" s="7" t="str">
        <f>IFERROR(SUMIFS(TM[[#All],[Total Truncated Claims Spending]],TM[[#All],[Reporting Year]],2021,TM[[#All],[Insurance Category Code]],8,TM[[#All],[Large Provider Entity Code]],A228)/C228,"NA")</f>
        <v>NA</v>
      </c>
      <c r="H228" s="204" t="str">
        <f>IFERROR(SUMIFS(TM[[#All],[Total Truncated Expenses]],TM[[#All],[Reporting Year]],2021,TM[[#All],[Insurance Category Code]],8,TM[[#All],[Large Provider Entity Code]],A228)/C228,"NA")</f>
        <v>NA</v>
      </c>
      <c r="I228" s="95">
        <f>SUMIFS(TM[[#All],[Member Months]],TM[[#All],[Reporting Year]],2022,TM[[#All],[Insurance Category Code]],8,TM[[#All],[Large Provider Entity Code]],A228)</f>
        <v>0</v>
      </c>
      <c r="J228" s="7" t="str">
        <f>IFERROR(SUMIFS(TM[[#All],[Total Non-Truncated Claims Spending]],TM[[#All],[Reporting Year]],2022,TM[[#All],[Insurance Category Code]],8,TM[[#All],[Large Provider Entity Code]],A228)/I228,"NA")</f>
        <v>NA</v>
      </c>
      <c r="K228" s="7" t="str">
        <f>IFERROR(SUMIFS(TM[[#All],[Total Non-Claims Spending]],TM[[#All],[Reporting Year]],2022,TM[[#All],[Insurance Category Code]],8,TM[[#All],[Large Provider Entity Code]],A228)/I228,"NA")</f>
        <v>NA</v>
      </c>
      <c r="L228" s="7" t="str">
        <f>IFERROR(SUMIFS(TM[[#All],[Total Non-Truncated Claims and Non-Claims Spending]],TM[[#All],[Reporting Year]],2022,TM[[#All],[Insurance Category Code]],8,TM[[#All],[Large Provider Entity Code]],A228)/I228,"NA")</f>
        <v>NA</v>
      </c>
      <c r="M228" s="7" t="str">
        <f>IFERROR(SUMIFS(TM[[#All],[Total Truncated Claims Spending]],TM[[#All],[Reporting Year]],2022,TM[[#All],[Insurance Category Code]],8,TM[[#All],[Large Provider Entity Code]],A228)/I228,"NA")</f>
        <v>NA</v>
      </c>
      <c r="N228" s="96" t="str">
        <f>IFERROR(SUMIFS(TM[[#All],[Total Truncated Expenses]],TM[[#All],[Reporting Year]],2022,TM[[#All],[Insurance Category Code]],8,TM[[#All],[Large Provider Entity Code]],A228)/I228,"NA")</f>
        <v>NA</v>
      </c>
      <c r="O228" s="518">
        <f t="shared" si="161"/>
        <v>0</v>
      </c>
      <c r="P228" s="243" t="str">
        <f t="shared" si="155"/>
        <v>NA</v>
      </c>
      <c r="Q228" s="97" t="str">
        <f t="shared" si="156"/>
        <v>NA</v>
      </c>
      <c r="R228" s="97" t="str">
        <f t="shared" si="157"/>
        <v>NA</v>
      </c>
      <c r="S228" s="97" t="str">
        <f t="shared" si="158"/>
        <v>NA</v>
      </c>
      <c r="T228" s="97" t="str">
        <f t="shared" si="159"/>
        <v>NA</v>
      </c>
      <c r="U228" s="97" t="str">
        <f t="shared" si="160"/>
        <v>NA</v>
      </c>
    </row>
    <row r="229" spans="1:21" x14ac:dyDescent="0.25">
      <c r="A229" s="218">
        <v>108</v>
      </c>
      <c r="B229" s="495" t="s">
        <v>612</v>
      </c>
      <c r="C229" s="8">
        <f>SUMIFS(TM[[#All],[Member Months]],TM[[#All],[Reporting Year]],2021,TM[[#All],[Insurance Category Code]],8,TM[[#All],[Large Provider Entity Code]],A229)</f>
        <v>0</v>
      </c>
      <c r="D229" s="7" t="str">
        <f>IFERROR(SUMIFS(TM[[#All],[Total Non-Truncated Claims Spending]],TM[[#All],[Reporting Year]],2021,TM[[#All],[Insurance Category Code]],8,TM[[#All],[Large Provider Entity Code]],A229)/C229,"NA")</f>
        <v>NA</v>
      </c>
      <c r="E229" s="7" t="str">
        <f>IFERROR(SUMIFS(TM[[#All],[Total Non-Claims Spending]],TM[[#All],[Reporting Year]],2021,TM[[#All],[Insurance Category Code]],8,TM[[#All],[Large Provider Entity Code]],A229)/C229,"NA")</f>
        <v>NA</v>
      </c>
      <c r="F229" s="7" t="str">
        <f>IFERROR(SUMIFS(TM[[#All],[Total Non-Truncated Claims and Non-Claims Spending]],TM[[#All],[Reporting Year]],2021,TM[[#All],[Insurance Category Code]],8,TM[[#All],[Large Provider Entity Code]],A229)/C229,"NA")</f>
        <v>NA</v>
      </c>
      <c r="G229" s="7" t="str">
        <f>IFERROR(SUMIFS(TM[[#All],[Total Truncated Claims Spending]],TM[[#All],[Reporting Year]],2021,TM[[#All],[Insurance Category Code]],8,TM[[#All],[Large Provider Entity Code]],A229)/C229,"NA")</f>
        <v>NA</v>
      </c>
      <c r="H229" s="204" t="str">
        <f>IFERROR(SUMIFS(TM[[#All],[Total Truncated Expenses]],TM[[#All],[Reporting Year]],2021,TM[[#All],[Insurance Category Code]],8,TM[[#All],[Large Provider Entity Code]],A229)/C229,"NA")</f>
        <v>NA</v>
      </c>
      <c r="I229" s="95">
        <f>SUMIFS(TM[[#All],[Member Months]],TM[[#All],[Reporting Year]],2022,TM[[#All],[Insurance Category Code]],8,TM[[#All],[Large Provider Entity Code]],A229)</f>
        <v>0</v>
      </c>
      <c r="J229" s="7" t="str">
        <f>IFERROR(SUMIFS(TM[[#All],[Total Non-Truncated Claims Spending]],TM[[#All],[Reporting Year]],2022,TM[[#All],[Insurance Category Code]],8,TM[[#All],[Large Provider Entity Code]],A229)/I229,"NA")</f>
        <v>NA</v>
      </c>
      <c r="K229" s="7" t="str">
        <f>IFERROR(SUMIFS(TM[[#All],[Total Non-Claims Spending]],TM[[#All],[Reporting Year]],2022,TM[[#All],[Insurance Category Code]],8,TM[[#All],[Large Provider Entity Code]],A229)/I229,"NA")</f>
        <v>NA</v>
      </c>
      <c r="L229" s="7" t="str">
        <f>IFERROR(SUMIFS(TM[[#All],[Total Non-Truncated Claims and Non-Claims Spending]],TM[[#All],[Reporting Year]],2022,TM[[#All],[Insurance Category Code]],8,TM[[#All],[Large Provider Entity Code]],A229)/I229,"NA")</f>
        <v>NA</v>
      </c>
      <c r="M229" s="7" t="str">
        <f>IFERROR(SUMIFS(TM[[#All],[Total Truncated Claims Spending]],TM[[#All],[Reporting Year]],2022,TM[[#All],[Insurance Category Code]],8,TM[[#All],[Large Provider Entity Code]],A229)/I229,"NA")</f>
        <v>NA</v>
      </c>
      <c r="N229" s="96" t="str">
        <f>IFERROR(SUMIFS(TM[[#All],[Total Truncated Expenses]],TM[[#All],[Reporting Year]],2022,TM[[#All],[Insurance Category Code]],8,TM[[#All],[Large Provider Entity Code]],A229)/I229,"NA")</f>
        <v>NA</v>
      </c>
      <c r="O229" s="518">
        <f t="shared" si="161"/>
        <v>0</v>
      </c>
      <c r="P229" s="243" t="str">
        <f t="shared" si="155"/>
        <v>NA</v>
      </c>
      <c r="Q229" s="97" t="str">
        <f t="shared" si="156"/>
        <v>NA</v>
      </c>
      <c r="R229" s="97" t="str">
        <f t="shared" si="157"/>
        <v>NA</v>
      </c>
      <c r="S229" s="97" t="str">
        <f t="shared" si="158"/>
        <v>NA</v>
      </c>
      <c r="T229" s="97" t="str">
        <f t="shared" si="159"/>
        <v>NA</v>
      </c>
      <c r="U229" s="97" t="str">
        <f t="shared" si="160"/>
        <v>NA</v>
      </c>
    </row>
    <row r="230" spans="1:21" x14ac:dyDescent="0.25">
      <c r="A230" s="218">
        <v>109</v>
      </c>
      <c r="B230" s="571" t="s">
        <v>76</v>
      </c>
      <c r="C230" s="8">
        <f>SUMIFS(TM[[#All],[Member Months]],TM[[#All],[Reporting Year]],2021,TM[[#All],[Insurance Category Code]],8,TM[[#All],[Large Provider Entity Code]],A230)</f>
        <v>0</v>
      </c>
      <c r="D230" s="7" t="str">
        <f>IFERROR(SUMIFS(TM[[#All],[Total Non-Truncated Claims Spending]],TM[[#All],[Reporting Year]],2021,TM[[#All],[Insurance Category Code]],8,TM[[#All],[Large Provider Entity Code]],A230)/C230,"NA")</f>
        <v>NA</v>
      </c>
      <c r="E230" s="7" t="str">
        <f>IFERROR(SUMIFS(TM[[#All],[Total Non-Claims Spending]],TM[[#All],[Reporting Year]],2021,TM[[#All],[Insurance Category Code]],8,TM[[#All],[Large Provider Entity Code]],A230)/C230,"NA")</f>
        <v>NA</v>
      </c>
      <c r="F230" s="7" t="str">
        <f>IFERROR(SUMIFS(TM[[#All],[Total Non-Truncated Claims and Non-Claims Spending]],TM[[#All],[Reporting Year]],2021,TM[[#All],[Insurance Category Code]],8,TM[[#All],[Large Provider Entity Code]],A230)/C230,"NA")</f>
        <v>NA</v>
      </c>
      <c r="G230" s="7" t="str">
        <f>IFERROR(SUMIFS(TM[[#All],[Total Truncated Claims Spending]],TM[[#All],[Reporting Year]],2021,TM[[#All],[Insurance Category Code]],8,TM[[#All],[Large Provider Entity Code]],A230)/C230,"NA")</f>
        <v>NA</v>
      </c>
      <c r="H230" s="204" t="str">
        <f>IFERROR(SUMIFS(TM[[#All],[Total Truncated Expenses]],TM[[#All],[Reporting Year]],2021,TM[[#All],[Insurance Category Code]],8,TM[[#All],[Large Provider Entity Code]],A230)/C230,"NA")</f>
        <v>NA</v>
      </c>
      <c r="I230" s="95">
        <f>SUMIFS(TM[[#All],[Member Months]],TM[[#All],[Reporting Year]],2022,TM[[#All],[Insurance Category Code]],8,TM[[#All],[Large Provider Entity Code]],A230)</f>
        <v>0</v>
      </c>
      <c r="J230" s="7" t="str">
        <f>IFERROR(SUMIFS(TM[[#All],[Total Non-Truncated Claims Spending]],TM[[#All],[Reporting Year]],2022,TM[[#All],[Insurance Category Code]],8,TM[[#All],[Large Provider Entity Code]],A230)/I230,"NA")</f>
        <v>NA</v>
      </c>
      <c r="K230" s="7" t="str">
        <f>IFERROR(SUMIFS(TM[[#All],[Total Non-Claims Spending]],TM[[#All],[Reporting Year]],2022,TM[[#All],[Insurance Category Code]],8,TM[[#All],[Large Provider Entity Code]],A230)/I230,"NA")</f>
        <v>NA</v>
      </c>
      <c r="L230" s="7" t="str">
        <f>IFERROR(SUMIFS(TM[[#All],[Total Non-Truncated Claims and Non-Claims Spending]],TM[[#All],[Reporting Year]],2022,TM[[#All],[Insurance Category Code]],8,TM[[#All],[Large Provider Entity Code]],A230)/I230,"NA")</f>
        <v>NA</v>
      </c>
      <c r="M230" s="7" t="str">
        <f>IFERROR(SUMIFS(TM[[#All],[Total Truncated Claims Spending]],TM[[#All],[Reporting Year]],2022,TM[[#All],[Insurance Category Code]],8,TM[[#All],[Large Provider Entity Code]],A230)/I230,"NA")</f>
        <v>NA</v>
      </c>
      <c r="N230" s="96" t="str">
        <f>IFERROR(SUMIFS(TM[[#All],[Total Truncated Expenses]],TM[[#All],[Reporting Year]],2022,TM[[#All],[Insurance Category Code]],8,TM[[#All],[Large Provider Entity Code]],A230)/I230,"NA")</f>
        <v>NA</v>
      </c>
      <c r="O230" s="518">
        <f t="shared" si="161"/>
        <v>0</v>
      </c>
      <c r="P230" s="243" t="str">
        <f t="shared" si="155"/>
        <v>NA</v>
      </c>
      <c r="Q230" s="97" t="str">
        <f t="shared" si="156"/>
        <v>NA</v>
      </c>
      <c r="R230" s="97" t="str">
        <f t="shared" si="157"/>
        <v>NA</v>
      </c>
      <c r="S230" s="97" t="str">
        <f t="shared" si="158"/>
        <v>NA</v>
      </c>
      <c r="T230" s="97" t="str">
        <f t="shared" si="159"/>
        <v>NA</v>
      </c>
      <c r="U230" s="97" t="str">
        <f t="shared" si="160"/>
        <v>NA</v>
      </c>
    </row>
    <row r="231" spans="1:21" x14ac:dyDescent="0.25">
      <c r="A231" s="218">
        <v>110</v>
      </c>
      <c r="B231" s="495" t="s">
        <v>77</v>
      </c>
      <c r="C231" s="8">
        <f>SUMIFS(TM[[#All],[Member Months]],TM[[#All],[Reporting Year]],2021,TM[[#All],[Insurance Category Code]],8,TM[[#All],[Large Provider Entity Code]],A231)</f>
        <v>0</v>
      </c>
      <c r="D231" s="7" t="str">
        <f>IFERROR(SUMIFS(TM[[#All],[Total Non-Truncated Claims Spending]],TM[[#All],[Reporting Year]],2021,TM[[#All],[Insurance Category Code]],8,TM[[#All],[Large Provider Entity Code]],A231)/C231,"NA")</f>
        <v>NA</v>
      </c>
      <c r="E231" s="7" t="str">
        <f>IFERROR(SUMIFS(TM[[#All],[Total Non-Claims Spending]],TM[[#All],[Reporting Year]],2021,TM[[#All],[Insurance Category Code]],8,TM[[#All],[Large Provider Entity Code]],A231)/C231,"NA")</f>
        <v>NA</v>
      </c>
      <c r="F231" s="7" t="str">
        <f>IFERROR(SUMIFS(TM[[#All],[Total Non-Truncated Claims and Non-Claims Spending]],TM[[#All],[Reporting Year]],2021,TM[[#All],[Insurance Category Code]],8,TM[[#All],[Large Provider Entity Code]],A231)/C231,"NA")</f>
        <v>NA</v>
      </c>
      <c r="G231" s="7" t="str">
        <f>IFERROR(SUMIFS(TM[[#All],[Total Truncated Claims Spending]],TM[[#All],[Reporting Year]],2021,TM[[#All],[Insurance Category Code]],8,TM[[#All],[Large Provider Entity Code]],A231)/C231,"NA")</f>
        <v>NA</v>
      </c>
      <c r="H231" s="204" t="str">
        <f>IFERROR(SUMIFS(TM[[#All],[Total Truncated Expenses]],TM[[#All],[Reporting Year]],2021,TM[[#All],[Insurance Category Code]],8,TM[[#All],[Large Provider Entity Code]],A231)/C231,"NA")</f>
        <v>NA</v>
      </c>
      <c r="I231" s="95">
        <f>SUMIFS(TM[[#All],[Member Months]],TM[[#All],[Reporting Year]],2022,TM[[#All],[Insurance Category Code]],8,TM[[#All],[Large Provider Entity Code]],A231)</f>
        <v>0</v>
      </c>
      <c r="J231" s="7" t="str">
        <f>IFERROR(SUMIFS(TM[[#All],[Total Non-Truncated Claims Spending]],TM[[#All],[Reporting Year]],2022,TM[[#All],[Insurance Category Code]],8,TM[[#All],[Large Provider Entity Code]],A231)/I231,"NA")</f>
        <v>NA</v>
      </c>
      <c r="K231" s="7" t="str">
        <f>IFERROR(SUMIFS(TM[[#All],[Total Non-Claims Spending]],TM[[#All],[Reporting Year]],2022,TM[[#All],[Insurance Category Code]],8,TM[[#All],[Large Provider Entity Code]],A231)/I231,"NA")</f>
        <v>NA</v>
      </c>
      <c r="L231" s="7" t="str">
        <f>IFERROR(SUMIFS(TM[[#All],[Total Non-Truncated Claims and Non-Claims Spending]],TM[[#All],[Reporting Year]],2022,TM[[#All],[Insurance Category Code]],8,TM[[#All],[Large Provider Entity Code]],A231)/I231,"NA")</f>
        <v>NA</v>
      </c>
      <c r="M231" s="7" t="str">
        <f>IFERROR(SUMIFS(TM[[#All],[Total Truncated Claims Spending]],TM[[#All],[Reporting Year]],2022,TM[[#All],[Insurance Category Code]],8,TM[[#All],[Large Provider Entity Code]],A231)/I231,"NA")</f>
        <v>NA</v>
      </c>
      <c r="N231" s="96" t="str">
        <f>IFERROR(SUMIFS(TM[[#All],[Total Truncated Expenses]],TM[[#All],[Reporting Year]],2022,TM[[#All],[Insurance Category Code]],8,TM[[#All],[Large Provider Entity Code]],A231)/I231,"NA")</f>
        <v>NA</v>
      </c>
      <c r="O231" s="518">
        <f t="shared" si="161"/>
        <v>0</v>
      </c>
      <c r="P231" s="243" t="str">
        <f t="shared" si="155"/>
        <v>NA</v>
      </c>
      <c r="Q231" s="97" t="str">
        <f t="shared" si="156"/>
        <v>NA</v>
      </c>
      <c r="R231" s="97" t="str">
        <f t="shared" si="157"/>
        <v>NA</v>
      </c>
      <c r="S231" s="97" t="str">
        <f t="shared" si="158"/>
        <v>NA</v>
      </c>
      <c r="T231" s="97" t="str">
        <f t="shared" si="159"/>
        <v>NA</v>
      </c>
      <c r="U231" s="97" t="str">
        <f t="shared" si="160"/>
        <v>NA</v>
      </c>
    </row>
    <row r="232" spans="1:21" x14ac:dyDescent="0.25">
      <c r="A232" s="218">
        <v>111</v>
      </c>
      <c r="B232" s="566" t="s">
        <v>78</v>
      </c>
      <c r="C232" s="8">
        <f>SUMIFS(TM[[#All],[Member Months]],TM[[#All],[Reporting Year]],2021,TM[[#All],[Insurance Category Code]],8,TM[[#All],[Large Provider Entity Code]],A232)</f>
        <v>0</v>
      </c>
      <c r="D232" s="7" t="str">
        <f>IFERROR(SUMIFS(TM[[#All],[Total Non-Truncated Claims Spending]],TM[[#All],[Reporting Year]],2021,TM[[#All],[Insurance Category Code]],8,TM[[#All],[Large Provider Entity Code]],A232)/C232,"NA")</f>
        <v>NA</v>
      </c>
      <c r="E232" s="7" t="str">
        <f>IFERROR(SUMIFS(TM[[#All],[Total Non-Claims Spending]],TM[[#All],[Reporting Year]],2021,TM[[#All],[Insurance Category Code]],8,TM[[#All],[Large Provider Entity Code]],A232)/C232,"NA")</f>
        <v>NA</v>
      </c>
      <c r="F232" s="7" t="str">
        <f>IFERROR(SUMIFS(TM[[#All],[Total Non-Truncated Claims and Non-Claims Spending]],TM[[#All],[Reporting Year]],2021,TM[[#All],[Insurance Category Code]],8,TM[[#All],[Large Provider Entity Code]],A232)/C232,"NA")</f>
        <v>NA</v>
      </c>
      <c r="G232" s="7" t="str">
        <f>IFERROR(SUMIFS(TM[[#All],[Total Truncated Claims Spending]],TM[[#All],[Reporting Year]],2021,TM[[#All],[Insurance Category Code]],8,TM[[#All],[Large Provider Entity Code]],A232)/C232,"NA")</f>
        <v>NA</v>
      </c>
      <c r="H232" s="204" t="str">
        <f>IFERROR(SUMIFS(TM[[#All],[Total Truncated Expenses]],TM[[#All],[Reporting Year]],2021,TM[[#All],[Insurance Category Code]],8,TM[[#All],[Large Provider Entity Code]],A232)/C232,"NA")</f>
        <v>NA</v>
      </c>
      <c r="I232" s="95">
        <f>SUMIFS(TM[[#All],[Member Months]],TM[[#All],[Reporting Year]],2022,TM[[#All],[Insurance Category Code]],8,TM[[#All],[Large Provider Entity Code]],A232)</f>
        <v>0</v>
      </c>
      <c r="J232" s="7" t="str">
        <f>IFERROR(SUMIFS(TM[[#All],[Total Non-Truncated Claims Spending]],TM[[#All],[Reporting Year]],2022,TM[[#All],[Insurance Category Code]],8,TM[[#All],[Large Provider Entity Code]],A232)/I232,"NA")</f>
        <v>NA</v>
      </c>
      <c r="K232" s="7" t="str">
        <f>IFERROR(SUMIFS(TM[[#All],[Total Non-Claims Spending]],TM[[#All],[Reporting Year]],2022,TM[[#All],[Insurance Category Code]],8,TM[[#All],[Large Provider Entity Code]],A232)/I232,"NA")</f>
        <v>NA</v>
      </c>
      <c r="L232" s="7" t="str">
        <f>IFERROR(SUMIFS(TM[[#All],[Total Non-Truncated Claims and Non-Claims Spending]],TM[[#All],[Reporting Year]],2022,TM[[#All],[Insurance Category Code]],8,TM[[#All],[Large Provider Entity Code]],A232)/I232,"NA")</f>
        <v>NA</v>
      </c>
      <c r="M232" s="7" t="str">
        <f>IFERROR(SUMIFS(TM[[#All],[Total Truncated Claims Spending]],TM[[#All],[Reporting Year]],2022,TM[[#All],[Insurance Category Code]],8,TM[[#All],[Large Provider Entity Code]],A232)/I232,"NA")</f>
        <v>NA</v>
      </c>
      <c r="N232" s="96" t="str">
        <f>IFERROR(SUMIFS(TM[[#All],[Total Truncated Expenses]],TM[[#All],[Reporting Year]],2022,TM[[#All],[Insurance Category Code]],8,TM[[#All],[Large Provider Entity Code]],A232)/I232,"NA")</f>
        <v>NA</v>
      </c>
      <c r="O232" s="518">
        <f t="shared" si="161"/>
        <v>0</v>
      </c>
      <c r="P232" s="243" t="str">
        <f t="shared" si="155"/>
        <v>NA</v>
      </c>
      <c r="Q232" s="97" t="str">
        <f t="shared" si="156"/>
        <v>NA</v>
      </c>
      <c r="R232" s="97" t="str">
        <f t="shared" si="157"/>
        <v>NA</v>
      </c>
      <c r="S232" s="97" t="str">
        <f t="shared" si="158"/>
        <v>NA</v>
      </c>
      <c r="T232" s="97" t="str">
        <f t="shared" si="159"/>
        <v>NA</v>
      </c>
      <c r="U232" s="97" t="str">
        <f t="shared" si="160"/>
        <v>NA</v>
      </c>
    </row>
    <row r="233" spans="1:21" x14ac:dyDescent="0.25">
      <c r="A233" s="218">
        <v>112</v>
      </c>
      <c r="B233" s="566" t="s">
        <v>613</v>
      </c>
      <c r="C233" s="8">
        <f>SUMIFS(TM[[#All],[Member Months]],TM[[#All],[Reporting Year]],2021,TM[[#All],[Insurance Category Code]],8,TM[[#All],[Large Provider Entity Code]],A233)</f>
        <v>0</v>
      </c>
      <c r="D233" s="7" t="str">
        <f>IFERROR(SUMIFS(TM[[#All],[Total Non-Truncated Claims Spending]],TM[[#All],[Reporting Year]],2021,TM[[#All],[Insurance Category Code]],8,TM[[#All],[Large Provider Entity Code]],A233)/C233,"NA")</f>
        <v>NA</v>
      </c>
      <c r="E233" s="7" t="str">
        <f>IFERROR(SUMIFS(TM[[#All],[Total Non-Claims Spending]],TM[[#All],[Reporting Year]],2021,TM[[#All],[Insurance Category Code]],8,TM[[#All],[Large Provider Entity Code]],A233)/C233,"NA")</f>
        <v>NA</v>
      </c>
      <c r="F233" s="7" t="str">
        <f>IFERROR(SUMIFS(TM[[#All],[Total Non-Truncated Claims and Non-Claims Spending]],TM[[#All],[Reporting Year]],2021,TM[[#All],[Insurance Category Code]],8,TM[[#All],[Large Provider Entity Code]],A233)/C233,"NA")</f>
        <v>NA</v>
      </c>
      <c r="G233" s="7" t="str">
        <f>IFERROR(SUMIFS(TM[[#All],[Total Truncated Claims Spending]],TM[[#All],[Reporting Year]],2021,TM[[#All],[Insurance Category Code]],8,TM[[#All],[Large Provider Entity Code]],A233)/C233,"NA")</f>
        <v>NA</v>
      </c>
      <c r="H233" s="204" t="str">
        <f>IFERROR(SUMIFS(TM[[#All],[Total Truncated Expenses]],TM[[#All],[Reporting Year]],2021,TM[[#All],[Insurance Category Code]],8,TM[[#All],[Large Provider Entity Code]],A233)/C233,"NA")</f>
        <v>NA</v>
      </c>
      <c r="I233" s="95">
        <f>SUMIFS(TM[[#All],[Member Months]],TM[[#All],[Reporting Year]],2022,TM[[#All],[Insurance Category Code]],8,TM[[#All],[Large Provider Entity Code]],A233)</f>
        <v>0</v>
      </c>
      <c r="J233" s="7" t="str">
        <f>IFERROR(SUMIFS(TM[[#All],[Total Non-Truncated Claims Spending]],TM[[#All],[Reporting Year]],2022,TM[[#All],[Insurance Category Code]],8,TM[[#All],[Large Provider Entity Code]],A233)/I233,"NA")</f>
        <v>NA</v>
      </c>
      <c r="K233" s="7" t="str">
        <f>IFERROR(SUMIFS(TM[[#All],[Total Non-Claims Spending]],TM[[#All],[Reporting Year]],2022,TM[[#All],[Insurance Category Code]],8,TM[[#All],[Large Provider Entity Code]],A233)/I233,"NA")</f>
        <v>NA</v>
      </c>
      <c r="L233" s="7" t="str">
        <f>IFERROR(SUMIFS(TM[[#All],[Total Non-Truncated Claims and Non-Claims Spending]],TM[[#All],[Reporting Year]],2022,TM[[#All],[Insurance Category Code]],8,TM[[#All],[Large Provider Entity Code]],A233)/I233,"NA")</f>
        <v>NA</v>
      </c>
      <c r="M233" s="7" t="str">
        <f>IFERROR(SUMIFS(TM[[#All],[Total Truncated Claims Spending]],TM[[#All],[Reporting Year]],2022,TM[[#All],[Insurance Category Code]],8,TM[[#All],[Large Provider Entity Code]],A233)/I233,"NA")</f>
        <v>NA</v>
      </c>
      <c r="N233" s="96" t="str">
        <f>IFERROR(SUMIFS(TM[[#All],[Total Truncated Expenses]],TM[[#All],[Reporting Year]],2022,TM[[#All],[Insurance Category Code]],8,TM[[#All],[Large Provider Entity Code]],A233)/I233,"NA")</f>
        <v>NA</v>
      </c>
      <c r="O233" s="518">
        <f t="shared" si="161"/>
        <v>0</v>
      </c>
      <c r="P233" s="243" t="str">
        <f t="shared" si="155"/>
        <v>NA</v>
      </c>
      <c r="Q233" s="97" t="str">
        <f t="shared" si="156"/>
        <v>NA</v>
      </c>
      <c r="R233" s="97" t="str">
        <f t="shared" si="157"/>
        <v>NA</v>
      </c>
      <c r="S233" s="97" t="str">
        <f t="shared" si="158"/>
        <v>NA</v>
      </c>
      <c r="T233" s="97" t="str">
        <f t="shared" si="159"/>
        <v>NA</v>
      </c>
      <c r="U233" s="97" t="str">
        <f t="shared" si="160"/>
        <v>NA</v>
      </c>
    </row>
    <row r="234" spans="1:21" x14ac:dyDescent="0.25">
      <c r="A234" s="218">
        <v>115</v>
      </c>
      <c r="B234" s="566" t="s">
        <v>79</v>
      </c>
      <c r="C234" s="8">
        <f>SUMIFS(TM[[#All],[Member Months]],TM[[#All],[Reporting Year]],2021,TM[[#All],[Insurance Category Code]],8,TM[[#All],[Large Provider Entity Code]],A234)</f>
        <v>0</v>
      </c>
      <c r="D234" s="7" t="str">
        <f>IFERROR(SUMIFS(TM[[#All],[Total Non-Truncated Claims Spending]],TM[[#All],[Reporting Year]],2021,TM[[#All],[Insurance Category Code]],8,TM[[#All],[Large Provider Entity Code]],A234)/C234,"NA")</f>
        <v>NA</v>
      </c>
      <c r="E234" s="7" t="str">
        <f>IFERROR(SUMIFS(TM[[#All],[Total Non-Claims Spending]],TM[[#All],[Reporting Year]],2021,TM[[#All],[Insurance Category Code]],8,TM[[#All],[Large Provider Entity Code]],A234)/C234,"NA")</f>
        <v>NA</v>
      </c>
      <c r="F234" s="7" t="str">
        <f>IFERROR(SUMIFS(TM[[#All],[Total Non-Truncated Claims and Non-Claims Spending]],TM[[#All],[Reporting Year]],2021,TM[[#All],[Insurance Category Code]],8,TM[[#All],[Large Provider Entity Code]],A234)/C234,"NA")</f>
        <v>NA</v>
      </c>
      <c r="G234" s="7" t="str">
        <f>IFERROR(SUMIFS(TM[[#All],[Total Truncated Claims Spending]],TM[[#All],[Reporting Year]],2021,TM[[#All],[Insurance Category Code]],8,TM[[#All],[Large Provider Entity Code]],A234)/C234,"NA")</f>
        <v>NA</v>
      </c>
      <c r="H234" s="204" t="str">
        <f>IFERROR(SUMIFS(TM[[#All],[Total Truncated Expenses]],TM[[#All],[Reporting Year]],2021,TM[[#All],[Insurance Category Code]],8,TM[[#All],[Large Provider Entity Code]],A234)/C234,"NA")</f>
        <v>NA</v>
      </c>
      <c r="I234" s="95">
        <f>SUMIFS(TM[[#All],[Member Months]],TM[[#All],[Reporting Year]],2022,TM[[#All],[Insurance Category Code]],8,TM[[#All],[Large Provider Entity Code]],A234)</f>
        <v>0</v>
      </c>
      <c r="J234" s="7" t="str">
        <f>IFERROR(SUMIFS(TM[[#All],[Total Non-Truncated Claims Spending]],TM[[#All],[Reporting Year]],2022,TM[[#All],[Insurance Category Code]],8,TM[[#All],[Large Provider Entity Code]],A234)/I234,"NA")</f>
        <v>NA</v>
      </c>
      <c r="K234" s="7" t="str">
        <f>IFERROR(SUMIFS(TM[[#All],[Total Non-Claims Spending]],TM[[#All],[Reporting Year]],2022,TM[[#All],[Insurance Category Code]],8,TM[[#All],[Large Provider Entity Code]],A234)/I234,"NA")</f>
        <v>NA</v>
      </c>
      <c r="L234" s="7" t="str">
        <f>IFERROR(SUMIFS(TM[[#All],[Total Non-Truncated Claims and Non-Claims Spending]],TM[[#All],[Reporting Year]],2022,TM[[#All],[Insurance Category Code]],8,TM[[#All],[Large Provider Entity Code]],A234)/I234,"NA")</f>
        <v>NA</v>
      </c>
      <c r="M234" s="7" t="str">
        <f>IFERROR(SUMIFS(TM[[#All],[Total Truncated Claims Spending]],TM[[#All],[Reporting Year]],2022,TM[[#All],[Insurance Category Code]],8,TM[[#All],[Large Provider Entity Code]],A234)/I234,"NA")</f>
        <v>NA</v>
      </c>
      <c r="N234" s="96" t="str">
        <f>IFERROR(SUMIFS(TM[[#All],[Total Truncated Expenses]],TM[[#All],[Reporting Year]],2022,TM[[#All],[Insurance Category Code]],8,TM[[#All],[Large Provider Entity Code]],A234)/I234,"NA")</f>
        <v>NA</v>
      </c>
      <c r="O234" s="518">
        <f t="shared" si="161"/>
        <v>0</v>
      </c>
      <c r="P234" s="243" t="str">
        <f t="shared" si="155"/>
        <v>NA</v>
      </c>
      <c r="Q234" s="97" t="str">
        <f t="shared" si="156"/>
        <v>NA</v>
      </c>
      <c r="R234" s="97" t="str">
        <f t="shared" si="157"/>
        <v>NA</v>
      </c>
      <c r="S234" s="97" t="str">
        <f t="shared" si="158"/>
        <v>NA</v>
      </c>
      <c r="T234" s="97" t="str">
        <f t="shared" si="159"/>
        <v>NA</v>
      </c>
      <c r="U234" s="97" t="str">
        <f t="shared" si="160"/>
        <v>NA</v>
      </c>
    </row>
    <row r="235" spans="1:21" x14ac:dyDescent="0.25">
      <c r="A235" s="218">
        <v>116</v>
      </c>
      <c r="B235" s="566" t="s">
        <v>614</v>
      </c>
      <c r="C235" s="8">
        <f>SUMIFS(TM[[#All],[Member Months]],TM[[#All],[Reporting Year]],2021,TM[[#All],[Insurance Category Code]],8,TM[[#All],[Large Provider Entity Code]],A235)</f>
        <v>0</v>
      </c>
      <c r="D235" s="7" t="str">
        <f>IFERROR(SUMIFS(TM[[#All],[Total Non-Truncated Claims Spending]],TM[[#All],[Reporting Year]],2021,TM[[#All],[Insurance Category Code]],8,TM[[#All],[Large Provider Entity Code]],A235)/C235,"NA")</f>
        <v>NA</v>
      </c>
      <c r="E235" s="7" t="str">
        <f>IFERROR(SUMIFS(TM[[#All],[Total Non-Claims Spending]],TM[[#All],[Reporting Year]],2021,TM[[#All],[Insurance Category Code]],8,TM[[#All],[Large Provider Entity Code]],A235)/C235,"NA")</f>
        <v>NA</v>
      </c>
      <c r="F235" s="7" t="str">
        <f>IFERROR(SUMIFS(TM[[#All],[Total Non-Truncated Claims and Non-Claims Spending]],TM[[#All],[Reporting Year]],2021,TM[[#All],[Insurance Category Code]],8,TM[[#All],[Large Provider Entity Code]],A235)/C235,"NA")</f>
        <v>NA</v>
      </c>
      <c r="G235" s="7" t="str">
        <f>IFERROR(SUMIFS(TM[[#All],[Total Truncated Claims Spending]],TM[[#All],[Reporting Year]],2021,TM[[#All],[Insurance Category Code]],8,TM[[#All],[Large Provider Entity Code]],A235)/C235,"NA")</f>
        <v>NA</v>
      </c>
      <c r="H235" s="204" t="str">
        <f>IFERROR(SUMIFS(TM[[#All],[Total Truncated Expenses]],TM[[#All],[Reporting Year]],2021,TM[[#All],[Insurance Category Code]],8,TM[[#All],[Large Provider Entity Code]],A235)/C235,"NA")</f>
        <v>NA</v>
      </c>
      <c r="I235" s="95">
        <f>SUMIFS(TM[[#All],[Member Months]],TM[[#All],[Reporting Year]],2022,TM[[#All],[Insurance Category Code]],8,TM[[#All],[Large Provider Entity Code]],A235)</f>
        <v>0</v>
      </c>
      <c r="J235" s="7" t="str">
        <f>IFERROR(SUMIFS(TM[[#All],[Total Non-Truncated Claims Spending]],TM[[#All],[Reporting Year]],2022,TM[[#All],[Insurance Category Code]],8,TM[[#All],[Large Provider Entity Code]],A235)/I235,"NA")</f>
        <v>NA</v>
      </c>
      <c r="K235" s="7" t="str">
        <f>IFERROR(SUMIFS(TM[[#All],[Total Non-Claims Spending]],TM[[#All],[Reporting Year]],2022,TM[[#All],[Insurance Category Code]],8,TM[[#All],[Large Provider Entity Code]],A235)/I235,"NA")</f>
        <v>NA</v>
      </c>
      <c r="L235" s="7" t="str">
        <f>IFERROR(SUMIFS(TM[[#All],[Total Non-Truncated Claims and Non-Claims Spending]],TM[[#All],[Reporting Year]],2022,TM[[#All],[Insurance Category Code]],8,TM[[#All],[Large Provider Entity Code]],A235)/I235,"NA")</f>
        <v>NA</v>
      </c>
      <c r="M235" s="7" t="str">
        <f>IFERROR(SUMIFS(TM[[#All],[Total Truncated Claims Spending]],TM[[#All],[Reporting Year]],2022,TM[[#All],[Insurance Category Code]],8,TM[[#All],[Large Provider Entity Code]],A235)/I235,"NA")</f>
        <v>NA</v>
      </c>
      <c r="N235" s="96" t="str">
        <f>IFERROR(SUMIFS(TM[[#All],[Total Truncated Expenses]],TM[[#All],[Reporting Year]],2022,TM[[#All],[Insurance Category Code]],8,TM[[#All],[Large Provider Entity Code]],A235)/I235,"NA")</f>
        <v>NA</v>
      </c>
      <c r="O235" s="518">
        <f t="shared" si="161"/>
        <v>0</v>
      </c>
      <c r="P235" s="243" t="str">
        <f t="shared" si="155"/>
        <v>NA</v>
      </c>
      <c r="Q235" s="97" t="str">
        <f t="shared" si="156"/>
        <v>NA</v>
      </c>
      <c r="R235" s="97" t="str">
        <f t="shared" si="157"/>
        <v>NA</v>
      </c>
      <c r="S235" s="97" t="str">
        <f t="shared" si="158"/>
        <v>NA</v>
      </c>
      <c r="T235" s="97" t="str">
        <f t="shared" si="159"/>
        <v>NA</v>
      </c>
      <c r="U235" s="97" t="str">
        <f t="shared" si="160"/>
        <v>NA</v>
      </c>
    </row>
    <row r="236" spans="1:21" x14ac:dyDescent="0.25">
      <c r="A236" s="218">
        <v>118</v>
      </c>
      <c r="B236" s="566" t="s">
        <v>80</v>
      </c>
      <c r="C236" s="8">
        <f>SUMIFS(TM[[#All],[Member Months]],TM[[#All],[Reporting Year]],2021,TM[[#All],[Insurance Category Code]],8,TM[[#All],[Large Provider Entity Code]],A236)</f>
        <v>0</v>
      </c>
      <c r="D236" s="7" t="str">
        <f>IFERROR(SUMIFS(TM[[#All],[Total Non-Truncated Claims Spending]],TM[[#All],[Reporting Year]],2021,TM[[#All],[Insurance Category Code]],8,TM[[#All],[Large Provider Entity Code]],A236)/C236,"NA")</f>
        <v>NA</v>
      </c>
      <c r="E236" s="7" t="str">
        <f>IFERROR(SUMIFS(TM[[#All],[Total Non-Claims Spending]],TM[[#All],[Reporting Year]],2021,TM[[#All],[Insurance Category Code]],8,TM[[#All],[Large Provider Entity Code]],A236)/C236,"NA")</f>
        <v>NA</v>
      </c>
      <c r="F236" s="7" t="str">
        <f>IFERROR(SUMIFS(TM[[#All],[Total Non-Truncated Claims and Non-Claims Spending]],TM[[#All],[Reporting Year]],2021,TM[[#All],[Insurance Category Code]],8,TM[[#All],[Large Provider Entity Code]],A236)/C236,"NA")</f>
        <v>NA</v>
      </c>
      <c r="G236" s="7" t="str">
        <f>IFERROR(SUMIFS(TM[[#All],[Total Truncated Claims Spending]],TM[[#All],[Reporting Year]],2021,TM[[#All],[Insurance Category Code]],8,TM[[#All],[Large Provider Entity Code]],A236)/C236,"NA")</f>
        <v>NA</v>
      </c>
      <c r="H236" s="204" t="str">
        <f>IFERROR(SUMIFS(TM[[#All],[Total Truncated Expenses]],TM[[#All],[Reporting Year]],2021,TM[[#All],[Insurance Category Code]],8,TM[[#All],[Large Provider Entity Code]],A236)/C236,"NA")</f>
        <v>NA</v>
      </c>
      <c r="I236" s="95">
        <f>SUMIFS(TM[[#All],[Member Months]],TM[[#All],[Reporting Year]],2022,TM[[#All],[Insurance Category Code]],8,TM[[#All],[Large Provider Entity Code]],A236)</f>
        <v>0</v>
      </c>
      <c r="J236" s="7" t="str">
        <f>IFERROR(SUMIFS(TM[[#All],[Total Non-Truncated Claims Spending]],TM[[#All],[Reporting Year]],2022,TM[[#All],[Insurance Category Code]],8,TM[[#All],[Large Provider Entity Code]],A236)/I236,"NA")</f>
        <v>NA</v>
      </c>
      <c r="K236" s="7" t="str">
        <f>IFERROR(SUMIFS(TM[[#All],[Total Non-Claims Spending]],TM[[#All],[Reporting Year]],2022,TM[[#All],[Insurance Category Code]],8,TM[[#All],[Large Provider Entity Code]],A236)/I236,"NA")</f>
        <v>NA</v>
      </c>
      <c r="L236" s="7" t="str">
        <f>IFERROR(SUMIFS(TM[[#All],[Total Non-Truncated Claims and Non-Claims Spending]],TM[[#All],[Reporting Year]],2022,TM[[#All],[Insurance Category Code]],8,TM[[#All],[Large Provider Entity Code]],A236)/I236,"NA")</f>
        <v>NA</v>
      </c>
      <c r="M236" s="7" t="str">
        <f>IFERROR(SUMIFS(TM[[#All],[Total Truncated Claims Spending]],TM[[#All],[Reporting Year]],2022,TM[[#All],[Insurance Category Code]],8,TM[[#All],[Large Provider Entity Code]],A236)/I236,"NA")</f>
        <v>NA</v>
      </c>
      <c r="N236" s="96" t="str">
        <f>IFERROR(SUMIFS(TM[[#All],[Total Truncated Expenses]],TM[[#All],[Reporting Year]],2022,TM[[#All],[Insurance Category Code]],8,TM[[#All],[Large Provider Entity Code]],A236)/I236,"NA")</f>
        <v>NA</v>
      </c>
      <c r="O236" s="518">
        <f t="shared" si="161"/>
        <v>0</v>
      </c>
      <c r="P236" s="243" t="str">
        <f t="shared" si="155"/>
        <v>NA</v>
      </c>
      <c r="Q236" s="97" t="str">
        <f t="shared" si="156"/>
        <v>NA</v>
      </c>
      <c r="R236" s="97" t="str">
        <f t="shared" si="157"/>
        <v>NA</v>
      </c>
      <c r="S236" s="97" t="str">
        <f t="shared" si="158"/>
        <v>NA</v>
      </c>
      <c r="T236" s="97" t="str">
        <f t="shared" si="159"/>
        <v>NA</v>
      </c>
      <c r="U236" s="97" t="str">
        <f t="shared" si="160"/>
        <v>NA</v>
      </c>
    </row>
    <row r="237" spans="1:21" x14ac:dyDescent="0.25">
      <c r="A237" s="218">
        <v>119</v>
      </c>
      <c r="B237" s="566" t="s">
        <v>615</v>
      </c>
      <c r="C237" s="95">
        <f>SUMIFS(TM[[#All],[Member Months]],TM[[#All],[Reporting Year]],2021,TM[[#All],[Insurance Category Code]],8,TM[[#All],[Large Provider Entity Code]],A237)</f>
        <v>0</v>
      </c>
      <c r="D237" s="7" t="str">
        <f>IFERROR(SUMIFS(TM[[#All],[Total Non-Truncated Claims Spending]],TM[[#All],[Reporting Year]],2021,TM[[#All],[Insurance Category Code]],8,TM[[#All],[Large Provider Entity Code]],A237)/C237,"NA")</f>
        <v>NA</v>
      </c>
      <c r="E237" s="7" t="str">
        <f>IFERROR(SUMIFS(TM[[#All],[Total Non-Claims Spending]],TM[[#All],[Reporting Year]],2021,TM[[#All],[Insurance Category Code]],8,TM[[#All],[Large Provider Entity Code]],A237)/C237,"NA")</f>
        <v>NA</v>
      </c>
      <c r="F237" s="7" t="str">
        <f>IFERROR(SUMIFS(TM[[#All],[Total Non-Truncated Claims and Non-Claims Spending]],TM[[#All],[Reporting Year]],2021,TM[[#All],[Insurance Category Code]],8,TM[[#All],[Large Provider Entity Code]],A237)/C237,"NA")</f>
        <v>NA</v>
      </c>
      <c r="G237" s="7" t="str">
        <f>IFERROR(SUMIFS(TM[[#All],[Total Truncated Claims Spending]],TM[[#All],[Reporting Year]],2021,TM[[#All],[Insurance Category Code]],8,TM[[#All],[Large Provider Entity Code]],A237)/C237,"NA")</f>
        <v>NA</v>
      </c>
      <c r="H237" s="204" t="str">
        <f>IFERROR(SUMIFS(TM[[#All],[Total Truncated Expenses]],TM[[#All],[Reporting Year]],2021,TM[[#All],[Insurance Category Code]],8,TM[[#All],[Large Provider Entity Code]],A237)/C237,"NA")</f>
        <v>NA</v>
      </c>
      <c r="I237" s="95">
        <f>SUMIFS(TM[[#All],[Member Months]],TM[[#All],[Reporting Year]],2022,TM[[#All],[Insurance Category Code]],8,TM[[#All],[Large Provider Entity Code]],A237)</f>
        <v>0</v>
      </c>
      <c r="J237" s="7" t="str">
        <f>IFERROR(SUMIFS(TM[[#All],[Total Non-Truncated Claims Spending]],TM[[#All],[Reporting Year]],2022,TM[[#All],[Insurance Category Code]],8,TM[[#All],[Large Provider Entity Code]],A237)/I237,"NA")</f>
        <v>NA</v>
      </c>
      <c r="K237" s="7" t="str">
        <f>IFERROR(SUMIFS(TM[[#All],[Total Non-Claims Spending]],TM[[#All],[Reporting Year]],2022,TM[[#All],[Insurance Category Code]],8,TM[[#All],[Large Provider Entity Code]],A237)/I237,"NA")</f>
        <v>NA</v>
      </c>
      <c r="L237" s="7" t="str">
        <f>IFERROR(SUMIFS(TM[[#All],[Total Non-Truncated Claims and Non-Claims Spending]],TM[[#All],[Reporting Year]],2022,TM[[#All],[Insurance Category Code]],8,TM[[#All],[Large Provider Entity Code]],A237)/I237,"NA")</f>
        <v>NA</v>
      </c>
      <c r="M237" s="7" t="str">
        <f>IFERROR(SUMIFS(TM[[#All],[Total Truncated Claims Spending]],TM[[#All],[Reporting Year]],2022,TM[[#All],[Insurance Category Code]],8,TM[[#All],[Large Provider Entity Code]],A237)/I237,"NA")</f>
        <v>NA</v>
      </c>
      <c r="N237" s="96" t="str">
        <f>IFERROR(SUMIFS(TM[[#All],[Total Truncated Expenses]],TM[[#All],[Reporting Year]],2022,TM[[#All],[Insurance Category Code]],8,TM[[#All],[Large Provider Entity Code]],A237)/I237,"NA")</f>
        <v>NA</v>
      </c>
      <c r="O237" s="518">
        <f>ABS(C237-I237)</f>
        <v>0</v>
      </c>
      <c r="P237" s="243" t="str">
        <f t="shared" si="155"/>
        <v>NA</v>
      </c>
      <c r="Q237" s="97" t="str">
        <f>IFERROR((J237/D237-1),"NA")</f>
        <v>NA</v>
      </c>
      <c r="R237" s="97" t="str">
        <f t="shared" si="157"/>
        <v>NA</v>
      </c>
      <c r="S237" s="97" t="str">
        <f t="shared" si="158"/>
        <v>NA</v>
      </c>
      <c r="T237" s="97" t="str">
        <f t="shared" si="159"/>
        <v>NA</v>
      </c>
      <c r="U237" s="97" t="str">
        <f t="shared" si="160"/>
        <v>NA</v>
      </c>
    </row>
    <row r="238" spans="1:21" x14ac:dyDescent="0.25">
      <c r="A238" s="218">
        <v>120</v>
      </c>
      <c r="B238" s="566" t="s">
        <v>608</v>
      </c>
      <c r="C238" s="95">
        <f>SUMIFS(TM[[#All],[Member Months]],TM[[#All],[Reporting Year]],2021,TM[[#All],[Insurance Category Code]],8,TM[[#All],[Large Provider Entity Code]],A238)</f>
        <v>0</v>
      </c>
      <c r="D238" s="7" t="str">
        <f>IFERROR(SUMIFS(TM[[#All],[Total Non-Truncated Claims Spending]],TM[[#All],[Reporting Year]],2021,TM[[#All],[Insurance Category Code]],8,TM[[#All],[Large Provider Entity Code]],A238)/C238,"NA")</f>
        <v>NA</v>
      </c>
      <c r="E238" s="7" t="str">
        <f>IFERROR(SUMIFS(TM[[#All],[Total Non-Claims Spending]],TM[[#All],[Reporting Year]],2021,TM[[#All],[Insurance Category Code]],8,TM[[#All],[Large Provider Entity Code]],A238)/C238,"NA")</f>
        <v>NA</v>
      </c>
      <c r="F238" s="7" t="str">
        <f>IFERROR(SUMIFS(TM[[#All],[Total Non-Truncated Claims and Non-Claims Spending]],TM[[#All],[Reporting Year]],2021,TM[[#All],[Insurance Category Code]],8,TM[[#All],[Large Provider Entity Code]],A238)/C238,"NA")</f>
        <v>NA</v>
      </c>
      <c r="G238" s="7" t="str">
        <f>IFERROR(SUMIFS(TM[[#All],[Total Truncated Claims Spending]],TM[[#All],[Reporting Year]],2021,TM[[#All],[Insurance Category Code]],8,TM[[#All],[Large Provider Entity Code]],A238)/C238,"NA")</f>
        <v>NA</v>
      </c>
      <c r="H238" s="204" t="str">
        <f>IFERROR(SUMIFS(TM[[#All],[Total Truncated Expenses]],TM[[#All],[Reporting Year]],2021,TM[[#All],[Insurance Category Code]],8,TM[[#All],[Large Provider Entity Code]],A238)/C238,"NA")</f>
        <v>NA</v>
      </c>
      <c r="I238" s="95">
        <f>SUMIFS(TM[[#All],[Member Months]],TM[[#All],[Reporting Year]],2022,TM[[#All],[Insurance Category Code]],8,TM[[#All],[Large Provider Entity Code]],A238)</f>
        <v>0</v>
      </c>
      <c r="J238" s="7" t="str">
        <f>IFERROR(SUMIFS(TM[[#All],[Total Non-Truncated Claims Spending]],TM[[#All],[Reporting Year]],2022,TM[[#All],[Insurance Category Code]],8,TM[[#All],[Large Provider Entity Code]],A238)/I238,"NA")</f>
        <v>NA</v>
      </c>
      <c r="K238" s="7" t="str">
        <f>IFERROR(SUMIFS(TM[[#All],[Total Non-Claims Spending]],TM[[#All],[Reporting Year]],2022,TM[[#All],[Insurance Category Code]],8,TM[[#All],[Large Provider Entity Code]],A238)/I238,"NA")</f>
        <v>NA</v>
      </c>
      <c r="L238" s="7" t="str">
        <f>IFERROR(SUMIFS(TM[[#All],[Total Non-Truncated Claims and Non-Claims Spending]],TM[[#All],[Reporting Year]],2022,TM[[#All],[Insurance Category Code]],8,TM[[#All],[Large Provider Entity Code]],A238)/I238,"NA")</f>
        <v>NA</v>
      </c>
      <c r="M238" s="7" t="str">
        <f>IFERROR(SUMIFS(TM[[#All],[Total Truncated Claims Spending]],TM[[#All],[Reporting Year]],2022,TM[[#All],[Insurance Category Code]],8,TM[[#All],[Large Provider Entity Code]],A238)/I238,"NA")</f>
        <v>NA</v>
      </c>
      <c r="N238" s="96" t="str">
        <f>IFERROR(SUMIFS(TM[[#All],[Total Truncated Expenses]],TM[[#All],[Reporting Year]],2022,TM[[#All],[Insurance Category Code]],8,TM[[#All],[Large Provider Entity Code]],A238)/I238,"NA")</f>
        <v>NA</v>
      </c>
      <c r="O238" s="518">
        <f>ABS(C238-I238)</f>
        <v>0</v>
      </c>
      <c r="P238" s="243" t="str">
        <f t="shared" ref="P238" si="162">IFERROR((I238/C238-1),"NA")</f>
        <v>NA</v>
      </c>
      <c r="Q238" s="97" t="str">
        <f>IFERROR((J238/D238-1),"NA")</f>
        <v>NA</v>
      </c>
      <c r="R238" s="97" t="str">
        <f t="shared" ref="R238" si="163">IFERROR((K238/E238-1),"NA")</f>
        <v>NA</v>
      </c>
      <c r="S238" s="97" t="str">
        <f t="shared" ref="S238" si="164">IFERROR((L238/F238-1),"NA")</f>
        <v>NA</v>
      </c>
      <c r="T238" s="97" t="str">
        <f t="shared" ref="T238" si="165">IFERROR((M238/G238-1),"NA")</f>
        <v>NA</v>
      </c>
      <c r="U238" s="97" t="str">
        <f t="shared" ref="U238" si="166">IFERROR((N238/H238-1),"NA")</f>
        <v>NA</v>
      </c>
    </row>
    <row r="239" spans="1:21" ht="30" x14ac:dyDescent="0.25">
      <c r="A239" s="218">
        <v>121</v>
      </c>
      <c r="B239" s="495" t="s">
        <v>616</v>
      </c>
      <c r="C239" s="95">
        <f>SUMIFS(TM[[#All],[Member Months]],TM[[#All],[Reporting Year]],2021,TM[[#All],[Insurance Category Code]],8,TM[[#All],[Large Provider Entity Code]],A239)</f>
        <v>0</v>
      </c>
      <c r="D239" s="7" t="str">
        <f>IFERROR(SUMIFS(TM[[#All],[Total Non-Truncated Claims Spending]],TM[[#All],[Reporting Year]],2021,TM[[#All],[Insurance Category Code]],8,TM[[#All],[Large Provider Entity Code]],A239)/C239,"NA")</f>
        <v>NA</v>
      </c>
      <c r="E239" s="7" t="str">
        <f>IFERROR(SUMIFS(TM[[#All],[Total Non-Claims Spending]],TM[[#All],[Reporting Year]],2021,TM[[#All],[Insurance Category Code]],8,TM[[#All],[Large Provider Entity Code]],A239)/C239,"NA")</f>
        <v>NA</v>
      </c>
      <c r="F239" s="7" t="str">
        <f>IFERROR(SUMIFS(TM[[#All],[Total Non-Truncated Claims and Non-Claims Spending]],TM[[#All],[Reporting Year]],2021,TM[[#All],[Insurance Category Code]],8,TM[[#All],[Large Provider Entity Code]],A239)/C239,"NA")</f>
        <v>NA</v>
      </c>
      <c r="G239" s="7" t="str">
        <f>IFERROR(SUMIFS(TM[[#All],[Total Truncated Claims Spending]],TM[[#All],[Reporting Year]],2021,TM[[#All],[Insurance Category Code]],8,TM[[#All],[Large Provider Entity Code]],A239)/C239,"NA")</f>
        <v>NA</v>
      </c>
      <c r="H239" s="204" t="str">
        <f>IFERROR(SUMIFS(TM[[#All],[Total Truncated Expenses]],TM[[#All],[Reporting Year]],2021,TM[[#All],[Insurance Category Code]],8,TM[[#All],[Large Provider Entity Code]],A239)/C239,"NA")</f>
        <v>NA</v>
      </c>
      <c r="I239" s="95">
        <f>SUMIFS(TM[[#All],[Member Months]],TM[[#All],[Reporting Year]],2022,TM[[#All],[Insurance Category Code]],8,TM[[#All],[Large Provider Entity Code]],A239)</f>
        <v>0</v>
      </c>
      <c r="J239" s="7" t="str">
        <f>IFERROR(SUMIFS(TM[[#All],[Total Non-Truncated Claims Spending]],TM[[#All],[Reporting Year]],2022,TM[[#All],[Insurance Category Code]],8,TM[[#All],[Large Provider Entity Code]],A239)/I239,"NA")</f>
        <v>NA</v>
      </c>
      <c r="K239" s="7" t="str">
        <f>IFERROR(SUMIFS(TM[[#All],[Total Non-Claims Spending]],TM[[#All],[Reporting Year]],2022,TM[[#All],[Insurance Category Code]],8,TM[[#All],[Large Provider Entity Code]],A239)/I239,"NA")</f>
        <v>NA</v>
      </c>
      <c r="L239" s="7" t="str">
        <f>IFERROR(SUMIFS(TM[[#All],[Total Non-Truncated Claims and Non-Claims Spending]],TM[[#All],[Reporting Year]],2022,TM[[#All],[Insurance Category Code]],8,TM[[#All],[Large Provider Entity Code]],A239)/I239,"NA")</f>
        <v>NA</v>
      </c>
      <c r="M239" s="7" t="str">
        <f>IFERROR(SUMIFS(TM[[#All],[Total Truncated Claims Spending]],TM[[#All],[Reporting Year]],2022,TM[[#All],[Insurance Category Code]],8,TM[[#All],[Large Provider Entity Code]],A239)/I239,"NA")</f>
        <v>NA</v>
      </c>
      <c r="N239" s="96" t="str">
        <f>IFERROR(SUMIFS(TM[[#All],[Total Truncated Expenses]],TM[[#All],[Reporting Year]],2022,TM[[#All],[Insurance Category Code]],8,TM[[#All],[Large Provider Entity Code]],A239)/I239,"NA")</f>
        <v>NA</v>
      </c>
      <c r="O239" s="518">
        <f>ABS(C239-I239)</f>
        <v>0</v>
      </c>
      <c r="P239" s="243" t="str">
        <f t="shared" si="155"/>
        <v>NA</v>
      </c>
      <c r="Q239" s="97" t="str">
        <f t="shared" si="156"/>
        <v>NA</v>
      </c>
      <c r="R239" s="97" t="str">
        <f t="shared" si="157"/>
        <v>NA</v>
      </c>
      <c r="S239" s="97" t="str">
        <f t="shared" si="158"/>
        <v>NA</v>
      </c>
      <c r="T239" s="97" t="str">
        <f t="shared" si="159"/>
        <v>NA</v>
      </c>
      <c r="U239" s="97" t="str">
        <f t="shared" si="160"/>
        <v>NA</v>
      </c>
    </row>
    <row r="240" spans="1:21" x14ac:dyDescent="0.25">
      <c r="A240" s="218">
        <v>122</v>
      </c>
      <c r="B240" s="566" t="s">
        <v>617</v>
      </c>
      <c r="C240" s="95">
        <f>SUMIFS(TM[[#All],[Member Months]],TM[[#All],[Reporting Year]],2021,TM[[#All],[Insurance Category Code]],8,TM[[#All],[Large Provider Entity Code]],A240)</f>
        <v>0</v>
      </c>
      <c r="D240" s="7" t="str">
        <f>IFERROR(SUMIFS(TM[[#All],[Total Non-Truncated Claims Spending]],TM[[#All],[Reporting Year]],2021,TM[[#All],[Insurance Category Code]],8,TM[[#All],[Large Provider Entity Code]],A240)/C240,"NA")</f>
        <v>NA</v>
      </c>
      <c r="E240" s="7" t="str">
        <f>IFERROR(SUMIFS(TM[[#All],[Total Non-Claims Spending]],TM[[#All],[Reporting Year]],2021,TM[[#All],[Insurance Category Code]],8,TM[[#All],[Large Provider Entity Code]],A240)/C240,"NA")</f>
        <v>NA</v>
      </c>
      <c r="F240" s="7" t="str">
        <f>IFERROR(SUMIFS(TM[[#All],[Total Non-Truncated Claims and Non-Claims Spending]],TM[[#All],[Reporting Year]],2021,TM[[#All],[Insurance Category Code]],8,TM[[#All],[Large Provider Entity Code]],A240)/C240,"NA")</f>
        <v>NA</v>
      </c>
      <c r="G240" s="7" t="str">
        <f>IFERROR(SUMIFS(TM[[#All],[Total Truncated Claims Spending]],TM[[#All],[Reporting Year]],2021,TM[[#All],[Insurance Category Code]],8,TM[[#All],[Large Provider Entity Code]],A240)/C240,"NA")</f>
        <v>NA</v>
      </c>
      <c r="H240" s="204" t="str">
        <f>IFERROR(SUMIFS(TM[[#All],[Total Truncated Expenses]],TM[[#All],[Reporting Year]],2021,TM[[#All],[Insurance Category Code]],8,TM[[#All],[Large Provider Entity Code]],A240)/C240,"NA")</f>
        <v>NA</v>
      </c>
      <c r="I240" s="95">
        <f>SUMIFS(TM[[#All],[Member Months]],TM[[#All],[Reporting Year]],2022,TM[[#All],[Insurance Category Code]],8,TM[[#All],[Large Provider Entity Code]],A240)</f>
        <v>0</v>
      </c>
      <c r="J240" s="7" t="str">
        <f>IFERROR(SUMIFS(TM[[#All],[Total Non-Truncated Claims Spending]],TM[[#All],[Reporting Year]],2022,TM[[#All],[Insurance Category Code]],8,TM[[#All],[Large Provider Entity Code]],A240)/I240,"NA")</f>
        <v>NA</v>
      </c>
      <c r="K240" s="7" t="str">
        <f>IFERROR(SUMIFS(TM[[#All],[Total Non-Claims Spending]],TM[[#All],[Reporting Year]],2022,TM[[#All],[Insurance Category Code]],8,TM[[#All],[Large Provider Entity Code]],A240)/I240,"NA")</f>
        <v>NA</v>
      </c>
      <c r="L240" s="7" t="str">
        <f>IFERROR(SUMIFS(TM[[#All],[Total Non-Truncated Claims and Non-Claims Spending]],TM[[#All],[Reporting Year]],2022,TM[[#All],[Insurance Category Code]],8,TM[[#All],[Large Provider Entity Code]],A240)/I240,"NA")</f>
        <v>NA</v>
      </c>
      <c r="M240" s="7" t="str">
        <f>IFERROR(SUMIFS(TM[[#All],[Total Truncated Claims Spending]],TM[[#All],[Reporting Year]],2022,TM[[#All],[Insurance Category Code]],8,TM[[#All],[Large Provider Entity Code]],A240)/I240,"NA")</f>
        <v>NA</v>
      </c>
      <c r="N240" s="96" t="str">
        <f>IFERROR(SUMIFS(TM[[#All],[Total Truncated Expenses]],TM[[#All],[Reporting Year]],2022,TM[[#All],[Insurance Category Code]],8,TM[[#All],[Large Provider Entity Code]],A240)/I240,"NA")</f>
        <v>NA</v>
      </c>
      <c r="O240" s="518">
        <f>ABS(C240-I240)</f>
        <v>0</v>
      </c>
      <c r="P240" s="243" t="str">
        <f t="shared" si="155"/>
        <v>NA</v>
      </c>
      <c r="Q240" s="97" t="str">
        <f t="shared" si="156"/>
        <v>NA</v>
      </c>
      <c r="R240" s="97" t="str">
        <f t="shared" si="157"/>
        <v>NA</v>
      </c>
      <c r="S240" s="97" t="str">
        <f t="shared" si="158"/>
        <v>NA</v>
      </c>
      <c r="T240" s="97" t="str">
        <f t="shared" si="159"/>
        <v>NA</v>
      </c>
      <c r="U240" s="97" t="str">
        <f t="shared" si="160"/>
        <v>NA</v>
      </c>
    </row>
    <row r="241" spans="1:21" x14ac:dyDescent="0.25">
      <c r="A241" s="218">
        <v>999</v>
      </c>
      <c r="B241" s="495" t="s">
        <v>81</v>
      </c>
      <c r="C241" s="163">
        <f>SUMIFS(TM[[#All],[Member Months]],TM[[#All],[Reporting Year]],2021,TM[[#All],[Insurance Category Code]],8,TM[[#All],[Large Provider Entity Code]],A241)</f>
        <v>0</v>
      </c>
      <c r="D241" s="7" t="str">
        <f>IFERROR(SUMIFS(TM[[#All],[Total Non-Truncated Claims Spending]],TM[[#All],[Reporting Year]],2021,TM[[#All],[Insurance Category Code]],8,TM[[#All],[Large Provider Entity Code]],A241)/C241,"NA")</f>
        <v>NA</v>
      </c>
      <c r="E241" s="7" t="str">
        <f>IFERROR(SUMIFS(TM[[#All],[Total Non-Claims Spending]],TM[[#All],[Reporting Year]],2021,TM[[#All],[Insurance Category Code]],8,TM[[#All],[Large Provider Entity Code]],A241)/C241,"NA")</f>
        <v>NA</v>
      </c>
      <c r="F241" s="7" t="str">
        <f>IFERROR(SUMIFS(TM[[#All],[Total Non-Truncated Claims and Non-Claims Spending]],TM[[#All],[Reporting Year]],2021,TM[[#All],[Insurance Category Code]],8,TM[[#All],[Large Provider Entity Code]],A241)/C241,"NA")</f>
        <v>NA</v>
      </c>
      <c r="G241" s="7" t="str">
        <f>IFERROR(SUMIFS(TM[[#All],[Total Truncated Claims Spending]],TM[[#All],[Reporting Year]],2021,TM[[#All],[Insurance Category Code]],8,TM[[#All],[Large Provider Entity Code]],A241)/C241,"NA")</f>
        <v>NA</v>
      </c>
      <c r="H241" s="204" t="str">
        <f>IFERROR(SUMIFS(TM[[#All],[Total Truncated Expenses]],TM[[#All],[Reporting Year]],2021,TM[[#All],[Insurance Category Code]],8,TM[[#All],[Large Provider Entity Code]],A241)/C241,"NA")</f>
        <v>NA</v>
      </c>
      <c r="I241" s="95">
        <f>SUMIFS(TM[[#All],[Member Months]],TM[[#All],[Reporting Year]],2022,TM[[#All],[Insurance Category Code]],8,TM[[#All],[Large Provider Entity Code]],A241)</f>
        <v>0</v>
      </c>
      <c r="J241" s="7" t="str">
        <f>IFERROR(SUMIFS(TM[[#All],[Total Non-Truncated Claims Spending]],TM[[#All],[Reporting Year]],2022,TM[[#All],[Insurance Category Code]],8,TM[[#All],[Large Provider Entity Code]],A241)/I241,"NA")</f>
        <v>NA</v>
      </c>
      <c r="K241" s="7" t="str">
        <f>IFERROR(SUMIFS(TM[[#All],[Total Non-Claims Spending]],TM[[#All],[Reporting Year]],2022,TM[[#All],[Insurance Category Code]],8,TM[[#All],[Large Provider Entity Code]],A241)/I241,"NA")</f>
        <v>NA</v>
      </c>
      <c r="L241" s="7" t="str">
        <f>IFERROR(SUMIFS(TM[[#All],[Total Non-Truncated Claims and Non-Claims Spending]],TM[[#All],[Reporting Year]],2022,TM[[#All],[Insurance Category Code]],8,TM[[#All],[Large Provider Entity Code]],A241)/I241,"NA")</f>
        <v>NA</v>
      </c>
      <c r="M241" s="7" t="str">
        <f>IFERROR(SUMIFS(TM[[#All],[Total Truncated Claims Spending]],TM[[#All],[Reporting Year]],2022,TM[[#All],[Insurance Category Code]],8,TM[[#All],[Large Provider Entity Code]],A241)/I241,"NA")</f>
        <v>NA</v>
      </c>
      <c r="N241" s="96" t="str">
        <f>IFERROR(SUMIFS(TM[[#All],[Total Truncated Expenses]],TM[[#All],[Reporting Year]],2022,TM[[#All],[Insurance Category Code]],8,TM[[#All],[Large Provider Entity Code]],A241)/I241,"NA")</f>
        <v>NA</v>
      </c>
      <c r="O241" s="518">
        <f>ABS(C241-I241)</f>
        <v>0</v>
      </c>
      <c r="P241" s="243" t="str">
        <f t="shared" si="155"/>
        <v>NA</v>
      </c>
      <c r="Q241" s="97" t="str">
        <f t="shared" si="156"/>
        <v>NA</v>
      </c>
      <c r="R241" s="97" t="str">
        <f t="shared" si="157"/>
        <v>NA</v>
      </c>
      <c r="S241" s="97" t="str">
        <f t="shared" si="158"/>
        <v>NA</v>
      </c>
      <c r="T241" s="97" t="str">
        <f t="shared" si="159"/>
        <v>NA</v>
      </c>
      <c r="U241" s="97" t="str">
        <f t="shared" si="160"/>
        <v>NA</v>
      </c>
    </row>
    <row r="242" spans="1:21" ht="30" customHeight="1" x14ac:dyDescent="0.25">
      <c r="A242" s="707" t="s">
        <v>567</v>
      </c>
      <c r="B242" s="708"/>
      <c r="C242" s="164">
        <f>SUM(C222:C241)</f>
        <v>0</v>
      </c>
      <c r="D242" s="131" t="str">
        <f>IFERROR((SUMPRODUCT(D222:D241,C222:C241)/C242),"NA")</f>
        <v>NA</v>
      </c>
      <c r="E242" s="131" t="str">
        <f>IFERROR((SUMPRODUCT(E222:E241,C222:C241)/C242),"NA")</f>
        <v>NA</v>
      </c>
      <c r="F242" s="131" t="str">
        <f>IFERROR((SUMPRODUCT(F222:F241,C222:C241)/C242),"NA")</f>
        <v>NA</v>
      </c>
      <c r="G242" s="131" t="str">
        <f>IFERROR((SUMPRODUCT(G222:G241,C222:C241)/C242),"NA")</f>
        <v>NA</v>
      </c>
      <c r="H242" s="131" t="str">
        <f>IFERROR((SUMPRODUCT(H222:H241,C222:C241)/C242),"NA")</f>
        <v>NA</v>
      </c>
      <c r="I242" s="165">
        <f>SUM(I222:I241)</f>
        <v>0</v>
      </c>
      <c r="J242" s="131" t="str">
        <f>IFERROR((SUMPRODUCT(J222:J241,I222:I241)/I242),"NA")</f>
        <v>NA</v>
      </c>
      <c r="K242" s="131" t="str">
        <f>IFERROR((SUMPRODUCT(K222:K241,I222:I241)/I242),"NA")</f>
        <v>NA</v>
      </c>
      <c r="L242" s="131" t="str">
        <f>IFERROR((SUMPRODUCT(L222:L241,I222:I241)/I242),"NA")</f>
        <v>NA</v>
      </c>
      <c r="M242" s="131" t="str">
        <f>IFERROR((SUMPRODUCT(M222:M241,I222:I241)/I242),"NA")</f>
        <v>NA</v>
      </c>
      <c r="N242" s="206" t="str">
        <f>IFERROR((SUMPRODUCT(N222:N241,I222:I241)/I242),"NA")</f>
        <v>NA</v>
      </c>
      <c r="O242" s="544" t="s">
        <v>500</v>
      </c>
      <c r="P242" s="435" t="s">
        <v>500</v>
      </c>
      <c r="Q242" s="433" t="s">
        <v>500</v>
      </c>
      <c r="R242" s="433" t="s">
        <v>500</v>
      </c>
      <c r="S242" s="433" t="s">
        <v>500</v>
      </c>
      <c r="T242" s="433" t="s">
        <v>500</v>
      </c>
      <c r="U242" s="433" t="s">
        <v>500</v>
      </c>
    </row>
    <row r="243" spans="1:21" x14ac:dyDescent="0.25">
      <c r="A243" s="709" t="s">
        <v>563</v>
      </c>
      <c r="B243" s="710"/>
      <c r="C243" s="164" t="s">
        <v>500</v>
      </c>
      <c r="D243" s="130" t="str">
        <f>IFERROR(((SUMPRODUCT(D221,$C$221))-ABS(SUMIFS(RX[[#All],[Total Medical and Retail Pharmacy Rebate Amount]],RX[[#All],[Reporting Year]],2021,RX[[#All],[Insurance Category Code]],8)))/$C$242,"NA")</f>
        <v>NA</v>
      </c>
      <c r="E243" s="130" t="str">
        <f>IFERROR(((SUMPRODUCT(E221,$C$221))-ABS(SUMIFS(RX[[#All],[Total Medical and Retail Pharmacy Rebate Amount]],RX[[#All],[Reporting Year]],2021,RX[[#All],[Insurance Category Code]],8)))/$C$242,"NA")</f>
        <v>NA</v>
      </c>
      <c r="F243" s="130" t="str">
        <f>IFERROR(((SUMPRODUCT(F221,$C$221))-ABS(SUMIFS(RX[[#All],[Total Medical and Retail Pharmacy Rebate Amount]],RX[[#All],[Reporting Year]],2021,RX[[#All],[Insurance Category Code]],8)))/$C$242,"NA")</f>
        <v>NA</v>
      </c>
      <c r="G243" s="130" t="str">
        <f>IFERROR(((SUMPRODUCT(G221,$C$221))-ABS(SUMIFS(RX[[#All],[Total Medical and Retail Pharmacy Rebate Amount]],RX[[#All],[Reporting Year]],2021,RX[[#All],[Insurance Category Code]],8)))/$C$242,"NA")</f>
        <v>NA</v>
      </c>
      <c r="H243" s="209" t="str">
        <f>IFERROR(((SUMPRODUCT(H221,$C$221))-ABS(SUMIFS(RX[[#All],[Total Medical and Retail Pharmacy Rebate Amount]],RX[[#All],[Reporting Year]],2021,RX[[#All],[Insurance Category Code]],8)))/$C$242,"NA")</f>
        <v>NA</v>
      </c>
      <c r="I243" s="165" t="s">
        <v>500</v>
      </c>
      <c r="J243" s="130" t="str">
        <f>IFERROR(((SUMPRODUCT(J221,$I$221))-ABS(SUMIFS(RX[[#All],[Total Medical and Retail Pharmacy Rebate Amount]],RX[[#All],[Reporting Year]],2022,RX[[#All],[Insurance Category Code]],8)))/$I$242,"NA")</f>
        <v>NA</v>
      </c>
      <c r="K243" s="130" t="str">
        <f>IFERROR(((SUMPRODUCT(K221,$I$221))-ABS(SUMIFS(RX[[#All],[Total Medical and Retail Pharmacy Rebate Amount]],RX[[#All],[Reporting Year]],2022,RX[[#All],[Insurance Category Code]],8)))/$I$242,"NA")</f>
        <v>NA</v>
      </c>
      <c r="L243" s="130" t="str">
        <f>IFERROR(((SUMPRODUCT(L221,$I$221))-ABS(SUMIFS(RX[[#All],[Total Medical and Retail Pharmacy Rebate Amount]],RX[[#All],[Reporting Year]],2022,RX[[#All],[Insurance Category Code]],8)))/$I$242,"NA")</f>
        <v>NA</v>
      </c>
      <c r="M243" s="130" t="str">
        <f>IFERROR(((SUMPRODUCT(M221,$I$221))-ABS(SUMIFS(RX[[#All],[Total Medical and Retail Pharmacy Rebate Amount]],RX[[#All],[Reporting Year]],2022,RX[[#All],[Insurance Category Code]],8)))/$I$242,"NA")</f>
        <v>NA</v>
      </c>
      <c r="N243" s="208" t="str">
        <f>IFERROR(((SUMPRODUCT(N221,$I$221))-ABS(SUMIFS(RX[[#All],[Total Medical and Retail Pharmacy Rebate Amount]],RX[[#All],[Reporting Year]],2022,RX[[#All],[Insurance Category Code]],8)))/$I$242,"NA")</f>
        <v>NA</v>
      </c>
      <c r="O243" s="544" t="s">
        <v>500</v>
      </c>
      <c r="P243" s="435" t="s">
        <v>500</v>
      </c>
      <c r="Q243" s="433" t="s">
        <v>500</v>
      </c>
      <c r="R243" s="433" t="s">
        <v>500</v>
      </c>
      <c r="S243" s="433" t="s">
        <v>500</v>
      </c>
      <c r="T243" s="433" t="s">
        <v>500</v>
      </c>
      <c r="U243" s="433" t="s">
        <v>500</v>
      </c>
    </row>
    <row r="244" spans="1:21" x14ac:dyDescent="0.25">
      <c r="A244" s="717" t="s">
        <v>564</v>
      </c>
      <c r="B244" s="718"/>
      <c r="C244" s="227">
        <f>ABS(C242-C221)</f>
        <v>0</v>
      </c>
      <c r="D244" s="227" t="e">
        <f>ABS(D242-D221)</f>
        <v>#VALUE!</v>
      </c>
      <c r="E244" s="227" t="e">
        <f>ABS(E242-E221)</f>
        <v>#VALUE!</v>
      </c>
      <c r="F244" s="227" t="e">
        <f>ABS(F242-F221)</f>
        <v>#VALUE!</v>
      </c>
      <c r="G244" s="227" t="s">
        <v>500</v>
      </c>
      <c r="H244" s="231" t="s">
        <v>500</v>
      </c>
      <c r="I244" s="221">
        <f>ABS(I242-I221)</f>
        <v>0</v>
      </c>
      <c r="J244" s="227" t="e">
        <f>ABS(J242-J221)</f>
        <v>#VALUE!</v>
      </c>
      <c r="K244" s="227" t="e">
        <f>ABS(K242-K221)</f>
        <v>#VALUE!</v>
      </c>
      <c r="L244" s="227" t="e">
        <f>ABS(L242-L221)</f>
        <v>#VALUE!</v>
      </c>
      <c r="M244" s="227" t="s">
        <v>500</v>
      </c>
      <c r="N244" s="231" t="s">
        <v>500</v>
      </c>
      <c r="O244" s="545" t="s">
        <v>500</v>
      </c>
      <c r="P244" s="546" t="s">
        <v>500</v>
      </c>
      <c r="Q244" s="548" t="s">
        <v>500</v>
      </c>
      <c r="R244" s="548" t="s">
        <v>500</v>
      </c>
      <c r="S244" s="548" t="s">
        <v>500</v>
      </c>
      <c r="T244" s="548" t="s">
        <v>500</v>
      </c>
      <c r="U244" s="548" t="s">
        <v>500</v>
      </c>
    </row>
    <row r="245" spans="1:21" x14ac:dyDescent="0.25">
      <c r="A245" s="715" t="s">
        <v>565</v>
      </c>
      <c r="B245" s="716"/>
      <c r="C245" s="261" t="str">
        <f>IF(((ABS(C221-C242))&lt;10),"Yes","No")</f>
        <v>Yes</v>
      </c>
      <c r="D245" s="181" t="e">
        <f>IF(((ABS(D221-D242))&lt;10),"Yes","No")</f>
        <v>#VALUE!</v>
      </c>
      <c r="E245" s="181" t="e">
        <f>IF(((ABS(E221-E242))&lt;10),"Yes","No")</f>
        <v>#VALUE!</v>
      </c>
      <c r="F245" s="181" t="e">
        <f>IF(((ABS(F221-F242))&lt;10),"Yes","No")</f>
        <v>#VALUE!</v>
      </c>
      <c r="G245" s="181" t="s">
        <v>500</v>
      </c>
      <c r="H245" s="233" t="s">
        <v>500</v>
      </c>
      <c r="I245" s="259" t="str">
        <f>IF(((ABS(I221-I242))&lt;10),"Yes","No")</f>
        <v>Yes</v>
      </c>
      <c r="J245" s="181" t="e">
        <f>IF(((ABS(J221-J242))&lt;10),"Yes","No")</f>
        <v>#VALUE!</v>
      </c>
      <c r="K245" s="181" t="e">
        <f>IF(((ABS(K221-K242))&lt;10),"Yes","No")</f>
        <v>#VALUE!</v>
      </c>
      <c r="L245" s="181" t="e">
        <f>IF(((ABS(L221-L242))&lt;10),"Yes","No")</f>
        <v>#VALUE!</v>
      </c>
      <c r="M245" s="181" t="s">
        <v>500</v>
      </c>
      <c r="N245" s="233" t="s">
        <v>500</v>
      </c>
      <c r="O245" s="545" t="s">
        <v>500</v>
      </c>
      <c r="P245" s="546" t="s">
        <v>500</v>
      </c>
      <c r="Q245" s="548" t="s">
        <v>500</v>
      </c>
      <c r="R245" s="548" t="s">
        <v>500</v>
      </c>
      <c r="S245" s="548" t="s">
        <v>500</v>
      </c>
      <c r="T245" s="548" t="s">
        <v>500</v>
      </c>
      <c r="U245" s="548" t="s">
        <v>500</v>
      </c>
    </row>
    <row r="246" spans="1:21" x14ac:dyDescent="0.25">
      <c r="A246"/>
      <c r="B246"/>
      <c r="C246" s="115"/>
      <c r="D246" s="116"/>
      <c r="E246" s="116"/>
      <c r="F246" s="116"/>
      <c r="G246" s="116"/>
      <c r="H246" s="116"/>
      <c r="I246" s="115"/>
      <c r="J246" s="116"/>
      <c r="K246" s="116"/>
      <c r="L246" s="116"/>
      <c r="M246" s="116"/>
      <c r="N246" s="116"/>
      <c r="O246" s="116"/>
      <c r="P246" s="117"/>
      <c r="Q246" s="117"/>
      <c r="R246" s="117"/>
      <c r="S246" s="117"/>
      <c r="T246" s="117"/>
      <c r="U246" s="117"/>
    </row>
    <row r="247" spans="1:21" x14ac:dyDescent="0.25">
      <c r="A247"/>
      <c r="B247"/>
      <c r="C247"/>
      <c r="D247"/>
      <c r="E247"/>
      <c r="F247"/>
      <c r="G247"/>
      <c r="H247"/>
      <c r="I247"/>
      <c r="J247"/>
      <c r="K247"/>
      <c r="L247"/>
      <c r="M247"/>
      <c r="N247"/>
      <c r="O247"/>
      <c r="P247"/>
      <c r="Q247"/>
      <c r="R247"/>
      <c r="S247"/>
      <c r="T247"/>
      <c r="U247"/>
    </row>
    <row r="248" spans="1:21" x14ac:dyDescent="0.25">
      <c r="A248" s="567" t="s">
        <v>574</v>
      </c>
      <c r="B248" s="568"/>
      <c r="C248"/>
      <c r="D248"/>
      <c r="E248"/>
      <c r="F248"/>
      <c r="G248"/>
      <c r="H248"/>
      <c r="I248"/>
      <c r="J248"/>
      <c r="K248"/>
      <c r="L248"/>
      <c r="M248"/>
      <c r="N248"/>
      <c r="O248"/>
      <c r="P248"/>
      <c r="Q248"/>
      <c r="R248"/>
      <c r="S248"/>
      <c r="T248"/>
      <c r="U248"/>
    </row>
    <row r="249" spans="1:21" x14ac:dyDescent="0.25">
      <c r="A249" s="711" t="s">
        <v>71</v>
      </c>
      <c r="B249" s="713" t="s">
        <v>547</v>
      </c>
      <c r="C249" s="697">
        <v>2021</v>
      </c>
      <c r="D249" s="698"/>
      <c r="E249" s="698"/>
      <c r="F249" s="698"/>
      <c r="G249" s="698"/>
      <c r="H249" s="699"/>
      <c r="I249" s="700">
        <v>2022</v>
      </c>
      <c r="J249" s="701"/>
      <c r="K249" s="701"/>
      <c r="L249" s="701"/>
      <c r="M249" s="701"/>
      <c r="N249" s="702"/>
      <c r="O249" s="498"/>
      <c r="P249" s="703" t="s">
        <v>548</v>
      </c>
      <c r="Q249" s="704"/>
      <c r="R249" s="704"/>
      <c r="S249" s="704"/>
      <c r="T249" s="704"/>
      <c r="U249" s="705"/>
    </row>
    <row r="250" spans="1:21" ht="45" x14ac:dyDescent="0.25">
      <c r="A250" s="712"/>
      <c r="B250" s="714"/>
      <c r="C250" s="91" t="s">
        <v>352</v>
      </c>
      <c r="D250" s="91" t="s">
        <v>550</v>
      </c>
      <c r="E250" s="91" t="s">
        <v>551</v>
      </c>
      <c r="F250" s="91" t="s">
        <v>552</v>
      </c>
      <c r="G250" s="91" t="s">
        <v>553</v>
      </c>
      <c r="H250" s="205" t="s">
        <v>554</v>
      </c>
      <c r="I250" s="87" t="s">
        <v>352</v>
      </c>
      <c r="J250" s="88" t="s">
        <v>550</v>
      </c>
      <c r="K250" s="88" t="s">
        <v>551</v>
      </c>
      <c r="L250" s="88" t="s">
        <v>552</v>
      </c>
      <c r="M250" s="88" t="s">
        <v>553</v>
      </c>
      <c r="N250" s="89" t="s">
        <v>554</v>
      </c>
      <c r="O250" s="513" t="s">
        <v>555</v>
      </c>
      <c r="P250" s="247" t="s">
        <v>181</v>
      </c>
      <c r="Q250" s="77" t="s">
        <v>557</v>
      </c>
      <c r="R250" s="77" t="s">
        <v>558</v>
      </c>
      <c r="S250" s="77" t="s">
        <v>559</v>
      </c>
      <c r="T250" s="77" t="s">
        <v>560</v>
      </c>
      <c r="U250" s="217" t="s">
        <v>561</v>
      </c>
    </row>
    <row r="251" spans="1:21" x14ac:dyDescent="0.25">
      <c r="A251" s="219">
        <v>100</v>
      </c>
      <c r="B251" s="495" t="s">
        <v>72</v>
      </c>
      <c r="C251" s="8">
        <f t="shared" ref="C251:C271" si="167">C281+C311</f>
        <v>0</v>
      </c>
      <c r="D251" s="7" t="str">
        <f t="shared" ref="D251:D271" si="168">IF(C251=0,"NA",(SUMPRODUCT(D281,C281)+SUMPRODUCT(D311,C311))/C251)</f>
        <v>NA</v>
      </c>
      <c r="E251" s="7" t="str">
        <f t="shared" ref="E251:E271" si="169">IF(C251=0,"NA",(SUMPRODUCT(E281,C281)+SUMPRODUCT(E311,C311))/C251)</f>
        <v>NA</v>
      </c>
      <c r="F251" s="7" t="str">
        <f t="shared" ref="F251:F271" si="170">IF(C251=0,"NA",(SUMPRODUCT(F281,C281)+SUMPRODUCT(F311,C311))/C251)</f>
        <v>NA</v>
      </c>
      <c r="G251" s="7" t="str">
        <f t="shared" ref="G251:G271" si="171">IF(C251=0,"NA",(SUMPRODUCT(G281,C281)+SUMPRODUCT(G311,C311))/C251)</f>
        <v>NA</v>
      </c>
      <c r="H251" s="204" t="str">
        <f t="shared" ref="H251:H271" si="172">IF(C251=0,"NA",(SUMPRODUCT(H281,C281)+SUMPRODUCT(H311,C311))/C251)</f>
        <v>NA</v>
      </c>
      <c r="I251" s="95">
        <f t="shared" ref="I251:I271" si="173">I281+I311</f>
        <v>0</v>
      </c>
      <c r="J251" s="7" t="str">
        <f t="shared" ref="J251:J271" si="174">IF(I251=0,"NA",(SUMPRODUCT(J281,I281)+SUMPRODUCT(J311,I311))/I251)</f>
        <v>NA</v>
      </c>
      <c r="K251" s="7" t="str">
        <f t="shared" ref="K251:K271" si="175">IF(I251=0,"NA",(SUMPRODUCT(K281,I281)+SUMPRODUCT(K311,I311))/I251)</f>
        <v>NA</v>
      </c>
      <c r="L251" s="7" t="str">
        <f t="shared" ref="L251:L271" si="176">IF(I251=0,"NA",(SUMPRODUCT(L281,I281)+SUMPRODUCT(L311,I311))/I251)</f>
        <v>NA</v>
      </c>
      <c r="M251" s="7" t="str">
        <f t="shared" ref="M251:M271" si="177">IF(I251=0,"NA",(SUMPRODUCT(M281,I281)+SUMPRODUCT(M311,I311))/I251)</f>
        <v>NA</v>
      </c>
      <c r="N251" s="96" t="str">
        <f t="shared" ref="N251:N271" si="178">IF(I251=0,"NA",(SUMPRODUCT(N281,I281)+SUMPRODUCT(N311,I311))/I251)</f>
        <v>NA</v>
      </c>
      <c r="O251" s="518">
        <f>ABS(C251-I251)</f>
        <v>0</v>
      </c>
      <c r="P251" s="243" t="str">
        <f t="shared" ref="P251:P271" si="179">IFERROR((I251/C251-1),"NA")</f>
        <v>NA</v>
      </c>
      <c r="Q251" s="97" t="str">
        <f t="shared" ref="Q251:Q271" si="180">IFERROR((J251/D251-1),"NA")</f>
        <v>NA</v>
      </c>
      <c r="R251" s="97" t="str">
        <f t="shared" ref="R251:R271" si="181">IFERROR((K251/E251-1),"NA")</f>
        <v>NA</v>
      </c>
      <c r="S251" s="97" t="str">
        <f t="shared" ref="S251:S271" si="182">IFERROR((L251/F251-1),"NA")</f>
        <v>NA</v>
      </c>
      <c r="T251" s="97" t="str">
        <f t="shared" ref="T251:T271" si="183">IFERROR((M251/G251-1),"NA")</f>
        <v>NA</v>
      </c>
      <c r="U251" s="97" t="str">
        <f t="shared" ref="U251:U271" si="184">IFERROR((N251/H251-1),"NA")</f>
        <v>NA</v>
      </c>
    </row>
    <row r="252" spans="1:21" x14ac:dyDescent="0.25">
      <c r="A252" s="218">
        <v>101</v>
      </c>
      <c r="B252" s="495" t="s">
        <v>609</v>
      </c>
      <c r="C252" s="8">
        <f t="shared" si="167"/>
        <v>0</v>
      </c>
      <c r="D252" s="7" t="str">
        <f t="shared" si="168"/>
        <v>NA</v>
      </c>
      <c r="E252" s="7" t="str">
        <f t="shared" si="169"/>
        <v>NA</v>
      </c>
      <c r="F252" s="7" t="str">
        <f t="shared" si="170"/>
        <v>NA</v>
      </c>
      <c r="G252" s="7" t="str">
        <f t="shared" si="171"/>
        <v>NA</v>
      </c>
      <c r="H252" s="204" t="str">
        <f t="shared" si="172"/>
        <v>NA</v>
      </c>
      <c r="I252" s="95">
        <f t="shared" si="173"/>
        <v>0</v>
      </c>
      <c r="J252" s="7" t="str">
        <f t="shared" si="174"/>
        <v>NA</v>
      </c>
      <c r="K252" s="7" t="str">
        <f t="shared" si="175"/>
        <v>NA</v>
      </c>
      <c r="L252" s="7" t="str">
        <f t="shared" si="176"/>
        <v>NA</v>
      </c>
      <c r="M252" s="7" t="str">
        <f t="shared" si="177"/>
        <v>NA</v>
      </c>
      <c r="N252" s="96" t="str">
        <f t="shared" si="178"/>
        <v>NA</v>
      </c>
      <c r="O252" s="518">
        <f t="shared" ref="O252:O271" si="185">ABS(C252-I252)</f>
        <v>0</v>
      </c>
      <c r="P252" s="243" t="str">
        <f t="shared" si="179"/>
        <v>NA</v>
      </c>
      <c r="Q252" s="97" t="str">
        <f t="shared" si="180"/>
        <v>NA</v>
      </c>
      <c r="R252" s="97" t="str">
        <f t="shared" si="181"/>
        <v>NA</v>
      </c>
      <c r="S252" s="97" t="str">
        <f t="shared" si="182"/>
        <v>NA</v>
      </c>
      <c r="T252" s="97" t="str">
        <f t="shared" si="183"/>
        <v>NA</v>
      </c>
      <c r="U252" s="97" t="str">
        <f t="shared" si="184"/>
        <v>NA</v>
      </c>
    </row>
    <row r="253" spans="1:21" x14ac:dyDescent="0.25">
      <c r="A253" s="218">
        <v>102</v>
      </c>
      <c r="B253" s="566" t="s">
        <v>610</v>
      </c>
      <c r="C253" s="8">
        <f t="shared" si="167"/>
        <v>0</v>
      </c>
      <c r="D253" s="7" t="str">
        <f t="shared" si="168"/>
        <v>NA</v>
      </c>
      <c r="E253" s="7" t="str">
        <f t="shared" si="169"/>
        <v>NA</v>
      </c>
      <c r="F253" s="7" t="str">
        <f t="shared" si="170"/>
        <v>NA</v>
      </c>
      <c r="G253" s="7" t="str">
        <f t="shared" si="171"/>
        <v>NA</v>
      </c>
      <c r="H253" s="204" t="str">
        <f t="shared" si="172"/>
        <v>NA</v>
      </c>
      <c r="I253" s="95">
        <f t="shared" si="173"/>
        <v>0</v>
      </c>
      <c r="J253" s="7" t="str">
        <f t="shared" si="174"/>
        <v>NA</v>
      </c>
      <c r="K253" s="7" t="str">
        <f t="shared" si="175"/>
        <v>NA</v>
      </c>
      <c r="L253" s="7" t="str">
        <f t="shared" si="176"/>
        <v>NA</v>
      </c>
      <c r="M253" s="7" t="str">
        <f t="shared" si="177"/>
        <v>NA</v>
      </c>
      <c r="N253" s="96" t="str">
        <f t="shared" si="178"/>
        <v>NA</v>
      </c>
      <c r="O253" s="518">
        <f t="shared" si="185"/>
        <v>0</v>
      </c>
      <c r="P253" s="243" t="str">
        <f t="shared" si="179"/>
        <v>NA</v>
      </c>
      <c r="Q253" s="97" t="str">
        <f t="shared" si="180"/>
        <v>NA</v>
      </c>
      <c r="R253" s="97" t="str">
        <f t="shared" si="181"/>
        <v>NA</v>
      </c>
      <c r="S253" s="97" t="str">
        <f t="shared" si="182"/>
        <v>NA</v>
      </c>
      <c r="T253" s="97" t="str">
        <f t="shared" si="183"/>
        <v>NA</v>
      </c>
      <c r="U253" s="97" t="str">
        <f t="shared" si="184"/>
        <v>NA</v>
      </c>
    </row>
    <row r="254" spans="1:21" ht="30" x14ac:dyDescent="0.25">
      <c r="A254" s="218">
        <v>103</v>
      </c>
      <c r="B254" s="495" t="s">
        <v>73</v>
      </c>
      <c r="C254" s="8">
        <f t="shared" si="167"/>
        <v>0</v>
      </c>
      <c r="D254" s="7" t="str">
        <f t="shared" si="168"/>
        <v>NA</v>
      </c>
      <c r="E254" s="7" t="str">
        <f t="shared" si="169"/>
        <v>NA</v>
      </c>
      <c r="F254" s="7" t="str">
        <f t="shared" si="170"/>
        <v>NA</v>
      </c>
      <c r="G254" s="7" t="str">
        <f t="shared" si="171"/>
        <v>NA</v>
      </c>
      <c r="H254" s="204" t="str">
        <f t="shared" si="172"/>
        <v>NA</v>
      </c>
      <c r="I254" s="95">
        <f t="shared" si="173"/>
        <v>0</v>
      </c>
      <c r="J254" s="7" t="str">
        <f t="shared" si="174"/>
        <v>NA</v>
      </c>
      <c r="K254" s="7" t="str">
        <f t="shared" si="175"/>
        <v>NA</v>
      </c>
      <c r="L254" s="7" t="str">
        <f t="shared" si="176"/>
        <v>NA</v>
      </c>
      <c r="M254" s="7" t="str">
        <f t="shared" si="177"/>
        <v>NA</v>
      </c>
      <c r="N254" s="96" t="str">
        <f t="shared" si="178"/>
        <v>NA</v>
      </c>
      <c r="O254" s="518">
        <f t="shared" si="185"/>
        <v>0</v>
      </c>
      <c r="P254" s="243" t="str">
        <f t="shared" si="179"/>
        <v>NA</v>
      </c>
      <c r="Q254" s="97" t="str">
        <f t="shared" si="180"/>
        <v>NA</v>
      </c>
      <c r="R254" s="97" t="str">
        <f t="shared" si="181"/>
        <v>NA</v>
      </c>
      <c r="S254" s="97" t="str">
        <f t="shared" si="182"/>
        <v>NA</v>
      </c>
      <c r="T254" s="97" t="str">
        <f t="shared" si="183"/>
        <v>NA</v>
      </c>
      <c r="U254" s="97" t="str">
        <f t="shared" si="184"/>
        <v>NA</v>
      </c>
    </row>
    <row r="255" spans="1:21" x14ac:dyDescent="0.25">
      <c r="A255" s="218">
        <v>104</v>
      </c>
      <c r="B255" s="495" t="s">
        <v>611</v>
      </c>
      <c r="C255" s="8">
        <f t="shared" si="167"/>
        <v>0</v>
      </c>
      <c r="D255" s="7" t="str">
        <f t="shared" si="168"/>
        <v>NA</v>
      </c>
      <c r="E255" s="7" t="str">
        <f t="shared" si="169"/>
        <v>NA</v>
      </c>
      <c r="F255" s="7" t="str">
        <f t="shared" si="170"/>
        <v>NA</v>
      </c>
      <c r="G255" s="7" t="str">
        <f t="shared" si="171"/>
        <v>NA</v>
      </c>
      <c r="H255" s="204" t="str">
        <f t="shared" si="172"/>
        <v>NA</v>
      </c>
      <c r="I255" s="95">
        <f t="shared" si="173"/>
        <v>0</v>
      </c>
      <c r="J255" s="7" t="str">
        <f t="shared" si="174"/>
        <v>NA</v>
      </c>
      <c r="K255" s="7" t="str">
        <f t="shared" si="175"/>
        <v>NA</v>
      </c>
      <c r="L255" s="7" t="str">
        <f t="shared" si="176"/>
        <v>NA</v>
      </c>
      <c r="M255" s="7" t="str">
        <f t="shared" si="177"/>
        <v>NA</v>
      </c>
      <c r="N255" s="96" t="str">
        <f t="shared" si="178"/>
        <v>NA</v>
      </c>
      <c r="O255" s="518">
        <f t="shared" si="185"/>
        <v>0</v>
      </c>
      <c r="P255" s="243" t="str">
        <f t="shared" si="179"/>
        <v>NA</v>
      </c>
      <c r="Q255" s="97" t="str">
        <f t="shared" si="180"/>
        <v>NA</v>
      </c>
      <c r="R255" s="97" t="str">
        <f t="shared" si="181"/>
        <v>NA</v>
      </c>
      <c r="S255" s="97" t="str">
        <f t="shared" si="182"/>
        <v>NA</v>
      </c>
      <c r="T255" s="97" t="str">
        <f t="shared" si="183"/>
        <v>NA</v>
      </c>
      <c r="U255" s="97" t="str">
        <f t="shared" si="184"/>
        <v>NA</v>
      </c>
    </row>
    <row r="256" spans="1:21" x14ac:dyDescent="0.25">
      <c r="A256" s="218">
        <v>105</v>
      </c>
      <c r="B256" s="566" t="s">
        <v>607</v>
      </c>
      <c r="C256" s="8">
        <f t="shared" si="167"/>
        <v>0</v>
      </c>
      <c r="D256" s="7" t="str">
        <f t="shared" si="168"/>
        <v>NA</v>
      </c>
      <c r="E256" s="7" t="str">
        <f t="shared" si="169"/>
        <v>NA</v>
      </c>
      <c r="F256" s="7" t="str">
        <f t="shared" si="170"/>
        <v>NA</v>
      </c>
      <c r="G256" s="7" t="str">
        <f t="shared" si="171"/>
        <v>NA</v>
      </c>
      <c r="H256" s="204" t="str">
        <f t="shared" si="172"/>
        <v>NA</v>
      </c>
      <c r="I256" s="95">
        <f t="shared" si="173"/>
        <v>0</v>
      </c>
      <c r="J256" s="7" t="str">
        <f t="shared" si="174"/>
        <v>NA</v>
      </c>
      <c r="K256" s="7" t="str">
        <f t="shared" si="175"/>
        <v>NA</v>
      </c>
      <c r="L256" s="7" t="str">
        <f t="shared" si="176"/>
        <v>NA</v>
      </c>
      <c r="M256" s="7" t="str">
        <f t="shared" si="177"/>
        <v>NA</v>
      </c>
      <c r="N256" s="96" t="str">
        <f t="shared" si="178"/>
        <v>NA</v>
      </c>
      <c r="O256" s="518">
        <f t="shared" si="185"/>
        <v>0</v>
      </c>
      <c r="P256" s="243" t="str">
        <f t="shared" si="179"/>
        <v>NA</v>
      </c>
      <c r="Q256" s="97" t="str">
        <f t="shared" si="180"/>
        <v>NA</v>
      </c>
      <c r="R256" s="97" t="str">
        <f t="shared" si="181"/>
        <v>NA</v>
      </c>
      <c r="S256" s="97" t="str">
        <f t="shared" si="182"/>
        <v>NA</v>
      </c>
      <c r="T256" s="97" t="str">
        <f t="shared" si="183"/>
        <v>NA</v>
      </c>
      <c r="U256" s="97" t="str">
        <f t="shared" si="184"/>
        <v>NA</v>
      </c>
    </row>
    <row r="257" spans="1:21" x14ac:dyDescent="0.25">
      <c r="A257" s="218">
        <v>106</v>
      </c>
      <c r="B257" s="495" t="s">
        <v>74</v>
      </c>
      <c r="C257" s="8">
        <f t="shared" si="167"/>
        <v>0</v>
      </c>
      <c r="D257" s="7" t="str">
        <f t="shared" si="168"/>
        <v>NA</v>
      </c>
      <c r="E257" s="7" t="str">
        <f t="shared" si="169"/>
        <v>NA</v>
      </c>
      <c r="F257" s="7" t="str">
        <f t="shared" si="170"/>
        <v>NA</v>
      </c>
      <c r="G257" s="7" t="str">
        <f t="shared" si="171"/>
        <v>NA</v>
      </c>
      <c r="H257" s="204" t="str">
        <f t="shared" si="172"/>
        <v>NA</v>
      </c>
      <c r="I257" s="95">
        <f t="shared" si="173"/>
        <v>0</v>
      </c>
      <c r="J257" s="7" t="str">
        <f t="shared" si="174"/>
        <v>NA</v>
      </c>
      <c r="K257" s="7" t="str">
        <f t="shared" si="175"/>
        <v>NA</v>
      </c>
      <c r="L257" s="7" t="str">
        <f t="shared" si="176"/>
        <v>NA</v>
      </c>
      <c r="M257" s="7" t="str">
        <f t="shared" si="177"/>
        <v>NA</v>
      </c>
      <c r="N257" s="96" t="str">
        <f t="shared" si="178"/>
        <v>NA</v>
      </c>
      <c r="O257" s="518">
        <f t="shared" si="185"/>
        <v>0</v>
      </c>
      <c r="P257" s="243" t="str">
        <f t="shared" si="179"/>
        <v>NA</v>
      </c>
      <c r="Q257" s="97" t="str">
        <f t="shared" si="180"/>
        <v>NA</v>
      </c>
      <c r="R257" s="97" t="str">
        <f t="shared" si="181"/>
        <v>NA</v>
      </c>
      <c r="S257" s="97" t="str">
        <f t="shared" si="182"/>
        <v>NA</v>
      </c>
      <c r="T257" s="97" t="str">
        <f t="shared" si="183"/>
        <v>NA</v>
      </c>
      <c r="U257" s="97" t="str">
        <f t="shared" si="184"/>
        <v>NA</v>
      </c>
    </row>
    <row r="258" spans="1:21" ht="30" x14ac:dyDescent="0.25">
      <c r="A258" s="218">
        <v>107</v>
      </c>
      <c r="B258" s="495" t="s">
        <v>75</v>
      </c>
      <c r="C258" s="8">
        <f t="shared" si="167"/>
        <v>0</v>
      </c>
      <c r="D258" s="7" t="str">
        <f t="shared" si="168"/>
        <v>NA</v>
      </c>
      <c r="E258" s="7" t="str">
        <f t="shared" si="169"/>
        <v>NA</v>
      </c>
      <c r="F258" s="7" t="str">
        <f t="shared" si="170"/>
        <v>NA</v>
      </c>
      <c r="G258" s="7" t="str">
        <f t="shared" si="171"/>
        <v>NA</v>
      </c>
      <c r="H258" s="204" t="str">
        <f t="shared" si="172"/>
        <v>NA</v>
      </c>
      <c r="I258" s="95">
        <f t="shared" si="173"/>
        <v>0</v>
      </c>
      <c r="J258" s="7" t="str">
        <f t="shared" si="174"/>
        <v>NA</v>
      </c>
      <c r="K258" s="7" t="str">
        <f t="shared" si="175"/>
        <v>NA</v>
      </c>
      <c r="L258" s="7" t="str">
        <f t="shared" si="176"/>
        <v>NA</v>
      </c>
      <c r="M258" s="7" t="str">
        <f t="shared" si="177"/>
        <v>NA</v>
      </c>
      <c r="N258" s="96" t="str">
        <f t="shared" si="178"/>
        <v>NA</v>
      </c>
      <c r="O258" s="518">
        <f t="shared" si="185"/>
        <v>0</v>
      </c>
      <c r="P258" s="243" t="str">
        <f t="shared" si="179"/>
        <v>NA</v>
      </c>
      <c r="Q258" s="97" t="str">
        <f t="shared" si="180"/>
        <v>NA</v>
      </c>
      <c r="R258" s="97" t="str">
        <f t="shared" si="181"/>
        <v>NA</v>
      </c>
      <c r="S258" s="97" t="str">
        <f t="shared" si="182"/>
        <v>NA</v>
      </c>
      <c r="T258" s="97" t="str">
        <f t="shared" si="183"/>
        <v>NA</v>
      </c>
      <c r="U258" s="97" t="str">
        <f t="shared" si="184"/>
        <v>NA</v>
      </c>
    </row>
    <row r="259" spans="1:21" x14ac:dyDescent="0.25">
      <c r="A259" s="218">
        <v>108</v>
      </c>
      <c r="B259" s="495" t="s">
        <v>612</v>
      </c>
      <c r="C259" s="8">
        <f t="shared" si="167"/>
        <v>0</v>
      </c>
      <c r="D259" s="7" t="str">
        <f t="shared" si="168"/>
        <v>NA</v>
      </c>
      <c r="E259" s="7" t="str">
        <f t="shared" si="169"/>
        <v>NA</v>
      </c>
      <c r="F259" s="7" t="str">
        <f t="shared" si="170"/>
        <v>NA</v>
      </c>
      <c r="G259" s="7" t="str">
        <f t="shared" si="171"/>
        <v>NA</v>
      </c>
      <c r="H259" s="204" t="str">
        <f t="shared" si="172"/>
        <v>NA</v>
      </c>
      <c r="I259" s="95">
        <f t="shared" si="173"/>
        <v>0</v>
      </c>
      <c r="J259" s="7" t="str">
        <f t="shared" si="174"/>
        <v>NA</v>
      </c>
      <c r="K259" s="7" t="str">
        <f t="shared" si="175"/>
        <v>NA</v>
      </c>
      <c r="L259" s="7" t="str">
        <f t="shared" si="176"/>
        <v>NA</v>
      </c>
      <c r="M259" s="7" t="str">
        <f t="shared" si="177"/>
        <v>NA</v>
      </c>
      <c r="N259" s="96" t="str">
        <f t="shared" si="178"/>
        <v>NA</v>
      </c>
      <c r="O259" s="518">
        <f t="shared" si="185"/>
        <v>0</v>
      </c>
      <c r="P259" s="243" t="str">
        <f t="shared" si="179"/>
        <v>NA</v>
      </c>
      <c r="Q259" s="97" t="str">
        <f t="shared" si="180"/>
        <v>NA</v>
      </c>
      <c r="R259" s="97" t="str">
        <f t="shared" si="181"/>
        <v>NA</v>
      </c>
      <c r="S259" s="97" t="str">
        <f t="shared" si="182"/>
        <v>NA</v>
      </c>
      <c r="T259" s="97" t="str">
        <f t="shared" si="183"/>
        <v>NA</v>
      </c>
      <c r="U259" s="97" t="str">
        <f t="shared" si="184"/>
        <v>NA</v>
      </c>
    </row>
    <row r="260" spans="1:21" x14ac:dyDescent="0.25">
      <c r="A260" s="218">
        <v>109</v>
      </c>
      <c r="B260" s="571" t="s">
        <v>76</v>
      </c>
      <c r="C260" s="8">
        <f t="shared" si="167"/>
        <v>0</v>
      </c>
      <c r="D260" s="7" t="str">
        <f t="shared" si="168"/>
        <v>NA</v>
      </c>
      <c r="E260" s="7" t="str">
        <f t="shared" si="169"/>
        <v>NA</v>
      </c>
      <c r="F260" s="7" t="str">
        <f t="shared" si="170"/>
        <v>NA</v>
      </c>
      <c r="G260" s="7" t="str">
        <f t="shared" si="171"/>
        <v>NA</v>
      </c>
      <c r="H260" s="204" t="str">
        <f t="shared" si="172"/>
        <v>NA</v>
      </c>
      <c r="I260" s="95">
        <f t="shared" si="173"/>
        <v>0</v>
      </c>
      <c r="J260" s="7" t="str">
        <f t="shared" si="174"/>
        <v>NA</v>
      </c>
      <c r="K260" s="7" t="str">
        <f t="shared" si="175"/>
        <v>NA</v>
      </c>
      <c r="L260" s="7" t="str">
        <f t="shared" si="176"/>
        <v>NA</v>
      </c>
      <c r="M260" s="7" t="str">
        <f t="shared" si="177"/>
        <v>NA</v>
      </c>
      <c r="N260" s="96" t="str">
        <f t="shared" si="178"/>
        <v>NA</v>
      </c>
      <c r="O260" s="518">
        <f t="shared" si="185"/>
        <v>0</v>
      </c>
      <c r="P260" s="243" t="str">
        <f t="shared" si="179"/>
        <v>NA</v>
      </c>
      <c r="Q260" s="97" t="str">
        <f t="shared" si="180"/>
        <v>NA</v>
      </c>
      <c r="R260" s="97" t="str">
        <f t="shared" si="181"/>
        <v>NA</v>
      </c>
      <c r="S260" s="97" t="str">
        <f t="shared" si="182"/>
        <v>NA</v>
      </c>
      <c r="T260" s="97" t="str">
        <f t="shared" si="183"/>
        <v>NA</v>
      </c>
      <c r="U260" s="97" t="str">
        <f t="shared" si="184"/>
        <v>NA</v>
      </c>
    </row>
    <row r="261" spans="1:21" x14ac:dyDescent="0.25">
      <c r="A261" s="218">
        <v>110</v>
      </c>
      <c r="B261" s="495" t="s">
        <v>77</v>
      </c>
      <c r="C261" s="8">
        <f t="shared" si="167"/>
        <v>0</v>
      </c>
      <c r="D261" s="7" t="str">
        <f t="shared" si="168"/>
        <v>NA</v>
      </c>
      <c r="E261" s="7" t="str">
        <f t="shared" si="169"/>
        <v>NA</v>
      </c>
      <c r="F261" s="7" t="str">
        <f t="shared" si="170"/>
        <v>NA</v>
      </c>
      <c r="G261" s="7" t="str">
        <f t="shared" si="171"/>
        <v>NA</v>
      </c>
      <c r="H261" s="204" t="str">
        <f t="shared" si="172"/>
        <v>NA</v>
      </c>
      <c r="I261" s="95">
        <f t="shared" si="173"/>
        <v>0</v>
      </c>
      <c r="J261" s="7" t="str">
        <f t="shared" si="174"/>
        <v>NA</v>
      </c>
      <c r="K261" s="7" t="str">
        <f t="shared" si="175"/>
        <v>NA</v>
      </c>
      <c r="L261" s="7" t="str">
        <f t="shared" si="176"/>
        <v>NA</v>
      </c>
      <c r="M261" s="7" t="str">
        <f t="shared" si="177"/>
        <v>NA</v>
      </c>
      <c r="N261" s="96" t="str">
        <f t="shared" si="178"/>
        <v>NA</v>
      </c>
      <c r="O261" s="518">
        <f t="shared" si="185"/>
        <v>0</v>
      </c>
      <c r="P261" s="243" t="str">
        <f t="shared" si="179"/>
        <v>NA</v>
      </c>
      <c r="Q261" s="97" t="str">
        <f t="shared" si="180"/>
        <v>NA</v>
      </c>
      <c r="R261" s="97" t="str">
        <f t="shared" si="181"/>
        <v>NA</v>
      </c>
      <c r="S261" s="97" t="str">
        <f t="shared" si="182"/>
        <v>NA</v>
      </c>
      <c r="T261" s="97" t="str">
        <f t="shared" si="183"/>
        <v>NA</v>
      </c>
      <c r="U261" s="97" t="str">
        <f t="shared" si="184"/>
        <v>NA</v>
      </c>
    </row>
    <row r="262" spans="1:21" x14ac:dyDescent="0.25">
      <c r="A262" s="218">
        <v>111</v>
      </c>
      <c r="B262" s="566" t="s">
        <v>78</v>
      </c>
      <c r="C262" s="8">
        <f t="shared" si="167"/>
        <v>0</v>
      </c>
      <c r="D262" s="7" t="str">
        <f t="shared" si="168"/>
        <v>NA</v>
      </c>
      <c r="E262" s="7" t="str">
        <f t="shared" si="169"/>
        <v>NA</v>
      </c>
      <c r="F262" s="7" t="str">
        <f t="shared" si="170"/>
        <v>NA</v>
      </c>
      <c r="G262" s="7" t="str">
        <f t="shared" si="171"/>
        <v>NA</v>
      </c>
      <c r="H262" s="204" t="str">
        <f t="shared" si="172"/>
        <v>NA</v>
      </c>
      <c r="I262" s="95">
        <f t="shared" si="173"/>
        <v>0</v>
      </c>
      <c r="J262" s="7" t="str">
        <f t="shared" si="174"/>
        <v>NA</v>
      </c>
      <c r="K262" s="7" t="str">
        <f t="shared" si="175"/>
        <v>NA</v>
      </c>
      <c r="L262" s="7" t="str">
        <f t="shared" si="176"/>
        <v>NA</v>
      </c>
      <c r="M262" s="7" t="str">
        <f t="shared" si="177"/>
        <v>NA</v>
      </c>
      <c r="N262" s="96" t="str">
        <f t="shared" si="178"/>
        <v>NA</v>
      </c>
      <c r="O262" s="518">
        <f t="shared" si="185"/>
        <v>0</v>
      </c>
      <c r="P262" s="243" t="str">
        <f t="shared" si="179"/>
        <v>NA</v>
      </c>
      <c r="Q262" s="97" t="str">
        <f t="shared" si="180"/>
        <v>NA</v>
      </c>
      <c r="R262" s="97" t="str">
        <f t="shared" si="181"/>
        <v>NA</v>
      </c>
      <c r="S262" s="97" t="str">
        <f t="shared" si="182"/>
        <v>NA</v>
      </c>
      <c r="T262" s="97" t="str">
        <f t="shared" si="183"/>
        <v>NA</v>
      </c>
      <c r="U262" s="97" t="str">
        <f t="shared" si="184"/>
        <v>NA</v>
      </c>
    </row>
    <row r="263" spans="1:21" x14ac:dyDescent="0.25">
      <c r="A263" s="218">
        <v>112</v>
      </c>
      <c r="B263" s="566" t="s">
        <v>613</v>
      </c>
      <c r="C263" s="8">
        <f t="shared" si="167"/>
        <v>0</v>
      </c>
      <c r="D263" s="7" t="str">
        <f t="shared" si="168"/>
        <v>NA</v>
      </c>
      <c r="E263" s="7" t="str">
        <f t="shared" si="169"/>
        <v>NA</v>
      </c>
      <c r="F263" s="7" t="str">
        <f t="shared" si="170"/>
        <v>NA</v>
      </c>
      <c r="G263" s="7" t="str">
        <f t="shared" si="171"/>
        <v>NA</v>
      </c>
      <c r="H263" s="204" t="str">
        <f t="shared" si="172"/>
        <v>NA</v>
      </c>
      <c r="I263" s="95">
        <f t="shared" si="173"/>
        <v>0</v>
      </c>
      <c r="J263" s="7" t="str">
        <f t="shared" si="174"/>
        <v>NA</v>
      </c>
      <c r="K263" s="7" t="str">
        <f t="shared" si="175"/>
        <v>NA</v>
      </c>
      <c r="L263" s="7" t="str">
        <f t="shared" si="176"/>
        <v>NA</v>
      </c>
      <c r="M263" s="7" t="str">
        <f t="shared" si="177"/>
        <v>NA</v>
      </c>
      <c r="N263" s="96" t="str">
        <f t="shared" si="178"/>
        <v>NA</v>
      </c>
      <c r="O263" s="518">
        <f t="shared" si="185"/>
        <v>0</v>
      </c>
      <c r="P263" s="243" t="str">
        <f t="shared" si="179"/>
        <v>NA</v>
      </c>
      <c r="Q263" s="97" t="str">
        <f t="shared" si="180"/>
        <v>NA</v>
      </c>
      <c r="R263" s="97" t="str">
        <f t="shared" si="181"/>
        <v>NA</v>
      </c>
      <c r="S263" s="97" t="str">
        <f t="shared" si="182"/>
        <v>NA</v>
      </c>
      <c r="T263" s="97" t="str">
        <f t="shared" si="183"/>
        <v>NA</v>
      </c>
      <c r="U263" s="97" t="str">
        <f t="shared" si="184"/>
        <v>NA</v>
      </c>
    </row>
    <row r="264" spans="1:21" x14ac:dyDescent="0.25">
      <c r="A264" s="218">
        <v>115</v>
      </c>
      <c r="B264" s="566" t="s">
        <v>79</v>
      </c>
      <c r="C264" s="8">
        <f t="shared" si="167"/>
        <v>0</v>
      </c>
      <c r="D264" s="7" t="str">
        <f t="shared" si="168"/>
        <v>NA</v>
      </c>
      <c r="E264" s="7" t="str">
        <f t="shared" si="169"/>
        <v>NA</v>
      </c>
      <c r="F264" s="7" t="str">
        <f t="shared" si="170"/>
        <v>NA</v>
      </c>
      <c r="G264" s="7" t="str">
        <f t="shared" si="171"/>
        <v>NA</v>
      </c>
      <c r="H264" s="204" t="str">
        <f t="shared" si="172"/>
        <v>NA</v>
      </c>
      <c r="I264" s="95">
        <f t="shared" si="173"/>
        <v>0</v>
      </c>
      <c r="J264" s="7" t="str">
        <f t="shared" si="174"/>
        <v>NA</v>
      </c>
      <c r="K264" s="7" t="str">
        <f t="shared" si="175"/>
        <v>NA</v>
      </c>
      <c r="L264" s="7" t="str">
        <f t="shared" si="176"/>
        <v>NA</v>
      </c>
      <c r="M264" s="7" t="str">
        <f t="shared" si="177"/>
        <v>NA</v>
      </c>
      <c r="N264" s="96" t="str">
        <f t="shared" si="178"/>
        <v>NA</v>
      </c>
      <c r="O264" s="518">
        <f t="shared" si="185"/>
        <v>0</v>
      </c>
      <c r="P264" s="243" t="str">
        <f t="shared" si="179"/>
        <v>NA</v>
      </c>
      <c r="Q264" s="97" t="str">
        <f t="shared" si="180"/>
        <v>NA</v>
      </c>
      <c r="R264" s="97" t="str">
        <f t="shared" si="181"/>
        <v>NA</v>
      </c>
      <c r="S264" s="97" t="str">
        <f t="shared" si="182"/>
        <v>NA</v>
      </c>
      <c r="T264" s="97" t="str">
        <f t="shared" si="183"/>
        <v>NA</v>
      </c>
      <c r="U264" s="97" t="str">
        <f t="shared" si="184"/>
        <v>NA</v>
      </c>
    </row>
    <row r="265" spans="1:21" x14ac:dyDescent="0.25">
      <c r="A265" s="218">
        <v>116</v>
      </c>
      <c r="B265" s="566" t="s">
        <v>614</v>
      </c>
      <c r="C265" s="8">
        <f t="shared" si="167"/>
        <v>0</v>
      </c>
      <c r="D265" s="7" t="str">
        <f t="shared" si="168"/>
        <v>NA</v>
      </c>
      <c r="E265" s="7" t="str">
        <f t="shared" si="169"/>
        <v>NA</v>
      </c>
      <c r="F265" s="7" t="str">
        <f t="shared" si="170"/>
        <v>NA</v>
      </c>
      <c r="G265" s="7" t="str">
        <f t="shared" si="171"/>
        <v>NA</v>
      </c>
      <c r="H265" s="204" t="str">
        <f t="shared" si="172"/>
        <v>NA</v>
      </c>
      <c r="I265" s="95">
        <f t="shared" si="173"/>
        <v>0</v>
      </c>
      <c r="J265" s="7" t="str">
        <f t="shared" si="174"/>
        <v>NA</v>
      </c>
      <c r="K265" s="7" t="str">
        <f t="shared" si="175"/>
        <v>NA</v>
      </c>
      <c r="L265" s="7" t="str">
        <f t="shared" si="176"/>
        <v>NA</v>
      </c>
      <c r="M265" s="7" t="str">
        <f t="shared" si="177"/>
        <v>NA</v>
      </c>
      <c r="N265" s="96" t="str">
        <f t="shared" si="178"/>
        <v>NA</v>
      </c>
      <c r="O265" s="518">
        <f t="shared" si="185"/>
        <v>0</v>
      </c>
      <c r="P265" s="243" t="str">
        <f t="shared" si="179"/>
        <v>NA</v>
      </c>
      <c r="Q265" s="97" t="str">
        <f t="shared" si="180"/>
        <v>NA</v>
      </c>
      <c r="R265" s="97" t="str">
        <f t="shared" si="181"/>
        <v>NA</v>
      </c>
      <c r="S265" s="97" t="str">
        <f t="shared" si="182"/>
        <v>NA</v>
      </c>
      <c r="T265" s="97" t="str">
        <f t="shared" si="183"/>
        <v>NA</v>
      </c>
      <c r="U265" s="97" t="str">
        <f t="shared" si="184"/>
        <v>NA</v>
      </c>
    </row>
    <row r="266" spans="1:21" x14ac:dyDescent="0.25">
      <c r="A266" s="218">
        <v>118</v>
      </c>
      <c r="B266" s="566" t="s">
        <v>80</v>
      </c>
      <c r="C266" s="8">
        <f t="shared" si="167"/>
        <v>0</v>
      </c>
      <c r="D266" s="7" t="str">
        <f t="shared" si="168"/>
        <v>NA</v>
      </c>
      <c r="E266" s="7" t="str">
        <f t="shared" si="169"/>
        <v>NA</v>
      </c>
      <c r="F266" s="7" t="str">
        <f t="shared" si="170"/>
        <v>NA</v>
      </c>
      <c r="G266" s="7" t="str">
        <f t="shared" si="171"/>
        <v>NA</v>
      </c>
      <c r="H266" s="204" t="str">
        <f t="shared" si="172"/>
        <v>NA</v>
      </c>
      <c r="I266" s="95">
        <f t="shared" si="173"/>
        <v>0</v>
      </c>
      <c r="J266" s="7" t="str">
        <f t="shared" si="174"/>
        <v>NA</v>
      </c>
      <c r="K266" s="7" t="str">
        <f t="shared" si="175"/>
        <v>NA</v>
      </c>
      <c r="L266" s="7" t="str">
        <f t="shared" si="176"/>
        <v>NA</v>
      </c>
      <c r="M266" s="7" t="str">
        <f t="shared" si="177"/>
        <v>NA</v>
      </c>
      <c r="N266" s="96" t="str">
        <f t="shared" si="178"/>
        <v>NA</v>
      </c>
      <c r="O266" s="518">
        <f t="shared" si="185"/>
        <v>0</v>
      </c>
      <c r="P266" s="243" t="str">
        <f t="shared" si="179"/>
        <v>NA</v>
      </c>
      <c r="Q266" s="97" t="str">
        <f t="shared" si="180"/>
        <v>NA</v>
      </c>
      <c r="R266" s="97" t="str">
        <f t="shared" si="181"/>
        <v>NA</v>
      </c>
      <c r="S266" s="97" t="str">
        <f t="shared" si="182"/>
        <v>NA</v>
      </c>
      <c r="T266" s="97" t="str">
        <f t="shared" si="183"/>
        <v>NA</v>
      </c>
      <c r="U266" s="97" t="str">
        <f t="shared" si="184"/>
        <v>NA</v>
      </c>
    </row>
    <row r="267" spans="1:21" x14ac:dyDescent="0.25">
      <c r="A267" s="218">
        <v>119</v>
      </c>
      <c r="B267" s="566" t="s">
        <v>615</v>
      </c>
      <c r="C267" s="163">
        <f t="shared" si="167"/>
        <v>0</v>
      </c>
      <c r="D267" s="7" t="str">
        <f t="shared" si="168"/>
        <v>NA</v>
      </c>
      <c r="E267" s="7" t="str">
        <f t="shared" si="169"/>
        <v>NA</v>
      </c>
      <c r="F267" s="7" t="str">
        <f t="shared" si="170"/>
        <v>NA</v>
      </c>
      <c r="G267" s="7" t="str">
        <f t="shared" si="171"/>
        <v>NA</v>
      </c>
      <c r="H267" s="204" t="str">
        <f t="shared" si="172"/>
        <v>NA</v>
      </c>
      <c r="I267" s="95">
        <f t="shared" si="173"/>
        <v>0</v>
      </c>
      <c r="J267" s="7" t="str">
        <f t="shared" si="174"/>
        <v>NA</v>
      </c>
      <c r="K267" s="7" t="str">
        <f t="shared" si="175"/>
        <v>NA</v>
      </c>
      <c r="L267" s="7" t="str">
        <f t="shared" si="176"/>
        <v>NA</v>
      </c>
      <c r="M267" s="7" t="str">
        <f t="shared" si="177"/>
        <v>NA</v>
      </c>
      <c r="N267" s="96" t="str">
        <f t="shared" si="178"/>
        <v>NA</v>
      </c>
      <c r="O267" s="518">
        <f t="shared" ref="O267:O270" si="186">ABS(C267-I267)</f>
        <v>0</v>
      </c>
      <c r="P267" s="243" t="str">
        <f t="shared" ref="P267:P270" si="187">IFERROR((I267/C267-1),"NA")</f>
        <v>NA</v>
      </c>
      <c r="Q267" s="97" t="str">
        <f t="shared" ref="Q267:Q270" si="188">IFERROR((J267/D267-1),"NA")</f>
        <v>NA</v>
      </c>
      <c r="R267" s="97" t="str">
        <f t="shared" ref="R267:R270" si="189">IFERROR((K267/E267-1),"NA")</f>
        <v>NA</v>
      </c>
      <c r="S267" s="97" t="str">
        <f t="shared" ref="S267:S270" si="190">IFERROR((L267/F267-1),"NA")</f>
        <v>NA</v>
      </c>
      <c r="T267" s="97" t="str">
        <f t="shared" ref="T267:T270" si="191">IFERROR((M267/G267-1),"NA")</f>
        <v>NA</v>
      </c>
      <c r="U267" s="97" t="str">
        <f t="shared" ref="U267:U270" si="192">IFERROR((N267/H267-1),"NA")</f>
        <v>NA</v>
      </c>
    </row>
    <row r="268" spans="1:21" x14ac:dyDescent="0.25">
      <c r="A268" s="218">
        <v>120</v>
      </c>
      <c r="B268" s="566" t="s">
        <v>608</v>
      </c>
      <c r="C268" s="163">
        <f t="shared" si="167"/>
        <v>0</v>
      </c>
      <c r="D268" s="7" t="str">
        <f t="shared" si="168"/>
        <v>NA</v>
      </c>
      <c r="E268" s="7" t="str">
        <f t="shared" si="169"/>
        <v>NA</v>
      </c>
      <c r="F268" s="7" t="str">
        <f t="shared" si="170"/>
        <v>NA</v>
      </c>
      <c r="G268" s="7" t="str">
        <f t="shared" si="171"/>
        <v>NA</v>
      </c>
      <c r="H268" s="204" t="str">
        <f t="shared" si="172"/>
        <v>NA</v>
      </c>
      <c r="I268" s="95">
        <f t="shared" si="173"/>
        <v>0</v>
      </c>
      <c r="J268" s="7" t="str">
        <f t="shared" si="174"/>
        <v>NA</v>
      </c>
      <c r="K268" s="7" t="str">
        <f t="shared" si="175"/>
        <v>NA</v>
      </c>
      <c r="L268" s="7" t="str">
        <f t="shared" si="176"/>
        <v>NA</v>
      </c>
      <c r="M268" s="7" t="str">
        <f t="shared" si="177"/>
        <v>NA</v>
      </c>
      <c r="N268" s="96" t="str">
        <f t="shared" si="178"/>
        <v>NA</v>
      </c>
      <c r="O268" s="518">
        <f t="shared" ref="O268" si="193">ABS(C268-I268)</f>
        <v>0</v>
      </c>
      <c r="P268" s="243" t="str">
        <f t="shared" ref="P268" si="194">IFERROR((I268/C268-1),"NA")</f>
        <v>NA</v>
      </c>
      <c r="Q268" s="97" t="str">
        <f t="shared" ref="Q268" si="195">IFERROR((J268/D268-1),"NA")</f>
        <v>NA</v>
      </c>
      <c r="R268" s="97" t="str">
        <f t="shared" ref="R268" si="196">IFERROR((K268/E268-1),"NA")</f>
        <v>NA</v>
      </c>
      <c r="S268" s="97" t="str">
        <f t="shared" ref="S268" si="197">IFERROR((L268/F268-1),"NA")</f>
        <v>NA</v>
      </c>
      <c r="T268" s="97" t="str">
        <f t="shared" ref="T268" si="198">IFERROR((M268/G268-1),"NA")</f>
        <v>NA</v>
      </c>
      <c r="U268" s="97" t="str">
        <f t="shared" ref="U268" si="199">IFERROR((N268/H268-1),"NA")</f>
        <v>NA</v>
      </c>
    </row>
    <row r="269" spans="1:21" ht="30" x14ac:dyDescent="0.25">
      <c r="A269" s="218">
        <v>121</v>
      </c>
      <c r="B269" s="495" t="s">
        <v>616</v>
      </c>
      <c r="C269" s="163">
        <f t="shared" si="167"/>
        <v>0</v>
      </c>
      <c r="D269" s="7" t="str">
        <f t="shared" si="168"/>
        <v>NA</v>
      </c>
      <c r="E269" s="7" t="str">
        <f t="shared" si="169"/>
        <v>NA</v>
      </c>
      <c r="F269" s="7" t="str">
        <f t="shared" si="170"/>
        <v>NA</v>
      </c>
      <c r="G269" s="7" t="str">
        <f t="shared" si="171"/>
        <v>NA</v>
      </c>
      <c r="H269" s="204" t="str">
        <f t="shared" si="172"/>
        <v>NA</v>
      </c>
      <c r="I269" s="95">
        <f t="shared" si="173"/>
        <v>0</v>
      </c>
      <c r="J269" s="7" t="str">
        <f t="shared" si="174"/>
        <v>NA</v>
      </c>
      <c r="K269" s="7" t="str">
        <f t="shared" si="175"/>
        <v>NA</v>
      </c>
      <c r="L269" s="7" t="str">
        <f t="shared" si="176"/>
        <v>NA</v>
      </c>
      <c r="M269" s="7" t="str">
        <f t="shared" si="177"/>
        <v>NA</v>
      </c>
      <c r="N269" s="96" t="str">
        <f t="shared" si="178"/>
        <v>NA</v>
      </c>
      <c r="O269" s="518">
        <f t="shared" si="186"/>
        <v>0</v>
      </c>
      <c r="P269" s="243" t="str">
        <f t="shared" si="187"/>
        <v>NA</v>
      </c>
      <c r="Q269" s="97" t="str">
        <f t="shared" si="188"/>
        <v>NA</v>
      </c>
      <c r="R269" s="97" t="str">
        <f t="shared" si="189"/>
        <v>NA</v>
      </c>
      <c r="S269" s="97" t="str">
        <f t="shared" si="190"/>
        <v>NA</v>
      </c>
      <c r="T269" s="97" t="str">
        <f t="shared" si="191"/>
        <v>NA</v>
      </c>
      <c r="U269" s="97" t="str">
        <f t="shared" si="192"/>
        <v>NA</v>
      </c>
    </row>
    <row r="270" spans="1:21" x14ac:dyDescent="0.25">
      <c r="A270" s="218">
        <v>122</v>
      </c>
      <c r="B270" s="566" t="s">
        <v>617</v>
      </c>
      <c r="C270" s="163">
        <f t="shared" si="167"/>
        <v>0</v>
      </c>
      <c r="D270" s="7" t="str">
        <f t="shared" si="168"/>
        <v>NA</v>
      </c>
      <c r="E270" s="7" t="str">
        <f t="shared" si="169"/>
        <v>NA</v>
      </c>
      <c r="F270" s="7" t="str">
        <f t="shared" si="170"/>
        <v>NA</v>
      </c>
      <c r="G270" s="7" t="str">
        <f t="shared" si="171"/>
        <v>NA</v>
      </c>
      <c r="H270" s="204" t="str">
        <f t="shared" si="172"/>
        <v>NA</v>
      </c>
      <c r="I270" s="95">
        <f t="shared" si="173"/>
        <v>0</v>
      </c>
      <c r="J270" s="7" t="str">
        <f t="shared" si="174"/>
        <v>NA</v>
      </c>
      <c r="K270" s="7" t="str">
        <f t="shared" si="175"/>
        <v>NA</v>
      </c>
      <c r="L270" s="7" t="str">
        <f t="shared" si="176"/>
        <v>NA</v>
      </c>
      <c r="M270" s="7" t="str">
        <f t="shared" si="177"/>
        <v>NA</v>
      </c>
      <c r="N270" s="96" t="str">
        <f t="shared" si="178"/>
        <v>NA</v>
      </c>
      <c r="O270" s="518">
        <f t="shared" si="186"/>
        <v>0</v>
      </c>
      <c r="P270" s="243" t="str">
        <f t="shared" si="187"/>
        <v>NA</v>
      </c>
      <c r="Q270" s="97" t="str">
        <f t="shared" si="188"/>
        <v>NA</v>
      </c>
      <c r="R270" s="97" t="str">
        <f t="shared" si="189"/>
        <v>NA</v>
      </c>
      <c r="S270" s="97" t="str">
        <f t="shared" si="190"/>
        <v>NA</v>
      </c>
      <c r="T270" s="97" t="str">
        <f t="shared" si="191"/>
        <v>NA</v>
      </c>
      <c r="U270" s="97" t="str">
        <f t="shared" si="192"/>
        <v>NA</v>
      </c>
    </row>
    <row r="271" spans="1:21" x14ac:dyDescent="0.25">
      <c r="A271" s="218">
        <v>999</v>
      </c>
      <c r="B271" s="495" t="s">
        <v>81</v>
      </c>
      <c r="C271" s="163">
        <f t="shared" si="167"/>
        <v>0</v>
      </c>
      <c r="D271" s="7" t="str">
        <f t="shared" si="168"/>
        <v>NA</v>
      </c>
      <c r="E271" s="7" t="str">
        <f t="shared" si="169"/>
        <v>NA</v>
      </c>
      <c r="F271" s="7" t="str">
        <f t="shared" si="170"/>
        <v>NA</v>
      </c>
      <c r="G271" s="7" t="str">
        <f t="shared" si="171"/>
        <v>NA</v>
      </c>
      <c r="H271" s="204" t="str">
        <f t="shared" si="172"/>
        <v>NA</v>
      </c>
      <c r="I271" s="95">
        <f t="shared" si="173"/>
        <v>0</v>
      </c>
      <c r="J271" s="7" t="str">
        <f t="shared" si="174"/>
        <v>NA</v>
      </c>
      <c r="K271" s="7" t="str">
        <f t="shared" si="175"/>
        <v>NA</v>
      </c>
      <c r="L271" s="7" t="str">
        <f t="shared" si="176"/>
        <v>NA</v>
      </c>
      <c r="M271" s="7" t="str">
        <f t="shared" si="177"/>
        <v>NA</v>
      </c>
      <c r="N271" s="263" t="str">
        <f t="shared" si="178"/>
        <v>NA</v>
      </c>
      <c r="O271" s="518">
        <f t="shared" si="185"/>
        <v>0</v>
      </c>
      <c r="P271" s="243" t="str">
        <f t="shared" si="179"/>
        <v>NA</v>
      </c>
      <c r="Q271" s="97" t="str">
        <f t="shared" si="180"/>
        <v>NA</v>
      </c>
      <c r="R271" s="97" t="str">
        <f t="shared" si="181"/>
        <v>NA</v>
      </c>
      <c r="S271" s="97" t="str">
        <f t="shared" si="182"/>
        <v>NA</v>
      </c>
      <c r="T271" s="97" t="str">
        <f t="shared" si="183"/>
        <v>NA</v>
      </c>
      <c r="U271" s="97" t="str">
        <f t="shared" si="184"/>
        <v>NA</v>
      </c>
    </row>
    <row r="272" spans="1:21" ht="30" customHeight="1" x14ac:dyDescent="0.25">
      <c r="A272" s="707" t="s">
        <v>567</v>
      </c>
      <c r="B272" s="708"/>
      <c r="C272" s="164">
        <f>SUM(C252:C271)</f>
        <v>0</v>
      </c>
      <c r="D272" s="131" t="str">
        <f>IFERROR((SUMPRODUCT(D252:D271,C252:C271)/C272),"NA")</f>
        <v>NA</v>
      </c>
      <c r="E272" s="131" t="str">
        <f>IFERROR((SUMPRODUCT(E252:E271,C252:C271)/C272),"NA")</f>
        <v>NA</v>
      </c>
      <c r="F272" s="131" t="str">
        <f>IFERROR((SUMPRODUCT(F252:F271,C252:C271)/C272),"NA")</f>
        <v>NA</v>
      </c>
      <c r="G272" s="131" t="str">
        <f>IFERROR((SUMPRODUCT(G252:G271,C252:C271)/C272),"NA")</f>
        <v>NA</v>
      </c>
      <c r="H272" s="131" t="str">
        <f>IFERROR((SUMPRODUCT(H252:H271,C252:C271)/C272),"NA")</f>
        <v>NA</v>
      </c>
      <c r="I272" s="165">
        <f>SUM(I252:I271)</f>
        <v>0</v>
      </c>
      <c r="J272" s="131" t="str">
        <f>IFERROR((SUMPRODUCT(J252:J271,I252:I271)/I272),"NA")</f>
        <v>NA</v>
      </c>
      <c r="K272" s="131" t="str">
        <f>IFERROR((SUMPRODUCT(K252:K271,I252:I271)/I272),"NA")</f>
        <v>NA</v>
      </c>
      <c r="L272" s="131" t="str">
        <f>IFERROR((SUMPRODUCT(L252:L271,I252:I271)/I272),"NA")</f>
        <v>NA</v>
      </c>
      <c r="M272" s="251" t="str">
        <f>IFERROR((SUMPRODUCT(M252:M271,I252:I271)/I272),"NA")</f>
        <v>NA</v>
      </c>
      <c r="N272" s="206" t="str">
        <f>IFERROR((SUMPRODUCT(N252:N271,I252:I271)/I272),"NA")</f>
        <v>NA</v>
      </c>
      <c r="O272" s="544" t="s">
        <v>500</v>
      </c>
      <c r="P272" s="435" t="s">
        <v>500</v>
      </c>
      <c r="Q272" s="433" t="s">
        <v>500</v>
      </c>
      <c r="R272" s="433" t="s">
        <v>500</v>
      </c>
      <c r="S272" s="433" t="s">
        <v>500</v>
      </c>
      <c r="T272" s="433" t="s">
        <v>500</v>
      </c>
      <c r="U272" s="433" t="s">
        <v>500</v>
      </c>
    </row>
    <row r="273" spans="1:21" x14ac:dyDescent="0.25">
      <c r="A273" s="709" t="s">
        <v>563</v>
      </c>
      <c r="B273" s="710"/>
      <c r="C273" s="164" t="s">
        <v>500</v>
      </c>
      <c r="D273" s="130" t="str">
        <f>IF($C$272=0,"NA",(SUMPRODUCT(D303,$C$302)+SUMPRODUCT(D333,$C$332))/$C$272)</f>
        <v>NA</v>
      </c>
      <c r="E273" s="130" t="str">
        <f>IF($C$272=0,"NA",(SUMPRODUCT(E303,$C$302)+SUMPRODUCT(E333,$C$332))/$C$272)</f>
        <v>NA</v>
      </c>
      <c r="F273" s="130" t="str">
        <f>IF($C$272=0,"NA",(SUMPRODUCT(F303,$C$302)+SUMPRODUCT(F333,$C$332))/$C$272)</f>
        <v>NA</v>
      </c>
      <c r="G273" s="130" t="str">
        <f>IF($C$272=0,"NA",(SUMPRODUCT(G303,$C$302)+SUMPRODUCT(G333,$C$332))/$C$272)</f>
        <v>NA</v>
      </c>
      <c r="H273" s="130" t="str">
        <f>IF($C$272=0,"NA",(SUMPRODUCT(H303,$C$302)+SUMPRODUCT(H333,$C$332))/$C$272)</f>
        <v>NA</v>
      </c>
      <c r="I273" s="165" t="s">
        <v>500</v>
      </c>
      <c r="J273" s="130" t="str">
        <f>IF($I$272=0,"NA",(SUMPRODUCT(J303,$I$302)+SUMPRODUCT(J333,$I$332))/$I$272)</f>
        <v>NA</v>
      </c>
      <c r="K273" s="130" t="str">
        <f>IF($I$272=0,"NA",(SUMPRODUCT(K303,$I$302)+SUMPRODUCT(K333,$I$332))/$I$272)</f>
        <v>NA</v>
      </c>
      <c r="L273" s="130" t="str">
        <f>IF($I$272=0,"NA",(SUMPRODUCT(L303,$I$302)+SUMPRODUCT(L333,$I$332))/$I$272)</f>
        <v>NA</v>
      </c>
      <c r="M273" s="130" t="str">
        <f>IF($I$272=0,"NA",(SUMPRODUCT(M303,$I$302)+SUMPRODUCT(M333,$I$332))/$I$272)</f>
        <v>NA</v>
      </c>
      <c r="N273" s="264" t="str">
        <f>IF($I$272=0,"NA",(SUMPRODUCT(N303,$I$302)+SUMPRODUCT(N333,$I$332))/$I$272)</f>
        <v>NA</v>
      </c>
      <c r="O273" s="544" t="s">
        <v>500</v>
      </c>
      <c r="P273" s="435" t="s">
        <v>500</v>
      </c>
      <c r="Q273" s="433" t="s">
        <v>500</v>
      </c>
      <c r="R273" s="433" t="s">
        <v>500</v>
      </c>
      <c r="S273" s="433" t="s">
        <v>500</v>
      </c>
      <c r="T273" s="433" t="s">
        <v>500</v>
      </c>
      <c r="U273" s="433" t="s">
        <v>500</v>
      </c>
    </row>
    <row r="274" spans="1:21" x14ac:dyDescent="0.25">
      <c r="A274" s="717" t="s">
        <v>564</v>
      </c>
      <c r="B274" s="718"/>
      <c r="C274" s="180">
        <f>ABS(C272-C251)</f>
        <v>0</v>
      </c>
      <c r="D274" s="181" t="e">
        <f>ABS(D272-D251)</f>
        <v>#VALUE!</v>
      </c>
      <c r="E274" s="181" t="e">
        <f>ABS(E272-E251)</f>
        <v>#VALUE!</v>
      </c>
      <c r="F274" s="181" t="e">
        <f>ABS(F272-F251)</f>
        <v>#VALUE!</v>
      </c>
      <c r="G274" s="181" t="s">
        <v>500</v>
      </c>
      <c r="H274" s="233" t="s">
        <v>500</v>
      </c>
      <c r="I274" s="182">
        <f>ABS(I272-I251)</f>
        <v>0</v>
      </c>
      <c r="J274" s="181" t="e">
        <f>ABS(J272-J251)</f>
        <v>#VALUE!</v>
      </c>
      <c r="K274" s="181" t="e">
        <f>ABS(K272-K251)</f>
        <v>#VALUE!</v>
      </c>
      <c r="L274" s="181" t="e">
        <f>ABS(L272-L251)</f>
        <v>#VALUE!</v>
      </c>
      <c r="M274" s="181" t="s">
        <v>500</v>
      </c>
      <c r="N274" s="233" t="s">
        <v>500</v>
      </c>
      <c r="O274" s="545" t="s">
        <v>500</v>
      </c>
      <c r="P274" s="546" t="s">
        <v>500</v>
      </c>
      <c r="Q274" s="548" t="s">
        <v>500</v>
      </c>
      <c r="R274" s="548" t="s">
        <v>500</v>
      </c>
      <c r="S274" s="548" t="s">
        <v>500</v>
      </c>
      <c r="T274" s="548" t="s">
        <v>500</v>
      </c>
      <c r="U274" s="548" t="s">
        <v>500</v>
      </c>
    </row>
    <row r="275" spans="1:21" x14ac:dyDescent="0.25">
      <c r="A275" s="715" t="s">
        <v>565</v>
      </c>
      <c r="B275" s="716"/>
      <c r="C275" s="262" t="str">
        <f>IF(((ABS(C251-C272))&lt;10),"Yes","No")</f>
        <v>Yes</v>
      </c>
      <c r="D275" s="181" t="e">
        <f>IF(((ABS(D251-D272))&lt;10),"Yes","No")</f>
        <v>#VALUE!</v>
      </c>
      <c r="E275" s="181" t="e">
        <f>IF(((ABS(E251-E272))&lt;10),"Yes","No")</f>
        <v>#VALUE!</v>
      </c>
      <c r="F275" s="181" t="e">
        <f>IF(((ABS(F251-F272))&lt;10),"Yes","No")</f>
        <v>#VALUE!</v>
      </c>
      <c r="G275" s="181" t="s">
        <v>500</v>
      </c>
      <c r="H275" s="233" t="s">
        <v>500</v>
      </c>
      <c r="I275" s="259" t="str">
        <f>IF(((ABS(I251-I272))&lt;10),"Yes","No")</f>
        <v>Yes</v>
      </c>
      <c r="J275" s="181" t="e">
        <f>IF(((ABS(J251-J272))&lt;10),"Yes","No")</f>
        <v>#VALUE!</v>
      </c>
      <c r="K275" s="181" t="e">
        <f>IF(((ABS(K251-K272))&lt;10),"Yes","No")</f>
        <v>#VALUE!</v>
      </c>
      <c r="L275" s="181" t="e">
        <f>IF(((ABS(L251-L272))&lt;10),"Yes","No")</f>
        <v>#VALUE!</v>
      </c>
      <c r="M275" s="181" t="s">
        <v>500</v>
      </c>
      <c r="N275" s="233" t="s">
        <v>500</v>
      </c>
      <c r="O275" s="545" t="s">
        <v>500</v>
      </c>
      <c r="P275" s="546" t="s">
        <v>500</v>
      </c>
      <c r="Q275" s="548" t="s">
        <v>500</v>
      </c>
      <c r="R275" s="548" t="s">
        <v>500</v>
      </c>
      <c r="S275" s="548" t="s">
        <v>500</v>
      </c>
      <c r="T275" s="548" t="s">
        <v>500</v>
      </c>
      <c r="U275" s="548" t="s">
        <v>500</v>
      </c>
    </row>
    <row r="276" spans="1:21" x14ac:dyDescent="0.25">
      <c r="A276"/>
      <c r="B276"/>
      <c r="C276"/>
      <c r="D276"/>
      <c r="E276"/>
      <c r="F276"/>
      <c r="G276"/>
      <c r="H276"/>
      <c r="I276"/>
      <c r="J276"/>
      <c r="K276"/>
      <c r="L276"/>
      <c r="M276"/>
      <c r="N276"/>
      <c r="O276"/>
      <c r="P276"/>
      <c r="Q276"/>
      <c r="R276"/>
      <c r="S276"/>
      <c r="T276"/>
      <c r="U276"/>
    </row>
    <row r="277" spans="1:21" x14ac:dyDescent="0.25">
      <c r="A277"/>
      <c r="B277"/>
      <c r="C277"/>
      <c r="D277"/>
      <c r="E277"/>
      <c r="F277"/>
      <c r="G277"/>
      <c r="H277"/>
      <c r="I277"/>
      <c r="J277"/>
      <c r="K277"/>
      <c r="L277"/>
      <c r="M277"/>
      <c r="N277"/>
      <c r="O277"/>
      <c r="P277"/>
      <c r="Q277"/>
      <c r="R277"/>
      <c r="S277"/>
      <c r="T277"/>
      <c r="U277"/>
    </row>
    <row r="278" spans="1:21" x14ac:dyDescent="0.25">
      <c r="A278" s="3" t="s">
        <v>575</v>
      </c>
      <c r="B278"/>
      <c r="C278"/>
      <c r="D278"/>
      <c r="E278"/>
      <c r="F278"/>
      <c r="G278"/>
      <c r="H278"/>
      <c r="I278"/>
      <c r="J278"/>
      <c r="K278"/>
      <c r="L278"/>
      <c r="M278"/>
      <c r="N278"/>
      <c r="O278"/>
      <c r="P278"/>
      <c r="Q278"/>
      <c r="R278"/>
      <c r="S278"/>
      <c r="T278"/>
      <c r="U278"/>
    </row>
    <row r="279" spans="1:21" x14ac:dyDescent="0.25">
      <c r="A279" s="711" t="s">
        <v>71</v>
      </c>
      <c r="B279" s="713" t="s">
        <v>547</v>
      </c>
      <c r="C279" s="697">
        <v>2021</v>
      </c>
      <c r="D279" s="698"/>
      <c r="E279" s="698"/>
      <c r="F279" s="698"/>
      <c r="G279" s="698"/>
      <c r="H279" s="699"/>
      <c r="I279" s="700">
        <v>2022</v>
      </c>
      <c r="J279" s="701"/>
      <c r="K279" s="701"/>
      <c r="L279" s="701"/>
      <c r="M279" s="701"/>
      <c r="N279" s="702"/>
      <c r="O279" s="498"/>
      <c r="P279" s="703" t="s">
        <v>548</v>
      </c>
      <c r="Q279" s="704"/>
      <c r="R279" s="704"/>
      <c r="S279" s="704"/>
      <c r="T279" s="704"/>
      <c r="U279" s="705"/>
    </row>
    <row r="280" spans="1:21" ht="45" x14ac:dyDescent="0.25">
      <c r="A280" s="712"/>
      <c r="B280" s="714"/>
      <c r="C280" s="91" t="s">
        <v>352</v>
      </c>
      <c r="D280" s="91" t="s">
        <v>550</v>
      </c>
      <c r="E280" s="91" t="s">
        <v>551</v>
      </c>
      <c r="F280" s="91" t="s">
        <v>552</v>
      </c>
      <c r="G280" s="91" t="s">
        <v>553</v>
      </c>
      <c r="H280" s="205" t="s">
        <v>554</v>
      </c>
      <c r="I280" s="87" t="s">
        <v>352</v>
      </c>
      <c r="J280" s="88" t="s">
        <v>550</v>
      </c>
      <c r="K280" s="88" t="s">
        <v>551</v>
      </c>
      <c r="L280" s="88" t="s">
        <v>552</v>
      </c>
      <c r="M280" s="88" t="s">
        <v>553</v>
      </c>
      <c r="N280" s="89" t="s">
        <v>554</v>
      </c>
      <c r="O280" s="513" t="s">
        <v>555</v>
      </c>
      <c r="P280" s="242" t="s">
        <v>556</v>
      </c>
      <c r="Q280" s="77" t="s">
        <v>557</v>
      </c>
      <c r="R280" s="77" t="s">
        <v>558</v>
      </c>
      <c r="S280" s="77" t="s">
        <v>559</v>
      </c>
      <c r="T280" s="77" t="s">
        <v>560</v>
      </c>
      <c r="U280" s="217" t="s">
        <v>561</v>
      </c>
    </row>
    <row r="281" spans="1:21" x14ac:dyDescent="0.25">
      <c r="A281" s="219">
        <v>100</v>
      </c>
      <c r="B281" s="495" t="s">
        <v>72</v>
      </c>
      <c r="C281" s="8">
        <f>SUMIFS(TM[[#All],[Member Months]],TM[[#All],[Reporting Year]],2021,TM[[#All],[Insurance Category Code]],2,TM[[#All],[Large Provider Entity Code]],A281)</f>
        <v>0</v>
      </c>
      <c r="D281" s="7" t="str">
        <f>IFERROR(SUMIFS(TM[[#All],[Total Non-Truncated Claims Spending]],TM[[#All],[Reporting Year]],2021,TM[[#All],[Insurance Category Code]],2,TM[[#All],[Large Provider Entity Code]],A281)/C281,"NA")</f>
        <v>NA</v>
      </c>
      <c r="E281" s="7" t="str">
        <f>IFERROR(SUMIFS(TM[[#All],[Total Non-Claims Spending]],TM[[#All],[Reporting Year]],2021,TM[[#All],[Insurance Category Code]],2,TM[[#All],[Large Provider Entity Code]],A281)/C281,"NA")</f>
        <v>NA</v>
      </c>
      <c r="F281" s="7" t="str">
        <f>IFERROR(SUMIFS(TM[[#All],[Total Non-Truncated Claims and Non-Claims Spending]],TM[[#All],[Reporting Year]],2021,TM[[#All],[Insurance Category Code]],2,TM[[#All],[Large Provider Entity Code]],A281)/C281,"NA")</f>
        <v>NA</v>
      </c>
      <c r="G281" s="7" t="str">
        <f>IFERROR(SUMIFS(TM[[#All],[Total Truncated Claims Spending]],TM[[#All],[Reporting Year]],2021,TM[[#All],[Insurance Category Code]],2,TM[[#All],[Large Provider Entity Code]],A281)/C281,"NA")</f>
        <v>NA</v>
      </c>
      <c r="H281" s="204" t="str">
        <f>IFERROR(SUMIFS(TM[[#All],[Total Truncated Expenses]],TM[[#All],[Reporting Year]],2021,TM[[#All],[Insurance Category Code]],2,TM[[#All],[Large Provider Entity Code]],A281)/C281,"NA")</f>
        <v>NA</v>
      </c>
      <c r="I281" s="95">
        <f>SUMIFS(TM[[#All],[Member Months]],TM[[#All],[Reporting Year]],2022,TM[[#All],[Insurance Category Code]],2,TM[[#All],[Large Provider Entity Code]],A281)</f>
        <v>0</v>
      </c>
      <c r="J281" s="7" t="str">
        <f>IFERROR(SUMIFS(TM[[#All],[Total Non-Truncated Claims Spending]],TM[[#All],[Reporting Year]],2022,TM[[#All],[Insurance Category Code]],2,TM[[#All],[Large Provider Entity Code]],A281)/I281,"NA")</f>
        <v>NA</v>
      </c>
      <c r="K281" s="7" t="str">
        <f>IFERROR(SUMIFS(TM[[#All],[Total Non-Claims Spending]],TM[[#All],[Reporting Year]],2022,TM[[#All],[Insurance Category Code]],2,TM[[#All],[Large Provider Entity Code]],A281)/I281,"NA")</f>
        <v>NA</v>
      </c>
      <c r="L281" s="7" t="str">
        <f>IFERROR(SUMIFS(TM[[#All],[Total Non-Truncated Claims and Non-Claims Spending]],TM[[#All],[Reporting Year]],2022,TM[[#All],[Insurance Category Code]],2,TM[[#All],[Large Provider Entity Code]],A281)/I281,"NA")</f>
        <v>NA</v>
      </c>
      <c r="M281" s="7" t="str">
        <f>IFERROR(SUMIFS(TM[[#All],[Total Truncated Claims Spending]],TM[[#All],[Reporting Year]],2022,TM[[#All],[Insurance Category Code]],2,TM[[#All],[Large Provider Entity Code]],A281)/I281,"NA")</f>
        <v>NA</v>
      </c>
      <c r="N281" s="96" t="str">
        <f>IFERROR(SUMIFS(TM[[#All],[Total Truncated Expenses]],TM[[#All],[Reporting Year]],2022,TM[[#All],[Insurance Category Code]],2,TM[[#All],[Large Provider Entity Code]],A281)/I281,"NA")</f>
        <v>NA</v>
      </c>
      <c r="O281" s="518">
        <f>ABS(C281-I281)</f>
        <v>0</v>
      </c>
      <c r="P281" s="243" t="str">
        <f t="shared" ref="P281:P301" si="200">IFERROR((I281/C281-1),"NA")</f>
        <v>NA</v>
      </c>
      <c r="Q281" s="97" t="str">
        <f t="shared" ref="Q281:Q301" si="201">IFERROR((J281/D281-1),"NA")</f>
        <v>NA</v>
      </c>
      <c r="R281" s="97" t="str">
        <f t="shared" ref="R281:R301" si="202">IFERROR((K281/E281-1),"NA")</f>
        <v>NA</v>
      </c>
      <c r="S281" s="97" t="str">
        <f t="shared" ref="S281:S301" si="203">IFERROR((L281/F281-1),"NA")</f>
        <v>NA</v>
      </c>
      <c r="T281" s="97" t="str">
        <f t="shared" ref="T281:T301" si="204">IFERROR((M281/G281-1),"NA")</f>
        <v>NA</v>
      </c>
      <c r="U281" s="97" t="str">
        <f t="shared" ref="U281:U301" si="205">IFERROR((N281/H281-1),"NA")</f>
        <v>NA</v>
      </c>
    </row>
    <row r="282" spans="1:21" x14ac:dyDescent="0.25">
      <c r="A282" s="218">
        <v>101</v>
      </c>
      <c r="B282" s="495" t="s">
        <v>609</v>
      </c>
      <c r="C282" s="8">
        <f>SUMIFS(TM[[#All],[Member Months]],TM[[#All],[Reporting Year]],2021,TM[[#All],[Insurance Category Code]],2,TM[[#All],[Large Provider Entity Code]],A282)</f>
        <v>0</v>
      </c>
      <c r="D282" s="7" t="str">
        <f>IFERROR(SUMIFS(TM[[#All],[Total Non-Truncated Claims Spending]],TM[[#All],[Reporting Year]],2021,TM[[#All],[Insurance Category Code]],2,TM[[#All],[Large Provider Entity Code]],A282)/C282,"NA")</f>
        <v>NA</v>
      </c>
      <c r="E282" s="7" t="str">
        <f>IFERROR(SUMIFS(TM[[#All],[Total Non-Claims Spending]],TM[[#All],[Reporting Year]],2021,TM[[#All],[Insurance Category Code]],2,TM[[#All],[Large Provider Entity Code]],A282)/C282,"NA")</f>
        <v>NA</v>
      </c>
      <c r="F282" s="7" t="str">
        <f>IFERROR(SUMIFS(TM[[#All],[Total Non-Truncated Claims and Non-Claims Spending]],TM[[#All],[Reporting Year]],2021,TM[[#All],[Insurance Category Code]],2,TM[[#All],[Large Provider Entity Code]],A282)/C282,"NA")</f>
        <v>NA</v>
      </c>
      <c r="G282" s="7" t="str">
        <f>IFERROR(SUMIFS(TM[[#All],[Total Truncated Claims Spending]],TM[[#All],[Reporting Year]],2021,TM[[#All],[Insurance Category Code]],2,TM[[#All],[Large Provider Entity Code]],A282)/C282,"NA")</f>
        <v>NA</v>
      </c>
      <c r="H282" s="204" t="str">
        <f>IFERROR(SUMIFS(TM[[#All],[Total Truncated Expenses]],TM[[#All],[Reporting Year]],2021,TM[[#All],[Insurance Category Code]],2,TM[[#All],[Large Provider Entity Code]],A282)/C282,"NA")</f>
        <v>NA</v>
      </c>
      <c r="I282" s="95">
        <f>SUMIFS(TM[[#All],[Member Months]],TM[[#All],[Reporting Year]],2022,TM[[#All],[Insurance Category Code]],2,TM[[#All],[Large Provider Entity Code]],A282)</f>
        <v>0</v>
      </c>
      <c r="J282" s="7" t="str">
        <f>IFERROR(SUMIFS(TM[[#All],[Total Non-Truncated Claims Spending]],TM[[#All],[Reporting Year]],2022,TM[[#All],[Insurance Category Code]],2,TM[[#All],[Large Provider Entity Code]],A282)/I282,"NA")</f>
        <v>NA</v>
      </c>
      <c r="K282" s="7" t="str">
        <f>IFERROR(SUMIFS(TM[[#All],[Total Non-Claims Spending]],TM[[#All],[Reporting Year]],2022,TM[[#All],[Insurance Category Code]],2,TM[[#All],[Large Provider Entity Code]],A282)/I282,"NA")</f>
        <v>NA</v>
      </c>
      <c r="L282" s="7" t="str">
        <f>IFERROR(SUMIFS(TM[[#All],[Total Non-Truncated Claims and Non-Claims Spending]],TM[[#All],[Reporting Year]],2022,TM[[#All],[Insurance Category Code]],2,TM[[#All],[Large Provider Entity Code]],A282)/I282,"NA")</f>
        <v>NA</v>
      </c>
      <c r="M282" s="7" t="str">
        <f>IFERROR(SUMIFS(TM[[#All],[Total Truncated Claims Spending]],TM[[#All],[Reporting Year]],2022,TM[[#All],[Insurance Category Code]],2,TM[[#All],[Large Provider Entity Code]],A282)/I282,"NA")</f>
        <v>NA</v>
      </c>
      <c r="N282" s="96" t="str">
        <f>IFERROR(SUMIFS(TM[[#All],[Total Truncated Expenses]],TM[[#All],[Reporting Year]],2022,TM[[#All],[Insurance Category Code]],2,TM[[#All],[Large Provider Entity Code]],A282)/I282,"NA")</f>
        <v>NA</v>
      </c>
      <c r="O282" s="518">
        <f t="shared" ref="O282:O301" si="206">ABS(C282-I282)</f>
        <v>0</v>
      </c>
      <c r="P282" s="243" t="str">
        <f t="shared" si="200"/>
        <v>NA</v>
      </c>
      <c r="Q282" s="97" t="str">
        <f t="shared" si="201"/>
        <v>NA</v>
      </c>
      <c r="R282" s="97" t="str">
        <f t="shared" si="202"/>
        <v>NA</v>
      </c>
      <c r="S282" s="97" t="str">
        <f t="shared" si="203"/>
        <v>NA</v>
      </c>
      <c r="T282" s="97" t="str">
        <f t="shared" si="204"/>
        <v>NA</v>
      </c>
      <c r="U282" s="97" t="str">
        <f t="shared" si="205"/>
        <v>NA</v>
      </c>
    </row>
    <row r="283" spans="1:21" x14ac:dyDescent="0.25">
      <c r="A283" s="218">
        <v>102</v>
      </c>
      <c r="B283" s="566" t="s">
        <v>610</v>
      </c>
      <c r="C283" s="8">
        <f>SUMIFS(TM[[#All],[Member Months]],TM[[#All],[Reporting Year]],2021,TM[[#All],[Insurance Category Code]],2,TM[[#All],[Large Provider Entity Code]],A283)</f>
        <v>0</v>
      </c>
      <c r="D283" s="7" t="str">
        <f>IFERROR(SUMIFS(TM[[#All],[Total Non-Truncated Claims Spending]],TM[[#All],[Reporting Year]],2021,TM[[#All],[Insurance Category Code]],2,TM[[#All],[Large Provider Entity Code]],A283)/C283,"NA")</f>
        <v>NA</v>
      </c>
      <c r="E283" s="7" t="str">
        <f>IFERROR(SUMIFS(TM[[#All],[Total Non-Claims Spending]],TM[[#All],[Reporting Year]],2021,TM[[#All],[Insurance Category Code]],2,TM[[#All],[Large Provider Entity Code]],A283)/C283,"NA")</f>
        <v>NA</v>
      </c>
      <c r="F283" s="7" t="str">
        <f>IFERROR(SUMIFS(TM[[#All],[Total Non-Truncated Claims and Non-Claims Spending]],TM[[#All],[Reporting Year]],2021,TM[[#All],[Insurance Category Code]],2,TM[[#All],[Large Provider Entity Code]],A283)/C283,"NA")</f>
        <v>NA</v>
      </c>
      <c r="G283" s="7" t="str">
        <f>IFERROR(SUMIFS(TM[[#All],[Total Truncated Claims Spending]],TM[[#All],[Reporting Year]],2021,TM[[#All],[Insurance Category Code]],2,TM[[#All],[Large Provider Entity Code]],A283)/C283,"NA")</f>
        <v>NA</v>
      </c>
      <c r="H283" s="204" t="str">
        <f>IFERROR(SUMIFS(TM[[#All],[Total Truncated Expenses]],TM[[#All],[Reporting Year]],2021,TM[[#All],[Insurance Category Code]],2,TM[[#All],[Large Provider Entity Code]],A283)/C283,"NA")</f>
        <v>NA</v>
      </c>
      <c r="I283" s="95">
        <f>SUMIFS(TM[[#All],[Member Months]],TM[[#All],[Reporting Year]],2022,TM[[#All],[Insurance Category Code]],2,TM[[#All],[Large Provider Entity Code]],A283)</f>
        <v>0</v>
      </c>
      <c r="J283" s="7" t="str">
        <f>IFERROR(SUMIFS(TM[[#All],[Total Non-Truncated Claims Spending]],TM[[#All],[Reporting Year]],2022,TM[[#All],[Insurance Category Code]],2,TM[[#All],[Large Provider Entity Code]],A283)/I283,"NA")</f>
        <v>NA</v>
      </c>
      <c r="K283" s="7" t="str">
        <f>IFERROR(SUMIFS(TM[[#All],[Total Non-Claims Spending]],TM[[#All],[Reporting Year]],2022,TM[[#All],[Insurance Category Code]],2,TM[[#All],[Large Provider Entity Code]],A283)/I283,"NA")</f>
        <v>NA</v>
      </c>
      <c r="L283" s="7" t="str">
        <f>IFERROR(SUMIFS(TM[[#All],[Total Non-Truncated Claims and Non-Claims Spending]],TM[[#All],[Reporting Year]],2022,TM[[#All],[Insurance Category Code]],2,TM[[#All],[Large Provider Entity Code]],A283)/I283,"NA")</f>
        <v>NA</v>
      </c>
      <c r="M283" s="7" t="str">
        <f>IFERROR(SUMIFS(TM[[#All],[Total Truncated Claims Spending]],TM[[#All],[Reporting Year]],2022,TM[[#All],[Insurance Category Code]],2,TM[[#All],[Large Provider Entity Code]],A283)/I283,"NA")</f>
        <v>NA</v>
      </c>
      <c r="N283" s="96" t="str">
        <f>IFERROR(SUMIFS(TM[[#All],[Total Truncated Expenses]],TM[[#All],[Reporting Year]],2022,TM[[#All],[Insurance Category Code]],2,TM[[#All],[Large Provider Entity Code]],A283)/I283,"NA")</f>
        <v>NA</v>
      </c>
      <c r="O283" s="518">
        <f t="shared" si="206"/>
        <v>0</v>
      </c>
      <c r="P283" s="243" t="str">
        <f t="shared" si="200"/>
        <v>NA</v>
      </c>
      <c r="Q283" s="97" t="str">
        <f t="shared" si="201"/>
        <v>NA</v>
      </c>
      <c r="R283" s="97" t="str">
        <f t="shared" si="202"/>
        <v>NA</v>
      </c>
      <c r="S283" s="97" t="str">
        <f t="shared" si="203"/>
        <v>NA</v>
      </c>
      <c r="T283" s="97" t="str">
        <f t="shared" si="204"/>
        <v>NA</v>
      </c>
      <c r="U283" s="97" t="str">
        <f t="shared" si="205"/>
        <v>NA</v>
      </c>
    </row>
    <row r="284" spans="1:21" ht="30" x14ac:dyDescent="0.25">
      <c r="A284" s="218">
        <v>103</v>
      </c>
      <c r="B284" s="495" t="s">
        <v>73</v>
      </c>
      <c r="C284" s="8">
        <f>SUMIFS(TM[[#All],[Member Months]],TM[[#All],[Reporting Year]],2021,TM[[#All],[Insurance Category Code]],2,TM[[#All],[Large Provider Entity Code]],A284)</f>
        <v>0</v>
      </c>
      <c r="D284" s="7" t="str">
        <f>IFERROR(SUMIFS(TM[[#All],[Total Non-Truncated Claims Spending]],TM[[#All],[Reporting Year]],2021,TM[[#All],[Insurance Category Code]],2,TM[[#All],[Large Provider Entity Code]],A284)/C284,"NA")</f>
        <v>NA</v>
      </c>
      <c r="E284" s="7" t="str">
        <f>IFERROR(SUMIFS(TM[[#All],[Total Non-Claims Spending]],TM[[#All],[Reporting Year]],2021,TM[[#All],[Insurance Category Code]],2,TM[[#All],[Large Provider Entity Code]],A284)/C284,"NA")</f>
        <v>NA</v>
      </c>
      <c r="F284" s="7" t="str">
        <f>IFERROR(SUMIFS(TM[[#All],[Total Non-Truncated Claims and Non-Claims Spending]],TM[[#All],[Reporting Year]],2021,TM[[#All],[Insurance Category Code]],2,TM[[#All],[Large Provider Entity Code]],A284)/C284,"NA")</f>
        <v>NA</v>
      </c>
      <c r="G284" s="7" t="str">
        <f>IFERROR(SUMIFS(TM[[#All],[Total Truncated Claims Spending]],TM[[#All],[Reporting Year]],2021,TM[[#All],[Insurance Category Code]],2,TM[[#All],[Large Provider Entity Code]],A284)/C284,"NA")</f>
        <v>NA</v>
      </c>
      <c r="H284" s="204" t="str">
        <f>IFERROR(SUMIFS(TM[[#All],[Total Truncated Expenses]],TM[[#All],[Reporting Year]],2021,TM[[#All],[Insurance Category Code]],2,TM[[#All],[Large Provider Entity Code]],A284)/C284,"NA")</f>
        <v>NA</v>
      </c>
      <c r="I284" s="95">
        <f>SUMIFS(TM[[#All],[Member Months]],TM[[#All],[Reporting Year]],2022,TM[[#All],[Insurance Category Code]],2,TM[[#All],[Large Provider Entity Code]],A284)</f>
        <v>0</v>
      </c>
      <c r="J284" s="7" t="str">
        <f>IFERROR(SUMIFS(TM[[#All],[Total Non-Truncated Claims Spending]],TM[[#All],[Reporting Year]],2022,TM[[#All],[Insurance Category Code]],2,TM[[#All],[Large Provider Entity Code]],A284)/I284,"NA")</f>
        <v>NA</v>
      </c>
      <c r="K284" s="7" t="str">
        <f>IFERROR(SUMIFS(TM[[#All],[Total Non-Claims Spending]],TM[[#All],[Reporting Year]],2022,TM[[#All],[Insurance Category Code]],2,TM[[#All],[Large Provider Entity Code]],A284)/I284,"NA")</f>
        <v>NA</v>
      </c>
      <c r="L284" s="7" t="str">
        <f>IFERROR(SUMIFS(TM[[#All],[Total Non-Truncated Claims and Non-Claims Spending]],TM[[#All],[Reporting Year]],2022,TM[[#All],[Insurance Category Code]],2,TM[[#All],[Large Provider Entity Code]],A284)/I284,"NA")</f>
        <v>NA</v>
      </c>
      <c r="M284" s="7" t="str">
        <f>IFERROR(SUMIFS(TM[[#All],[Total Truncated Claims Spending]],TM[[#All],[Reporting Year]],2022,TM[[#All],[Insurance Category Code]],2,TM[[#All],[Large Provider Entity Code]],A284)/I284,"NA")</f>
        <v>NA</v>
      </c>
      <c r="N284" s="96" t="str">
        <f>IFERROR(SUMIFS(TM[[#All],[Total Truncated Expenses]],TM[[#All],[Reporting Year]],2022,TM[[#All],[Insurance Category Code]],2,TM[[#All],[Large Provider Entity Code]],A284)/I284,"NA")</f>
        <v>NA</v>
      </c>
      <c r="O284" s="518">
        <f t="shared" si="206"/>
        <v>0</v>
      </c>
      <c r="P284" s="243" t="str">
        <f t="shared" si="200"/>
        <v>NA</v>
      </c>
      <c r="Q284" s="97" t="str">
        <f t="shared" si="201"/>
        <v>NA</v>
      </c>
      <c r="R284" s="97" t="str">
        <f t="shared" si="202"/>
        <v>NA</v>
      </c>
      <c r="S284" s="97" t="str">
        <f t="shared" si="203"/>
        <v>NA</v>
      </c>
      <c r="T284" s="97" t="str">
        <f t="shared" si="204"/>
        <v>NA</v>
      </c>
      <c r="U284" s="97" t="str">
        <f t="shared" si="205"/>
        <v>NA</v>
      </c>
    </row>
    <row r="285" spans="1:21" x14ac:dyDescent="0.25">
      <c r="A285" s="218">
        <v>104</v>
      </c>
      <c r="B285" s="495" t="s">
        <v>611</v>
      </c>
      <c r="C285" s="8">
        <f>SUMIFS(TM[[#All],[Member Months]],TM[[#All],[Reporting Year]],2021,TM[[#All],[Insurance Category Code]],2,TM[[#All],[Large Provider Entity Code]],A285)</f>
        <v>0</v>
      </c>
      <c r="D285" s="7" t="str">
        <f>IFERROR(SUMIFS(TM[[#All],[Total Non-Truncated Claims Spending]],TM[[#All],[Reporting Year]],2021,TM[[#All],[Insurance Category Code]],2,TM[[#All],[Large Provider Entity Code]],A285)/C285,"NA")</f>
        <v>NA</v>
      </c>
      <c r="E285" s="7" t="str">
        <f>IFERROR(SUMIFS(TM[[#All],[Total Non-Claims Spending]],TM[[#All],[Reporting Year]],2021,TM[[#All],[Insurance Category Code]],2,TM[[#All],[Large Provider Entity Code]],A285)/C285,"NA")</f>
        <v>NA</v>
      </c>
      <c r="F285" s="7" t="str">
        <f>IFERROR(SUMIFS(TM[[#All],[Total Non-Truncated Claims and Non-Claims Spending]],TM[[#All],[Reporting Year]],2021,TM[[#All],[Insurance Category Code]],2,TM[[#All],[Large Provider Entity Code]],A285)/C285,"NA")</f>
        <v>NA</v>
      </c>
      <c r="G285" s="7" t="str">
        <f>IFERROR(SUMIFS(TM[[#All],[Total Truncated Claims Spending]],TM[[#All],[Reporting Year]],2021,TM[[#All],[Insurance Category Code]],2,TM[[#All],[Large Provider Entity Code]],A285)/C285,"NA")</f>
        <v>NA</v>
      </c>
      <c r="H285" s="204" t="str">
        <f>IFERROR(SUMIFS(TM[[#All],[Total Truncated Expenses]],TM[[#All],[Reporting Year]],2021,TM[[#All],[Insurance Category Code]],2,TM[[#All],[Large Provider Entity Code]],A285)/C285,"NA")</f>
        <v>NA</v>
      </c>
      <c r="I285" s="95">
        <f>SUMIFS(TM[[#All],[Member Months]],TM[[#All],[Reporting Year]],2022,TM[[#All],[Insurance Category Code]],2,TM[[#All],[Large Provider Entity Code]],A285)</f>
        <v>0</v>
      </c>
      <c r="J285" s="7" t="str">
        <f>IFERROR(SUMIFS(TM[[#All],[Total Non-Truncated Claims Spending]],TM[[#All],[Reporting Year]],2022,TM[[#All],[Insurance Category Code]],2,TM[[#All],[Large Provider Entity Code]],A285)/I285,"NA")</f>
        <v>NA</v>
      </c>
      <c r="K285" s="7" t="str">
        <f>IFERROR(SUMIFS(TM[[#All],[Total Non-Claims Spending]],TM[[#All],[Reporting Year]],2022,TM[[#All],[Insurance Category Code]],2,TM[[#All],[Large Provider Entity Code]],A285)/I285,"NA")</f>
        <v>NA</v>
      </c>
      <c r="L285" s="7" t="str">
        <f>IFERROR(SUMIFS(TM[[#All],[Total Non-Truncated Claims and Non-Claims Spending]],TM[[#All],[Reporting Year]],2022,TM[[#All],[Insurance Category Code]],2,TM[[#All],[Large Provider Entity Code]],A285)/I285,"NA")</f>
        <v>NA</v>
      </c>
      <c r="M285" s="7" t="str">
        <f>IFERROR(SUMIFS(TM[[#All],[Total Truncated Claims Spending]],TM[[#All],[Reporting Year]],2022,TM[[#All],[Insurance Category Code]],2,TM[[#All],[Large Provider Entity Code]],A285)/I285,"NA")</f>
        <v>NA</v>
      </c>
      <c r="N285" s="96" t="str">
        <f>IFERROR(SUMIFS(TM[[#All],[Total Truncated Expenses]],TM[[#All],[Reporting Year]],2022,TM[[#All],[Insurance Category Code]],2,TM[[#All],[Large Provider Entity Code]],A285)/I285,"NA")</f>
        <v>NA</v>
      </c>
      <c r="O285" s="518">
        <f t="shared" si="206"/>
        <v>0</v>
      </c>
      <c r="P285" s="243" t="str">
        <f t="shared" si="200"/>
        <v>NA</v>
      </c>
      <c r="Q285" s="97" t="str">
        <f t="shared" si="201"/>
        <v>NA</v>
      </c>
      <c r="R285" s="97" t="str">
        <f t="shared" si="202"/>
        <v>NA</v>
      </c>
      <c r="S285" s="97" t="str">
        <f t="shared" si="203"/>
        <v>NA</v>
      </c>
      <c r="T285" s="97" t="str">
        <f t="shared" si="204"/>
        <v>NA</v>
      </c>
      <c r="U285" s="97" t="str">
        <f t="shared" si="205"/>
        <v>NA</v>
      </c>
    </row>
    <row r="286" spans="1:21" x14ac:dyDescent="0.25">
      <c r="A286" s="218">
        <v>105</v>
      </c>
      <c r="B286" s="566" t="s">
        <v>607</v>
      </c>
      <c r="C286" s="8">
        <f>SUMIFS(TM[[#All],[Member Months]],TM[[#All],[Reporting Year]],2021,TM[[#All],[Insurance Category Code]],2,TM[[#All],[Large Provider Entity Code]],A286)</f>
        <v>0</v>
      </c>
      <c r="D286" s="7" t="str">
        <f>IFERROR(SUMIFS(TM[[#All],[Total Non-Truncated Claims Spending]],TM[[#All],[Reporting Year]],2021,TM[[#All],[Insurance Category Code]],2,TM[[#All],[Large Provider Entity Code]],A286)/C286,"NA")</f>
        <v>NA</v>
      </c>
      <c r="E286" s="7" t="str">
        <f>IFERROR(SUMIFS(TM[[#All],[Total Non-Claims Spending]],TM[[#All],[Reporting Year]],2021,TM[[#All],[Insurance Category Code]],2,TM[[#All],[Large Provider Entity Code]],A286)/C286,"NA")</f>
        <v>NA</v>
      </c>
      <c r="F286" s="7" t="str">
        <f>IFERROR(SUMIFS(TM[[#All],[Total Non-Truncated Claims and Non-Claims Spending]],TM[[#All],[Reporting Year]],2021,TM[[#All],[Insurance Category Code]],2,TM[[#All],[Large Provider Entity Code]],A286)/C286,"NA")</f>
        <v>NA</v>
      </c>
      <c r="G286" s="7" t="str">
        <f>IFERROR(SUMIFS(TM[[#All],[Total Truncated Claims Spending]],TM[[#All],[Reporting Year]],2021,TM[[#All],[Insurance Category Code]],2,TM[[#All],[Large Provider Entity Code]],A286)/C286,"NA")</f>
        <v>NA</v>
      </c>
      <c r="H286" s="204" t="str">
        <f>IFERROR(SUMIFS(TM[[#All],[Total Truncated Expenses]],TM[[#All],[Reporting Year]],2021,TM[[#All],[Insurance Category Code]],2,TM[[#All],[Large Provider Entity Code]],A286)/C286,"NA")</f>
        <v>NA</v>
      </c>
      <c r="I286" s="95">
        <f>SUMIFS(TM[[#All],[Member Months]],TM[[#All],[Reporting Year]],2022,TM[[#All],[Insurance Category Code]],2,TM[[#All],[Large Provider Entity Code]],A286)</f>
        <v>0</v>
      </c>
      <c r="J286" s="7" t="str">
        <f>IFERROR(SUMIFS(TM[[#All],[Total Non-Truncated Claims Spending]],TM[[#All],[Reporting Year]],2022,TM[[#All],[Insurance Category Code]],2,TM[[#All],[Large Provider Entity Code]],A286)/I286,"NA")</f>
        <v>NA</v>
      </c>
      <c r="K286" s="7" t="str">
        <f>IFERROR(SUMIFS(TM[[#All],[Total Non-Claims Spending]],TM[[#All],[Reporting Year]],2022,TM[[#All],[Insurance Category Code]],2,TM[[#All],[Large Provider Entity Code]],A286)/I286,"NA")</f>
        <v>NA</v>
      </c>
      <c r="L286" s="7" t="str">
        <f>IFERROR(SUMIFS(TM[[#All],[Total Non-Truncated Claims and Non-Claims Spending]],TM[[#All],[Reporting Year]],2022,TM[[#All],[Insurance Category Code]],2,TM[[#All],[Large Provider Entity Code]],A286)/I286,"NA")</f>
        <v>NA</v>
      </c>
      <c r="M286" s="7" t="str">
        <f>IFERROR(SUMIFS(TM[[#All],[Total Truncated Claims Spending]],TM[[#All],[Reporting Year]],2022,TM[[#All],[Insurance Category Code]],2,TM[[#All],[Large Provider Entity Code]],A286)/I286,"NA")</f>
        <v>NA</v>
      </c>
      <c r="N286" s="96" t="str">
        <f>IFERROR(SUMIFS(TM[[#All],[Total Truncated Expenses]],TM[[#All],[Reporting Year]],2022,TM[[#All],[Insurance Category Code]],2,TM[[#All],[Large Provider Entity Code]],A286)/I286,"NA")</f>
        <v>NA</v>
      </c>
      <c r="O286" s="518">
        <f t="shared" si="206"/>
        <v>0</v>
      </c>
      <c r="P286" s="243" t="str">
        <f t="shared" si="200"/>
        <v>NA</v>
      </c>
      <c r="Q286" s="97" t="str">
        <f t="shared" si="201"/>
        <v>NA</v>
      </c>
      <c r="R286" s="97" t="str">
        <f t="shared" si="202"/>
        <v>NA</v>
      </c>
      <c r="S286" s="97" t="str">
        <f t="shared" si="203"/>
        <v>NA</v>
      </c>
      <c r="T286" s="97" t="str">
        <f t="shared" si="204"/>
        <v>NA</v>
      </c>
      <c r="U286" s="97" t="str">
        <f t="shared" si="205"/>
        <v>NA</v>
      </c>
    </row>
    <row r="287" spans="1:21" x14ac:dyDescent="0.25">
      <c r="A287" s="218">
        <v>106</v>
      </c>
      <c r="B287" s="495" t="s">
        <v>74</v>
      </c>
      <c r="C287" s="8">
        <f>SUMIFS(TM[[#All],[Member Months]],TM[[#All],[Reporting Year]],2021,TM[[#All],[Insurance Category Code]],2,TM[[#All],[Large Provider Entity Code]],A287)</f>
        <v>0</v>
      </c>
      <c r="D287" s="7" t="str">
        <f>IFERROR(SUMIFS(TM[[#All],[Total Non-Truncated Claims Spending]],TM[[#All],[Reporting Year]],2021,TM[[#All],[Insurance Category Code]],2,TM[[#All],[Large Provider Entity Code]],A287)/C287,"NA")</f>
        <v>NA</v>
      </c>
      <c r="E287" s="7" t="str">
        <f>IFERROR(SUMIFS(TM[[#All],[Total Non-Claims Spending]],TM[[#All],[Reporting Year]],2021,TM[[#All],[Insurance Category Code]],2,TM[[#All],[Large Provider Entity Code]],A287)/C287,"NA")</f>
        <v>NA</v>
      </c>
      <c r="F287" s="7" t="str">
        <f>IFERROR(SUMIFS(TM[[#All],[Total Non-Truncated Claims and Non-Claims Spending]],TM[[#All],[Reporting Year]],2021,TM[[#All],[Insurance Category Code]],2,TM[[#All],[Large Provider Entity Code]],A287)/C287,"NA")</f>
        <v>NA</v>
      </c>
      <c r="G287" s="7" t="str">
        <f>IFERROR(SUMIFS(TM[[#All],[Total Truncated Claims Spending]],TM[[#All],[Reporting Year]],2021,TM[[#All],[Insurance Category Code]],2,TM[[#All],[Large Provider Entity Code]],A287)/C287,"NA")</f>
        <v>NA</v>
      </c>
      <c r="H287" s="204" t="str">
        <f>IFERROR(SUMIFS(TM[[#All],[Total Truncated Expenses]],TM[[#All],[Reporting Year]],2021,TM[[#All],[Insurance Category Code]],2,TM[[#All],[Large Provider Entity Code]],A287)/C287,"NA")</f>
        <v>NA</v>
      </c>
      <c r="I287" s="95">
        <f>SUMIFS(TM[[#All],[Member Months]],TM[[#All],[Reporting Year]],2022,TM[[#All],[Insurance Category Code]],2,TM[[#All],[Large Provider Entity Code]],A287)</f>
        <v>0</v>
      </c>
      <c r="J287" s="7" t="str">
        <f>IFERROR(SUMIFS(TM[[#All],[Total Non-Truncated Claims Spending]],TM[[#All],[Reporting Year]],2022,TM[[#All],[Insurance Category Code]],2,TM[[#All],[Large Provider Entity Code]],A287)/I287,"NA")</f>
        <v>NA</v>
      </c>
      <c r="K287" s="7" t="str">
        <f>IFERROR(SUMIFS(TM[[#All],[Total Non-Claims Spending]],TM[[#All],[Reporting Year]],2022,TM[[#All],[Insurance Category Code]],2,TM[[#All],[Large Provider Entity Code]],A287)/I287,"NA")</f>
        <v>NA</v>
      </c>
      <c r="L287" s="7" t="str">
        <f>IFERROR(SUMIFS(TM[[#All],[Total Non-Truncated Claims and Non-Claims Spending]],TM[[#All],[Reporting Year]],2022,TM[[#All],[Insurance Category Code]],2,TM[[#All],[Large Provider Entity Code]],A287)/I287,"NA")</f>
        <v>NA</v>
      </c>
      <c r="M287" s="7" t="str">
        <f>IFERROR(SUMIFS(TM[[#All],[Total Truncated Claims Spending]],TM[[#All],[Reporting Year]],2022,TM[[#All],[Insurance Category Code]],2,TM[[#All],[Large Provider Entity Code]],A287)/I287,"NA")</f>
        <v>NA</v>
      </c>
      <c r="N287" s="96" t="str">
        <f>IFERROR(SUMIFS(TM[[#All],[Total Truncated Expenses]],TM[[#All],[Reporting Year]],2022,TM[[#All],[Insurance Category Code]],2,TM[[#All],[Large Provider Entity Code]],A287)/I287,"NA")</f>
        <v>NA</v>
      </c>
      <c r="O287" s="518">
        <f t="shared" si="206"/>
        <v>0</v>
      </c>
      <c r="P287" s="243" t="str">
        <f t="shared" si="200"/>
        <v>NA</v>
      </c>
      <c r="Q287" s="97" t="str">
        <f t="shared" si="201"/>
        <v>NA</v>
      </c>
      <c r="R287" s="97" t="str">
        <f t="shared" si="202"/>
        <v>NA</v>
      </c>
      <c r="S287" s="97" t="str">
        <f t="shared" si="203"/>
        <v>NA</v>
      </c>
      <c r="T287" s="97" t="str">
        <f t="shared" si="204"/>
        <v>NA</v>
      </c>
      <c r="U287" s="97" t="str">
        <f t="shared" si="205"/>
        <v>NA</v>
      </c>
    </row>
    <row r="288" spans="1:21" ht="30" x14ac:dyDescent="0.25">
      <c r="A288" s="218">
        <v>107</v>
      </c>
      <c r="B288" s="495" t="s">
        <v>75</v>
      </c>
      <c r="C288" s="8">
        <f>SUMIFS(TM[[#All],[Member Months]],TM[[#All],[Reporting Year]],2021,TM[[#All],[Insurance Category Code]],2,TM[[#All],[Large Provider Entity Code]],A288)</f>
        <v>0</v>
      </c>
      <c r="D288" s="7" t="str">
        <f>IFERROR(SUMIFS(TM[[#All],[Total Non-Truncated Claims Spending]],TM[[#All],[Reporting Year]],2021,TM[[#All],[Insurance Category Code]],2,TM[[#All],[Large Provider Entity Code]],A288)/C288,"NA")</f>
        <v>NA</v>
      </c>
      <c r="E288" s="7" t="str">
        <f>IFERROR(SUMIFS(TM[[#All],[Total Non-Claims Spending]],TM[[#All],[Reporting Year]],2021,TM[[#All],[Insurance Category Code]],2,TM[[#All],[Large Provider Entity Code]],A288)/C288,"NA")</f>
        <v>NA</v>
      </c>
      <c r="F288" s="7" t="str">
        <f>IFERROR(SUMIFS(TM[[#All],[Total Non-Truncated Claims and Non-Claims Spending]],TM[[#All],[Reporting Year]],2021,TM[[#All],[Insurance Category Code]],2,TM[[#All],[Large Provider Entity Code]],A288)/C288,"NA")</f>
        <v>NA</v>
      </c>
      <c r="G288" s="7" t="str">
        <f>IFERROR(SUMIFS(TM[[#All],[Total Truncated Claims Spending]],TM[[#All],[Reporting Year]],2021,TM[[#All],[Insurance Category Code]],2,TM[[#All],[Large Provider Entity Code]],A288)/C288,"NA")</f>
        <v>NA</v>
      </c>
      <c r="H288" s="204" t="str">
        <f>IFERROR(SUMIFS(TM[[#All],[Total Truncated Expenses]],TM[[#All],[Reporting Year]],2021,TM[[#All],[Insurance Category Code]],2,TM[[#All],[Large Provider Entity Code]],A288)/C288,"NA")</f>
        <v>NA</v>
      </c>
      <c r="I288" s="95">
        <f>SUMIFS(TM[[#All],[Member Months]],TM[[#All],[Reporting Year]],2022,TM[[#All],[Insurance Category Code]],2,TM[[#All],[Large Provider Entity Code]],A288)</f>
        <v>0</v>
      </c>
      <c r="J288" s="7" t="str">
        <f>IFERROR(SUMIFS(TM[[#All],[Total Non-Truncated Claims Spending]],TM[[#All],[Reporting Year]],2022,TM[[#All],[Insurance Category Code]],2,TM[[#All],[Large Provider Entity Code]],A288)/I288,"NA")</f>
        <v>NA</v>
      </c>
      <c r="K288" s="7" t="str">
        <f>IFERROR(SUMIFS(TM[[#All],[Total Non-Claims Spending]],TM[[#All],[Reporting Year]],2022,TM[[#All],[Insurance Category Code]],2,TM[[#All],[Large Provider Entity Code]],A288)/I288,"NA")</f>
        <v>NA</v>
      </c>
      <c r="L288" s="7" t="str">
        <f>IFERROR(SUMIFS(TM[[#All],[Total Non-Truncated Claims and Non-Claims Spending]],TM[[#All],[Reporting Year]],2022,TM[[#All],[Insurance Category Code]],2,TM[[#All],[Large Provider Entity Code]],A288)/I288,"NA")</f>
        <v>NA</v>
      </c>
      <c r="M288" s="7" t="str">
        <f>IFERROR(SUMIFS(TM[[#All],[Total Truncated Claims Spending]],TM[[#All],[Reporting Year]],2022,TM[[#All],[Insurance Category Code]],2,TM[[#All],[Large Provider Entity Code]],A288)/I288,"NA")</f>
        <v>NA</v>
      </c>
      <c r="N288" s="96" t="str">
        <f>IFERROR(SUMIFS(TM[[#All],[Total Truncated Expenses]],TM[[#All],[Reporting Year]],2022,TM[[#All],[Insurance Category Code]],2,TM[[#All],[Large Provider Entity Code]],A288)/I288,"NA")</f>
        <v>NA</v>
      </c>
      <c r="O288" s="518">
        <f t="shared" si="206"/>
        <v>0</v>
      </c>
      <c r="P288" s="243" t="str">
        <f t="shared" si="200"/>
        <v>NA</v>
      </c>
      <c r="Q288" s="97" t="str">
        <f t="shared" si="201"/>
        <v>NA</v>
      </c>
      <c r="R288" s="97" t="str">
        <f t="shared" si="202"/>
        <v>NA</v>
      </c>
      <c r="S288" s="97" t="str">
        <f t="shared" si="203"/>
        <v>NA</v>
      </c>
      <c r="T288" s="97" t="str">
        <f t="shared" si="204"/>
        <v>NA</v>
      </c>
      <c r="U288" s="97" t="str">
        <f t="shared" si="205"/>
        <v>NA</v>
      </c>
    </row>
    <row r="289" spans="1:21" x14ac:dyDescent="0.25">
      <c r="A289" s="218">
        <v>108</v>
      </c>
      <c r="B289" s="495" t="s">
        <v>612</v>
      </c>
      <c r="C289" s="8">
        <f>SUMIFS(TM[[#All],[Member Months]],TM[[#All],[Reporting Year]],2021,TM[[#All],[Insurance Category Code]],2,TM[[#All],[Large Provider Entity Code]],A289)</f>
        <v>0</v>
      </c>
      <c r="D289" s="7" t="str">
        <f>IFERROR(SUMIFS(TM[[#All],[Total Non-Truncated Claims Spending]],TM[[#All],[Reporting Year]],2021,TM[[#All],[Insurance Category Code]],2,TM[[#All],[Large Provider Entity Code]],A289)/C289,"NA")</f>
        <v>NA</v>
      </c>
      <c r="E289" s="7" t="str">
        <f>IFERROR(SUMIFS(TM[[#All],[Total Non-Claims Spending]],TM[[#All],[Reporting Year]],2021,TM[[#All],[Insurance Category Code]],2,TM[[#All],[Large Provider Entity Code]],A289)/C289,"NA")</f>
        <v>NA</v>
      </c>
      <c r="F289" s="7" t="str">
        <f>IFERROR(SUMIFS(TM[[#All],[Total Non-Truncated Claims and Non-Claims Spending]],TM[[#All],[Reporting Year]],2021,TM[[#All],[Insurance Category Code]],2,TM[[#All],[Large Provider Entity Code]],A289)/C289,"NA")</f>
        <v>NA</v>
      </c>
      <c r="G289" s="7" t="str">
        <f>IFERROR(SUMIFS(TM[[#All],[Total Truncated Claims Spending]],TM[[#All],[Reporting Year]],2021,TM[[#All],[Insurance Category Code]],2,TM[[#All],[Large Provider Entity Code]],A289)/C289,"NA")</f>
        <v>NA</v>
      </c>
      <c r="H289" s="204" t="str">
        <f>IFERROR(SUMIFS(TM[[#All],[Total Truncated Expenses]],TM[[#All],[Reporting Year]],2021,TM[[#All],[Insurance Category Code]],2,TM[[#All],[Large Provider Entity Code]],A289)/C289,"NA")</f>
        <v>NA</v>
      </c>
      <c r="I289" s="95">
        <f>SUMIFS(TM[[#All],[Member Months]],TM[[#All],[Reporting Year]],2022,TM[[#All],[Insurance Category Code]],2,TM[[#All],[Large Provider Entity Code]],A289)</f>
        <v>0</v>
      </c>
      <c r="J289" s="7" t="str">
        <f>IFERROR(SUMIFS(TM[[#All],[Total Non-Truncated Claims Spending]],TM[[#All],[Reporting Year]],2022,TM[[#All],[Insurance Category Code]],2,TM[[#All],[Large Provider Entity Code]],A289)/I289,"NA")</f>
        <v>NA</v>
      </c>
      <c r="K289" s="7" t="str">
        <f>IFERROR(SUMIFS(TM[[#All],[Total Non-Claims Spending]],TM[[#All],[Reporting Year]],2022,TM[[#All],[Insurance Category Code]],2,TM[[#All],[Large Provider Entity Code]],A289)/I289,"NA")</f>
        <v>NA</v>
      </c>
      <c r="L289" s="7" t="str">
        <f>IFERROR(SUMIFS(TM[[#All],[Total Non-Truncated Claims and Non-Claims Spending]],TM[[#All],[Reporting Year]],2022,TM[[#All],[Insurance Category Code]],2,TM[[#All],[Large Provider Entity Code]],A289)/I289,"NA")</f>
        <v>NA</v>
      </c>
      <c r="M289" s="7" t="str">
        <f>IFERROR(SUMIFS(TM[[#All],[Total Truncated Claims Spending]],TM[[#All],[Reporting Year]],2022,TM[[#All],[Insurance Category Code]],2,TM[[#All],[Large Provider Entity Code]],A289)/I289,"NA")</f>
        <v>NA</v>
      </c>
      <c r="N289" s="96" t="str">
        <f>IFERROR(SUMIFS(TM[[#All],[Total Truncated Expenses]],TM[[#All],[Reporting Year]],2022,TM[[#All],[Insurance Category Code]],2,TM[[#All],[Large Provider Entity Code]],A289)/I289,"NA")</f>
        <v>NA</v>
      </c>
      <c r="O289" s="518">
        <f t="shared" si="206"/>
        <v>0</v>
      </c>
      <c r="P289" s="243" t="str">
        <f t="shared" si="200"/>
        <v>NA</v>
      </c>
      <c r="Q289" s="97" t="str">
        <f t="shared" si="201"/>
        <v>NA</v>
      </c>
      <c r="R289" s="97" t="str">
        <f t="shared" si="202"/>
        <v>NA</v>
      </c>
      <c r="S289" s="97" t="str">
        <f t="shared" si="203"/>
        <v>NA</v>
      </c>
      <c r="T289" s="97" t="str">
        <f t="shared" si="204"/>
        <v>NA</v>
      </c>
      <c r="U289" s="97" t="str">
        <f t="shared" si="205"/>
        <v>NA</v>
      </c>
    </row>
    <row r="290" spans="1:21" x14ac:dyDescent="0.25">
      <c r="A290" s="218">
        <v>109</v>
      </c>
      <c r="B290" s="571" t="s">
        <v>76</v>
      </c>
      <c r="C290" s="8">
        <f>SUMIFS(TM[[#All],[Member Months]],TM[[#All],[Reporting Year]],2021,TM[[#All],[Insurance Category Code]],2,TM[[#All],[Large Provider Entity Code]],A290)</f>
        <v>0</v>
      </c>
      <c r="D290" s="7" t="str">
        <f>IFERROR(SUMIFS(TM[[#All],[Total Non-Truncated Claims Spending]],TM[[#All],[Reporting Year]],2021,TM[[#All],[Insurance Category Code]],2,TM[[#All],[Large Provider Entity Code]],A290)/C290,"NA")</f>
        <v>NA</v>
      </c>
      <c r="E290" s="7" t="str">
        <f>IFERROR(SUMIFS(TM[[#All],[Total Non-Claims Spending]],TM[[#All],[Reporting Year]],2021,TM[[#All],[Insurance Category Code]],2,TM[[#All],[Large Provider Entity Code]],A290)/C290,"NA")</f>
        <v>NA</v>
      </c>
      <c r="F290" s="7" t="str">
        <f>IFERROR(SUMIFS(TM[[#All],[Total Non-Truncated Claims and Non-Claims Spending]],TM[[#All],[Reporting Year]],2021,TM[[#All],[Insurance Category Code]],2,TM[[#All],[Large Provider Entity Code]],A290)/C290,"NA")</f>
        <v>NA</v>
      </c>
      <c r="G290" s="7" t="str">
        <f>IFERROR(SUMIFS(TM[[#All],[Total Truncated Claims Spending]],TM[[#All],[Reporting Year]],2021,TM[[#All],[Insurance Category Code]],2,TM[[#All],[Large Provider Entity Code]],A290)/C290,"NA")</f>
        <v>NA</v>
      </c>
      <c r="H290" s="204" t="str">
        <f>IFERROR(SUMIFS(TM[[#All],[Total Truncated Expenses]],TM[[#All],[Reporting Year]],2021,TM[[#All],[Insurance Category Code]],2,TM[[#All],[Large Provider Entity Code]],A290)/C290,"NA")</f>
        <v>NA</v>
      </c>
      <c r="I290" s="95">
        <f>SUMIFS(TM[[#All],[Member Months]],TM[[#All],[Reporting Year]],2022,TM[[#All],[Insurance Category Code]],2,TM[[#All],[Large Provider Entity Code]],A290)</f>
        <v>0</v>
      </c>
      <c r="J290" s="7" t="str">
        <f>IFERROR(SUMIFS(TM[[#All],[Total Non-Truncated Claims Spending]],TM[[#All],[Reporting Year]],2022,TM[[#All],[Insurance Category Code]],2,TM[[#All],[Large Provider Entity Code]],A290)/I290,"NA")</f>
        <v>NA</v>
      </c>
      <c r="K290" s="7" t="str">
        <f>IFERROR(SUMIFS(TM[[#All],[Total Non-Claims Spending]],TM[[#All],[Reporting Year]],2022,TM[[#All],[Insurance Category Code]],2,TM[[#All],[Large Provider Entity Code]],A290)/I290,"NA")</f>
        <v>NA</v>
      </c>
      <c r="L290" s="7" t="str">
        <f>IFERROR(SUMIFS(TM[[#All],[Total Non-Truncated Claims and Non-Claims Spending]],TM[[#All],[Reporting Year]],2022,TM[[#All],[Insurance Category Code]],2,TM[[#All],[Large Provider Entity Code]],A290)/I290,"NA")</f>
        <v>NA</v>
      </c>
      <c r="M290" s="7" t="str">
        <f>IFERROR(SUMIFS(TM[[#All],[Total Truncated Claims Spending]],TM[[#All],[Reporting Year]],2022,TM[[#All],[Insurance Category Code]],2,TM[[#All],[Large Provider Entity Code]],A290)/I290,"NA")</f>
        <v>NA</v>
      </c>
      <c r="N290" s="96" t="str">
        <f>IFERROR(SUMIFS(TM[[#All],[Total Truncated Expenses]],TM[[#All],[Reporting Year]],2022,TM[[#All],[Insurance Category Code]],2,TM[[#All],[Large Provider Entity Code]],A290)/I290,"NA")</f>
        <v>NA</v>
      </c>
      <c r="O290" s="518">
        <f t="shared" si="206"/>
        <v>0</v>
      </c>
      <c r="P290" s="243" t="str">
        <f t="shared" si="200"/>
        <v>NA</v>
      </c>
      <c r="Q290" s="97" t="str">
        <f t="shared" si="201"/>
        <v>NA</v>
      </c>
      <c r="R290" s="97" t="str">
        <f t="shared" si="202"/>
        <v>NA</v>
      </c>
      <c r="S290" s="97" t="str">
        <f t="shared" si="203"/>
        <v>NA</v>
      </c>
      <c r="T290" s="97" t="str">
        <f t="shared" si="204"/>
        <v>NA</v>
      </c>
      <c r="U290" s="97" t="str">
        <f t="shared" si="205"/>
        <v>NA</v>
      </c>
    </row>
    <row r="291" spans="1:21" x14ac:dyDescent="0.25">
      <c r="A291" s="218">
        <v>110</v>
      </c>
      <c r="B291" s="495" t="s">
        <v>77</v>
      </c>
      <c r="C291" s="8">
        <f>SUMIFS(TM[[#All],[Member Months]],TM[[#All],[Reporting Year]],2021,TM[[#All],[Insurance Category Code]],2,TM[[#All],[Large Provider Entity Code]],A291)</f>
        <v>0</v>
      </c>
      <c r="D291" s="7" t="str">
        <f>IFERROR(SUMIFS(TM[[#All],[Total Non-Truncated Claims Spending]],TM[[#All],[Reporting Year]],2021,TM[[#All],[Insurance Category Code]],2,TM[[#All],[Large Provider Entity Code]],A291)/C291,"NA")</f>
        <v>NA</v>
      </c>
      <c r="E291" s="7" t="str">
        <f>IFERROR(SUMIFS(TM[[#All],[Total Non-Claims Spending]],TM[[#All],[Reporting Year]],2021,TM[[#All],[Insurance Category Code]],2,TM[[#All],[Large Provider Entity Code]],A291)/C291,"NA")</f>
        <v>NA</v>
      </c>
      <c r="F291" s="7" t="str">
        <f>IFERROR(SUMIFS(TM[[#All],[Total Non-Truncated Claims and Non-Claims Spending]],TM[[#All],[Reporting Year]],2021,TM[[#All],[Insurance Category Code]],2,TM[[#All],[Large Provider Entity Code]],A291)/C291,"NA")</f>
        <v>NA</v>
      </c>
      <c r="G291" s="7" t="str">
        <f>IFERROR(SUMIFS(TM[[#All],[Total Truncated Claims Spending]],TM[[#All],[Reporting Year]],2021,TM[[#All],[Insurance Category Code]],2,TM[[#All],[Large Provider Entity Code]],A291)/C291,"NA")</f>
        <v>NA</v>
      </c>
      <c r="H291" s="204" t="str">
        <f>IFERROR(SUMIFS(TM[[#All],[Total Truncated Expenses]],TM[[#All],[Reporting Year]],2021,TM[[#All],[Insurance Category Code]],2,TM[[#All],[Large Provider Entity Code]],A291)/C291,"NA")</f>
        <v>NA</v>
      </c>
      <c r="I291" s="95">
        <f>SUMIFS(TM[[#All],[Member Months]],TM[[#All],[Reporting Year]],2022,TM[[#All],[Insurance Category Code]],2,TM[[#All],[Large Provider Entity Code]],A291)</f>
        <v>0</v>
      </c>
      <c r="J291" s="7" t="str">
        <f>IFERROR(SUMIFS(TM[[#All],[Total Non-Truncated Claims Spending]],TM[[#All],[Reporting Year]],2022,TM[[#All],[Insurance Category Code]],2,TM[[#All],[Large Provider Entity Code]],A291)/I291,"NA")</f>
        <v>NA</v>
      </c>
      <c r="K291" s="7" t="str">
        <f>IFERROR(SUMIFS(TM[[#All],[Total Non-Claims Spending]],TM[[#All],[Reporting Year]],2022,TM[[#All],[Insurance Category Code]],2,TM[[#All],[Large Provider Entity Code]],A291)/I291,"NA")</f>
        <v>NA</v>
      </c>
      <c r="L291" s="7" t="str">
        <f>IFERROR(SUMIFS(TM[[#All],[Total Non-Truncated Claims and Non-Claims Spending]],TM[[#All],[Reporting Year]],2022,TM[[#All],[Insurance Category Code]],2,TM[[#All],[Large Provider Entity Code]],A291)/I291,"NA")</f>
        <v>NA</v>
      </c>
      <c r="M291" s="7" t="str">
        <f>IFERROR(SUMIFS(TM[[#All],[Total Truncated Claims Spending]],TM[[#All],[Reporting Year]],2022,TM[[#All],[Insurance Category Code]],2,TM[[#All],[Large Provider Entity Code]],A291)/I291,"NA")</f>
        <v>NA</v>
      </c>
      <c r="N291" s="96" t="str">
        <f>IFERROR(SUMIFS(TM[[#All],[Total Truncated Expenses]],TM[[#All],[Reporting Year]],2022,TM[[#All],[Insurance Category Code]],2,TM[[#All],[Large Provider Entity Code]],A291)/I291,"NA")</f>
        <v>NA</v>
      </c>
      <c r="O291" s="518">
        <f t="shared" si="206"/>
        <v>0</v>
      </c>
      <c r="P291" s="243" t="str">
        <f t="shared" si="200"/>
        <v>NA</v>
      </c>
      <c r="Q291" s="97" t="str">
        <f t="shared" si="201"/>
        <v>NA</v>
      </c>
      <c r="R291" s="97" t="str">
        <f t="shared" si="202"/>
        <v>NA</v>
      </c>
      <c r="S291" s="97" t="str">
        <f t="shared" si="203"/>
        <v>NA</v>
      </c>
      <c r="T291" s="97" t="str">
        <f t="shared" si="204"/>
        <v>NA</v>
      </c>
      <c r="U291" s="97" t="str">
        <f t="shared" si="205"/>
        <v>NA</v>
      </c>
    </row>
    <row r="292" spans="1:21" x14ac:dyDescent="0.25">
      <c r="A292" s="218">
        <v>111</v>
      </c>
      <c r="B292" s="566" t="s">
        <v>78</v>
      </c>
      <c r="C292" s="8">
        <f>SUMIFS(TM[[#All],[Member Months]],TM[[#All],[Reporting Year]],2021,TM[[#All],[Insurance Category Code]],2,TM[[#All],[Large Provider Entity Code]],A292)</f>
        <v>0</v>
      </c>
      <c r="D292" s="7" t="str">
        <f>IFERROR(SUMIFS(TM[[#All],[Total Non-Truncated Claims Spending]],TM[[#All],[Reporting Year]],2021,TM[[#All],[Insurance Category Code]],2,TM[[#All],[Large Provider Entity Code]],A292)/C292,"NA")</f>
        <v>NA</v>
      </c>
      <c r="E292" s="7" t="str">
        <f>IFERROR(SUMIFS(TM[[#All],[Total Non-Claims Spending]],TM[[#All],[Reporting Year]],2021,TM[[#All],[Insurance Category Code]],2,TM[[#All],[Large Provider Entity Code]],A292)/C292,"NA")</f>
        <v>NA</v>
      </c>
      <c r="F292" s="7" t="str">
        <f>IFERROR(SUMIFS(TM[[#All],[Total Non-Truncated Claims and Non-Claims Spending]],TM[[#All],[Reporting Year]],2021,TM[[#All],[Insurance Category Code]],2,TM[[#All],[Large Provider Entity Code]],A292)/C292,"NA")</f>
        <v>NA</v>
      </c>
      <c r="G292" s="7" t="str">
        <f>IFERROR(SUMIFS(TM[[#All],[Total Truncated Claims Spending]],TM[[#All],[Reporting Year]],2021,TM[[#All],[Insurance Category Code]],2,TM[[#All],[Large Provider Entity Code]],A292)/C292,"NA")</f>
        <v>NA</v>
      </c>
      <c r="H292" s="204" t="str">
        <f>IFERROR(SUMIFS(TM[[#All],[Total Truncated Expenses]],TM[[#All],[Reporting Year]],2021,TM[[#All],[Insurance Category Code]],2,TM[[#All],[Large Provider Entity Code]],A292)/C292,"NA")</f>
        <v>NA</v>
      </c>
      <c r="I292" s="95">
        <f>SUMIFS(TM[[#All],[Member Months]],TM[[#All],[Reporting Year]],2022,TM[[#All],[Insurance Category Code]],2,TM[[#All],[Large Provider Entity Code]],A292)</f>
        <v>0</v>
      </c>
      <c r="J292" s="7" t="str">
        <f>IFERROR(SUMIFS(TM[[#All],[Total Non-Truncated Claims Spending]],TM[[#All],[Reporting Year]],2022,TM[[#All],[Insurance Category Code]],2,TM[[#All],[Large Provider Entity Code]],A292)/I292,"NA")</f>
        <v>NA</v>
      </c>
      <c r="K292" s="7" t="str">
        <f>IFERROR(SUMIFS(TM[[#All],[Total Non-Claims Spending]],TM[[#All],[Reporting Year]],2022,TM[[#All],[Insurance Category Code]],2,TM[[#All],[Large Provider Entity Code]],A292)/I292,"NA")</f>
        <v>NA</v>
      </c>
      <c r="L292" s="7" t="str">
        <f>IFERROR(SUMIFS(TM[[#All],[Total Non-Truncated Claims and Non-Claims Spending]],TM[[#All],[Reporting Year]],2022,TM[[#All],[Insurance Category Code]],2,TM[[#All],[Large Provider Entity Code]],A292)/I292,"NA")</f>
        <v>NA</v>
      </c>
      <c r="M292" s="7" t="str">
        <f>IFERROR(SUMIFS(TM[[#All],[Total Truncated Claims Spending]],TM[[#All],[Reporting Year]],2022,TM[[#All],[Insurance Category Code]],2,TM[[#All],[Large Provider Entity Code]],A292)/I292,"NA")</f>
        <v>NA</v>
      </c>
      <c r="N292" s="96" t="str">
        <f>IFERROR(SUMIFS(TM[[#All],[Total Truncated Expenses]],TM[[#All],[Reporting Year]],2022,TM[[#All],[Insurance Category Code]],2,TM[[#All],[Large Provider Entity Code]],A292)/I292,"NA")</f>
        <v>NA</v>
      </c>
      <c r="O292" s="518">
        <f t="shared" si="206"/>
        <v>0</v>
      </c>
      <c r="P292" s="243" t="str">
        <f t="shared" si="200"/>
        <v>NA</v>
      </c>
      <c r="Q292" s="97" t="str">
        <f t="shared" si="201"/>
        <v>NA</v>
      </c>
      <c r="R292" s="97" t="str">
        <f t="shared" si="202"/>
        <v>NA</v>
      </c>
      <c r="S292" s="97" t="str">
        <f t="shared" si="203"/>
        <v>NA</v>
      </c>
      <c r="T292" s="97" t="str">
        <f t="shared" si="204"/>
        <v>NA</v>
      </c>
      <c r="U292" s="97" t="str">
        <f t="shared" si="205"/>
        <v>NA</v>
      </c>
    </row>
    <row r="293" spans="1:21" x14ac:dyDescent="0.25">
      <c r="A293" s="218">
        <v>112</v>
      </c>
      <c r="B293" s="566" t="s">
        <v>613</v>
      </c>
      <c r="C293" s="8">
        <f>SUMIFS(TM[[#All],[Member Months]],TM[[#All],[Reporting Year]],2021,TM[[#All],[Insurance Category Code]],2,TM[[#All],[Large Provider Entity Code]],A293)</f>
        <v>0</v>
      </c>
      <c r="D293" s="7" t="str">
        <f>IFERROR(SUMIFS(TM[[#All],[Total Non-Truncated Claims Spending]],TM[[#All],[Reporting Year]],2021,TM[[#All],[Insurance Category Code]],2,TM[[#All],[Large Provider Entity Code]],A293)/C293,"NA")</f>
        <v>NA</v>
      </c>
      <c r="E293" s="7" t="str">
        <f>IFERROR(SUMIFS(TM[[#All],[Total Non-Claims Spending]],TM[[#All],[Reporting Year]],2021,TM[[#All],[Insurance Category Code]],2,TM[[#All],[Large Provider Entity Code]],A293)/C293,"NA")</f>
        <v>NA</v>
      </c>
      <c r="F293" s="7" t="str">
        <f>IFERROR(SUMIFS(TM[[#All],[Total Non-Truncated Claims and Non-Claims Spending]],TM[[#All],[Reporting Year]],2021,TM[[#All],[Insurance Category Code]],2,TM[[#All],[Large Provider Entity Code]],A293)/C293,"NA")</f>
        <v>NA</v>
      </c>
      <c r="G293" s="7" t="str">
        <f>IFERROR(SUMIFS(TM[[#All],[Total Truncated Claims Spending]],TM[[#All],[Reporting Year]],2021,TM[[#All],[Insurance Category Code]],2,TM[[#All],[Large Provider Entity Code]],A293)/C293,"NA")</f>
        <v>NA</v>
      </c>
      <c r="H293" s="204" t="str">
        <f>IFERROR(SUMIFS(TM[[#All],[Total Truncated Expenses]],TM[[#All],[Reporting Year]],2021,TM[[#All],[Insurance Category Code]],2,TM[[#All],[Large Provider Entity Code]],A293)/C293,"NA")</f>
        <v>NA</v>
      </c>
      <c r="I293" s="95">
        <f>SUMIFS(TM[[#All],[Member Months]],TM[[#All],[Reporting Year]],2022,TM[[#All],[Insurance Category Code]],2,TM[[#All],[Large Provider Entity Code]],A293)</f>
        <v>0</v>
      </c>
      <c r="J293" s="7" t="str">
        <f>IFERROR(SUMIFS(TM[[#All],[Total Non-Truncated Claims Spending]],TM[[#All],[Reporting Year]],2022,TM[[#All],[Insurance Category Code]],2,TM[[#All],[Large Provider Entity Code]],A293)/I293,"NA")</f>
        <v>NA</v>
      </c>
      <c r="K293" s="7" t="str">
        <f>IFERROR(SUMIFS(TM[[#All],[Total Non-Claims Spending]],TM[[#All],[Reporting Year]],2022,TM[[#All],[Insurance Category Code]],2,TM[[#All],[Large Provider Entity Code]],A293)/I293,"NA")</f>
        <v>NA</v>
      </c>
      <c r="L293" s="7" t="str">
        <f>IFERROR(SUMIFS(TM[[#All],[Total Non-Truncated Claims and Non-Claims Spending]],TM[[#All],[Reporting Year]],2022,TM[[#All],[Insurance Category Code]],2,TM[[#All],[Large Provider Entity Code]],A293)/I293,"NA")</f>
        <v>NA</v>
      </c>
      <c r="M293" s="7" t="str">
        <f>IFERROR(SUMIFS(TM[[#All],[Total Truncated Claims Spending]],TM[[#All],[Reporting Year]],2022,TM[[#All],[Insurance Category Code]],2,TM[[#All],[Large Provider Entity Code]],A293)/I293,"NA")</f>
        <v>NA</v>
      </c>
      <c r="N293" s="96" t="str">
        <f>IFERROR(SUMIFS(TM[[#All],[Total Truncated Expenses]],TM[[#All],[Reporting Year]],2022,TM[[#All],[Insurance Category Code]],2,TM[[#All],[Large Provider Entity Code]],A293)/I293,"NA")</f>
        <v>NA</v>
      </c>
      <c r="O293" s="518">
        <f t="shared" si="206"/>
        <v>0</v>
      </c>
      <c r="P293" s="243" t="str">
        <f t="shared" si="200"/>
        <v>NA</v>
      </c>
      <c r="Q293" s="97" t="str">
        <f t="shared" si="201"/>
        <v>NA</v>
      </c>
      <c r="R293" s="97" t="str">
        <f t="shared" si="202"/>
        <v>NA</v>
      </c>
      <c r="S293" s="97" t="str">
        <f t="shared" si="203"/>
        <v>NA</v>
      </c>
      <c r="T293" s="97" t="str">
        <f t="shared" si="204"/>
        <v>NA</v>
      </c>
      <c r="U293" s="97" t="str">
        <f t="shared" si="205"/>
        <v>NA</v>
      </c>
    </row>
    <row r="294" spans="1:21" x14ac:dyDescent="0.25">
      <c r="A294" s="218">
        <v>115</v>
      </c>
      <c r="B294" s="566" t="s">
        <v>79</v>
      </c>
      <c r="C294" s="8">
        <f>SUMIFS(TM[[#All],[Member Months]],TM[[#All],[Reporting Year]],2021,TM[[#All],[Insurance Category Code]],2,TM[[#All],[Large Provider Entity Code]],A294)</f>
        <v>0</v>
      </c>
      <c r="D294" s="7" t="str">
        <f>IFERROR(SUMIFS(TM[[#All],[Total Non-Truncated Claims Spending]],TM[[#All],[Reporting Year]],2021,TM[[#All],[Insurance Category Code]],2,TM[[#All],[Large Provider Entity Code]],A294)/C294,"NA")</f>
        <v>NA</v>
      </c>
      <c r="E294" s="7" t="str">
        <f>IFERROR(SUMIFS(TM[[#All],[Total Non-Claims Spending]],TM[[#All],[Reporting Year]],2021,TM[[#All],[Insurance Category Code]],2,TM[[#All],[Large Provider Entity Code]],A294)/C294,"NA")</f>
        <v>NA</v>
      </c>
      <c r="F294" s="7" t="str">
        <f>IFERROR(SUMIFS(TM[[#All],[Total Non-Truncated Claims and Non-Claims Spending]],TM[[#All],[Reporting Year]],2021,TM[[#All],[Insurance Category Code]],2,TM[[#All],[Large Provider Entity Code]],A294)/C294,"NA")</f>
        <v>NA</v>
      </c>
      <c r="G294" s="7" t="str">
        <f>IFERROR(SUMIFS(TM[[#All],[Total Truncated Claims Spending]],TM[[#All],[Reporting Year]],2021,TM[[#All],[Insurance Category Code]],2,TM[[#All],[Large Provider Entity Code]],A294)/C294,"NA")</f>
        <v>NA</v>
      </c>
      <c r="H294" s="204" t="str">
        <f>IFERROR(SUMIFS(TM[[#All],[Total Truncated Expenses]],TM[[#All],[Reporting Year]],2021,TM[[#All],[Insurance Category Code]],2,TM[[#All],[Large Provider Entity Code]],A294)/C294,"NA")</f>
        <v>NA</v>
      </c>
      <c r="I294" s="95">
        <f>SUMIFS(TM[[#All],[Member Months]],TM[[#All],[Reporting Year]],2022,TM[[#All],[Insurance Category Code]],2,TM[[#All],[Large Provider Entity Code]],A294)</f>
        <v>0</v>
      </c>
      <c r="J294" s="7" t="str">
        <f>IFERROR(SUMIFS(TM[[#All],[Total Non-Truncated Claims Spending]],TM[[#All],[Reporting Year]],2022,TM[[#All],[Insurance Category Code]],2,TM[[#All],[Large Provider Entity Code]],A294)/I294,"NA")</f>
        <v>NA</v>
      </c>
      <c r="K294" s="7" t="str">
        <f>IFERROR(SUMIFS(TM[[#All],[Total Non-Claims Spending]],TM[[#All],[Reporting Year]],2022,TM[[#All],[Insurance Category Code]],2,TM[[#All],[Large Provider Entity Code]],A294)/I294,"NA")</f>
        <v>NA</v>
      </c>
      <c r="L294" s="7" t="str">
        <f>IFERROR(SUMIFS(TM[[#All],[Total Non-Truncated Claims and Non-Claims Spending]],TM[[#All],[Reporting Year]],2022,TM[[#All],[Insurance Category Code]],2,TM[[#All],[Large Provider Entity Code]],A294)/I294,"NA")</f>
        <v>NA</v>
      </c>
      <c r="M294" s="7" t="str">
        <f>IFERROR(SUMIFS(TM[[#All],[Total Truncated Claims Spending]],TM[[#All],[Reporting Year]],2022,TM[[#All],[Insurance Category Code]],2,TM[[#All],[Large Provider Entity Code]],A294)/I294,"NA")</f>
        <v>NA</v>
      </c>
      <c r="N294" s="96" t="str">
        <f>IFERROR(SUMIFS(TM[[#All],[Total Truncated Expenses]],TM[[#All],[Reporting Year]],2022,TM[[#All],[Insurance Category Code]],2,TM[[#All],[Large Provider Entity Code]],A294)/I294,"NA")</f>
        <v>NA</v>
      </c>
      <c r="O294" s="518">
        <f t="shared" si="206"/>
        <v>0</v>
      </c>
      <c r="P294" s="243" t="str">
        <f t="shared" si="200"/>
        <v>NA</v>
      </c>
      <c r="Q294" s="97" t="str">
        <f t="shared" si="201"/>
        <v>NA</v>
      </c>
      <c r="R294" s="97" t="str">
        <f t="shared" si="202"/>
        <v>NA</v>
      </c>
      <c r="S294" s="97" t="str">
        <f t="shared" si="203"/>
        <v>NA</v>
      </c>
      <c r="T294" s="97" t="str">
        <f t="shared" si="204"/>
        <v>NA</v>
      </c>
      <c r="U294" s="97" t="str">
        <f t="shared" si="205"/>
        <v>NA</v>
      </c>
    </row>
    <row r="295" spans="1:21" x14ac:dyDescent="0.25">
      <c r="A295" s="218">
        <v>116</v>
      </c>
      <c r="B295" s="566" t="s">
        <v>614</v>
      </c>
      <c r="C295" s="8">
        <f>SUMIFS(TM[[#All],[Member Months]],TM[[#All],[Reporting Year]],2021,TM[[#All],[Insurance Category Code]],2,TM[[#All],[Large Provider Entity Code]],A295)</f>
        <v>0</v>
      </c>
      <c r="D295" s="7" t="str">
        <f>IFERROR(SUMIFS(TM[[#All],[Total Non-Truncated Claims Spending]],TM[[#All],[Reporting Year]],2021,TM[[#All],[Insurance Category Code]],2,TM[[#All],[Large Provider Entity Code]],A295)/C295,"NA")</f>
        <v>NA</v>
      </c>
      <c r="E295" s="7" t="str">
        <f>IFERROR(SUMIFS(TM[[#All],[Total Non-Claims Spending]],TM[[#All],[Reporting Year]],2021,TM[[#All],[Insurance Category Code]],2,TM[[#All],[Large Provider Entity Code]],A295)/C295,"NA")</f>
        <v>NA</v>
      </c>
      <c r="F295" s="7" t="str">
        <f>IFERROR(SUMIFS(TM[[#All],[Total Non-Truncated Claims and Non-Claims Spending]],TM[[#All],[Reporting Year]],2021,TM[[#All],[Insurance Category Code]],2,TM[[#All],[Large Provider Entity Code]],A295)/C295,"NA")</f>
        <v>NA</v>
      </c>
      <c r="G295" s="7" t="str">
        <f>IFERROR(SUMIFS(TM[[#All],[Total Truncated Claims Spending]],TM[[#All],[Reporting Year]],2021,TM[[#All],[Insurance Category Code]],2,TM[[#All],[Large Provider Entity Code]],A295)/C295,"NA")</f>
        <v>NA</v>
      </c>
      <c r="H295" s="204" t="str">
        <f>IFERROR(SUMIFS(TM[[#All],[Total Truncated Expenses]],TM[[#All],[Reporting Year]],2021,TM[[#All],[Insurance Category Code]],2,TM[[#All],[Large Provider Entity Code]],A295)/C295,"NA")</f>
        <v>NA</v>
      </c>
      <c r="I295" s="95">
        <f>SUMIFS(TM[[#All],[Member Months]],TM[[#All],[Reporting Year]],2022,TM[[#All],[Insurance Category Code]],2,TM[[#All],[Large Provider Entity Code]],A295)</f>
        <v>0</v>
      </c>
      <c r="J295" s="7" t="str">
        <f>IFERROR(SUMIFS(TM[[#All],[Total Non-Truncated Claims Spending]],TM[[#All],[Reporting Year]],2022,TM[[#All],[Insurance Category Code]],2,TM[[#All],[Large Provider Entity Code]],A295)/I295,"NA")</f>
        <v>NA</v>
      </c>
      <c r="K295" s="7" t="str">
        <f>IFERROR(SUMIFS(TM[[#All],[Total Non-Claims Spending]],TM[[#All],[Reporting Year]],2022,TM[[#All],[Insurance Category Code]],2,TM[[#All],[Large Provider Entity Code]],A295)/I295,"NA")</f>
        <v>NA</v>
      </c>
      <c r="L295" s="7" t="str">
        <f>IFERROR(SUMIFS(TM[[#All],[Total Non-Truncated Claims and Non-Claims Spending]],TM[[#All],[Reporting Year]],2022,TM[[#All],[Insurance Category Code]],2,TM[[#All],[Large Provider Entity Code]],A295)/I295,"NA")</f>
        <v>NA</v>
      </c>
      <c r="M295" s="7" t="str">
        <f>IFERROR(SUMIFS(TM[[#All],[Total Truncated Claims Spending]],TM[[#All],[Reporting Year]],2022,TM[[#All],[Insurance Category Code]],2,TM[[#All],[Large Provider Entity Code]],A295)/I295,"NA")</f>
        <v>NA</v>
      </c>
      <c r="N295" s="96" t="str">
        <f>IFERROR(SUMIFS(TM[[#All],[Total Truncated Expenses]],TM[[#All],[Reporting Year]],2022,TM[[#All],[Insurance Category Code]],2,TM[[#All],[Large Provider Entity Code]],A295)/I295,"NA")</f>
        <v>NA</v>
      </c>
      <c r="O295" s="518">
        <f t="shared" si="206"/>
        <v>0</v>
      </c>
      <c r="P295" s="243" t="str">
        <f t="shared" si="200"/>
        <v>NA</v>
      </c>
      <c r="Q295" s="97" t="str">
        <f t="shared" si="201"/>
        <v>NA</v>
      </c>
      <c r="R295" s="97" t="str">
        <f t="shared" si="202"/>
        <v>NA</v>
      </c>
      <c r="S295" s="97" t="str">
        <f t="shared" si="203"/>
        <v>NA</v>
      </c>
      <c r="T295" s="97" t="str">
        <f t="shared" si="204"/>
        <v>NA</v>
      </c>
      <c r="U295" s="97" t="str">
        <f t="shared" si="205"/>
        <v>NA</v>
      </c>
    </row>
    <row r="296" spans="1:21" x14ac:dyDescent="0.25">
      <c r="A296" s="218">
        <v>118</v>
      </c>
      <c r="B296" s="566" t="s">
        <v>80</v>
      </c>
      <c r="C296" s="8">
        <f>SUMIFS(TM[[#All],[Member Months]],TM[[#All],[Reporting Year]],2021,TM[[#All],[Insurance Category Code]],2,TM[[#All],[Large Provider Entity Code]],A296)</f>
        <v>0</v>
      </c>
      <c r="D296" s="7" t="str">
        <f>IFERROR(SUMIFS(TM[[#All],[Total Non-Truncated Claims Spending]],TM[[#All],[Reporting Year]],2021,TM[[#All],[Insurance Category Code]],2,TM[[#All],[Large Provider Entity Code]],A296)/C296,"NA")</f>
        <v>NA</v>
      </c>
      <c r="E296" s="7" t="str">
        <f>IFERROR(SUMIFS(TM[[#All],[Total Non-Claims Spending]],TM[[#All],[Reporting Year]],2021,TM[[#All],[Insurance Category Code]],2,TM[[#All],[Large Provider Entity Code]],A296)/C296,"NA")</f>
        <v>NA</v>
      </c>
      <c r="F296" s="7" t="str">
        <f>IFERROR(SUMIFS(TM[[#All],[Total Non-Truncated Claims and Non-Claims Spending]],TM[[#All],[Reporting Year]],2021,TM[[#All],[Insurance Category Code]],2,TM[[#All],[Large Provider Entity Code]],A296)/C296,"NA")</f>
        <v>NA</v>
      </c>
      <c r="G296" s="7" t="str">
        <f>IFERROR(SUMIFS(TM[[#All],[Total Truncated Claims Spending]],TM[[#All],[Reporting Year]],2021,TM[[#All],[Insurance Category Code]],2,TM[[#All],[Large Provider Entity Code]],A296)/C296,"NA")</f>
        <v>NA</v>
      </c>
      <c r="H296" s="204" t="str">
        <f>IFERROR(SUMIFS(TM[[#All],[Total Truncated Expenses]],TM[[#All],[Reporting Year]],2021,TM[[#All],[Insurance Category Code]],2,TM[[#All],[Large Provider Entity Code]],A296)/C296,"NA")</f>
        <v>NA</v>
      </c>
      <c r="I296" s="95">
        <f>SUMIFS(TM[[#All],[Member Months]],TM[[#All],[Reporting Year]],2022,TM[[#All],[Insurance Category Code]],2,TM[[#All],[Large Provider Entity Code]],A296)</f>
        <v>0</v>
      </c>
      <c r="J296" s="7" t="str">
        <f>IFERROR(SUMIFS(TM[[#All],[Total Non-Truncated Claims Spending]],TM[[#All],[Reporting Year]],2022,TM[[#All],[Insurance Category Code]],2,TM[[#All],[Large Provider Entity Code]],A296)/I296,"NA")</f>
        <v>NA</v>
      </c>
      <c r="K296" s="7" t="str">
        <f>IFERROR(SUMIFS(TM[[#All],[Total Non-Claims Spending]],TM[[#All],[Reporting Year]],2022,TM[[#All],[Insurance Category Code]],2,TM[[#All],[Large Provider Entity Code]],A296)/I296,"NA")</f>
        <v>NA</v>
      </c>
      <c r="L296" s="7" t="str">
        <f>IFERROR(SUMIFS(TM[[#All],[Total Non-Truncated Claims and Non-Claims Spending]],TM[[#All],[Reporting Year]],2022,TM[[#All],[Insurance Category Code]],2,TM[[#All],[Large Provider Entity Code]],A296)/I296,"NA")</f>
        <v>NA</v>
      </c>
      <c r="M296" s="7" t="str">
        <f>IFERROR(SUMIFS(TM[[#All],[Total Truncated Claims Spending]],TM[[#All],[Reporting Year]],2022,TM[[#All],[Insurance Category Code]],2,TM[[#All],[Large Provider Entity Code]],A296)/I296,"NA")</f>
        <v>NA</v>
      </c>
      <c r="N296" s="96" t="str">
        <f>IFERROR(SUMIFS(TM[[#All],[Total Truncated Expenses]],TM[[#All],[Reporting Year]],2022,TM[[#All],[Insurance Category Code]],2,TM[[#All],[Large Provider Entity Code]],A296)/I296,"NA")</f>
        <v>NA</v>
      </c>
      <c r="O296" s="518">
        <f t="shared" si="206"/>
        <v>0</v>
      </c>
      <c r="P296" s="243" t="str">
        <f t="shared" si="200"/>
        <v>NA</v>
      </c>
      <c r="Q296" s="97" t="str">
        <f t="shared" si="201"/>
        <v>NA</v>
      </c>
      <c r="R296" s="97" t="str">
        <f t="shared" si="202"/>
        <v>NA</v>
      </c>
      <c r="S296" s="97" t="str">
        <f t="shared" si="203"/>
        <v>NA</v>
      </c>
      <c r="T296" s="97" t="str">
        <f t="shared" si="204"/>
        <v>NA</v>
      </c>
      <c r="U296" s="97" t="str">
        <f t="shared" si="205"/>
        <v>NA</v>
      </c>
    </row>
    <row r="297" spans="1:21" x14ac:dyDescent="0.25">
      <c r="A297" s="218">
        <v>119</v>
      </c>
      <c r="B297" s="566" t="s">
        <v>615</v>
      </c>
      <c r="C297" s="8">
        <f>SUMIFS(TM[[#All],[Member Months]],TM[[#All],[Reporting Year]],2021,TM[[#All],[Insurance Category Code]],2,TM[[#All],[Large Provider Entity Code]],A297)</f>
        <v>0</v>
      </c>
      <c r="D297" s="7" t="str">
        <f>IFERROR(SUMIFS(TM[[#All],[Total Non-Truncated Claims Spending]],TM[[#All],[Reporting Year]],2021,TM[[#All],[Insurance Category Code]],2,TM[[#All],[Large Provider Entity Code]],A297)/C297,"NA")</f>
        <v>NA</v>
      </c>
      <c r="E297" s="7" t="str">
        <f>IFERROR(SUMIFS(TM[[#All],[Total Non-Claims Spending]],TM[[#All],[Reporting Year]],2021,TM[[#All],[Insurance Category Code]],2,TM[[#All],[Large Provider Entity Code]],A297)/C297,"NA")</f>
        <v>NA</v>
      </c>
      <c r="F297" s="7" t="str">
        <f>IFERROR(SUMIFS(TM[[#All],[Total Non-Truncated Claims and Non-Claims Spending]],TM[[#All],[Reporting Year]],2021,TM[[#All],[Insurance Category Code]],2,TM[[#All],[Large Provider Entity Code]],A297)/C297,"NA")</f>
        <v>NA</v>
      </c>
      <c r="G297" s="7" t="str">
        <f>IFERROR(SUMIFS(TM[[#All],[Total Truncated Claims Spending]],TM[[#All],[Reporting Year]],2021,TM[[#All],[Insurance Category Code]],2,TM[[#All],[Large Provider Entity Code]],A297)/C297,"NA")</f>
        <v>NA</v>
      </c>
      <c r="H297" s="204" t="str">
        <f>IFERROR(SUMIFS(TM[[#All],[Total Truncated Expenses]],TM[[#All],[Reporting Year]],2021,TM[[#All],[Insurance Category Code]],2,TM[[#All],[Large Provider Entity Code]],A297)/C297,"NA")</f>
        <v>NA</v>
      </c>
      <c r="I297" s="95">
        <f>SUMIFS(TM[[#All],[Member Months]],TM[[#All],[Reporting Year]],2022,TM[[#All],[Insurance Category Code]],2,TM[[#All],[Large Provider Entity Code]],A297)</f>
        <v>0</v>
      </c>
      <c r="J297" s="7" t="str">
        <f>IFERROR(SUMIFS(TM[[#All],[Total Non-Truncated Claims Spending]],TM[[#All],[Reporting Year]],2022,TM[[#All],[Insurance Category Code]],2,TM[[#All],[Large Provider Entity Code]],A297)/I297,"NA")</f>
        <v>NA</v>
      </c>
      <c r="K297" s="7" t="str">
        <f>IFERROR(SUMIFS(TM[[#All],[Total Non-Claims Spending]],TM[[#All],[Reporting Year]],2022,TM[[#All],[Insurance Category Code]],2,TM[[#All],[Large Provider Entity Code]],A297)/I297,"NA")</f>
        <v>NA</v>
      </c>
      <c r="L297" s="7" t="str">
        <f>IFERROR(SUMIFS(TM[[#All],[Total Non-Truncated Claims and Non-Claims Spending]],TM[[#All],[Reporting Year]],2022,TM[[#All],[Insurance Category Code]],2,TM[[#All],[Large Provider Entity Code]],A297)/I297,"NA")</f>
        <v>NA</v>
      </c>
      <c r="M297" s="7" t="str">
        <f>IFERROR(SUMIFS(TM[[#All],[Total Truncated Claims Spending]],TM[[#All],[Reporting Year]],2022,TM[[#All],[Insurance Category Code]],2,TM[[#All],[Large Provider Entity Code]],A297)/I297,"NA")</f>
        <v>NA</v>
      </c>
      <c r="N297" s="96" t="str">
        <f>IFERROR(SUMIFS(TM[[#All],[Total Truncated Expenses]],TM[[#All],[Reporting Year]],2022,TM[[#All],[Insurance Category Code]],2,TM[[#All],[Large Provider Entity Code]],A297)/I297,"NA")</f>
        <v>NA</v>
      </c>
      <c r="O297" s="518">
        <f t="shared" ref="O297:O300" si="207">ABS(C297-I297)</f>
        <v>0</v>
      </c>
      <c r="P297" s="243" t="str">
        <f t="shared" ref="P297:P300" si="208">IFERROR((I297/C297-1),"NA")</f>
        <v>NA</v>
      </c>
      <c r="Q297" s="97" t="str">
        <f t="shared" ref="Q297:Q300" si="209">IFERROR((J297/D297-1),"NA")</f>
        <v>NA</v>
      </c>
      <c r="R297" s="97" t="str">
        <f t="shared" ref="R297:R300" si="210">IFERROR((K297/E297-1),"NA")</f>
        <v>NA</v>
      </c>
      <c r="S297" s="97" t="str">
        <f t="shared" ref="S297:S300" si="211">IFERROR((L297/F297-1),"NA")</f>
        <v>NA</v>
      </c>
      <c r="T297" s="97" t="str">
        <f t="shared" ref="T297:T300" si="212">IFERROR((M297/G297-1),"NA")</f>
        <v>NA</v>
      </c>
      <c r="U297" s="97" t="str">
        <f t="shared" ref="U297:U300" si="213">IFERROR((N297/H297-1),"NA")</f>
        <v>NA</v>
      </c>
    </row>
    <row r="298" spans="1:21" x14ac:dyDescent="0.25">
      <c r="A298" s="218">
        <v>120</v>
      </c>
      <c r="B298" s="566" t="s">
        <v>608</v>
      </c>
      <c r="C298" s="8">
        <f>SUMIFS(TM[[#All],[Member Months]],TM[[#All],[Reporting Year]],2021,TM[[#All],[Insurance Category Code]],2,TM[[#All],[Large Provider Entity Code]],A298)</f>
        <v>0</v>
      </c>
      <c r="D298" s="7" t="str">
        <f>IFERROR(SUMIFS(TM[[#All],[Total Non-Truncated Claims Spending]],TM[[#All],[Reporting Year]],2021,TM[[#All],[Insurance Category Code]],2,TM[[#All],[Large Provider Entity Code]],A298)/C298,"NA")</f>
        <v>NA</v>
      </c>
      <c r="E298" s="7" t="str">
        <f>IFERROR(SUMIFS(TM[[#All],[Total Non-Claims Spending]],TM[[#All],[Reporting Year]],2021,TM[[#All],[Insurance Category Code]],2,TM[[#All],[Large Provider Entity Code]],A298)/C298,"NA")</f>
        <v>NA</v>
      </c>
      <c r="F298" s="7" t="str">
        <f>IFERROR(SUMIFS(TM[[#All],[Total Non-Truncated Claims and Non-Claims Spending]],TM[[#All],[Reporting Year]],2021,TM[[#All],[Insurance Category Code]],2,TM[[#All],[Large Provider Entity Code]],A298)/C298,"NA")</f>
        <v>NA</v>
      </c>
      <c r="G298" s="7" t="str">
        <f>IFERROR(SUMIFS(TM[[#All],[Total Truncated Claims Spending]],TM[[#All],[Reporting Year]],2021,TM[[#All],[Insurance Category Code]],2,TM[[#All],[Large Provider Entity Code]],A298)/C298,"NA")</f>
        <v>NA</v>
      </c>
      <c r="H298" s="204" t="str">
        <f>IFERROR(SUMIFS(TM[[#All],[Total Truncated Expenses]],TM[[#All],[Reporting Year]],2021,TM[[#All],[Insurance Category Code]],2,TM[[#All],[Large Provider Entity Code]],A298)/C298,"NA")</f>
        <v>NA</v>
      </c>
      <c r="I298" s="95">
        <f>SUMIFS(TM[[#All],[Member Months]],TM[[#All],[Reporting Year]],2022,TM[[#All],[Insurance Category Code]],2,TM[[#All],[Large Provider Entity Code]],A298)</f>
        <v>0</v>
      </c>
      <c r="J298" s="7" t="str">
        <f>IFERROR(SUMIFS(TM[[#All],[Total Non-Truncated Claims Spending]],TM[[#All],[Reporting Year]],2022,TM[[#All],[Insurance Category Code]],2,TM[[#All],[Large Provider Entity Code]],A298)/I298,"NA")</f>
        <v>NA</v>
      </c>
      <c r="K298" s="7" t="str">
        <f>IFERROR(SUMIFS(TM[[#All],[Total Non-Claims Spending]],TM[[#All],[Reporting Year]],2022,TM[[#All],[Insurance Category Code]],2,TM[[#All],[Large Provider Entity Code]],A298)/I298,"NA")</f>
        <v>NA</v>
      </c>
      <c r="L298" s="7" t="str">
        <f>IFERROR(SUMIFS(TM[[#All],[Total Non-Truncated Claims and Non-Claims Spending]],TM[[#All],[Reporting Year]],2022,TM[[#All],[Insurance Category Code]],2,TM[[#All],[Large Provider Entity Code]],A298)/I298,"NA")</f>
        <v>NA</v>
      </c>
      <c r="M298" s="7" t="str">
        <f>IFERROR(SUMIFS(TM[[#All],[Total Truncated Claims Spending]],TM[[#All],[Reporting Year]],2022,TM[[#All],[Insurance Category Code]],2,TM[[#All],[Large Provider Entity Code]],A298)/I298,"NA")</f>
        <v>NA</v>
      </c>
      <c r="N298" s="96" t="str">
        <f>IFERROR(SUMIFS(TM[[#All],[Total Truncated Expenses]],TM[[#All],[Reporting Year]],2022,TM[[#All],[Insurance Category Code]],2,TM[[#All],[Large Provider Entity Code]],A298)/I298,"NA")</f>
        <v>NA</v>
      </c>
      <c r="O298" s="518">
        <f t="shared" ref="O298" si="214">ABS(C298-I298)</f>
        <v>0</v>
      </c>
      <c r="P298" s="243" t="str">
        <f t="shared" ref="P298" si="215">IFERROR((I298/C298-1),"NA")</f>
        <v>NA</v>
      </c>
      <c r="Q298" s="97" t="str">
        <f t="shared" ref="Q298" si="216">IFERROR((J298/D298-1),"NA")</f>
        <v>NA</v>
      </c>
      <c r="R298" s="97" t="str">
        <f t="shared" ref="R298" si="217">IFERROR((K298/E298-1),"NA")</f>
        <v>NA</v>
      </c>
      <c r="S298" s="97" t="str">
        <f t="shared" ref="S298" si="218">IFERROR((L298/F298-1),"NA")</f>
        <v>NA</v>
      </c>
      <c r="T298" s="97" t="str">
        <f t="shared" ref="T298" si="219">IFERROR((M298/G298-1),"NA")</f>
        <v>NA</v>
      </c>
      <c r="U298" s="97" t="str">
        <f t="shared" ref="U298" si="220">IFERROR((N298/H298-1),"NA")</f>
        <v>NA</v>
      </c>
    </row>
    <row r="299" spans="1:21" ht="30" x14ac:dyDescent="0.25">
      <c r="A299" s="218">
        <v>121</v>
      </c>
      <c r="B299" s="495" t="s">
        <v>616</v>
      </c>
      <c r="C299" s="8">
        <f>SUMIFS(TM[[#All],[Member Months]],TM[[#All],[Reporting Year]],2021,TM[[#All],[Insurance Category Code]],2,TM[[#All],[Large Provider Entity Code]],A299)</f>
        <v>0</v>
      </c>
      <c r="D299" s="7" t="str">
        <f>IFERROR(SUMIFS(TM[[#All],[Total Non-Truncated Claims Spending]],TM[[#All],[Reporting Year]],2021,TM[[#All],[Insurance Category Code]],2,TM[[#All],[Large Provider Entity Code]],A299)/C299,"NA")</f>
        <v>NA</v>
      </c>
      <c r="E299" s="7" t="str">
        <f>IFERROR(SUMIFS(TM[[#All],[Total Non-Claims Spending]],TM[[#All],[Reporting Year]],2021,TM[[#All],[Insurance Category Code]],2,TM[[#All],[Large Provider Entity Code]],A299)/C299,"NA")</f>
        <v>NA</v>
      </c>
      <c r="F299" s="7" t="str">
        <f>IFERROR(SUMIFS(TM[[#All],[Total Non-Truncated Claims and Non-Claims Spending]],TM[[#All],[Reporting Year]],2021,TM[[#All],[Insurance Category Code]],2,TM[[#All],[Large Provider Entity Code]],A299)/C299,"NA")</f>
        <v>NA</v>
      </c>
      <c r="G299" s="7" t="str">
        <f>IFERROR(SUMIFS(TM[[#All],[Total Truncated Claims Spending]],TM[[#All],[Reporting Year]],2021,TM[[#All],[Insurance Category Code]],2,TM[[#All],[Large Provider Entity Code]],A299)/C299,"NA")</f>
        <v>NA</v>
      </c>
      <c r="H299" s="204" t="str">
        <f>IFERROR(SUMIFS(TM[[#All],[Total Truncated Expenses]],TM[[#All],[Reporting Year]],2021,TM[[#All],[Insurance Category Code]],2,TM[[#All],[Large Provider Entity Code]],A299)/C299,"NA")</f>
        <v>NA</v>
      </c>
      <c r="I299" s="95">
        <f>SUMIFS(TM[[#All],[Member Months]],TM[[#All],[Reporting Year]],2022,TM[[#All],[Insurance Category Code]],2,TM[[#All],[Large Provider Entity Code]],A299)</f>
        <v>0</v>
      </c>
      <c r="J299" s="7" t="str">
        <f>IFERROR(SUMIFS(TM[[#All],[Total Non-Truncated Claims Spending]],TM[[#All],[Reporting Year]],2022,TM[[#All],[Insurance Category Code]],2,TM[[#All],[Large Provider Entity Code]],A299)/I299,"NA")</f>
        <v>NA</v>
      </c>
      <c r="K299" s="7" t="str">
        <f>IFERROR(SUMIFS(TM[[#All],[Total Non-Claims Spending]],TM[[#All],[Reporting Year]],2022,TM[[#All],[Insurance Category Code]],2,TM[[#All],[Large Provider Entity Code]],A299)/I299,"NA")</f>
        <v>NA</v>
      </c>
      <c r="L299" s="7" t="str">
        <f>IFERROR(SUMIFS(TM[[#All],[Total Non-Truncated Claims and Non-Claims Spending]],TM[[#All],[Reporting Year]],2022,TM[[#All],[Insurance Category Code]],2,TM[[#All],[Large Provider Entity Code]],A299)/I299,"NA")</f>
        <v>NA</v>
      </c>
      <c r="M299" s="7" t="str">
        <f>IFERROR(SUMIFS(TM[[#All],[Total Truncated Claims Spending]],TM[[#All],[Reporting Year]],2022,TM[[#All],[Insurance Category Code]],2,TM[[#All],[Large Provider Entity Code]],A299)/I299,"NA")</f>
        <v>NA</v>
      </c>
      <c r="N299" s="96" t="str">
        <f>IFERROR(SUMIFS(TM[[#All],[Total Truncated Expenses]],TM[[#All],[Reporting Year]],2022,TM[[#All],[Insurance Category Code]],2,TM[[#All],[Large Provider Entity Code]],A299)/I299,"NA")</f>
        <v>NA</v>
      </c>
      <c r="O299" s="518">
        <f t="shared" si="207"/>
        <v>0</v>
      </c>
      <c r="P299" s="243" t="str">
        <f t="shared" si="208"/>
        <v>NA</v>
      </c>
      <c r="Q299" s="97" t="str">
        <f t="shared" si="209"/>
        <v>NA</v>
      </c>
      <c r="R299" s="97" t="str">
        <f t="shared" si="210"/>
        <v>NA</v>
      </c>
      <c r="S299" s="97" t="str">
        <f t="shared" si="211"/>
        <v>NA</v>
      </c>
      <c r="T299" s="97" t="str">
        <f t="shared" si="212"/>
        <v>NA</v>
      </c>
      <c r="U299" s="97" t="str">
        <f t="shared" si="213"/>
        <v>NA</v>
      </c>
    </row>
    <row r="300" spans="1:21" x14ac:dyDescent="0.25">
      <c r="A300" s="218">
        <v>122</v>
      </c>
      <c r="B300" s="566" t="s">
        <v>617</v>
      </c>
      <c r="C300" s="8">
        <f>SUMIFS(TM[[#All],[Member Months]],TM[[#All],[Reporting Year]],2021,TM[[#All],[Insurance Category Code]],2,TM[[#All],[Large Provider Entity Code]],A300)</f>
        <v>0</v>
      </c>
      <c r="D300" s="7" t="str">
        <f>IFERROR(SUMIFS(TM[[#All],[Total Non-Truncated Claims Spending]],TM[[#All],[Reporting Year]],2021,TM[[#All],[Insurance Category Code]],2,TM[[#All],[Large Provider Entity Code]],A300)/C300,"NA")</f>
        <v>NA</v>
      </c>
      <c r="E300" s="7" t="str">
        <f>IFERROR(SUMIFS(TM[[#All],[Total Non-Claims Spending]],TM[[#All],[Reporting Year]],2021,TM[[#All],[Insurance Category Code]],2,TM[[#All],[Large Provider Entity Code]],A300)/C300,"NA")</f>
        <v>NA</v>
      </c>
      <c r="F300" s="7" t="str">
        <f>IFERROR(SUMIFS(TM[[#All],[Total Non-Truncated Claims and Non-Claims Spending]],TM[[#All],[Reporting Year]],2021,TM[[#All],[Insurance Category Code]],2,TM[[#All],[Large Provider Entity Code]],A300)/C300,"NA")</f>
        <v>NA</v>
      </c>
      <c r="G300" s="7" t="str">
        <f>IFERROR(SUMIFS(TM[[#All],[Total Truncated Claims Spending]],TM[[#All],[Reporting Year]],2021,TM[[#All],[Insurance Category Code]],2,TM[[#All],[Large Provider Entity Code]],A300)/C300,"NA")</f>
        <v>NA</v>
      </c>
      <c r="H300" s="204" t="str">
        <f>IFERROR(SUMIFS(TM[[#All],[Total Truncated Expenses]],TM[[#All],[Reporting Year]],2021,TM[[#All],[Insurance Category Code]],2,TM[[#All],[Large Provider Entity Code]],A300)/C300,"NA")</f>
        <v>NA</v>
      </c>
      <c r="I300" s="95">
        <f>SUMIFS(TM[[#All],[Member Months]],TM[[#All],[Reporting Year]],2022,TM[[#All],[Insurance Category Code]],2,TM[[#All],[Large Provider Entity Code]],A300)</f>
        <v>0</v>
      </c>
      <c r="J300" s="7" t="str">
        <f>IFERROR(SUMIFS(TM[[#All],[Total Non-Truncated Claims Spending]],TM[[#All],[Reporting Year]],2022,TM[[#All],[Insurance Category Code]],2,TM[[#All],[Large Provider Entity Code]],A300)/I300,"NA")</f>
        <v>NA</v>
      </c>
      <c r="K300" s="7" t="str">
        <f>IFERROR(SUMIFS(TM[[#All],[Total Non-Claims Spending]],TM[[#All],[Reporting Year]],2022,TM[[#All],[Insurance Category Code]],2,TM[[#All],[Large Provider Entity Code]],A300)/I300,"NA")</f>
        <v>NA</v>
      </c>
      <c r="L300" s="7" t="str">
        <f>IFERROR(SUMIFS(TM[[#All],[Total Non-Truncated Claims and Non-Claims Spending]],TM[[#All],[Reporting Year]],2022,TM[[#All],[Insurance Category Code]],2,TM[[#All],[Large Provider Entity Code]],A300)/I300,"NA")</f>
        <v>NA</v>
      </c>
      <c r="M300" s="7" t="str">
        <f>IFERROR(SUMIFS(TM[[#All],[Total Truncated Claims Spending]],TM[[#All],[Reporting Year]],2022,TM[[#All],[Insurance Category Code]],2,TM[[#All],[Large Provider Entity Code]],A300)/I300,"NA")</f>
        <v>NA</v>
      </c>
      <c r="N300" s="96" t="str">
        <f>IFERROR(SUMIFS(TM[[#All],[Total Truncated Expenses]],TM[[#All],[Reporting Year]],2022,TM[[#All],[Insurance Category Code]],2,TM[[#All],[Large Provider Entity Code]],A300)/I300,"NA")</f>
        <v>NA</v>
      </c>
      <c r="O300" s="518">
        <f t="shared" si="207"/>
        <v>0</v>
      </c>
      <c r="P300" s="243" t="str">
        <f t="shared" si="208"/>
        <v>NA</v>
      </c>
      <c r="Q300" s="97" t="str">
        <f t="shared" si="209"/>
        <v>NA</v>
      </c>
      <c r="R300" s="97" t="str">
        <f t="shared" si="210"/>
        <v>NA</v>
      </c>
      <c r="S300" s="97" t="str">
        <f t="shared" si="211"/>
        <v>NA</v>
      </c>
      <c r="T300" s="97" t="str">
        <f t="shared" si="212"/>
        <v>NA</v>
      </c>
      <c r="U300" s="97" t="str">
        <f t="shared" si="213"/>
        <v>NA</v>
      </c>
    </row>
    <row r="301" spans="1:21" x14ac:dyDescent="0.25">
      <c r="A301" s="218">
        <v>999</v>
      </c>
      <c r="B301" s="495" t="s">
        <v>81</v>
      </c>
      <c r="C301" s="163">
        <f>SUMIFS(TM[[#All],[Member Months]],TM[[#All],[Reporting Year]],2021,TM[[#All],[Insurance Category Code]],2,TM[[#All],[Large Provider Entity Code]],A301)</f>
        <v>0</v>
      </c>
      <c r="D301" s="7" t="str">
        <f>IFERROR(SUMIFS(TM[[#All],[Total Non-Truncated Claims Spending]],TM[[#All],[Reporting Year]],2021,TM[[#All],[Insurance Category Code]],2,TM[[#All],[Large Provider Entity Code]],A301)/C301,"NA")</f>
        <v>NA</v>
      </c>
      <c r="E301" s="7" t="str">
        <f>IFERROR(SUMIFS(TM[[#All],[Total Non-Claims Spending]],TM[[#All],[Reporting Year]],2021,TM[[#All],[Insurance Category Code]],2,TM[[#All],[Large Provider Entity Code]],A301)/C301,"NA")</f>
        <v>NA</v>
      </c>
      <c r="F301" s="7" t="str">
        <f>IFERROR(SUMIFS(TM[[#All],[Total Non-Truncated Claims and Non-Claims Spending]],TM[[#All],[Reporting Year]],2021,TM[[#All],[Insurance Category Code]],2,TM[[#All],[Large Provider Entity Code]],A301)/C301,"NA")</f>
        <v>NA</v>
      </c>
      <c r="G301" s="7" t="str">
        <f>IFERROR(SUMIFS(TM[[#All],[Total Truncated Claims Spending]],TM[[#All],[Reporting Year]],2021,TM[[#All],[Insurance Category Code]],2,TM[[#All],[Large Provider Entity Code]],A301)/C301,"NA")</f>
        <v>NA</v>
      </c>
      <c r="H301" s="204" t="str">
        <f>IFERROR(SUMIFS(TM[[#All],[Total Truncated Expenses]],TM[[#All],[Reporting Year]],2021,TM[[#All],[Insurance Category Code]],2,TM[[#All],[Large Provider Entity Code]],A301)/C301,"NA")</f>
        <v>NA</v>
      </c>
      <c r="I301" s="95">
        <f>SUMIFS(TM[[#All],[Member Months]],TM[[#All],[Reporting Year]],2022,TM[[#All],[Insurance Category Code]],2,TM[[#All],[Large Provider Entity Code]],A301)</f>
        <v>0</v>
      </c>
      <c r="J301" s="7" t="str">
        <f>IFERROR(SUMIFS(TM[[#All],[Total Non-Truncated Claims Spending]],TM[[#All],[Reporting Year]],2022,TM[[#All],[Insurance Category Code]],2,TM[[#All],[Large Provider Entity Code]],A301)/I301,"NA")</f>
        <v>NA</v>
      </c>
      <c r="K301" s="7" t="str">
        <f>IFERROR(SUMIFS(TM[[#All],[Total Non-Claims Spending]],TM[[#All],[Reporting Year]],2022,TM[[#All],[Insurance Category Code]],2,TM[[#All],[Large Provider Entity Code]],A301)/I301,"NA")</f>
        <v>NA</v>
      </c>
      <c r="L301" s="7" t="str">
        <f>IFERROR(SUMIFS(TM[[#All],[Total Non-Truncated Claims and Non-Claims Spending]],TM[[#All],[Reporting Year]],2022,TM[[#All],[Insurance Category Code]],2,TM[[#All],[Large Provider Entity Code]],A301)/I301,"NA")</f>
        <v>NA</v>
      </c>
      <c r="M301" s="7" t="str">
        <f>IFERROR(SUMIFS(TM[[#All],[Total Truncated Claims Spending]],TM[[#All],[Reporting Year]],2022,TM[[#All],[Insurance Category Code]],2,TM[[#All],[Large Provider Entity Code]],A301)/I301,"NA")</f>
        <v>NA</v>
      </c>
      <c r="N301" s="96" t="str">
        <f>IFERROR(SUMIFS(TM[[#All],[Total Truncated Expenses]],TM[[#All],[Reporting Year]],2022,TM[[#All],[Insurance Category Code]],2,TM[[#All],[Large Provider Entity Code]],A301)/I301,"NA")</f>
        <v>NA</v>
      </c>
      <c r="O301" s="518">
        <f t="shared" si="206"/>
        <v>0</v>
      </c>
      <c r="P301" s="243" t="str">
        <f t="shared" si="200"/>
        <v>NA</v>
      </c>
      <c r="Q301" s="97" t="str">
        <f t="shared" si="201"/>
        <v>NA</v>
      </c>
      <c r="R301" s="97" t="str">
        <f t="shared" si="202"/>
        <v>NA</v>
      </c>
      <c r="S301" s="97" t="str">
        <f t="shared" si="203"/>
        <v>NA</v>
      </c>
      <c r="T301" s="97" t="str">
        <f t="shared" si="204"/>
        <v>NA</v>
      </c>
      <c r="U301" s="97" t="str">
        <f t="shared" si="205"/>
        <v>NA</v>
      </c>
    </row>
    <row r="302" spans="1:21" ht="30" customHeight="1" x14ac:dyDescent="0.25">
      <c r="A302" s="707" t="s">
        <v>567</v>
      </c>
      <c r="B302" s="708"/>
      <c r="C302" s="164">
        <f>SUM(C282:C301)</f>
        <v>0</v>
      </c>
      <c r="D302" s="131" t="str">
        <f>IFERROR((SUMPRODUCT(D282:D301,C282:C301)/C302),"NA")</f>
        <v>NA</v>
      </c>
      <c r="E302" s="131" t="str">
        <f>IFERROR((SUMPRODUCT(E282:E301,C282:C301)/C302),"NA")</f>
        <v>NA</v>
      </c>
      <c r="F302" s="131" t="str">
        <f>IFERROR((SUMPRODUCT(F282:F301,C282:C301)/C302),"NA")</f>
        <v>NA</v>
      </c>
      <c r="G302" s="131" t="str">
        <f>IFERROR((SUMPRODUCT(G282:G301,C282:C301)/C302),"NA")</f>
        <v>NA</v>
      </c>
      <c r="H302" s="131" t="str">
        <f>IFERROR((SUMPRODUCT(H282:H301,C282:C301)/C302),"NA")</f>
        <v>NA</v>
      </c>
      <c r="I302" s="165">
        <f>SUM(I282:I301)</f>
        <v>0</v>
      </c>
      <c r="J302" s="131" t="str">
        <f>IFERROR((SUMPRODUCT(J282:J301,I282:I301)/I302),"NA")</f>
        <v>NA</v>
      </c>
      <c r="K302" s="131" t="str">
        <f>IFERROR((SUMPRODUCT(K282:K301,I282:I301)/I302),"NA")</f>
        <v>NA</v>
      </c>
      <c r="L302" s="131" t="str">
        <f>IFERROR((SUMPRODUCT(L282:L301,I282:I301)/I302),"NA")</f>
        <v>NA</v>
      </c>
      <c r="M302" s="131" t="str">
        <f>IFERROR((SUMPRODUCT(M282:M301,I282:I301)/I302),"NA")</f>
        <v>NA</v>
      </c>
      <c r="N302" s="206" t="str">
        <f>IFERROR((SUMPRODUCT(N282:N301,I282:I301)/I302),"NA")</f>
        <v>NA</v>
      </c>
      <c r="O302" s="544" t="s">
        <v>500</v>
      </c>
      <c r="P302" s="435" t="s">
        <v>500</v>
      </c>
      <c r="Q302" s="433" t="s">
        <v>500</v>
      </c>
      <c r="R302" s="433" t="s">
        <v>500</v>
      </c>
      <c r="S302" s="433" t="s">
        <v>500</v>
      </c>
      <c r="T302" s="433" t="s">
        <v>500</v>
      </c>
      <c r="U302" s="433" t="s">
        <v>500</v>
      </c>
    </row>
    <row r="303" spans="1:21" x14ac:dyDescent="0.25">
      <c r="A303" s="709" t="s">
        <v>563</v>
      </c>
      <c r="B303" s="710"/>
      <c r="C303" s="164" t="s">
        <v>500</v>
      </c>
      <c r="D303" s="130" t="str">
        <f>IFERROR(((SUMPRODUCT(D281,$C$281))-ABS(SUMIFS(RX[[#All],[Total Medical and Retail Pharmacy Rebate Amount]],RX[[#All],[Reporting Year]],2021,RX[[#All],[Insurance Category Code]],2)))/$C$302,"NA")</f>
        <v>NA</v>
      </c>
      <c r="E303" s="130" t="str">
        <f>IFERROR(((SUMPRODUCT(E281,$C$281))-ABS(SUMIFS(RX[[#All],[Total Medical and Retail Pharmacy Rebate Amount]],RX[[#All],[Reporting Year]],2021,RX[[#All],[Insurance Category Code]],2)))/$C$302,"NA")</f>
        <v>NA</v>
      </c>
      <c r="F303" s="130" t="str">
        <f>IFERROR(((SUMPRODUCT(F281,$C$281))-ABS(SUMIFS(RX[[#All],[Total Medical and Retail Pharmacy Rebate Amount]],RX[[#All],[Reporting Year]],2021,RX[[#All],[Insurance Category Code]],2)))/$C$302,"NA")</f>
        <v>NA</v>
      </c>
      <c r="G303" s="130" t="str">
        <f>IFERROR(((SUMPRODUCT(G281,$C$281))-ABS(SUMIFS(RX[[#All],[Total Medical and Retail Pharmacy Rebate Amount]],RX[[#All],[Reporting Year]],2021,RX[[#All],[Insurance Category Code]],2)))/$C$302,"NA")</f>
        <v>NA</v>
      </c>
      <c r="H303" s="209" t="str">
        <f>IFERROR(((SUMPRODUCT(H281,$C$281))-ABS(SUMIFS(RX[[#All],[Total Medical and Retail Pharmacy Rebate Amount]],RX[[#All],[Reporting Year]],2021,RX[[#All],[Insurance Category Code]],2)))/$C$302,"NA")</f>
        <v>NA</v>
      </c>
      <c r="I303" s="165" t="s">
        <v>500</v>
      </c>
      <c r="J303" s="130" t="str">
        <f>IFERROR(((SUMPRODUCT(J281,$I$281))-ABS(SUMIFS(RX[[#All],[Total Medical and Retail Pharmacy Rebate Amount]],RX[[#All],[Reporting Year]],2022,RX[[#All],[Insurance Category Code]],2)))/$I$302,"NA")</f>
        <v>NA</v>
      </c>
      <c r="K303" s="130" t="str">
        <f>IFERROR(((SUMPRODUCT(K281,$I$281))-ABS(SUMIFS(RX[[#All],[Total Medical and Retail Pharmacy Rebate Amount]],RX[[#All],[Reporting Year]],2022,RX[[#All],[Insurance Category Code]],2)))/$I$302,"NA")</f>
        <v>NA</v>
      </c>
      <c r="L303" s="130" t="str">
        <f>IFERROR(((SUMPRODUCT(L281,$I$281))-ABS(SUMIFS(RX[[#All],[Total Medical and Retail Pharmacy Rebate Amount]],RX[[#All],[Reporting Year]],2022,RX[[#All],[Insurance Category Code]],2)))/$I$302,"NA")</f>
        <v>NA</v>
      </c>
      <c r="M303" s="130" t="str">
        <f>IFERROR(((SUMPRODUCT(M281,$I$281))-ABS(SUMIFS(RX[[#All],[Total Medical and Retail Pharmacy Rebate Amount]],RX[[#All],[Reporting Year]],2022,RX[[#All],[Insurance Category Code]],2)))/$I$302,"NA")</f>
        <v>NA</v>
      </c>
      <c r="N303" s="208" t="str">
        <f>IFERROR(((SUMPRODUCT(N281,$I$281))-ABS(SUMIFS(RX[[#All],[Total Medical and Retail Pharmacy Rebate Amount]],RX[[#All],[Reporting Year]],2022,RX[[#All],[Insurance Category Code]],2)))/$I$302,"NA")</f>
        <v>NA</v>
      </c>
      <c r="O303" s="544" t="s">
        <v>500</v>
      </c>
      <c r="P303" s="435" t="s">
        <v>500</v>
      </c>
      <c r="Q303" s="433" t="s">
        <v>500</v>
      </c>
      <c r="R303" s="433" t="s">
        <v>500</v>
      </c>
      <c r="S303" s="433" t="s">
        <v>500</v>
      </c>
      <c r="T303" s="433" t="s">
        <v>500</v>
      </c>
      <c r="U303" s="433" t="s">
        <v>500</v>
      </c>
    </row>
    <row r="304" spans="1:21" x14ac:dyDescent="0.25">
      <c r="A304" s="717" t="s">
        <v>564</v>
      </c>
      <c r="B304" s="718"/>
      <c r="C304" s="229">
        <f>ABS(C302-C281)</f>
        <v>0</v>
      </c>
      <c r="D304" s="227" t="e">
        <f>ABS(D302-D281)</f>
        <v>#VALUE!</v>
      </c>
      <c r="E304" s="227" t="e">
        <f>ABS(E302-E281)</f>
        <v>#VALUE!</v>
      </c>
      <c r="F304" s="227" t="e">
        <f>ABS(F302-F281)</f>
        <v>#VALUE!</v>
      </c>
      <c r="G304" s="181" t="s">
        <v>500</v>
      </c>
      <c r="H304" s="233" t="s">
        <v>500</v>
      </c>
      <c r="I304" s="221">
        <f>ABS(I302-I281)</f>
        <v>0</v>
      </c>
      <c r="J304" s="227" t="e">
        <f>ABS(J302-J281)</f>
        <v>#VALUE!</v>
      </c>
      <c r="K304" s="227" t="e">
        <f>ABS(K302-K281)</f>
        <v>#VALUE!</v>
      </c>
      <c r="L304" s="227" t="e">
        <f>ABS(L302-L281)</f>
        <v>#VALUE!</v>
      </c>
      <c r="M304" s="181" t="s">
        <v>500</v>
      </c>
      <c r="N304" s="233" t="s">
        <v>500</v>
      </c>
      <c r="O304" s="545" t="s">
        <v>500</v>
      </c>
      <c r="P304" s="546" t="s">
        <v>500</v>
      </c>
      <c r="Q304" s="548" t="s">
        <v>500</v>
      </c>
      <c r="R304" s="548" t="s">
        <v>500</v>
      </c>
      <c r="S304" s="548" t="s">
        <v>500</v>
      </c>
      <c r="T304" s="548" t="s">
        <v>500</v>
      </c>
      <c r="U304" s="548" t="s">
        <v>500</v>
      </c>
    </row>
    <row r="305" spans="1:21" x14ac:dyDescent="0.25">
      <c r="A305" s="715" t="s">
        <v>565</v>
      </c>
      <c r="B305" s="716"/>
      <c r="C305" s="262" t="str">
        <f>IF(((ABS(C302-C281))&lt;10),"Yes","No")</f>
        <v>Yes</v>
      </c>
      <c r="D305" s="181" t="e">
        <f>IF(((ABS(D302-D281))&lt;10),"Yes","No")</f>
        <v>#VALUE!</v>
      </c>
      <c r="E305" s="181" t="e">
        <f>IF(((ABS(E302-E281))&lt;10),"Yes","No")</f>
        <v>#VALUE!</v>
      </c>
      <c r="F305" s="181" t="e">
        <f>IF(((ABS(F302-F281))&lt;10),"Yes","No")</f>
        <v>#VALUE!</v>
      </c>
      <c r="G305" s="181" t="s">
        <v>500</v>
      </c>
      <c r="H305" s="233" t="s">
        <v>500</v>
      </c>
      <c r="I305" s="259" t="str">
        <f>IF(((ABS(I302-I281))&lt;10),"Yes","No")</f>
        <v>Yes</v>
      </c>
      <c r="J305" s="181" t="e">
        <f>IF(((ABS(J302-J281))&lt;10),"Yes","No")</f>
        <v>#VALUE!</v>
      </c>
      <c r="K305" s="181" t="e">
        <f>IF(((ABS(K302-K281))&lt;10),"Yes","No")</f>
        <v>#VALUE!</v>
      </c>
      <c r="L305" s="181" t="e">
        <f>IF(((ABS(L302-L281))&lt;10),"Yes","No")</f>
        <v>#VALUE!</v>
      </c>
      <c r="M305" s="181" t="s">
        <v>500</v>
      </c>
      <c r="N305" s="233" t="s">
        <v>500</v>
      </c>
      <c r="O305" s="545" t="s">
        <v>500</v>
      </c>
      <c r="P305" s="546" t="s">
        <v>500</v>
      </c>
      <c r="Q305" s="548" t="s">
        <v>500</v>
      </c>
      <c r="R305" s="548" t="s">
        <v>500</v>
      </c>
      <c r="S305" s="548" t="s">
        <v>500</v>
      </c>
      <c r="T305" s="548" t="s">
        <v>500</v>
      </c>
      <c r="U305" s="548" t="s">
        <v>500</v>
      </c>
    </row>
    <row r="306" spans="1:21" x14ac:dyDescent="0.25">
      <c r="A306"/>
      <c r="B306"/>
      <c r="C306"/>
      <c r="D306"/>
      <c r="E306"/>
      <c r="F306"/>
      <c r="G306"/>
      <c r="H306"/>
      <c r="I306"/>
      <c r="J306"/>
      <c r="K306"/>
      <c r="L306"/>
      <c r="M306"/>
      <c r="N306"/>
      <c r="O306" s="542"/>
      <c r="P306"/>
      <c r="Q306"/>
      <c r="R306"/>
      <c r="S306"/>
      <c r="T306"/>
      <c r="U306"/>
    </row>
    <row r="307" spans="1:21" x14ac:dyDescent="0.25">
      <c r="A307"/>
      <c r="B307"/>
      <c r="C307"/>
      <c r="D307"/>
      <c r="E307"/>
      <c r="F307"/>
      <c r="G307"/>
      <c r="H307"/>
      <c r="I307"/>
      <c r="J307"/>
      <c r="K307"/>
      <c r="L307"/>
      <c r="M307"/>
      <c r="N307"/>
      <c r="O307" s="543"/>
      <c r="P307"/>
      <c r="Q307"/>
      <c r="R307"/>
      <c r="S307"/>
      <c r="T307"/>
      <c r="U307"/>
    </row>
    <row r="308" spans="1:21" x14ac:dyDescent="0.25">
      <c r="A308" s="3" t="s">
        <v>576</v>
      </c>
      <c r="B308"/>
      <c r="C308"/>
      <c r="D308"/>
      <c r="E308"/>
      <c r="F308"/>
      <c r="G308"/>
      <c r="H308"/>
      <c r="I308"/>
      <c r="J308"/>
      <c r="K308"/>
      <c r="L308"/>
      <c r="M308"/>
      <c r="N308"/>
      <c r="O308" s="543"/>
      <c r="P308"/>
      <c r="Q308"/>
      <c r="R308"/>
      <c r="S308"/>
      <c r="T308"/>
      <c r="U308"/>
    </row>
    <row r="309" spans="1:21" x14ac:dyDescent="0.25">
      <c r="A309" s="711" t="s">
        <v>71</v>
      </c>
      <c r="B309" s="713" t="s">
        <v>547</v>
      </c>
      <c r="C309" s="697">
        <v>2021</v>
      </c>
      <c r="D309" s="698"/>
      <c r="E309" s="698"/>
      <c r="F309" s="698"/>
      <c r="G309" s="698"/>
      <c r="H309" s="699"/>
      <c r="I309" s="700">
        <v>2022</v>
      </c>
      <c r="J309" s="701"/>
      <c r="K309" s="701"/>
      <c r="L309" s="701"/>
      <c r="M309" s="701"/>
      <c r="N309" s="702"/>
      <c r="O309" s="541"/>
      <c r="P309" s="703" t="s">
        <v>548</v>
      </c>
      <c r="Q309" s="704"/>
      <c r="R309" s="704"/>
      <c r="S309" s="704"/>
      <c r="T309" s="704"/>
      <c r="U309" s="705"/>
    </row>
    <row r="310" spans="1:21" ht="45" x14ac:dyDescent="0.25">
      <c r="A310" s="712"/>
      <c r="B310" s="714"/>
      <c r="C310" s="91" t="s">
        <v>352</v>
      </c>
      <c r="D310" s="91" t="s">
        <v>550</v>
      </c>
      <c r="E310" s="91" t="s">
        <v>551</v>
      </c>
      <c r="F310" s="91" t="s">
        <v>552</v>
      </c>
      <c r="G310" s="91" t="s">
        <v>553</v>
      </c>
      <c r="H310" s="205" t="s">
        <v>554</v>
      </c>
      <c r="I310" s="87" t="s">
        <v>352</v>
      </c>
      <c r="J310" s="88" t="s">
        <v>550</v>
      </c>
      <c r="K310" s="88" t="s">
        <v>551</v>
      </c>
      <c r="L310" s="88" t="s">
        <v>552</v>
      </c>
      <c r="M310" s="88" t="s">
        <v>553</v>
      </c>
      <c r="N310" s="89" t="s">
        <v>554</v>
      </c>
      <c r="O310" s="513" t="s">
        <v>555</v>
      </c>
      <c r="P310" s="242" t="s">
        <v>556</v>
      </c>
      <c r="Q310" s="77" t="s">
        <v>557</v>
      </c>
      <c r="R310" s="77" t="s">
        <v>558</v>
      </c>
      <c r="S310" s="77" t="s">
        <v>559</v>
      </c>
      <c r="T310" s="77" t="s">
        <v>560</v>
      </c>
      <c r="U310" s="217" t="s">
        <v>561</v>
      </c>
    </row>
    <row r="311" spans="1:21" x14ac:dyDescent="0.25">
      <c r="A311" s="219">
        <v>100</v>
      </c>
      <c r="B311" s="495" t="s">
        <v>72</v>
      </c>
      <c r="C311" s="8">
        <f>SUMIFS(TM[[#All],[Member Months]],TM[[#All],[Reporting Year]],2021,TM[[#All],[Insurance Category Code]],6,TM[[#All],[Large Provider Entity Code]],A311)</f>
        <v>0</v>
      </c>
      <c r="D311" s="7" t="str">
        <f>IFERROR(SUMIFS(TM[[#All],[Total Non-Truncated Claims Spending]],TM[[#All],[Reporting Year]],2021,TM[[#All],[Insurance Category Code]],6,TM[[#All],[Large Provider Entity Code]],A311)/C311,"NA")</f>
        <v>NA</v>
      </c>
      <c r="E311" s="7" t="str">
        <f>IFERROR(SUMIFS(TM[[#All],[Total Non-Claims Spending]],TM[[#All],[Reporting Year]],2021,TM[[#All],[Insurance Category Code]],6,TM[[#All],[Large Provider Entity Code]],A311)/C311,"NA")</f>
        <v>NA</v>
      </c>
      <c r="F311" s="7" t="str">
        <f>IFERROR(SUMIFS(TM[[#All],[Total Non-Truncated Claims and Non-Claims Spending]],TM[[#All],[Reporting Year]],2021,TM[[#All],[Insurance Category Code]],6,TM[[#All],[Large Provider Entity Code]],A311)/C311,"NA")</f>
        <v>NA</v>
      </c>
      <c r="G311" s="7" t="str">
        <f>IFERROR(SUMIFS(TM[[#All],[Total Truncated Claims Spending]],TM[[#All],[Reporting Year]],2021,TM[[#All],[Insurance Category Code]],6,TM[[#All],[Large Provider Entity Code]],A311)/C311,"NA")</f>
        <v>NA</v>
      </c>
      <c r="H311" s="204" t="str">
        <f>IFERROR(SUMIFS(TM[[#All],[Total Truncated Expenses]],TM[[#All],[Reporting Year]],2021,TM[[#All],[Insurance Category Code]],6,TM[[#All],[Large Provider Entity Code]],A311)/C311,"NA")</f>
        <v>NA</v>
      </c>
      <c r="I311" s="95">
        <f>SUMIFS(TM[[#All],[Member Months]],TM[[#All],[Reporting Year]],2022,TM[[#All],[Insurance Category Code]],6,TM[[#All],[Large Provider Entity Code]],A311)</f>
        <v>0</v>
      </c>
      <c r="J311" s="7" t="str">
        <f>IFERROR(SUMIFS(TM[[#All],[Total Non-Truncated Claims Spending]],TM[[#All],[Reporting Year]],2022,TM[[#All],[Insurance Category Code]],6,TM[[#All],[Large Provider Entity Code]],A311)/I311,"NA")</f>
        <v>NA</v>
      </c>
      <c r="K311" s="7" t="str">
        <f>IFERROR(SUMIFS(TM[[#All],[Total Non-Claims Spending]],TM[[#All],[Reporting Year]],2022,TM[[#All],[Insurance Category Code]],6,TM[[#All],[Large Provider Entity Code]],A311)/I311,"NA")</f>
        <v>NA</v>
      </c>
      <c r="L311" s="7" t="str">
        <f>IFERROR(SUMIFS(TM[[#All],[Total Non-Truncated Claims and Non-Claims Spending]],TM[[#All],[Reporting Year]],2022,TM[[#All],[Insurance Category Code]],6,TM[[#All],[Large Provider Entity Code]],A311)/I311,"NA")</f>
        <v>NA</v>
      </c>
      <c r="M311" s="7" t="str">
        <f>IFERROR(SUMIFS(TM[[#All],[Total Truncated Claims Spending]],TM[[#All],[Reporting Year]],2022,TM[[#All],[Insurance Category Code]],6,TM[[#All],[Large Provider Entity Code]],A311)/I311,"NA")</f>
        <v>NA</v>
      </c>
      <c r="N311" s="96" t="str">
        <f>IFERROR(SUMIFS(TM[[#All],[Total Truncated Expenses]],TM[[#All],[Reporting Year]],2022,TM[[#All],[Insurance Category Code]],6,TM[[#All],[Large Provider Entity Code]],A311)/I311,"NA")</f>
        <v>NA</v>
      </c>
      <c r="O311" s="518">
        <f>ABS(C311-I311)</f>
        <v>0</v>
      </c>
      <c r="P311" s="243" t="str">
        <f t="shared" ref="P311:P331" si="221">IFERROR((I311/C311-1),"NA")</f>
        <v>NA</v>
      </c>
      <c r="Q311" s="97" t="str">
        <f t="shared" ref="Q311:Q331" si="222">IFERROR((J311/D311-1),"NA")</f>
        <v>NA</v>
      </c>
      <c r="R311" s="97" t="str">
        <f t="shared" ref="R311:R331" si="223">IFERROR((K311/E311-1),"NA")</f>
        <v>NA</v>
      </c>
      <c r="S311" s="97" t="str">
        <f t="shared" ref="S311:S331" si="224">IFERROR((L311/F311-1),"NA")</f>
        <v>NA</v>
      </c>
      <c r="T311" s="97" t="str">
        <f t="shared" ref="T311:T331" si="225">IFERROR((M311/G311-1),"NA")</f>
        <v>NA</v>
      </c>
      <c r="U311" s="97" t="str">
        <f t="shared" ref="U311:U331" si="226">IFERROR((N311/H311-1),"NA")</f>
        <v>NA</v>
      </c>
    </row>
    <row r="312" spans="1:21" x14ac:dyDescent="0.25">
      <c r="A312" s="218">
        <v>101</v>
      </c>
      <c r="B312" s="495" t="s">
        <v>609</v>
      </c>
      <c r="C312" s="8">
        <f>SUMIFS(TM[[#All],[Member Months]],TM[[#All],[Reporting Year]],2021,TM[[#All],[Insurance Category Code]],6,TM[[#All],[Large Provider Entity Code]],A312)</f>
        <v>0</v>
      </c>
      <c r="D312" s="7" t="str">
        <f>IFERROR(SUMIFS(TM[[#All],[Total Non-Truncated Claims Spending]],TM[[#All],[Reporting Year]],2021,TM[[#All],[Insurance Category Code]],6,TM[[#All],[Large Provider Entity Code]],A312)/C312,"NA")</f>
        <v>NA</v>
      </c>
      <c r="E312" s="7" t="str">
        <f>IFERROR(SUMIFS(TM[[#All],[Total Non-Claims Spending]],TM[[#All],[Reporting Year]],2021,TM[[#All],[Insurance Category Code]],6,TM[[#All],[Large Provider Entity Code]],A312)/C312,"NA")</f>
        <v>NA</v>
      </c>
      <c r="F312" s="7" t="str">
        <f>IFERROR(SUMIFS(TM[[#All],[Total Non-Truncated Claims and Non-Claims Spending]],TM[[#All],[Reporting Year]],2021,TM[[#All],[Insurance Category Code]],6,TM[[#All],[Large Provider Entity Code]],A312)/C312,"NA")</f>
        <v>NA</v>
      </c>
      <c r="G312" s="7" t="str">
        <f>IFERROR(SUMIFS(TM[[#All],[Total Truncated Claims Spending]],TM[[#All],[Reporting Year]],2021,TM[[#All],[Insurance Category Code]],6,TM[[#All],[Large Provider Entity Code]],A312)/C312,"NA")</f>
        <v>NA</v>
      </c>
      <c r="H312" s="204" t="str">
        <f>IFERROR(SUMIFS(TM[[#All],[Total Truncated Expenses]],TM[[#All],[Reporting Year]],2021,TM[[#All],[Insurance Category Code]],6,TM[[#All],[Large Provider Entity Code]],A312)/C312,"NA")</f>
        <v>NA</v>
      </c>
      <c r="I312" s="95">
        <f>SUMIFS(TM[[#All],[Member Months]],TM[[#All],[Reporting Year]],2022,TM[[#All],[Insurance Category Code]],6,TM[[#All],[Large Provider Entity Code]],A312)</f>
        <v>0</v>
      </c>
      <c r="J312" s="7" t="str">
        <f>IFERROR(SUMIFS(TM[[#All],[Total Non-Truncated Claims Spending]],TM[[#All],[Reporting Year]],2022,TM[[#All],[Insurance Category Code]],6,TM[[#All],[Large Provider Entity Code]],A312)/I312,"NA")</f>
        <v>NA</v>
      </c>
      <c r="K312" s="7" t="str">
        <f>IFERROR(SUMIFS(TM[[#All],[Total Non-Claims Spending]],TM[[#All],[Reporting Year]],2022,TM[[#All],[Insurance Category Code]],6,TM[[#All],[Large Provider Entity Code]],A312)/I312,"NA")</f>
        <v>NA</v>
      </c>
      <c r="L312" s="7" t="str">
        <f>IFERROR(SUMIFS(TM[[#All],[Total Non-Truncated Claims and Non-Claims Spending]],TM[[#All],[Reporting Year]],2022,TM[[#All],[Insurance Category Code]],6,TM[[#All],[Large Provider Entity Code]],A312)/I312,"NA")</f>
        <v>NA</v>
      </c>
      <c r="M312" s="7" t="str">
        <f>IFERROR(SUMIFS(TM[[#All],[Total Truncated Claims Spending]],TM[[#All],[Reporting Year]],2022,TM[[#All],[Insurance Category Code]],6,TM[[#All],[Large Provider Entity Code]],A312)/I312,"NA")</f>
        <v>NA</v>
      </c>
      <c r="N312" s="96" t="str">
        <f>IFERROR(SUMIFS(TM[[#All],[Total Truncated Expenses]],TM[[#All],[Reporting Year]],2022,TM[[#All],[Insurance Category Code]],6,TM[[#All],[Large Provider Entity Code]],A312)/I312,"NA")</f>
        <v>NA</v>
      </c>
      <c r="O312" s="518">
        <f t="shared" ref="O312:O331" si="227">ABS(C312-I312)</f>
        <v>0</v>
      </c>
      <c r="P312" s="243" t="str">
        <f t="shared" si="221"/>
        <v>NA</v>
      </c>
      <c r="Q312" s="97" t="str">
        <f t="shared" si="222"/>
        <v>NA</v>
      </c>
      <c r="R312" s="97" t="str">
        <f t="shared" si="223"/>
        <v>NA</v>
      </c>
      <c r="S312" s="97" t="str">
        <f t="shared" si="224"/>
        <v>NA</v>
      </c>
      <c r="T312" s="97" t="str">
        <f t="shared" si="225"/>
        <v>NA</v>
      </c>
      <c r="U312" s="97" t="str">
        <f t="shared" si="226"/>
        <v>NA</v>
      </c>
    </row>
    <row r="313" spans="1:21" x14ac:dyDescent="0.25">
      <c r="A313" s="218">
        <v>102</v>
      </c>
      <c r="B313" s="566" t="s">
        <v>610</v>
      </c>
      <c r="C313" s="8">
        <f>SUMIFS(TM[[#All],[Member Months]],TM[[#All],[Reporting Year]],2021,TM[[#All],[Insurance Category Code]],6,TM[[#All],[Large Provider Entity Code]],A313)</f>
        <v>0</v>
      </c>
      <c r="D313" s="7" t="str">
        <f>IFERROR(SUMIFS(TM[[#All],[Total Non-Truncated Claims Spending]],TM[[#All],[Reporting Year]],2021,TM[[#All],[Insurance Category Code]],6,TM[[#All],[Large Provider Entity Code]],A313)/C313,"NA")</f>
        <v>NA</v>
      </c>
      <c r="E313" s="7" t="str">
        <f>IFERROR(SUMIFS(TM[[#All],[Total Non-Claims Spending]],TM[[#All],[Reporting Year]],2021,TM[[#All],[Insurance Category Code]],6,TM[[#All],[Large Provider Entity Code]],A313)/C313,"NA")</f>
        <v>NA</v>
      </c>
      <c r="F313" s="7" t="str">
        <f>IFERROR(SUMIFS(TM[[#All],[Total Non-Truncated Claims and Non-Claims Spending]],TM[[#All],[Reporting Year]],2021,TM[[#All],[Insurance Category Code]],6,TM[[#All],[Large Provider Entity Code]],A313)/C313,"NA")</f>
        <v>NA</v>
      </c>
      <c r="G313" s="7" t="str">
        <f>IFERROR(SUMIFS(TM[[#All],[Total Truncated Claims Spending]],TM[[#All],[Reporting Year]],2021,TM[[#All],[Insurance Category Code]],6,TM[[#All],[Large Provider Entity Code]],A313)/C313,"NA")</f>
        <v>NA</v>
      </c>
      <c r="H313" s="204" t="str">
        <f>IFERROR(SUMIFS(TM[[#All],[Total Truncated Expenses]],TM[[#All],[Reporting Year]],2021,TM[[#All],[Insurance Category Code]],6,TM[[#All],[Large Provider Entity Code]],A313)/C313,"NA")</f>
        <v>NA</v>
      </c>
      <c r="I313" s="95">
        <f>SUMIFS(TM[[#All],[Member Months]],TM[[#All],[Reporting Year]],2022,TM[[#All],[Insurance Category Code]],6,TM[[#All],[Large Provider Entity Code]],A313)</f>
        <v>0</v>
      </c>
      <c r="J313" s="7" t="str">
        <f>IFERROR(SUMIFS(TM[[#All],[Total Non-Truncated Claims Spending]],TM[[#All],[Reporting Year]],2022,TM[[#All],[Insurance Category Code]],6,TM[[#All],[Large Provider Entity Code]],A313)/I313,"NA")</f>
        <v>NA</v>
      </c>
      <c r="K313" s="7" t="str">
        <f>IFERROR(SUMIFS(TM[[#All],[Total Non-Claims Spending]],TM[[#All],[Reporting Year]],2022,TM[[#All],[Insurance Category Code]],6,TM[[#All],[Large Provider Entity Code]],A313)/I313,"NA")</f>
        <v>NA</v>
      </c>
      <c r="L313" s="7" t="str">
        <f>IFERROR(SUMIFS(TM[[#All],[Total Non-Truncated Claims and Non-Claims Spending]],TM[[#All],[Reporting Year]],2022,TM[[#All],[Insurance Category Code]],6,TM[[#All],[Large Provider Entity Code]],A313)/I313,"NA")</f>
        <v>NA</v>
      </c>
      <c r="M313" s="7" t="str">
        <f>IFERROR(SUMIFS(TM[[#All],[Total Truncated Claims Spending]],TM[[#All],[Reporting Year]],2022,TM[[#All],[Insurance Category Code]],6,TM[[#All],[Large Provider Entity Code]],A313)/I313,"NA")</f>
        <v>NA</v>
      </c>
      <c r="N313" s="96" t="str">
        <f>IFERROR(SUMIFS(TM[[#All],[Total Truncated Expenses]],TM[[#All],[Reporting Year]],2022,TM[[#All],[Insurance Category Code]],6,TM[[#All],[Large Provider Entity Code]],A313)/I313,"NA")</f>
        <v>NA</v>
      </c>
      <c r="O313" s="518">
        <f t="shared" si="227"/>
        <v>0</v>
      </c>
      <c r="P313" s="243" t="str">
        <f t="shared" si="221"/>
        <v>NA</v>
      </c>
      <c r="Q313" s="97" t="str">
        <f t="shared" si="222"/>
        <v>NA</v>
      </c>
      <c r="R313" s="97" t="str">
        <f t="shared" si="223"/>
        <v>NA</v>
      </c>
      <c r="S313" s="97" t="str">
        <f t="shared" si="224"/>
        <v>NA</v>
      </c>
      <c r="T313" s="97" t="str">
        <f t="shared" si="225"/>
        <v>NA</v>
      </c>
      <c r="U313" s="97" t="str">
        <f t="shared" si="226"/>
        <v>NA</v>
      </c>
    </row>
    <row r="314" spans="1:21" ht="30" x14ac:dyDescent="0.25">
      <c r="A314" s="218">
        <v>103</v>
      </c>
      <c r="B314" s="495" t="s">
        <v>73</v>
      </c>
      <c r="C314" s="8">
        <f>SUMIFS(TM[[#All],[Member Months]],TM[[#All],[Reporting Year]],2021,TM[[#All],[Insurance Category Code]],6,TM[[#All],[Large Provider Entity Code]],A314)</f>
        <v>0</v>
      </c>
      <c r="D314" s="7" t="str">
        <f>IFERROR(SUMIFS(TM[[#All],[Total Non-Truncated Claims Spending]],TM[[#All],[Reporting Year]],2021,TM[[#All],[Insurance Category Code]],6,TM[[#All],[Large Provider Entity Code]],A314)/C314,"NA")</f>
        <v>NA</v>
      </c>
      <c r="E314" s="7" t="str">
        <f>IFERROR(SUMIFS(TM[[#All],[Total Non-Claims Spending]],TM[[#All],[Reporting Year]],2021,TM[[#All],[Insurance Category Code]],6,TM[[#All],[Large Provider Entity Code]],A314)/C314,"NA")</f>
        <v>NA</v>
      </c>
      <c r="F314" s="7" t="str">
        <f>IFERROR(SUMIFS(TM[[#All],[Total Non-Truncated Claims and Non-Claims Spending]],TM[[#All],[Reporting Year]],2021,TM[[#All],[Insurance Category Code]],6,TM[[#All],[Large Provider Entity Code]],A314)/C314,"NA")</f>
        <v>NA</v>
      </c>
      <c r="G314" s="7" t="str">
        <f>IFERROR(SUMIFS(TM[[#All],[Total Truncated Claims Spending]],TM[[#All],[Reporting Year]],2021,TM[[#All],[Insurance Category Code]],6,TM[[#All],[Large Provider Entity Code]],A314)/C314,"NA")</f>
        <v>NA</v>
      </c>
      <c r="H314" s="204" t="str">
        <f>IFERROR(SUMIFS(TM[[#All],[Total Truncated Expenses]],TM[[#All],[Reporting Year]],2021,TM[[#All],[Insurance Category Code]],6,TM[[#All],[Large Provider Entity Code]],A314)/C314,"NA")</f>
        <v>NA</v>
      </c>
      <c r="I314" s="95">
        <f>SUMIFS(TM[[#All],[Member Months]],TM[[#All],[Reporting Year]],2022,TM[[#All],[Insurance Category Code]],6,TM[[#All],[Large Provider Entity Code]],A314)</f>
        <v>0</v>
      </c>
      <c r="J314" s="7" t="str">
        <f>IFERROR(SUMIFS(TM[[#All],[Total Non-Truncated Claims Spending]],TM[[#All],[Reporting Year]],2022,TM[[#All],[Insurance Category Code]],6,TM[[#All],[Large Provider Entity Code]],A314)/I314,"NA")</f>
        <v>NA</v>
      </c>
      <c r="K314" s="7" t="str">
        <f>IFERROR(SUMIFS(TM[[#All],[Total Non-Claims Spending]],TM[[#All],[Reporting Year]],2022,TM[[#All],[Insurance Category Code]],6,TM[[#All],[Large Provider Entity Code]],A314)/I314,"NA")</f>
        <v>NA</v>
      </c>
      <c r="L314" s="7" t="str">
        <f>IFERROR(SUMIFS(TM[[#All],[Total Non-Truncated Claims and Non-Claims Spending]],TM[[#All],[Reporting Year]],2022,TM[[#All],[Insurance Category Code]],6,TM[[#All],[Large Provider Entity Code]],A314)/I314,"NA")</f>
        <v>NA</v>
      </c>
      <c r="M314" s="7" t="str">
        <f>IFERROR(SUMIFS(TM[[#All],[Total Truncated Claims Spending]],TM[[#All],[Reporting Year]],2022,TM[[#All],[Insurance Category Code]],6,TM[[#All],[Large Provider Entity Code]],A314)/I314,"NA")</f>
        <v>NA</v>
      </c>
      <c r="N314" s="96" t="str">
        <f>IFERROR(SUMIFS(TM[[#All],[Total Truncated Expenses]],TM[[#All],[Reporting Year]],2022,TM[[#All],[Insurance Category Code]],6,TM[[#All],[Large Provider Entity Code]],A314)/I314,"NA")</f>
        <v>NA</v>
      </c>
      <c r="O314" s="518">
        <f t="shared" si="227"/>
        <v>0</v>
      </c>
      <c r="P314" s="243" t="str">
        <f t="shared" si="221"/>
        <v>NA</v>
      </c>
      <c r="Q314" s="97" t="str">
        <f t="shared" si="222"/>
        <v>NA</v>
      </c>
      <c r="R314" s="97" t="str">
        <f t="shared" si="223"/>
        <v>NA</v>
      </c>
      <c r="S314" s="97" t="str">
        <f t="shared" si="224"/>
        <v>NA</v>
      </c>
      <c r="T314" s="97" t="str">
        <f t="shared" si="225"/>
        <v>NA</v>
      </c>
      <c r="U314" s="97" t="str">
        <f t="shared" si="226"/>
        <v>NA</v>
      </c>
    </row>
    <row r="315" spans="1:21" x14ac:dyDescent="0.25">
      <c r="A315" s="218">
        <v>104</v>
      </c>
      <c r="B315" s="495" t="s">
        <v>611</v>
      </c>
      <c r="C315" s="8">
        <f>SUMIFS(TM[[#All],[Member Months]],TM[[#All],[Reporting Year]],2021,TM[[#All],[Insurance Category Code]],6,TM[[#All],[Large Provider Entity Code]],A315)</f>
        <v>0</v>
      </c>
      <c r="D315" s="7" t="str">
        <f>IFERROR(SUMIFS(TM[[#All],[Total Non-Truncated Claims Spending]],TM[[#All],[Reporting Year]],2021,TM[[#All],[Insurance Category Code]],6,TM[[#All],[Large Provider Entity Code]],A315)/C315,"NA")</f>
        <v>NA</v>
      </c>
      <c r="E315" s="7" t="str">
        <f>IFERROR(SUMIFS(TM[[#All],[Total Non-Claims Spending]],TM[[#All],[Reporting Year]],2021,TM[[#All],[Insurance Category Code]],6,TM[[#All],[Large Provider Entity Code]],A315)/C315,"NA")</f>
        <v>NA</v>
      </c>
      <c r="F315" s="7" t="str">
        <f>IFERROR(SUMIFS(TM[[#All],[Total Non-Truncated Claims and Non-Claims Spending]],TM[[#All],[Reporting Year]],2021,TM[[#All],[Insurance Category Code]],6,TM[[#All],[Large Provider Entity Code]],A315)/C315,"NA")</f>
        <v>NA</v>
      </c>
      <c r="G315" s="7" t="str">
        <f>IFERROR(SUMIFS(TM[[#All],[Total Truncated Claims Spending]],TM[[#All],[Reporting Year]],2021,TM[[#All],[Insurance Category Code]],6,TM[[#All],[Large Provider Entity Code]],A315)/C315,"NA")</f>
        <v>NA</v>
      </c>
      <c r="H315" s="204" t="str">
        <f>IFERROR(SUMIFS(TM[[#All],[Total Truncated Expenses]],TM[[#All],[Reporting Year]],2021,TM[[#All],[Insurance Category Code]],6,TM[[#All],[Large Provider Entity Code]],A315)/C315,"NA")</f>
        <v>NA</v>
      </c>
      <c r="I315" s="95">
        <f>SUMIFS(TM[[#All],[Member Months]],TM[[#All],[Reporting Year]],2022,TM[[#All],[Insurance Category Code]],6,TM[[#All],[Large Provider Entity Code]],A315)</f>
        <v>0</v>
      </c>
      <c r="J315" s="7" t="str">
        <f>IFERROR(SUMIFS(TM[[#All],[Total Non-Truncated Claims Spending]],TM[[#All],[Reporting Year]],2022,TM[[#All],[Insurance Category Code]],6,TM[[#All],[Large Provider Entity Code]],A315)/I315,"NA")</f>
        <v>NA</v>
      </c>
      <c r="K315" s="7" t="str">
        <f>IFERROR(SUMIFS(TM[[#All],[Total Non-Claims Spending]],TM[[#All],[Reporting Year]],2022,TM[[#All],[Insurance Category Code]],6,TM[[#All],[Large Provider Entity Code]],A315)/I315,"NA")</f>
        <v>NA</v>
      </c>
      <c r="L315" s="7" t="str">
        <f>IFERROR(SUMIFS(TM[[#All],[Total Non-Truncated Claims and Non-Claims Spending]],TM[[#All],[Reporting Year]],2022,TM[[#All],[Insurance Category Code]],6,TM[[#All],[Large Provider Entity Code]],A315)/I315,"NA")</f>
        <v>NA</v>
      </c>
      <c r="M315" s="7" t="str">
        <f>IFERROR(SUMIFS(TM[[#All],[Total Truncated Claims Spending]],TM[[#All],[Reporting Year]],2022,TM[[#All],[Insurance Category Code]],6,TM[[#All],[Large Provider Entity Code]],A315)/I315,"NA")</f>
        <v>NA</v>
      </c>
      <c r="N315" s="96" t="str">
        <f>IFERROR(SUMIFS(TM[[#All],[Total Truncated Expenses]],TM[[#All],[Reporting Year]],2022,TM[[#All],[Insurance Category Code]],6,TM[[#All],[Large Provider Entity Code]],A315)/I315,"NA")</f>
        <v>NA</v>
      </c>
      <c r="O315" s="518">
        <f t="shared" si="227"/>
        <v>0</v>
      </c>
      <c r="P315" s="243" t="str">
        <f t="shared" si="221"/>
        <v>NA</v>
      </c>
      <c r="Q315" s="97" t="str">
        <f t="shared" si="222"/>
        <v>NA</v>
      </c>
      <c r="R315" s="97" t="str">
        <f t="shared" si="223"/>
        <v>NA</v>
      </c>
      <c r="S315" s="97" t="str">
        <f t="shared" si="224"/>
        <v>NA</v>
      </c>
      <c r="T315" s="97" t="str">
        <f t="shared" si="225"/>
        <v>NA</v>
      </c>
      <c r="U315" s="97" t="str">
        <f t="shared" si="226"/>
        <v>NA</v>
      </c>
    </row>
    <row r="316" spans="1:21" x14ac:dyDescent="0.25">
      <c r="A316" s="218">
        <v>105</v>
      </c>
      <c r="B316" s="566" t="s">
        <v>607</v>
      </c>
      <c r="C316" s="8">
        <f>SUMIFS(TM[[#All],[Member Months]],TM[[#All],[Reporting Year]],2021,TM[[#All],[Insurance Category Code]],6,TM[[#All],[Large Provider Entity Code]],A316)</f>
        <v>0</v>
      </c>
      <c r="D316" s="7" t="str">
        <f>IFERROR(SUMIFS(TM[[#All],[Total Non-Truncated Claims Spending]],TM[[#All],[Reporting Year]],2021,TM[[#All],[Insurance Category Code]],6,TM[[#All],[Large Provider Entity Code]],A316)/C316,"NA")</f>
        <v>NA</v>
      </c>
      <c r="E316" s="7" t="str">
        <f>IFERROR(SUMIFS(TM[[#All],[Total Non-Claims Spending]],TM[[#All],[Reporting Year]],2021,TM[[#All],[Insurance Category Code]],6,TM[[#All],[Large Provider Entity Code]],A316)/C316,"NA")</f>
        <v>NA</v>
      </c>
      <c r="F316" s="7" t="str">
        <f>IFERROR(SUMIFS(TM[[#All],[Total Non-Truncated Claims and Non-Claims Spending]],TM[[#All],[Reporting Year]],2021,TM[[#All],[Insurance Category Code]],6,TM[[#All],[Large Provider Entity Code]],A316)/C316,"NA")</f>
        <v>NA</v>
      </c>
      <c r="G316" s="7" t="str">
        <f>IFERROR(SUMIFS(TM[[#All],[Total Truncated Claims Spending]],TM[[#All],[Reporting Year]],2021,TM[[#All],[Insurance Category Code]],6,TM[[#All],[Large Provider Entity Code]],A316)/C316,"NA")</f>
        <v>NA</v>
      </c>
      <c r="H316" s="204" t="str">
        <f>IFERROR(SUMIFS(TM[[#All],[Total Truncated Expenses]],TM[[#All],[Reporting Year]],2021,TM[[#All],[Insurance Category Code]],6,TM[[#All],[Large Provider Entity Code]],A316)/C316,"NA")</f>
        <v>NA</v>
      </c>
      <c r="I316" s="95">
        <f>SUMIFS(TM[[#All],[Member Months]],TM[[#All],[Reporting Year]],2022,TM[[#All],[Insurance Category Code]],6,TM[[#All],[Large Provider Entity Code]],A316)</f>
        <v>0</v>
      </c>
      <c r="J316" s="7" t="str">
        <f>IFERROR(SUMIFS(TM[[#All],[Total Non-Truncated Claims Spending]],TM[[#All],[Reporting Year]],2022,TM[[#All],[Insurance Category Code]],6,TM[[#All],[Large Provider Entity Code]],A316)/I316,"NA")</f>
        <v>NA</v>
      </c>
      <c r="K316" s="7" t="str">
        <f>IFERROR(SUMIFS(TM[[#All],[Total Non-Claims Spending]],TM[[#All],[Reporting Year]],2022,TM[[#All],[Insurance Category Code]],6,TM[[#All],[Large Provider Entity Code]],A316)/I316,"NA")</f>
        <v>NA</v>
      </c>
      <c r="L316" s="7" t="str">
        <f>IFERROR(SUMIFS(TM[[#All],[Total Non-Truncated Claims and Non-Claims Spending]],TM[[#All],[Reporting Year]],2022,TM[[#All],[Insurance Category Code]],6,TM[[#All],[Large Provider Entity Code]],A316)/I316,"NA")</f>
        <v>NA</v>
      </c>
      <c r="M316" s="7" t="str">
        <f>IFERROR(SUMIFS(TM[[#All],[Total Truncated Claims Spending]],TM[[#All],[Reporting Year]],2022,TM[[#All],[Insurance Category Code]],6,TM[[#All],[Large Provider Entity Code]],A316)/I316,"NA")</f>
        <v>NA</v>
      </c>
      <c r="N316" s="96" t="str">
        <f>IFERROR(SUMIFS(TM[[#All],[Total Truncated Expenses]],TM[[#All],[Reporting Year]],2022,TM[[#All],[Insurance Category Code]],6,TM[[#All],[Large Provider Entity Code]],A316)/I316,"NA")</f>
        <v>NA</v>
      </c>
      <c r="O316" s="518">
        <f t="shared" si="227"/>
        <v>0</v>
      </c>
      <c r="P316" s="243" t="str">
        <f t="shared" si="221"/>
        <v>NA</v>
      </c>
      <c r="Q316" s="97" t="str">
        <f t="shared" si="222"/>
        <v>NA</v>
      </c>
      <c r="R316" s="97" t="str">
        <f t="shared" si="223"/>
        <v>NA</v>
      </c>
      <c r="S316" s="97" t="str">
        <f t="shared" si="224"/>
        <v>NA</v>
      </c>
      <c r="T316" s="97" t="str">
        <f t="shared" si="225"/>
        <v>NA</v>
      </c>
      <c r="U316" s="97" t="str">
        <f t="shared" si="226"/>
        <v>NA</v>
      </c>
    </row>
    <row r="317" spans="1:21" x14ac:dyDescent="0.25">
      <c r="A317" s="218">
        <v>106</v>
      </c>
      <c r="B317" s="495" t="s">
        <v>74</v>
      </c>
      <c r="C317" s="8">
        <f>SUMIFS(TM[[#All],[Member Months]],TM[[#All],[Reporting Year]],2021,TM[[#All],[Insurance Category Code]],6,TM[[#All],[Large Provider Entity Code]],A317)</f>
        <v>0</v>
      </c>
      <c r="D317" s="7" t="str">
        <f>IFERROR(SUMIFS(TM[[#All],[Total Non-Truncated Claims Spending]],TM[[#All],[Reporting Year]],2021,TM[[#All],[Insurance Category Code]],6,TM[[#All],[Large Provider Entity Code]],A317)/C317,"NA")</f>
        <v>NA</v>
      </c>
      <c r="E317" s="7" t="str">
        <f>IFERROR(SUMIFS(TM[[#All],[Total Non-Claims Spending]],TM[[#All],[Reporting Year]],2021,TM[[#All],[Insurance Category Code]],6,TM[[#All],[Large Provider Entity Code]],A317)/C317,"NA")</f>
        <v>NA</v>
      </c>
      <c r="F317" s="7" t="str">
        <f>IFERROR(SUMIFS(TM[[#All],[Total Non-Truncated Claims and Non-Claims Spending]],TM[[#All],[Reporting Year]],2021,TM[[#All],[Insurance Category Code]],6,TM[[#All],[Large Provider Entity Code]],A317)/C317,"NA")</f>
        <v>NA</v>
      </c>
      <c r="G317" s="7" t="str">
        <f>IFERROR(SUMIFS(TM[[#All],[Total Truncated Claims Spending]],TM[[#All],[Reporting Year]],2021,TM[[#All],[Insurance Category Code]],6,TM[[#All],[Large Provider Entity Code]],A317)/C317,"NA")</f>
        <v>NA</v>
      </c>
      <c r="H317" s="204" t="str">
        <f>IFERROR(SUMIFS(TM[[#All],[Total Truncated Expenses]],TM[[#All],[Reporting Year]],2021,TM[[#All],[Insurance Category Code]],6,TM[[#All],[Large Provider Entity Code]],A317)/C317,"NA")</f>
        <v>NA</v>
      </c>
      <c r="I317" s="95">
        <f>SUMIFS(TM[[#All],[Member Months]],TM[[#All],[Reporting Year]],2022,TM[[#All],[Insurance Category Code]],6,TM[[#All],[Large Provider Entity Code]],A317)</f>
        <v>0</v>
      </c>
      <c r="J317" s="7" t="str">
        <f>IFERROR(SUMIFS(TM[[#All],[Total Non-Truncated Claims Spending]],TM[[#All],[Reporting Year]],2022,TM[[#All],[Insurance Category Code]],6,TM[[#All],[Large Provider Entity Code]],A317)/I317,"NA")</f>
        <v>NA</v>
      </c>
      <c r="K317" s="7" t="str">
        <f>IFERROR(SUMIFS(TM[[#All],[Total Non-Claims Spending]],TM[[#All],[Reporting Year]],2022,TM[[#All],[Insurance Category Code]],6,TM[[#All],[Large Provider Entity Code]],A317)/I317,"NA")</f>
        <v>NA</v>
      </c>
      <c r="L317" s="7" t="str">
        <f>IFERROR(SUMIFS(TM[[#All],[Total Non-Truncated Claims and Non-Claims Spending]],TM[[#All],[Reporting Year]],2022,TM[[#All],[Insurance Category Code]],6,TM[[#All],[Large Provider Entity Code]],A317)/I317,"NA")</f>
        <v>NA</v>
      </c>
      <c r="M317" s="7" t="str">
        <f>IFERROR(SUMIFS(TM[[#All],[Total Truncated Claims Spending]],TM[[#All],[Reporting Year]],2022,TM[[#All],[Insurance Category Code]],6,TM[[#All],[Large Provider Entity Code]],A317)/I317,"NA")</f>
        <v>NA</v>
      </c>
      <c r="N317" s="96" t="str">
        <f>IFERROR(SUMIFS(TM[[#All],[Total Truncated Expenses]],TM[[#All],[Reporting Year]],2022,TM[[#All],[Insurance Category Code]],6,TM[[#All],[Large Provider Entity Code]],A317)/I317,"NA")</f>
        <v>NA</v>
      </c>
      <c r="O317" s="518">
        <f t="shared" si="227"/>
        <v>0</v>
      </c>
      <c r="P317" s="243" t="str">
        <f t="shared" si="221"/>
        <v>NA</v>
      </c>
      <c r="Q317" s="97" t="str">
        <f t="shared" si="222"/>
        <v>NA</v>
      </c>
      <c r="R317" s="97" t="str">
        <f t="shared" si="223"/>
        <v>NA</v>
      </c>
      <c r="S317" s="97" t="str">
        <f t="shared" si="224"/>
        <v>NA</v>
      </c>
      <c r="T317" s="97" t="str">
        <f t="shared" si="225"/>
        <v>NA</v>
      </c>
      <c r="U317" s="97" t="str">
        <f t="shared" si="226"/>
        <v>NA</v>
      </c>
    </row>
    <row r="318" spans="1:21" ht="30" x14ac:dyDescent="0.25">
      <c r="A318" s="218">
        <v>107</v>
      </c>
      <c r="B318" s="495" t="s">
        <v>75</v>
      </c>
      <c r="C318" s="8">
        <f>SUMIFS(TM[[#All],[Member Months]],TM[[#All],[Reporting Year]],2021,TM[[#All],[Insurance Category Code]],6,TM[[#All],[Large Provider Entity Code]],A318)</f>
        <v>0</v>
      </c>
      <c r="D318" s="7" t="str">
        <f>IFERROR(SUMIFS(TM[[#All],[Total Non-Truncated Claims Spending]],TM[[#All],[Reporting Year]],2021,TM[[#All],[Insurance Category Code]],6,TM[[#All],[Large Provider Entity Code]],A318)/C318,"NA")</f>
        <v>NA</v>
      </c>
      <c r="E318" s="7" t="str">
        <f>IFERROR(SUMIFS(TM[[#All],[Total Non-Claims Spending]],TM[[#All],[Reporting Year]],2021,TM[[#All],[Insurance Category Code]],6,TM[[#All],[Large Provider Entity Code]],A318)/C318,"NA")</f>
        <v>NA</v>
      </c>
      <c r="F318" s="7" t="str">
        <f>IFERROR(SUMIFS(TM[[#All],[Total Non-Truncated Claims and Non-Claims Spending]],TM[[#All],[Reporting Year]],2021,TM[[#All],[Insurance Category Code]],6,TM[[#All],[Large Provider Entity Code]],A318)/C318,"NA")</f>
        <v>NA</v>
      </c>
      <c r="G318" s="7" t="str">
        <f>IFERROR(SUMIFS(TM[[#All],[Total Truncated Claims Spending]],TM[[#All],[Reporting Year]],2021,TM[[#All],[Insurance Category Code]],6,TM[[#All],[Large Provider Entity Code]],A318)/C318,"NA")</f>
        <v>NA</v>
      </c>
      <c r="H318" s="204" t="str">
        <f>IFERROR(SUMIFS(TM[[#All],[Total Truncated Expenses]],TM[[#All],[Reporting Year]],2021,TM[[#All],[Insurance Category Code]],6,TM[[#All],[Large Provider Entity Code]],A318)/C318,"NA")</f>
        <v>NA</v>
      </c>
      <c r="I318" s="95">
        <f>SUMIFS(TM[[#All],[Member Months]],TM[[#All],[Reporting Year]],2022,TM[[#All],[Insurance Category Code]],6,TM[[#All],[Large Provider Entity Code]],A318)</f>
        <v>0</v>
      </c>
      <c r="J318" s="7" t="str">
        <f>IFERROR(SUMIFS(TM[[#All],[Total Non-Truncated Claims Spending]],TM[[#All],[Reporting Year]],2022,TM[[#All],[Insurance Category Code]],6,TM[[#All],[Large Provider Entity Code]],A318)/I318,"NA")</f>
        <v>NA</v>
      </c>
      <c r="K318" s="7" t="str">
        <f>IFERROR(SUMIFS(TM[[#All],[Total Non-Claims Spending]],TM[[#All],[Reporting Year]],2022,TM[[#All],[Insurance Category Code]],6,TM[[#All],[Large Provider Entity Code]],A318)/I318,"NA")</f>
        <v>NA</v>
      </c>
      <c r="L318" s="7" t="str">
        <f>IFERROR(SUMIFS(TM[[#All],[Total Non-Truncated Claims and Non-Claims Spending]],TM[[#All],[Reporting Year]],2022,TM[[#All],[Insurance Category Code]],6,TM[[#All],[Large Provider Entity Code]],A318)/I318,"NA")</f>
        <v>NA</v>
      </c>
      <c r="M318" s="7" t="str">
        <f>IFERROR(SUMIFS(TM[[#All],[Total Truncated Claims Spending]],TM[[#All],[Reporting Year]],2022,TM[[#All],[Insurance Category Code]],6,TM[[#All],[Large Provider Entity Code]],A318)/I318,"NA")</f>
        <v>NA</v>
      </c>
      <c r="N318" s="96" t="str">
        <f>IFERROR(SUMIFS(TM[[#All],[Total Truncated Expenses]],TM[[#All],[Reporting Year]],2022,TM[[#All],[Insurance Category Code]],6,TM[[#All],[Large Provider Entity Code]],A318)/I318,"NA")</f>
        <v>NA</v>
      </c>
      <c r="O318" s="518">
        <f t="shared" si="227"/>
        <v>0</v>
      </c>
      <c r="P318" s="243" t="str">
        <f t="shared" si="221"/>
        <v>NA</v>
      </c>
      <c r="Q318" s="97" t="str">
        <f t="shared" si="222"/>
        <v>NA</v>
      </c>
      <c r="R318" s="97" t="str">
        <f t="shared" si="223"/>
        <v>NA</v>
      </c>
      <c r="S318" s="97" t="str">
        <f t="shared" si="224"/>
        <v>NA</v>
      </c>
      <c r="T318" s="97" t="str">
        <f t="shared" si="225"/>
        <v>NA</v>
      </c>
      <c r="U318" s="97" t="str">
        <f t="shared" si="226"/>
        <v>NA</v>
      </c>
    </row>
    <row r="319" spans="1:21" x14ac:dyDescent="0.25">
      <c r="A319" s="218">
        <v>108</v>
      </c>
      <c r="B319" s="495" t="s">
        <v>612</v>
      </c>
      <c r="C319" s="8">
        <f>SUMIFS(TM[[#All],[Member Months]],TM[[#All],[Reporting Year]],2021,TM[[#All],[Insurance Category Code]],6,TM[[#All],[Large Provider Entity Code]],A319)</f>
        <v>0</v>
      </c>
      <c r="D319" s="7" t="str">
        <f>IFERROR(SUMIFS(TM[[#All],[Total Non-Truncated Claims Spending]],TM[[#All],[Reporting Year]],2021,TM[[#All],[Insurance Category Code]],6,TM[[#All],[Large Provider Entity Code]],A319)/C319,"NA")</f>
        <v>NA</v>
      </c>
      <c r="E319" s="7" t="str">
        <f>IFERROR(SUMIFS(TM[[#All],[Total Non-Claims Spending]],TM[[#All],[Reporting Year]],2021,TM[[#All],[Insurance Category Code]],6,TM[[#All],[Large Provider Entity Code]],A319)/C319,"NA")</f>
        <v>NA</v>
      </c>
      <c r="F319" s="7" t="str">
        <f>IFERROR(SUMIFS(TM[[#All],[Total Non-Truncated Claims and Non-Claims Spending]],TM[[#All],[Reporting Year]],2021,TM[[#All],[Insurance Category Code]],6,TM[[#All],[Large Provider Entity Code]],A319)/C319,"NA")</f>
        <v>NA</v>
      </c>
      <c r="G319" s="7" t="str">
        <f>IFERROR(SUMIFS(TM[[#All],[Total Truncated Claims Spending]],TM[[#All],[Reporting Year]],2021,TM[[#All],[Insurance Category Code]],6,TM[[#All],[Large Provider Entity Code]],A319)/C319,"NA")</f>
        <v>NA</v>
      </c>
      <c r="H319" s="204" t="str">
        <f>IFERROR(SUMIFS(TM[[#All],[Total Truncated Expenses]],TM[[#All],[Reporting Year]],2021,TM[[#All],[Insurance Category Code]],6,TM[[#All],[Large Provider Entity Code]],A319)/C319,"NA")</f>
        <v>NA</v>
      </c>
      <c r="I319" s="95">
        <f>SUMIFS(TM[[#All],[Member Months]],TM[[#All],[Reporting Year]],2022,TM[[#All],[Insurance Category Code]],6,TM[[#All],[Large Provider Entity Code]],A319)</f>
        <v>0</v>
      </c>
      <c r="J319" s="7" t="str">
        <f>IFERROR(SUMIFS(TM[[#All],[Total Non-Truncated Claims Spending]],TM[[#All],[Reporting Year]],2022,TM[[#All],[Insurance Category Code]],6,TM[[#All],[Large Provider Entity Code]],A319)/I319,"NA")</f>
        <v>NA</v>
      </c>
      <c r="K319" s="7" t="str">
        <f>IFERROR(SUMIFS(TM[[#All],[Total Non-Claims Spending]],TM[[#All],[Reporting Year]],2022,TM[[#All],[Insurance Category Code]],6,TM[[#All],[Large Provider Entity Code]],A319)/I319,"NA")</f>
        <v>NA</v>
      </c>
      <c r="L319" s="7" t="str">
        <f>IFERROR(SUMIFS(TM[[#All],[Total Non-Truncated Claims and Non-Claims Spending]],TM[[#All],[Reporting Year]],2022,TM[[#All],[Insurance Category Code]],6,TM[[#All],[Large Provider Entity Code]],A319)/I319,"NA")</f>
        <v>NA</v>
      </c>
      <c r="M319" s="7" t="str">
        <f>IFERROR(SUMIFS(TM[[#All],[Total Truncated Claims Spending]],TM[[#All],[Reporting Year]],2022,TM[[#All],[Insurance Category Code]],6,TM[[#All],[Large Provider Entity Code]],A319)/I319,"NA")</f>
        <v>NA</v>
      </c>
      <c r="N319" s="96" t="str">
        <f>IFERROR(SUMIFS(TM[[#All],[Total Truncated Expenses]],TM[[#All],[Reporting Year]],2022,TM[[#All],[Insurance Category Code]],6,TM[[#All],[Large Provider Entity Code]],A319)/I319,"NA")</f>
        <v>NA</v>
      </c>
      <c r="O319" s="518">
        <f t="shared" si="227"/>
        <v>0</v>
      </c>
      <c r="P319" s="243" t="str">
        <f t="shared" si="221"/>
        <v>NA</v>
      </c>
      <c r="Q319" s="97" t="str">
        <f t="shared" si="222"/>
        <v>NA</v>
      </c>
      <c r="R319" s="97" t="str">
        <f t="shared" si="223"/>
        <v>NA</v>
      </c>
      <c r="S319" s="97" t="str">
        <f t="shared" si="224"/>
        <v>NA</v>
      </c>
      <c r="T319" s="97" t="str">
        <f t="shared" si="225"/>
        <v>NA</v>
      </c>
      <c r="U319" s="97" t="str">
        <f t="shared" si="226"/>
        <v>NA</v>
      </c>
    </row>
    <row r="320" spans="1:21" x14ac:dyDescent="0.25">
      <c r="A320" s="218">
        <v>109</v>
      </c>
      <c r="B320" s="571" t="s">
        <v>76</v>
      </c>
      <c r="C320" s="8">
        <f>SUMIFS(TM[[#All],[Member Months]],TM[[#All],[Reporting Year]],2021,TM[[#All],[Insurance Category Code]],6,TM[[#All],[Large Provider Entity Code]],A320)</f>
        <v>0</v>
      </c>
      <c r="D320" s="7" t="str">
        <f>IFERROR(SUMIFS(TM[[#All],[Total Non-Truncated Claims Spending]],TM[[#All],[Reporting Year]],2021,TM[[#All],[Insurance Category Code]],6,TM[[#All],[Large Provider Entity Code]],A320)/C320,"NA")</f>
        <v>NA</v>
      </c>
      <c r="E320" s="7" t="str">
        <f>IFERROR(SUMIFS(TM[[#All],[Total Non-Claims Spending]],TM[[#All],[Reporting Year]],2021,TM[[#All],[Insurance Category Code]],6,TM[[#All],[Large Provider Entity Code]],A320)/C320,"NA")</f>
        <v>NA</v>
      </c>
      <c r="F320" s="7" t="str">
        <f>IFERROR(SUMIFS(TM[[#All],[Total Non-Truncated Claims and Non-Claims Spending]],TM[[#All],[Reporting Year]],2021,TM[[#All],[Insurance Category Code]],6,TM[[#All],[Large Provider Entity Code]],A320)/C320,"NA")</f>
        <v>NA</v>
      </c>
      <c r="G320" s="7" t="str">
        <f>IFERROR(SUMIFS(TM[[#All],[Total Truncated Claims Spending]],TM[[#All],[Reporting Year]],2021,TM[[#All],[Insurance Category Code]],6,TM[[#All],[Large Provider Entity Code]],A320)/C320,"NA")</f>
        <v>NA</v>
      </c>
      <c r="H320" s="204" t="str">
        <f>IFERROR(SUMIFS(TM[[#All],[Total Truncated Expenses]],TM[[#All],[Reporting Year]],2021,TM[[#All],[Insurance Category Code]],6,TM[[#All],[Large Provider Entity Code]],A320)/C320,"NA")</f>
        <v>NA</v>
      </c>
      <c r="I320" s="95">
        <f>SUMIFS(TM[[#All],[Member Months]],TM[[#All],[Reporting Year]],2022,TM[[#All],[Insurance Category Code]],6,TM[[#All],[Large Provider Entity Code]],A320)</f>
        <v>0</v>
      </c>
      <c r="J320" s="7" t="str">
        <f>IFERROR(SUMIFS(TM[[#All],[Total Non-Truncated Claims Spending]],TM[[#All],[Reporting Year]],2022,TM[[#All],[Insurance Category Code]],6,TM[[#All],[Large Provider Entity Code]],A320)/I320,"NA")</f>
        <v>NA</v>
      </c>
      <c r="K320" s="7" t="str">
        <f>IFERROR(SUMIFS(TM[[#All],[Total Non-Claims Spending]],TM[[#All],[Reporting Year]],2022,TM[[#All],[Insurance Category Code]],6,TM[[#All],[Large Provider Entity Code]],A320)/I320,"NA")</f>
        <v>NA</v>
      </c>
      <c r="L320" s="7" t="str">
        <f>IFERROR(SUMIFS(TM[[#All],[Total Non-Truncated Claims and Non-Claims Spending]],TM[[#All],[Reporting Year]],2022,TM[[#All],[Insurance Category Code]],6,TM[[#All],[Large Provider Entity Code]],A320)/I320,"NA")</f>
        <v>NA</v>
      </c>
      <c r="M320" s="7" t="str">
        <f>IFERROR(SUMIFS(TM[[#All],[Total Truncated Claims Spending]],TM[[#All],[Reporting Year]],2022,TM[[#All],[Insurance Category Code]],6,TM[[#All],[Large Provider Entity Code]],A320)/I320,"NA")</f>
        <v>NA</v>
      </c>
      <c r="N320" s="96" t="str">
        <f>IFERROR(SUMIFS(TM[[#All],[Total Truncated Expenses]],TM[[#All],[Reporting Year]],2022,TM[[#All],[Insurance Category Code]],6,TM[[#All],[Large Provider Entity Code]],A320)/I320,"NA")</f>
        <v>NA</v>
      </c>
      <c r="O320" s="518">
        <f t="shared" si="227"/>
        <v>0</v>
      </c>
      <c r="P320" s="243" t="str">
        <f t="shared" si="221"/>
        <v>NA</v>
      </c>
      <c r="Q320" s="97" t="str">
        <f t="shared" si="222"/>
        <v>NA</v>
      </c>
      <c r="R320" s="97" t="str">
        <f t="shared" si="223"/>
        <v>NA</v>
      </c>
      <c r="S320" s="97" t="str">
        <f t="shared" si="224"/>
        <v>NA</v>
      </c>
      <c r="T320" s="97" t="str">
        <f t="shared" si="225"/>
        <v>NA</v>
      </c>
      <c r="U320" s="97" t="str">
        <f t="shared" si="226"/>
        <v>NA</v>
      </c>
    </row>
    <row r="321" spans="1:21" x14ac:dyDescent="0.25">
      <c r="A321" s="218">
        <v>110</v>
      </c>
      <c r="B321" s="495" t="s">
        <v>77</v>
      </c>
      <c r="C321" s="8">
        <f>SUMIFS(TM[[#All],[Member Months]],TM[[#All],[Reporting Year]],2021,TM[[#All],[Insurance Category Code]],6,TM[[#All],[Large Provider Entity Code]],A321)</f>
        <v>0</v>
      </c>
      <c r="D321" s="7" t="str">
        <f>IFERROR(SUMIFS(TM[[#All],[Total Non-Truncated Claims Spending]],TM[[#All],[Reporting Year]],2021,TM[[#All],[Insurance Category Code]],6,TM[[#All],[Large Provider Entity Code]],A321)/C321,"NA")</f>
        <v>NA</v>
      </c>
      <c r="E321" s="7" t="str">
        <f>IFERROR(SUMIFS(TM[[#All],[Total Non-Claims Spending]],TM[[#All],[Reporting Year]],2021,TM[[#All],[Insurance Category Code]],6,TM[[#All],[Large Provider Entity Code]],A321)/C321,"NA")</f>
        <v>NA</v>
      </c>
      <c r="F321" s="7" t="str">
        <f>IFERROR(SUMIFS(TM[[#All],[Total Non-Truncated Claims and Non-Claims Spending]],TM[[#All],[Reporting Year]],2021,TM[[#All],[Insurance Category Code]],6,TM[[#All],[Large Provider Entity Code]],A321)/C321,"NA")</f>
        <v>NA</v>
      </c>
      <c r="G321" s="7" t="str">
        <f>IFERROR(SUMIFS(TM[[#All],[Total Truncated Claims Spending]],TM[[#All],[Reporting Year]],2021,TM[[#All],[Insurance Category Code]],6,TM[[#All],[Large Provider Entity Code]],A321)/C321,"NA")</f>
        <v>NA</v>
      </c>
      <c r="H321" s="204" t="str">
        <f>IFERROR(SUMIFS(TM[[#All],[Total Truncated Expenses]],TM[[#All],[Reporting Year]],2021,TM[[#All],[Insurance Category Code]],6,TM[[#All],[Large Provider Entity Code]],A321)/C321,"NA")</f>
        <v>NA</v>
      </c>
      <c r="I321" s="95">
        <f>SUMIFS(TM[[#All],[Member Months]],TM[[#All],[Reporting Year]],2022,TM[[#All],[Insurance Category Code]],6,TM[[#All],[Large Provider Entity Code]],A321)</f>
        <v>0</v>
      </c>
      <c r="J321" s="7" t="str">
        <f>IFERROR(SUMIFS(TM[[#All],[Total Non-Truncated Claims Spending]],TM[[#All],[Reporting Year]],2022,TM[[#All],[Insurance Category Code]],6,TM[[#All],[Large Provider Entity Code]],A321)/I321,"NA")</f>
        <v>NA</v>
      </c>
      <c r="K321" s="7" t="str">
        <f>IFERROR(SUMIFS(TM[[#All],[Total Non-Claims Spending]],TM[[#All],[Reporting Year]],2022,TM[[#All],[Insurance Category Code]],6,TM[[#All],[Large Provider Entity Code]],A321)/I321,"NA")</f>
        <v>NA</v>
      </c>
      <c r="L321" s="7" t="str">
        <f>IFERROR(SUMIFS(TM[[#All],[Total Non-Truncated Claims and Non-Claims Spending]],TM[[#All],[Reporting Year]],2022,TM[[#All],[Insurance Category Code]],6,TM[[#All],[Large Provider Entity Code]],A321)/I321,"NA")</f>
        <v>NA</v>
      </c>
      <c r="M321" s="7" t="str">
        <f>IFERROR(SUMIFS(TM[[#All],[Total Truncated Claims Spending]],TM[[#All],[Reporting Year]],2022,TM[[#All],[Insurance Category Code]],6,TM[[#All],[Large Provider Entity Code]],A321)/I321,"NA")</f>
        <v>NA</v>
      </c>
      <c r="N321" s="96" t="str">
        <f>IFERROR(SUMIFS(TM[[#All],[Total Truncated Expenses]],TM[[#All],[Reporting Year]],2022,TM[[#All],[Insurance Category Code]],6,TM[[#All],[Large Provider Entity Code]],A321)/I321,"NA")</f>
        <v>NA</v>
      </c>
      <c r="O321" s="518">
        <f t="shared" si="227"/>
        <v>0</v>
      </c>
      <c r="P321" s="243" t="str">
        <f t="shared" si="221"/>
        <v>NA</v>
      </c>
      <c r="Q321" s="97" t="str">
        <f t="shared" si="222"/>
        <v>NA</v>
      </c>
      <c r="R321" s="97" t="str">
        <f t="shared" si="223"/>
        <v>NA</v>
      </c>
      <c r="S321" s="97" t="str">
        <f t="shared" si="224"/>
        <v>NA</v>
      </c>
      <c r="T321" s="97" t="str">
        <f t="shared" si="225"/>
        <v>NA</v>
      </c>
      <c r="U321" s="97" t="str">
        <f t="shared" si="226"/>
        <v>NA</v>
      </c>
    </row>
    <row r="322" spans="1:21" x14ac:dyDescent="0.25">
      <c r="A322" s="218">
        <v>111</v>
      </c>
      <c r="B322" s="566" t="s">
        <v>78</v>
      </c>
      <c r="C322" s="8">
        <f>SUMIFS(TM[[#All],[Member Months]],TM[[#All],[Reporting Year]],2021,TM[[#All],[Insurance Category Code]],6,TM[[#All],[Large Provider Entity Code]],A322)</f>
        <v>0</v>
      </c>
      <c r="D322" s="7" t="str">
        <f>IFERROR(SUMIFS(TM[[#All],[Total Non-Truncated Claims Spending]],TM[[#All],[Reporting Year]],2021,TM[[#All],[Insurance Category Code]],6,TM[[#All],[Large Provider Entity Code]],A322)/C322,"NA")</f>
        <v>NA</v>
      </c>
      <c r="E322" s="7" t="str">
        <f>IFERROR(SUMIFS(TM[[#All],[Total Non-Claims Spending]],TM[[#All],[Reporting Year]],2021,TM[[#All],[Insurance Category Code]],6,TM[[#All],[Large Provider Entity Code]],A322)/C322,"NA")</f>
        <v>NA</v>
      </c>
      <c r="F322" s="7" t="str">
        <f>IFERROR(SUMIFS(TM[[#All],[Total Non-Truncated Claims and Non-Claims Spending]],TM[[#All],[Reporting Year]],2021,TM[[#All],[Insurance Category Code]],6,TM[[#All],[Large Provider Entity Code]],A322)/C322,"NA")</f>
        <v>NA</v>
      </c>
      <c r="G322" s="7" t="str">
        <f>IFERROR(SUMIFS(TM[[#All],[Total Truncated Claims Spending]],TM[[#All],[Reporting Year]],2021,TM[[#All],[Insurance Category Code]],6,TM[[#All],[Large Provider Entity Code]],A322)/C322,"NA")</f>
        <v>NA</v>
      </c>
      <c r="H322" s="204" t="str">
        <f>IFERROR(SUMIFS(TM[[#All],[Total Truncated Expenses]],TM[[#All],[Reporting Year]],2021,TM[[#All],[Insurance Category Code]],6,TM[[#All],[Large Provider Entity Code]],A322)/C322,"NA")</f>
        <v>NA</v>
      </c>
      <c r="I322" s="95">
        <f>SUMIFS(TM[[#All],[Member Months]],TM[[#All],[Reporting Year]],2022,TM[[#All],[Insurance Category Code]],6,TM[[#All],[Large Provider Entity Code]],A322)</f>
        <v>0</v>
      </c>
      <c r="J322" s="7" t="str">
        <f>IFERROR(SUMIFS(TM[[#All],[Total Non-Truncated Claims Spending]],TM[[#All],[Reporting Year]],2022,TM[[#All],[Insurance Category Code]],6,TM[[#All],[Large Provider Entity Code]],A322)/I322,"NA")</f>
        <v>NA</v>
      </c>
      <c r="K322" s="7" t="str">
        <f>IFERROR(SUMIFS(TM[[#All],[Total Non-Claims Spending]],TM[[#All],[Reporting Year]],2022,TM[[#All],[Insurance Category Code]],6,TM[[#All],[Large Provider Entity Code]],A322)/I322,"NA")</f>
        <v>NA</v>
      </c>
      <c r="L322" s="7" t="str">
        <f>IFERROR(SUMIFS(TM[[#All],[Total Non-Truncated Claims and Non-Claims Spending]],TM[[#All],[Reporting Year]],2022,TM[[#All],[Insurance Category Code]],6,TM[[#All],[Large Provider Entity Code]],A322)/I322,"NA")</f>
        <v>NA</v>
      </c>
      <c r="M322" s="7" t="str">
        <f>IFERROR(SUMIFS(TM[[#All],[Total Truncated Claims Spending]],TM[[#All],[Reporting Year]],2022,TM[[#All],[Insurance Category Code]],6,TM[[#All],[Large Provider Entity Code]],A322)/I322,"NA")</f>
        <v>NA</v>
      </c>
      <c r="N322" s="96" t="str">
        <f>IFERROR(SUMIFS(TM[[#All],[Total Truncated Expenses]],TM[[#All],[Reporting Year]],2022,TM[[#All],[Insurance Category Code]],6,TM[[#All],[Large Provider Entity Code]],A322)/I322,"NA")</f>
        <v>NA</v>
      </c>
      <c r="O322" s="518">
        <f t="shared" si="227"/>
        <v>0</v>
      </c>
      <c r="P322" s="243" t="str">
        <f t="shared" si="221"/>
        <v>NA</v>
      </c>
      <c r="Q322" s="97" t="str">
        <f t="shared" si="222"/>
        <v>NA</v>
      </c>
      <c r="R322" s="97" t="str">
        <f t="shared" si="223"/>
        <v>NA</v>
      </c>
      <c r="S322" s="97" t="str">
        <f t="shared" si="224"/>
        <v>NA</v>
      </c>
      <c r="T322" s="97" t="str">
        <f t="shared" si="225"/>
        <v>NA</v>
      </c>
      <c r="U322" s="97" t="str">
        <f t="shared" si="226"/>
        <v>NA</v>
      </c>
    </row>
    <row r="323" spans="1:21" x14ac:dyDescent="0.25">
      <c r="A323" s="218">
        <v>112</v>
      </c>
      <c r="B323" s="566" t="s">
        <v>613</v>
      </c>
      <c r="C323" s="8">
        <f>SUMIFS(TM[[#All],[Member Months]],TM[[#All],[Reporting Year]],2021,TM[[#All],[Insurance Category Code]],6,TM[[#All],[Large Provider Entity Code]],A323)</f>
        <v>0</v>
      </c>
      <c r="D323" s="7" t="str">
        <f>IFERROR(SUMIFS(TM[[#All],[Total Non-Truncated Claims Spending]],TM[[#All],[Reporting Year]],2021,TM[[#All],[Insurance Category Code]],6,TM[[#All],[Large Provider Entity Code]],A323)/C323,"NA")</f>
        <v>NA</v>
      </c>
      <c r="E323" s="7" t="str">
        <f>IFERROR(SUMIFS(TM[[#All],[Total Non-Claims Spending]],TM[[#All],[Reporting Year]],2021,TM[[#All],[Insurance Category Code]],6,TM[[#All],[Large Provider Entity Code]],A323)/C323,"NA")</f>
        <v>NA</v>
      </c>
      <c r="F323" s="7" t="str">
        <f>IFERROR(SUMIFS(TM[[#All],[Total Non-Truncated Claims and Non-Claims Spending]],TM[[#All],[Reporting Year]],2021,TM[[#All],[Insurance Category Code]],6,TM[[#All],[Large Provider Entity Code]],A323)/C323,"NA")</f>
        <v>NA</v>
      </c>
      <c r="G323" s="7" t="str">
        <f>IFERROR(SUMIFS(TM[[#All],[Total Truncated Claims Spending]],TM[[#All],[Reporting Year]],2021,TM[[#All],[Insurance Category Code]],6,TM[[#All],[Large Provider Entity Code]],A323)/C323,"NA")</f>
        <v>NA</v>
      </c>
      <c r="H323" s="204" t="str">
        <f>IFERROR(SUMIFS(TM[[#All],[Total Truncated Expenses]],TM[[#All],[Reporting Year]],2021,TM[[#All],[Insurance Category Code]],6,TM[[#All],[Large Provider Entity Code]],A323)/C323,"NA")</f>
        <v>NA</v>
      </c>
      <c r="I323" s="95">
        <f>SUMIFS(TM[[#All],[Member Months]],TM[[#All],[Reporting Year]],2022,TM[[#All],[Insurance Category Code]],6,TM[[#All],[Large Provider Entity Code]],A323)</f>
        <v>0</v>
      </c>
      <c r="J323" s="7" t="str">
        <f>IFERROR(SUMIFS(TM[[#All],[Total Non-Truncated Claims Spending]],TM[[#All],[Reporting Year]],2022,TM[[#All],[Insurance Category Code]],6,TM[[#All],[Large Provider Entity Code]],A323)/I323,"NA")</f>
        <v>NA</v>
      </c>
      <c r="K323" s="7" t="str">
        <f>IFERROR(SUMIFS(TM[[#All],[Total Non-Claims Spending]],TM[[#All],[Reporting Year]],2022,TM[[#All],[Insurance Category Code]],6,TM[[#All],[Large Provider Entity Code]],A323)/I323,"NA")</f>
        <v>NA</v>
      </c>
      <c r="L323" s="7" t="str">
        <f>IFERROR(SUMIFS(TM[[#All],[Total Non-Truncated Claims and Non-Claims Spending]],TM[[#All],[Reporting Year]],2022,TM[[#All],[Insurance Category Code]],6,TM[[#All],[Large Provider Entity Code]],A323)/I323,"NA")</f>
        <v>NA</v>
      </c>
      <c r="M323" s="7" t="str">
        <f>IFERROR(SUMIFS(TM[[#All],[Total Truncated Claims Spending]],TM[[#All],[Reporting Year]],2022,TM[[#All],[Insurance Category Code]],6,TM[[#All],[Large Provider Entity Code]],A323)/I323,"NA")</f>
        <v>NA</v>
      </c>
      <c r="N323" s="96" t="str">
        <f>IFERROR(SUMIFS(TM[[#All],[Total Truncated Expenses]],TM[[#All],[Reporting Year]],2022,TM[[#All],[Insurance Category Code]],6,TM[[#All],[Large Provider Entity Code]],A323)/I323,"NA")</f>
        <v>NA</v>
      </c>
      <c r="O323" s="518">
        <f t="shared" si="227"/>
        <v>0</v>
      </c>
      <c r="P323" s="243" t="str">
        <f t="shared" si="221"/>
        <v>NA</v>
      </c>
      <c r="Q323" s="97" t="str">
        <f t="shared" si="222"/>
        <v>NA</v>
      </c>
      <c r="R323" s="97" t="str">
        <f t="shared" si="223"/>
        <v>NA</v>
      </c>
      <c r="S323" s="97" t="str">
        <f t="shared" si="224"/>
        <v>NA</v>
      </c>
      <c r="T323" s="97" t="str">
        <f t="shared" si="225"/>
        <v>NA</v>
      </c>
      <c r="U323" s="97" t="str">
        <f t="shared" si="226"/>
        <v>NA</v>
      </c>
    </row>
    <row r="324" spans="1:21" x14ac:dyDescent="0.25">
      <c r="A324" s="218">
        <v>115</v>
      </c>
      <c r="B324" s="566" t="s">
        <v>79</v>
      </c>
      <c r="C324" s="8">
        <f>SUMIFS(TM[[#All],[Member Months]],TM[[#All],[Reporting Year]],2021,TM[[#All],[Insurance Category Code]],6,TM[[#All],[Large Provider Entity Code]],A324)</f>
        <v>0</v>
      </c>
      <c r="D324" s="7" t="str">
        <f>IFERROR(SUMIFS(TM[[#All],[Total Non-Truncated Claims Spending]],TM[[#All],[Reporting Year]],2021,TM[[#All],[Insurance Category Code]],6,TM[[#All],[Large Provider Entity Code]],A324)/C324,"NA")</f>
        <v>NA</v>
      </c>
      <c r="E324" s="7" t="str">
        <f>IFERROR(SUMIFS(TM[[#All],[Total Non-Claims Spending]],TM[[#All],[Reporting Year]],2021,TM[[#All],[Insurance Category Code]],6,TM[[#All],[Large Provider Entity Code]],A324)/C324,"NA")</f>
        <v>NA</v>
      </c>
      <c r="F324" s="7" t="str">
        <f>IFERROR(SUMIFS(TM[[#All],[Total Non-Truncated Claims and Non-Claims Spending]],TM[[#All],[Reporting Year]],2021,TM[[#All],[Insurance Category Code]],6,TM[[#All],[Large Provider Entity Code]],A324)/C324,"NA")</f>
        <v>NA</v>
      </c>
      <c r="G324" s="7" t="str">
        <f>IFERROR(SUMIFS(TM[[#All],[Total Truncated Claims Spending]],TM[[#All],[Reporting Year]],2021,TM[[#All],[Insurance Category Code]],6,TM[[#All],[Large Provider Entity Code]],A324)/C324,"NA")</f>
        <v>NA</v>
      </c>
      <c r="H324" s="204" t="str">
        <f>IFERROR(SUMIFS(TM[[#All],[Total Truncated Expenses]],TM[[#All],[Reporting Year]],2021,TM[[#All],[Insurance Category Code]],6,TM[[#All],[Large Provider Entity Code]],A324)/C324,"NA")</f>
        <v>NA</v>
      </c>
      <c r="I324" s="95">
        <f>SUMIFS(TM[[#All],[Member Months]],TM[[#All],[Reporting Year]],2022,TM[[#All],[Insurance Category Code]],6,TM[[#All],[Large Provider Entity Code]],A324)</f>
        <v>0</v>
      </c>
      <c r="J324" s="7" t="str">
        <f>IFERROR(SUMIFS(TM[[#All],[Total Non-Truncated Claims Spending]],TM[[#All],[Reporting Year]],2022,TM[[#All],[Insurance Category Code]],6,TM[[#All],[Large Provider Entity Code]],A324)/I324,"NA")</f>
        <v>NA</v>
      </c>
      <c r="K324" s="7" t="str">
        <f>IFERROR(SUMIFS(TM[[#All],[Total Non-Claims Spending]],TM[[#All],[Reporting Year]],2022,TM[[#All],[Insurance Category Code]],6,TM[[#All],[Large Provider Entity Code]],A324)/I324,"NA")</f>
        <v>NA</v>
      </c>
      <c r="L324" s="7" t="str">
        <f>IFERROR(SUMIFS(TM[[#All],[Total Non-Truncated Claims and Non-Claims Spending]],TM[[#All],[Reporting Year]],2022,TM[[#All],[Insurance Category Code]],6,TM[[#All],[Large Provider Entity Code]],A324)/I324,"NA")</f>
        <v>NA</v>
      </c>
      <c r="M324" s="7" t="str">
        <f>IFERROR(SUMIFS(TM[[#All],[Total Truncated Claims Spending]],TM[[#All],[Reporting Year]],2022,TM[[#All],[Insurance Category Code]],6,TM[[#All],[Large Provider Entity Code]],A324)/I324,"NA")</f>
        <v>NA</v>
      </c>
      <c r="N324" s="96" t="str">
        <f>IFERROR(SUMIFS(TM[[#All],[Total Truncated Expenses]],TM[[#All],[Reporting Year]],2022,TM[[#All],[Insurance Category Code]],6,TM[[#All],[Large Provider Entity Code]],A324)/I324,"NA")</f>
        <v>NA</v>
      </c>
      <c r="O324" s="518">
        <f t="shared" si="227"/>
        <v>0</v>
      </c>
      <c r="P324" s="243" t="str">
        <f t="shared" si="221"/>
        <v>NA</v>
      </c>
      <c r="Q324" s="97" t="str">
        <f t="shared" si="222"/>
        <v>NA</v>
      </c>
      <c r="R324" s="97" t="str">
        <f t="shared" si="223"/>
        <v>NA</v>
      </c>
      <c r="S324" s="97" t="str">
        <f t="shared" si="224"/>
        <v>NA</v>
      </c>
      <c r="T324" s="97" t="str">
        <f t="shared" si="225"/>
        <v>NA</v>
      </c>
      <c r="U324" s="97" t="str">
        <f t="shared" si="226"/>
        <v>NA</v>
      </c>
    </row>
    <row r="325" spans="1:21" x14ac:dyDescent="0.25">
      <c r="A325" s="218">
        <v>116</v>
      </c>
      <c r="B325" s="566" t="s">
        <v>614</v>
      </c>
      <c r="C325" s="8">
        <f>SUMIFS(TM[[#All],[Member Months]],TM[[#All],[Reporting Year]],2021,TM[[#All],[Insurance Category Code]],6,TM[[#All],[Large Provider Entity Code]],A325)</f>
        <v>0</v>
      </c>
      <c r="D325" s="7" t="str">
        <f>IFERROR(SUMIFS(TM[[#All],[Total Non-Truncated Claims Spending]],TM[[#All],[Reporting Year]],2021,TM[[#All],[Insurance Category Code]],6,TM[[#All],[Large Provider Entity Code]],A325)/C325,"NA")</f>
        <v>NA</v>
      </c>
      <c r="E325" s="7" t="str">
        <f>IFERROR(SUMIFS(TM[[#All],[Total Non-Claims Spending]],TM[[#All],[Reporting Year]],2021,TM[[#All],[Insurance Category Code]],6,TM[[#All],[Large Provider Entity Code]],A325)/C325,"NA")</f>
        <v>NA</v>
      </c>
      <c r="F325" s="7" t="str">
        <f>IFERROR(SUMIFS(TM[[#All],[Total Non-Truncated Claims and Non-Claims Spending]],TM[[#All],[Reporting Year]],2021,TM[[#All],[Insurance Category Code]],6,TM[[#All],[Large Provider Entity Code]],A325)/C325,"NA")</f>
        <v>NA</v>
      </c>
      <c r="G325" s="7" t="str">
        <f>IFERROR(SUMIFS(TM[[#All],[Total Truncated Claims Spending]],TM[[#All],[Reporting Year]],2021,TM[[#All],[Insurance Category Code]],6,TM[[#All],[Large Provider Entity Code]],A325)/C325,"NA")</f>
        <v>NA</v>
      </c>
      <c r="H325" s="204" t="str">
        <f>IFERROR(SUMIFS(TM[[#All],[Total Truncated Expenses]],TM[[#All],[Reporting Year]],2021,TM[[#All],[Insurance Category Code]],6,TM[[#All],[Large Provider Entity Code]],A325)/C325,"NA")</f>
        <v>NA</v>
      </c>
      <c r="I325" s="95">
        <f>SUMIFS(TM[[#All],[Member Months]],TM[[#All],[Reporting Year]],2022,TM[[#All],[Insurance Category Code]],6,TM[[#All],[Large Provider Entity Code]],A325)</f>
        <v>0</v>
      </c>
      <c r="J325" s="7" t="str">
        <f>IFERROR(SUMIFS(TM[[#All],[Total Non-Truncated Claims Spending]],TM[[#All],[Reporting Year]],2022,TM[[#All],[Insurance Category Code]],6,TM[[#All],[Large Provider Entity Code]],A325)/I325,"NA")</f>
        <v>NA</v>
      </c>
      <c r="K325" s="7" t="str">
        <f>IFERROR(SUMIFS(TM[[#All],[Total Non-Claims Spending]],TM[[#All],[Reporting Year]],2022,TM[[#All],[Insurance Category Code]],6,TM[[#All],[Large Provider Entity Code]],A325)/I325,"NA")</f>
        <v>NA</v>
      </c>
      <c r="L325" s="7" t="str">
        <f>IFERROR(SUMIFS(TM[[#All],[Total Non-Truncated Claims and Non-Claims Spending]],TM[[#All],[Reporting Year]],2022,TM[[#All],[Insurance Category Code]],6,TM[[#All],[Large Provider Entity Code]],A325)/I325,"NA")</f>
        <v>NA</v>
      </c>
      <c r="M325" s="7" t="str">
        <f>IFERROR(SUMIFS(TM[[#All],[Total Truncated Claims Spending]],TM[[#All],[Reporting Year]],2022,TM[[#All],[Insurance Category Code]],6,TM[[#All],[Large Provider Entity Code]],A325)/I325,"NA")</f>
        <v>NA</v>
      </c>
      <c r="N325" s="96" t="str">
        <f>IFERROR(SUMIFS(TM[[#All],[Total Truncated Expenses]],TM[[#All],[Reporting Year]],2022,TM[[#All],[Insurance Category Code]],6,TM[[#All],[Large Provider Entity Code]],A325)/I325,"NA")</f>
        <v>NA</v>
      </c>
      <c r="O325" s="518">
        <f t="shared" si="227"/>
        <v>0</v>
      </c>
      <c r="P325" s="243" t="str">
        <f t="shared" si="221"/>
        <v>NA</v>
      </c>
      <c r="Q325" s="97" t="str">
        <f t="shared" si="222"/>
        <v>NA</v>
      </c>
      <c r="R325" s="97" t="str">
        <f t="shared" si="223"/>
        <v>NA</v>
      </c>
      <c r="S325" s="97" t="str">
        <f t="shared" si="224"/>
        <v>NA</v>
      </c>
      <c r="T325" s="97" t="str">
        <f t="shared" si="225"/>
        <v>NA</v>
      </c>
      <c r="U325" s="97" t="str">
        <f t="shared" si="226"/>
        <v>NA</v>
      </c>
    </row>
    <row r="326" spans="1:21" x14ac:dyDescent="0.25">
      <c r="A326" s="218">
        <v>118</v>
      </c>
      <c r="B326" s="566" t="s">
        <v>80</v>
      </c>
      <c r="C326" s="8">
        <f>SUMIFS(TM[[#All],[Member Months]],TM[[#All],[Reporting Year]],2021,TM[[#All],[Insurance Category Code]],6,TM[[#All],[Large Provider Entity Code]],A326)</f>
        <v>0</v>
      </c>
      <c r="D326" s="7" t="str">
        <f>IFERROR(SUMIFS(TM[[#All],[Total Non-Truncated Claims Spending]],TM[[#All],[Reporting Year]],2021,TM[[#All],[Insurance Category Code]],6,TM[[#All],[Large Provider Entity Code]],A326)/C326,"NA")</f>
        <v>NA</v>
      </c>
      <c r="E326" s="7" t="str">
        <f>IFERROR(SUMIFS(TM[[#All],[Total Non-Claims Spending]],TM[[#All],[Reporting Year]],2021,TM[[#All],[Insurance Category Code]],6,TM[[#All],[Large Provider Entity Code]],A326)/C326,"NA")</f>
        <v>NA</v>
      </c>
      <c r="F326" s="7" t="str">
        <f>IFERROR(SUMIFS(TM[[#All],[Total Non-Truncated Claims and Non-Claims Spending]],TM[[#All],[Reporting Year]],2021,TM[[#All],[Insurance Category Code]],6,TM[[#All],[Large Provider Entity Code]],A326)/C326,"NA")</f>
        <v>NA</v>
      </c>
      <c r="G326" s="7" t="str">
        <f>IFERROR(SUMIFS(TM[[#All],[Total Truncated Claims Spending]],TM[[#All],[Reporting Year]],2021,TM[[#All],[Insurance Category Code]],6,TM[[#All],[Large Provider Entity Code]],A326)/C326,"NA")</f>
        <v>NA</v>
      </c>
      <c r="H326" s="204" t="str">
        <f>IFERROR(SUMIFS(TM[[#All],[Total Truncated Expenses]],TM[[#All],[Reporting Year]],2021,TM[[#All],[Insurance Category Code]],6,TM[[#All],[Large Provider Entity Code]],A326)/C326,"NA")</f>
        <v>NA</v>
      </c>
      <c r="I326" s="95">
        <f>SUMIFS(TM[[#All],[Member Months]],TM[[#All],[Reporting Year]],2022,TM[[#All],[Insurance Category Code]],6,TM[[#All],[Large Provider Entity Code]],A326)</f>
        <v>0</v>
      </c>
      <c r="J326" s="7" t="str">
        <f>IFERROR(SUMIFS(TM[[#All],[Total Non-Truncated Claims Spending]],TM[[#All],[Reporting Year]],2022,TM[[#All],[Insurance Category Code]],6,TM[[#All],[Large Provider Entity Code]],A326)/I326,"NA")</f>
        <v>NA</v>
      </c>
      <c r="K326" s="7" t="str">
        <f>IFERROR(SUMIFS(TM[[#All],[Total Non-Claims Spending]],TM[[#All],[Reporting Year]],2022,TM[[#All],[Insurance Category Code]],6,TM[[#All],[Large Provider Entity Code]],A326)/I326,"NA")</f>
        <v>NA</v>
      </c>
      <c r="L326" s="7" t="str">
        <f>IFERROR(SUMIFS(TM[[#All],[Total Non-Truncated Claims and Non-Claims Spending]],TM[[#All],[Reporting Year]],2022,TM[[#All],[Insurance Category Code]],6,TM[[#All],[Large Provider Entity Code]],A326)/I326,"NA")</f>
        <v>NA</v>
      </c>
      <c r="M326" s="7" t="str">
        <f>IFERROR(SUMIFS(TM[[#All],[Total Truncated Claims Spending]],TM[[#All],[Reporting Year]],2022,TM[[#All],[Insurance Category Code]],6,TM[[#All],[Large Provider Entity Code]],A326)/I326,"NA")</f>
        <v>NA</v>
      </c>
      <c r="N326" s="96" t="str">
        <f>IFERROR(SUMIFS(TM[[#All],[Total Truncated Expenses]],TM[[#All],[Reporting Year]],2022,TM[[#All],[Insurance Category Code]],6,TM[[#All],[Large Provider Entity Code]],A326)/I326,"NA")</f>
        <v>NA</v>
      </c>
      <c r="O326" s="518">
        <f t="shared" si="227"/>
        <v>0</v>
      </c>
      <c r="P326" s="243" t="str">
        <f t="shared" si="221"/>
        <v>NA</v>
      </c>
      <c r="Q326" s="97" t="str">
        <f t="shared" si="222"/>
        <v>NA</v>
      </c>
      <c r="R326" s="97" t="str">
        <f t="shared" si="223"/>
        <v>NA</v>
      </c>
      <c r="S326" s="97" t="str">
        <f t="shared" si="224"/>
        <v>NA</v>
      </c>
      <c r="T326" s="97" t="str">
        <f t="shared" si="225"/>
        <v>NA</v>
      </c>
      <c r="U326" s="97" t="str">
        <f t="shared" si="226"/>
        <v>NA</v>
      </c>
    </row>
    <row r="327" spans="1:21" x14ac:dyDescent="0.25">
      <c r="A327" s="218">
        <v>119</v>
      </c>
      <c r="B327" s="566" t="s">
        <v>615</v>
      </c>
      <c r="C327" s="8">
        <f>SUMIFS(TM[[#All],[Member Months]],TM[[#All],[Reporting Year]],2021,TM[[#All],[Insurance Category Code]],6,TM[[#All],[Large Provider Entity Code]],A327)</f>
        <v>0</v>
      </c>
      <c r="D327" s="7" t="str">
        <f>IFERROR(SUMIFS(TM[[#All],[Total Non-Truncated Claims Spending]],TM[[#All],[Reporting Year]],2021,TM[[#All],[Insurance Category Code]],6,TM[[#All],[Large Provider Entity Code]],A327)/C327,"NA")</f>
        <v>NA</v>
      </c>
      <c r="E327" s="7" t="str">
        <f>IFERROR(SUMIFS(TM[[#All],[Total Non-Claims Spending]],TM[[#All],[Reporting Year]],2021,TM[[#All],[Insurance Category Code]],6,TM[[#All],[Large Provider Entity Code]],A327)/C327,"NA")</f>
        <v>NA</v>
      </c>
      <c r="F327" s="7" t="str">
        <f>IFERROR(SUMIFS(TM[[#All],[Total Non-Truncated Claims and Non-Claims Spending]],TM[[#All],[Reporting Year]],2021,TM[[#All],[Insurance Category Code]],6,TM[[#All],[Large Provider Entity Code]],A327)/C327,"NA")</f>
        <v>NA</v>
      </c>
      <c r="G327" s="7" t="str">
        <f>IFERROR(SUMIFS(TM[[#All],[Total Truncated Claims Spending]],TM[[#All],[Reporting Year]],2021,TM[[#All],[Insurance Category Code]],6,TM[[#All],[Large Provider Entity Code]],A327)/C327,"NA")</f>
        <v>NA</v>
      </c>
      <c r="H327" s="204" t="str">
        <f>IFERROR(SUMIFS(TM[[#All],[Total Truncated Expenses]],TM[[#All],[Reporting Year]],2021,TM[[#All],[Insurance Category Code]],6,TM[[#All],[Large Provider Entity Code]],A327)/C327,"NA")</f>
        <v>NA</v>
      </c>
      <c r="I327" s="95">
        <f>SUMIFS(TM[[#All],[Member Months]],TM[[#All],[Reporting Year]],2022,TM[[#All],[Insurance Category Code]],6,TM[[#All],[Large Provider Entity Code]],A327)</f>
        <v>0</v>
      </c>
      <c r="J327" s="7" t="str">
        <f>IFERROR(SUMIFS(TM[[#All],[Total Non-Truncated Claims Spending]],TM[[#All],[Reporting Year]],2022,TM[[#All],[Insurance Category Code]],6,TM[[#All],[Large Provider Entity Code]],A327)/I327,"NA")</f>
        <v>NA</v>
      </c>
      <c r="K327" s="7" t="str">
        <f>IFERROR(SUMIFS(TM[[#All],[Total Non-Claims Spending]],TM[[#All],[Reporting Year]],2022,TM[[#All],[Insurance Category Code]],6,TM[[#All],[Large Provider Entity Code]],A327)/I327,"NA")</f>
        <v>NA</v>
      </c>
      <c r="L327" s="7" t="str">
        <f>IFERROR(SUMIFS(TM[[#All],[Total Non-Truncated Claims and Non-Claims Spending]],TM[[#All],[Reporting Year]],2022,TM[[#All],[Insurance Category Code]],6,TM[[#All],[Large Provider Entity Code]],A327)/I327,"NA")</f>
        <v>NA</v>
      </c>
      <c r="M327" s="7" t="str">
        <f>IFERROR(SUMIFS(TM[[#All],[Total Truncated Claims Spending]],TM[[#All],[Reporting Year]],2022,TM[[#All],[Insurance Category Code]],6,TM[[#All],[Large Provider Entity Code]],A327)/I327,"NA")</f>
        <v>NA</v>
      </c>
      <c r="N327" s="96" t="str">
        <f>IFERROR(SUMIFS(TM[[#All],[Total Truncated Expenses]],TM[[#All],[Reporting Year]],2022,TM[[#All],[Insurance Category Code]],6,TM[[#All],[Large Provider Entity Code]],A327)/I327,"NA")</f>
        <v>NA</v>
      </c>
      <c r="O327" s="518">
        <f t="shared" ref="O327:O330" si="228">ABS(C327-I327)</f>
        <v>0</v>
      </c>
      <c r="P327" s="243" t="str">
        <f t="shared" ref="P327:P330" si="229">IFERROR((I327/C327-1),"NA")</f>
        <v>NA</v>
      </c>
      <c r="Q327" s="97" t="str">
        <f t="shared" ref="Q327:Q330" si="230">IFERROR((J327/D327-1),"NA")</f>
        <v>NA</v>
      </c>
      <c r="R327" s="97" t="str">
        <f t="shared" ref="R327:R330" si="231">IFERROR((K327/E327-1),"NA")</f>
        <v>NA</v>
      </c>
      <c r="S327" s="97" t="str">
        <f t="shared" ref="S327:S330" si="232">IFERROR((L327/F327-1),"NA")</f>
        <v>NA</v>
      </c>
      <c r="T327" s="97" t="str">
        <f t="shared" ref="T327:T330" si="233">IFERROR((M327/G327-1),"NA")</f>
        <v>NA</v>
      </c>
      <c r="U327" s="97" t="str">
        <f t="shared" ref="U327:U330" si="234">IFERROR((N327/H327-1),"NA")</f>
        <v>NA</v>
      </c>
    </row>
    <row r="328" spans="1:21" x14ac:dyDescent="0.25">
      <c r="A328" s="218">
        <v>120</v>
      </c>
      <c r="B328" s="566" t="s">
        <v>608</v>
      </c>
      <c r="C328" s="8">
        <f>SUMIFS(TM[[#All],[Member Months]],TM[[#All],[Reporting Year]],2021,TM[[#All],[Insurance Category Code]],6,TM[[#All],[Large Provider Entity Code]],A328)</f>
        <v>0</v>
      </c>
      <c r="D328" s="7" t="str">
        <f>IFERROR(SUMIFS(TM[[#All],[Total Non-Truncated Claims Spending]],TM[[#All],[Reporting Year]],2021,TM[[#All],[Insurance Category Code]],6,TM[[#All],[Large Provider Entity Code]],A328)/C328,"NA")</f>
        <v>NA</v>
      </c>
      <c r="E328" s="7" t="str">
        <f>IFERROR(SUMIFS(TM[[#All],[Total Non-Claims Spending]],TM[[#All],[Reporting Year]],2021,TM[[#All],[Insurance Category Code]],6,TM[[#All],[Large Provider Entity Code]],A328)/C328,"NA")</f>
        <v>NA</v>
      </c>
      <c r="F328" s="7" t="str">
        <f>IFERROR(SUMIFS(TM[[#All],[Total Non-Truncated Claims and Non-Claims Spending]],TM[[#All],[Reporting Year]],2021,TM[[#All],[Insurance Category Code]],6,TM[[#All],[Large Provider Entity Code]],A328)/C328,"NA")</f>
        <v>NA</v>
      </c>
      <c r="G328" s="7" t="str">
        <f>IFERROR(SUMIFS(TM[[#All],[Total Truncated Claims Spending]],TM[[#All],[Reporting Year]],2021,TM[[#All],[Insurance Category Code]],6,TM[[#All],[Large Provider Entity Code]],A328)/C328,"NA")</f>
        <v>NA</v>
      </c>
      <c r="H328" s="204" t="str">
        <f>IFERROR(SUMIFS(TM[[#All],[Total Truncated Expenses]],TM[[#All],[Reporting Year]],2021,TM[[#All],[Insurance Category Code]],6,TM[[#All],[Large Provider Entity Code]],A328)/C328,"NA")</f>
        <v>NA</v>
      </c>
      <c r="I328" s="95">
        <f>SUMIFS(TM[[#All],[Member Months]],TM[[#All],[Reporting Year]],2022,TM[[#All],[Insurance Category Code]],6,TM[[#All],[Large Provider Entity Code]],A328)</f>
        <v>0</v>
      </c>
      <c r="J328" s="7" t="str">
        <f>IFERROR(SUMIFS(TM[[#All],[Total Non-Truncated Claims Spending]],TM[[#All],[Reporting Year]],2022,TM[[#All],[Insurance Category Code]],6,TM[[#All],[Large Provider Entity Code]],A328)/I328,"NA")</f>
        <v>NA</v>
      </c>
      <c r="K328" s="7" t="str">
        <f>IFERROR(SUMIFS(TM[[#All],[Total Non-Claims Spending]],TM[[#All],[Reporting Year]],2022,TM[[#All],[Insurance Category Code]],6,TM[[#All],[Large Provider Entity Code]],A328)/I328,"NA")</f>
        <v>NA</v>
      </c>
      <c r="L328" s="7" t="str">
        <f>IFERROR(SUMIFS(TM[[#All],[Total Non-Truncated Claims and Non-Claims Spending]],TM[[#All],[Reporting Year]],2022,TM[[#All],[Insurance Category Code]],6,TM[[#All],[Large Provider Entity Code]],A328)/I328,"NA")</f>
        <v>NA</v>
      </c>
      <c r="M328" s="7" t="str">
        <f>IFERROR(SUMIFS(TM[[#All],[Total Truncated Claims Spending]],TM[[#All],[Reporting Year]],2022,TM[[#All],[Insurance Category Code]],6,TM[[#All],[Large Provider Entity Code]],A328)/I328,"NA")</f>
        <v>NA</v>
      </c>
      <c r="N328" s="96" t="str">
        <f>IFERROR(SUMIFS(TM[[#All],[Total Truncated Expenses]],TM[[#All],[Reporting Year]],2022,TM[[#All],[Insurance Category Code]],6,TM[[#All],[Large Provider Entity Code]],A328)/I328,"NA")</f>
        <v>NA</v>
      </c>
      <c r="O328" s="518">
        <f t="shared" ref="O328" si="235">ABS(C328-I328)</f>
        <v>0</v>
      </c>
      <c r="P328" s="243" t="str">
        <f t="shared" ref="P328" si="236">IFERROR((I328/C328-1),"NA")</f>
        <v>NA</v>
      </c>
      <c r="Q328" s="97" t="str">
        <f t="shared" ref="Q328" si="237">IFERROR((J328/D328-1),"NA")</f>
        <v>NA</v>
      </c>
      <c r="R328" s="97" t="str">
        <f t="shared" ref="R328" si="238">IFERROR((K328/E328-1),"NA")</f>
        <v>NA</v>
      </c>
      <c r="S328" s="97" t="str">
        <f t="shared" ref="S328" si="239">IFERROR((L328/F328-1),"NA")</f>
        <v>NA</v>
      </c>
      <c r="T328" s="97" t="str">
        <f t="shared" ref="T328" si="240">IFERROR((M328/G328-1),"NA")</f>
        <v>NA</v>
      </c>
      <c r="U328" s="97" t="str">
        <f t="shared" ref="U328" si="241">IFERROR((N328/H328-1),"NA")</f>
        <v>NA</v>
      </c>
    </row>
    <row r="329" spans="1:21" ht="30" x14ac:dyDescent="0.25">
      <c r="A329" s="218">
        <v>121</v>
      </c>
      <c r="B329" s="495" t="s">
        <v>616</v>
      </c>
      <c r="C329" s="8">
        <f>SUMIFS(TM[[#All],[Member Months]],TM[[#All],[Reporting Year]],2021,TM[[#All],[Insurance Category Code]],6,TM[[#All],[Large Provider Entity Code]],A329)</f>
        <v>0</v>
      </c>
      <c r="D329" s="7" t="str">
        <f>IFERROR(SUMIFS(TM[[#All],[Total Non-Truncated Claims Spending]],TM[[#All],[Reporting Year]],2021,TM[[#All],[Insurance Category Code]],6,TM[[#All],[Large Provider Entity Code]],A329)/C329,"NA")</f>
        <v>NA</v>
      </c>
      <c r="E329" s="7" t="str">
        <f>IFERROR(SUMIFS(TM[[#All],[Total Non-Claims Spending]],TM[[#All],[Reporting Year]],2021,TM[[#All],[Insurance Category Code]],6,TM[[#All],[Large Provider Entity Code]],A329)/C329,"NA")</f>
        <v>NA</v>
      </c>
      <c r="F329" s="7" t="str">
        <f>IFERROR(SUMIFS(TM[[#All],[Total Non-Truncated Claims and Non-Claims Spending]],TM[[#All],[Reporting Year]],2021,TM[[#All],[Insurance Category Code]],6,TM[[#All],[Large Provider Entity Code]],A329)/C329,"NA")</f>
        <v>NA</v>
      </c>
      <c r="G329" s="7" t="str">
        <f>IFERROR(SUMIFS(TM[[#All],[Total Truncated Claims Spending]],TM[[#All],[Reporting Year]],2021,TM[[#All],[Insurance Category Code]],6,TM[[#All],[Large Provider Entity Code]],A329)/C329,"NA")</f>
        <v>NA</v>
      </c>
      <c r="H329" s="204" t="str">
        <f>IFERROR(SUMIFS(TM[[#All],[Total Truncated Expenses]],TM[[#All],[Reporting Year]],2021,TM[[#All],[Insurance Category Code]],6,TM[[#All],[Large Provider Entity Code]],A329)/C329,"NA")</f>
        <v>NA</v>
      </c>
      <c r="I329" s="95">
        <f>SUMIFS(TM[[#All],[Member Months]],TM[[#All],[Reporting Year]],2022,TM[[#All],[Insurance Category Code]],6,TM[[#All],[Large Provider Entity Code]],A329)</f>
        <v>0</v>
      </c>
      <c r="J329" s="7" t="str">
        <f>IFERROR(SUMIFS(TM[[#All],[Total Non-Truncated Claims Spending]],TM[[#All],[Reporting Year]],2022,TM[[#All],[Insurance Category Code]],6,TM[[#All],[Large Provider Entity Code]],A329)/I329,"NA")</f>
        <v>NA</v>
      </c>
      <c r="K329" s="7" t="str">
        <f>IFERROR(SUMIFS(TM[[#All],[Total Non-Claims Spending]],TM[[#All],[Reporting Year]],2022,TM[[#All],[Insurance Category Code]],6,TM[[#All],[Large Provider Entity Code]],A329)/I329,"NA")</f>
        <v>NA</v>
      </c>
      <c r="L329" s="7" t="str">
        <f>IFERROR(SUMIFS(TM[[#All],[Total Non-Truncated Claims and Non-Claims Spending]],TM[[#All],[Reporting Year]],2022,TM[[#All],[Insurance Category Code]],6,TM[[#All],[Large Provider Entity Code]],A329)/I329,"NA")</f>
        <v>NA</v>
      </c>
      <c r="M329" s="7" t="str">
        <f>IFERROR(SUMIFS(TM[[#All],[Total Truncated Claims Spending]],TM[[#All],[Reporting Year]],2022,TM[[#All],[Insurance Category Code]],6,TM[[#All],[Large Provider Entity Code]],A329)/I329,"NA")</f>
        <v>NA</v>
      </c>
      <c r="N329" s="96" t="str">
        <f>IFERROR(SUMIFS(TM[[#All],[Total Truncated Expenses]],TM[[#All],[Reporting Year]],2022,TM[[#All],[Insurance Category Code]],6,TM[[#All],[Large Provider Entity Code]],A329)/I329,"NA")</f>
        <v>NA</v>
      </c>
      <c r="O329" s="518">
        <f t="shared" si="228"/>
        <v>0</v>
      </c>
      <c r="P329" s="243" t="str">
        <f t="shared" si="229"/>
        <v>NA</v>
      </c>
      <c r="Q329" s="97" t="str">
        <f t="shared" si="230"/>
        <v>NA</v>
      </c>
      <c r="R329" s="97" t="str">
        <f t="shared" si="231"/>
        <v>NA</v>
      </c>
      <c r="S329" s="97" t="str">
        <f t="shared" si="232"/>
        <v>NA</v>
      </c>
      <c r="T329" s="97" t="str">
        <f t="shared" si="233"/>
        <v>NA</v>
      </c>
      <c r="U329" s="97" t="str">
        <f t="shared" si="234"/>
        <v>NA</v>
      </c>
    </row>
    <row r="330" spans="1:21" x14ac:dyDescent="0.25">
      <c r="A330" s="218">
        <v>122</v>
      </c>
      <c r="B330" s="566" t="s">
        <v>617</v>
      </c>
      <c r="C330" s="8">
        <f>SUMIFS(TM[[#All],[Member Months]],TM[[#All],[Reporting Year]],2021,TM[[#All],[Insurance Category Code]],6,TM[[#All],[Large Provider Entity Code]],A330)</f>
        <v>0</v>
      </c>
      <c r="D330" s="7" t="str">
        <f>IFERROR(SUMIFS(TM[[#All],[Total Non-Truncated Claims Spending]],TM[[#All],[Reporting Year]],2021,TM[[#All],[Insurance Category Code]],6,TM[[#All],[Large Provider Entity Code]],A330)/C330,"NA")</f>
        <v>NA</v>
      </c>
      <c r="E330" s="7" t="str">
        <f>IFERROR(SUMIFS(TM[[#All],[Total Non-Claims Spending]],TM[[#All],[Reporting Year]],2021,TM[[#All],[Insurance Category Code]],6,TM[[#All],[Large Provider Entity Code]],A330)/C330,"NA")</f>
        <v>NA</v>
      </c>
      <c r="F330" s="7" t="str">
        <f>IFERROR(SUMIFS(TM[[#All],[Total Non-Truncated Claims and Non-Claims Spending]],TM[[#All],[Reporting Year]],2021,TM[[#All],[Insurance Category Code]],6,TM[[#All],[Large Provider Entity Code]],A330)/C330,"NA")</f>
        <v>NA</v>
      </c>
      <c r="G330" s="7" t="str">
        <f>IFERROR(SUMIFS(TM[[#All],[Total Truncated Claims Spending]],TM[[#All],[Reporting Year]],2021,TM[[#All],[Insurance Category Code]],6,TM[[#All],[Large Provider Entity Code]],A330)/C330,"NA")</f>
        <v>NA</v>
      </c>
      <c r="H330" s="204" t="str">
        <f>IFERROR(SUMIFS(TM[[#All],[Total Truncated Expenses]],TM[[#All],[Reporting Year]],2021,TM[[#All],[Insurance Category Code]],6,TM[[#All],[Large Provider Entity Code]],A330)/C330,"NA")</f>
        <v>NA</v>
      </c>
      <c r="I330" s="95">
        <f>SUMIFS(TM[[#All],[Member Months]],TM[[#All],[Reporting Year]],2022,TM[[#All],[Insurance Category Code]],6,TM[[#All],[Large Provider Entity Code]],A330)</f>
        <v>0</v>
      </c>
      <c r="J330" s="7" t="str">
        <f>IFERROR(SUMIFS(TM[[#All],[Total Non-Truncated Claims Spending]],TM[[#All],[Reporting Year]],2022,TM[[#All],[Insurance Category Code]],6,TM[[#All],[Large Provider Entity Code]],A330)/I330,"NA")</f>
        <v>NA</v>
      </c>
      <c r="K330" s="7" t="str">
        <f>IFERROR(SUMIFS(TM[[#All],[Total Non-Claims Spending]],TM[[#All],[Reporting Year]],2022,TM[[#All],[Insurance Category Code]],6,TM[[#All],[Large Provider Entity Code]],A330)/I330,"NA")</f>
        <v>NA</v>
      </c>
      <c r="L330" s="7" t="str">
        <f>IFERROR(SUMIFS(TM[[#All],[Total Non-Truncated Claims and Non-Claims Spending]],TM[[#All],[Reporting Year]],2022,TM[[#All],[Insurance Category Code]],6,TM[[#All],[Large Provider Entity Code]],A330)/I330,"NA")</f>
        <v>NA</v>
      </c>
      <c r="M330" s="7" t="str">
        <f>IFERROR(SUMIFS(TM[[#All],[Total Truncated Claims Spending]],TM[[#All],[Reporting Year]],2022,TM[[#All],[Insurance Category Code]],6,TM[[#All],[Large Provider Entity Code]],A330)/I330,"NA")</f>
        <v>NA</v>
      </c>
      <c r="N330" s="96" t="str">
        <f>IFERROR(SUMIFS(TM[[#All],[Total Truncated Expenses]],TM[[#All],[Reporting Year]],2022,TM[[#All],[Insurance Category Code]],6,TM[[#All],[Large Provider Entity Code]],A330)/I330,"NA")</f>
        <v>NA</v>
      </c>
      <c r="O330" s="518">
        <f t="shared" si="228"/>
        <v>0</v>
      </c>
      <c r="P330" s="243" t="str">
        <f t="shared" si="229"/>
        <v>NA</v>
      </c>
      <c r="Q330" s="97" t="str">
        <f t="shared" si="230"/>
        <v>NA</v>
      </c>
      <c r="R330" s="97" t="str">
        <f t="shared" si="231"/>
        <v>NA</v>
      </c>
      <c r="S330" s="97" t="str">
        <f t="shared" si="232"/>
        <v>NA</v>
      </c>
      <c r="T330" s="97" t="str">
        <f t="shared" si="233"/>
        <v>NA</v>
      </c>
      <c r="U330" s="97" t="str">
        <f t="shared" si="234"/>
        <v>NA</v>
      </c>
    </row>
    <row r="331" spans="1:21" x14ac:dyDescent="0.25">
      <c r="A331" s="218">
        <v>999</v>
      </c>
      <c r="B331" s="495" t="s">
        <v>81</v>
      </c>
      <c r="C331" s="163">
        <f>SUMIFS(TM[[#All],[Member Months]],TM[[#All],[Reporting Year]],2021,TM[[#All],[Insurance Category Code]],6,TM[[#All],[Large Provider Entity Code]],A331)</f>
        <v>0</v>
      </c>
      <c r="D331" s="7" t="str">
        <f>IFERROR(SUMIFS(TM[[#All],[Total Non-Truncated Claims Spending]],TM[[#All],[Reporting Year]],2021,TM[[#All],[Insurance Category Code]],6,TM[[#All],[Large Provider Entity Code]],A331)/C331,"NA")</f>
        <v>NA</v>
      </c>
      <c r="E331" s="7" t="str">
        <f>IFERROR(SUMIFS(TM[[#All],[Total Non-Claims Spending]],TM[[#All],[Reporting Year]],2021,TM[[#All],[Insurance Category Code]],6,TM[[#All],[Large Provider Entity Code]],A331)/C331,"NA")</f>
        <v>NA</v>
      </c>
      <c r="F331" s="7" t="str">
        <f>IFERROR(SUMIFS(TM[[#All],[Total Non-Truncated Claims and Non-Claims Spending]],TM[[#All],[Reporting Year]],2021,TM[[#All],[Insurance Category Code]],6,TM[[#All],[Large Provider Entity Code]],A331)/C331,"NA")</f>
        <v>NA</v>
      </c>
      <c r="G331" s="7" t="str">
        <f>IFERROR(SUMIFS(TM[[#All],[Total Truncated Claims Spending]],TM[[#All],[Reporting Year]],2021,TM[[#All],[Insurance Category Code]],6,TM[[#All],[Large Provider Entity Code]],A331)/C331,"NA")</f>
        <v>NA</v>
      </c>
      <c r="H331" s="204" t="str">
        <f>IFERROR(SUMIFS(TM[[#All],[Total Truncated Expenses]],TM[[#All],[Reporting Year]],2021,TM[[#All],[Insurance Category Code]],6,TM[[#All],[Large Provider Entity Code]],A331)/C331,"NA")</f>
        <v>NA</v>
      </c>
      <c r="I331" s="95">
        <f>SUMIFS(TM[[#All],[Member Months]],TM[[#All],[Reporting Year]],2022,TM[[#All],[Insurance Category Code]],6,TM[[#All],[Large Provider Entity Code]],A331)</f>
        <v>0</v>
      </c>
      <c r="J331" s="7" t="str">
        <f>IFERROR(SUMIFS(TM[[#All],[Total Non-Truncated Claims Spending]],TM[[#All],[Reporting Year]],2022,TM[[#All],[Insurance Category Code]],6,TM[[#All],[Large Provider Entity Code]],A331)/I331,"NA")</f>
        <v>NA</v>
      </c>
      <c r="K331" s="7" t="str">
        <f>IFERROR(SUMIFS(TM[[#All],[Total Non-Claims Spending]],TM[[#All],[Reporting Year]],2022,TM[[#All],[Insurance Category Code]],6,TM[[#All],[Large Provider Entity Code]],A331)/I331,"NA")</f>
        <v>NA</v>
      </c>
      <c r="L331" s="7" t="str">
        <f>IFERROR(SUMIFS(TM[[#All],[Total Non-Truncated Claims and Non-Claims Spending]],TM[[#All],[Reporting Year]],2022,TM[[#All],[Insurance Category Code]],6,TM[[#All],[Large Provider Entity Code]],A331)/I331,"NA")</f>
        <v>NA</v>
      </c>
      <c r="M331" s="7" t="str">
        <f>IFERROR(SUMIFS(TM[[#All],[Total Truncated Claims Spending]],TM[[#All],[Reporting Year]],2022,TM[[#All],[Insurance Category Code]],6,TM[[#All],[Large Provider Entity Code]],A331)/I331,"NA")</f>
        <v>NA</v>
      </c>
      <c r="N331" s="96" t="str">
        <f>IFERROR(SUMIFS(TM[[#All],[Total Truncated Expenses]],TM[[#All],[Reporting Year]],2022,TM[[#All],[Insurance Category Code]],6,TM[[#All],[Large Provider Entity Code]],A331)/I331,"NA")</f>
        <v>NA</v>
      </c>
      <c r="O331" s="518">
        <f t="shared" si="227"/>
        <v>0</v>
      </c>
      <c r="P331" s="243" t="str">
        <f t="shared" si="221"/>
        <v>NA</v>
      </c>
      <c r="Q331" s="97" t="str">
        <f t="shared" si="222"/>
        <v>NA</v>
      </c>
      <c r="R331" s="97" t="str">
        <f t="shared" si="223"/>
        <v>NA</v>
      </c>
      <c r="S331" s="97" t="str">
        <f t="shared" si="224"/>
        <v>NA</v>
      </c>
      <c r="T331" s="97" t="str">
        <f t="shared" si="225"/>
        <v>NA</v>
      </c>
      <c r="U331" s="97" t="str">
        <f t="shared" si="226"/>
        <v>NA</v>
      </c>
    </row>
    <row r="332" spans="1:21" ht="30" customHeight="1" x14ac:dyDescent="0.25">
      <c r="A332" s="707" t="s">
        <v>567</v>
      </c>
      <c r="B332" s="708"/>
      <c r="C332" s="164">
        <f>SUM(C312:C331)</f>
        <v>0</v>
      </c>
      <c r="D332" s="131" t="str">
        <f>IFERROR((SUMPRODUCT(D312:D331,C312:C331)/C332),"NA")</f>
        <v>NA</v>
      </c>
      <c r="E332" s="131" t="str">
        <f>IFERROR((SUMPRODUCT(E312:E331,C312:C331)/C332),"NA")</f>
        <v>NA</v>
      </c>
      <c r="F332" s="131" t="str">
        <f>IFERROR((SUMPRODUCT(F312:F331,C312:C331)/C332),"NA")</f>
        <v>NA</v>
      </c>
      <c r="G332" s="131" t="str">
        <f>IFERROR((SUMPRODUCT(G312:G331,C312:C331)/C332),"NA")</f>
        <v>NA</v>
      </c>
      <c r="H332" s="131" t="str">
        <f>IFERROR((SUMPRODUCT(H312:H331,C312:C331)/C332),"NA")</f>
        <v>NA</v>
      </c>
      <c r="I332" s="165">
        <f t="shared" ref="I332" si="242">SUM(I312:I331)</f>
        <v>0</v>
      </c>
      <c r="J332" s="131" t="str">
        <f>IFERROR((SUMPRODUCT(J312:J331,I312:I331)/I332),"NA")</f>
        <v>NA</v>
      </c>
      <c r="K332" s="131" t="str">
        <f>IFERROR((SUMPRODUCT(K312:K331,I312:I331)/I332),"NA")</f>
        <v>NA</v>
      </c>
      <c r="L332" s="131" t="str">
        <f>IFERROR((SUMPRODUCT(L312:L331,I312:I331)/I332),"NA")</f>
        <v>NA</v>
      </c>
      <c r="M332" s="131" t="str">
        <f>IFERROR((SUMPRODUCT(M312:M331,I312:I331)/I332),"NA")</f>
        <v>NA</v>
      </c>
      <c r="N332" s="251" t="str">
        <f>IFERROR((SUMPRODUCT(N312:N331,I312:I331)/I332),"NA")</f>
        <v>NA</v>
      </c>
      <c r="O332" s="544" t="s">
        <v>500</v>
      </c>
      <c r="P332" s="435" t="s">
        <v>500</v>
      </c>
      <c r="Q332" s="433" t="s">
        <v>500</v>
      </c>
      <c r="R332" s="433" t="s">
        <v>500</v>
      </c>
      <c r="S332" s="433" t="s">
        <v>500</v>
      </c>
      <c r="T332" s="433" t="s">
        <v>500</v>
      </c>
      <c r="U332" s="433" t="s">
        <v>500</v>
      </c>
    </row>
    <row r="333" spans="1:21" x14ac:dyDescent="0.25">
      <c r="A333" s="709" t="s">
        <v>563</v>
      </c>
      <c r="B333" s="710"/>
      <c r="C333" s="164" t="s">
        <v>500</v>
      </c>
      <c r="D333" s="130" t="str">
        <f>IFERROR(((SUMPRODUCT(D311,$C$311))-ABS(SUMIFS(RX[[#All],[Total Medical and Retail Pharmacy Rebate Amount]],RX[[#All],[Reporting Year]],2021,RX[[#All],[Insurance Category Code]],6)))/$C$332,"NA")</f>
        <v>NA</v>
      </c>
      <c r="E333" s="130" t="str">
        <f>IFERROR(((SUMPRODUCT(E311,$C$311))-ABS(SUMIFS(RX[[#All],[Total Medical and Retail Pharmacy Rebate Amount]],RX[[#All],[Reporting Year]],2021,RX[[#All],[Insurance Category Code]],6)))/$C$332,"NA")</f>
        <v>NA</v>
      </c>
      <c r="F333" s="130" t="str">
        <f>IFERROR(((SUMPRODUCT(F311,$C$311))-ABS(SUMIFS(RX[[#All],[Total Medical and Retail Pharmacy Rebate Amount]],RX[[#All],[Reporting Year]],2021,RX[[#All],[Insurance Category Code]],6)))/$C$332,"NA")</f>
        <v>NA</v>
      </c>
      <c r="G333" s="130" t="str">
        <f>IFERROR(((SUMPRODUCT(G311,$C$311))-ABS(SUMIFS(RX[[#All],[Total Medical and Retail Pharmacy Rebate Amount]],RX[[#All],[Reporting Year]],2021,RX[[#All],[Insurance Category Code]],6)))/$C$332,"NA")</f>
        <v>NA</v>
      </c>
      <c r="H333" s="209" t="str">
        <f>IFERROR(((SUMPRODUCT(H311,$C$311))-ABS(SUMIFS(RX[[#All],[Total Medical and Retail Pharmacy Rebate Amount]],RX[[#All],[Reporting Year]],2021,RX[[#All],[Insurance Category Code]],6)))/$C$332,"NA")</f>
        <v>NA</v>
      </c>
      <c r="I333" s="165" t="s">
        <v>500</v>
      </c>
      <c r="J333" s="130" t="str">
        <f>IFERROR(((SUMPRODUCT(J311,$I$311))-ABS(SUMIFS(RX[[#All],[Total Medical and Retail Pharmacy Rebate Amount]],RX[[#All],[Reporting Year]],2022,RX[[#All],[Insurance Category Code]],6)))/$I$332,"NA")</f>
        <v>NA</v>
      </c>
      <c r="K333" s="130" t="str">
        <f>IFERROR(((SUMPRODUCT(K311,$I$311))-ABS(SUMIFS(RX[[#All],[Total Medical and Retail Pharmacy Rebate Amount]],RX[[#All],[Reporting Year]],2022,RX[[#All],[Insurance Category Code]],6)))/$I$332,"NA")</f>
        <v>NA</v>
      </c>
      <c r="L333" s="130" t="str">
        <f>IFERROR(((SUMPRODUCT(L311,$I$311))-ABS(SUMIFS(RX[[#All],[Total Medical and Retail Pharmacy Rebate Amount]],RX[[#All],[Reporting Year]],2022,RX[[#All],[Insurance Category Code]],6)))/$I$332,"NA")</f>
        <v>NA</v>
      </c>
      <c r="M333" s="130" t="str">
        <f>IFERROR(((SUMPRODUCT(M311,$I$311))-ABS(SUMIFS(RX[[#All],[Total Medical and Retail Pharmacy Rebate Amount]],RX[[#All],[Reporting Year]],2022,RX[[#All],[Insurance Category Code]],6)))/$I$332,"NA")</f>
        <v>NA</v>
      </c>
      <c r="N333" s="208" t="str">
        <f>IFERROR(((SUMPRODUCT(N311,$I$311))-ABS(SUMIFS(RX[[#All],[Total Medical and Retail Pharmacy Rebate Amount]],RX[[#All],[Reporting Year]],2022,RX[[#All],[Insurance Category Code]],6)))/$I$332,"NA")</f>
        <v>NA</v>
      </c>
      <c r="O333" s="544" t="s">
        <v>500</v>
      </c>
      <c r="P333" s="435" t="s">
        <v>500</v>
      </c>
      <c r="Q333" s="433" t="s">
        <v>500</v>
      </c>
      <c r="R333" s="433" t="s">
        <v>500</v>
      </c>
      <c r="S333" s="433" t="s">
        <v>500</v>
      </c>
      <c r="T333" s="433" t="s">
        <v>500</v>
      </c>
      <c r="U333" s="433" t="s">
        <v>500</v>
      </c>
    </row>
    <row r="334" spans="1:21" x14ac:dyDescent="0.25">
      <c r="A334" s="717" t="s">
        <v>564</v>
      </c>
      <c r="B334" s="718"/>
      <c r="C334" s="229">
        <f>ABS(C332-C311)</f>
        <v>0</v>
      </c>
      <c r="D334" s="227" t="e">
        <f>ABS(D332-D311)</f>
        <v>#VALUE!</v>
      </c>
      <c r="E334" s="227" t="e">
        <f>ABS(E332-E311)</f>
        <v>#VALUE!</v>
      </c>
      <c r="F334" s="227" t="e">
        <f>ABS(F332-F311)</f>
        <v>#VALUE!</v>
      </c>
      <c r="G334" s="181" t="s">
        <v>500</v>
      </c>
      <c r="H334" s="233" t="s">
        <v>500</v>
      </c>
      <c r="I334" s="221">
        <f>ABS(I332-I311)</f>
        <v>0</v>
      </c>
      <c r="J334" s="227" t="e">
        <f>ABS(J332-J311)</f>
        <v>#VALUE!</v>
      </c>
      <c r="K334" s="227" t="e">
        <f>ABS(K332-K311)</f>
        <v>#VALUE!</v>
      </c>
      <c r="L334" s="227" t="e">
        <f>ABS(L332-L311)</f>
        <v>#VALUE!</v>
      </c>
      <c r="M334" s="181" t="s">
        <v>500</v>
      </c>
      <c r="N334" s="233" t="s">
        <v>500</v>
      </c>
      <c r="O334" s="545" t="s">
        <v>500</v>
      </c>
      <c r="P334" s="546" t="s">
        <v>500</v>
      </c>
      <c r="Q334" s="548" t="s">
        <v>500</v>
      </c>
      <c r="R334" s="548" t="s">
        <v>500</v>
      </c>
      <c r="S334" s="548" t="s">
        <v>500</v>
      </c>
      <c r="T334" s="548" t="s">
        <v>500</v>
      </c>
      <c r="U334" s="548" t="s">
        <v>500</v>
      </c>
    </row>
    <row r="335" spans="1:21" x14ac:dyDescent="0.25">
      <c r="A335" s="715" t="s">
        <v>565</v>
      </c>
      <c r="B335" s="716"/>
      <c r="C335" s="262" t="str">
        <f>IF(((ABS(C332-C311))&lt;10),"Yes","No")</f>
        <v>Yes</v>
      </c>
      <c r="D335" s="181" t="e">
        <f>IF(((ABS(D332-D311))&lt;10),"Yes","No")</f>
        <v>#VALUE!</v>
      </c>
      <c r="E335" s="181" t="e">
        <f>IF(((ABS(E332-E311))&lt;10),"Yes","No")</f>
        <v>#VALUE!</v>
      </c>
      <c r="F335" s="181" t="e">
        <f>IF(((ABS(F332-F311))&lt;10),"Yes","No")</f>
        <v>#VALUE!</v>
      </c>
      <c r="G335" s="181" t="s">
        <v>500</v>
      </c>
      <c r="H335" s="233" t="s">
        <v>500</v>
      </c>
      <c r="I335" s="259" t="str">
        <f>IF(((ABS(I332-I311))&lt;10),"Yes","No")</f>
        <v>Yes</v>
      </c>
      <c r="J335" s="181" t="e">
        <f>IF(((ABS(J332-J311))&lt;10),"Yes","No")</f>
        <v>#VALUE!</v>
      </c>
      <c r="K335" s="181" t="e">
        <f>IF(((ABS(K332-K311))&lt;10),"Yes","No")</f>
        <v>#VALUE!</v>
      </c>
      <c r="L335" s="181" t="e">
        <f>IF(((ABS(L332-L311))&lt;10),"Yes","No")</f>
        <v>#VALUE!</v>
      </c>
      <c r="M335" s="181" t="s">
        <v>500</v>
      </c>
      <c r="N335" s="252" t="s">
        <v>500</v>
      </c>
      <c r="O335" s="545" t="s">
        <v>500</v>
      </c>
      <c r="P335" s="546" t="s">
        <v>500</v>
      </c>
      <c r="Q335" s="548" t="s">
        <v>500</v>
      </c>
      <c r="R335" s="548" t="s">
        <v>500</v>
      </c>
      <c r="S335" s="548" t="s">
        <v>500</v>
      </c>
      <c r="T335" s="548" t="s">
        <v>500</v>
      </c>
      <c r="U335" s="548" t="s">
        <v>500</v>
      </c>
    </row>
    <row r="337" spans="17:17" ht="15.75" thickBot="1" x14ac:dyDescent="0.3"/>
    <row r="338" spans="17:17" ht="15.75" thickBot="1" x14ac:dyDescent="0.3">
      <c r="Q338" s="434"/>
    </row>
  </sheetData>
  <mergeCells count="100">
    <mergeCell ref="A272:B272"/>
    <mergeCell ref="A69:A70"/>
    <mergeCell ref="B69:B70"/>
    <mergeCell ref="A129:A130"/>
    <mergeCell ref="P129:U129"/>
    <mergeCell ref="C129:H129"/>
    <mergeCell ref="A154:B154"/>
    <mergeCell ref="B189:B190"/>
    <mergeCell ref="A189:A190"/>
    <mergeCell ref="A155:B155"/>
    <mergeCell ref="B159:B160"/>
    <mergeCell ref="A159:A160"/>
    <mergeCell ref="A182:B182"/>
    <mergeCell ref="A183:B183"/>
    <mergeCell ref="A184:B184"/>
    <mergeCell ref="A93:B93"/>
    <mergeCell ref="P309:U309"/>
    <mergeCell ref="C309:H309"/>
    <mergeCell ref="I309:N309"/>
    <mergeCell ref="P159:U159"/>
    <mergeCell ref="P249:U249"/>
    <mergeCell ref="C249:H249"/>
    <mergeCell ref="I249:N249"/>
    <mergeCell ref="C189:H189"/>
    <mergeCell ref="C159:H159"/>
    <mergeCell ref="I159:N159"/>
    <mergeCell ref="C219:H219"/>
    <mergeCell ref="I219:N219"/>
    <mergeCell ref="P219:U219"/>
    <mergeCell ref="P279:U279"/>
    <mergeCell ref="C279:H279"/>
    <mergeCell ref="I279:N279"/>
    <mergeCell ref="C39:H39"/>
    <mergeCell ref="I39:N39"/>
    <mergeCell ref="C9:H9"/>
    <mergeCell ref="I9:N9"/>
    <mergeCell ref="O9:U9"/>
    <mergeCell ref="O39:U39"/>
    <mergeCell ref="A219:A220"/>
    <mergeCell ref="B219:B220"/>
    <mergeCell ref="A94:B94"/>
    <mergeCell ref="A95:B95"/>
    <mergeCell ref="A122:B122"/>
    <mergeCell ref="A153:B153"/>
    <mergeCell ref="B129:B130"/>
    <mergeCell ref="A125:B125"/>
    <mergeCell ref="A152:B152"/>
    <mergeCell ref="A32:B32"/>
    <mergeCell ref="A33:B33"/>
    <mergeCell ref="A34:B34"/>
    <mergeCell ref="A123:B123"/>
    <mergeCell ref="A124:B124"/>
    <mergeCell ref="A35:B35"/>
    <mergeCell ref="A62:B62"/>
    <mergeCell ref="A63:B63"/>
    <mergeCell ref="A64:B64"/>
    <mergeCell ref="A65:B65"/>
    <mergeCell ref="C99:H99"/>
    <mergeCell ref="A273:B273"/>
    <mergeCell ref="A274:B274"/>
    <mergeCell ref="A275:B275"/>
    <mergeCell ref="A302:B302"/>
    <mergeCell ref="A249:A250"/>
    <mergeCell ref="B249:B250"/>
    <mergeCell ref="A185:B185"/>
    <mergeCell ref="A212:B212"/>
    <mergeCell ref="A213:B213"/>
    <mergeCell ref="A214:B214"/>
    <mergeCell ref="A215:B215"/>
    <mergeCell ref="A242:B242"/>
    <mergeCell ref="A243:B243"/>
    <mergeCell ref="A244:B244"/>
    <mergeCell ref="A245:B245"/>
    <mergeCell ref="A303:B303"/>
    <mergeCell ref="A279:A280"/>
    <mergeCell ref="B279:B280"/>
    <mergeCell ref="A335:B335"/>
    <mergeCell ref="A304:B304"/>
    <mergeCell ref="A305:B305"/>
    <mergeCell ref="A332:B332"/>
    <mergeCell ref="A333:B333"/>
    <mergeCell ref="A334:B334"/>
    <mergeCell ref="B309:B310"/>
    <mergeCell ref="A309:A310"/>
    <mergeCell ref="A4:U4"/>
    <mergeCell ref="A5:U5"/>
    <mergeCell ref="A2:U2"/>
    <mergeCell ref="C69:H69"/>
    <mergeCell ref="I129:N129"/>
    <mergeCell ref="I69:N69"/>
    <mergeCell ref="P69:U69"/>
    <mergeCell ref="I99:N99"/>
    <mergeCell ref="P99:U99"/>
    <mergeCell ref="A99:A100"/>
    <mergeCell ref="B99:B100"/>
    <mergeCell ref="A9:A10"/>
    <mergeCell ref="B9:B10"/>
    <mergeCell ref="A39:A40"/>
    <mergeCell ref="B39:B40"/>
    <mergeCell ref="A92:B92"/>
  </mergeCells>
  <conditionalFormatting sqref="C65:N65 C95:N95 C125:N125 C185:N185 C275:N275 C305:N305 C335:N335 C155:N155 C215:N215 C245:N245">
    <cfRule type="cellIs" dxfId="105" priority="198" operator="equal">
      <formula>"No"</formula>
    </cfRule>
    <cfRule type="cellIs" dxfId="104" priority="199" operator="equal">
      <formula>"Yes"</formula>
    </cfRule>
  </conditionalFormatting>
  <conditionalFormatting sqref="K35:M35">
    <cfRule type="containsText" dxfId="103" priority="113" operator="containsText" text="No">
      <formula>NOT(ISERROR(SEARCH("No",K35)))</formula>
    </cfRule>
    <cfRule type="containsText" dxfId="102" priority="118" operator="containsText" text="No">
      <formula>NOT(ISERROR(SEARCH("No",K35)))</formula>
    </cfRule>
  </conditionalFormatting>
  <conditionalFormatting sqref="C35:O35">
    <cfRule type="containsText" dxfId="101" priority="117" operator="containsText" text="No">
      <formula>NOT(ISERROR(SEARCH("No",C35)))</formula>
    </cfRule>
  </conditionalFormatting>
  <conditionalFormatting sqref="E35:G35">
    <cfRule type="containsText" dxfId="100" priority="115" operator="containsText" text="No">
      <formula>NOT(ISERROR(SEARCH("No",E35)))</formula>
    </cfRule>
    <cfRule type="containsText" dxfId="99" priority="116" operator="containsText" text="No">
      <formula>NOT(ISERROR(SEARCH("No",E35)))</formula>
    </cfRule>
  </conditionalFormatting>
  <conditionalFormatting sqref="I35:J35">
    <cfRule type="containsText" dxfId="98" priority="114" operator="containsText" text="No">
      <formula>NOT(ISERROR(SEARCH("No",I35)))</formula>
    </cfRule>
  </conditionalFormatting>
  <conditionalFormatting sqref="C35:O35">
    <cfRule type="cellIs" dxfId="97" priority="112" operator="equal">
      <formula>"Yes"</formula>
    </cfRule>
  </conditionalFormatting>
  <conditionalFormatting sqref="E245:G245">
    <cfRule type="cellIs" dxfId="96" priority="102" operator="equal">
      <formula>"No"</formula>
    </cfRule>
    <cfRule type="cellIs" dxfId="95" priority="103" operator="equal">
      <formula>"Yes"</formula>
    </cfRule>
  </conditionalFormatting>
  <conditionalFormatting sqref="E245:G245">
    <cfRule type="cellIs" dxfId="94" priority="100" operator="equal">
      <formula>"No"</formula>
    </cfRule>
    <cfRule type="cellIs" dxfId="93" priority="101" operator="equal">
      <formula>"Yes"</formula>
    </cfRule>
  </conditionalFormatting>
  <conditionalFormatting sqref="I245:J245">
    <cfRule type="cellIs" dxfId="92" priority="98" operator="equal">
      <formula>"No"</formula>
    </cfRule>
    <cfRule type="cellIs" dxfId="91" priority="99" operator="equal">
      <formula>"Yes"</formula>
    </cfRule>
  </conditionalFormatting>
  <conditionalFormatting sqref="I245:J245">
    <cfRule type="cellIs" dxfId="90" priority="96" operator="equal">
      <formula>"No"</formula>
    </cfRule>
    <cfRule type="cellIs" dxfId="89" priority="97" operator="equal">
      <formula>"Yes"</formula>
    </cfRule>
  </conditionalFormatting>
  <conditionalFormatting sqref="K245:M245">
    <cfRule type="cellIs" dxfId="88" priority="94" operator="equal">
      <formula>"No"</formula>
    </cfRule>
    <cfRule type="cellIs" dxfId="87" priority="95" operator="equal">
      <formula>"Yes"</formula>
    </cfRule>
  </conditionalFormatting>
  <conditionalFormatting sqref="K245:M245">
    <cfRule type="cellIs" dxfId="86" priority="92" operator="equal">
      <formula>"No"</formula>
    </cfRule>
    <cfRule type="cellIs" dxfId="85" priority="93" operator="equal">
      <formula>"Yes"</formula>
    </cfRule>
  </conditionalFormatting>
  <conditionalFormatting sqref="I35:J35">
    <cfRule type="containsText" dxfId="84" priority="90" operator="containsText" text="No">
      <formula>NOT(ISERROR(SEARCH("No",I35)))</formula>
    </cfRule>
    <cfRule type="containsText" dxfId="83" priority="91" operator="containsText" text="No">
      <formula>NOT(ISERROR(SEARCH("No",I35)))</formula>
    </cfRule>
  </conditionalFormatting>
  <conditionalFormatting sqref="K35:M35">
    <cfRule type="containsText" dxfId="82" priority="88" operator="containsText" text="No">
      <formula>NOT(ISERROR(SEARCH("No",K35)))</formula>
    </cfRule>
    <cfRule type="containsText" dxfId="81" priority="89" operator="containsText" text="No">
      <formula>NOT(ISERROR(SEARCH("No",K35)))</formula>
    </cfRule>
  </conditionalFormatting>
  <conditionalFormatting sqref="O65">
    <cfRule type="containsText" dxfId="80" priority="33" operator="containsText" text="No">
      <formula>NOT(ISERROR(SEARCH("No",O65)))</formula>
    </cfRule>
  </conditionalFormatting>
  <conditionalFormatting sqref="O65">
    <cfRule type="cellIs" dxfId="79" priority="32" operator="equal">
      <formula>"Yes"</formula>
    </cfRule>
  </conditionalFormatting>
  <conditionalFormatting sqref="O95">
    <cfRule type="containsText" dxfId="78" priority="31" operator="containsText" text="No">
      <formula>NOT(ISERROR(SEARCH("No",O95)))</formula>
    </cfRule>
  </conditionalFormatting>
  <conditionalFormatting sqref="O95">
    <cfRule type="cellIs" dxfId="77" priority="30" operator="equal">
      <formula>"Yes"</formula>
    </cfRule>
  </conditionalFormatting>
  <conditionalFormatting sqref="O125">
    <cfRule type="containsText" dxfId="76" priority="29" operator="containsText" text="No">
      <formula>NOT(ISERROR(SEARCH("No",O125)))</formula>
    </cfRule>
  </conditionalFormatting>
  <conditionalFormatting sqref="O125">
    <cfRule type="cellIs" dxfId="75" priority="28" operator="equal">
      <formula>"Yes"</formula>
    </cfRule>
  </conditionalFormatting>
  <conditionalFormatting sqref="O155">
    <cfRule type="containsText" dxfId="74" priority="27" operator="containsText" text="No">
      <formula>NOT(ISERROR(SEARCH("No",O155)))</formula>
    </cfRule>
  </conditionalFormatting>
  <conditionalFormatting sqref="O155">
    <cfRule type="cellIs" dxfId="73" priority="26" operator="equal">
      <formula>"Yes"</formula>
    </cfRule>
  </conditionalFormatting>
  <conditionalFormatting sqref="O185">
    <cfRule type="containsText" dxfId="72" priority="25" operator="containsText" text="No">
      <formula>NOT(ISERROR(SEARCH("No",O185)))</formula>
    </cfRule>
  </conditionalFormatting>
  <conditionalFormatting sqref="O185">
    <cfRule type="cellIs" dxfId="71" priority="24" operator="equal">
      <formula>"Yes"</formula>
    </cfRule>
  </conditionalFormatting>
  <conditionalFormatting sqref="O215">
    <cfRule type="containsText" dxfId="70" priority="23" operator="containsText" text="No">
      <formula>NOT(ISERROR(SEARCH("No",O215)))</formula>
    </cfRule>
  </conditionalFormatting>
  <conditionalFormatting sqref="O215">
    <cfRule type="cellIs" dxfId="69" priority="22" operator="equal">
      <formula>"Yes"</formula>
    </cfRule>
  </conditionalFormatting>
  <conditionalFormatting sqref="O245">
    <cfRule type="containsText" dxfId="68" priority="21" operator="containsText" text="No">
      <formula>NOT(ISERROR(SEARCH("No",O245)))</formula>
    </cfRule>
  </conditionalFormatting>
  <conditionalFormatting sqref="O245">
    <cfRule type="cellIs" dxfId="67" priority="20" operator="equal">
      <formula>"Yes"</formula>
    </cfRule>
  </conditionalFormatting>
  <conditionalFormatting sqref="O275">
    <cfRule type="containsText" dxfId="66" priority="19" operator="containsText" text="No">
      <formula>NOT(ISERROR(SEARCH("No",O275)))</formula>
    </cfRule>
  </conditionalFormatting>
  <conditionalFormatting sqref="O275">
    <cfRule type="cellIs" dxfId="65" priority="18" operator="equal">
      <formula>"Yes"</formula>
    </cfRule>
  </conditionalFormatting>
  <conditionalFormatting sqref="O308">
    <cfRule type="containsText" dxfId="64" priority="17" operator="containsText" text="No">
      <formula>NOT(ISERROR(SEARCH("No",O308)))</formula>
    </cfRule>
  </conditionalFormatting>
  <conditionalFormatting sqref="O308">
    <cfRule type="cellIs" dxfId="63" priority="16" operator="equal">
      <formula>"Yes"</formula>
    </cfRule>
  </conditionalFormatting>
  <conditionalFormatting sqref="O305">
    <cfRule type="containsText" dxfId="62" priority="15" operator="containsText" text="No">
      <formula>NOT(ISERROR(SEARCH("No",O305)))</formula>
    </cfRule>
  </conditionalFormatting>
  <conditionalFormatting sqref="O305">
    <cfRule type="cellIs" dxfId="61" priority="14" operator="equal">
      <formula>"Yes"</formula>
    </cfRule>
  </conditionalFormatting>
  <conditionalFormatting sqref="O335">
    <cfRule type="containsText" dxfId="60" priority="13" operator="containsText" text="No">
      <formula>NOT(ISERROR(SEARCH("No",O335)))</formula>
    </cfRule>
  </conditionalFormatting>
  <conditionalFormatting sqref="O335">
    <cfRule type="cellIs" dxfId="59" priority="12" operator="equal">
      <formula>"Yes"</formula>
    </cfRule>
  </conditionalFormatting>
  <conditionalFormatting sqref="P312:U331">
    <cfRule type="cellIs" dxfId="58" priority="4" operator="equal">
      <formula>"NA"</formula>
    </cfRule>
    <cfRule type="cellIs" dxfId="57" priority="5" operator="lessThan">
      <formula>-0.509</formula>
    </cfRule>
    <cfRule type="cellIs" dxfId="56" priority="6" operator="greaterThan">
      <formula>0.509</formula>
    </cfRule>
  </conditionalFormatting>
  <conditionalFormatting sqref="P42:U61 P72:U91 P102:U121 P162:U181 P192:U211 P222:U241 P282:U301 P12:U31 P132:U151 P252:U271">
    <cfRule type="cellIs" dxfId="55" priority="1" operator="equal">
      <formula>"NA"</formula>
    </cfRule>
    <cfRule type="cellIs" dxfId="54" priority="2" operator="lessThan">
      <formula>-0.509</formula>
    </cfRule>
    <cfRule type="cellIs" dxfId="53" priority="3" operator="greaterThan">
      <formula>0.509</formula>
    </cfRule>
  </conditionalFormatting>
  <pageMargins left="0.7" right="0.7" top="0.75" bottom="0.75" header="0.3" footer="0.3"/>
  <pageSetup scale="10" orientation="landscape" r:id="rId1"/>
  <headerFooter>
    <oddFooter>&amp;L&amp;"-,Bold"Carrier Benchmark Data Submission Template&amp;"-,Regular" | NJ Hart Program&amp;RPage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058FD-C1BA-4662-AA9C-72F8A1C11A46}">
  <sheetPr>
    <tabColor theme="8" tint="0.39997558519241921"/>
    <pageSetUpPr fitToPage="1"/>
  </sheetPr>
  <dimension ref="A1:V338"/>
  <sheetViews>
    <sheetView showGridLines="0" zoomScale="70" zoomScaleNormal="70" workbookViewId="0">
      <selection activeCell="P53" sqref="P53"/>
    </sheetView>
  </sheetViews>
  <sheetFormatPr defaultColWidth="8.85546875" defaultRowHeight="15" x14ac:dyDescent="0.25"/>
  <cols>
    <col min="1" max="1" width="30.7109375" style="11" customWidth="1"/>
    <col min="2" max="2" width="49.28515625" style="11" customWidth="1"/>
    <col min="3" max="21" width="30.7109375" style="11" customWidth="1"/>
    <col min="22" max="22" width="14.7109375" style="11" bestFit="1" customWidth="1"/>
    <col min="23" max="23" width="9.5703125" style="11" bestFit="1" customWidth="1"/>
    <col min="24" max="16384" width="8.85546875" style="11"/>
  </cols>
  <sheetData>
    <row r="1" spans="1:22" ht="18.75" x14ac:dyDescent="0.3">
      <c r="A1" s="5" t="s">
        <v>47</v>
      </c>
      <c r="B1"/>
      <c r="C1"/>
      <c r="D1"/>
      <c r="E1"/>
      <c r="F1"/>
      <c r="G1"/>
      <c r="H1"/>
      <c r="I1"/>
      <c r="J1"/>
      <c r="K1"/>
      <c r="L1"/>
      <c r="M1"/>
      <c r="N1"/>
      <c r="O1"/>
      <c r="P1"/>
      <c r="Q1"/>
      <c r="R1"/>
      <c r="S1"/>
      <c r="T1"/>
      <c r="U1"/>
    </row>
    <row r="2" spans="1:22" ht="15.75" customHeight="1" x14ac:dyDescent="0.25">
      <c r="A2" s="696" t="s">
        <v>544</v>
      </c>
      <c r="B2" s="696"/>
      <c r="C2" s="696"/>
      <c r="D2" s="696"/>
      <c r="E2" s="696"/>
      <c r="F2" s="696"/>
      <c r="G2" s="696"/>
      <c r="H2" s="696"/>
      <c r="I2" s="696"/>
      <c r="J2" s="696"/>
      <c r="K2" s="696"/>
      <c r="L2" s="696"/>
      <c r="M2" s="696"/>
      <c r="N2" s="696"/>
      <c r="O2" s="696"/>
      <c r="P2" s="696"/>
      <c r="Q2" s="696"/>
      <c r="R2" s="696"/>
      <c r="S2" s="696"/>
      <c r="T2" s="696"/>
      <c r="U2" s="696"/>
    </row>
    <row r="3" spans="1:22" ht="15.75" x14ac:dyDescent="0.25">
      <c r="A3" s="569"/>
      <c r="B3" s="569"/>
      <c r="C3" s="569"/>
      <c r="D3" s="569"/>
      <c r="E3" s="569"/>
      <c r="F3" s="569"/>
      <c r="G3" s="569"/>
      <c r="H3" s="569"/>
      <c r="I3" s="569"/>
      <c r="J3" s="569"/>
      <c r="K3" s="569"/>
      <c r="L3" s="569"/>
      <c r="M3" s="569"/>
      <c r="N3" s="569"/>
      <c r="O3" s="569"/>
      <c r="P3" s="569"/>
      <c r="Q3" s="569"/>
      <c r="R3" s="569"/>
      <c r="S3" s="569"/>
      <c r="T3" s="569"/>
      <c r="U3" s="569"/>
    </row>
    <row r="4" spans="1:22" ht="15" customHeight="1" x14ac:dyDescent="0.25">
      <c r="A4" s="685" t="s">
        <v>545</v>
      </c>
      <c r="B4" s="685"/>
      <c r="C4" s="685"/>
      <c r="D4" s="685"/>
      <c r="E4" s="685"/>
      <c r="F4" s="685"/>
      <c r="G4" s="685"/>
      <c r="H4" s="685"/>
      <c r="I4" s="685"/>
      <c r="J4" s="685"/>
      <c r="K4" s="685"/>
      <c r="L4" s="685"/>
      <c r="M4" s="685"/>
      <c r="N4" s="685"/>
      <c r="O4" s="685"/>
      <c r="P4" s="685"/>
      <c r="Q4" s="685"/>
      <c r="R4" s="685"/>
      <c r="S4" s="685"/>
      <c r="T4" s="685"/>
      <c r="U4" s="685"/>
    </row>
    <row r="5" spans="1:22" ht="30" customHeight="1" x14ac:dyDescent="0.25">
      <c r="A5" s="686" t="s">
        <v>581</v>
      </c>
      <c r="B5" s="686"/>
      <c r="C5" s="686"/>
      <c r="D5" s="686"/>
      <c r="E5" s="686"/>
      <c r="F5" s="686"/>
      <c r="G5" s="686"/>
      <c r="H5" s="686"/>
      <c r="I5" s="686"/>
      <c r="J5" s="686"/>
      <c r="K5" s="686"/>
      <c r="L5" s="686"/>
      <c r="M5" s="686"/>
      <c r="N5" s="686"/>
      <c r="O5" s="686"/>
      <c r="P5" s="686"/>
      <c r="Q5" s="686"/>
      <c r="R5" s="686"/>
      <c r="S5" s="686"/>
      <c r="T5" s="686"/>
      <c r="U5" s="686"/>
    </row>
    <row r="6" spans="1:22" x14ac:dyDescent="0.25">
      <c r="A6"/>
      <c r="B6"/>
      <c r="C6"/>
      <c r="D6"/>
      <c r="E6"/>
      <c r="F6"/>
      <c r="G6"/>
      <c r="H6"/>
      <c r="I6"/>
      <c r="J6"/>
      <c r="K6"/>
      <c r="L6"/>
      <c r="M6"/>
      <c r="N6"/>
      <c r="O6"/>
      <c r="P6"/>
      <c r="Q6"/>
      <c r="R6"/>
      <c r="S6"/>
      <c r="T6" s="149"/>
      <c r="U6"/>
    </row>
    <row r="7" spans="1:22" x14ac:dyDescent="0.25">
      <c r="A7"/>
      <c r="B7"/>
      <c r="C7"/>
      <c r="D7"/>
      <c r="E7"/>
      <c r="F7"/>
      <c r="G7"/>
      <c r="H7"/>
      <c r="I7"/>
      <c r="J7"/>
      <c r="K7"/>
      <c r="L7"/>
      <c r="M7"/>
      <c r="N7"/>
      <c r="O7"/>
      <c r="P7"/>
      <c r="Q7"/>
      <c r="R7"/>
      <c r="S7"/>
      <c r="T7" s="149"/>
      <c r="U7"/>
    </row>
    <row r="8" spans="1:22" x14ac:dyDescent="0.25">
      <c r="A8" s="567" t="s">
        <v>546</v>
      </c>
      <c r="B8" s="568"/>
      <c r="C8" s="568"/>
      <c r="D8"/>
      <c r="E8"/>
      <c r="F8"/>
      <c r="G8"/>
      <c r="H8"/>
      <c r="I8"/>
      <c r="J8"/>
      <c r="K8"/>
      <c r="L8"/>
      <c r="M8"/>
      <c r="N8"/>
      <c r="O8"/>
      <c r="P8"/>
      <c r="Q8"/>
      <c r="R8"/>
      <c r="S8"/>
      <c r="T8"/>
      <c r="U8"/>
    </row>
    <row r="9" spans="1:22" x14ac:dyDescent="0.25">
      <c r="A9" s="657" t="s">
        <v>71</v>
      </c>
      <c r="B9" s="655" t="s">
        <v>547</v>
      </c>
      <c r="C9" s="697">
        <v>2022</v>
      </c>
      <c r="D9" s="698"/>
      <c r="E9" s="698"/>
      <c r="F9" s="698"/>
      <c r="G9" s="698"/>
      <c r="H9" s="699"/>
      <c r="I9" s="700">
        <v>2023</v>
      </c>
      <c r="J9" s="701"/>
      <c r="K9" s="701"/>
      <c r="L9" s="701"/>
      <c r="M9" s="701"/>
      <c r="N9" s="702"/>
      <c r="O9" s="703" t="s">
        <v>618</v>
      </c>
      <c r="P9" s="704"/>
      <c r="Q9" s="704"/>
      <c r="R9" s="704"/>
      <c r="S9" s="704"/>
      <c r="T9" s="704"/>
      <c r="U9" s="705"/>
    </row>
    <row r="10" spans="1:22" ht="65.25" customHeight="1" x14ac:dyDescent="0.25">
      <c r="A10" s="657"/>
      <c r="B10" s="655"/>
      <c r="C10" s="90" t="s">
        <v>549</v>
      </c>
      <c r="D10" s="91" t="s">
        <v>550</v>
      </c>
      <c r="E10" s="91" t="s">
        <v>551</v>
      </c>
      <c r="F10" s="91" t="s">
        <v>552</v>
      </c>
      <c r="G10" s="91" t="s">
        <v>553</v>
      </c>
      <c r="H10" s="92" t="s">
        <v>554</v>
      </c>
      <c r="I10" s="87" t="s">
        <v>549</v>
      </c>
      <c r="J10" s="88" t="s">
        <v>550</v>
      </c>
      <c r="K10" s="88" t="s">
        <v>551</v>
      </c>
      <c r="L10" s="88" t="s">
        <v>552</v>
      </c>
      <c r="M10" s="88" t="s">
        <v>553</v>
      </c>
      <c r="N10" s="89" t="s">
        <v>554</v>
      </c>
      <c r="O10" s="513" t="s">
        <v>555</v>
      </c>
      <c r="P10" s="242" t="s">
        <v>556</v>
      </c>
      <c r="Q10" s="76" t="s">
        <v>557</v>
      </c>
      <c r="R10" s="76" t="s">
        <v>558</v>
      </c>
      <c r="S10" s="76" t="s">
        <v>559</v>
      </c>
      <c r="T10" s="76" t="s">
        <v>560</v>
      </c>
      <c r="U10" s="76" t="s">
        <v>561</v>
      </c>
    </row>
    <row r="11" spans="1:22" x14ac:dyDescent="0.25">
      <c r="A11" s="219">
        <v>100</v>
      </c>
      <c r="B11" s="495" t="s">
        <v>72</v>
      </c>
      <c r="C11" s="514">
        <f t="shared" ref="C11:C31" si="0">C41+C71+C101</f>
        <v>0</v>
      </c>
      <c r="D11" s="516" t="str">
        <f t="shared" ref="D11:D31" si="1">IF(C11=0,"NA",(SUMPRODUCT(D41,C41)+SUMPRODUCT(D71,C71)+SUMPRODUCT(D101,C101))/C11)</f>
        <v>NA</v>
      </c>
      <c r="E11" s="516" t="str">
        <f t="shared" ref="E11:E31" si="2">IF(C11=0,"NA",(SUMPRODUCT(E41,C41)+SUMPRODUCT(E71,C71)+SUMPRODUCT(E101,C101))/C11)</f>
        <v>NA</v>
      </c>
      <c r="F11" s="516" t="str">
        <f t="shared" ref="F11:F31" si="3">IF(C11=0,"NA",(SUMPRODUCT(F41,C41)+SUMPRODUCT(F71,C71)+SUMPRODUCT(F101,C101))/C11)</f>
        <v>NA</v>
      </c>
      <c r="G11" s="516" t="str">
        <f t="shared" ref="G11:G31" si="4">IF(C11=0,"NA",(SUMPRODUCT(G41,C41)+SUMPRODUCT(G71,C71)+SUMPRODUCT(G101,C101))/C11)</f>
        <v>NA</v>
      </c>
      <c r="H11" s="517" t="str">
        <f t="shared" ref="H11:H31" si="5">IF(C11=0,"NA",(SUMPRODUCT(H41,C41)+SUMPRODUCT(H71,C71)+SUMPRODUCT(H101,C101))/C11)</f>
        <v>NA</v>
      </c>
      <c r="I11" s="514">
        <f t="shared" ref="I11:I32" si="6">I41+I71+I101</f>
        <v>0</v>
      </c>
      <c r="J11" s="516" t="str">
        <f t="shared" ref="J11:J31" si="7">IF(I11=0,"NA",(SUMPRODUCT(J41,I41)+SUMPRODUCT(J71,I71)+SUMPRODUCT(J101,I101))/I11)</f>
        <v>NA</v>
      </c>
      <c r="K11" s="516" t="str">
        <f t="shared" ref="K11:K31" si="8">IF(I11=0,"NA",(SUMPRODUCT(K41,I41)+SUMPRODUCT(K71,I71)+SUMPRODUCT(K101,I101))/I11)</f>
        <v>NA</v>
      </c>
      <c r="L11" s="516" t="str">
        <f t="shared" ref="L11:L31" si="9">IF(I11=0,"NA",(SUMPRODUCT(L41,I41)+SUMPRODUCT(L71,I71)+SUMPRODUCT(L101,I101))/I11)</f>
        <v>NA</v>
      </c>
      <c r="M11" s="516" t="str">
        <f t="shared" ref="M11:M31" si="10">IF(I11=0,"NA",(SUMPRODUCT(M41,I41)+SUMPRODUCT(M71,I71)+SUMPRODUCT(M101,I101))/I11)</f>
        <v>NA</v>
      </c>
      <c r="N11" s="517" t="str">
        <f t="shared" ref="N11:N31" si="11">IF(I11=0,"NA",(SUMPRODUCT(N41,I41)+SUMPRODUCT(N71,I71)+SUMPRODUCT(N101,I101))/I11)</f>
        <v>NA</v>
      </c>
      <c r="O11" s="518">
        <f>ABS(C11-I11)</f>
        <v>0</v>
      </c>
      <c r="P11" s="519" t="str">
        <f t="shared" ref="P11:U31" si="12">IFERROR((I11/C11-1),"NA")</f>
        <v>NA</v>
      </c>
      <c r="Q11" s="520" t="str">
        <f t="shared" si="12"/>
        <v>NA</v>
      </c>
      <c r="R11" s="520" t="str">
        <f t="shared" si="12"/>
        <v>NA</v>
      </c>
      <c r="S11" s="520" t="str">
        <f t="shared" si="12"/>
        <v>NA</v>
      </c>
      <c r="T11" s="520" t="str">
        <f t="shared" si="12"/>
        <v>NA</v>
      </c>
      <c r="U11" s="520" t="str">
        <f t="shared" si="12"/>
        <v>NA</v>
      </c>
      <c r="V11" s="511"/>
    </row>
    <row r="12" spans="1:22" x14ac:dyDescent="0.25">
      <c r="A12" s="218">
        <v>101</v>
      </c>
      <c r="B12" s="495" t="s">
        <v>609</v>
      </c>
      <c r="C12" s="514">
        <f t="shared" si="0"/>
        <v>0</v>
      </c>
      <c r="D12" s="516" t="str">
        <f t="shared" si="1"/>
        <v>NA</v>
      </c>
      <c r="E12" s="516" t="str">
        <f t="shared" si="2"/>
        <v>NA</v>
      </c>
      <c r="F12" s="516" t="str">
        <f t="shared" si="3"/>
        <v>NA</v>
      </c>
      <c r="G12" s="516" t="str">
        <f t="shared" si="4"/>
        <v>NA</v>
      </c>
      <c r="H12" s="517" t="str">
        <f t="shared" si="5"/>
        <v>NA</v>
      </c>
      <c r="I12" s="514">
        <f t="shared" si="6"/>
        <v>0</v>
      </c>
      <c r="J12" s="516" t="str">
        <f t="shared" si="7"/>
        <v>NA</v>
      </c>
      <c r="K12" s="516" t="str">
        <f t="shared" si="8"/>
        <v>NA</v>
      </c>
      <c r="L12" s="516" t="str">
        <f t="shared" si="9"/>
        <v>NA</v>
      </c>
      <c r="M12" s="516" t="str">
        <f t="shared" si="10"/>
        <v>NA</v>
      </c>
      <c r="N12" s="517" t="str">
        <f t="shared" si="11"/>
        <v>NA</v>
      </c>
      <c r="O12" s="518">
        <f t="shared" ref="O12:O31" si="13">ABS(C12-I12)</f>
        <v>0</v>
      </c>
      <c r="P12" s="519" t="str">
        <f t="shared" si="12"/>
        <v>NA</v>
      </c>
      <c r="Q12" s="520" t="str">
        <f t="shared" si="12"/>
        <v>NA</v>
      </c>
      <c r="R12" s="520" t="str">
        <f t="shared" si="12"/>
        <v>NA</v>
      </c>
      <c r="S12" s="520" t="str">
        <f t="shared" si="12"/>
        <v>NA</v>
      </c>
      <c r="T12" s="520" t="str">
        <f t="shared" si="12"/>
        <v>NA</v>
      </c>
      <c r="U12" s="520" t="str">
        <f t="shared" si="12"/>
        <v>NA</v>
      </c>
    </row>
    <row r="13" spans="1:22" x14ac:dyDescent="0.25">
      <c r="A13" s="218">
        <v>102</v>
      </c>
      <c r="B13" s="566" t="s">
        <v>610</v>
      </c>
      <c r="C13" s="514">
        <f t="shared" si="0"/>
        <v>0</v>
      </c>
      <c r="D13" s="516" t="str">
        <f t="shared" si="1"/>
        <v>NA</v>
      </c>
      <c r="E13" s="516" t="str">
        <f t="shared" si="2"/>
        <v>NA</v>
      </c>
      <c r="F13" s="516" t="str">
        <f t="shared" si="3"/>
        <v>NA</v>
      </c>
      <c r="G13" s="516" t="str">
        <f t="shared" si="4"/>
        <v>NA</v>
      </c>
      <c r="H13" s="517" t="str">
        <f t="shared" si="5"/>
        <v>NA</v>
      </c>
      <c r="I13" s="514">
        <f t="shared" si="6"/>
        <v>0</v>
      </c>
      <c r="J13" s="516" t="str">
        <f t="shared" si="7"/>
        <v>NA</v>
      </c>
      <c r="K13" s="516" t="str">
        <f t="shared" si="8"/>
        <v>NA</v>
      </c>
      <c r="L13" s="516" t="str">
        <f t="shared" si="9"/>
        <v>NA</v>
      </c>
      <c r="M13" s="516" t="str">
        <f t="shared" si="10"/>
        <v>NA</v>
      </c>
      <c r="N13" s="517" t="str">
        <f t="shared" si="11"/>
        <v>NA</v>
      </c>
      <c r="O13" s="518">
        <f t="shared" si="13"/>
        <v>0</v>
      </c>
      <c r="P13" s="519" t="str">
        <f t="shared" si="12"/>
        <v>NA</v>
      </c>
      <c r="Q13" s="520" t="str">
        <f t="shared" si="12"/>
        <v>NA</v>
      </c>
      <c r="R13" s="520" t="str">
        <f t="shared" si="12"/>
        <v>NA</v>
      </c>
      <c r="S13" s="520" t="str">
        <f t="shared" si="12"/>
        <v>NA</v>
      </c>
      <c r="T13" s="520" t="str">
        <f t="shared" si="12"/>
        <v>NA</v>
      </c>
      <c r="U13" s="520" t="str">
        <f t="shared" si="12"/>
        <v>NA</v>
      </c>
    </row>
    <row r="14" spans="1:22" ht="30" x14ac:dyDescent="0.25">
      <c r="A14" s="218">
        <v>103</v>
      </c>
      <c r="B14" s="495" t="s">
        <v>73</v>
      </c>
      <c r="C14" s="514">
        <f t="shared" si="0"/>
        <v>0</v>
      </c>
      <c r="D14" s="516" t="str">
        <f t="shared" si="1"/>
        <v>NA</v>
      </c>
      <c r="E14" s="516" t="str">
        <f t="shared" si="2"/>
        <v>NA</v>
      </c>
      <c r="F14" s="516" t="str">
        <f t="shared" si="3"/>
        <v>NA</v>
      </c>
      <c r="G14" s="516" t="str">
        <f t="shared" si="4"/>
        <v>NA</v>
      </c>
      <c r="H14" s="517" t="str">
        <f t="shared" si="5"/>
        <v>NA</v>
      </c>
      <c r="I14" s="514">
        <f t="shared" si="6"/>
        <v>0</v>
      </c>
      <c r="J14" s="516" t="str">
        <f t="shared" si="7"/>
        <v>NA</v>
      </c>
      <c r="K14" s="516" t="str">
        <f t="shared" si="8"/>
        <v>NA</v>
      </c>
      <c r="L14" s="516" t="str">
        <f t="shared" si="9"/>
        <v>NA</v>
      </c>
      <c r="M14" s="516" t="str">
        <f t="shared" si="10"/>
        <v>NA</v>
      </c>
      <c r="N14" s="517" t="str">
        <f t="shared" si="11"/>
        <v>NA</v>
      </c>
      <c r="O14" s="518">
        <f t="shared" si="13"/>
        <v>0</v>
      </c>
      <c r="P14" s="519" t="str">
        <f t="shared" si="12"/>
        <v>NA</v>
      </c>
      <c r="Q14" s="520" t="str">
        <f t="shared" si="12"/>
        <v>NA</v>
      </c>
      <c r="R14" s="520" t="str">
        <f t="shared" si="12"/>
        <v>NA</v>
      </c>
      <c r="S14" s="520" t="str">
        <f t="shared" si="12"/>
        <v>NA</v>
      </c>
      <c r="T14" s="520" t="str">
        <f t="shared" si="12"/>
        <v>NA</v>
      </c>
      <c r="U14" s="520" t="str">
        <f t="shared" si="12"/>
        <v>NA</v>
      </c>
    </row>
    <row r="15" spans="1:22" x14ac:dyDescent="0.25">
      <c r="A15" s="218">
        <v>104</v>
      </c>
      <c r="B15" s="495" t="s">
        <v>611</v>
      </c>
      <c r="C15" s="514">
        <f t="shared" si="0"/>
        <v>0</v>
      </c>
      <c r="D15" s="516" t="str">
        <f t="shared" si="1"/>
        <v>NA</v>
      </c>
      <c r="E15" s="516" t="str">
        <f t="shared" si="2"/>
        <v>NA</v>
      </c>
      <c r="F15" s="516" t="str">
        <f t="shared" si="3"/>
        <v>NA</v>
      </c>
      <c r="G15" s="516" t="str">
        <f t="shared" si="4"/>
        <v>NA</v>
      </c>
      <c r="H15" s="517" t="str">
        <f t="shared" si="5"/>
        <v>NA</v>
      </c>
      <c r="I15" s="514">
        <f t="shared" si="6"/>
        <v>0</v>
      </c>
      <c r="J15" s="516" t="str">
        <f t="shared" si="7"/>
        <v>NA</v>
      </c>
      <c r="K15" s="516" t="str">
        <f t="shared" si="8"/>
        <v>NA</v>
      </c>
      <c r="L15" s="516" t="str">
        <f t="shared" si="9"/>
        <v>NA</v>
      </c>
      <c r="M15" s="516" t="str">
        <f t="shared" si="10"/>
        <v>NA</v>
      </c>
      <c r="N15" s="517" t="str">
        <f t="shared" si="11"/>
        <v>NA</v>
      </c>
      <c r="O15" s="518">
        <f t="shared" si="13"/>
        <v>0</v>
      </c>
      <c r="P15" s="519" t="str">
        <f t="shared" si="12"/>
        <v>NA</v>
      </c>
      <c r="Q15" s="520" t="str">
        <f t="shared" si="12"/>
        <v>NA</v>
      </c>
      <c r="R15" s="520" t="str">
        <f t="shared" si="12"/>
        <v>NA</v>
      </c>
      <c r="S15" s="520" t="str">
        <f t="shared" si="12"/>
        <v>NA</v>
      </c>
      <c r="T15" s="520" t="str">
        <f t="shared" si="12"/>
        <v>NA</v>
      </c>
      <c r="U15" s="520" t="str">
        <f t="shared" si="12"/>
        <v>NA</v>
      </c>
    </row>
    <row r="16" spans="1:22" x14ac:dyDescent="0.25">
      <c r="A16" s="218">
        <v>105</v>
      </c>
      <c r="B16" s="566" t="s">
        <v>607</v>
      </c>
      <c r="C16" s="514">
        <f t="shared" si="0"/>
        <v>0</v>
      </c>
      <c r="D16" s="516" t="str">
        <f t="shared" si="1"/>
        <v>NA</v>
      </c>
      <c r="E16" s="516" t="str">
        <f t="shared" si="2"/>
        <v>NA</v>
      </c>
      <c r="F16" s="516" t="str">
        <f t="shared" si="3"/>
        <v>NA</v>
      </c>
      <c r="G16" s="516" t="str">
        <f t="shared" si="4"/>
        <v>NA</v>
      </c>
      <c r="H16" s="517" t="str">
        <f t="shared" si="5"/>
        <v>NA</v>
      </c>
      <c r="I16" s="514">
        <f t="shared" si="6"/>
        <v>0</v>
      </c>
      <c r="J16" s="516" t="str">
        <f t="shared" si="7"/>
        <v>NA</v>
      </c>
      <c r="K16" s="516" t="str">
        <f t="shared" si="8"/>
        <v>NA</v>
      </c>
      <c r="L16" s="516" t="str">
        <f t="shared" si="9"/>
        <v>NA</v>
      </c>
      <c r="M16" s="516" t="str">
        <f t="shared" si="10"/>
        <v>NA</v>
      </c>
      <c r="N16" s="517" t="str">
        <f t="shared" si="11"/>
        <v>NA</v>
      </c>
      <c r="O16" s="518">
        <f t="shared" si="13"/>
        <v>0</v>
      </c>
      <c r="P16" s="519" t="str">
        <f t="shared" si="12"/>
        <v>NA</v>
      </c>
      <c r="Q16" s="520" t="str">
        <f t="shared" si="12"/>
        <v>NA</v>
      </c>
      <c r="R16" s="520" t="str">
        <f t="shared" si="12"/>
        <v>NA</v>
      </c>
      <c r="S16" s="520" t="str">
        <f t="shared" si="12"/>
        <v>NA</v>
      </c>
      <c r="T16" s="520" t="str">
        <f t="shared" si="12"/>
        <v>NA</v>
      </c>
      <c r="U16" s="520" t="str">
        <f t="shared" si="12"/>
        <v>NA</v>
      </c>
    </row>
    <row r="17" spans="1:21" x14ac:dyDescent="0.25">
      <c r="A17" s="218">
        <v>106</v>
      </c>
      <c r="B17" s="495" t="s">
        <v>74</v>
      </c>
      <c r="C17" s="514">
        <f t="shared" si="0"/>
        <v>0</v>
      </c>
      <c r="D17" s="516" t="str">
        <f t="shared" si="1"/>
        <v>NA</v>
      </c>
      <c r="E17" s="516" t="str">
        <f t="shared" si="2"/>
        <v>NA</v>
      </c>
      <c r="F17" s="516" t="str">
        <f t="shared" si="3"/>
        <v>NA</v>
      </c>
      <c r="G17" s="516" t="str">
        <f t="shared" si="4"/>
        <v>NA</v>
      </c>
      <c r="H17" s="517" t="str">
        <f t="shared" si="5"/>
        <v>NA</v>
      </c>
      <c r="I17" s="514">
        <f t="shared" si="6"/>
        <v>0</v>
      </c>
      <c r="J17" s="516" t="str">
        <f t="shared" si="7"/>
        <v>NA</v>
      </c>
      <c r="K17" s="516" t="str">
        <f t="shared" si="8"/>
        <v>NA</v>
      </c>
      <c r="L17" s="516" t="str">
        <f t="shared" si="9"/>
        <v>NA</v>
      </c>
      <c r="M17" s="516" t="str">
        <f t="shared" si="10"/>
        <v>NA</v>
      </c>
      <c r="N17" s="517" t="str">
        <f t="shared" si="11"/>
        <v>NA</v>
      </c>
      <c r="O17" s="518">
        <f t="shared" si="13"/>
        <v>0</v>
      </c>
      <c r="P17" s="519" t="str">
        <f t="shared" si="12"/>
        <v>NA</v>
      </c>
      <c r="Q17" s="520" t="str">
        <f t="shared" si="12"/>
        <v>NA</v>
      </c>
      <c r="R17" s="520" t="str">
        <f t="shared" si="12"/>
        <v>NA</v>
      </c>
      <c r="S17" s="520" t="str">
        <f t="shared" si="12"/>
        <v>NA</v>
      </c>
      <c r="T17" s="520" t="str">
        <f t="shared" si="12"/>
        <v>NA</v>
      </c>
      <c r="U17" s="520" t="str">
        <f t="shared" si="12"/>
        <v>NA</v>
      </c>
    </row>
    <row r="18" spans="1:21" ht="30" x14ac:dyDescent="0.25">
      <c r="A18" s="218">
        <v>107</v>
      </c>
      <c r="B18" s="495" t="s">
        <v>75</v>
      </c>
      <c r="C18" s="514">
        <f t="shared" si="0"/>
        <v>0</v>
      </c>
      <c r="D18" s="516" t="str">
        <f t="shared" si="1"/>
        <v>NA</v>
      </c>
      <c r="E18" s="516" t="str">
        <f t="shared" si="2"/>
        <v>NA</v>
      </c>
      <c r="F18" s="516" t="str">
        <f t="shared" si="3"/>
        <v>NA</v>
      </c>
      <c r="G18" s="516" t="str">
        <f t="shared" si="4"/>
        <v>NA</v>
      </c>
      <c r="H18" s="517" t="str">
        <f t="shared" si="5"/>
        <v>NA</v>
      </c>
      <c r="I18" s="514">
        <f t="shared" si="6"/>
        <v>0</v>
      </c>
      <c r="J18" s="516" t="str">
        <f t="shared" si="7"/>
        <v>NA</v>
      </c>
      <c r="K18" s="516" t="str">
        <f t="shared" si="8"/>
        <v>NA</v>
      </c>
      <c r="L18" s="516" t="str">
        <f t="shared" si="9"/>
        <v>NA</v>
      </c>
      <c r="M18" s="516" t="str">
        <f t="shared" si="10"/>
        <v>NA</v>
      </c>
      <c r="N18" s="517" t="str">
        <f t="shared" si="11"/>
        <v>NA</v>
      </c>
      <c r="O18" s="518">
        <f t="shared" si="13"/>
        <v>0</v>
      </c>
      <c r="P18" s="519" t="str">
        <f t="shared" si="12"/>
        <v>NA</v>
      </c>
      <c r="Q18" s="520" t="str">
        <f t="shared" si="12"/>
        <v>NA</v>
      </c>
      <c r="R18" s="520" t="str">
        <f t="shared" si="12"/>
        <v>NA</v>
      </c>
      <c r="S18" s="520" t="str">
        <f t="shared" si="12"/>
        <v>NA</v>
      </c>
      <c r="T18" s="520" t="str">
        <f t="shared" si="12"/>
        <v>NA</v>
      </c>
      <c r="U18" s="520" t="str">
        <f t="shared" si="12"/>
        <v>NA</v>
      </c>
    </row>
    <row r="19" spans="1:21" x14ac:dyDescent="0.25">
      <c r="A19" s="218">
        <v>108</v>
      </c>
      <c r="B19" s="495" t="s">
        <v>612</v>
      </c>
      <c r="C19" s="514">
        <f t="shared" si="0"/>
        <v>0</v>
      </c>
      <c r="D19" s="516" t="str">
        <f t="shared" si="1"/>
        <v>NA</v>
      </c>
      <c r="E19" s="516" t="str">
        <f t="shared" si="2"/>
        <v>NA</v>
      </c>
      <c r="F19" s="516" t="str">
        <f t="shared" si="3"/>
        <v>NA</v>
      </c>
      <c r="G19" s="516" t="str">
        <f t="shared" si="4"/>
        <v>NA</v>
      </c>
      <c r="H19" s="517" t="str">
        <f t="shared" si="5"/>
        <v>NA</v>
      </c>
      <c r="I19" s="514">
        <f t="shared" si="6"/>
        <v>0</v>
      </c>
      <c r="J19" s="516" t="str">
        <f t="shared" si="7"/>
        <v>NA</v>
      </c>
      <c r="K19" s="516" t="str">
        <f t="shared" si="8"/>
        <v>NA</v>
      </c>
      <c r="L19" s="516" t="str">
        <f t="shared" si="9"/>
        <v>NA</v>
      </c>
      <c r="M19" s="516" t="str">
        <f t="shared" si="10"/>
        <v>NA</v>
      </c>
      <c r="N19" s="517" t="str">
        <f t="shared" si="11"/>
        <v>NA</v>
      </c>
      <c r="O19" s="518">
        <f t="shared" si="13"/>
        <v>0</v>
      </c>
      <c r="P19" s="519" t="str">
        <f t="shared" si="12"/>
        <v>NA</v>
      </c>
      <c r="Q19" s="520" t="str">
        <f t="shared" si="12"/>
        <v>NA</v>
      </c>
      <c r="R19" s="520" t="str">
        <f t="shared" si="12"/>
        <v>NA</v>
      </c>
      <c r="S19" s="520" t="str">
        <f t="shared" si="12"/>
        <v>NA</v>
      </c>
      <c r="T19" s="520" t="str">
        <f t="shared" si="12"/>
        <v>NA</v>
      </c>
      <c r="U19" s="520" t="str">
        <f t="shared" si="12"/>
        <v>NA</v>
      </c>
    </row>
    <row r="20" spans="1:21" ht="30" x14ac:dyDescent="0.25">
      <c r="A20" s="218">
        <v>109</v>
      </c>
      <c r="B20" s="495" t="s">
        <v>76</v>
      </c>
      <c r="C20" s="514">
        <f t="shared" si="0"/>
        <v>0</v>
      </c>
      <c r="D20" s="516" t="str">
        <f t="shared" si="1"/>
        <v>NA</v>
      </c>
      <c r="E20" s="516" t="str">
        <f t="shared" si="2"/>
        <v>NA</v>
      </c>
      <c r="F20" s="516" t="str">
        <f t="shared" si="3"/>
        <v>NA</v>
      </c>
      <c r="G20" s="516" t="str">
        <f t="shared" si="4"/>
        <v>NA</v>
      </c>
      <c r="H20" s="517" t="str">
        <f t="shared" si="5"/>
        <v>NA</v>
      </c>
      <c r="I20" s="514">
        <f t="shared" si="6"/>
        <v>0</v>
      </c>
      <c r="J20" s="516" t="str">
        <f t="shared" si="7"/>
        <v>NA</v>
      </c>
      <c r="K20" s="516" t="str">
        <f t="shared" si="8"/>
        <v>NA</v>
      </c>
      <c r="L20" s="516" t="str">
        <f t="shared" si="9"/>
        <v>NA</v>
      </c>
      <c r="M20" s="516" t="str">
        <f t="shared" si="10"/>
        <v>NA</v>
      </c>
      <c r="N20" s="517" t="str">
        <f t="shared" si="11"/>
        <v>NA</v>
      </c>
      <c r="O20" s="518">
        <f t="shared" si="13"/>
        <v>0</v>
      </c>
      <c r="P20" s="519" t="str">
        <f t="shared" si="12"/>
        <v>NA</v>
      </c>
      <c r="Q20" s="520" t="str">
        <f t="shared" si="12"/>
        <v>NA</v>
      </c>
      <c r="R20" s="520" t="str">
        <f t="shared" si="12"/>
        <v>NA</v>
      </c>
      <c r="S20" s="520" t="str">
        <f t="shared" si="12"/>
        <v>NA</v>
      </c>
      <c r="T20" s="520" t="str">
        <f t="shared" si="12"/>
        <v>NA</v>
      </c>
      <c r="U20" s="520" t="str">
        <f t="shared" si="12"/>
        <v>NA</v>
      </c>
    </row>
    <row r="21" spans="1:21" x14ac:dyDescent="0.25">
      <c r="A21" s="218">
        <v>110</v>
      </c>
      <c r="B21" s="495" t="s">
        <v>77</v>
      </c>
      <c r="C21" s="514">
        <f t="shared" si="0"/>
        <v>0</v>
      </c>
      <c r="D21" s="516" t="str">
        <f t="shared" si="1"/>
        <v>NA</v>
      </c>
      <c r="E21" s="516" t="str">
        <f t="shared" si="2"/>
        <v>NA</v>
      </c>
      <c r="F21" s="516" t="str">
        <f t="shared" si="3"/>
        <v>NA</v>
      </c>
      <c r="G21" s="516" t="str">
        <f t="shared" si="4"/>
        <v>NA</v>
      </c>
      <c r="H21" s="517" t="str">
        <f t="shared" si="5"/>
        <v>NA</v>
      </c>
      <c r="I21" s="514">
        <f t="shared" si="6"/>
        <v>0</v>
      </c>
      <c r="J21" s="516" t="str">
        <f t="shared" si="7"/>
        <v>NA</v>
      </c>
      <c r="K21" s="516" t="str">
        <f t="shared" si="8"/>
        <v>NA</v>
      </c>
      <c r="L21" s="516" t="str">
        <f t="shared" si="9"/>
        <v>NA</v>
      </c>
      <c r="M21" s="516" t="str">
        <f t="shared" si="10"/>
        <v>NA</v>
      </c>
      <c r="N21" s="517" t="str">
        <f t="shared" si="11"/>
        <v>NA</v>
      </c>
      <c r="O21" s="518">
        <f t="shared" si="13"/>
        <v>0</v>
      </c>
      <c r="P21" s="519" t="str">
        <f t="shared" si="12"/>
        <v>NA</v>
      </c>
      <c r="Q21" s="520" t="str">
        <f t="shared" si="12"/>
        <v>NA</v>
      </c>
      <c r="R21" s="520" t="str">
        <f t="shared" si="12"/>
        <v>NA</v>
      </c>
      <c r="S21" s="520" t="str">
        <f t="shared" si="12"/>
        <v>NA</v>
      </c>
      <c r="T21" s="520" t="str">
        <f t="shared" si="12"/>
        <v>NA</v>
      </c>
      <c r="U21" s="520" t="str">
        <f t="shared" si="12"/>
        <v>NA</v>
      </c>
    </row>
    <row r="22" spans="1:21" x14ac:dyDescent="0.25">
      <c r="A22" s="218">
        <v>111</v>
      </c>
      <c r="B22" s="566" t="s">
        <v>78</v>
      </c>
      <c r="C22" s="514">
        <f t="shared" si="0"/>
        <v>0</v>
      </c>
      <c r="D22" s="516" t="str">
        <f t="shared" si="1"/>
        <v>NA</v>
      </c>
      <c r="E22" s="516" t="str">
        <f t="shared" si="2"/>
        <v>NA</v>
      </c>
      <c r="F22" s="516" t="str">
        <f t="shared" si="3"/>
        <v>NA</v>
      </c>
      <c r="G22" s="516" t="str">
        <f t="shared" si="4"/>
        <v>NA</v>
      </c>
      <c r="H22" s="517" t="str">
        <f t="shared" si="5"/>
        <v>NA</v>
      </c>
      <c r="I22" s="514">
        <f t="shared" si="6"/>
        <v>0</v>
      </c>
      <c r="J22" s="516" t="str">
        <f t="shared" si="7"/>
        <v>NA</v>
      </c>
      <c r="K22" s="516" t="str">
        <f t="shared" si="8"/>
        <v>NA</v>
      </c>
      <c r="L22" s="516" t="str">
        <f t="shared" si="9"/>
        <v>NA</v>
      </c>
      <c r="M22" s="516" t="str">
        <f t="shared" si="10"/>
        <v>NA</v>
      </c>
      <c r="N22" s="517" t="str">
        <f t="shared" si="11"/>
        <v>NA</v>
      </c>
      <c r="O22" s="518">
        <f t="shared" si="13"/>
        <v>0</v>
      </c>
      <c r="P22" s="519" t="str">
        <f t="shared" si="12"/>
        <v>NA</v>
      </c>
      <c r="Q22" s="520" t="str">
        <f t="shared" si="12"/>
        <v>NA</v>
      </c>
      <c r="R22" s="520" t="str">
        <f t="shared" si="12"/>
        <v>NA</v>
      </c>
      <c r="S22" s="520" t="str">
        <f t="shared" si="12"/>
        <v>NA</v>
      </c>
      <c r="T22" s="520" t="str">
        <f t="shared" si="12"/>
        <v>NA</v>
      </c>
      <c r="U22" s="520" t="str">
        <f t="shared" si="12"/>
        <v>NA</v>
      </c>
    </row>
    <row r="23" spans="1:21" x14ac:dyDescent="0.25">
      <c r="A23" s="218">
        <v>112</v>
      </c>
      <c r="B23" s="566" t="s">
        <v>613</v>
      </c>
      <c r="C23" s="514">
        <f t="shared" si="0"/>
        <v>0</v>
      </c>
      <c r="D23" s="516" t="str">
        <f t="shared" si="1"/>
        <v>NA</v>
      </c>
      <c r="E23" s="516" t="str">
        <f t="shared" si="2"/>
        <v>NA</v>
      </c>
      <c r="F23" s="516" t="str">
        <f t="shared" si="3"/>
        <v>NA</v>
      </c>
      <c r="G23" s="516" t="str">
        <f t="shared" si="4"/>
        <v>NA</v>
      </c>
      <c r="H23" s="517" t="str">
        <f t="shared" si="5"/>
        <v>NA</v>
      </c>
      <c r="I23" s="514">
        <f t="shared" si="6"/>
        <v>0</v>
      </c>
      <c r="J23" s="516" t="str">
        <f t="shared" si="7"/>
        <v>NA</v>
      </c>
      <c r="K23" s="516" t="str">
        <f t="shared" si="8"/>
        <v>NA</v>
      </c>
      <c r="L23" s="516" t="str">
        <f t="shared" si="9"/>
        <v>NA</v>
      </c>
      <c r="M23" s="516" t="str">
        <f t="shared" si="10"/>
        <v>NA</v>
      </c>
      <c r="N23" s="517" t="str">
        <f t="shared" si="11"/>
        <v>NA</v>
      </c>
      <c r="O23" s="518">
        <f t="shared" si="13"/>
        <v>0</v>
      </c>
      <c r="P23" s="519" t="str">
        <f>IFERROR((I23/C23-1),"NA")</f>
        <v>NA</v>
      </c>
      <c r="Q23" s="520" t="str">
        <f t="shared" si="12"/>
        <v>NA</v>
      </c>
      <c r="R23" s="520" t="str">
        <f t="shared" si="12"/>
        <v>NA</v>
      </c>
      <c r="S23" s="520" t="str">
        <f t="shared" si="12"/>
        <v>NA</v>
      </c>
      <c r="T23" s="520" t="str">
        <f t="shared" si="12"/>
        <v>NA</v>
      </c>
      <c r="U23" s="520" t="str">
        <f t="shared" si="12"/>
        <v>NA</v>
      </c>
    </row>
    <row r="24" spans="1:21" x14ac:dyDescent="0.25">
      <c r="A24" s="218">
        <v>115</v>
      </c>
      <c r="B24" s="566" t="s">
        <v>79</v>
      </c>
      <c r="C24" s="514">
        <f t="shared" si="0"/>
        <v>0</v>
      </c>
      <c r="D24" s="516" t="str">
        <f t="shared" si="1"/>
        <v>NA</v>
      </c>
      <c r="E24" s="516" t="str">
        <f t="shared" si="2"/>
        <v>NA</v>
      </c>
      <c r="F24" s="516" t="str">
        <f t="shared" si="3"/>
        <v>NA</v>
      </c>
      <c r="G24" s="516" t="str">
        <f t="shared" si="4"/>
        <v>NA</v>
      </c>
      <c r="H24" s="517" t="str">
        <f t="shared" si="5"/>
        <v>NA</v>
      </c>
      <c r="I24" s="514">
        <f t="shared" si="6"/>
        <v>0</v>
      </c>
      <c r="J24" s="516" t="str">
        <f t="shared" si="7"/>
        <v>NA</v>
      </c>
      <c r="K24" s="516" t="str">
        <f t="shared" si="8"/>
        <v>NA</v>
      </c>
      <c r="L24" s="516" t="str">
        <f t="shared" si="9"/>
        <v>NA</v>
      </c>
      <c r="M24" s="516" t="str">
        <f t="shared" si="10"/>
        <v>NA</v>
      </c>
      <c r="N24" s="517" t="str">
        <f t="shared" si="11"/>
        <v>NA</v>
      </c>
      <c r="O24" s="518">
        <f t="shared" si="13"/>
        <v>0</v>
      </c>
      <c r="P24" s="519" t="str">
        <f t="shared" si="12"/>
        <v>NA</v>
      </c>
      <c r="Q24" s="520" t="str">
        <f t="shared" si="12"/>
        <v>NA</v>
      </c>
      <c r="R24" s="520" t="str">
        <f t="shared" si="12"/>
        <v>NA</v>
      </c>
      <c r="S24" s="520" t="str">
        <f t="shared" si="12"/>
        <v>NA</v>
      </c>
      <c r="T24" s="520" t="str">
        <f t="shared" si="12"/>
        <v>NA</v>
      </c>
      <c r="U24" s="520" t="str">
        <f t="shared" si="12"/>
        <v>NA</v>
      </c>
    </row>
    <row r="25" spans="1:21" x14ac:dyDescent="0.25">
      <c r="A25" s="218">
        <v>116</v>
      </c>
      <c r="B25" s="566" t="s">
        <v>614</v>
      </c>
      <c r="C25" s="514">
        <f t="shared" si="0"/>
        <v>0</v>
      </c>
      <c r="D25" s="516" t="str">
        <f t="shared" si="1"/>
        <v>NA</v>
      </c>
      <c r="E25" s="516" t="str">
        <f t="shared" si="2"/>
        <v>NA</v>
      </c>
      <c r="F25" s="516" t="str">
        <f t="shared" si="3"/>
        <v>NA</v>
      </c>
      <c r="G25" s="516" t="str">
        <f t="shared" si="4"/>
        <v>NA</v>
      </c>
      <c r="H25" s="517" t="str">
        <f t="shared" si="5"/>
        <v>NA</v>
      </c>
      <c r="I25" s="514">
        <f t="shared" si="6"/>
        <v>0</v>
      </c>
      <c r="J25" s="516" t="str">
        <f t="shared" si="7"/>
        <v>NA</v>
      </c>
      <c r="K25" s="516" t="str">
        <f t="shared" si="8"/>
        <v>NA</v>
      </c>
      <c r="L25" s="516" t="str">
        <f t="shared" si="9"/>
        <v>NA</v>
      </c>
      <c r="M25" s="516" t="str">
        <f t="shared" si="10"/>
        <v>NA</v>
      </c>
      <c r="N25" s="517" t="str">
        <f t="shared" si="11"/>
        <v>NA</v>
      </c>
      <c r="O25" s="518">
        <f t="shared" si="13"/>
        <v>0</v>
      </c>
      <c r="P25" s="519" t="str">
        <f t="shared" si="12"/>
        <v>NA</v>
      </c>
      <c r="Q25" s="520" t="str">
        <f t="shared" si="12"/>
        <v>NA</v>
      </c>
      <c r="R25" s="520" t="str">
        <f t="shared" si="12"/>
        <v>NA</v>
      </c>
      <c r="S25" s="520" t="str">
        <f t="shared" si="12"/>
        <v>NA</v>
      </c>
      <c r="T25" s="520" t="str">
        <f t="shared" si="12"/>
        <v>NA</v>
      </c>
      <c r="U25" s="520" t="str">
        <f t="shared" si="12"/>
        <v>NA</v>
      </c>
    </row>
    <row r="26" spans="1:21" x14ac:dyDescent="0.25">
      <c r="A26" s="218">
        <v>118</v>
      </c>
      <c r="B26" s="566" t="s">
        <v>80</v>
      </c>
      <c r="C26" s="514">
        <f t="shared" si="0"/>
        <v>0</v>
      </c>
      <c r="D26" s="516" t="str">
        <f t="shared" si="1"/>
        <v>NA</v>
      </c>
      <c r="E26" s="516" t="str">
        <f t="shared" si="2"/>
        <v>NA</v>
      </c>
      <c r="F26" s="516" t="str">
        <f t="shared" si="3"/>
        <v>NA</v>
      </c>
      <c r="G26" s="516" t="str">
        <f t="shared" si="4"/>
        <v>NA</v>
      </c>
      <c r="H26" s="517" t="str">
        <f t="shared" si="5"/>
        <v>NA</v>
      </c>
      <c r="I26" s="514">
        <f t="shared" si="6"/>
        <v>0</v>
      </c>
      <c r="J26" s="516" t="str">
        <f t="shared" si="7"/>
        <v>NA</v>
      </c>
      <c r="K26" s="516" t="str">
        <f t="shared" si="8"/>
        <v>NA</v>
      </c>
      <c r="L26" s="516" t="str">
        <f t="shared" si="9"/>
        <v>NA</v>
      </c>
      <c r="M26" s="516" t="str">
        <f t="shared" si="10"/>
        <v>NA</v>
      </c>
      <c r="N26" s="517" t="str">
        <f t="shared" si="11"/>
        <v>NA</v>
      </c>
      <c r="O26" s="518">
        <f t="shared" si="13"/>
        <v>0</v>
      </c>
      <c r="P26" s="519" t="str">
        <f t="shared" si="12"/>
        <v>NA</v>
      </c>
      <c r="Q26" s="520" t="str">
        <f t="shared" si="12"/>
        <v>NA</v>
      </c>
      <c r="R26" s="520" t="str">
        <f t="shared" si="12"/>
        <v>NA</v>
      </c>
      <c r="S26" s="520" t="str">
        <f t="shared" si="12"/>
        <v>NA</v>
      </c>
      <c r="T26" s="520" t="str">
        <f t="shared" si="12"/>
        <v>NA</v>
      </c>
      <c r="U26" s="520" t="str">
        <f t="shared" si="12"/>
        <v>NA</v>
      </c>
    </row>
    <row r="27" spans="1:21" x14ac:dyDescent="0.25">
      <c r="A27" s="218">
        <v>119</v>
      </c>
      <c r="B27" s="566" t="s">
        <v>615</v>
      </c>
      <c r="C27" s="514">
        <f t="shared" si="0"/>
        <v>0</v>
      </c>
      <c r="D27" s="516" t="str">
        <f t="shared" si="1"/>
        <v>NA</v>
      </c>
      <c r="E27" s="516" t="str">
        <f t="shared" si="2"/>
        <v>NA</v>
      </c>
      <c r="F27" s="516" t="str">
        <f t="shared" si="3"/>
        <v>NA</v>
      </c>
      <c r="G27" s="516" t="str">
        <f t="shared" si="4"/>
        <v>NA</v>
      </c>
      <c r="H27" s="517" t="str">
        <f t="shared" si="5"/>
        <v>NA</v>
      </c>
      <c r="I27" s="514">
        <f t="shared" si="6"/>
        <v>0</v>
      </c>
      <c r="J27" s="516" t="str">
        <f t="shared" si="7"/>
        <v>NA</v>
      </c>
      <c r="K27" s="516" t="str">
        <f t="shared" si="8"/>
        <v>NA</v>
      </c>
      <c r="L27" s="516" t="str">
        <f t="shared" si="9"/>
        <v>NA</v>
      </c>
      <c r="M27" s="516" t="str">
        <f t="shared" si="10"/>
        <v>NA</v>
      </c>
      <c r="N27" s="517" t="str">
        <f t="shared" si="11"/>
        <v>NA</v>
      </c>
      <c r="O27" s="518">
        <f>ABS(C27-I27)</f>
        <v>0</v>
      </c>
      <c r="P27" s="519" t="str">
        <f t="shared" si="12"/>
        <v>NA</v>
      </c>
      <c r="Q27" s="520" t="str">
        <f t="shared" si="12"/>
        <v>NA</v>
      </c>
      <c r="R27" s="520" t="str">
        <f t="shared" si="12"/>
        <v>NA</v>
      </c>
      <c r="S27" s="520" t="str">
        <f t="shared" si="12"/>
        <v>NA</v>
      </c>
      <c r="T27" s="520" t="str">
        <f t="shared" si="12"/>
        <v>NA</v>
      </c>
      <c r="U27" s="520" t="str">
        <f t="shared" si="12"/>
        <v>NA</v>
      </c>
    </row>
    <row r="28" spans="1:21" x14ac:dyDescent="0.25">
      <c r="A28" s="218">
        <v>120</v>
      </c>
      <c r="B28" s="566" t="s">
        <v>608</v>
      </c>
      <c r="C28" s="514">
        <f t="shared" si="0"/>
        <v>0</v>
      </c>
      <c r="D28" s="516" t="str">
        <f t="shared" si="1"/>
        <v>NA</v>
      </c>
      <c r="E28" s="516" t="str">
        <f t="shared" si="2"/>
        <v>NA</v>
      </c>
      <c r="F28" s="516" t="str">
        <f t="shared" si="3"/>
        <v>NA</v>
      </c>
      <c r="G28" s="516" t="str">
        <f t="shared" si="4"/>
        <v>NA</v>
      </c>
      <c r="H28" s="517" t="str">
        <f t="shared" si="5"/>
        <v>NA</v>
      </c>
      <c r="I28" s="514">
        <f t="shared" si="6"/>
        <v>0</v>
      </c>
      <c r="J28" s="516" t="str">
        <f t="shared" si="7"/>
        <v>NA</v>
      </c>
      <c r="K28" s="516" t="str">
        <f t="shared" si="8"/>
        <v>NA</v>
      </c>
      <c r="L28" s="516" t="str">
        <f t="shared" si="9"/>
        <v>NA</v>
      </c>
      <c r="M28" s="516" t="str">
        <f t="shared" si="10"/>
        <v>NA</v>
      </c>
      <c r="N28" s="517" t="str">
        <f t="shared" si="11"/>
        <v>NA</v>
      </c>
      <c r="O28" s="518">
        <f>ABS(C28-I28)</f>
        <v>0</v>
      </c>
      <c r="P28" s="519" t="str">
        <f>IFERROR((I28/C28-1),"NA")</f>
        <v>NA</v>
      </c>
      <c r="Q28" s="520" t="str">
        <f t="shared" si="12"/>
        <v>NA</v>
      </c>
      <c r="R28" s="520" t="str">
        <f t="shared" si="12"/>
        <v>NA</v>
      </c>
      <c r="S28" s="520" t="str">
        <f t="shared" si="12"/>
        <v>NA</v>
      </c>
      <c r="T28" s="520" t="str">
        <f t="shared" si="12"/>
        <v>NA</v>
      </c>
      <c r="U28" s="520" t="str">
        <f t="shared" si="12"/>
        <v>NA</v>
      </c>
    </row>
    <row r="29" spans="1:21" ht="30" x14ac:dyDescent="0.25">
      <c r="A29" s="218">
        <v>121</v>
      </c>
      <c r="B29" s="495" t="s">
        <v>616</v>
      </c>
      <c r="C29" s="514">
        <f>C59+C89+C119</f>
        <v>0</v>
      </c>
      <c r="D29" s="516" t="str">
        <f t="shared" si="1"/>
        <v>NA</v>
      </c>
      <c r="E29" s="516" t="str">
        <f t="shared" si="2"/>
        <v>NA</v>
      </c>
      <c r="F29" s="516" t="str">
        <f t="shared" si="3"/>
        <v>NA</v>
      </c>
      <c r="G29" s="516" t="str">
        <f t="shared" si="4"/>
        <v>NA</v>
      </c>
      <c r="H29" s="517" t="str">
        <f t="shared" si="5"/>
        <v>NA</v>
      </c>
      <c r="I29" s="514">
        <f t="shared" si="6"/>
        <v>0</v>
      </c>
      <c r="J29" s="516" t="str">
        <f t="shared" si="7"/>
        <v>NA</v>
      </c>
      <c r="K29" s="516" t="str">
        <f t="shared" si="8"/>
        <v>NA</v>
      </c>
      <c r="L29" s="516" t="str">
        <f t="shared" si="9"/>
        <v>NA</v>
      </c>
      <c r="M29" s="516" t="str">
        <f t="shared" si="10"/>
        <v>NA</v>
      </c>
      <c r="N29" s="517" t="str">
        <f t="shared" si="11"/>
        <v>NA</v>
      </c>
      <c r="O29" s="518">
        <f>ABS(C29-I29)</f>
        <v>0</v>
      </c>
      <c r="P29" s="519" t="str">
        <f>IFERROR((I29/C29-1),"NA")</f>
        <v>NA</v>
      </c>
      <c r="Q29" s="520" t="str">
        <f t="shared" si="12"/>
        <v>NA</v>
      </c>
      <c r="R29" s="520" t="str">
        <f t="shared" si="12"/>
        <v>NA</v>
      </c>
      <c r="S29" s="520" t="str">
        <f t="shared" si="12"/>
        <v>NA</v>
      </c>
      <c r="T29" s="520" t="str">
        <f t="shared" si="12"/>
        <v>NA</v>
      </c>
      <c r="U29" s="520" t="str">
        <f t="shared" si="12"/>
        <v>NA</v>
      </c>
    </row>
    <row r="30" spans="1:21" x14ac:dyDescent="0.25">
      <c r="A30" s="218">
        <v>122</v>
      </c>
      <c r="B30" s="566" t="s">
        <v>617</v>
      </c>
      <c r="C30" s="514">
        <f t="shared" si="0"/>
        <v>0</v>
      </c>
      <c r="D30" s="516" t="str">
        <f t="shared" si="1"/>
        <v>NA</v>
      </c>
      <c r="E30" s="516" t="str">
        <f t="shared" si="2"/>
        <v>NA</v>
      </c>
      <c r="F30" s="516" t="str">
        <f t="shared" si="3"/>
        <v>NA</v>
      </c>
      <c r="G30" s="516" t="str">
        <f t="shared" si="4"/>
        <v>NA</v>
      </c>
      <c r="H30" s="517" t="str">
        <f t="shared" si="5"/>
        <v>NA</v>
      </c>
      <c r="I30" s="514">
        <f t="shared" si="6"/>
        <v>0</v>
      </c>
      <c r="J30" s="516" t="str">
        <f t="shared" si="7"/>
        <v>NA</v>
      </c>
      <c r="K30" s="516" t="str">
        <f t="shared" si="8"/>
        <v>NA</v>
      </c>
      <c r="L30" s="516" t="str">
        <f t="shared" si="9"/>
        <v>NA</v>
      </c>
      <c r="M30" s="516" t="str">
        <f t="shared" si="10"/>
        <v>NA</v>
      </c>
      <c r="N30" s="517" t="str">
        <f t="shared" si="11"/>
        <v>NA</v>
      </c>
      <c r="O30" s="518">
        <f>ABS(C30-I30)</f>
        <v>0</v>
      </c>
      <c r="P30" s="519" t="str">
        <f t="shared" si="12"/>
        <v>NA</v>
      </c>
      <c r="Q30" s="520" t="str">
        <f t="shared" si="12"/>
        <v>NA</v>
      </c>
      <c r="R30" s="520" t="str">
        <f t="shared" si="12"/>
        <v>NA</v>
      </c>
      <c r="S30" s="520" t="str">
        <f t="shared" si="12"/>
        <v>NA</v>
      </c>
      <c r="T30" s="520" t="str">
        <f t="shared" si="12"/>
        <v>NA</v>
      </c>
      <c r="U30" s="520" t="str">
        <f t="shared" si="12"/>
        <v>NA</v>
      </c>
    </row>
    <row r="31" spans="1:21" x14ac:dyDescent="0.25">
      <c r="A31" s="218">
        <v>999</v>
      </c>
      <c r="B31" s="495" t="s">
        <v>81</v>
      </c>
      <c r="C31" s="514">
        <f t="shared" si="0"/>
        <v>0</v>
      </c>
      <c r="D31" s="516" t="str">
        <f t="shared" si="1"/>
        <v>NA</v>
      </c>
      <c r="E31" s="516" t="str">
        <f t="shared" si="2"/>
        <v>NA</v>
      </c>
      <c r="F31" s="516" t="str">
        <f t="shared" si="3"/>
        <v>NA</v>
      </c>
      <c r="G31" s="516" t="str">
        <f t="shared" si="4"/>
        <v>NA</v>
      </c>
      <c r="H31" s="517" t="str">
        <f t="shared" si="5"/>
        <v>NA</v>
      </c>
      <c r="I31" s="514">
        <f t="shared" si="6"/>
        <v>0</v>
      </c>
      <c r="J31" s="516" t="str">
        <f t="shared" si="7"/>
        <v>NA</v>
      </c>
      <c r="K31" s="516" t="str">
        <f t="shared" si="8"/>
        <v>NA</v>
      </c>
      <c r="L31" s="516" t="str">
        <f t="shared" si="9"/>
        <v>NA</v>
      </c>
      <c r="M31" s="516" t="str">
        <f t="shared" si="10"/>
        <v>NA</v>
      </c>
      <c r="N31" s="517" t="str">
        <f t="shared" si="11"/>
        <v>NA</v>
      </c>
      <c r="O31" s="518">
        <f t="shared" si="13"/>
        <v>0</v>
      </c>
      <c r="P31" s="519" t="str">
        <f t="shared" si="12"/>
        <v>NA</v>
      </c>
      <c r="Q31" s="520" t="str">
        <f t="shared" si="12"/>
        <v>NA</v>
      </c>
      <c r="R31" s="520" t="str">
        <f t="shared" si="12"/>
        <v>NA</v>
      </c>
      <c r="S31" s="520" t="str">
        <f t="shared" si="12"/>
        <v>NA</v>
      </c>
      <c r="T31" s="520" t="str">
        <f t="shared" si="12"/>
        <v>NA</v>
      </c>
      <c r="U31" s="520" t="str">
        <f t="shared" si="12"/>
        <v>NA</v>
      </c>
    </row>
    <row r="32" spans="1:21" ht="30" customHeight="1" x14ac:dyDescent="0.25">
      <c r="A32" s="719" t="s">
        <v>562</v>
      </c>
      <c r="B32" s="707"/>
      <c r="C32" s="521">
        <f>SUM(C12:C31)</f>
        <v>0</v>
      </c>
      <c r="D32" s="522" t="str">
        <f>IFERROR((SUMPRODUCT(D12:D31,C12:C31)/C32),"NA")</f>
        <v>NA</v>
      </c>
      <c r="E32" s="522" t="str">
        <f>IFERROR((SUMPRODUCT(E12:E31,C12:C31)/C32),"NA")</f>
        <v>NA</v>
      </c>
      <c r="F32" s="522" t="str">
        <f>IFERROR((SUMPRODUCT(F12:F31,C12:C31)/C32),"NA")</f>
        <v>NA</v>
      </c>
      <c r="G32" s="522" t="str">
        <f>IFERROR((SUMPRODUCT(G12:G31,C12:C31)/C32),"NA")</f>
        <v>NA</v>
      </c>
      <c r="H32" s="522" t="str">
        <f>IFERROR((SUMPRODUCT(H12:H31,C12:C31)/C32),"NA")</f>
        <v>NA</v>
      </c>
      <c r="I32" s="515">
        <f t="shared" si="6"/>
        <v>0</v>
      </c>
      <c r="J32" s="522" t="str">
        <f>IFERROR((SUMPRODUCT(J12:J31,I12:I31)/I32),"NA")</f>
        <v>NA</v>
      </c>
      <c r="K32" s="522" t="str">
        <f>IFERROR((SUMPRODUCT(K12:K31,I12:I31)/I32),"NA")</f>
        <v>NA</v>
      </c>
      <c r="L32" s="522" t="str">
        <f>IFERROR((SUMPRODUCT(L12:L31,I12:I31)/I32),"NA")</f>
        <v>NA</v>
      </c>
      <c r="M32" s="522" t="str">
        <f>IFERROR((SUMPRODUCT(M12:M31,I12:I31)/I32),"NA")</f>
        <v>NA</v>
      </c>
      <c r="N32" s="523" t="str">
        <f>IFERROR((SUMPRODUCT(N12:N31,I12:I31)/I32),"NA")</f>
        <v>NA</v>
      </c>
      <c r="O32" s="544" t="s">
        <v>500</v>
      </c>
      <c r="P32" s="435" t="s">
        <v>500</v>
      </c>
      <c r="Q32" s="433" t="s">
        <v>500</v>
      </c>
      <c r="R32" s="433" t="s">
        <v>500</v>
      </c>
      <c r="S32" s="433" t="s">
        <v>500</v>
      </c>
      <c r="T32" s="433" t="s">
        <v>500</v>
      </c>
      <c r="U32" s="433" t="s">
        <v>500</v>
      </c>
    </row>
    <row r="33" spans="1:21" x14ac:dyDescent="0.25">
      <c r="A33" s="720" t="s">
        <v>563</v>
      </c>
      <c r="B33" s="709"/>
      <c r="C33" s="547" t="s">
        <v>500</v>
      </c>
      <c r="D33" s="522" t="str">
        <f>IF($C$32=0,"NA",(SUMPRODUCT(D63,$C$62)+SUMPRODUCT(D93,$C$92)+SUMPRODUCT(D123,$C$122))/$C$32)</f>
        <v>NA</v>
      </c>
      <c r="E33" s="522" t="str">
        <f>IF($C$32=0,"NA",(SUMPRODUCT(E63,$C$62)+SUMPRODUCT(E93,$C$92)+SUMPRODUCT(E123,$C$122))/$C$32)</f>
        <v>NA</v>
      </c>
      <c r="F33" s="522" t="str">
        <f>IF($C$32=0,"NA",(SUMPRODUCT(F63,$C$62)+SUMPRODUCT(F93,$C$92)+SUMPRODUCT(F123,$C$122))/$C$32)</f>
        <v>NA</v>
      </c>
      <c r="G33" s="522" t="str">
        <f>IF($C$32=0,"NA",(SUMPRODUCT(G63,$C$62)+SUMPRODUCT(G93,$C$92)+SUMPRODUCT(G123,$C$122))/$C$32)</f>
        <v>NA</v>
      </c>
      <c r="H33" s="523" t="str">
        <f>IF($C$32=0,"NA",(SUMPRODUCT(H63,$C$62)+SUMPRODUCT(H93,$C$92)+SUMPRODUCT(H123,$C$122))/$C$32)</f>
        <v>NA</v>
      </c>
      <c r="I33" s="555" t="s">
        <v>500</v>
      </c>
      <c r="J33" s="522" t="str">
        <f>IF($I$32=0,"NA",(SUMPRODUCT(J63,$I$62)+SUMPRODUCT(J93,$I$92)+SUMPRODUCT(J123,$I$122))/$I$32)</f>
        <v>NA</v>
      </c>
      <c r="K33" s="522" t="str">
        <f>IF($I$32=0,"NA",(SUMPRODUCT(K63,$I$62)+SUMPRODUCT(K93,$I$92)+SUMPRODUCT(K123,$I$122))/$I$32)</f>
        <v>NA</v>
      </c>
      <c r="L33" s="522" t="str">
        <f>IF($I$32=0,"NA",(SUMPRODUCT(L63,$I$62)+SUMPRODUCT(L93,$I$92)+SUMPRODUCT(L123,$I$122))/$I$32)</f>
        <v>NA</v>
      </c>
      <c r="M33" s="522" t="str">
        <f>IF($I$32=0,"NA",(SUMPRODUCT(M63,$I$62)+SUMPRODUCT(M93,$I$92)+SUMPRODUCT(M123,$I$122))/$I$32)</f>
        <v>NA</v>
      </c>
      <c r="N33" s="523" t="str">
        <f>IF($I$32=0,"NA",(SUMPRODUCT(N63,$I$62)+SUMPRODUCT(N93,$I$92)+SUMPRODUCT(N123,$I$122))/$I$32)</f>
        <v>NA</v>
      </c>
      <c r="O33" s="544" t="s">
        <v>500</v>
      </c>
      <c r="P33" s="435" t="s">
        <v>500</v>
      </c>
      <c r="Q33" s="433" t="s">
        <v>500</v>
      </c>
      <c r="R33" s="433" t="s">
        <v>500</v>
      </c>
      <c r="S33" s="433" t="s">
        <v>500</v>
      </c>
      <c r="T33" s="433" t="s">
        <v>500</v>
      </c>
      <c r="U33" s="433" t="s">
        <v>500</v>
      </c>
    </row>
    <row r="34" spans="1:21" x14ac:dyDescent="0.25">
      <c r="A34" s="721" t="s">
        <v>564</v>
      </c>
      <c r="B34" s="717"/>
      <c r="C34" s="524">
        <f>ABS(C32-C11)</f>
        <v>0</v>
      </c>
      <c r="D34" s="525" t="e">
        <f>ABS(D32-D11)</f>
        <v>#VALUE!</v>
      </c>
      <c r="E34" s="526" t="e">
        <f>ABS(E32-E11)</f>
        <v>#VALUE!</v>
      </c>
      <c r="F34" s="526" t="e">
        <f>ABS(F32-F11)</f>
        <v>#VALUE!</v>
      </c>
      <c r="G34" s="227" t="s">
        <v>500</v>
      </c>
      <c r="H34" s="233" t="s">
        <v>500</v>
      </c>
      <c r="I34" s="527">
        <f>ABS(I32-I11)</f>
        <v>0</v>
      </c>
      <c r="J34" s="526" t="e">
        <f>ABS(J32-J11)</f>
        <v>#VALUE!</v>
      </c>
      <c r="K34" s="526" t="e">
        <f>ABS(K32-K11)</f>
        <v>#VALUE!</v>
      </c>
      <c r="L34" s="526" t="e">
        <f>ABS(L32-L11)</f>
        <v>#VALUE!</v>
      </c>
      <c r="M34" s="181" t="s">
        <v>500</v>
      </c>
      <c r="N34" s="233" t="s">
        <v>500</v>
      </c>
      <c r="O34" s="545" t="s">
        <v>500</v>
      </c>
      <c r="P34" s="546" t="s">
        <v>500</v>
      </c>
      <c r="Q34" s="548" t="s">
        <v>500</v>
      </c>
      <c r="R34" s="548" t="s">
        <v>500</v>
      </c>
      <c r="S34" s="548" t="s">
        <v>500</v>
      </c>
      <c r="T34" s="548" t="s">
        <v>500</v>
      </c>
      <c r="U34" s="548" t="s">
        <v>500</v>
      </c>
    </row>
    <row r="35" spans="1:21" ht="30" customHeight="1" x14ac:dyDescent="0.25">
      <c r="A35" s="722" t="s">
        <v>565</v>
      </c>
      <c r="B35" s="715"/>
      <c r="C35" s="259" t="str">
        <f>IF(((ABS(C11-C32))&lt;10),"Yes","No")</f>
        <v>Yes</v>
      </c>
      <c r="D35" s="181" t="e">
        <f>IF(((ABS(D11-D32))&lt;10),"Yes","No")</f>
        <v>#VALUE!</v>
      </c>
      <c r="E35" s="181" t="e">
        <f>IF(((ABS(E11-E32))&lt;10),"Yes","No")</f>
        <v>#VALUE!</v>
      </c>
      <c r="F35" s="181" t="e">
        <f>IF(((ABS(F11-F32))&lt;10),"Yes","No")</f>
        <v>#VALUE!</v>
      </c>
      <c r="G35" s="181" t="s">
        <v>500</v>
      </c>
      <c r="H35" s="233" t="s">
        <v>500</v>
      </c>
      <c r="I35" s="259" t="str">
        <f>IF(((ABS(I11-I32))&lt;10),"Yes","No")</f>
        <v>Yes</v>
      </c>
      <c r="J35" s="181" t="e">
        <f>IF(((ABS(J11-J32))&lt;10),"Yes","No")</f>
        <v>#VALUE!</v>
      </c>
      <c r="K35" s="181" t="e">
        <f>IF(((ABS(K11-K32))&lt;10),"Yes","No")</f>
        <v>#VALUE!</v>
      </c>
      <c r="L35" s="181" t="e">
        <f>IF(((ABS(L11-L32))&lt;10),"Yes","No")</f>
        <v>#VALUE!</v>
      </c>
      <c r="M35" s="181" t="s">
        <v>500</v>
      </c>
      <c r="N35" s="233" t="s">
        <v>500</v>
      </c>
      <c r="O35" s="545" t="s">
        <v>500</v>
      </c>
      <c r="P35" s="546" t="s">
        <v>500</v>
      </c>
      <c r="Q35" s="548" t="s">
        <v>500</v>
      </c>
      <c r="R35" s="548" t="s">
        <v>500</v>
      </c>
      <c r="S35" s="548" t="s">
        <v>500</v>
      </c>
      <c r="T35" s="548" t="s">
        <v>500</v>
      </c>
      <c r="U35" s="548" t="s">
        <v>500</v>
      </c>
    </row>
    <row r="36" spans="1:21" x14ac:dyDescent="0.25">
      <c r="A36"/>
      <c r="B36"/>
      <c r="C36"/>
      <c r="D36" s="150"/>
      <c r="E36"/>
      <c r="F36"/>
      <c r="G36"/>
      <c r="H36"/>
      <c r="I36"/>
      <c r="J36"/>
      <c r="K36"/>
      <c r="L36"/>
      <c r="M36"/>
      <c r="N36"/>
      <c r="O36"/>
      <c r="P36"/>
      <c r="Q36"/>
      <c r="R36"/>
      <c r="S36"/>
      <c r="T36"/>
      <c r="U36"/>
    </row>
    <row r="37" spans="1:21" x14ac:dyDescent="0.25">
      <c r="A37"/>
      <c r="B37"/>
      <c r="C37"/>
      <c r="D37"/>
      <c r="E37"/>
      <c r="F37"/>
      <c r="G37"/>
      <c r="H37"/>
      <c r="I37"/>
      <c r="J37"/>
      <c r="K37"/>
      <c r="L37"/>
      <c r="M37"/>
      <c r="N37"/>
      <c r="O37"/>
      <c r="P37"/>
      <c r="Q37"/>
      <c r="R37"/>
      <c r="S37"/>
      <c r="T37"/>
      <c r="U37"/>
    </row>
    <row r="38" spans="1:21" x14ac:dyDescent="0.25">
      <c r="A38" s="3" t="s">
        <v>566</v>
      </c>
      <c r="B38"/>
      <c r="C38"/>
      <c r="D38"/>
      <c r="E38"/>
      <c r="F38"/>
      <c r="G38"/>
      <c r="H38"/>
      <c r="I38"/>
      <c r="J38"/>
      <c r="K38"/>
      <c r="L38"/>
      <c r="M38"/>
      <c r="N38"/>
      <c r="O38"/>
      <c r="P38"/>
      <c r="Q38"/>
      <c r="R38"/>
      <c r="S38"/>
      <c r="T38"/>
      <c r="U38"/>
    </row>
    <row r="39" spans="1:21" ht="15" customHeight="1" x14ac:dyDescent="0.25">
      <c r="A39" s="657" t="s">
        <v>71</v>
      </c>
      <c r="B39" s="706" t="s">
        <v>547</v>
      </c>
      <c r="C39" s="697">
        <v>2022</v>
      </c>
      <c r="D39" s="698"/>
      <c r="E39" s="698"/>
      <c r="F39" s="698"/>
      <c r="G39" s="698"/>
      <c r="H39" s="699"/>
      <c r="I39" s="700">
        <v>2023</v>
      </c>
      <c r="J39" s="701"/>
      <c r="K39" s="701"/>
      <c r="L39" s="701"/>
      <c r="M39" s="701"/>
      <c r="N39" s="702"/>
      <c r="O39" s="703" t="s">
        <v>618</v>
      </c>
      <c r="P39" s="704"/>
      <c r="Q39" s="704"/>
      <c r="R39" s="704"/>
      <c r="S39" s="704"/>
      <c r="T39" s="704"/>
      <c r="U39" s="705"/>
    </row>
    <row r="40" spans="1:21" ht="45" x14ac:dyDescent="0.25">
      <c r="A40" s="657"/>
      <c r="B40" s="706"/>
      <c r="C40" s="90" t="s">
        <v>549</v>
      </c>
      <c r="D40" s="91" t="s">
        <v>550</v>
      </c>
      <c r="E40" s="91" t="s">
        <v>551</v>
      </c>
      <c r="F40" s="91" t="s">
        <v>552</v>
      </c>
      <c r="G40" s="91" t="s">
        <v>553</v>
      </c>
      <c r="H40" s="92" t="s">
        <v>554</v>
      </c>
      <c r="I40" s="87" t="s">
        <v>549</v>
      </c>
      <c r="J40" s="88" t="s">
        <v>550</v>
      </c>
      <c r="K40" s="88" t="s">
        <v>551</v>
      </c>
      <c r="L40" s="88" t="s">
        <v>552</v>
      </c>
      <c r="M40" s="88" t="s">
        <v>553</v>
      </c>
      <c r="N40" s="89" t="s">
        <v>554</v>
      </c>
      <c r="O40" s="513" t="s">
        <v>555</v>
      </c>
      <c r="P40" s="242" t="s">
        <v>556</v>
      </c>
      <c r="Q40" s="77" t="s">
        <v>557</v>
      </c>
      <c r="R40" s="77" t="s">
        <v>558</v>
      </c>
      <c r="S40" s="77" t="s">
        <v>559</v>
      </c>
      <c r="T40" s="77" t="s">
        <v>560</v>
      </c>
      <c r="U40" s="217" t="s">
        <v>561</v>
      </c>
    </row>
    <row r="41" spans="1:21" x14ac:dyDescent="0.25">
      <c r="A41" s="219">
        <v>100</v>
      </c>
      <c r="B41" s="495" t="s">
        <v>72</v>
      </c>
      <c r="C41" s="95">
        <f>SUMIFS(TM[[#All],[Member Months]],TM[[#All],[Reporting Year]],2022,TM[[#All],[Insurance Category Code]],3,TM[[#All],[Large Provider Entity Code]],A41)</f>
        <v>0</v>
      </c>
      <c r="D41" s="7" t="str">
        <f>IFERROR(SUMIFS(TM[[#All],[Total Non-Truncated Claims Spending]],TM[[#All],[Reporting Year]],2022,TM[[#All],[Insurance Category Code]],3,TM[[#All],[Large Provider Entity Code]],A41)/C41,"NA")</f>
        <v>NA</v>
      </c>
      <c r="E41" s="7" t="str">
        <f>IFERROR(SUMIFS(TM[[#All],[Total Non-Claims Spending]],TM[[#All],[Reporting Year]],2022,TM[[#All],[Insurance Category Code]],3,TM[[#All],[Large Provider Entity Code]],A41)/C41,"NA")</f>
        <v>NA</v>
      </c>
      <c r="F41" s="7" t="str">
        <f>IFERROR(SUMIFS(TM[[#All],[Total Non-Truncated Claims and Non-Claims Spending]],TM[[#All],[Reporting Year]],2022,TM[[#All],[Insurance Category Code]],3,TM[[#All],[Large Provider Entity Code]],A41)/C41,"NA")</f>
        <v>NA</v>
      </c>
      <c r="G41" s="7" t="str">
        <f>IFERROR(SUMIFS(TM[[#All],[Total Truncated Claims Spending]],TM[[#All],[Reporting Year]],2022,TM[[#All],[Insurance Category Code]],3,TM[[#All],[Large Provider Entity Code]],A41)/C41,"NA")</f>
        <v>NA</v>
      </c>
      <c r="H41" s="96" t="str">
        <f>IFERROR(SUMIFS(TM[[#All],[Total Truncated Expenses]],TM[[#All],[Reporting Year]],2022,TM[[#All],[Insurance Category Code]],3,TM[[#All],[Large Provider Entity Code]],A41)/C41,"NA")</f>
        <v>NA</v>
      </c>
      <c r="I41" s="95">
        <f>SUMIFS(TM[[#All],[Member Months]],TM[[#All],[Reporting Year]],2023,TM[[#All],[Insurance Category Code]],3,TM[[#All],[Large Provider Entity Code]],A41)</f>
        <v>0</v>
      </c>
      <c r="J41" s="7" t="str">
        <f>IFERROR(SUMIFS(TM[[#All],[Total Non-Truncated Claims Spending]],TM[[#All],[Reporting Year]],2023,TM[[#All],[Insurance Category Code]],3,TM[[#All],[Large Provider Entity Code]],A41)/I41,"NA")</f>
        <v>NA</v>
      </c>
      <c r="K41" s="7" t="str">
        <f>IFERROR(SUMIFS(TM[[#All],[Total Non-Claims Spending]],TM[[#All],[Reporting Year]],2023,TM[[#All],[Insurance Category Code]],3,TM[[#All],[Large Provider Entity Code]],A41)/I41,"NA")</f>
        <v>NA</v>
      </c>
      <c r="L41" s="7" t="str">
        <f>IFERROR(SUMIFS(TM[[#All],[Total Non-Truncated Claims and Non-Claims Spending]],TM[[#All],[Reporting Year]],2023,TM[[#All],[Insurance Category Code]],3,TM[[#All],[Large Provider Entity Code]],A41)/I41,"NA")</f>
        <v>NA</v>
      </c>
      <c r="M41" s="7" t="str">
        <f>IFERROR(SUMIFS(TM[[#All],[Total Truncated Claims Spending]],TM[[#All],[Reporting Year]],2023,TM[[#All],[Insurance Category Code]],3,TM[[#All],[Large Provider Entity Code]],A41)/I41,"NA")</f>
        <v>NA</v>
      </c>
      <c r="N41" s="96" t="str">
        <f>IFERROR(SUMIFS(TM[[#All],[Total Truncated Expenses]],TM[[#All],[Reporting Year]],2023,TM[[#All],[Insurance Category Code]],3,TM[[#All],[Large Provider Entity Code]],A41)/I41,"NA")</f>
        <v>NA</v>
      </c>
      <c r="O41" s="518">
        <f>ABS(C41-I41)</f>
        <v>0</v>
      </c>
      <c r="P41" s="243" t="str">
        <f t="shared" ref="P41:U61" si="14">IFERROR((I41/C41-1),"NA")</f>
        <v>NA</v>
      </c>
      <c r="Q41" s="97" t="str">
        <f t="shared" si="14"/>
        <v>NA</v>
      </c>
      <c r="R41" s="97" t="str">
        <f t="shared" si="14"/>
        <v>NA</v>
      </c>
      <c r="S41" s="97" t="str">
        <f t="shared" si="14"/>
        <v>NA</v>
      </c>
      <c r="T41" s="97" t="str">
        <f t="shared" si="14"/>
        <v>NA</v>
      </c>
      <c r="U41" s="97" t="str">
        <f t="shared" si="14"/>
        <v>NA</v>
      </c>
    </row>
    <row r="42" spans="1:21" x14ac:dyDescent="0.25">
      <c r="A42" s="218">
        <v>101</v>
      </c>
      <c r="B42" s="495" t="s">
        <v>609</v>
      </c>
      <c r="C42" s="95">
        <f>SUMIFS(TM[[#All],[Member Months]],TM[[#All],[Reporting Year]],2022,TM[[#All],[Insurance Category Code]],3,TM[[#All],[Large Provider Entity Code]],A42)</f>
        <v>0</v>
      </c>
      <c r="D42" s="7" t="str">
        <f>IFERROR(SUMIFS(TM[[#All],[Total Non-Truncated Claims Spending]],TM[[#All],[Reporting Year]],2022,TM[[#All],[Insurance Category Code]],3,TM[[#All],[Large Provider Entity Code]],A42)/C42,"NA")</f>
        <v>NA</v>
      </c>
      <c r="E42" s="7" t="str">
        <f>IFERROR(SUMIFS(TM[[#All],[Total Non-Claims Spending]],TM[[#All],[Reporting Year]],2022,TM[[#All],[Insurance Category Code]],3,TM[[#All],[Large Provider Entity Code]],A42)/C42,"NA")</f>
        <v>NA</v>
      </c>
      <c r="F42" s="7" t="str">
        <f>IFERROR(SUMIFS(TM[[#All],[Total Non-Truncated Claims and Non-Claims Spending]],TM[[#All],[Reporting Year]],2022,TM[[#All],[Insurance Category Code]],3,TM[[#All],[Large Provider Entity Code]],A42)/C42,"NA")</f>
        <v>NA</v>
      </c>
      <c r="G42" s="7" t="str">
        <f>IFERROR(SUMIFS(TM[[#All],[Total Truncated Claims Spending]],TM[[#All],[Reporting Year]],2022,TM[[#All],[Insurance Category Code]],3,TM[[#All],[Large Provider Entity Code]],A42)/C42,"NA")</f>
        <v>NA</v>
      </c>
      <c r="H42" s="96" t="str">
        <f>IFERROR(SUMIFS(TM[[#All],[Total Truncated Expenses]],TM[[#All],[Reporting Year]],2022,TM[[#All],[Insurance Category Code]],3,TM[[#All],[Large Provider Entity Code]],A42)/C42,"NA")</f>
        <v>NA</v>
      </c>
      <c r="I42" s="95">
        <f>SUMIFS(TM[[#All],[Member Months]],TM[[#All],[Reporting Year]],2023,TM[[#All],[Insurance Category Code]],3,TM[[#All],[Large Provider Entity Code]],A42)</f>
        <v>0</v>
      </c>
      <c r="J42" s="7" t="str">
        <f>IFERROR(SUMIFS(TM[[#All],[Total Non-Truncated Claims Spending]],TM[[#All],[Reporting Year]],2023,TM[[#All],[Insurance Category Code]],3,TM[[#All],[Large Provider Entity Code]],A42)/I42,"NA")</f>
        <v>NA</v>
      </c>
      <c r="K42" s="7" t="str">
        <f>IFERROR(SUMIFS(TM[[#All],[Total Non-Claims Spending]],TM[[#All],[Reporting Year]],2023,TM[[#All],[Insurance Category Code]],3,TM[[#All],[Large Provider Entity Code]],A42)/I42,"NA")</f>
        <v>NA</v>
      </c>
      <c r="L42" s="7" t="str">
        <f>IFERROR(SUMIFS(TM[[#All],[Total Non-Truncated Claims and Non-Claims Spending]],TM[[#All],[Reporting Year]],2023,TM[[#All],[Insurance Category Code]],3,TM[[#All],[Large Provider Entity Code]],A42)/I42,"NA")</f>
        <v>NA</v>
      </c>
      <c r="M42" s="7" t="str">
        <f>IFERROR(SUMIFS(TM[[#All],[Total Truncated Claims Spending]],TM[[#All],[Reporting Year]],2023,TM[[#All],[Insurance Category Code]],3,TM[[#All],[Large Provider Entity Code]],A42)/I42,"NA")</f>
        <v>NA</v>
      </c>
      <c r="N42" s="96" t="str">
        <f>IFERROR(SUMIFS(TM[[#All],[Total Truncated Expenses]],TM[[#All],[Reporting Year]],2023,TM[[#All],[Insurance Category Code]],3,TM[[#All],[Large Provider Entity Code]],A42)/I42,"NA")</f>
        <v>NA</v>
      </c>
      <c r="O42" s="518">
        <f t="shared" ref="O42:O61" si="15">ABS(C42-I42)</f>
        <v>0</v>
      </c>
      <c r="P42" s="243" t="str">
        <f t="shared" si="14"/>
        <v>NA</v>
      </c>
      <c r="Q42" s="97" t="str">
        <f t="shared" si="14"/>
        <v>NA</v>
      </c>
      <c r="R42" s="97" t="str">
        <f t="shared" si="14"/>
        <v>NA</v>
      </c>
      <c r="S42" s="97" t="str">
        <f t="shared" si="14"/>
        <v>NA</v>
      </c>
      <c r="T42" s="97" t="str">
        <f t="shared" si="14"/>
        <v>NA</v>
      </c>
      <c r="U42" s="97" t="str">
        <f t="shared" si="14"/>
        <v>NA</v>
      </c>
    </row>
    <row r="43" spans="1:21" x14ac:dyDescent="0.25">
      <c r="A43" s="218">
        <v>102</v>
      </c>
      <c r="B43" s="566" t="s">
        <v>610</v>
      </c>
      <c r="C43" s="95">
        <f>SUMIFS(TM[[#All],[Member Months]],TM[[#All],[Reporting Year]],2022,TM[[#All],[Insurance Category Code]],3,TM[[#All],[Large Provider Entity Code]],A43)</f>
        <v>0</v>
      </c>
      <c r="D43" s="7" t="str">
        <f>IFERROR(SUMIFS(TM[[#All],[Total Non-Truncated Claims Spending]],TM[[#All],[Reporting Year]],2022,TM[[#All],[Insurance Category Code]],3,TM[[#All],[Large Provider Entity Code]],A43)/C43,"NA")</f>
        <v>NA</v>
      </c>
      <c r="E43" s="7" t="str">
        <f>IFERROR(SUMIFS(TM[[#All],[Total Non-Claims Spending]],TM[[#All],[Reporting Year]],2022,TM[[#All],[Insurance Category Code]],3,TM[[#All],[Large Provider Entity Code]],A43)/C43,"NA")</f>
        <v>NA</v>
      </c>
      <c r="F43" s="7" t="str">
        <f>IFERROR(SUMIFS(TM[[#All],[Total Non-Truncated Claims and Non-Claims Spending]],TM[[#All],[Reporting Year]],2022,TM[[#All],[Insurance Category Code]],3,TM[[#All],[Large Provider Entity Code]],A43)/C43,"NA")</f>
        <v>NA</v>
      </c>
      <c r="G43" s="7" t="str">
        <f>IFERROR(SUMIFS(TM[[#All],[Total Truncated Claims Spending]],TM[[#All],[Reporting Year]],2022,TM[[#All],[Insurance Category Code]],3,TM[[#All],[Large Provider Entity Code]],A43)/C43,"NA")</f>
        <v>NA</v>
      </c>
      <c r="H43" s="96" t="str">
        <f>IFERROR(SUMIFS(TM[[#All],[Total Truncated Expenses]],TM[[#All],[Reporting Year]],2022,TM[[#All],[Insurance Category Code]],3,TM[[#All],[Large Provider Entity Code]],A43)/C43,"NA")</f>
        <v>NA</v>
      </c>
      <c r="I43" s="95">
        <f>SUMIFS(TM[[#All],[Member Months]],TM[[#All],[Reporting Year]],2023,TM[[#All],[Insurance Category Code]],3,TM[[#All],[Large Provider Entity Code]],A43)</f>
        <v>0</v>
      </c>
      <c r="J43" s="7" t="str">
        <f>IFERROR(SUMIFS(TM[[#All],[Total Non-Truncated Claims Spending]],TM[[#All],[Reporting Year]],2023,TM[[#All],[Insurance Category Code]],3,TM[[#All],[Large Provider Entity Code]],A43)/I43,"NA")</f>
        <v>NA</v>
      </c>
      <c r="K43" s="7" t="str">
        <f>IFERROR(SUMIFS(TM[[#All],[Total Non-Claims Spending]],TM[[#All],[Reporting Year]],2023,TM[[#All],[Insurance Category Code]],3,TM[[#All],[Large Provider Entity Code]],A43)/I43,"NA")</f>
        <v>NA</v>
      </c>
      <c r="L43" s="7" t="str">
        <f>IFERROR(SUMIFS(TM[[#All],[Total Non-Truncated Claims and Non-Claims Spending]],TM[[#All],[Reporting Year]],2023,TM[[#All],[Insurance Category Code]],3,TM[[#All],[Large Provider Entity Code]],A43)/I43,"NA")</f>
        <v>NA</v>
      </c>
      <c r="M43" s="7" t="str">
        <f>IFERROR(SUMIFS(TM[[#All],[Total Truncated Claims Spending]],TM[[#All],[Reporting Year]],2023,TM[[#All],[Insurance Category Code]],3,TM[[#All],[Large Provider Entity Code]],A43)/I43,"NA")</f>
        <v>NA</v>
      </c>
      <c r="N43" s="96" t="str">
        <f>IFERROR(SUMIFS(TM[[#All],[Total Truncated Expenses]],TM[[#All],[Reporting Year]],2023,TM[[#All],[Insurance Category Code]],3,TM[[#All],[Large Provider Entity Code]],A43)/I43,"NA")</f>
        <v>NA</v>
      </c>
      <c r="O43" s="518">
        <f t="shared" si="15"/>
        <v>0</v>
      </c>
      <c r="P43" s="243" t="str">
        <f t="shared" si="14"/>
        <v>NA</v>
      </c>
      <c r="Q43" s="97" t="str">
        <f t="shared" si="14"/>
        <v>NA</v>
      </c>
      <c r="R43" s="97" t="str">
        <f t="shared" si="14"/>
        <v>NA</v>
      </c>
      <c r="S43" s="97" t="str">
        <f t="shared" si="14"/>
        <v>NA</v>
      </c>
      <c r="T43" s="97" t="str">
        <f t="shared" si="14"/>
        <v>NA</v>
      </c>
      <c r="U43" s="97" t="str">
        <f t="shared" si="14"/>
        <v>NA</v>
      </c>
    </row>
    <row r="44" spans="1:21" ht="30" x14ac:dyDescent="0.25">
      <c r="A44" s="218">
        <v>103</v>
      </c>
      <c r="B44" s="495" t="s">
        <v>73</v>
      </c>
      <c r="C44" s="95">
        <f>SUMIFS(TM[[#All],[Member Months]],TM[[#All],[Reporting Year]],2022,TM[[#All],[Insurance Category Code]],3,TM[[#All],[Large Provider Entity Code]],A44)</f>
        <v>0</v>
      </c>
      <c r="D44" s="7" t="str">
        <f>IFERROR(SUMIFS(TM[[#All],[Total Non-Truncated Claims Spending]],TM[[#All],[Reporting Year]],2022,TM[[#All],[Insurance Category Code]],3,TM[[#All],[Large Provider Entity Code]],A44)/C44,"NA")</f>
        <v>NA</v>
      </c>
      <c r="E44" s="7" t="str">
        <f>IFERROR(SUMIFS(TM[[#All],[Total Non-Claims Spending]],TM[[#All],[Reporting Year]],2022,TM[[#All],[Insurance Category Code]],3,TM[[#All],[Large Provider Entity Code]],A44)/C44,"NA")</f>
        <v>NA</v>
      </c>
      <c r="F44" s="7" t="str">
        <f>IFERROR(SUMIFS(TM[[#All],[Total Non-Truncated Claims and Non-Claims Spending]],TM[[#All],[Reporting Year]],2022,TM[[#All],[Insurance Category Code]],3,TM[[#All],[Large Provider Entity Code]],A44)/C44,"NA")</f>
        <v>NA</v>
      </c>
      <c r="G44" s="7" t="str">
        <f>IFERROR(SUMIFS(TM[[#All],[Total Truncated Claims Spending]],TM[[#All],[Reporting Year]],2022,TM[[#All],[Insurance Category Code]],3,TM[[#All],[Large Provider Entity Code]],A44)/C44,"NA")</f>
        <v>NA</v>
      </c>
      <c r="H44" s="96" t="str">
        <f>IFERROR(SUMIFS(TM[[#All],[Total Truncated Expenses]],TM[[#All],[Reporting Year]],2022,TM[[#All],[Insurance Category Code]],3,TM[[#All],[Large Provider Entity Code]],A44)/C44,"NA")</f>
        <v>NA</v>
      </c>
      <c r="I44" s="95">
        <f>SUMIFS(TM[[#All],[Member Months]],TM[[#All],[Reporting Year]],2023,TM[[#All],[Insurance Category Code]],3,TM[[#All],[Large Provider Entity Code]],A44)</f>
        <v>0</v>
      </c>
      <c r="J44" s="7" t="str">
        <f>IFERROR(SUMIFS(TM[[#All],[Total Non-Truncated Claims Spending]],TM[[#All],[Reporting Year]],2023,TM[[#All],[Insurance Category Code]],3,TM[[#All],[Large Provider Entity Code]],A44)/I44,"NA")</f>
        <v>NA</v>
      </c>
      <c r="K44" s="7" t="str">
        <f>IFERROR(SUMIFS(TM[[#All],[Total Non-Claims Spending]],TM[[#All],[Reporting Year]],2023,TM[[#All],[Insurance Category Code]],3,TM[[#All],[Large Provider Entity Code]],A44)/I44,"NA")</f>
        <v>NA</v>
      </c>
      <c r="L44" s="7" t="str">
        <f>IFERROR(SUMIFS(TM[[#All],[Total Non-Truncated Claims and Non-Claims Spending]],TM[[#All],[Reporting Year]],2023,TM[[#All],[Insurance Category Code]],3,TM[[#All],[Large Provider Entity Code]],A44)/I44,"NA")</f>
        <v>NA</v>
      </c>
      <c r="M44" s="7" t="str">
        <f>IFERROR(SUMIFS(TM[[#All],[Total Truncated Claims Spending]],TM[[#All],[Reporting Year]],2023,TM[[#All],[Insurance Category Code]],3,TM[[#All],[Large Provider Entity Code]],A44)/I44,"NA")</f>
        <v>NA</v>
      </c>
      <c r="N44" s="96" t="str">
        <f>IFERROR(SUMIFS(TM[[#All],[Total Truncated Expenses]],TM[[#All],[Reporting Year]],2023,TM[[#All],[Insurance Category Code]],3,TM[[#All],[Large Provider Entity Code]],A44)/I44,"NA")</f>
        <v>NA</v>
      </c>
      <c r="O44" s="518">
        <f t="shared" si="15"/>
        <v>0</v>
      </c>
      <c r="P44" s="243" t="str">
        <f t="shared" si="14"/>
        <v>NA</v>
      </c>
      <c r="Q44" s="97" t="str">
        <f t="shared" si="14"/>
        <v>NA</v>
      </c>
      <c r="R44" s="97" t="str">
        <f t="shared" si="14"/>
        <v>NA</v>
      </c>
      <c r="S44" s="97" t="str">
        <f t="shared" si="14"/>
        <v>NA</v>
      </c>
      <c r="T44" s="97" t="str">
        <f t="shared" si="14"/>
        <v>NA</v>
      </c>
      <c r="U44" s="97" t="str">
        <f t="shared" si="14"/>
        <v>NA</v>
      </c>
    </row>
    <row r="45" spans="1:21" x14ac:dyDescent="0.25">
      <c r="A45" s="218">
        <v>104</v>
      </c>
      <c r="B45" s="495" t="s">
        <v>611</v>
      </c>
      <c r="C45" s="95">
        <f>SUMIFS(TM[[#All],[Member Months]],TM[[#All],[Reporting Year]],2022,TM[[#All],[Insurance Category Code]],3,TM[[#All],[Large Provider Entity Code]],A45)</f>
        <v>0</v>
      </c>
      <c r="D45" s="7" t="str">
        <f>IFERROR(SUMIFS(TM[[#All],[Total Non-Truncated Claims Spending]],TM[[#All],[Reporting Year]],2022,TM[[#All],[Insurance Category Code]],3,TM[[#All],[Large Provider Entity Code]],A45)/C45,"NA")</f>
        <v>NA</v>
      </c>
      <c r="E45" s="7" t="str">
        <f>IFERROR(SUMIFS(TM[[#All],[Total Non-Claims Spending]],TM[[#All],[Reporting Year]],2022,TM[[#All],[Insurance Category Code]],3,TM[[#All],[Large Provider Entity Code]],A45)/C45,"NA")</f>
        <v>NA</v>
      </c>
      <c r="F45" s="7" t="str">
        <f>IFERROR(SUMIFS(TM[[#All],[Total Non-Truncated Claims and Non-Claims Spending]],TM[[#All],[Reporting Year]],2022,TM[[#All],[Insurance Category Code]],3,TM[[#All],[Large Provider Entity Code]],A45)/C45,"NA")</f>
        <v>NA</v>
      </c>
      <c r="G45" s="7" t="str">
        <f>IFERROR(SUMIFS(TM[[#All],[Total Truncated Claims Spending]],TM[[#All],[Reporting Year]],2022,TM[[#All],[Insurance Category Code]],3,TM[[#All],[Large Provider Entity Code]],A45)/C45,"NA")</f>
        <v>NA</v>
      </c>
      <c r="H45" s="96" t="str">
        <f>IFERROR(SUMIFS(TM[[#All],[Total Truncated Expenses]],TM[[#All],[Reporting Year]],2022,TM[[#All],[Insurance Category Code]],3,TM[[#All],[Large Provider Entity Code]],A45)/C45,"NA")</f>
        <v>NA</v>
      </c>
      <c r="I45" s="95">
        <f>SUMIFS(TM[[#All],[Member Months]],TM[[#All],[Reporting Year]],2023,TM[[#All],[Insurance Category Code]],3,TM[[#All],[Large Provider Entity Code]],A45)</f>
        <v>0</v>
      </c>
      <c r="J45" s="7" t="str">
        <f>IFERROR(SUMIFS(TM[[#All],[Total Non-Truncated Claims Spending]],TM[[#All],[Reporting Year]],2023,TM[[#All],[Insurance Category Code]],3,TM[[#All],[Large Provider Entity Code]],A45)/I45,"NA")</f>
        <v>NA</v>
      </c>
      <c r="K45" s="7" t="str">
        <f>IFERROR(SUMIFS(TM[[#All],[Total Non-Claims Spending]],TM[[#All],[Reporting Year]],2023,TM[[#All],[Insurance Category Code]],3,TM[[#All],[Large Provider Entity Code]],A45)/I45,"NA")</f>
        <v>NA</v>
      </c>
      <c r="L45" s="7" t="str">
        <f>IFERROR(SUMIFS(TM[[#All],[Total Non-Truncated Claims and Non-Claims Spending]],TM[[#All],[Reporting Year]],2023,TM[[#All],[Insurance Category Code]],3,TM[[#All],[Large Provider Entity Code]],A45)/I45,"NA")</f>
        <v>NA</v>
      </c>
      <c r="M45" s="7" t="str">
        <f>IFERROR(SUMIFS(TM[[#All],[Total Truncated Claims Spending]],TM[[#All],[Reporting Year]],2023,TM[[#All],[Insurance Category Code]],3,TM[[#All],[Large Provider Entity Code]],A45)/I45,"NA")</f>
        <v>NA</v>
      </c>
      <c r="N45" s="96" t="str">
        <f>IFERROR(SUMIFS(TM[[#All],[Total Truncated Expenses]],TM[[#All],[Reporting Year]],2023,TM[[#All],[Insurance Category Code]],3,TM[[#All],[Large Provider Entity Code]],A45)/I45,"NA")</f>
        <v>NA</v>
      </c>
      <c r="O45" s="518">
        <f t="shared" si="15"/>
        <v>0</v>
      </c>
      <c r="P45" s="243" t="str">
        <f t="shared" si="14"/>
        <v>NA</v>
      </c>
      <c r="Q45" s="97" t="str">
        <f t="shared" si="14"/>
        <v>NA</v>
      </c>
      <c r="R45" s="97" t="str">
        <f t="shared" si="14"/>
        <v>NA</v>
      </c>
      <c r="S45" s="97" t="str">
        <f t="shared" si="14"/>
        <v>NA</v>
      </c>
      <c r="T45" s="97" t="str">
        <f t="shared" si="14"/>
        <v>NA</v>
      </c>
      <c r="U45" s="97" t="str">
        <f t="shared" si="14"/>
        <v>NA</v>
      </c>
    </row>
    <row r="46" spans="1:21" x14ac:dyDescent="0.25">
      <c r="A46" s="218">
        <v>105</v>
      </c>
      <c r="B46" s="566" t="s">
        <v>607</v>
      </c>
      <c r="C46" s="95">
        <f>SUMIFS(TM[[#All],[Member Months]],TM[[#All],[Reporting Year]],2022,TM[[#All],[Insurance Category Code]],3,TM[[#All],[Large Provider Entity Code]],A46)</f>
        <v>0</v>
      </c>
      <c r="D46" s="7" t="str">
        <f>IFERROR(SUMIFS(TM[[#All],[Total Non-Truncated Claims Spending]],TM[[#All],[Reporting Year]],2022,TM[[#All],[Insurance Category Code]],3,TM[[#All],[Large Provider Entity Code]],A46)/C46,"NA")</f>
        <v>NA</v>
      </c>
      <c r="E46" s="7" t="str">
        <f>IFERROR(SUMIFS(TM[[#All],[Total Non-Claims Spending]],TM[[#All],[Reporting Year]],2022,TM[[#All],[Insurance Category Code]],3,TM[[#All],[Large Provider Entity Code]],A46)/C46,"NA")</f>
        <v>NA</v>
      </c>
      <c r="F46" s="7" t="str">
        <f>IFERROR(SUMIFS(TM[[#All],[Total Non-Truncated Claims and Non-Claims Spending]],TM[[#All],[Reporting Year]],2022,TM[[#All],[Insurance Category Code]],3,TM[[#All],[Large Provider Entity Code]],A46)/C46,"NA")</f>
        <v>NA</v>
      </c>
      <c r="G46" s="7" t="str">
        <f>IFERROR(SUMIFS(TM[[#All],[Total Truncated Claims Spending]],TM[[#All],[Reporting Year]],2022,TM[[#All],[Insurance Category Code]],3,TM[[#All],[Large Provider Entity Code]],A46)/C46,"NA")</f>
        <v>NA</v>
      </c>
      <c r="H46" s="96" t="str">
        <f>IFERROR(SUMIFS(TM[[#All],[Total Truncated Expenses]],TM[[#All],[Reporting Year]],2022,TM[[#All],[Insurance Category Code]],3,TM[[#All],[Large Provider Entity Code]],A46)/C46,"NA")</f>
        <v>NA</v>
      </c>
      <c r="I46" s="95">
        <f>SUMIFS(TM[[#All],[Member Months]],TM[[#All],[Reporting Year]],2023,TM[[#All],[Insurance Category Code]],3,TM[[#All],[Large Provider Entity Code]],A46)</f>
        <v>0</v>
      </c>
      <c r="J46" s="7" t="str">
        <f>IFERROR(SUMIFS(TM[[#All],[Total Non-Truncated Claims Spending]],TM[[#All],[Reporting Year]],2023,TM[[#All],[Insurance Category Code]],3,TM[[#All],[Large Provider Entity Code]],A46)/I46,"NA")</f>
        <v>NA</v>
      </c>
      <c r="K46" s="7" t="str">
        <f>IFERROR(SUMIFS(TM[[#All],[Total Non-Claims Spending]],TM[[#All],[Reporting Year]],2023,TM[[#All],[Insurance Category Code]],3,TM[[#All],[Large Provider Entity Code]],A46)/I46,"NA")</f>
        <v>NA</v>
      </c>
      <c r="L46" s="7" t="str">
        <f>IFERROR(SUMIFS(TM[[#All],[Total Non-Truncated Claims and Non-Claims Spending]],TM[[#All],[Reporting Year]],2023,TM[[#All],[Insurance Category Code]],3,TM[[#All],[Large Provider Entity Code]],A46)/I46,"NA")</f>
        <v>NA</v>
      </c>
      <c r="M46" s="7" t="str">
        <f>IFERROR(SUMIFS(TM[[#All],[Total Truncated Claims Spending]],TM[[#All],[Reporting Year]],2023,TM[[#All],[Insurance Category Code]],3,TM[[#All],[Large Provider Entity Code]],A46)/I46,"NA")</f>
        <v>NA</v>
      </c>
      <c r="N46" s="96" t="str">
        <f>IFERROR(SUMIFS(TM[[#All],[Total Truncated Expenses]],TM[[#All],[Reporting Year]],2023,TM[[#All],[Insurance Category Code]],3,TM[[#All],[Large Provider Entity Code]],A46)/I46,"NA")</f>
        <v>NA</v>
      </c>
      <c r="O46" s="518">
        <f t="shared" si="15"/>
        <v>0</v>
      </c>
      <c r="P46" s="243" t="str">
        <f t="shared" si="14"/>
        <v>NA</v>
      </c>
      <c r="Q46" s="97" t="str">
        <f t="shared" si="14"/>
        <v>NA</v>
      </c>
      <c r="R46" s="97" t="str">
        <f t="shared" si="14"/>
        <v>NA</v>
      </c>
      <c r="S46" s="97" t="str">
        <f t="shared" si="14"/>
        <v>NA</v>
      </c>
      <c r="T46" s="97" t="str">
        <f t="shared" si="14"/>
        <v>NA</v>
      </c>
      <c r="U46" s="97" t="str">
        <f t="shared" si="14"/>
        <v>NA</v>
      </c>
    </row>
    <row r="47" spans="1:21" x14ac:dyDescent="0.25">
      <c r="A47" s="218">
        <v>106</v>
      </c>
      <c r="B47" s="495" t="s">
        <v>74</v>
      </c>
      <c r="C47" s="95">
        <f>SUMIFS(TM[[#All],[Member Months]],TM[[#All],[Reporting Year]],2022,TM[[#All],[Insurance Category Code]],3,TM[[#All],[Large Provider Entity Code]],A47)</f>
        <v>0</v>
      </c>
      <c r="D47" s="7" t="str">
        <f>IFERROR(SUMIFS(TM[[#All],[Total Non-Truncated Claims Spending]],TM[[#All],[Reporting Year]],2022,TM[[#All],[Insurance Category Code]],3,TM[[#All],[Large Provider Entity Code]],A47)/C47,"NA")</f>
        <v>NA</v>
      </c>
      <c r="E47" s="7" t="str">
        <f>IFERROR(SUMIFS(TM[[#All],[Total Non-Claims Spending]],TM[[#All],[Reporting Year]],2022,TM[[#All],[Insurance Category Code]],3,TM[[#All],[Large Provider Entity Code]],A47)/C47,"NA")</f>
        <v>NA</v>
      </c>
      <c r="F47" s="7" t="str">
        <f>IFERROR(SUMIFS(TM[[#All],[Total Non-Truncated Claims and Non-Claims Spending]],TM[[#All],[Reporting Year]],2022,TM[[#All],[Insurance Category Code]],3,TM[[#All],[Large Provider Entity Code]],A47)/C47,"NA")</f>
        <v>NA</v>
      </c>
      <c r="G47" s="7" t="str">
        <f>IFERROR(SUMIFS(TM[[#All],[Total Truncated Claims Spending]],TM[[#All],[Reporting Year]],2022,TM[[#All],[Insurance Category Code]],3,TM[[#All],[Large Provider Entity Code]],A47)/C47,"NA")</f>
        <v>NA</v>
      </c>
      <c r="H47" s="96" t="str">
        <f>IFERROR(SUMIFS(TM[[#All],[Total Truncated Expenses]],TM[[#All],[Reporting Year]],2022,TM[[#All],[Insurance Category Code]],3,TM[[#All],[Large Provider Entity Code]],A47)/C47,"NA")</f>
        <v>NA</v>
      </c>
      <c r="I47" s="95">
        <f>SUMIFS(TM[[#All],[Member Months]],TM[[#All],[Reporting Year]],2023,TM[[#All],[Insurance Category Code]],3,TM[[#All],[Large Provider Entity Code]],A47)</f>
        <v>0</v>
      </c>
      <c r="J47" s="7" t="str">
        <f>IFERROR(SUMIFS(TM[[#All],[Total Non-Truncated Claims Spending]],TM[[#All],[Reporting Year]],2023,TM[[#All],[Insurance Category Code]],3,TM[[#All],[Large Provider Entity Code]],A47)/I47,"NA")</f>
        <v>NA</v>
      </c>
      <c r="K47" s="7" t="str">
        <f>IFERROR(SUMIFS(TM[[#All],[Total Non-Claims Spending]],TM[[#All],[Reporting Year]],2023,TM[[#All],[Insurance Category Code]],3,TM[[#All],[Large Provider Entity Code]],A47)/I47,"NA")</f>
        <v>NA</v>
      </c>
      <c r="L47" s="7" t="str">
        <f>IFERROR(SUMIFS(TM[[#All],[Total Non-Truncated Claims and Non-Claims Spending]],TM[[#All],[Reporting Year]],2023,TM[[#All],[Insurance Category Code]],3,TM[[#All],[Large Provider Entity Code]],A47)/I47,"NA")</f>
        <v>NA</v>
      </c>
      <c r="M47" s="7" t="str">
        <f>IFERROR(SUMIFS(TM[[#All],[Total Truncated Claims Spending]],TM[[#All],[Reporting Year]],2023,TM[[#All],[Insurance Category Code]],3,TM[[#All],[Large Provider Entity Code]],A47)/I47,"NA")</f>
        <v>NA</v>
      </c>
      <c r="N47" s="96" t="str">
        <f>IFERROR(SUMIFS(TM[[#All],[Total Truncated Expenses]],TM[[#All],[Reporting Year]],2023,TM[[#All],[Insurance Category Code]],3,TM[[#All],[Large Provider Entity Code]],A47)/I47,"NA")</f>
        <v>NA</v>
      </c>
      <c r="O47" s="518">
        <f t="shared" si="15"/>
        <v>0</v>
      </c>
      <c r="P47" s="243" t="str">
        <f t="shared" si="14"/>
        <v>NA</v>
      </c>
      <c r="Q47" s="97" t="str">
        <f t="shared" si="14"/>
        <v>NA</v>
      </c>
      <c r="R47" s="97" t="str">
        <f t="shared" si="14"/>
        <v>NA</v>
      </c>
      <c r="S47" s="97" t="str">
        <f t="shared" si="14"/>
        <v>NA</v>
      </c>
      <c r="T47" s="97" t="str">
        <f t="shared" si="14"/>
        <v>NA</v>
      </c>
      <c r="U47" s="97" t="str">
        <f t="shared" si="14"/>
        <v>NA</v>
      </c>
    </row>
    <row r="48" spans="1:21" ht="30" x14ac:dyDescent="0.25">
      <c r="A48" s="218">
        <v>107</v>
      </c>
      <c r="B48" s="495" t="s">
        <v>75</v>
      </c>
      <c r="C48" s="95">
        <f>SUMIFS(TM[[#All],[Member Months]],TM[[#All],[Reporting Year]],2022,TM[[#All],[Insurance Category Code]],3,TM[[#All],[Large Provider Entity Code]],A48)</f>
        <v>0</v>
      </c>
      <c r="D48" s="7" t="str">
        <f>IFERROR(SUMIFS(TM[[#All],[Total Non-Truncated Claims Spending]],TM[[#All],[Reporting Year]],2022,TM[[#All],[Insurance Category Code]],3,TM[[#All],[Large Provider Entity Code]],A48)/C48,"NA")</f>
        <v>NA</v>
      </c>
      <c r="E48" s="7" t="str">
        <f>IFERROR(SUMIFS(TM[[#All],[Total Non-Claims Spending]],TM[[#All],[Reporting Year]],2022,TM[[#All],[Insurance Category Code]],3,TM[[#All],[Large Provider Entity Code]],A48)/C48,"NA")</f>
        <v>NA</v>
      </c>
      <c r="F48" s="7" t="str">
        <f>IFERROR(SUMIFS(TM[[#All],[Total Non-Truncated Claims and Non-Claims Spending]],TM[[#All],[Reporting Year]],2022,TM[[#All],[Insurance Category Code]],3,TM[[#All],[Large Provider Entity Code]],A48)/C48,"NA")</f>
        <v>NA</v>
      </c>
      <c r="G48" s="7" t="str">
        <f>IFERROR(SUMIFS(TM[[#All],[Total Truncated Claims Spending]],TM[[#All],[Reporting Year]],2022,TM[[#All],[Insurance Category Code]],3,TM[[#All],[Large Provider Entity Code]],A48)/C48,"NA")</f>
        <v>NA</v>
      </c>
      <c r="H48" s="96" t="str">
        <f>IFERROR(SUMIFS(TM[[#All],[Total Truncated Expenses]],TM[[#All],[Reporting Year]],2022,TM[[#All],[Insurance Category Code]],3,TM[[#All],[Large Provider Entity Code]],A48)/C48,"NA")</f>
        <v>NA</v>
      </c>
      <c r="I48" s="95">
        <f>SUMIFS(TM[[#All],[Member Months]],TM[[#All],[Reporting Year]],2023,TM[[#All],[Insurance Category Code]],3,TM[[#All],[Large Provider Entity Code]],A48)</f>
        <v>0</v>
      </c>
      <c r="J48" s="7" t="str">
        <f>IFERROR(SUMIFS(TM[[#All],[Total Non-Truncated Claims Spending]],TM[[#All],[Reporting Year]],2023,TM[[#All],[Insurance Category Code]],3,TM[[#All],[Large Provider Entity Code]],A48)/I48,"NA")</f>
        <v>NA</v>
      </c>
      <c r="K48" s="7" t="str">
        <f>IFERROR(SUMIFS(TM[[#All],[Total Non-Claims Spending]],TM[[#All],[Reporting Year]],2023,TM[[#All],[Insurance Category Code]],3,TM[[#All],[Large Provider Entity Code]],A48)/I48,"NA")</f>
        <v>NA</v>
      </c>
      <c r="L48" s="7" t="str">
        <f>IFERROR(SUMIFS(TM[[#All],[Total Non-Truncated Claims and Non-Claims Spending]],TM[[#All],[Reporting Year]],2023,TM[[#All],[Insurance Category Code]],3,TM[[#All],[Large Provider Entity Code]],A48)/I48,"NA")</f>
        <v>NA</v>
      </c>
      <c r="M48" s="7" t="str">
        <f>IFERROR(SUMIFS(TM[[#All],[Total Truncated Claims Spending]],TM[[#All],[Reporting Year]],2023,TM[[#All],[Insurance Category Code]],3,TM[[#All],[Large Provider Entity Code]],A48)/I48,"NA")</f>
        <v>NA</v>
      </c>
      <c r="N48" s="96" t="str">
        <f>IFERROR(SUMIFS(TM[[#All],[Total Truncated Expenses]],TM[[#All],[Reporting Year]],2023,TM[[#All],[Insurance Category Code]],3,TM[[#All],[Large Provider Entity Code]],A48)/I48,"NA")</f>
        <v>NA</v>
      </c>
      <c r="O48" s="518">
        <f t="shared" si="15"/>
        <v>0</v>
      </c>
      <c r="P48" s="243" t="str">
        <f t="shared" si="14"/>
        <v>NA</v>
      </c>
      <c r="Q48" s="97" t="str">
        <f t="shared" si="14"/>
        <v>NA</v>
      </c>
      <c r="R48" s="97" t="str">
        <f t="shared" si="14"/>
        <v>NA</v>
      </c>
      <c r="S48" s="97" t="str">
        <f t="shared" si="14"/>
        <v>NA</v>
      </c>
      <c r="T48" s="97" t="str">
        <f t="shared" si="14"/>
        <v>NA</v>
      </c>
      <c r="U48" s="97" t="str">
        <f t="shared" si="14"/>
        <v>NA</v>
      </c>
    </row>
    <row r="49" spans="1:21" x14ac:dyDescent="0.25">
      <c r="A49" s="218">
        <v>108</v>
      </c>
      <c r="B49" s="495" t="s">
        <v>612</v>
      </c>
      <c r="C49" s="95">
        <f>SUMIFS(TM[[#All],[Member Months]],TM[[#All],[Reporting Year]],2022,TM[[#All],[Insurance Category Code]],3,TM[[#All],[Large Provider Entity Code]],A49)</f>
        <v>0</v>
      </c>
      <c r="D49" s="7" t="str">
        <f>IFERROR(SUMIFS(TM[[#All],[Total Non-Truncated Claims Spending]],TM[[#All],[Reporting Year]],2022,TM[[#All],[Insurance Category Code]],3,TM[[#All],[Large Provider Entity Code]],A49)/C49,"NA")</f>
        <v>NA</v>
      </c>
      <c r="E49" s="7" t="str">
        <f>IFERROR(SUMIFS(TM[[#All],[Total Non-Claims Spending]],TM[[#All],[Reporting Year]],2022,TM[[#All],[Insurance Category Code]],3,TM[[#All],[Large Provider Entity Code]],A49)/C49,"NA")</f>
        <v>NA</v>
      </c>
      <c r="F49" s="7" t="str">
        <f>IFERROR(SUMIFS(TM[[#All],[Total Non-Truncated Claims and Non-Claims Spending]],TM[[#All],[Reporting Year]],2022,TM[[#All],[Insurance Category Code]],3,TM[[#All],[Large Provider Entity Code]],A49)/C49,"NA")</f>
        <v>NA</v>
      </c>
      <c r="G49" s="7" t="str">
        <f>IFERROR(SUMIFS(TM[[#All],[Total Truncated Claims Spending]],TM[[#All],[Reporting Year]],2022,TM[[#All],[Insurance Category Code]],3,TM[[#All],[Large Provider Entity Code]],A49)/C49,"NA")</f>
        <v>NA</v>
      </c>
      <c r="H49" s="96" t="str">
        <f>IFERROR(SUMIFS(TM[[#All],[Total Truncated Expenses]],TM[[#All],[Reporting Year]],2022,TM[[#All],[Insurance Category Code]],3,TM[[#All],[Large Provider Entity Code]],A49)/C49,"NA")</f>
        <v>NA</v>
      </c>
      <c r="I49" s="95">
        <f>SUMIFS(TM[[#All],[Member Months]],TM[[#All],[Reporting Year]],2023,TM[[#All],[Insurance Category Code]],3,TM[[#All],[Large Provider Entity Code]],A49)</f>
        <v>0</v>
      </c>
      <c r="J49" s="7" t="str">
        <f>IFERROR(SUMIFS(TM[[#All],[Total Non-Truncated Claims Spending]],TM[[#All],[Reporting Year]],2023,TM[[#All],[Insurance Category Code]],3,TM[[#All],[Large Provider Entity Code]],A49)/I49,"NA")</f>
        <v>NA</v>
      </c>
      <c r="K49" s="7" t="str">
        <f>IFERROR(SUMIFS(TM[[#All],[Total Non-Claims Spending]],TM[[#All],[Reporting Year]],2023,TM[[#All],[Insurance Category Code]],3,TM[[#All],[Large Provider Entity Code]],A49)/I49,"NA")</f>
        <v>NA</v>
      </c>
      <c r="L49" s="7" t="str">
        <f>IFERROR(SUMIFS(TM[[#All],[Total Non-Truncated Claims and Non-Claims Spending]],TM[[#All],[Reporting Year]],2023,TM[[#All],[Insurance Category Code]],3,TM[[#All],[Large Provider Entity Code]],A49)/I49,"NA")</f>
        <v>NA</v>
      </c>
      <c r="M49" s="7" t="str">
        <f>IFERROR(SUMIFS(TM[[#All],[Total Truncated Claims Spending]],TM[[#All],[Reporting Year]],2023,TM[[#All],[Insurance Category Code]],3,TM[[#All],[Large Provider Entity Code]],A49)/I49,"NA")</f>
        <v>NA</v>
      </c>
      <c r="N49" s="96" t="str">
        <f>IFERROR(SUMIFS(TM[[#All],[Total Truncated Expenses]],TM[[#All],[Reporting Year]],2023,TM[[#All],[Insurance Category Code]],3,TM[[#All],[Large Provider Entity Code]],A49)/I49,"NA")</f>
        <v>NA</v>
      </c>
      <c r="O49" s="518">
        <f t="shared" si="15"/>
        <v>0</v>
      </c>
      <c r="P49" s="243" t="str">
        <f t="shared" si="14"/>
        <v>NA</v>
      </c>
      <c r="Q49" s="97" t="str">
        <f t="shared" si="14"/>
        <v>NA</v>
      </c>
      <c r="R49" s="97" t="str">
        <f t="shared" si="14"/>
        <v>NA</v>
      </c>
      <c r="S49" s="97" t="str">
        <f t="shared" si="14"/>
        <v>NA</v>
      </c>
      <c r="T49" s="97" t="str">
        <f t="shared" si="14"/>
        <v>NA</v>
      </c>
      <c r="U49" s="97" t="str">
        <f t="shared" si="14"/>
        <v>NA</v>
      </c>
    </row>
    <row r="50" spans="1:21" x14ac:dyDescent="0.25">
      <c r="A50" s="218">
        <v>109</v>
      </c>
      <c r="B50" s="566" t="s">
        <v>76</v>
      </c>
      <c r="C50" s="95">
        <f>SUMIFS(TM[[#All],[Member Months]],TM[[#All],[Reporting Year]],2022,TM[[#All],[Insurance Category Code]],3,TM[[#All],[Large Provider Entity Code]],A50)</f>
        <v>0</v>
      </c>
      <c r="D50" s="7" t="str">
        <f>IFERROR(SUMIFS(TM[[#All],[Total Non-Truncated Claims Spending]],TM[[#All],[Reporting Year]],2022,TM[[#All],[Insurance Category Code]],3,TM[[#All],[Large Provider Entity Code]],A50)/C50,"NA")</f>
        <v>NA</v>
      </c>
      <c r="E50" s="7" t="str">
        <f>IFERROR(SUMIFS(TM[[#All],[Total Non-Claims Spending]],TM[[#All],[Reporting Year]],2022,TM[[#All],[Insurance Category Code]],3,TM[[#All],[Large Provider Entity Code]],A50)/C50,"NA")</f>
        <v>NA</v>
      </c>
      <c r="F50" s="7" t="str">
        <f>IFERROR(SUMIFS(TM[[#All],[Total Non-Truncated Claims and Non-Claims Spending]],TM[[#All],[Reporting Year]],2022,TM[[#All],[Insurance Category Code]],3,TM[[#All],[Large Provider Entity Code]],A50)/C50,"NA")</f>
        <v>NA</v>
      </c>
      <c r="G50" s="7" t="str">
        <f>IFERROR(SUMIFS(TM[[#All],[Total Truncated Claims Spending]],TM[[#All],[Reporting Year]],2022,TM[[#All],[Insurance Category Code]],3,TM[[#All],[Large Provider Entity Code]],A50)/C50,"NA")</f>
        <v>NA</v>
      </c>
      <c r="H50" s="96" t="str">
        <f>IFERROR(SUMIFS(TM[[#All],[Total Truncated Expenses]],TM[[#All],[Reporting Year]],2022,TM[[#All],[Insurance Category Code]],3,TM[[#All],[Large Provider Entity Code]],A50)/C50,"NA")</f>
        <v>NA</v>
      </c>
      <c r="I50" s="95">
        <f>SUMIFS(TM[[#All],[Member Months]],TM[[#All],[Reporting Year]],2023,TM[[#All],[Insurance Category Code]],3,TM[[#All],[Large Provider Entity Code]],A50)</f>
        <v>0</v>
      </c>
      <c r="J50" s="7" t="str">
        <f>IFERROR(SUMIFS(TM[[#All],[Total Non-Truncated Claims Spending]],TM[[#All],[Reporting Year]],2023,TM[[#All],[Insurance Category Code]],3,TM[[#All],[Large Provider Entity Code]],A50)/I50,"NA")</f>
        <v>NA</v>
      </c>
      <c r="K50" s="7" t="str">
        <f>IFERROR(SUMIFS(TM[[#All],[Total Non-Claims Spending]],TM[[#All],[Reporting Year]],2023,TM[[#All],[Insurance Category Code]],3,TM[[#All],[Large Provider Entity Code]],A50)/I50,"NA")</f>
        <v>NA</v>
      </c>
      <c r="L50" s="7" t="str">
        <f>IFERROR(SUMIFS(TM[[#All],[Total Non-Truncated Claims and Non-Claims Spending]],TM[[#All],[Reporting Year]],2023,TM[[#All],[Insurance Category Code]],3,TM[[#All],[Large Provider Entity Code]],A50)/I50,"NA")</f>
        <v>NA</v>
      </c>
      <c r="M50" s="7" t="str">
        <f>IFERROR(SUMIFS(TM[[#All],[Total Truncated Claims Spending]],TM[[#All],[Reporting Year]],2023,TM[[#All],[Insurance Category Code]],3,TM[[#All],[Large Provider Entity Code]],A50)/I50,"NA")</f>
        <v>NA</v>
      </c>
      <c r="N50" s="96" t="str">
        <f>IFERROR(SUMIFS(TM[[#All],[Total Truncated Expenses]],TM[[#All],[Reporting Year]],2023,TM[[#All],[Insurance Category Code]],3,TM[[#All],[Large Provider Entity Code]],A50)/I50,"NA")</f>
        <v>NA</v>
      </c>
      <c r="O50" s="518">
        <f t="shared" si="15"/>
        <v>0</v>
      </c>
      <c r="P50" s="243" t="str">
        <f t="shared" si="14"/>
        <v>NA</v>
      </c>
      <c r="Q50" s="97" t="str">
        <f t="shared" si="14"/>
        <v>NA</v>
      </c>
      <c r="R50" s="97" t="str">
        <f t="shared" si="14"/>
        <v>NA</v>
      </c>
      <c r="S50" s="97" t="str">
        <f t="shared" si="14"/>
        <v>NA</v>
      </c>
      <c r="T50" s="97" t="str">
        <f t="shared" si="14"/>
        <v>NA</v>
      </c>
      <c r="U50" s="97" t="str">
        <f t="shared" si="14"/>
        <v>NA</v>
      </c>
    </row>
    <row r="51" spans="1:21" x14ac:dyDescent="0.25">
      <c r="A51" s="218">
        <v>110</v>
      </c>
      <c r="B51" s="495" t="s">
        <v>77</v>
      </c>
      <c r="C51" s="95">
        <f>SUMIFS(TM[[#All],[Member Months]],TM[[#All],[Reporting Year]],2022,TM[[#All],[Insurance Category Code]],3,TM[[#All],[Large Provider Entity Code]],A51)</f>
        <v>0</v>
      </c>
      <c r="D51" s="7" t="str">
        <f>IFERROR(SUMIFS(TM[[#All],[Total Non-Truncated Claims Spending]],TM[[#All],[Reporting Year]],2022,TM[[#All],[Insurance Category Code]],3,TM[[#All],[Large Provider Entity Code]],A51)/C51,"NA")</f>
        <v>NA</v>
      </c>
      <c r="E51" s="7" t="str">
        <f>IFERROR(SUMIFS(TM[[#All],[Total Non-Claims Spending]],TM[[#All],[Reporting Year]],2022,TM[[#All],[Insurance Category Code]],3,TM[[#All],[Large Provider Entity Code]],A51)/C51,"NA")</f>
        <v>NA</v>
      </c>
      <c r="F51" s="7" t="str">
        <f>IFERROR(SUMIFS(TM[[#All],[Total Non-Truncated Claims and Non-Claims Spending]],TM[[#All],[Reporting Year]],2022,TM[[#All],[Insurance Category Code]],3,TM[[#All],[Large Provider Entity Code]],A51)/C51,"NA")</f>
        <v>NA</v>
      </c>
      <c r="G51" s="7" t="str">
        <f>IFERROR(SUMIFS(TM[[#All],[Total Truncated Claims Spending]],TM[[#All],[Reporting Year]],2022,TM[[#All],[Insurance Category Code]],3,TM[[#All],[Large Provider Entity Code]],A51)/C51,"NA")</f>
        <v>NA</v>
      </c>
      <c r="H51" s="96" t="str">
        <f>IFERROR(SUMIFS(TM[[#All],[Total Truncated Expenses]],TM[[#All],[Reporting Year]],2022,TM[[#All],[Insurance Category Code]],3,TM[[#All],[Large Provider Entity Code]],A51)/C51,"NA")</f>
        <v>NA</v>
      </c>
      <c r="I51" s="95">
        <f>SUMIFS(TM[[#All],[Member Months]],TM[[#All],[Reporting Year]],2023,TM[[#All],[Insurance Category Code]],3,TM[[#All],[Large Provider Entity Code]],A51)</f>
        <v>0</v>
      </c>
      <c r="J51" s="7" t="str">
        <f>IFERROR(SUMIFS(TM[[#All],[Total Non-Truncated Claims Spending]],TM[[#All],[Reporting Year]],2023,TM[[#All],[Insurance Category Code]],3,TM[[#All],[Large Provider Entity Code]],A51)/I51,"NA")</f>
        <v>NA</v>
      </c>
      <c r="K51" s="7" t="str">
        <f>IFERROR(SUMIFS(TM[[#All],[Total Non-Claims Spending]],TM[[#All],[Reporting Year]],2023,TM[[#All],[Insurance Category Code]],3,TM[[#All],[Large Provider Entity Code]],A51)/I51,"NA")</f>
        <v>NA</v>
      </c>
      <c r="L51" s="7" t="str">
        <f>IFERROR(SUMIFS(TM[[#All],[Total Non-Truncated Claims and Non-Claims Spending]],TM[[#All],[Reporting Year]],2023,TM[[#All],[Insurance Category Code]],3,TM[[#All],[Large Provider Entity Code]],A51)/I51,"NA")</f>
        <v>NA</v>
      </c>
      <c r="M51" s="7" t="str">
        <f>IFERROR(SUMIFS(TM[[#All],[Total Truncated Claims Spending]],TM[[#All],[Reporting Year]],2023,TM[[#All],[Insurance Category Code]],3,TM[[#All],[Large Provider Entity Code]],A51)/I51,"NA")</f>
        <v>NA</v>
      </c>
      <c r="N51" s="96" t="str">
        <f>IFERROR(SUMIFS(TM[[#All],[Total Truncated Expenses]],TM[[#All],[Reporting Year]],2023,TM[[#All],[Insurance Category Code]],3,TM[[#All],[Large Provider Entity Code]],A51)/I51,"NA")</f>
        <v>NA</v>
      </c>
      <c r="O51" s="518">
        <f t="shared" si="15"/>
        <v>0</v>
      </c>
      <c r="P51" s="243" t="str">
        <f t="shared" si="14"/>
        <v>NA</v>
      </c>
      <c r="Q51" s="97" t="str">
        <f t="shared" si="14"/>
        <v>NA</v>
      </c>
      <c r="R51" s="97" t="str">
        <f t="shared" si="14"/>
        <v>NA</v>
      </c>
      <c r="S51" s="97" t="str">
        <f t="shared" si="14"/>
        <v>NA</v>
      </c>
      <c r="T51" s="97" t="str">
        <f t="shared" si="14"/>
        <v>NA</v>
      </c>
      <c r="U51" s="97" t="str">
        <f t="shared" si="14"/>
        <v>NA</v>
      </c>
    </row>
    <row r="52" spans="1:21" x14ac:dyDescent="0.25">
      <c r="A52" s="218">
        <v>111</v>
      </c>
      <c r="B52" s="566" t="s">
        <v>78</v>
      </c>
      <c r="C52" s="95">
        <f>SUMIFS(TM[[#All],[Member Months]],TM[[#All],[Reporting Year]],2022,TM[[#All],[Insurance Category Code]],3,TM[[#All],[Large Provider Entity Code]],A52)</f>
        <v>0</v>
      </c>
      <c r="D52" s="7" t="str">
        <f>IFERROR(SUMIFS(TM[[#All],[Total Non-Truncated Claims Spending]],TM[[#All],[Reporting Year]],2022,TM[[#All],[Insurance Category Code]],3,TM[[#All],[Large Provider Entity Code]],A52)/C52,"NA")</f>
        <v>NA</v>
      </c>
      <c r="E52" s="7" t="str">
        <f>IFERROR(SUMIFS(TM[[#All],[Total Non-Claims Spending]],TM[[#All],[Reporting Year]],2022,TM[[#All],[Insurance Category Code]],3,TM[[#All],[Large Provider Entity Code]],A52)/C52,"NA")</f>
        <v>NA</v>
      </c>
      <c r="F52" s="7" t="str">
        <f>IFERROR(SUMIFS(TM[[#All],[Total Non-Truncated Claims and Non-Claims Spending]],TM[[#All],[Reporting Year]],2022,TM[[#All],[Insurance Category Code]],3,TM[[#All],[Large Provider Entity Code]],A52)/C52,"NA")</f>
        <v>NA</v>
      </c>
      <c r="G52" s="7" t="str">
        <f>IFERROR(SUMIFS(TM[[#All],[Total Truncated Claims Spending]],TM[[#All],[Reporting Year]],2022,TM[[#All],[Insurance Category Code]],3,TM[[#All],[Large Provider Entity Code]],A52)/C52,"NA")</f>
        <v>NA</v>
      </c>
      <c r="H52" s="96" t="str">
        <f>IFERROR(SUMIFS(TM[[#All],[Total Truncated Expenses]],TM[[#All],[Reporting Year]],2022,TM[[#All],[Insurance Category Code]],3,TM[[#All],[Large Provider Entity Code]],A52)/C52,"NA")</f>
        <v>NA</v>
      </c>
      <c r="I52" s="95">
        <f>SUMIFS(TM[[#All],[Member Months]],TM[[#All],[Reporting Year]],2023,TM[[#All],[Insurance Category Code]],3,TM[[#All],[Large Provider Entity Code]],A52)</f>
        <v>0</v>
      </c>
      <c r="J52" s="7" t="str">
        <f>IFERROR(SUMIFS(TM[[#All],[Total Non-Truncated Claims Spending]],TM[[#All],[Reporting Year]],2023,TM[[#All],[Insurance Category Code]],3,TM[[#All],[Large Provider Entity Code]],A52)/I52,"NA")</f>
        <v>NA</v>
      </c>
      <c r="K52" s="7" t="str">
        <f>IFERROR(SUMIFS(TM[[#All],[Total Non-Claims Spending]],TM[[#All],[Reporting Year]],2023,TM[[#All],[Insurance Category Code]],3,TM[[#All],[Large Provider Entity Code]],A52)/I52,"NA")</f>
        <v>NA</v>
      </c>
      <c r="L52" s="7" t="str">
        <f>IFERROR(SUMIFS(TM[[#All],[Total Non-Truncated Claims and Non-Claims Spending]],TM[[#All],[Reporting Year]],2023,TM[[#All],[Insurance Category Code]],3,TM[[#All],[Large Provider Entity Code]],A52)/I52,"NA")</f>
        <v>NA</v>
      </c>
      <c r="M52" s="7" t="str">
        <f>IFERROR(SUMIFS(TM[[#All],[Total Truncated Claims Spending]],TM[[#All],[Reporting Year]],2023,TM[[#All],[Insurance Category Code]],3,TM[[#All],[Large Provider Entity Code]],A52)/I52,"NA")</f>
        <v>NA</v>
      </c>
      <c r="N52" s="96" t="str">
        <f>IFERROR(SUMIFS(TM[[#All],[Total Truncated Expenses]],TM[[#All],[Reporting Year]],2023,TM[[#All],[Insurance Category Code]],3,TM[[#All],[Large Provider Entity Code]],A52)/I52,"NA")</f>
        <v>NA</v>
      </c>
      <c r="O52" s="518">
        <f t="shared" si="15"/>
        <v>0</v>
      </c>
      <c r="P52" s="243" t="str">
        <f t="shared" si="14"/>
        <v>NA</v>
      </c>
      <c r="Q52" s="97" t="str">
        <f t="shared" si="14"/>
        <v>NA</v>
      </c>
      <c r="R52" s="97" t="str">
        <f t="shared" si="14"/>
        <v>NA</v>
      </c>
      <c r="S52" s="97" t="str">
        <f t="shared" si="14"/>
        <v>NA</v>
      </c>
      <c r="T52" s="97" t="str">
        <f t="shared" si="14"/>
        <v>NA</v>
      </c>
      <c r="U52" s="97" t="str">
        <f t="shared" si="14"/>
        <v>NA</v>
      </c>
    </row>
    <row r="53" spans="1:21" x14ac:dyDescent="0.25">
      <c r="A53" s="218">
        <v>112</v>
      </c>
      <c r="B53" s="566" t="s">
        <v>613</v>
      </c>
      <c r="C53" s="95">
        <f>SUMIFS(TM[[#All],[Member Months]],TM[[#All],[Reporting Year]],2022,TM[[#All],[Insurance Category Code]],3,TM[[#All],[Large Provider Entity Code]],A53)</f>
        <v>0</v>
      </c>
      <c r="D53" s="7" t="str">
        <f>IFERROR(SUMIFS(TM[[#All],[Total Non-Truncated Claims Spending]],TM[[#All],[Reporting Year]],2022,TM[[#All],[Insurance Category Code]],3,TM[[#All],[Large Provider Entity Code]],A53)/C53,"NA")</f>
        <v>NA</v>
      </c>
      <c r="E53" s="7" t="str">
        <f>IFERROR(SUMIFS(TM[[#All],[Total Non-Claims Spending]],TM[[#All],[Reporting Year]],2022,TM[[#All],[Insurance Category Code]],3,TM[[#All],[Large Provider Entity Code]],A53)/C53,"NA")</f>
        <v>NA</v>
      </c>
      <c r="F53" s="7" t="str">
        <f>IFERROR(SUMIFS(TM[[#All],[Total Non-Truncated Claims and Non-Claims Spending]],TM[[#All],[Reporting Year]],2022,TM[[#All],[Insurance Category Code]],3,TM[[#All],[Large Provider Entity Code]],A53)/C53,"NA")</f>
        <v>NA</v>
      </c>
      <c r="G53" s="7" t="str">
        <f>IFERROR(SUMIFS(TM[[#All],[Total Truncated Claims Spending]],TM[[#All],[Reporting Year]],2022,TM[[#All],[Insurance Category Code]],3,TM[[#All],[Large Provider Entity Code]],A53)/C53,"NA")</f>
        <v>NA</v>
      </c>
      <c r="H53" s="96" t="str">
        <f>IFERROR(SUMIFS(TM[[#All],[Total Truncated Expenses]],TM[[#All],[Reporting Year]],2022,TM[[#All],[Insurance Category Code]],3,TM[[#All],[Large Provider Entity Code]],A53)/C53,"NA")</f>
        <v>NA</v>
      </c>
      <c r="I53" s="95">
        <f>SUMIFS(TM[[#All],[Member Months]],TM[[#All],[Reporting Year]],2023,TM[[#All],[Insurance Category Code]],3,TM[[#All],[Large Provider Entity Code]],A53)</f>
        <v>0</v>
      </c>
      <c r="J53" s="7" t="str">
        <f>IFERROR(SUMIFS(TM[[#All],[Total Non-Truncated Claims Spending]],TM[[#All],[Reporting Year]],2023,TM[[#All],[Insurance Category Code]],3,TM[[#All],[Large Provider Entity Code]],A53)/I53,"NA")</f>
        <v>NA</v>
      </c>
      <c r="K53" s="7" t="str">
        <f>IFERROR(SUMIFS(TM[[#All],[Total Non-Claims Spending]],TM[[#All],[Reporting Year]],2023,TM[[#All],[Insurance Category Code]],3,TM[[#All],[Large Provider Entity Code]],A53)/I53,"NA")</f>
        <v>NA</v>
      </c>
      <c r="L53" s="7" t="str">
        <f>IFERROR(SUMIFS(TM[[#All],[Total Non-Truncated Claims and Non-Claims Spending]],TM[[#All],[Reporting Year]],2023,TM[[#All],[Insurance Category Code]],3,TM[[#All],[Large Provider Entity Code]],A53)/I53,"NA")</f>
        <v>NA</v>
      </c>
      <c r="M53" s="7" t="str">
        <f>IFERROR(SUMIFS(TM[[#All],[Total Truncated Claims Spending]],TM[[#All],[Reporting Year]],2023,TM[[#All],[Insurance Category Code]],3,TM[[#All],[Large Provider Entity Code]],A53)/I53,"NA")</f>
        <v>NA</v>
      </c>
      <c r="N53" s="96" t="str">
        <f>IFERROR(SUMIFS(TM[[#All],[Total Truncated Expenses]],TM[[#All],[Reporting Year]],2023,TM[[#All],[Insurance Category Code]],3,TM[[#All],[Large Provider Entity Code]],A53)/I53,"NA")</f>
        <v>NA</v>
      </c>
      <c r="O53" s="518">
        <f t="shared" si="15"/>
        <v>0</v>
      </c>
      <c r="P53" s="243" t="str">
        <f t="shared" si="14"/>
        <v>NA</v>
      </c>
      <c r="Q53" s="97" t="str">
        <f t="shared" si="14"/>
        <v>NA</v>
      </c>
      <c r="R53" s="97" t="str">
        <f t="shared" si="14"/>
        <v>NA</v>
      </c>
      <c r="S53" s="97" t="str">
        <f t="shared" si="14"/>
        <v>NA</v>
      </c>
      <c r="T53" s="97" t="str">
        <f t="shared" si="14"/>
        <v>NA</v>
      </c>
      <c r="U53" s="97" t="str">
        <f t="shared" si="14"/>
        <v>NA</v>
      </c>
    </row>
    <row r="54" spans="1:21" x14ac:dyDescent="0.25">
      <c r="A54" s="218">
        <v>115</v>
      </c>
      <c r="B54" s="566" t="s">
        <v>79</v>
      </c>
      <c r="C54" s="95">
        <f>SUMIFS(TM[[#All],[Member Months]],TM[[#All],[Reporting Year]],2022,TM[[#All],[Insurance Category Code]],3,TM[[#All],[Large Provider Entity Code]],A54)</f>
        <v>0</v>
      </c>
      <c r="D54" s="7" t="str">
        <f>IFERROR(SUMIFS(TM[[#All],[Total Non-Truncated Claims Spending]],TM[[#All],[Reporting Year]],2022,TM[[#All],[Insurance Category Code]],3,TM[[#All],[Large Provider Entity Code]],A54)/C54,"NA")</f>
        <v>NA</v>
      </c>
      <c r="E54" s="7" t="str">
        <f>IFERROR(SUMIFS(TM[[#All],[Total Non-Claims Spending]],TM[[#All],[Reporting Year]],2022,TM[[#All],[Insurance Category Code]],3,TM[[#All],[Large Provider Entity Code]],A54)/C54,"NA")</f>
        <v>NA</v>
      </c>
      <c r="F54" s="7" t="str">
        <f>IFERROR(SUMIFS(TM[[#All],[Total Non-Truncated Claims and Non-Claims Spending]],TM[[#All],[Reporting Year]],2022,TM[[#All],[Insurance Category Code]],3,TM[[#All],[Large Provider Entity Code]],A54)/C54,"NA")</f>
        <v>NA</v>
      </c>
      <c r="G54" s="7" t="str">
        <f>IFERROR(SUMIFS(TM[[#All],[Total Truncated Claims Spending]],TM[[#All],[Reporting Year]],2022,TM[[#All],[Insurance Category Code]],3,TM[[#All],[Large Provider Entity Code]],A54)/C54,"NA")</f>
        <v>NA</v>
      </c>
      <c r="H54" s="96" t="str">
        <f>IFERROR(SUMIFS(TM[[#All],[Total Truncated Expenses]],TM[[#All],[Reporting Year]],2022,TM[[#All],[Insurance Category Code]],3,TM[[#All],[Large Provider Entity Code]],A54)/C54,"NA")</f>
        <v>NA</v>
      </c>
      <c r="I54" s="95">
        <f>SUMIFS(TM[[#All],[Member Months]],TM[[#All],[Reporting Year]],2023,TM[[#All],[Insurance Category Code]],3,TM[[#All],[Large Provider Entity Code]],A54)</f>
        <v>0</v>
      </c>
      <c r="J54" s="7" t="str">
        <f>IFERROR(SUMIFS(TM[[#All],[Total Non-Truncated Claims Spending]],TM[[#All],[Reporting Year]],2023,TM[[#All],[Insurance Category Code]],3,TM[[#All],[Large Provider Entity Code]],A54)/I54,"NA")</f>
        <v>NA</v>
      </c>
      <c r="K54" s="7" t="str">
        <f>IFERROR(SUMIFS(TM[[#All],[Total Non-Claims Spending]],TM[[#All],[Reporting Year]],2023,TM[[#All],[Insurance Category Code]],3,TM[[#All],[Large Provider Entity Code]],A54)/I54,"NA")</f>
        <v>NA</v>
      </c>
      <c r="L54" s="7" t="str">
        <f>IFERROR(SUMIFS(TM[[#All],[Total Non-Truncated Claims and Non-Claims Spending]],TM[[#All],[Reporting Year]],2023,TM[[#All],[Insurance Category Code]],3,TM[[#All],[Large Provider Entity Code]],A54)/I54,"NA")</f>
        <v>NA</v>
      </c>
      <c r="M54" s="7" t="str">
        <f>IFERROR(SUMIFS(TM[[#All],[Total Truncated Claims Spending]],TM[[#All],[Reporting Year]],2023,TM[[#All],[Insurance Category Code]],3,TM[[#All],[Large Provider Entity Code]],A54)/I54,"NA")</f>
        <v>NA</v>
      </c>
      <c r="N54" s="96" t="str">
        <f>IFERROR(SUMIFS(TM[[#All],[Total Truncated Expenses]],TM[[#All],[Reporting Year]],2023,TM[[#All],[Insurance Category Code]],3,TM[[#All],[Large Provider Entity Code]],A54)/I54,"NA")</f>
        <v>NA</v>
      </c>
      <c r="O54" s="518">
        <f t="shared" si="15"/>
        <v>0</v>
      </c>
      <c r="P54" s="243" t="str">
        <f t="shared" si="14"/>
        <v>NA</v>
      </c>
      <c r="Q54" s="97" t="str">
        <f t="shared" si="14"/>
        <v>NA</v>
      </c>
      <c r="R54" s="97" t="str">
        <f t="shared" si="14"/>
        <v>NA</v>
      </c>
      <c r="S54" s="97" t="str">
        <f t="shared" si="14"/>
        <v>NA</v>
      </c>
      <c r="T54" s="97" t="str">
        <f t="shared" si="14"/>
        <v>NA</v>
      </c>
      <c r="U54" s="97" t="str">
        <f t="shared" si="14"/>
        <v>NA</v>
      </c>
    </row>
    <row r="55" spans="1:21" x14ac:dyDescent="0.25">
      <c r="A55" s="218">
        <v>116</v>
      </c>
      <c r="B55" s="566" t="s">
        <v>614</v>
      </c>
      <c r="C55" s="95">
        <f>SUMIFS(TM[[#All],[Member Months]],TM[[#All],[Reporting Year]],2022,TM[[#All],[Insurance Category Code]],3,TM[[#All],[Large Provider Entity Code]],A55)</f>
        <v>0</v>
      </c>
      <c r="D55" s="7" t="str">
        <f>IFERROR(SUMIFS(TM[[#All],[Total Non-Truncated Claims Spending]],TM[[#All],[Reporting Year]],2022,TM[[#All],[Insurance Category Code]],3,TM[[#All],[Large Provider Entity Code]],A55)/C55,"NA")</f>
        <v>NA</v>
      </c>
      <c r="E55" s="7" t="str">
        <f>IFERROR(SUMIFS(TM[[#All],[Total Non-Claims Spending]],TM[[#All],[Reporting Year]],2022,TM[[#All],[Insurance Category Code]],3,TM[[#All],[Large Provider Entity Code]],A55)/C55,"NA")</f>
        <v>NA</v>
      </c>
      <c r="F55" s="7" t="str">
        <f>IFERROR(SUMIFS(TM[[#All],[Total Non-Truncated Claims and Non-Claims Spending]],TM[[#All],[Reporting Year]],2022,TM[[#All],[Insurance Category Code]],3,TM[[#All],[Large Provider Entity Code]],A55)/C55,"NA")</f>
        <v>NA</v>
      </c>
      <c r="G55" s="7" t="str">
        <f>IFERROR(SUMIFS(TM[[#All],[Total Truncated Claims Spending]],TM[[#All],[Reporting Year]],2022,TM[[#All],[Insurance Category Code]],3,TM[[#All],[Large Provider Entity Code]],A55)/C55,"NA")</f>
        <v>NA</v>
      </c>
      <c r="H55" s="96" t="str">
        <f>IFERROR(SUMIFS(TM[[#All],[Total Truncated Expenses]],TM[[#All],[Reporting Year]],2022,TM[[#All],[Insurance Category Code]],3,TM[[#All],[Large Provider Entity Code]],A55)/C55,"NA")</f>
        <v>NA</v>
      </c>
      <c r="I55" s="95">
        <f>SUMIFS(TM[[#All],[Member Months]],TM[[#All],[Reporting Year]],2023,TM[[#All],[Insurance Category Code]],3,TM[[#All],[Large Provider Entity Code]],A55)</f>
        <v>0</v>
      </c>
      <c r="J55" s="7" t="str">
        <f>IFERROR(SUMIFS(TM[[#All],[Total Non-Truncated Claims Spending]],TM[[#All],[Reporting Year]],2023,TM[[#All],[Insurance Category Code]],3,TM[[#All],[Large Provider Entity Code]],A55)/I55,"NA")</f>
        <v>NA</v>
      </c>
      <c r="K55" s="7" t="str">
        <f>IFERROR(SUMIFS(TM[[#All],[Total Non-Claims Spending]],TM[[#All],[Reporting Year]],2023,TM[[#All],[Insurance Category Code]],3,TM[[#All],[Large Provider Entity Code]],A55)/I55,"NA")</f>
        <v>NA</v>
      </c>
      <c r="L55" s="7" t="str">
        <f>IFERROR(SUMIFS(TM[[#All],[Total Non-Truncated Claims and Non-Claims Spending]],TM[[#All],[Reporting Year]],2023,TM[[#All],[Insurance Category Code]],3,TM[[#All],[Large Provider Entity Code]],A55)/I55,"NA")</f>
        <v>NA</v>
      </c>
      <c r="M55" s="7" t="str">
        <f>IFERROR(SUMIFS(TM[[#All],[Total Truncated Claims Spending]],TM[[#All],[Reporting Year]],2023,TM[[#All],[Insurance Category Code]],3,TM[[#All],[Large Provider Entity Code]],A55)/I55,"NA")</f>
        <v>NA</v>
      </c>
      <c r="N55" s="96" t="str">
        <f>IFERROR(SUMIFS(TM[[#All],[Total Truncated Expenses]],TM[[#All],[Reporting Year]],2023,TM[[#All],[Insurance Category Code]],3,TM[[#All],[Large Provider Entity Code]],A55)/I55,"NA")</f>
        <v>NA</v>
      </c>
      <c r="O55" s="518">
        <f t="shared" si="15"/>
        <v>0</v>
      </c>
      <c r="P55" s="243" t="str">
        <f t="shared" si="14"/>
        <v>NA</v>
      </c>
      <c r="Q55" s="97" t="str">
        <f t="shared" si="14"/>
        <v>NA</v>
      </c>
      <c r="R55" s="97" t="str">
        <f t="shared" si="14"/>
        <v>NA</v>
      </c>
      <c r="S55" s="97" t="str">
        <f t="shared" si="14"/>
        <v>NA</v>
      </c>
      <c r="T55" s="97" t="str">
        <f t="shared" si="14"/>
        <v>NA</v>
      </c>
      <c r="U55" s="97" t="str">
        <f t="shared" si="14"/>
        <v>NA</v>
      </c>
    </row>
    <row r="56" spans="1:21" x14ac:dyDescent="0.25">
      <c r="A56" s="218">
        <v>118</v>
      </c>
      <c r="B56" s="566" t="s">
        <v>80</v>
      </c>
      <c r="C56" s="95">
        <f>SUMIFS(TM[[#All],[Member Months]],TM[[#All],[Reporting Year]],2022,TM[[#All],[Insurance Category Code]],3,TM[[#All],[Large Provider Entity Code]],A56)</f>
        <v>0</v>
      </c>
      <c r="D56" s="7" t="str">
        <f>IFERROR(SUMIFS(TM[[#All],[Total Non-Truncated Claims Spending]],TM[[#All],[Reporting Year]],2022,TM[[#All],[Insurance Category Code]],3,TM[[#All],[Large Provider Entity Code]],A56)/C56,"NA")</f>
        <v>NA</v>
      </c>
      <c r="E56" s="7" t="str">
        <f>IFERROR(SUMIFS(TM[[#All],[Total Non-Claims Spending]],TM[[#All],[Reporting Year]],2022,TM[[#All],[Insurance Category Code]],3,TM[[#All],[Large Provider Entity Code]],A56)/C56,"NA")</f>
        <v>NA</v>
      </c>
      <c r="F56" s="7" t="str">
        <f>IFERROR(SUMIFS(TM[[#All],[Total Non-Truncated Claims and Non-Claims Spending]],TM[[#All],[Reporting Year]],2022,TM[[#All],[Insurance Category Code]],3,TM[[#All],[Large Provider Entity Code]],A56)/C56,"NA")</f>
        <v>NA</v>
      </c>
      <c r="G56" s="7" t="str">
        <f>IFERROR(SUMIFS(TM[[#All],[Total Truncated Claims Spending]],TM[[#All],[Reporting Year]],2022,TM[[#All],[Insurance Category Code]],3,TM[[#All],[Large Provider Entity Code]],A56)/C56,"NA")</f>
        <v>NA</v>
      </c>
      <c r="H56" s="96" t="str">
        <f>IFERROR(SUMIFS(TM[[#All],[Total Truncated Expenses]],TM[[#All],[Reporting Year]],2022,TM[[#All],[Insurance Category Code]],3,TM[[#All],[Large Provider Entity Code]],A56)/C56,"NA")</f>
        <v>NA</v>
      </c>
      <c r="I56" s="95">
        <f>SUMIFS(TM[[#All],[Member Months]],TM[[#All],[Reporting Year]],2023,TM[[#All],[Insurance Category Code]],3,TM[[#All],[Large Provider Entity Code]],A56)</f>
        <v>0</v>
      </c>
      <c r="J56" s="7" t="str">
        <f>IFERROR(SUMIFS(TM[[#All],[Total Non-Truncated Claims Spending]],TM[[#All],[Reporting Year]],2023,TM[[#All],[Insurance Category Code]],3,TM[[#All],[Large Provider Entity Code]],A56)/I56,"NA")</f>
        <v>NA</v>
      </c>
      <c r="K56" s="7" t="str">
        <f>IFERROR(SUMIFS(TM[[#All],[Total Non-Claims Spending]],TM[[#All],[Reporting Year]],2023,TM[[#All],[Insurance Category Code]],3,TM[[#All],[Large Provider Entity Code]],A56)/I56,"NA")</f>
        <v>NA</v>
      </c>
      <c r="L56" s="7" t="str">
        <f>IFERROR(SUMIFS(TM[[#All],[Total Non-Truncated Claims and Non-Claims Spending]],TM[[#All],[Reporting Year]],2023,TM[[#All],[Insurance Category Code]],3,TM[[#All],[Large Provider Entity Code]],A56)/I56,"NA")</f>
        <v>NA</v>
      </c>
      <c r="M56" s="7" t="str">
        <f>IFERROR(SUMIFS(TM[[#All],[Total Truncated Claims Spending]],TM[[#All],[Reporting Year]],2023,TM[[#All],[Insurance Category Code]],3,TM[[#All],[Large Provider Entity Code]],A56)/I56,"NA")</f>
        <v>NA</v>
      </c>
      <c r="N56" s="96" t="str">
        <f>IFERROR(SUMIFS(TM[[#All],[Total Truncated Expenses]],TM[[#All],[Reporting Year]],2023,TM[[#All],[Insurance Category Code]],3,TM[[#All],[Large Provider Entity Code]],A56)/I56,"NA")</f>
        <v>NA</v>
      </c>
      <c r="O56" s="518">
        <f t="shared" si="15"/>
        <v>0</v>
      </c>
      <c r="P56" s="243" t="str">
        <f t="shared" si="14"/>
        <v>NA</v>
      </c>
      <c r="Q56" s="97" t="str">
        <f t="shared" si="14"/>
        <v>NA</v>
      </c>
      <c r="R56" s="97" t="str">
        <f t="shared" si="14"/>
        <v>NA</v>
      </c>
      <c r="S56" s="97" t="str">
        <f t="shared" si="14"/>
        <v>NA</v>
      </c>
      <c r="T56" s="97" t="str">
        <f t="shared" si="14"/>
        <v>NA</v>
      </c>
      <c r="U56" s="97" t="str">
        <f t="shared" si="14"/>
        <v>NA</v>
      </c>
    </row>
    <row r="57" spans="1:21" x14ac:dyDescent="0.25">
      <c r="A57" s="218">
        <v>119</v>
      </c>
      <c r="B57" s="566" t="s">
        <v>615</v>
      </c>
      <c r="C57" s="95">
        <f>SUMIFS(TM[[#All],[Member Months]],TM[[#All],[Reporting Year]],2022,TM[[#All],[Insurance Category Code]],3,TM[[#All],[Large Provider Entity Code]],A57)</f>
        <v>0</v>
      </c>
      <c r="D57" s="7" t="str">
        <f>IFERROR(SUMIFS(TM[[#All],[Total Non-Truncated Claims Spending]],TM[[#All],[Reporting Year]],2022,TM[[#All],[Insurance Category Code]],3,TM[[#All],[Large Provider Entity Code]],A57)/C57,"NA")</f>
        <v>NA</v>
      </c>
      <c r="E57" s="7" t="str">
        <f>IFERROR(SUMIFS(TM[[#All],[Total Non-Claims Spending]],TM[[#All],[Reporting Year]],2022,TM[[#All],[Insurance Category Code]],3,TM[[#All],[Large Provider Entity Code]],A57)/C57,"NA")</f>
        <v>NA</v>
      </c>
      <c r="F57" s="7" t="str">
        <f>IFERROR(SUMIFS(TM[[#All],[Total Non-Truncated Claims and Non-Claims Spending]],TM[[#All],[Reporting Year]],2022,TM[[#All],[Insurance Category Code]],3,TM[[#All],[Large Provider Entity Code]],A57)/C57,"NA")</f>
        <v>NA</v>
      </c>
      <c r="G57" s="7" t="str">
        <f>IFERROR(SUMIFS(TM[[#All],[Total Truncated Claims Spending]],TM[[#All],[Reporting Year]],2022,TM[[#All],[Insurance Category Code]],3,TM[[#All],[Large Provider Entity Code]],A57)/C57,"NA")</f>
        <v>NA</v>
      </c>
      <c r="H57" s="96" t="str">
        <f>IFERROR(SUMIFS(TM[[#All],[Total Truncated Expenses]],TM[[#All],[Reporting Year]],2022,TM[[#All],[Insurance Category Code]],3,TM[[#All],[Large Provider Entity Code]],A57)/C57,"NA")</f>
        <v>NA</v>
      </c>
      <c r="I57" s="95">
        <f>SUMIFS(TM[[#All],[Member Months]],TM[[#All],[Reporting Year]],2023,TM[[#All],[Insurance Category Code]],3,TM[[#All],[Large Provider Entity Code]],A57)</f>
        <v>0</v>
      </c>
      <c r="J57" s="7" t="str">
        <f>IFERROR(SUMIFS(TM[[#All],[Total Non-Truncated Claims Spending]],TM[[#All],[Reporting Year]],2023,TM[[#All],[Insurance Category Code]],3,TM[[#All],[Large Provider Entity Code]],A57)/I57,"NA")</f>
        <v>NA</v>
      </c>
      <c r="K57" s="7" t="str">
        <f>IFERROR(SUMIFS(TM[[#All],[Total Non-Claims Spending]],TM[[#All],[Reporting Year]],2023,TM[[#All],[Insurance Category Code]],3,TM[[#All],[Large Provider Entity Code]],A57)/I57,"NA")</f>
        <v>NA</v>
      </c>
      <c r="L57" s="7" t="str">
        <f>IFERROR(SUMIFS(TM[[#All],[Total Non-Truncated Claims and Non-Claims Spending]],TM[[#All],[Reporting Year]],2023,TM[[#All],[Insurance Category Code]],3,TM[[#All],[Large Provider Entity Code]],A57)/I57,"NA")</f>
        <v>NA</v>
      </c>
      <c r="M57" s="7" t="str">
        <f>IFERROR(SUMIFS(TM[[#All],[Total Truncated Claims Spending]],TM[[#All],[Reporting Year]],2023,TM[[#All],[Insurance Category Code]],3,TM[[#All],[Large Provider Entity Code]],A57)/I57,"NA")</f>
        <v>NA</v>
      </c>
      <c r="N57" s="96" t="str">
        <f>IFERROR(SUMIFS(TM[[#All],[Total Truncated Expenses]],TM[[#All],[Reporting Year]],2023,TM[[#All],[Insurance Category Code]],3,TM[[#All],[Large Provider Entity Code]],A57)/I57,"NA")</f>
        <v>NA</v>
      </c>
      <c r="O57" s="518">
        <f t="shared" si="15"/>
        <v>0</v>
      </c>
      <c r="P57" s="243" t="str">
        <f t="shared" si="14"/>
        <v>NA</v>
      </c>
      <c r="Q57" s="97" t="str">
        <f t="shared" si="14"/>
        <v>NA</v>
      </c>
      <c r="R57" s="97" t="str">
        <f t="shared" si="14"/>
        <v>NA</v>
      </c>
      <c r="S57" s="97" t="str">
        <f t="shared" si="14"/>
        <v>NA</v>
      </c>
      <c r="T57" s="97" t="str">
        <f t="shared" si="14"/>
        <v>NA</v>
      </c>
      <c r="U57" s="97" t="str">
        <f t="shared" si="14"/>
        <v>NA</v>
      </c>
    </row>
    <row r="58" spans="1:21" x14ac:dyDescent="0.25">
      <c r="A58" s="218">
        <v>120</v>
      </c>
      <c r="B58" s="566" t="s">
        <v>608</v>
      </c>
      <c r="C58" s="95">
        <f>SUMIFS(TM[[#All],[Member Months]],TM[[#All],[Reporting Year]],2022,TM[[#All],[Insurance Category Code]],3,TM[[#All],[Large Provider Entity Code]],A58)</f>
        <v>0</v>
      </c>
      <c r="D58" s="7" t="str">
        <f>IFERROR(SUMIFS(TM[[#All],[Total Non-Truncated Claims Spending]],TM[[#All],[Reporting Year]],2022,TM[[#All],[Insurance Category Code]],3,TM[[#All],[Large Provider Entity Code]],A58)/C58,"NA")</f>
        <v>NA</v>
      </c>
      <c r="E58" s="7" t="str">
        <f>IFERROR(SUMIFS(TM[[#All],[Total Non-Claims Spending]],TM[[#All],[Reporting Year]],2022,TM[[#All],[Insurance Category Code]],3,TM[[#All],[Large Provider Entity Code]],A58)/C58,"NA")</f>
        <v>NA</v>
      </c>
      <c r="F58" s="7" t="str">
        <f>IFERROR(SUMIFS(TM[[#All],[Total Non-Truncated Claims and Non-Claims Spending]],TM[[#All],[Reporting Year]],2022,TM[[#All],[Insurance Category Code]],3,TM[[#All],[Large Provider Entity Code]],A58)/C58,"NA")</f>
        <v>NA</v>
      </c>
      <c r="G58" s="7" t="str">
        <f>IFERROR(SUMIFS(TM[[#All],[Total Truncated Claims Spending]],TM[[#All],[Reporting Year]],2022,TM[[#All],[Insurance Category Code]],3,TM[[#All],[Large Provider Entity Code]],A58)/C58,"NA")</f>
        <v>NA</v>
      </c>
      <c r="H58" s="96" t="str">
        <f>IFERROR(SUMIFS(TM[[#All],[Total Truncated Expenses]],TM[[#All],[Reporting Year]],2022,TM[[#All],[Insurance Category Code]],3,TM[[#All],[Large Provider Entity Code]],A58)/C58,"NA")</f>
        <v>NA</v>
      </c>
      <c r="I58" s="95">
        <f>SUMIFS(TM[[#All],[Member Months]],TM[[#All],[Reporting Year]],2023,TM[[#All],[Insurance Category Code]],3,TM[[#All],[Large Provider Entity Code]],A58)</f>
        <v>0</v>
      </c>
      <c r="J58" s="7" t="str">
        <f>IFERROR(SUMIFS(TM[[#All],[Total Non-Truncated Claims Spending]],TM[[#All],[Reporting Year]],2023,TM[[#All],[Insurance Category Code]],3,TM[[#All],[Large Provider Entity Code]],A58)/I58,"NA")</f>
        <v>NA</v>
      </c>
      <c r="K58" s="7" t="str">
        <f>IFERROR(SUMIFS(TM[[#All],[Total Non-Claims Spending]],TM[[#All],[Reporting Year]],2023,TM[[#All],[Insurance Category Code]],3,TM[[#All],[Large Provider Entity Code]],A58)/I58,"NA")</f>
        <v>NA</v>
      </c>
      <c r="L58" s="7" t="str">
        <f>IFERROR(SUMIFS(TM[[#All],[Total Non-Truncated Claims and Non-Claims Spending]],TM[[#All],[Reporting Year]],2023,TM[[#All],[Insurance Category Code]],3,TM[[#All],[Large Provider Entity Code]],A58)/I58,"NA")</f>
        <v>NA</v>
      </c>
      <c r="M58" s="7" t="str">
        <f>IFERROR(SUMIFS(TM[[#All],[Total Truncated Claims Spending]],TM[[#All],[Reporting Year]],2023,TM[[#All],[Insurance Category Code]],3,TM[[#All],[Large Provider Entity Code]],A58)/I58,"NA")</f>
        <v>NA</v>
      </c>
      <c r="N58" s="96" t="str">
        <f>IFERROR(SUMIFS(TM[[#All],[Total Truncated Expenses]],TM[[#All],[Reporting Year]],2023,TM[[#All],[Insurance Category Code]],3,TM[[#All],[Large Provider Entity Code]],A58)/I58,"NA")</f>
        <v>NA</v>
      </c>
      <c r="O58" s="518">
        <f t="shared" si="15"/>
        <v>0</v>
      </c>
      <c r="P58" s="243" t="str">
        <f t="shared" si="14"/>
        <v>NA</v>
      </c>
      <c r="Q58" s="97" t="str">
        <f t="shared" si="14"/>
        <v>NA</v>
      </c>
      <c r="R58" s="97" t="str">
        <f t="shared" si="14"/>
        <v>NA</v>
      </c>
      <c r="S58" s="97" t="str">
        <f t="shared" si="14"/>
        <v>NA</v>
      </c>
      <c r="T58" s="97" t="str">
        <f t="shared" si="14"/>
        <v>NA</v>
      </c>
      <c r="U58" s="97" t="str">
        <f t="shared" si="14"/>
        <v>NA</v>
      </c>
    </row>
    <row r="59" spans="1:21" ht="30" x14ac:dyDescent="0.25">
      <c r="A59" s="218">
        <v>121</v>
      </c>
      <c r="B59" s="495" t="s">
        <v>616</v>
      </c>
      <c r="C59" s="95">
        <f>SUMIFS(TM[[#All],[Member Months]],TM[[#All],[Reporting Year]],2022,TM[[#All],[Insurance Category Code]],3,TM[[#All],[Large Provider Entity Code]],A59)</f>
        <v>0</v>
      </c>
      <c r="D59" s="7" t="str">
        <f>IFERROR(SUMIFS(TM[[#All],[Total Non-Truncated Claims Spending]],TM[[#All],[Reporting Year]],2022,TM[[#All],[Insurance Category Code]],3,TM[[#All],[Large Provider Entity Code]],A59)/C59,"NA")</f>
        <v>NA</v>
      </c>
      <c r="E59" s="7" t="str">
        <f>IFERROR(SUMIFS(TM[[#All],[Total Non-Claims Spending]],TM[[#All],[Reporting Year]],2022,TM[[#All],[Insurance Category Code]],3,TM[[#All],[Large Provider Entity Code]],A59)/C59,"NA")</f>
        <v>NA</v>
      </c>
      <c r="F59" s="7" t="str">
        <f>IFERROR(SUMIFS(TM[[#All],[Total Non-Truncated Claims and Non-Claims Spending]],TM[[#All],[Reporting Year]],2022,TM[[#All],[Insurance Category Code]],3,TM[[#All],[Large Provider Entity Code]],A59)/C59,"NA")</f>
        <v>NA</v>
      </c>
      <c r="G59" s="7" t="str">
        <f>IFERROR(SUMIFS(TM[[#All],[Total Truncated Claims Spending]],TM[[#All],[Reporting Year]],2022,TM[[#All],[Insurance Category Code]],3,TM[[#All],[Large Provider Entity Code]],A59)/C59,"NA")</f>
        <v>NA</v>
      </c>
      <c r="H59" s="96" t="str">
        <f>IFERROR(SUMIFS(TM[[#All],[Total Truncated Expenses]],TM[[#All],[Reporting Year]],2022,TM[[#All],[Insurance Category Code]],3,TM[[#All],[Large Provider Entity Code]],A59)/C59,"NA")</f>
        <v>NA</v>
      </c>
      <c r="I59" s="95">
        <f>SUMIFS(TM[[#All],[Member Months]],TM[[#All],[Reporting Year]],2023,TM[[#All],[Insurance Category Code]],3,TM[[#All],[Large Provider Entity Code]],A59)</f>
        <v>0</v>
      </c>
      <c r="J59" s="7" t="str">
        <f>IFERROR(SUMIFS(TM[[#All],[Total Non-Truncated Claims Spending]],TM[[#All],[Reporting Year]],2023,TM[[#All],[Insurance Category Code]],3,TM[[#All],[Large Provider Entity Code]],A59)/I59,"NA")</f>
        <v>NA</v>
      </c>
      <c r="K59" s="7" t="str">
        <f>IFERROR(SUMIFS(TM[[#All],[Total Non-Claims Spending]],TM[[#All],[Reporting Year]],2023,TM[[#All],[Insurance Category Code]],3,TM[[#All],[Large Provider Entity Code]],A59)/I59,"NA")</f>
        <v>NA</v>
      </c>
      <c r="L59" s="7" t="str">
        <f>IFERROR(SUMIFS(TM[[#All],[Total Non-Truncated Claims and Non-Claims Spending]],TM[[#All],[Reporting Year]],2023,TM[[#All],[Insurance Category Code]],3,TM[[#All],[Large Provider Entity Code]],A59)/I59,"NA")</f>
        <v>NA</v>
      </c>
      <c r="M59" s="7" t="str">
        <f>IFERROR(SUMIFS(TM[[#All],[Total Truncated Claims Spending]],TM[[#All],[Reporting Year]],2023,TM[[#All],[Insurance Category Code]],3,TM[[#All],[Large Provider Entity Code]],A59)/I59,"NA")</f>
        <v>NA</v>
      </c>
      <c r="N59" s="96" t="str">
        <f>IFERROR(SUMIFS(TM[[#All],[Total Truncated Expenses]],TM[[#All],[Reporting Year]],2023,TM[[#All],[Insurance Category Code]],3,TM[[#All],[Large Provider Entity Code]],A59)/I59,"NA")</f>
        <v>NA</v>
      </c>
      <c r="O59" s="518">
        <f t="shared" si="15"/>
        <v>0</v>
      </c>
      <c r="P59" s="243" t="str">
        <f t="shared" si="14"/>
        <v>NA</v>
      </c>
      <c r="Q59" s="97" t="str">
        <f t="shared" si="14"/>
        <v>NA</v>
      </c>
      <c r="R59" s="97" t="str">
        <f t="shared" si="14"/>
        <v>NA</v>
      </c>
      <c r="S59" s="97" t="str">
        <f t="shared" si="14"/>
        <v>NA</v>
      </c>
      <c r="T59" s="97" t="str">
        <f t="shared" si="14"/>
        <v>NA</v>
      </c>
      <c r="U59" s="97" t="str">
        <f t="shared" si="14"/>
        <v>NA</v>
      </c>
    </row>
    <row r="60" spans="1:21" x14ac:dyDescent="0.25">
      <c r="A60" s="218">
        <v>122</v>
      </c>
      <c r="B60" s="566" t="s">
        <v>617</v>
      </c>
      <c r="C60" s="95">
        <f>SUMIFS(TM[[#All],[Member Months]],TM[[#All],[Reporting Year]],2022,TM[[#All],[Insurance Category Code]],3,TM[[#All],[Large Provider Entity Code]],A60)</f>
        <v>0</v>
      </c>
      <c r="D60" s="7" t="str">
        <f>IFERROR(SUMIFS(TM[[#All],[Total Non-Truncated Claims Spending]],TM[[#All],[Reporting Year]],2022,TM[[#All],[Insurance Category Code]],3,TM[[#All],[Large Provider Entity Code]],A60)/C60,"NA")</f>
        <v>NA</v>
      </c>
      <c r="E60" s="7" t="str">
        <f>IFERROR(SUMIFS(TM[[#All],[Total Non-Claims Spending]],TM[[#All],[Reporting Year]],2022,TM[[#All],[Insurance Category Code]],3,TM[[#All],[Large Provider Entity Code]],A60)/C60,"NA")</f>
        <v>NA</v>
      </c>
      <c r="F60" s="7" t="str">
        <f>IFERROR(SUMIFS(TM[[#All],[Total Non-Truncated Claims and Non-Claims Spending]],TM[[#All],[Reporting Year]],2022,TM[[#All],[Insurance Category Code]],3,TM[[#All],[Large Provider Entity Code]],A60)/C60,"NA")</f>
        <v>NA</v>
      </c>
      <c r="G60" s="7" t="str">
        <f>IFERROR(SUMIFS(TM[[#All],[Total Truncated Claims Spending]],TM[[#All],[Reporting Year]],2022,TM[[#All],[Insurance Category Code]],3,TM[[#All],[Large Provider Entity Code]],A60)/C60,"NA")</f>
        <v>NA</v>
      </c>
      <c r="H60" s="96" t="str">
        <f>IFERROR(SUMIFS(TM[[#All],[Total Truncated Expenses]],TM[[#All],[Reporting Year]],2022,TM[[#All],[Insurance Category Code]],3,TM[[#All],[Large Provider Entity Code]],A60)/C60,"NA")</f>
        <v>NA</v>
      </c>
      <c r="I60" s="95">
        <f>SUMIFS(TM[[#All],[Member Months]],TM[[#All],[Reporting Year]],2023,TM[[#All],[Insurance Category Code]],3,TM[[#All],[Large Provider Entity Code]],A60)</f>
        <v>0</v>
      </c>
      <c r="J60" s="7" t="str">
        <f>IFERROR(SUMIFS(TM[[#All],[Total Non-Truncated Claims Spending]],TM[[#All],[Reporting Year]],2023,TM[[#All],[Insurance Category Code]],3,TM[[#All],[Large Provider Entity Code]],A60)/I60,"NA")</f>
        <v>NA</v>
      </c>
      <c r="K60" s="7" t="str">
        <f>IFERROR(SUMIFS(TM[[#All],[Total Non-Claims Spending]],TM[[#All],[Reporting Year]],2023,TM[[#All],[Insurance Category Code]],3,TM[[#All],[Large Provider Entity Code]],A60)/I60,"NA")</f>
        <v>NA</v>
      </c>
      <c r="L60" s="7" t="str">
        <f>IFERROR(SUMIFS(TM[[#All],[Total Non-Truncated Claims and Non-Claims Spending]],TM[[#All],[Reporting Year]],2023,TM[[#All],[Insurance Category Code]],3,TM[[#All],[Large Provider Entity Code]],A60)/I60,"NA")</f>
        <v>NA</v>
      </c>
      <c r="M60" s="7" t="str">
        <f>IFERROR(SUMIFS(TM[[#All],[Total Truncated Claims Spending]],TM[[#All],[Reporting Year]],2023,TM[[#All],[Insurance Category Code]],3,TM[[#All],[Large Provider Entity Code]],A60)/I60,"NA")</f>
        <v>NA</v>
      </c>
      <c r="N60" s="96" t="str">
        <f>IFERROR(SUMIFS(TM[[#All],[Total Truncated Expenses]],TM[[#All],[Reporting Year]],2023,TM[[#All],[Insurance Category Code]],3,TM[[#All],[Large Provider Entity Code]],A60)/I60,"NA")</f>
        <v>NA</v>
      </c>
      <c r="O60" s="518">
        <f t="shared" si="15"/>
        <v>0</v>
      </c>
      <c r="P60" s="243" t="str">
        <f t="shared" si="14"/>
        <v>NA</v>
      </c>
      <c r="Q60" s="97" t="str">
        <f t="shared" si="14"/>
        <v>NA</v>
      </c>
      <c r="R60" s="97" t="str">
        <f t="shared" si="14"/>
        <v>NA</v>
      </c>
      <c r="S60" s="97" t="str">
        <f t="shared" si="14"/>
        <v>NA</v>
      </c>
      <c r="T60" s="97" t="str">
        <f t="shared" si="14"/>
        <v>NA</v>
      </c>
      <c r="U60" s="97" t="str">
        <f t="shared" si="14"/>
        <v>NA</v>
      </c>
    </row>
    <row r="61" spans="1:21" x14ac:dyDescent="0.25">
      <c r="A61" s="218">
        <v>999</v>
      </c>
      <c r="B61" s="495" t="s">
        <v>81</v>
      </c>
      <c r="C61" s="95">
        <f>SUMIFS(TM[[#All],[Member Months]],TM[[#All],[Reporting Year]],2022,TM[[#All],[Insurance Category Code]],3,TM[[#All],[Large Provider Entity Code]],A61)</f>
        <v>0</v>
      </c>
      <c r="D61" s="7" t="str">
        <f>IFERROR(SUMIFS(TM[[#All],[Total Non-Truncated Claims Spending]],TM[[#All],[Reporting Year]],2022,TM[[#All],[Insurance Category Code]],3,TM[[#All],[Large Provider Entity Code]],A61)/C61,"NA")</f>
        <v>NA</v>
      </c>
      <c r="E61" s="7" t="str">
        <f>IFERROR(SUMIFS(TM[[#All],[Total Non-Claims Spending]],TM[[#All],[Reporting Year]],2022,TM[[#All],[Insurance Category Code]],3,TM[[#All],[Large Provider Entity Code]],A61)/C61,"NA")</f>
        <v>NA</v>
      </c>
      <c r="F61" s="7" t="str">
        <f>IFERROR(SUMIFS(TM[[#All],[Total Non-Truncated Claims and Non-Claims Spending]],TM[[#All],[Reporting Year]],2022,TM[[#All],[Insurance Category Code]],3,TM[[#All],[Large Provider Entity Code]],A61)/C61,"NA")</f>
        <v>NA</v>
      </c>
      <c r="G61" s="7" t="str">
        <f>IFERROR(SUMIFS(TM[[#All],[Total Truncated Claims Spending]],TM[[#All],[Reporting Year]],2022,TM[[#All],[Insurance Category Code]],3,TM[[#All],[Large Provider Entity Code]],A61)/C61,"NA")</f>
        <v>NA</v>
      </c>
      <c r="H61" s="96" t="str">
        <f>IFERROR(SUMIFS(TM[[#All],[Total Truncated Expenses]],TM[[#All],[Reporting Year]],2022,TM[[#All],[Insurance Category Code]],3,TM[[#All],[Large Provider Entity Code]],A61)/C61,"NA")</f>
        <v>NA</v>
      </c>
      <c r="I61" s="95">
        <f>SUMIFS(TM[[#All],[Member Months]],TM[[#All],[Reporting Year]],2023,TM[[#All],[Insurance Category Code]],3,TM[[#All],[Large Provider Entity Code]],A61)</f>
        <v>0</v>
      </c>
      <c r="J61" s="7" t="str">
        <f>IFERROR(SUMIFS(TM[[#All],[Total Non-Truncated Claims Spending]],TM[[#All],[Reporting Year]],2023,TM[[#All],[Insurance Category Code]],3,TM[[#All],[Large Provider Entity Code]],A61)/I61,"NA")</f>
        <v>NA</v>
      </c>
      <c r="K61" s="7" t="str">
        <f>IFERROR(SUMIFS(TM[[#All],[Total Non-Claims Spending]],TM[[#All],[Reporting Year]],2023,TM[[#All],[Insurance Category Code]],3,TM[[#All],[Large Provider Entity Code]],A61)/I61,"NA")</f>
        <v>NA</v>
      </c>
      <c r="L61" s="7" t="str">
        <f>IFERROR(SUMIFS(TM[[#All],[Total Non-Truncated Claims and Non-Claims Spending]],TM[[#All],[Reporting Year]],2023,TM[[#All],[Insurance Category Code]],3,TM[[#All],[Large Provider Entity Code]],A61)/I61,"NA")</f>
        <v>NA</v>
      </c>
      <c r="M61" s="7" t="str">
        <f>IFERROR(SUMIFS(TM[[#All],[Total Truncated Claims Spending]],TM[[#All],[Reporting Year]],2023,TM[[#All],[Insurance Category Code]],3,TM[[#All],[Large Provider Entity Code]],A61)/I61,"NA")</f>
        <v>NA</v>
      </c>
      <c r="N61" s="96" t="str">
        <f>IFERROR(SUMIFS(TM[[#All],[Total Truncated Expenses]],TM[[#All],[Reporting Year]],2023,TM[[#All],[Insurance Category Code]],3,TM[[#All],[Large Provider Entity Code]],A61)/I61,"NA")</f>
        <v>NA</v>
      </c>
      <c r="O61" s="518">
        <f t="shared" si="15"/>
        <v>0</v>
      </c>
      <c r="P61" s="243" t="str">
        <f t="shared" si="14"/>
        <v>NA</v>
      </c>
      <c r="Q61" s="97" t="str">
        <f t="shared" si="14"/>
        <v>NA</v>
      </c>
      <c r="R61" s="97" t="str">
        <f t="shared" si="14"/>
        <v>NA</v>
      </c>
      <c r="S61" s="97" t="str">
        <f t="shared" si="14"/>
        <v>NA</v>
      </c>
      <c r="T61" s="97" t="str">
        <f t="shared" si="14"/>
        <v>NA</v>
      </c>
      <c r="U61" s="97" t="str">
        <f t="shared" si="14"/>
        <v>NA</v>
      </c>
    </row>
    <row r="62" spans="1:21" ht="30" customHeight="1" x14ac:dyDescent="0.25">
      <c r="A62" s="707" t="s">
        <v>567</v>
      </c>
      <c r="B62" s="708"/>
      <c r="C62" s="165">
        <f>SUM(C42:C61)</f>
        <v>0</v>
      </c>
      <c r="D62" s="131" t="str">
        <f>IFERROR((SUMPRODUCT(D42:D61,C42:C61)/C62),"NA")</f>
        <v>NA</v>
      </c>
      <c r="E62" s="131" t="str">
        <f>IFERROR((SUMPRODUCT(E42:E61,C42:C61)/C62),"NA")</f>
        <v>NA</v>
      </c>
      <c r="F62" s="131" t="str">
        <f>IFERROR((SUMPRODUCT(F42:F61,C42:C61)/C62),"NA")</f>
        <v>NA</v>
      </c>
      <c r="G62" s="131" t="str">
        <f>IFERROR((SUMPRODUCT(G42:G61,C42:C61)/C62),"NA")</f>
        <v>NA</v>
      </c>
      <c r="H62" s="131" t="str">
        <f>IFERROR((SUMPRODUCT(H42:H61,C42:C61)/C62),"NA")</f>
        <v>NA</v>
      </c>
      <c r="I62" s="165">
        <f>SUM(I42:I61)</f>
        <v>0</v>
      </c>
      <c r="J62" s="131" t="str">
        <f>IFERROR((SUMPRODUCT(J42:J61,I42:I61)/I62),"NA")</f>
        <v>NA</v>
      </c>
      <c r="K62" s="131" t="str">
        <f>IFERROR((SUMPRODUCT(K42:K61,I42:I61)/I62),"NA")</f>
        <v>NA</v>
      </c>
      <c r="L62" s="131" t="str">
        <f>IFERROR((SUMPRODUCT(L42:L61,I42:I61)/I62),"NA")</f>
        <v>NA</v>
      </c>
      <c r="M62" s="131" t="str">
        <f>IFERROR((SUMPRODUCT(M42:M61,I42:I61)/I62),"NA")</f>
        <v>NA</v>
      </c>
      <c r="N62" s="251" t="str">
        <f>IFERROR((SUMPRODUCT(N42:N61,I42:I61)/I62),"NA")</f>
        <v>NA</v>
      </c>
      <c r="O62" s="544" t="s">
        <v>500</v>
      </c>
      <c r="P62" s="439" t="s">
        <v>500</v>
      </c>
      <c r="Q62" s="438" t="s">
        <v>500</v>
      </c>
      <c r="R62" s="438" t="s">
        <v>500</v>
      </c>
      <c r="S62" s="438" t="s">
        <v>500</v>
      </c>
      <c r="T62" s="438" t="s">
        <v>500</v>
      </c>
      <c r="U62" s="438" t="s">
        <v>500</v>
      </c>
    </row>
    <row r="63" spans="1:21" x14ac:dyDescent="0.25">
      <c r="A63" s="709" t="s">
        <v>563</v>
      </c>
      <c r="B63" s="710"/>
      <c r="C63" s="165" t="s">
        <v>500</v>
      </c>
      <c r="D63" s="130" t="str">
        <f>IFERROR(((SUMPRODUCT(D41,$C$41))-ABS(SUMIFS(RX[[#All],[Total Medical and Retail Pharmacy Rebate Amount]],RX[[#All],[Reporting Year]],2022,RX[[#All],[Insurance Category Code]],3)))/$C$62,"NA")</f>
        <v>NA</v>
      </c>
      <c r="E63" s="130" t="str">
        <f>IFERROR(((SUMPRODUCT(E41,$C$41))-ABS(SUMIFS(RX[[#All],[Total Medical and Retail Pharmacy Rebate Amount]],RX[[#All],[Reporting Year]],2022,RX[[#All],[Insurance Category Code]],3)))/$C$62,"NA")</f>
        <v>NA</v>
      </c>
      <c r="F63" s="130" t="str">
        <f>IFERROR(((SUMPRODUCT(F41,$C$41))-ABS(SUMIFS(RX[[#All],[Total Medical and Retail Pharmacy Rebate Amount]],RX[[#All],[Reporting Year]],2022,RX[[#All],[Insurance Category Code]],3)))/$C$62,"NA")</f>
        <v>NA</v>
      </c>
      <c r="G63" s="130" t="str">
        <f>IFERROR(((SUMPRODUCT(G41,$C$41))-ABS(SUMIFS(RX[[#All],[Total Medical and Retail Pharmacy Rebate Amount]],RX[[#All],[Reporting Year]],2022,RX[[#All],[Insurance Category Code]],3)))/$C$62,"NA")</f>
        <v>NA</v>
      </c>
      <c r="H63" s="130" t="str">
        <f>IFERROR(((SUMPRODUCT(H41,$C$41))-ABS(SUMIFS(RX[[#All],[Total Medical and Retail Pharmacy Rebate Amount]],RX[[#All],[Reporting Year]],2022,RX[[#All],[Insurance Category Code]],3)))/$C$62,"NA")</f>
        <v>NA</v>
      </c>
      <c r="I63" s="165" t="s">
        <v>500</v>
      </c>
      <c r="J63" s="130" t="str">
        <f>IFERROR(((SUMPRODUCT(J41,$I$41))-ABS(SUMIFS(RX[[#All],[Total Medical and Retail Pharmacy Rebate Amount]],RX[[#All],[Reporting Year]],2023,RX[[#All],[Insurance Category Code]],3)))/$I$62,"NA")</f>
        <v>NA</v>
      </c>
      <c r="K63" s="130" t="str">
        <f>IFERROR(((SUMPRODUCT(K41,$I$41))-ABS(SUMIFS(RX[[#All],[Total Medical and Retail Pharmacy Rebate Amount]],RX[[#All],[Reporting Year]],2023,RX[[#All],[Insurance Category Code]],3)))/$I$62,"NA")</f>
        <v>NA</v>
      </c>
      <c r="L63" s="130" t="str">
        <f>IFERROR(((SUMPRODUCT(L41,$I$41))-ABS(SUMIFS(RX[[#All],[Total Medical and Retail Pharmacy Rebate Amount]],RX[[#All],[Reporting Year]],2023,RX[[#All],[Insurance Category Code]],3)))/$I$62,"NA")</f>
        <v>NA</v>
      </c>
      <c r="M63" s="130" t="str">
        <f>IFERROR(((SUMPRODUCT(M41,$I$41))-ABS(SUMIFS(RX[[#All],[Total Medical and Retail Pharmacy Rebate Amount]],RX[[#All],[Reporting Year]],2023,RX[[#All],[Insurance Category Code]],3)))/$I$62,"NA")</f>
        <v>NA</v>
      </c>
      <c r="N63" s="208" t="str">
        <f>IFERROR(((SUMPRODUCT(N41,$I$41))-ABS(SUMIFS(RX[[#All],[Total Medical and Retail Pharmacy Rebate Amount]],RX[[#All],[Reporting Year]],2023,RX[[#All],[Insurance Category Code]],3)))/$I$62,"NA")</f>
        <v>NA</v>
      </c>
      <c r="O63" s="544" t="s">
        <v>500</v>
      </c>
      <c r="P63" s="439" t="s">
        <v>500</v>
      </c>
      <c r="Q63" s="438" t="s">
        <v>500</v>
      </c>
      <c r="R63" s="438" t="s">
        <v>500</v>
      </c>
      <c r="S63" s="438" t="s">
        <v>500</v>
      </c>
      <c r="T63" s="438" t="s">
        <v>500</v>
      </c>
      <c r="U63" s="438" t="s">
        <v>500</v>
      </c>
    </row>
    <row r="64" spans="1:21" x14ac:dyDescent="0.25">
      <c r="A64" s="717" t="s">
        <v>564</v>
      </c>
      <c r="B64" s="718"/>
      <c r="C64" s="250">
        <f>ABS(C62-C41)</f>
        <v>0</v>
      </c>
      <c r="D64" s="258" t="e">
        <f>ABS(D41-D62)</f>
        <v>#VALUE!</v>
      </c>
      <c r="E64" s="258" t="e">
        <f>ABS(E41-E62)</f>
        <v>#VALUE!</v>
      </c>
      <c r="F64" s="258" t="e">
        <f>ABS(F41-F62)</f>
        <v>#VALUE!</v>
      </c>
      <c r="G64" s="181" t="s">
        <v>500</v>
      </c>
      <c r="H64" s="233" t="s">
        <v>500</v>
      </c>
      <c r="I64" s="230">
        <f>ABS(I62-I41)</f>
        <v>0</v>
      </c>
      <c r="J64" s="227" t="e">
        <f>ABS(J62-J41)</f>
        <v>#VALUE!</v>
      </c>
      <c r="K64" s="227" t="e">
        <f>ABS(K62-K41)</f>
        <v>#VALUE!</v>
      </c>
      <c r="L64" s="227" t="e">
        <f>ABS(L62-L41)</f>
        <v>#VALUE!</v>
      </c>
      <c r="M64" s="244" t="s">
        <v>500</v>
      </c>
      <c r="N64" s="207" t="s">
        <v>500</v>
      </c>
      <c r="O64" s="545" t="s">
        <v>500</v>
      </c>
      <c r="P64" s="546" t="s">
        <v>500</v>
      </c>
      <c r="Q64" s="548" t="s">
        <v>500</v>
      </c>
      <c r="R64" s="548" t="s">
        <v>500</v>
      </c>
      <c r="S64" s="548" t="s">
        <v>500</v>
      </c>
      <c r="T64" s="548" t="s">
        <v>500</v>
      </c>
      <c r="U64" s="548" t="s">
        <v>500</v>
      </c>
    </row>
    <row r="65" spans="1:21" x14ac:dyDescent="0.25">
      <c r="A65" s="715" t="s">
        <v>565</v>
      </c>
      <c r="B65" s="716"/>
      <c r="C65" s="260" t="str">
        <f>IF(((ABS(C41-C62))&lt;10),"Yes","No")</f>
        <v>Yes</v>
      </c>
      <c r="D65" s="181" t="e">
        <f>IF(((ABS(D41-D62))&lt;10),"Yes","No")</f>
        <v>#VALUE!</v>
      </c>
      <c r="E65" s="181" t="e">
        <f>IF(((ABS(E41-E62))&lt;10),"Yes","No")</f>
        <v>#VALUE!</v>
      </c>
      <c r="F65" s="181" t="e">
        <f>IF(((ABS(F41-F62))&lt;10),"Yes","No")</f>
        <v>#VALUE!</v>
      </c>
      <c r="G65" s="181" t="s">
        <v>500</v>
      </c>
      <c r="H65" s="233" t="s">
        <v>500</v>
      </c>
      <c r="I65" s="260" t="str">
        <f>IF(((ABS(I41-I62))&lt;10),"Yes","No")</f>
        <v>Yes</v>
      </c>
      <c r="J65" s="181" t="e">
        <f>IF(((ABS(J41-J62))&lt;10),"Yes","No")</f>
        <v>#VALUE!</v>
      </c>
      <c r="K65" s="181" t="e">
        <f>IF(((ABS(K41-K62))&lt;10),"Yes","No")</f>
        <v>#VALUE!</v>
      </c>
      <c r="L65" s="181" t="e">
        <f>IF(((ABS(L41-L62))&lt;10),"Yes","No")</f>
        <v>#VALUE!</v>
      </c>
      <c r="M65" s="181" t="s">
        <v>500</v>
      </c>
      <c r="N65" s="233" t="s">
        <v>500</v>
      </c>
      <c r="O65" s="545" t="s">
        <v>500</v>
      </c>
      <c r="P65" s="546" t="s">
        <v>500</v>
      </c>
      <c r="Q65" s="548" t="s">
        <v>500</v>
      </c>
      <c r="R65" s="548" t="s">
        <v>500</v>
      </c>
      <c r="S65" s="548" t="s">
        <v>500</v>
      </c>
      <c r="T65" s="548" t="s">
        <v>500</v>
      </c>
      <c r="U65" s="548" t="s">
        <v>500</v>
      </c>
    </row>
    <row r="66" spans="1:21" x14ac:dyDescent="0.25">
      <c r="A66"/>
      <c r="B66"/>
      <c r="C66"/>
      <c r="D66" s="150"/>
      <c r="E66"/>
      <c r="F66"/>
      <c r="G66"/>
      <c r="H66"/>
      <c r="I66"/>
      <c r="J66"/>
      <c r="K66"/>
      <c r="L66"/>
      <c r="M66"/>
      <c r="N66"/>
      <c r="O66"/>
      <c r="P66"/>
      <c r="Q66"/>
      <c r="R66"/>
      <c r="S66"/>
      <c r="T66"/>
      <c r="U66"/>
    </row>
    <row r="67" spans="1:21" x14ac:dyDescent="0.25">
      <c r="A67"/>
      <c r="B67"/>
      <c r="C67"/>
      <c r="D67"/>
      <c r="E67"/>
      <c r="F67"/>
      <c r="G67"/>
      <c r="H67"/>
      <c r="I67"/>
      <c r="J67"/>
      <c r="K67"/>
      <c r="L67"/>
      <c r="M67"/>
      <c r="N67"/>
      <c r="O67"/>
      <c r="P67"/>
      <c r="Q67"/>
      <c r="R67"/>
      <c r="S67"/>
      <c r="T67"/>
      <c r="U67"/>
    </row>
    <row r="68" spans="1:21" x14ac:dyDescent="0.25">
      <c r="A68" s="3" t="s">
        <v>568</v>
      </c>
      <c r="B68"/>
      <c r="C68"/>
      <c r="D68"/>
      <c r="E68"/>
      <c r="F68"/>
      <c r="G68"/>
      <c r="H68"/>
      <c r="I68"/>
      <c r="J68"/>
      <c r="K68"/>
      <c r="L68"/>
      <c r="M68"/>
      <c r="N68"/>
      <c r="O68"/>
      <c r="P68"/>
      <c r="Q68"/>
      <c r="R68"/>
      <c r="S68"/>
      <c r="T68"/>
      <c r="U68"/>
    </row>
    <row r="69" spans="1:21" ht="15" customHeight="1" x14ac:dyDescent="0.25">
      <c r="A69" s="723" t="s">
        <v>71</v>
      </c>
      <c r="B69" s="725" t="s">
        <v>547</v>
      </c>
      <c r="C69" s="697">
        <v>2022</v>
      </c>
      <c r="D69" s="698"/>
      <c r="E69" s="698"/>
      <c r="F69" s="698"/>
      <c r="G69" s="698"/>
      <c r="H69" s="699"/>
      <c r="I69" s="700">
        <v>2023</v>
      </c>
      <c r="J69" s="701"/>
      <c r="K69" s="701"/>
      <c r="L69" s="701"/>
      <c r="M69" s="701"/>
      <c r="N69" s="702"/>
      <c r="O69" s="570"/>
      <c r="P69" s="703" t="s">
        <v>618</v>
      </c>
      <c r="Q69" s="704"/>
      <c r="R69" s="704"/>
      <c r="S69" s="704"/>
      <c r="T69" s="704"/>
      <c r="U69" s="705"/>
    </row>
    <row r="70" spans="1:21" ht="45" x14ac:dyDescent="0.25">
      <c r="A70" s="724"/>
      <c r="B70" s="726"/>
      <c r="C70" s="215" t="s">
        <v>352</v>
      </c>
      <c r="D70" s="124" t="s">
        <v>550</v>
      </c>
      <c r="E70" s="124" t="s">
        <v>551</v>
      </c>
      <c r="F70" s="124" t="s">
        <v>552</v>
      </c>
      <c r="G70" s="124" t="s">
        <v>553</v>
      </c>
      <c r="H70" s="216" t="s">
        <v>554</v>
      </c>
      <c r="I70" s="211" t="s">
        <v>352</v>
      </c>
      <c r="J70" s="125" t="s">
        <v>550</v>
      </c>
      <c r="K70" s="125" t="s">
        <v>551</v>
      </c>
      <c r="L70" s="125" t="s">
        <v>552</v>
      </c>
      <c r="M70" s="125" t="s">
        <v>553</v>
      </c>
      <c r="N70" s="212" t="s">
        <v>554</v>
      </c>
      <c r="O70" s="513" t="s">
        <v>555</v>
      </c>
      <c r="P70" s="242" t="s">
        <v>556</v>
      </c>
      <c r="Q70" s="77" t="s">
        <v>557</v>
      </c>
      <c r="R70" s="77" t="s">
        <v>558</v>
      </c>
      <c r="S70" s="77" t="s">
        <v>559</v>
      </c>
      <c r="T70" s="77" t="s">
        <v>560</v>
      </c>
      <c r="U70" s="217" t="s">
        <v>561</v>
      </c>
    </row>
    <row r="71" spans="1:21" x14ac:dyDescent="0.25">
      <c r="A71" s="219">
        <v>100</v>
      </c>
      <c r="B71" s="495" t="s">
        <v>72</v>
      </c>
      <c r="C71" s="95">
        <f>SUMIFS(TM[[#All],[Member Months]],TM[[#All],[Reporting Year]],2022,TM[[#All],[Insurance Category Code]],4,TM[[#All],[Large Provider Entity Code]],A71)</f>
        <v>0</v>
      </c>
      <c r="D71" s="7" t="str">
        <f>IFERROR(SUMIFS(TM[[#All],[Total Non-Truncated Claims Spending]],TM[[#All],[Reporting Year]],2022,TM[[#All],[Insurance Category Code]],4,TM[[#All],[Large Provider Entity Code]],A71)/C71,"NA")</f>
        <v>NA</v>
      </c>
      <c r="E71" s="7" t="str">
        <f>IFERROR(SUMIFS(TM[[#All],[Total Non-Claims Spending]],TM[[#All],[Reporting Year]],2022,TM[[#All],[Insurance Category Code]],4,TM[[#All],[Large Provider Entity Code]],A71)/C71,"NA")</f>
        <v>NA</v>
      </c>
      <c r="F71" s="7" t="str">
        <f>IFERROR(SUMIFS(TM[[#All],[Total Non-Truncated Claims and Non-Claims Spending]],TM[[#All],[Reporting Year]],2022,TM[[#All],[Insurance Category Code]],4,TM[[#All],[Large Provider Entity Code]],A71)/C71,"NA")</f>
        <v>NA</v>
      </c>
      <c r="G71" s="7" t="str">
        <f>IFERROR(SUMIFS(TM[[#All],[Total Truncated Claims Spending]],TM[[#All],[Reporting Year]],2022,TM[[#All],[Insurance Category Code]],4,TM[[#All],[Large Provider Entity Code]],A71)/C71,"NA")</f>
        <v>NA</v>
      </c>
      <c r="H71" s="96" t="str">
        <f>IFERROR(SUMIFS(TM[[#All],[Total Truncated Expenses]],TM[[#All],[Reporting Year]],2022,TM[[#All],[Insurance Category Code]],4,TM[[#All],[Large Provider Entity Code]],A71)/C71,"NA")</f>
        <v>NA</v>
      </c>
      <c r="I71" s="95">
        <f>SUMIFS(TM[[#All],[Member Months]],TM[[#All],[Reporting Year]],2023,TM[[#All],[Insurance Category Code]],4,TM[[#All],[Large Provider Entity Code]],A71)</f>
        <v>0</v>
      </c>
      <c r="J71" s="7" t="str">
        <f>IFERROR(SUMIFS(TM[[#All],[Total Non-Truncated Claims Spending]],TM[[#All],[Reporting Year]],2023,TM[[#All],[Insurance Category Code]],4,TM[[#All],[Large Provider Entity Code]],A71)/I71,"NA")</f>
        <v>NA</v>
      </c>
      <c r="K71" s="7" t="str">
        <f>IFERROR(SUMIFS(TM[[#All],[Total Non-Claims Spending]],TM[[#All],[Reporting Year]],2023,TM[[#All],[Insurance Category Code]],4,TM[[#All],[Large Provider Entity Code]],A71)/I71,"NA")</f>
        <v>NA</v>
      </c>
      <c r="L71" s="7" t="str">
        <f>IFERROR(SUMIFS(TM[[#All],[Total Non-Truncated Claims and Non-Claims Spending]],TM[[#All],[Reporting Year]],2023,TM[[#All],[Insurance Category Code]],4,TM[[#All],[Large Provider Entity Code]],A71)/I71,"NA")</f>
        <v>NA</v>
      </c>
      <c r="M71" s="7" t="str">
        <f>IFERROR(SUMIFS(TM[[#All],[Total Truncated Claims Spending]],TM[[#All],[Reporting Year]],2023,TM[[#All],[Insurance Category Code]],4,TM[[#All],[Large Provider Entity Code]],A71)/I71,"NA")</f>
        <v>NA</v>
      </c>
      <c r="N71" s="96" t="str">
        <f>IFERROR(SUMIFS(TM[[#All],[Total Truncated Expenses]],TM[[#All],[Reporting Year]],2023,TM[[#All],[Insurance Category Code]],4,TM[[#All],[Large Provider Entity Code]],A71)/I71,"NA")</f>
        <v>NA</v>
      </c>
      <c r="O71" s="518">
        <f>ABS(C71-I71)</f>
        <v>0</v>
      </c>
      <c r="P71" s="243" t="str">
        <f t="shared" ref="P71:U91" si="16">IFERROR((I71/C71-1),"NA")</f>
        <v>NA</v>
      </c>
      <c r="Q71" s="97" t="str">
        <f t="shared" si="16"/>
        <v>NA</v>
      </c>
      <c r="R71" s="97" t="str">
        <f t="shared" si="16"/>
        <v>NA</v>
      </c>
      <c r="S71" s="97" t="str">
        <f t="shared" si="16"/>
        <v>NA</v>
      </c>
      <c r="T71" s="97" t="str">
        <f t="shared" si="16"/>
        <v>NA</v>
      </c>
      <c r="U71" s="97" t="str">
        <f t="shared" si="16"/>
        <v>NA</v>
      </c>
    </row>
    <row r="72" spans="1:21" x14ac:dyDescent="0.25">
      <c r="A72" s="218">
        <v>101</v>
      </c>
      <c r="B72" s="495" t="s">
        <v>609</v>
      </c>
      <c r="C72" s="95">
        <f>SUMIFS(TM[[#All],[Member Months]],TM[[#All],[Reporting Year]],2022,TM[[#All],[Insurance Category Code]],4,TM[[#All],[Large Provider Entity Code]],A72)</f>
        <v>0</v>
      </c>
      <c r="D72" s="7" t="str">
        <f>IFERROR(SUMIFS(TM[[#All],[Total Non-Truncated Claims Spending]],TM[[#All],[Reporting Year]],2022,TM[[#All],[Insurance Category Code]],4,TM[[#All],[Large Provider Entity Code]],A72)/C72,"NA")</f>
        <v>NA</v>
      </c>
      <c r="E72" s="7" t="str">
        <f>IFERROR(SUMIFS(TM[[#All],[Total Non-Claims Spending]],TM[[#All],[Reporting Year]],2022,TM[[#All],[Insurance Category Code]],4,TM[[#All],[Large Provider Entity Code]],A72)/C72,"NA")</f>
        <v>NA</v>
      </c>
      <c r="F72" s="7" t="str">
        <f>IFERROR(SUMIFS(TM[[#All],[Total Non-Truncated Claims and Non-Claims Spending]],TM[[#All],[Reporting Year]],2022,TM[[#All],[Insurance Category Code]],4,TM[[#All],[Large Provider Entity Code]],A72)/C72,"NA")</f>
        <v>NA</v>
      </c>
      <c r="G72" s="7" t="str">
        <f>IFERROR(SUMIFS(TM[[#All],[Total Truncated Claims Spending]],TM[[#All],[Reporting Year]],2022,TM[[#All],[Insurance Category Code]],4,TM[[#All],[Large Provider Entity Code]],A72)/C72,"NA")</f>
        <v>NA</v>
      </c>
      <c r="H72" s="96" t="str">
        <f>IFERROR(SUMIFS(TM[[#All],[Total Truncated Expenses]],TM[[#All],[Reporting Year]],2022,TM[[#All],[Insurance Category Code]],4,TM[[#All],[Large Provider Entity Code]],A72)/C72,"NA")</f>
        <v>NA</v>
      </c>
      <c r="I72" s="95">
        <f>SUMIFS(TM[[#All],[Member Months]],TM[[#All],[Reporting Year]],2023,TM[[#All],[Insurance Category Code]],4,TM[[#All],[Large Provider Entity Code]],A72)</f>
        <v>0</v>
      </c>
      <c r="J72" s="7" t="str">
        <f>IFERROR(SUMIFS(TM[[#All],[Total Non-Truncated Claims Spending]],TM[[#All],[Reporting Year]],2023,TM[[#All],[Insurance Category Code]],4,TM[[#All],[Large Provider Entity Code]],A72)/I72,"NA")</f>
        <v>NA</v>
      </c>
      <c r="K72" s="7" t="str">
        <f>IFERROR(SUMIFS(TM[[#All],[Total Non-Claims Spending]],TM[[#All],[Reporting Year]],2023,TM[[#All],[Insurance Category Code]],4,TM[[#All],[Large Provider Entity Code]],A72)/I72,"NA")</f>
        <v>NA</v>
      </c>
      <c r="L72" s="7" t="str">
        <f>IFERROR(SUMIFS(TM[[#All],[Total Non-Truncated Claims and Non-Claims Spending]],TM[[#All],[Reporting Year]],2023,TM[[#All],[Insurance Category Code]],4,TM[[#All],[Large Provider Entity Code]],A72)/I72,"NA")</f>
        <v>NA</v>
      </c>
      <c r="M72" s="7" t="str">
        <f>IFERROR(SUMIFS(TM[[#All],[Total Truncated Claims Spending]],TM[[#All],[Reporting Year]],2023,TM[[#All],[Insurance Category Code]],4,TM[[#All],[Large Provider Entity Code]],A72)/I72,"NA")</f>
        <v>NA</v>
      </c>
      <c r="N72" s="96" t="str">
        <f>IFERROR(SUMIFS(TM[[#All],[Total Truncated Expenses]],TM[[#All],[Reporting Year]],2023,TM[[#All],[Insurance Category Code]],4,TM[[#All],[Large Provider Entity Code]],A72)/I72,"NA")</f>
        <v>NA</v>
      </c>
      <c r="O72" s="518">
        <f t="shared" ref="O72:O91" si="17">ABS(C72-I72)</f>
        <v>0</v>
      </c>
      <c r="P72" s="243" t="str">
        <f t="shared" si="16"/>
        <v>NA</v>
      </c>
      <c r="Q72" s="97" t="str">
        <f t="shared" si="16"/>
        <v>NA</v>
      </c>
      <c r="R72" s="97" t="str">
        <f t="shared" si="16"/>
        <v>NA</v>
      </c>
      <c r="S72" s="97" t="str">
        <f t="shared" si="16"/>
        <v>NA</v>
      </c>
      <c r="T72" s="97" t="str">
        <f t="shared" si="16"/>
        <v>NA</v>
      </c>
      <c r="U72" s="97" t="str">
        <f t="shared" si="16"/>
        <v>NA</v>
      </c>
    </row>
    <row r="73" spans="1:21" x14ac:dyDescent="0.25">
      <c r="A73" s="218">
        <v>102</v>
      </c>
      <c r="B73" s="566" t="s">
        <v>610</v>
      </c>
      <c r="C73" s="95">
        <f>SUMIFS(TM[[#All],[Member Months]],TM[[#All],[Reporting Year]],2022,TM[[#All],[Insurance Category Code]],4,TM[[#All],[Large Provider Entity Code]],A73)</f>
        <v>0</v>
      </c>
      <c r="D73" s="7" t="str">
        <f>IFERROR(SUMIFS(TM[[#All],[Total Non-Truncated Claims Spending]],TM[[#All],[Reporting Year]],2022,TM[[#All],[Insurance Category Code]],4,TM[[#All],[Large Provider Entity Code]],A73)/C73,"NA")</f>
        <v>NA</v>
      </c>
      <c r="E73" s="7" t="str">
        <f>IFERROR(SUMIFS(TM[[#All],[Total Non-Claims Spending]],TM[[#All],[Reporting Year]],2022,TM[[#All],[Insurance Category Code]],4,TM[[#All],[Large Provider Entity Code]],A73)/C73,"NA")</f>
        <v>NA</v>
      </c>
      <c r="F73" s="7" t="str">
        <f>IFERROR(SUMIFS(TM[[#All],[Total Non-Truncated Claims and Non-Claims Spending]],TM[[#All],[Reporting Year]],2022,TM[[#All],[Insurance Category Code]],4,TM[[#All],[Large Provider Entity Code]],A73)/C73,"NA")</f>
        <v>NA</v>
      </c>
      <c r="G73" s="7" t="str">
        <f>IFERROR(SUMIFS(TM[[#All],[Total Truncated Claims Spending]],TM[[#All],[Reporting Year]],2022,TM[[#All],[Insurance Category Code]],4,TM[[#All],[Large Provider Entity Code]],A73)/C73,"NA")</f>
        <v>NA</v>
      </c>
      <c r="H73" s="96" t="str">
        <f>IFERROR(SUMIFS(TM[[#All],[Total Truncated Expenses]],TM[[#All],[Reporting Year]],2022,TM[[#All],[Insurance Category Code]],4,TM[[#All],[Large Provider Entity Code]],A73)/C73,"NA")</f>
        <v>NA</v>
      </c>
      <c r="I73" s="95">
        <f>SUMIFS(TM[[#All],[Member Months]],TM[[#All],[Reporting Year]],2023,TM[[#All],[Insurance Category Code]],4,TM[[#All],[Large Provider Entity Code]],A73)</f>
        <v>0</v>
      </c>
      <c r="J73" s="7" t="str">
        <f>IFERROR(SUMIFS(TM[[#All],[Total Non-Truncated Claims Spending]],TM[[#All],[Reporting Year]],2023,TM[[#All],[Insurance Category Code]],4,TM[[#All],[Large Provider Entity Code]],A73)/I73,"NA")</f>
        <v>NA</v>
      </c>
      <c r="K73" s="7" t="str">
        <f>IFERROR(SUMIFS(TM[[#All],[Total Non-Claims Spending]],TM[[#All],[Reporting Year]],2023,TM[[#All],[Insurance Category Code]],4,TM[[#All],[Large Provider Entity Code]],A73)/I73,"NA")</f>
        <v>NA</v>
      </c>
      <c r="L73" s="7" t="str">
        <f>IFERROR(SUMIFS(TM[[#All],[Total Non-Truncated Claims and Non-Claims Spending]],TM[[#All],[Reporting Year]],2023,TM[[#All],[Insurance Category Code]],4,TM[[#All],[Large Provider Entity Code]],A73)/I73,"NA")</f>
        <v>NA</v>
      </c>
      <c r="M73" s="7" t="str">
        <f>IFERROR(SUMIFS(TM[[#All],[Total Truncated Claims Spending]],TM[[#All],[Reporting Year]],2023,TM[[#All],[Insurance Category Code]],4,TM[[#All],[Large Provider Entity Code]],A73)/I73,"NA")</f>
        <v>NA</v>
      </c>
      <c r="N73" s="96" t="str">
        <f>IFERROR(SUMIFS(TM[[#All],[Total Truncated Expenses]],TM[[#All],[Reporting Year]],2023,TM[[#All],[Insurance Category Code]],4,TM[[#All],[Large Provider Entity Code]],A73)/I73,"NA")</f>
        <v>NA</v>
      </c>
      <c r="O73" s="518">
        <f t="shared" si="17"/>
        <v>0</v>
      </c>
      <c r="P73" s="243" t="str">
        <f t="shared" si="16"/>
        <v>NA</v>
      </c>
      <c r="Q73" s="97" t="str">
        <f t="shared" si="16"/>
        <v>NA</v>
      </c>
      <c r="R73" s="97" t="str">
        <f t="shared" si="16"/>
        <v>NA</v>
      </c>
      <c r="S73" s="97" t="str">
        <f t="shared" si="16"/>
        <v>NA</v>
      </c>
      <c r="T73" s="97" t="str">
        <f t="shared" si="16"/>
        <v>NA</v>
      </c>
      <c r="U73" s="97" t="str">
        <f t="shared" si="16"/>
        <v>NA</v>
      </c>
    </row>
    <row r="74" spans="1:21" ht="14.45" customHeight="1" x14ac:dyDescent="0.25">
      <c r="A74" s="218">
        <v>103</v>
      </c>
      <c r="B74" s="495" t="s">
        <v>73</v>
      </c>
      <c r="C74" s="95">
        <f>SUMIFS(TM[[#All],[Member Months]],TM[[#All],[Reporting Year]],2022,TM[[#All],[Insurance Category Code]],4,TM[[#All],[Large Provider Entity Code]],A74)</f>
        <v>0</v>
      </c>
      <c r="D74" s="7" t="str">
        <f>IFERROR(SUMIFS(TM[[#All],[Total Non-Truncated Claims Spending]],TM[[#All],[Reporting Year]],2022,TM[[#All],[Insurance Category Code]],4,TM[[#All],[Large Provider Entity Code]],A74)/C74,"NA")</f>
        <v>NA</v>
      </c>
      <c r="E74" s="7" t="str">
        <f>IFERROR(SUMIFS(TM[[#All],[Total Non-Claims Spending]],TM[[#All],[Reporting Year]],2022,TM[[#All],[Insurance Category Code]],4,TM[[#All],[Large Provider Entity Code]],A74)/C74,"NA")</f>
        <v>NA</v>
      </c>
      <c r="F74" s="7" t="str">
        <f>IFERROR(SUMIFS(TM[[#All],[Total Non-Truncated Claims and Non-Claims Spending]],TM[[#All],[Reporting Year]],2022,TM[[#All],[Insurance Category Code]],4,TM[[#All],[Large Provider Entity Code]],A74)/C74,"NA")</f>
        <v>NA</v>
      </c>
      <c r="G74" s="7" t="str">
        <f>IFERROR(SUMIFS(TM[[#All],[Total Truncated Claims Spending]],TM[[#All],[Reporting Year]],2022,TM[[#All],[Insurance Category Code]],4,TM[[#All],[Large Provider Entity Code]],A74)/C74,"NA")</f>
        <v>NA</v>
      </c>
      <c r="H74" s="96" t="str">
        <f>IFERROR(SUMIFS(TM[[#All],[Total Truncated Expenses]],TM[[#All],[Reporting Year]],2022,TM[[#All],[Insurance Category Code]],4,TM[[#All],[Large Provider Entity Code]],A74)/C74,"NA")</f>
        <v>NA</v>
      </c>
      <c r="I74" s="95">
        <f>SUMIFS(TM[[#All],[Member Months]],TM[[#All],[Reporting Year]],2023,TM[[#All],[Insurance Category Code]],4,TM[[#All],[Large Provider Entity Code]],A74)</f>
        <v>0</v>
      </c>
      <c r="J74" s="7" t="str">
        <f>IFERROR(SUMIFS(TM[[#All],[Total Non-Truncated Claims Spending]],TM[[#All],[Reporting Year]],2023,TM[[#All],[Insurance Category Code]],4,TM[[#All],[Large Provider Entity Code]],A74)/I74,"NA")</f>
        <v>NA</v>
      </c>
      <c r="K74" s="7" t="str">
        <f>IFERROR(SUMIFS(TM[[#All],[Total Non-Claims Spending]],TM[[#All],[Reporting Year]],2023,TM[[#All],[Insurance Category Code]],4,TM[[#All],[Large Provider Entity Code]],A74)/I74,"NA")</f>
        <v>NA</v>
      </c>
      <c r="L74" s="7" t="str">
        <f>IFERROR(SUMIFS(TM[[#All],[Total Non-Truncated Claims and Non-Claims Spending]],TM[[#All],[Reporting Year]],2023,TM[[#All],[Insurance Category Code]],4,TM[[#All],[Large Provider Entity Code]],A74)/I74,"NA")</f>
        <v>NA</v>
      </c>
      <c r="M74" s="7" t="str">
        <f>IFERROR(SUMIFS(TM[[#All],[Total Truncated Claims Spending]],TM[[#All],[Reporting Year]],2023,TM[[#All],[Insurance Category Code]],4,TM[[#All],[Large Provider Entity Code]],A74)/I74,"NA")</f>
        <v>NA</v>
      </c>
      <c r="N74" s="96" t="str">
        <f>IFERROR(SUMIFS(TM[[#All],[Total Truncated Expenses]],TM[[#All],[Reporting Year]],2023,TM[[#All],[Insurance Category Code]],4,TM[[#All],[Large Provider Entity Code]],A74)/I74,"NA")</f>
        <v>NA</v>
      </c>
      <c r="O74" s="518">
        <f t="shared" si="17"/>
        <v>0</v>
      </c>
      <c r="P74" s="243" t="str">
        <f t="shared" si="16"/>
        <v>NA</v>
      </c>
      <c r="Q74" s="97" t="str">
        <f t="shared" si="16"/>
        <v>NA</v>
      </c>
      <c r="R74" s="97" t="str">
        <f t="shared" si="16"/>
        <v>NA</v>
      </c>
      <c r="S74" s="97" t="str">
        <f t="shared" si="16"/>
        <v>NA</v>
      </c>
      <c r="T74" s="97" t="str">
        <f t="shared" si="16"/>
        <v>NA</v>
      </c>
      <c r="U74" s="97" t="str">
        <f t="shared" si="16"/>
        <v>NA</v>
      </c>
    </row>
    <row r="75" spans="1:21" x14ac:dyDescent="0.25">
      <c r="A75" s="218">
        <v>104</v>
      </c>
      <c r="B75" s="495" t="s">
        <v>611</v>
      </c>
      <c r="C75" s="95">
        <f>SUMIFS(TM[[#All],[Member Months]],TM[[#All],[Reporting Year]],2022,TM[[#All],[Insurance Category Code]],4,TM[[#All],[Large Provider Entity Code]],A75)</f>
        <v>0</v>
      </c>
      <c r="D75" s="7" t="str">
        <f>IFERROR(SUMIFS(TM[[#All],[Total Non-Truncated Claims Spending]],TM[[#All],[Reporting Year]],2022,TM[[#All],[Insurance Category Code]],4,TM[[#All],[Large Provider Entity Code]],A75)/C75,"NA")</f>
        <v>NA</v>
      </c>
      <c r="E75" s="7" t="str">
        <f>IFERROR(SUMIFS(TM[[#All],[Total Non-Claims Spending]],TM[[#All],[Reporting Year]],2022,TM[[#All],[Insurance Category Code]],4,TM[[#All],[Large Provider Entity Code]],A75)/C75,"NA")</f>
        <v>NA</v>
      </c>
      <c r="F75" s="7" t="str">
        <f>IFERROR(SUMIFS(TM[[#All],[Total Non-Truncated Claims and Non-Claims Spending]],TM[[#All],[Reporting Year]],2022,TM[[#All],[Insurance Category Code]],4,TM[[#All],[Large Provider Entity Code]],A75)/C75,"NA")</f>
        <v>NA</v>
      </c>
      <c r="G75" s="7" t="str">
        <f>IFERROR(SUMIFS(TM[[#All],[Total Truncated Claims Spending]],TM[[#All],[Reporting Year]],2022,TM[[#All],[Insurance Category Code]],4,TM[[#All],[Large Provider Entity Code]],A75)/C75,"NA")</f>
        <v>NA</v>
      </c>
      <c r="H75" s="96" t="str">
        <f>IFERROR(SUMIFS(TM[[#All],[Total Truncated Expenses]],TM[[#All],[Reporting Year]],2022,TM[[#All],[Insurance Category Code]],4,TM[[#All],[Large Provider Entity Code]],A75)/C75,"NA")</f>
        <v>NA</v>
      </c>
      <c r="I75" s="95">
        <f>SUMIFS(TM[[#All],[Member Months]],TM[[#All],[Reporting Year]],2023,TM[[#All],[Insurance Category Code]],4,TM[[#All],[Large Provider Entity Code]],A75)</f>
        <v>0</v>
      </c>
      <c r="J75" s="7" t="str">
        <f>IFERROR(SUMIFS(TM[[#All],[Total Non-Truncated Claims Spending]],TM[[#All],[Reporting Year]],2023,TM[[#All],[Insurance Category Code]],4,TM[[#All],[Large Provider Entity Code]],A75)/I75,"NA")</f>
        <v>NA</v>
      </c>
      <c r="K75" s="7" t="str">
        <f>IFERROR(SUMIFS(TM[[#All],[Total Non-Claims Spending]],TM[[#All],[Reporting Year]],2023,TM[[#All],[Insurance Category Code]],4,TM[[#All],[Large Provider Entity Code]],A75)/I75,"NA")</f>
        <v>NA</v>
      </c>
      <c r="L75" s="7" t="str">
        <f>IFERROR(SUMIFS(TM[[#All],[Total Non-Truncated Claims and Non-Claims Spending]],TM[[#All],[Reporting Year]],2023,TM[[#All],[Insurance Category Code]],4,TM[[#All],[Large Provider Entity Code]],A75)/I75,"NA")</f>
        <v>NA</v>
      </c>
      <c r="M75" s="7" t="str">
        <f>IFERROR(SUMIFS(TM[[#All],[Total Truncated Claims Spending]],TM[[#All],[Reporting Year]],2023,TM[[#All],[Insurance Category Code]],4,TM[[#All],[Large Provider Entity Code]],A75)/I75,"NA")</f>
        <v>NA</v>
      </c>
      <c r="N75" s="96" t="str">
        <f>IFERROR(SUMIFS(TM[[#All],[Total Truncated Expenses]],TM[[#All],[Reporting Year]],2023,TM[[#All],[Insurance Category Code]],4,TM[[#All],[Large Provider Entity Code]],A75)/I75,"NA")</f>
        <v>NA</v>
      </c>
      <c r="O75" s="518">
        <f t="shared" si="17"/>
        <v>0</v>
      </c>
      <c r="P75" s="243" t="str">
        <f t="shared" si="16"/>
        <v>NA</v>
      </c>
      <c r="Q75" s="97" t="str">
        <f t="shared" si="16"/>
        <v>NA</v>
      </c>
      <c r="R75" s="97" t="str">
        <f t="shared" si="16"/>
        <v>NA</v>
      </c>
      <c r="S75" s="97" t="str">
        <f t="shared" si="16"/>
        <v>NA</v>
      </c>
      <c r="T75" s="97" t="str">
        <f t="shared" si="16"/>
        <v>NA</v>
      </c>
      <c r="U75" s="97" t="str">
        <f t="shared" si="16"/>
        <v>NA</v>
      </c>
    </row>
    <row r="76" spans="1:21" x14ac:dyDescent="0.25">
      <c r="A76" s="218">
        <v>105</v>
      </c>
      <c r="B76" s="566" t="s">
        <v>607</v>
      </c>
      <c r="C76" s="95">
        <f>SUMIFS(TM[[#All],[Member Months]],TM[[#All],[Reporting Year]],2022,TM[[#All],[Insurance Category Code]],4,TM[[#All],[Large Provider Entity Code]],A76)</f>
        <v>0</v>
      </c>
      <c r="D76" s="7" t="str">
        <f>IFERROR(SUMIFS(TM[[#All],[Total Non-Truncated Claims Spending]],TM[[#All],[Reporting Year]],2022,TM[[#All],[Insurance Category Code]],4,TM[[#All],[Large Provider Entity Code]],A76)/C76,"NA")</f>
        <v>NA</v>
      </c>
      <c r="E76" s="7" t="str">
        <f>IFERROR(SUMIFS(TM[[#All],[Total Non-Claims Spending]],TM[[#All],[Reporting Year]],2022,TM[[#All],[Insurance Category Code]],4,TM[[#All],[Large Provider Entity Code]],A76)/C76,"NA")</f>
        <v>NA</v>
      </c>
      <c r="F76" s="7" t="str">
        <f>IFERROR(SUMIFS(TM[[#All],[Total Non-Truncated Claims and Non-Claims Spending]],TM[[#All],[Reporting Year]],2022,TM[[#All],[Insurance Category Code]],4,TM[[#All],[Large Provider Entity Code]],A76)/C76,"NA")</f>
        <v>NA</v>
      </c>
      <c r="G76" s="7" t="str">
        <f>IFERROR(SUMIFS(TM[[#All],[Total Truncated Claims Spending]],TM[[#All],[Reporting Year]],2022,TM[[#All],[Insurance Category Code]],4,TM[[#All],[Large Provider Entity Code]],A76)/C76,"NA")</f>
        <v>NA</v>
      </c>
      <c r="H76" s="96" t="str">
        <f>IFERROR(SUMIFS(TM[[#All],[Total Truncated Expenses]],TM[[#All],[Reporting Year]],2022,TM[[#All],[Insurance Category Code]],4,TM[[#All],[Large Provider Entity Code]],A76)/C76,"NA")</f>
        <v>NA</v>
      </c>
      <c r="I76" s="95">
        <f>SUMIFS(TM[[#All],[Member Months]],TM[[#All],[Reporting Year]],2023,TM[[#All],[Insurance Category Code]],4,TM[[#All],[Large Provider Entity Code]],A76)</f>
        <v>0</v>
      </c>
      <c r="J76" s="7" t="str">
        <f>IFERROR(SUMIFS(TM[[#All],[Total Non-Truncated Claims Spending]],TM[[#All],[Reporting Year]],2023,TM[[#All],[Insurance Category Code]],4,TM[[#All],[Large Provider Entity Code]],A76)/I76,"NA")</f>
        <v>NA</v>
      </c>
      <c r="K76" s="7" t="str">
        <f>IFERROR(SUMIFS(TM[[#All],[Total Non-Claims Spending]],TM[[#All],[Reporting Year]],2023,TM[[#All],[Insurance Category Code]],4,TM[[#All],[Large Provider Entity Code]],A76)/I76,"NA")</f>
        <v>NA</v>
      </c>
      <c r="L76" s="7" t="str">
        <f>IFERROR(SUMIFS(TM[[#All],[Total Non-Truncated Claims and Non-Claims Spending]],TM[[#All],[Reporting Year]],2023,TM[[#All],[Insurance Category Code]],4,TM[[#All],[Large Provider Entity Code]],A76)/I76,"NA")</f>
        <v>NA</v>
      </c>
      <c r="M76" s="7" t="str">
        <f>IFERROR(SUMIFS(TM[[#All],[Total Truncated Claims Spending]],TM[[#All],[Reporting Year]],2023,TM[[#All],[Insurance Category Code]],4,TM[[#All],[Large Provider Entity Code]],A76)/I76,"NA")</f>
        <v>NA</v>
      </c>
      <c r="N76" s="96" t="str">
        <f>IFERROR(SUMIFS(TM[[#All],[Total Truncated Expenses]],TM[[#All],[Reporting Year]],2023,TM[[#All],[Insurance Category Code]],4,TM[[#All],[Large Provider Entity Code]],A76)/I76,"NA")</f>
        <v>NA</v>
      </c>
      <c r="O76" s="518">
        <f t="shared" si="17"/>
        <v>0</v>
      </c>
      <c r="P76" s="243" t="str">
        <f t="shared" si="16"/>
        <v>NA</v>
      </c>
      <c r="Q76" s="97" t="str">
        <f t="shared" si="16"/>
        <v>NA</v>
      </c>
      <c r="R76" s="97" t="str">
        <f t="shared" si="16"/>
        <v>NA</v>
      </c>
      <c r="S76" s="97" t="str">
        <f t="shared" si="16"/>
        <v>NA</v>
      </c>
      <c r="T76" s="97" t="str">
        <f t="shared" si="16"/>
        <v>NA</v>
      </c>
      <c r="U76" s="97" t="str">
        <f t="shared" si="16"/>
        <v>NA</v>
      </c>
    </row>
    <row r="77" spans="1:21" x14ac:dyDescent="0.25">
      <c r="A77" s="218">
        <v>106</v>
      </c>
      <c r="B77" s="495" t="s">
        <v>74</v>
      </c>
      <c r="C77" s="95">
        <f>SUMIFS(TM[[#All],[Member Months]],TM[[#All],[Reporting Year]],2022,TM[[#All],[Insurance Category Code]],4,TM[[#All],[Large Provider Entity Code]],A77)</f>
        <v>0</v>
      </c>
      <c r="D77" s="7" t="str">
        <f>IFERROR(SUMIFS(TM[[#All],[Total Non-Truncated Claims Spending]],TM[[#All],[Reporting Year]],2022,TM[[#All],[Insurance Category Code]],4,TM[[#All],[Large Provider Entity Code]],A77)/C77,"NA")</f>
        <v>NA</v>
      </c>
      <c r="E77" s="7" t="str">
        <f>IFERROR(SUMIFS(TM[[#All],[Total Non-Claims Spending]],TM[[#All],[Reporting Year]],2022,TM[[#All],[Insurance Category Code]],4,TM[[#All],[Large Provider Entity Code]],A77)/C77,"NA")</f>
        <v>NA</v>
      </c>
      <c r="F77" s="7" t="str">
        <f>IFERROR(SUMIFS(TM[[#All],[Total Non-Truncated Claims and Non-Claims Spending]],TM[[#All],[Reporting Year]],2022,TM[[#All],[Insurance Category Code]],4,TM[[#All],[Large Provider Entity Code]],A77)/C77,"NA")</f>
        <v>NA</v>
      </c>
      <c r="G77" s="7" t="str">
        <f>IFERROR(SUMIFS(TM[[#All],[Total Truncated Claims Spending]],TM[[#All],[Reporting Year]],2022,TM[[#All],[Insurance Category Code]],4,TM[[#All],[Large Provider Entity Code]],A77)/C77,"NA")</f>
        <v>NA</v>
      </c>
      <c r="H77" s="96" t="str">
        <f>IFERROR(SUMIFS(TM[[#All],[Total Truncated Expenses]],TM[[#All],[Reporting Year]],2022,TM[[#All],[Insurance Category Code]],4,TM[[#All],[Large Provider Entity Code]],A77)/C77,"NA")</f>
        <v>NA</v>
      </c>
      <c r="I77" s="95">
        <f>SUMIFS(TM[[#All],[Member Months]],TM[[#All],[Reporting Year]],2023,TM[[#All],[Insurance Category Code]],4,TM[[#All],[Large Provider Entity Code]],A77)</f>
        <v>0</v>
      </c>
      <c r="J77" s="7" t="str">
        <f>IFERROR(SUMIFS(TM[[#All],[Total Non-Truncated Claims Spending]],TM[[#All],[Reporting Year]],2023,TM[[#All],[Insurance Category Code]],4,TM[[#All],[Large Provider Entity Code]],A77)/I77,"NA")</f>
        <v>NA</v>
      </c>
      <c r="K77" s="7" t="str">
        <f>IFERROR(SUMIFS(TM[[#All],[Total Non-Claims Spending]],TM[[#All],[Reporting Year]],2023,TM[[#All],[Insurance Category Code]],4,TM[[#All],[Large Provider Entity Code]],A77)/I77,"NA")</f>
        <v>NA</v>
      </c>
      <c r="L77" s="7" t="str">
        <f>IFERROR(SUMIFS(TM[[#All],[Total Non-Truncated Claims and Non-Claims Spending]],TM[[#All],[Reporting Year]],2023,TM[[#All],[Insurance Category Code]],4,TM[[#All],[Large Provider Entity Code]],A77)/I77,"NA")</f>
        <v>NA</v>
      </c>
      <c r="M77" s="7" t="str">
        <f>IFERROR(SUMIFS(TM[[#All],[Total Truncated Claims Spending]],TM[[#All],[Reporting Year]],2023,TM[[#All],[Insurance Category Code]],4,TM[[#All],[Large Provider Entity Code]],A77)/I77,"NA")</f>
        <v>NA</v>
      </c>
      <c r="N77" s="96" t="str">
        <f>IFERROR(SUMIFS(TM[[#All],[Total Truncated Expenses]],TM[[#All],[Reporting Year]],2023,TM[[#All],[Insurance Category Code]],4,TM[[#All],[Large Provider Entity Code]],A77)/I77,"NA")</f>
        <v>NA</v>
      </c>
      <c r="O77" s="518">
        <f t="shared" si="17"/>
        <v>0</v>
      </c>
      <c r="P77" s="243" t="str">
        <f t="shared" si="16"/>
        <v>NA</v>
      </c>
      <c r="Q77" s="97" t="str">
        <f t="shared" si="16"/>
        <v>NA</v>
      </c>
      <c r="R77" s="97" t="str">
        <f t="shared" si="16"/>
        <v>NA</v>
      </c>
      <c r="S77" s="97" t="str">
        <f t="shared" si="16"/>
        <v>NA</v>
      </c>
      <c r="T77" s="97" t="str">
        <f t="shared" si="16"/>
        <v>NA</v>
      </c>
      <c r="U77" s="97" t="str">
        <f t="shared" si="16"/>
        <v>NA</v>
      </c>
    </row>
    <row r="78" spans="1:21" ht="30" x14ac:dyDescent="0.25">
      <c r="A78" s="218">
        <v>107</v>
      </c>
      <c r="B78" s="495" t="s">
        <v>75</v>
      </c>
      <c r="C78" s="95">
        <f>SUMIFS(TM[[#All],[Member Months]],TM[[#All],[Reporting Year]],2022,TM[[#All],[Insurance Category Code]],4,TM[[#All],[Large Provider Entity Code]],A78)</f>
        <v>0</v>
      </c>
      <c r="D78" s="7" t="str">
        <f>IFERROR(SUMIFS(TM[[#All],[Total Non-Truncated Claims Spending]],TM[[#All],[Reporting Year]],2022,TM[[#All],[Insurance Category Code]],4,TM[[#All],[Large Provider Entity Code]],A78)/C78,"NA")</f>
        <v>NA</v>
      </c>
      <c r="E78" s="7" t="str">
        <f>IFERROR(SUMIFS(TM[[#All],[Total Non-Claims Spending]],TM[[#All],[Reporting Year]],2022,TM[[#All],[Insurance Category Code]],4,TM[[#All],[Large Provider Entity Code]],A78)/C78,"NA")</f>
        <v>NA</v>
      </c>
      <c r="F78" s="7" t="str">
        <f>IFERROR(SUMIFS(TM[[#All],[Total Non-Truncated Claims and Non-Claims Spending]],TM[[#All],[Reporting Year]],2022,TM[[#All],[Insurance Category Code]],4,TM[[#All],[Large Provider Entity Code]],A78)/C78,"NA")</f>
        <v>NA</v>
      </c>
      <c r="G78" s="7" t="str">
        <f>IFERROR(SUMIFS(TM[[#All],[Total Truncated Claims Spending]],TM[[#All],[Reporting Year]],2022,TM[[#All],[Insurance Category Code]],4,TM[[#All],[Large Provider Entity Code]],A78)/C78,"NA")</f>
        <v>NA</v>
      </c>
      <c r="H78" s="96" t="str">
        <f>IFERROR(SUMIFS(TM[[#All],[Total Truncated Expenses]],TM[[#All],[Reporting Year]],2022,TM[[#All],[Insurance Category Code]],4,TM[[#All],[Large Provider Entity Code]],A78)/C78,"NA")</f>
        <v>NA</v>
      </c>
      <c r="I78" s="95">
        <f>SUMIFS(TM[[#All],[Member Months]],TM[[#All],[Reporting Year]],2023,TM[[#All],[Insurance Category Code]],4,TM[[#All],[Large Provider Entity Code]],A78)</f>
        <v>0</v>
      </c>
      <c r="J78" s="7" t="str">
        <f>IFERROR(SUMIFS(TM[[#All],[Total Non-Truncated Claims Spending]],TM[[#All],[Reporting Year]],2023,TM[[#All],[Insurance Category Code]],4,TM[[#All],[Large Provider Entity Code]],A78)/I78,"NA")</f>
        <v>NA</v>
      </c>
      <c r="K78" s="7" t="str">
        <f>IFERROR(SUMIFS(TM[[#All],[Total Non-Claims Spending]],TM[[#All],[Reporting Year]],2023,TM[[#All],[Insurance Category Code]],4,TM[[#All],[Large Provider Entity Code]],A78)/I78,"NA")</f>
        <v>NA</v>
      </c>
      <c r="L78" s="7" t="str">
        <f>IFERROR(SUMIFS(TM[[#All],[Total Non-Truncated Claims and Non-Claims Spending]],TM[[#All],[Reporting Year]],2023,TM[[#All],[Insurance Category Code]],4,TM[[#All],[Large Provider Entity Code]],A78)/I78,"NA")</f>
        <v>NA</v>
      </c>
      <c r="M78" s="7" t="str">
        <f>IFERROR(SUMIFS(TM[[#All],[Total Truncated Claims Spending]],TM[[#All],[Reporting Year]],2023,TM[[#All],[Insurance Category Code]],4,TM[[#All],[Large Provider Entity Code]],A78)/I78,"NA")</f>
        <v>NA</v>
      </c>
      <c r="N78" s="96" t="str">
        <f>IFERROR(SUMIFS(TM[[#All],[Total Truncated Expenses]],TM[[#All],[Reporting Year]],2023,TM[[#All],[Insurance Category Code]],4,TM[[#All],[Large Provider Entity Code]],A78)/I78,"NA")</f>
        <v>NA</v>
      </c>
      <c r="O78" s="518">
        <f t="shared" si="17"/>
        <v>0</v>
      </c>
      <c r="P78" s="243" t="str">
        <f t="shared" si="16"/>
        <v>NA</v>
      </c>
      <c r="Q78" s="97" t="str">
        <f t="shared" si="16"/>
        <v>NA</v>
      </c>
      <c r="R78" s="97" t="str">
        <f t="shared" si="16"/>
        <v>NA</v>
      </c>
      <c r="S78" s="97" t="str">
        <f t="shared" si="16"/>
        <v>NA</v>
      </c>
      <c r="T78" s="97" t="str">
        <f t="shared" si="16"/>
        <v>NA</v>
      </c>
      <c r="U78" s="97" t="str">
        <f t="shared" si="16"/>
        <v>NA</v>
      </c>
    </row>
    <row r="79" spans="1:21" x14ac:dyDescent="0.25">
      <c r="A79" s="218">
        <v>108</v>
      </c>
      <c r="B79" s="495" t="s">
        <v>612</v>
      </c>
      <c r="C79" s="95">
        <f>SUMIFS(TM[[#All],[Member Months]],TM[[#All],[Reporting Year]],2022,TM[[#All],[Insurance Category Code]],4,TM[[#All],[Large Provider Entity Code]],A79)</f>
        <v>0</v>
      </c>
      <c r="D79" s="7" t="str">
        <f>IFERROR(SUMIFS(TM[[#All],[Total Non-Truncated Claims Spending]],TM[[#All],[Reporting Year]],2022,TM[[#All],[Insurance Category Code]],4,TM[[#All],[Large Provider Entity Code]],A79)/C79,"NA")</f>
        <v>NA</v>
      </c>
      <c r="E79" s="7" t="str">
        <f>IFERROR(SUMIFS(TM[[#All],[Total Non-Claims Spending]],TM[[#All],[Reporting Year]],2022,TM[[#All],[Insurance Category Code]],4,TM[[#All],[Large Provider Entity Code]],A79)/C79,"NA")</f>
        <v>NA</v>
      </c>
      <c r="F79" s="7" t="str">
        <f>IFERROR(SUMIFS(TM[[#All],[Total Non-Truncated Claims and Non-Claims Spending]],TM[[#All],[Reporting Year]],2022,TM[[#All],[Insurance Category Code]],4,TM[[#All],[Large Provider Entity Code]],A79)/C79,"NA")</f>
        <v>NA</v>
      </c>
      <c r="G79" s="7" t="str">
        <f>IFERROR(SUMIFS(TM[[#All],[Total Truncated Claims Spending]],TM[[#All],[Reporting Year]],2022,TM[[#All],[Insurance Category Code]],4,TM[[#All],[Large Provider Entity Code]],A79)/C79,"NA")</f>
        <v>NA</v>
      </c>
      <c r="H79" s="96" t="str">
        <f>IFERROR(SUMIFS(TM[[#All],[Total Truncated Expenses]],TM[[#All],[Reporting Year]],2022,TM[[#All],[Insurance Category Code]],4,TM[[#All],[Large Provider Entity Code]],A79)/C79,"NA")</f>
        <v>NA</v>
      </c>
      <c r="I79" s="95">
        <f>SUMIFS(TM[[#All],[Member Months]],TM[[#All],[Reporting Year]],2023,TM[[#All],[Insurance Category Code]],4,TM[[#All],[Large Provider Entity Code]],A79)</f>
        <v>0</v>
      </c>
      <c r="J79" s="7" t="str">
        <f>IFERROR(SUMIFS(TM[[#All],[Total Non-Truncated Claims Spending]],TM[[#All],[Reporting Year]],2023,TM[[#All],[Insurance Category Code]],4,TM[[#All],[Large Provider Entity Code]],A79)/I79,"NA")</f>
        <v>NA</v>
      </c>
      <c r="K79" s="7" t="str">
        <f>IFERROR(SUMIFS(TM[[#All],[Total Non-Claims Spending]],TM[[#All],[Reporting Year]],2023,TM[[#All],[Insurance Category Code]],4,TM[[#All],[Large Provider Entity Code]],A79)/I79,"NA")</f>
        <v>NA</v>
      </c>
      <c r="L79" s="7" t="str">
        <f>IFERROR(SUMIFS(TM[[#All],[Total Non-Truncated Claims and Non-Claims Spending]],TM[[#All],[Reporting Year]],2023,TM[[#All],[Insurance Category Code]],4,TM[[#All],[Large Provider Entity Code]],A79)/I79,"NA")</f>
        <v>NA</v>
      </c>
      <c r="M79" s="7" t="str">
        <f>IFERROR(SUMIFS(TM[[#All],[Total Truncated Claims Spending]],TM[[#All],[Reporting Year]],2023,TM[[#All],[Insurance Category Code]],4,TM[[#All],[Large Provider Entity Code]],A79)/I79,"NA")</f>
        <v>NA</v>
      </c>
      <c r="N79" s="96" t="str">
        <f>IFERROR(SUMIFS(TM[[#All],[Total Truncated Expenses]],TM[[#All],[Reporting Year]],2023,TM[[#All],[Insurance Category Code]],4,TM[[#All],[Large Provider Entity Code]],A79)/I79,"NA")</f>
        <v>NA</v>
      </c>
      <c r="O79" s="518">
        <f t="shared" si="17"/>
        <v>0</v>
      </c>
      <c r="P79" s="243" t="str">
        <f t="shared" si="16"/>
        <v>NA</v>
      </c>
      <c r="Q79" s="97" t="str">
        <f t="shared" si="16"/>
        <v>NA</v>
      </c>
      <c r="R79" s="97" t="str">
        <f t="shared" si="16"/>
        <v>NA</v>
      </c>
      <c r="S79" s="97" t="str">
        <f t="shared" si="16"/>
        <v>NA</v>
      </c>
      <c r="T79" s="97" t="str">
        <f t="shared" si="16"/>
        <v>NA</v>
      </c>
      <c r="U79" s="97" t="str">
        <f t="shared" si="16"/>
        <v>NA</v>
      </c>
    </row>
    <row r="80" spans="1:21" x14ac:dyDescent="0.25">
      <c r="A80" s="218">
        <v>109</v>
      </c>
      <c r="B80" s="566" t="s">
        <v>76</v>
      </c>
      <c r="C80" s="95">
        <f>SUMIFS(TM[[#All],[Member Months]],TM[[#All],[Reporting Year]],2022,TM[[#All],[Insurance Category Code]],4,TM[[#All],[Large Provider Entity Code]],A80)</f>
        <v>0</v>
      </c>
      <c r="D80" s="7" t="str">
        <f>IFERROR(SUMIFS(TM[[#All],[Total Non-Truncated Claims Spending]],TM[[#All],[Reporting Year]],2022,TM[[#All],[Insurance Category Code]],4,TM[[#All],[Large Provider Entity Code]],A80)/C80,"NA")</f>
        <v>NA</v>
      </c>
      <c r="E80" s="7" t="str">
        <f>IFERROR(SUMIFS(TM[[#All],[Total Non-Claims Spending]],TM[[#All],[Reporting Year]],2022,TM[[#All],[Insurance Category Code]],4,TM[[#All],[Large Provider Entity Code]],A80)/C80,"NA")</f>
        <v>NA</v>
      </c>
      <c r="F80" s="7" t="str">
        <f>IFERROR(SUMIFS(TM[[#All],[Total Non-Truncated Claims and Non-Claims Spending]],TM[[#All],[Reporting Year]],2022,TM[[#All],[Insurance Category Code]],4,TM[[#All],[Large Provider Entity Code]],A80)/C80,"NA")</f>
        <v>NA</v>
      </c>
      <c r="G80" s="7" t="str">
        <f>IFERROR(SUMIFS(TM[[#All],[Total Truncated Claims Spending]],TM[[#All],[Reporting Year]],2022,TM[[#All],[Insurance Category Code]],4,TM[[#All],[Large Provider Entity Code]],A80)/C80,"NA")</f>
        <v>NA</v>
      </c>
      <c r="H80" s="96" t="str">
        <f>IFERROR(SUMIFS(TM[[#All],[Total Truncated Expenses]],TM[[#All],[Reporting Year]],2022,TM[[#All],[Insurance Category Code]],4,TM[[#All],[Large Provider Entity Code]],A80)/C80,"NA")</f>
        <v>NA</v>
      </c>
      <c r="I80" s="95">
        <f>SUMIFS(TM[[#All],[Member Months]],TM[[#All],[Reporting Year]],2023,TM[[#All],[Insurance Category Code]],4,TM[[#All],[Large Provider Entity Code]],A80)</f>
        <v>0</v>
      </c>
      <c r="J80" s="7" t="str">
        <f>IFERROR(SUMIFS(TM[[#All],[Total Non-Truncated Claims Spending]],TM[[#All],[Reporting Year]],2023,TM[[#All],[Insurance Category Code]],4,TM[[#All],[Large Provider Entity Code]],A80)/I80,"NA")</f>
        <v>NA</v>
      </c>
      <c r="K80" s="7" t="str">
        <f>IFERROR(SUMIFS(TM[[#All],[Total Non-Claims Spending]],TM[[#All],[Reporting Year]],2023,TM[[#All],[Insurance Category Code]],4,TM[[#All],[Large Provider Entity Code]],A80)/I80,"NA")</f>
        <v>NA</v>
      </c>
      <c r="L80" s="7" t="str">
        <f>IFERROR(SUMIFS(TM[[#All],[Total Non-Truncated Claims and Non-Claims Spending]],TM[[#All],[Reporting Year]],2023,TM[[#All],[Insurance Category Code]],4,TM[[#All],[Large Provider Entity Code]],A80)/I80,"NA")</f>
        <v>NA</v>
      </c>
      <c r="M80" s="7" t="str">
        <f>IFERROR(SUMIFS(TM[[#All],[Total Truncated Claims Spending]],TM[[#All],[Reporting Year]],2023,TM[[#All],[Insurance Category Code]],4,TM[[#All],[Large Provider Entity Code]],A80)/I80,"NA")</f>
        <v>NA</v>
      </c>
      <c r="N80" s="96" t="str">
        <f>IFERROR(SUMIFS(TM[[#All],[Total Truncated Expenses]],TM[[#All],[Reporting Year]],2023,TM[[#All],[Insurance Category Code]],4,TM[[#All],[Large Provider Entity Code]],A80)/I80,"NA")</f>
        <v>NA</v>
      </c>
      <c r="O80" s="518">
        <f t="shared" si="17"/>
        <v>0</v>
      </c>
      <c r="P80" s="243" t="str">
        <f t="shared" si="16"/>
        <v>NA</v>
      </c>
      <c r="Q80" s="97" t="str">
        <f t="shared" si="16"/>
        <v>NA</v>
      </c>
      <c r="R80" s="97" t="str">
        <f t="shared" si="16"/>
        <v>NA</v>
      </c>
      <c r="S80" s="97" t="str">
        <f t="shared" si="16"/>
        <v>NA</v>
      </c>
      <c r="T80" s="97" t="str">
        <f t="shared" si="16"/>
        <v>NA</v>
      </c>
      <c r="U80" s="97" t="str">
        <f t="shared" si="16"/>
        <v>NA</v>
      </c>
    </row>
    <row r="81" spans="1:21" x14ac:dyDescent="0.25">
      <c r="A81" s="218">
        <v>110</v>
      </c>
      <c r="B81" s="495" t="s">
        <v>77</v>
      </c>
      <c r="C81" s="95">
        <f>SUMIFS(TM[[#All],[Member Months]],TM[[#All],[Reporting Year]],2022,TM[[#All],[Insurance Category Code]],4,TM[[#All],[Large Provider Entity Code]],A81)</f>
        <v>0</v>
      </c>
      <c r="D81" s="7" t="str">
        <f>IFERROR(SUMIFS(TM[[#All],[Total Non-Truncated Claims Spending]],TM[[#All],[Reporting Year]],2022,TM[[#All],[Insurance Category Code]],4,TM[[#All],[Large Provider Entity Code]],A81)/C81,"NA")</f>
        <v>NA</v>
      </c>
      <c r="E81" s="7" t="str">
        <f>IFERROR(SUMIFS(TM[[#All],[Total Non-Claims Spending]],TM[[#All],[Reporting Year]],2022,TM[[#All],[Insurance Category Code]],4,TM[[#All],[Large Provider Entity Code]],A81)/C81,"NA")</f>
        <v>NA</v>
      </c>
      <c r="F81" s="7" t="str">
        <f>IFERROR(SUMIFS(TM[[#All],[Total Non-Truncated Claims and Non-Claims Spending]],TM[[#All],[Reporting Year]],2022,TM[[#All],[Insurance Category Code]],4,TM[[#All],[Large Provider Entity Code]],A81)/C81,"NA")</f>
        <v>NA</v>
      </c>
      <c r="G81" s="7" t="str">
        <f>IFERROR(SUMIFS(TM[[#All],[Total Truncated Claims Spending]],TM[[#All],[Reporting Year]],2022,TM[[#All],[Insurance Category Code]],4,TM[[#All],[Large Provider Entity Code]],A81)/C81,"NA")</f>
        <v>NA</v>
      </c>
      <c r="H81" s="96" t="str">
        <f>IFERROR(SUMIFS(TM[[#All],[Total Truncated Expenses]],TM[[#All],[Reporting Year]],2022,TM[[#All],[Insurance Category Code]],4,TM[[#All],[Large Provider Entity Code]],A81)/C81,"NA")</f>
        <v>NA</v>
      </c>
      <c r="I81" s="95">
        <f>SUMIFS(TM[[#All],[Member Months]],TM[[#All],[Reporting Year]],2023,TM[[#All],[Insurance Category Code]],4,TM[[#All],[Large Provider Entity Code]],A81)</f>
        <v>0</v>
      </c>
      <c r="J81" s="7" t="str">
        <f>IFERROR(SUMIFS(TM[[#All],[Total Non-Truncated Claims Spending]],TM[[#All],[Reporting Year]],2023,TM[[#All],[Insurance Category Code]],4,TM[[#All],[Large Provider Entity Code]],A81)/I81,"NA")</f>
        <v>NA</v>
      </c>
      <c r="K81" s="7" t="str">
        <f>IFERROR(SUMIFS(TM[[#All],[Total Non-Claims Spending]],TM[[#All],[Reporting Year]],2023,TM[[#All],[Insurance Category Code]],4,TM[[#All],[Large Provider Entity Code]],A81)/I81,"NA")</f>
        <v>NA</v>
      </c>
      <c r="L81" s="7" t="str">
        <f>IFERROR(SUMIFS(TM[[#All],[Total Non-Truncated Claims and Non-Claims Spending]],TM[[#All],[Reporting Year]],2023,TM[[#All],[Insurance Category Code]],4,TM[[#All],[Large Provider Entity Code]],A81)/I81,"NA")</f>
        <v>NA</v>
      </c>
      <c r="M81" s="7" t="str">
        <f>IFERROR(SUMIFS(TM[[#All],[Total Truncated Claims Spending]],TM[[#All],[Reporting Year]],2023,TM[[#All],[Insurance Category Code]],4,TM[[#All],[Large Provider Entity Code]],A81)/I81,"NA")</f>
        <v>NA</v>
      </c>
      <c r="N81" s="96" t="str">
        <f>IFERROR(SUMIFS(TM[[#All],[Total Truncated Expenses]],TM[[#All],[Reporting Year]],2023,TM[[#All],[Insurance Category Code]],4,TM[[#All],[Large Provider Entity Code]],A81)/I81,"NA")</f>
        <v>NA</v>
      </c>
      <c r="O81" s="518">
        <f t="shared" si="17"/>
        <v>0</v>
      </c>
      <c r="P81" s="243" t="str">
        <f t="shared" si="16"/>
        <v>NA</v>
      </c>
      <c r="Q81" s="97" t="str">
        <f t="shared" si="16"/>
        <v>NA</v>
      </c>
      <c r="R81" s="97" t="str">
        <f t="shared" si="16"/>
        <v>NA</v>
      </c>
      <c r="S81" s="97" t="str">
        <f t="shared" si="16"/>
        <v>NA</v>
      </c>
      <c r="T81" s="97" t="str">
        <f t="shared" si="16"/>
        <v>NA</v>
      </c>
      <c r="U81" s="97" t="str">
        <f t="shared" si="16"/>
        <v>NA</v>
      </c>
    </row>
    <row r="82" spans="1:21" x14ac:dyDescent="0.25">
      <c r="A82" s="218">
        <v>111</v>
      </c>
      <c r="B82" s="566" t="s">
        <v>78</v>
      </c>
      <c r="C82" s="95">
        <f>SUMIFS(TM[[#All],[Member Months]],TM[[#All],[Reporting Year]],2022,TM[[#All],[Insurance Category Code]],4,TM[[#All],[Large Provider Entity Code]],A82)</f>
        <v>0</v>
      </c>
      <c r="D82" s="7" t="str">
        <f>IFERROR(SUMIFS(TM[[#All],[Total Non-Truncated Claims Spending]],TM[[#All],[Reporting Year]],2022,TM[[#All],[Insurance Category Code]],4,TM[[#All],[Large Provider Entity Code]],A82)/C82,"NA")</f>
        <v>NA</v>
      </c>
      <c r="E82" s="7" t="str">
        <f>IFERROR(SUMIFS(TM[[#All],[Total Non-Claims Spending]],TM[[#All],[Reporting Year]],2022,TM[[#All],[Insurance Category Code]],4,TM[[#All],[Large Provider Entity Code]],A82)/C82,"NA")</f>
        <v>NA</v>
      </c>
      <c r="F82" s="7" t="str">
        <f>IFERROR(SUMIFS(TM[[#All],[Total Non-Truncated Claims and Non-Claims Spending]],TM[[#All],[Reporting Year]],2022,TM[[#All],[Insurance Category Code]],4,TM[[#All],[Large Provider Entity Code]],A82)/C82,"NA")</f>
        <v>NA</v>
      </c>
      <c r="G82" s="7" t="str">
        <f>IFERROR(SUMIFS(TM[[#All],[Total Truncated Claims Spending]],TM[[#All],[Reporting Year]],2022,TM[[#All],[Insurance Category Code]],4,TM[[#All],[Large Provider Entity Code]],A82)/C82,"NA")</f>
        <v>NA</v>
      </c>
      <c r="H82" s="96" t="str">
        <f>IFERROR(SUMIFS(TM[[#All],[Total Truncated Expenses]],TM[[#All],[Reporting Year]],2022,TM[[#All],[Insurance Category Code]],4,TM[[#All],[Large Provider Entity Code]],A82)/C82,"NA")</f>
        <v>NA</v>
      </c>
      <c r="I82" s="95">
        <f>SUMIFS(TM[[#All],[Member Months]],TM[[#All],[Reporting Year]],2023,TM[[#All],[Insurance Category Code]],4,TM[[#All],[Large Provider Entity Code]],A82)</f>
        <v>0</v>
      </c>
      <c r="J82" s="7" t="str">
        <f>IFERROR(SUMIFS(TM[[#All],[Total Non-Truncated Claims Spending]],TM[[#All],[Reporting Year]],2023,TM[[#All],[Insurance Category Code]],4,TM[[#All],[Large Provider Entity Code]],A82)/I82,"NA")</f>
        <v>NA</v>
      </c>
      <c r="K82" s="7" t="str">
        <f>IFERROR(SUMIFS(TM[[#All],[Total Non-Claims Spending]],TM[[#All],[Reporting Year]],2023,TM[[#All],[Insurance Category Code]],4,TM[[#All],[Large Provider Entity Code]],A82)/I82,"NA")</f>
        <v>NA</v>
      </c>
      <c r="L82" s="7" t="str">
        <f>IFERROR(SUMIFS(TM[[#All],[Total Non-Truncated Claims and Non-Claims Spending]],TM[[#All],[Reporting Year]],2023,TM[[#All],[Insurance Category Code]],4,TM[[#All],[Large Provider Entity Code]],A82)/I82,"NA")</f>
        <v>NA</v>
      </c>
      <c r="M82" s="7" t="str">
        <f>IFERROR(SUMIFS(TM[[#All],[Total Truncated Claims Spending]],TM[[#All],[Reporting Year]],2023,TM[[#All],[Insurance Category Code]],4,TM[[#All],[Large Provider Entity Code]],A82)/I82,"NA")</f>
        <v>NA</v>
      </c>
      <c r="N82" s="96" t="str">
        <f>IFERROR(SUMIFS(TM[[#All],[Total Truncated Expenses]],TM[[#All],[Reporting Year]],2023,TM[[#All],[Insurance Category Code]],4,TM[[#All],[Large Provider Entity Code]],A82)/I82,"NA")</f>
        <v>NA</v>
      </c>
      <c r="O82" s="518">
        <f t="shared" si="17"/>
        <v>0</v>
      </c>
      <c r="P82" s="243" t="str">
        <f t="shared" si="16"/>
        <v>NA</v>
      </c>
      <c r="Q82" s="97" t="str">
        <f t="shared" si="16"/>
        <v>NA</v>
      </c>
      <c r="R82" s="97" t="str">
        <f t="shared" si="16"/>
        <v>NA</v>
      </c>
      <c r="S82" s="97" t="str">
        <f t="shared" si="16"/>
        <v>NA</v>
      </c>
      <c r="T82" s="97" t="str">
        <f t="shared" si="16"/>
        <v>NA</v>
      </c>
      <c r="U82" s="97" t="str">
        <f t="shared" si="16"/>
        <v>NA</v>
      </c>
    </row>
    <row r="83" spans="1:21" x14ac:dyDescent="0.25">
      <c r="A83" s="218">
        <v>112</v>
      </c>
      <c r="B83" s="566" t="s">
        <v>613</v>
      </c>
      <c r="C83" s="95">
        <f>SUMIFS(TM[[#All],[Member Months]],TM[[#All],[Reporting Year]],2022,TM[[#All],[Insurance Category Code]],4,TM[[#All],[Large Provider Entity Code]],A83)</f>
        <v>0</v>
      </c>
      <c r="D83" s="7" t="str">
        <f>IFERROR(SUMIFS(TM[[#All],[Total Non-Truncated Claims Spending]],TM[[#All],[Reporting Year]],2022,TM[[#All],[Insurance Category Code]],4,TM[[#All],[Large Provider Entity Code]],A83)/C83,"NA")</f>
        <v>NA</v>
      </c>
      <c r="E83" s="7" t="str">
        <f>IFERROR(SUMIFS(TM[[#All],[Total Non-Claims Spending]],TM[[#All],[Reporting Year]],2022,TM[[#All],[Insurance Category Code]],4,TM[[#All],[Large Provider Entity Code]],A83)/C83,"NA")</f>
        <v>NA</v>
      </c>
      <c r="F83" s="7" t="str">
        <f>IFERROR(SUMIFS(TM[[#All],[Total Non-Truncated Claims and Non-Claims Spending]],TM[[#All],[Reporting Year]],2022,TM[[#All],[Insurance Category Code]],4,TM[[#All],[Large Provider Entity Code]],A83)/C83,"NA")</f>
        <v>NA</v>
      </c>
      <c r="G83" s="7" t="str">
        <f>IFERROR(SUMIFS(TM[[#All],[Total Truncated Claims Spending]],TM[[#All],[Reporting Year]],2022,TM[[#All],[Insurance Category Code]],4,TM[[#All],[Large Provider Entity Code]],A83)/C83,"NA")</f>
        <v>NA</v>
      </c>
      <c r="H83" s="96" t="str">
        <f>IFERROR(SUMIFS(TM[[#All],[Total Truncated Expenses]],TM[[#All],[Reporting Year]],2022,TM[[#All],[Insurance Category Code]],4,TM[[#All],[Large Provider Entity Code]],A83)/C83,"NA")</f>
        <v>NA</v>
      </c>
      <c r="I83" s="95">
        <f>SUMIFS(TM[[#All],[Member Months]],TM[[#All],[Reporting Year]],2023,TM[[#All],[Insurance Category Code]],4,TM[[#All],[Large Provider Entity Code]],A83)</f>
        <v>0</v>
      </c>
      <c r="J83" s="7" t="str">
        <f>IFERROR(SUMIFS(TM[[#All],[Total Non-Truncated Claims Spending]],TM[[#All],[Reporting Year]],2023,TM[[#All],[Insurance Category Code]],4,TM[[#All],[Large Provider Entity Code]],A83)/I83,"NA")</f>
        <v>NA</v>
      </c>
      <c r="K83" s="7" t="str">
        <f>IFERROR(SUMIFS(TM[[#All],[Total Non-Claims Spending]],TM[[#All],[Reporting Year]],2023,TM[[#All],[Insurance Category Code]],4,TM[[#All],[Large Provider Entity Code]],A83)/I83,"NA")</f>
        <v>NA</v>
      </c>
      <c r="L83" s="7" t="str">
        <f>IFERROR(SUMIFS(TM[[#All],[Total Non-Truncated Claims and Non-Claims Spending]],TM[[#All],[Reporting Year]],2023,TM[[#All],[Insurance Category Code]],4,TM[[#All],[Large Provider Entity Code]],A83)/I83,"NA")</f>
        <v>NA</v>
      </c>
      <c r="M83" s="7" t="str">
        <f>IFERROR(SUMIFS(TM[[#All],[Total Truncated Claims Spending]],TM[[#All],[Reporting Year]],2023,TM[[#All],[Insurance Category Code]],4,TM[[#All],[Large Provider Entity Code]],A83)/I83,"NA")</f>
        <v>NA</v>
      </c>
      <c r="N83" s="96" t="str">
        <f>IFERROR(SUMIFS(TM[[#All],[Total Truncated Expenses]],TM[[#All],[Reporting Year]],2023,TM[[#All],[Insurance Category Code]],4,TM[[#All],[Large Provider Entity Code]],A83)/I83,"NA")</f>
        <v>NA</v>
      </c>
      <c r="O83" s="518">
        <f t="shared" si="17"/>
        <v>0</v>
      </c>
      <c r="P83" s="243" t="str">
        <f t="shared" si="16"/>
        <v>NA</v>
      </c>
      <c r="Q83" s="97" t="str">
        <f t="shared" si="16"/>
        <v>NA</v>
      </c>
      <c r="R83" s="97" t="str">
        <f t="shared" si="16"/>
        <v>NA</v>
      </c>
      <c r="S83" s="97" t="str">
        <f t="shared" si="16"/>
        <v>NA</v>
      </c>
      <c r="T83" s="97" t="str">
        <f t="shared" si="16"/>
        <v>NA</v>
      </c>
      <c r="U83" s="97" t="str">
        <f t="shared" si="16"/>
        <v>NA</v>
      </c>
    </row>
    <row r="84" spans="1:21" x14ac:dyDescent="0.25">
      <c r="A84" s="218">
        <v>115</v>
      </c>
      <c r="B84" s="566" t="s">
        <v>79</v>
      </c>
      <c r="C84" s="95">
        <f>SUMIFS(TM[[#All],[Member Months]],TM[[#All],[Reporting Year]],2022,TM[[#All],[Insurance Category Code]],4,TM[[#All],[Large Provider Entity Code]],A84)</f>
        <v>0</v>
      </c>
      <c r="D84" s="7" t="str">
        <f>IFERROR(SUMIFS(TM[[#All],[Total Non-Truncated Claims Spending]],TM[[#All],[Reporting Year]],2022,TM[[#All],[Insurance Category Code]],4,TM[[#All],[Large Provider Entity Code]],A84)/C84,"NA")</f>
        <v>NA</v>
      </c>
      <c r="E84" s="7" t="str">
        <f>IFERROR(SUMIFS(TM[[#All],[Total Non-Claims Spending]],TM[[#All],[Reporting Year]],2022,TM[[#All],[Insurance Category Code]],4,TM[[#All],[Large Provider Entity Code]],A84)/C84,"NA")</f>
        <v>NA</v>
      </c>
      <c r="F84" s="7" t="str">
        <f>IFERROR(SUMIFS(TM[[#All],[Total Non-Truncated Claims and Non-Claims Spending]],TM[[#All],[Reporting Year]],2022,TM[[#All],[Insurance Category Code]],4,TM[[#All],[Large Provider Entity Code]],A84)/C84,"NA")</f>
        <v>NA</v>
      </c>
      <c r="G84" s="7" t="str">
        <f>IFERROR(SUMIFS(TM[[#All],[Total Truncated Claims Spending]],TM[[#All],[Reporting Year]],2022,TM[[#All],[Insurance Category Code]],4,TM[[#All],[Large Provider Entity Code]],A84)/C84,"NA")</f>
        <v>NA</v>
      </c>
      <c r="H84" s="96" t="str">
        <f>IFERROR(SUMIFS(TM[[#All],[Total Truncated Expenses]],TM[[#All],[Reporting Year]],2022,TM[[#All],[Insurance Category Code]],4,TM[[#All],[Large Provider Entity Code]],A84)/C84,"NA")</f>
        <v>NA</v>
      </c>
      <c r="I84" s="95">
        <f>SUMIFS(TM[[#All],[Member Months]],TM[[#All],[Reporting Year]],2023,TM[[#All],[Insurance Category Code]],4,TM[[#All],[Large Provider Entity Code]],A84)</f>
        <v>0</v>
      </c>
      <c r="J84" s="7" t="str">
        <f>IFERROR(SUMIFS(TM[[#All],[Total Non-Truncated Claims Spending]],TM[[#All],[Reporting Year]],2023,TM[[#All],[Insurance Category Code]],4,TM[[#All],[Large Provider Entity Code]],A84)/I84,"NA")</f>
        <v>NA</v>
      </c>
      <c r="K84" s="7" t="str">
        <f>IFERROR(SUMIFS(TM[[#All],[Total Non-Claims Spending]],TM[[#All],[Reporting Year]],2023,TM[[#All],[Insurance Category Code]],4,TM[[#All],[Large Provider Entity Code]],A84)/I84,"NA")</f>
        <v>NA</v>
      </c>
      <c r="L84" s="7" t="str">
        <f>IFERROR(SUMIFS(TM[[#All],[Total Non-Truncated Claims and Non-Claims Spending]],TM[[#All],[Reporting Year]],2023,TM[[#All],[Insurance Category Code]],4,TM[[#All],[Large Provider Entity Code]],A84)/I84,"NA")</f>
        <v>NA</v>
      </c>
      <c r="M84" s="7" t="str">
        <f>IFERROR(SUMIFS(TM[[#All],[Total Truncated Claims Spending]],TM[[#All],[Reporting Year]],2023,TM[[#All],[Insurance Category Code]],4,TM[[#All],[Large Provider Entity Code]],A84)/I84,"NA")</f>
        <v>NA</v>
      </c>
      <c r="N84" s="96" t="str">
        <f>IFERROR(SUMIFS(TM[[#All],[Total Truncated Expenses]],TM[[#All],[Reporting Year]],2023,TM[[#All],[Insurance Category Code]],4,TM[[#All],[Large Provider Entity Code]],A84)/I84,"NA")</f>
        <v>NA</v>
      </c>
      <c r="O84" s="518">
        <f t="shared" si="17"/>
        <v>0</v>
      </c>
      <c r="P84" s="243" t="str">
        <f t="shared" si="16"/>
        <v>NA</v>
      </c>
      <c r="Q84" s="97" t="str">
        <f t="shared" si="16"/>
        <v>NA</v>
      </c>
      <c r="R84" s="97" t="str">
        <f t="shared" si="16"/>
        <v>NA</v>
      </c>
      <c r="S84" s="97" t="str">
        <f t="shared" si="16"/>
        <v>NA</v>
      </c>
      <c r="T84" s="97" t="str">
        <f t="shared" si="16"/>
        <v>NA</v>
      </c>
      <c r="U84" s="97" t="str">
        <f t="shared" si="16"/>
        <v>NA</v>
      </c>
    </row>
    <row r="85" spans="1:21" x14ac:dyDescent="0.25">
      <c r="A85" s="218">
        <v>116</v>
      </c>
      <c r="B85" s="566" t="s">
        <v>614</v>
      </c>
      <c r="C85" s="95">
        <f>SUMIFS(TM[[#All],[Member Months]],TM[[#All],[Reporting Year]],2022,TM[[#All],[Insurance Category Code]],4,TM[[#All],[Large Provider Entity Code]],A85)</f>
        <v>0</v>
      </c>
      <c r="D85" s="7" t="str">
        <f>IFERROR(SUMIFS(TM[[#All],[Total Non-Truncated Claims Spending]],TM[[#All],[Reporting Year]],2022,TM[[#All],[Insurance Category Code]],4,TM[[#All],[Large Provider Entity Code]],A85)/C85,"NA")</f>
        <v>NA</v>
      </c>
      <c r="E85" s="7" t="str">
        <f>IFERROR(SUMIFS(TM[[#All],[Total Non-Claims Spending]],TM[[#All],[Reporting Year]],2022,TM[[#All],[Insurance Category Code]],4,TM[[#All],[Large Provider Entity Code]],A85)/C85,"NA")</f>
        <v>NA</v>
      </c>
      <c r="F85" s="7" t="str">
        <f>IFERROR(SUMIFS(TM[[#All],[Total Non-Truncated Claims and Non-Claims Spending]],TM[[#All],[Reporting Year]],2022,TM[[#All],[Insurance Category Code]],4,TM[[#All],[Large Provider Entity Code]],A85)/C85,"NA")</f>
        <v>NA</v>
      </c>
      <c r="G85" s="7" t="str">
        <f>IFERROR(SUMIFS(TM[[#All],[Total Truncated Claims Spending]],TM[[#All],[Reporting Year]],2022,TM[[#All],[Insurance Category Code]],4,TM[[#All],[Large Provider Entity Code]],A85)/C85,"NA")</f>
        <v>NA</v>
      </c>
      <c r="H85" s="96" t="str">
        <f>IFERROR(SUMIFS(TM[[#All],[Total Truncated Expenses]],TM[[#All],[Reporting Year]],2022,TM[[#All],[Insurance Category Code]],4,TM[[#All],[Large Provider Entity Code]],A85)/C85,"NA")</f>
        <v>NA</v>
      </c>
      <c r="I85" s="95">
        <f>SUMIFS(TM[[#All],[Member Months]],TM[[#All],[Reporting Year]],2023,TM[[#All],[Insurance Category Code]],4,TM[[#All],[Large Provider Entity Code]],A85)</f>
        <v>0</v>
      </c>
      <c r="J85" s="7" t="str">
        <f>IFERROR(SUMIFS(TM[[#All],[Total Non-Truncated Claims Spending]],TM[[#All],[Reporting Year]],2023,TM[[#All],[Insurance Category Code]],4,TM[[#All],[Large Provider Entity Code]],A85)/I85,"NA")</f>
        <v>NA</v>
      </c>
      <c r="K85" s="7" t="str">
        <f>IFERROR(SUMIFS(TM[[#All],[Total Non-Claims Spending]],TM[[#All],[Reporting Year]],2023,TM[[#All],[Insurance Category Code]],4,TM[[#All],[Large Provider Entity Code]],A85)/I85,"NA")</f>
        <v>NA</v>
      </c>
      <c r="L85" s="7" t="str">
        <f>IFERROR(SUMIFS(TM[[#All],[Total Non-Truncated Claims and Non-Claims Spending]],TM[[#All],[Reporting Year]],2023,TM[[#All],[Insurance Category Code]],4,TM[[#All],[Large Provider Entity Code]],A85)/I85,"NA")</f>
        <v>NA</v>
      </c>
      <c r="M85" s="7" t="str">
        <f>IFERROR(SUMIFS(TM[[#All],[Total Truncated Claims Spending]],TM[[#All],[Reporting Year]],2023,TM[[#All],[Insurance Category Code]],4,TM[[#All],[Large Provider Entity Code]],A85)/I85,"NA")</f>
        <v>NA</v>
      </c>
      <c r="N85" s="96" t="str">
        <f>IFERROR(SUMIFS(TM[[#All],[Total Truncated Expenses]],TM[[#All],[Reporting Year]],2023,TM[[#All],[Insurance Category Code]],4,TM[[#All],[Large Provider Entity Code]],A85)/I85,"NA")</f>
        <v>NA</v>
      </c>
      <c r="O85" s="518">
        <f t="shared" si="17"/>
        <v>0</v>
      </c>
      <c r="P85" s="243" t="str">
        <f t="shared" si="16"/>
        <v>NA</v>
      </c>
      <c r="Q85" s="97" t="str">
        <f t="shared" si="16"/>
        <v>NA</v>
      </c>
      <c r="R85" s="97" t="str">
        <f t="shared" si="16"/>
        <v>NA</v>
      </c>
      <c r="S85" s="97" t="str">
        <f t="shared" si="16"/>
        <v>NA</v>
      </c>
      <c r="T85" s="97" t="str">
        <f t="shared" si="16"/>
        <v>NA</v>
      </c>
      <c r="U85" s="97" t="str">
        <f t="shared" si="16"/>
        <v>NA</v>
      </c>
    </row>
    <row r="86" spans="1:21" x14ac:dyDescent="0.25">
      <c r="A86" s="218">
        <v>118</v>
      </c>
      <c r="B86" s="566" t="s">
        <v>80</v>
      </c>
      <c r="C86" s="95">
        <f>SUMIFS(TM[[#All],[Member Months]],TM[[#All],[Reporting Year]],2022,TM[[#All],[Insurance Category Code]],4,TM[[#All],[Large Provider Entity Code]],A86)</f>
        <v>0</v>
      </c>
      <c r="D86" s="7" t="str">
        <f>IFERROR(SUMIFS(TM[[#All],[Total Non-Truncated Claims Spending]],TM[[#All],[Reporting Year]],2022,TM[[#All],[Insurance Category Code]],4,TM[[#All],[Large Provider Entity Code]],A86)/C86,"NA")</f>
        <v>NA</v>
      </c>
      <c r="E86" s="7" t="str">
        <f>IFERROR(SUMIFS(TM[[#All],[Total Non-Claims Spending]],TM[[#All],[Reporting Year]],2022,TM[[#All],[Insurance Category Code]],4,TM[[#All],[Large Provider Entity Code]],A86)/C86,"NA")</f>
        <v>NA</v>
      </c>
      <c r="F86" s="7" t="str">
        <f>IFERROR(SUMIFS(TM[[#All],[Total Non-Truncated Claims and Non-Claims Spending]],TM[[#All],[Reporting Year]],2022,TM[[#All],[Insurance Category Code]],4,TM[[#All],[Large Provider Entity Code]],A86)/C86,"NA")</f>
        <v>NA</v>
      </c>
      <c r="G86" s="7" t="str">
        <f>IFERROR(SUMIFS(TM[[#All],[Total Truncated Claims Spending]],TM[[#All],[Reporting Year]],2022,TM[[#All],[Insurance Category Code]],4,TM[[#All],[Large Provider Entity Code]],A86)/C86,"NA")</f>
        <v>NA</v>
      </c>
      <c r="H86" s="96" t="str">
        <f>IFERROR(SUMIFS(TM[[#All],[Total Truncated Expenses]],TM[[#All],[Reporting Year]],2022,TM[[#All],[Insurance Category Code]],4,TM[[#All],[Large Provider Entity Code]],A86)/C86,"NA")</f>
        <v>NA</v>
      </c>
      <c r="I86" s="95">
        <f>SUMIFS(TM[[#All],[Member Months]],TM[[#All],[Reporting Year]],2023,TM[[#All],[Insurance Category Code]],4,TM[[#All],[Large Provider Entity Code]],A86)</f>
        <v>0</v>
      </c>
      <c r="J86" s="7" t="str">
        <f>IFERROR(SUMIFS(TM[[#All],[Total Non-Truncated Claims Spending]],TM[[#All],[Reporting Year]],2023,TM[[#All],[Insurance Category Code]],4,TM[[#All],[Large Provider Entity Code]],A86)/I86,"NA")</f>
        <v>NA</v>
      </c>
      <c r="K86" s="7" t="str">
        <f>IFERROR(SUMIFS(TM[[#All],[Total Non-Claims Spending]],TM[[#All],[Reporting Year]],2023,TM[[#All],[Insurance Category Code]],4,TM[[#All],[Large Provider Entity Code]],A86)/I86,"NA")</f>
        <v>NA</v>
      </c>
      <c r="L86" s="7" t="str">
        <f>IFERROR(SUMIFS(TM[[#All],[Total Non-Truncated Claims and Non-Claims Spending]],TM[[#All],[Reporting Year]],2023,TM[[#All],[Insurance Category Code]],4,TM[[#All],[Large Provider Entity Code]],A86)/I86,"NA")</f>
        <v>NA</v>
      </c>
      <c r="M86" s="7" t="str">
        <f>IFERROR(SUMIFS(TM[[#All],[Total Truncated Claims Spending]],TM[[#All],[Reporting Year]],2023,TM[[#All],[Insurance Category Code]],4,TM[[#All],[Large Provider Entity Code]],A86)/I86,"NA")</f>
        <v>NA</v>
      </c>
      <c r="N86" s="96" t="str">
        <f>IFERROR(SUMIFS(TM[[#All],[Total Truncated Expenses]],TM[[#All],[Reporting Year]],2023,TM[[#All],[Insurance Category Code]],4,TM[[#All],[Large Provider Entity Code]],A86)/I86,"NA")</f>
        <v>NA</v>
      </c>
      <c r="O86" s="518">
        <f t="shared" si="17"/>
        <v>0</v>
      </c>
      <c r="P86" s="243" t="str">
        <f t="shared" si="16"/>
        <v>NA</v>
      </c>
      <c r="Q86" s="97" t="str">
        <f t="shared" si="16"/>
        <v>NA</v>
      </c>
      <c r="R86" s="97" t="str">
        <f t="shared" si="16"/>
        <v>NA</v>
      </c>
      <c r="S86" s="97" t="str">
        <f t="shared" si="16"/>
        <v>NA</v>
      </c>
      <c r="T86" s="97" t="str">
        <f t="shared" si="16"/>
        <v>NA</v>
      </c>
      <c r="U86" s="97" t="str">
        <f t="shared" si="16"/>
        <v>NA</v>
      </c>
    </row>
    <row r="87" spans="1:21" x14ac:dyDescent="0.25">
      <c r="A87" s="218">
        <v>119</v>
      </c>
      <c r="B87" s="566" t="s">
        <v>615</v>
      </c>
      <c r="C87" s="95">
        <f>SUMIFS(TM[[#All],[Member Months]],TM[[#All],[Reporting Year]],2022,TM[[#All],[Insurance Category Code]],4,TM[[#All],[Large Provider Entity Code]],A87)</f>
        <v>0</v>
      </c>
      <c r="D87" s="7" t="str">
        <f>IFERROR(SUMIFS(TM[[#All],[Total Non-Truncated Claims Spending]],TM[[#All],[Reporting Year]],2022,TM[[#All],[Insurance Category Code]],4,TM[[#All],[Large Provider Entity Code]],A87)/C87,"NA")</f>
        <v>NA</v>
      </c>
      <c r="E87" s="7" t="str">
        <f>IFERROR(SUMIFS(TM[[#All],[Total Non-Claims Spending]],TM[[#All],[Reporting Year]],2022,TM[[#All],[Insurance Category Code]],4,TM[[#All],[Large Provider Entity Code]],A87)/C87,"NA")</f>
        <v>NA</v>
      </c>
      <c r="F87" s="7" t="str">
        <f>IFERROR(SUMIFS(TM[[#All],[Total Non-Truncated Claims and Non-Claims Spending]],TM[[#All],[Reporting Year]],2022,TM[[#All],[Insurance Category Code]],4,TM[[#All],[Large Provider Entity Code]],A87)/C87,"NA")</f>
        <v>NA</v>
      </c>
      <c r="G87" s="7" t="str">
        <f>IFERROR(SUMIFS(TM[[#All],[Total Truncated Claims Spending]],TM[[#All],[Reporting Year]],2022,TM[[#All],[Insurance Category Code]],4,TM[[#All],[Large Provider Entity Code]],A87)/C87,"NA")</f>
        <v>NA</v>
      </c>
      <c r="H87" s="96" t="str">
        <f>IFERROR(SUMIFS(TM[[#All],[Total Truncated Expenses]],TM[[#All],[Reporting Year]],2022,TM[[#All],[Insurance Category Code]],4,TM[[#All],[Large Provider Entity Code]],A87)/C87,"NA")</f>
        <v>NA</v>
      </c>
      <c r="I87" s="95">
        <f>SUMIFS(TM[[#All],[Member Months]],TM[[#All],[Reporting Year]],2023,TM[[#All],[Insurance Category Code]],4,TM[[#All],[Large Provider Entity Code]],A87)</f>
        <v>0</v>
      </c>
      <c r="J87" s="7" t="str">
        <f>IFERROR(SUMIFS(TM[[#All],[Total Non-Truncated Claims Spending]],TM[[#All],[Reporting Year]],2023,TM[[#All],[Insurance Category Code]],4,TM[[#All],[Large Provider Entity Code]],A87)/I87,"NA")</f>
        <v>NA</v>
      </c>
      <c r="K87" s="7" t="str">
        <f>IFERROR(SUMIFS(TM[[#All],[Total Non-Claims Spending]],TM[[#All],[Reporting Year]],2023,TM[[#All],[Insurance Category Code]],4,TM[[#All],[Large Provider Entity Code]],A87)/I87,"NA")</f>
        <v>NA</v>
      </c>
      <c r="L87" s="7" t="str">
        <f>IFERROR(SUMIFS(TM[[#All],[Total Non-Truncated Claims and Non-Claims Spending]],TM[[#All],[Reporting Year]],2023,TM[[#All],[Insurance Category Code]],4,TM[[#All],[Large Provider Entity Code]],A87)/I87,"NA")</f>
        <v>NA</v>
      </c>
      <c r="M87" s="7" t="str">
        <f>IFERROR(SUMIFS(TM[[#All],[Total Truncated Claims Spending]],TM[[#All],[Reporting Year]],2023,TM[[#All],[Insurance Category Code]],4,TM[[#All],[Large Provider Entity Code]],A87)/I87,"NA")</f>
        <v>NA</v>
      </c>
      <c r="N87" s="96" t="str">
        <f>IFERROR(SUMIFS(TM[[#All],[Total Truncated Expenses]],TM[[#All],[Reporting Year]],2023,TM[[#All],[Insurance Category Code]],4,TM[[#All],[Large Provider Entity Code]],A87)/I87,"NA")</f>
        <v>NA</v>
      </c>
      <c r="O87" s="518">
        <f t="shared" si="17"/>
        <v>0</v>
      </c>
      <c r="P87" s="243" t="str">
        <f t="shared" si="16"/>
        <v>NA</v>
      </c>
      <c r="Q87" s="97" t="str">
        <f t="shared" si="16"/>
        <v>NA</v>
      </c>
      <c r="R87" s="97" t="str">
        <f t="shared" si="16"/>
        <v>NA</v>
      </c>
      <c r="S87" s="97" t="str">
        <f t="shared" si="16"/>
        <v>NA</v>
      </c>
      <c r="T87" s="97" t="str">
        <f t="shared" si="16"/>
        <v>NA</v>
      </c>
      <c r="U87" s="97" t="str">
        <f t="shared" si="16"/>
        <v>NA</v>
      </c>
    </row>
    <row r="88" spans="1:21" x14ac:dyDescent="0.25">
      <c r="A88" s="218">
        <v>120</v>
      </c>
      <c r="B88" s="566" t="s">
        <v>608</v>
      </c>
      <c r="C88" s="95">
        <f>SUMIFS(TM[[#All],[Member Months]],TM[[#All],[Reporting Year]],2022,TM[[#All],[Insurance Category Code]],4,TM[[#All],[Large Provider Entity Code]],A88)</f>
        <v>0</v>
      </c>
      <c r="D88" s="7" t="str">
        <f>IFERROR(SUMIFS(TM[[#All],[Total Non-Truncated Claims Spending]],TM[[#All],[Reporting Year]],2022,TM[[#All],[Insurance Category Code]],4,TM[[#All],[Large Provider Entity Code]],A88)/C88,"NA")</f>
        <v>NA</v>
      </c>
      <c r="E88" s="7" t="str">
        <f>IFERROR(SUMIFS(TM[[#All],[Total Non-Claims Spending]],TM[[#All],[Reporting Year]],2022,TM[[#All],[Insurance Category Code]],4,TM[[#All],[Large Provider Entity Code]],A88)/C88,"NA")</f>
        <v>NA</v>
      </c>
      <c r="F88" s="7" t="str">
        <f>IFERROR(SUMIFS(TM[[#All],[Total Non-Truncated Claims and Non-Claims Spending]],TM[[#All],[Reporting Year]],2022,TM[[#All],[Insurance Category Code]],4,TM[[#All],[Large Provider Entity Code]],A88)/C88,"NA")</f>
        <v>NA</v>
      </c>
      <c r="G88" s="7" t="str">
        <f>IFERROR(SUMIFS(TM[[#All],[Total Truncated Claims Spending]],TM[[#All],[Reporting Year]],2022,TM[[#All],[Insurance Category Code]],4,TM[[#All],[Large Provider Entity Code]],A88)/C88,"NA")</f>
        <v>NA</v>
      </c>
      <c r="H88" s="96" t="str">
        <f>IFERROR(SUMIFS(TM[[#All],[Total Truncated Expenses]],TM[[#All],[Reporting Year]],2022,TM[[#All],[Insurance Category Code]],4,TM[[#All],[Large Provider Entity Code]],A88)/C88,"NA")</f>
        <v>NA</v>
      </c>
      <c r="I88" s="95">
        <f>SUMIFS(TM[[#All],[Member Months]],TM[[#All],[Reporting Year]],2023,TM[[#All],[Insurance Category Code]],4,TM[[#All],[Large Provider Entity Code]],A88)</f>
        <v>0</v>
      </c>
      <c r="J88" s="7" t="str">
        <f>IFERROR(SUMIFS(TM[[#All],[Total Non-Truncated Claims Spending]],TM[[#All],[Reporting Year]],2023,TM[[#All],[Insurance Category Code]],4,TM[[#All],[Large Provider Entity Code]],A88)/I88,"NA")</f>
        <v>NA</v>
      </c>
      <c r="K88" s="7" t="str">
        <f>IFERROR(SUMIFS(TM[[#All],[Total Non-Claims Spending]],TM[[#All],[Reporting Year]],2023,TM[[#All],[Insurance Category Code]],4,TM[[#All],[Large Provider Entity Code]],A88)/I88,"NA")</f>
        <v>NA</v>
      </c>
      <c r="L88" s="7" t="str">
        <f>IFERROR(SUMIFS(TM[[#All],[Total Non-Truncated Claims and Non-Claims Spending]],TM[[#All],[Reporting Year]],2023,TM[[#All],[Insurance Category Code]],4,TM[[#All],[Large Provider Entity Code]],A88)/I88,"NA")</f>
        <v>NA</v>
      </c>
      <c r="M88" s="7" t="str">
        <f>IFERROR(SUMIFS(TM[[#All],[Total Truncated Claims Spending]],TM[[#All],[Reporting Year]],2023,TM[[#All],[Insurance Category Code]],4,TM[[#All],[Large Provider Entity Code]],A88)/I88,"NA")</f>
        <v>NA</v>
      </c>
      <c r="N88" s="96" t="str">
        <f>IFERROR(SUMIFS(TM[[#All],[Total Truncated Expenses]],TM[[#All],[Reporting Year]],2023,TM[[#All],[Insurance Category Code]],4,TM[[#All],[Large Provider Entity Code]],A88)/I88,"NA")</f>
        <v>NA</v>
      </c>
      <c r="O88" s="518">
        <f t="shared" si="17"/>
        <v>0</v>
      </c>
      <c r="P88" s="243" t="str">
        <f t="shared" si="16"/>
        <v>NA</v>
      </c>
      <c r="Q88" s="97" t="str">
        <f t="shared" si="16"/>
        <v>NA</v>
      </c>
      <c r="R88" s="97" t="str">
        <f t="shared" si="16"/>
        <v>NA</v>
      </c>
      <c r="S88" s="97" t="str">
        <f t="shared" si="16"/>
        <v>NA</v>
      </c>
      <c r="T88" s="97" t="str">
        <f t="shared" si="16"/>
        <v>NA</v>
      </c>
      <c r="U88" s="97" t="str">
        <f t="shared" si="16"/>
        <v>NA</v>
      </c>
    </row>
    <row r="89" spans="1:21" ht="30" x14ac:dyDescent="0.25">
      <c r="A89" s="218">
        <v>121</v>
      </c>
      <c r="B89" s="495" t="s">
        <v>616</v>
      </c>
      <c r="C89" s="213">
        <f>SUMIFS(TM[[#All],[Member Months]],TM[[#All],[Reporting Year]],2022,TM[[#All],[Insurance Category Code]],4,TM[[#All],[Large Provider Entity Code]],A89)</f>
        <v>0</v>
      </c>
      <c r="D89" s="7" t="str">
        <f>IFERROR(SUMIFS(TM[[#All],[Total Non-Truncated Claims Spending]],TM[[#All],[Reporting Year]],2022,TM[[#All],[Insurance Category Code]],4,TM[[#All],[Large Provider Entity Code]],A89)/C89,"NA")</f>
        <v>NA</v>
      </c>
      <c r="E89" s="7" t="str">
        <f>IFERROR(SUMIFS(TM[[#All],[Total Non-Claims Spending]],TM[[#All],[Reporting Year]],2022,TM[[#All],[Insurance Category Code]],4,TM[[#All],[Large Provider Entity Code]],A89)/C89,"NA")</f>
        <v>NA</v>
      </c>
      <c r="F89" s="7" t="str">
        <f>IFERROR(SUMIFS(TM[[#All],[Total Non-Truncated Claims and Non-Claims Spending]],TM[[#All],[Reporting Year]],2022,TM[[#All],[Insurance Category Code]],4,TM[[#All],[Large Provider Entity Code]],A89)/C89,"NA")</f>
        <v>NA</v>
      </c>
      <c r="G89" s="7" t="str">
        <f>IFERROR(SUMIFS(TM[[#All],[Total Truncated Claims Spending]],TM[[#All],[Reporting Year]],2022,TM[[#All],[Insurance Category Code]],4,TM[[#All],[Large Provider Entity Code]],A89)/C89,"NA")</f>
        <v>NA</v>
      </c>
      <c r="H89" s="214" t="str">
        <f>IFERROR(SUMIFS(TM[[#All],[Total Truncated Expenses]],TM[[#All],[Reporting Year]],2022,TM[[#All],[Insurance Category Code]],4,TM[[#All],[Large Provider Entity Code]],A89)/C89,"NA")</f>
        <v>NA</v>
      </c>
      <c r="I89" s="213">
        <f>SUMIFS(TM[[#All],[Member Months]],TM[[#All],[Reporting Year]],2023,TM[[#All],[Insurance Category Code]],4,TM[[#All],[Large Provider Entity Code]],A89)</f>
        <v>0</v>
      </c>
      <c r="J89" s="126" t="str">
        <f>IFERROR(SUMIFS(TM[[#All],[Total Non-Truncated Claims Spending]],TM[[#All],[Reporting Year]],2023,TM[[#All],[Insurance Category Code]],4,TM[[#All],[Large Provider Entity Code]],A89)/I89,"NA")</f>
        <v>NA</v>
      </c>
      <c r="K89" s="126" t="str">
        <f>IFERROR(SUMIFS(TM[[#All],[Total Non-Claims Spending]],TM[[#All],[Reporting Year]],2023,TM[[#All],[Insurance Category Code]],4,TM[[#All],[Large Provider Entity Code]],A89)/I89,"NA")</f>
        <v>NA</v>
      </c>
      <c r="L89" s="126" t="str">
        <f>IFERROR(SUMIFS(TM[[#All],[Total Non-Truncated Claims and Non-Claims Spending]],TM[[#All],[Reporting Year]],2023,TM[[#All],[Insurance Category Code]],4,TM[[#All],[Large Provider Entity Code]],A89)/I89,"NA")</f>
        <v>NA</v>
      </c>
      <c r="M89" s="126" t="str">
        <f>IFERROR(SUMIFS(TM[[#All],[Total Truncated Claims Spending]],TM[[#All],[Reporting Year]],2023,TM[[#All],[Insurance Category Code]],4,TM[[#All],[Large Provider Entity Code]],A89)/I89,"NA")</f>
        <v>NA</v>
      </c>
      <c r="N89" s="214" t="str">
        <f>IFERROR(SUMIFS(TM[[#All],[Total Truncated Expenses]],TM[[#All],[Reporting Year]],2023,TM[[#All],[Insurance Category Code]],4,TM[[#All],[Large Provider Entity Code]],A89)/I89,"NA")</f>
        <v>NA</v>
      </c>
      <c r="O89" s="518">
        <f t="shared" si="17"/>
        <v>0</v>
      </c>
      <c r="P89" s="245" t="str">
        <f t="shared" si="16"/>
        <v>NA</v>
      </c>
      <c r="Q89" s="127" t="str">
        <f t="shared" si="16"/>
        <v>NA</v>
      </c>
      <c r="R89" s="127" t="str">
        <f t="shared" si="16"/>
        <v>NA</v>
      </c>
      <c r="S89" s="127" t="str">
        <f t="shared" si="16"/>
        <v>NA</v>
      </c>
      <c r="T89" s="127" t="str">
        <f t="shared" si="16"/>
        <v>NA</v>
      </c>
      <c r="U89" s="127" t="str">
        <f t="shared" si="16"/>
        <v>NA</v>
      </c>
    </row>
    <row r="90" spans="1:21" x14ac:dyDescent="0.25">
      <c r="A90" s="218">
        <v>122</v>
      </c>
      <c r="B90" s="566" t="s">
        <v>617</v>
      </c>
      <c r="C90" s="213">
        <f>SUMIFS(TM[[#All],[Member Months]],TM[[#All],[Reporting Year]],2022,TM[[#All],[Insurance Category Code]],4,TM[[#All],[Large Provider Entity Code]],A90)</f>
        <v>0</v>
      </c>
      <c r="D90" s="7" t="str">
        <f>IFERROR(SUMIFS(TM[[#All],[Total Non-Truncated Claims Spending]],TM[[#All],[Reporting Year]],2022,TM[[#All],[Insurance Category Code]],4,TM[[#All],[Large Provider Entity Code]],A90)/C90,"NA")</f>
        <v>NA</v>
      </c>
      <c r="E90" s="7" t="str">
        <f>IFERROR(SUMIFS(TM[[#All],[Total Non-Claims Spending]],TM[[#All],[Reporting Year]],2022,TM[[#All],[Insurance Category Code]],4,TM[[#All],[Large Provider Entity Code]],A90)/C90,"NA")</f>
        <v>NA</v>
      </c>
      <c r="F90" s="7" t="str">
        <f>IFERROR(SUMIFS(TM[[#All],[Total Non-Truncated Claims and Non-Claims Spending]],TM[[#All],[Reporting Year]],2022,TM[[#All],[Insurance Category Code]],4,TM[[#All],[Large Provider Entity Code]],A90)/C90,"NA")</f>
        <v>NA</v>
      </c>
      <c r="G90" s="7" t="str">
        <f>IFERROR(SUMIFS(TM[[#All],[Total Truncated Claims Spending]],TM[[#All],[Reporting Year]],2022,TM[[#All],[Insurance Category Code]],4,TM[[#All],[Large Provider Entity Code]],A90)/C90,"NA")</f>
        <v>NA</v>
      </c>
      <c r="H90" s="214" t="str">
        <f>IFERROR(SUMIFS(TM[[#All],[Total Truncated Expenses]],TM[[#All],[Reporting Year]],2022,TM[[#All],[Insurance Category Code]],4,TM[[#All],[Large Provider Entity Code]],A90)/C90,"NA")</f>
        <v>NA</v>
      </c>
      <c r="I90" s="213">
        <f>SUMIFS(TM[[#All],[Member Months]],TM[[#All],[Reporting Year]],2023,TM[[#All],[Insurance Category Code]],4,TM[[#All],[Large Provider Entity Code]],A90)</f>
        <v>0</v>
      </c>
      <c r="J90" s="126" t="str">
        <f>IFERROR(SUMIFS(TM[[#All],[Total Non-Truncated Claims Spending]],TM[[#All],[Reporting Year]],2023,TM[[#All],[Insurance Category Code]],4,TM[[#All],[Large Provider Entity Code]],A90)/I90,"NA")</f>
        <v>NA</v>
      </c>
      <c r="K90" s="126" t="str">
        <f>IFERROR(SUMIFS(TM[[#All],[Total Non-Claims Spending]],TM[[#All],[Reporting Year]],2023,TM[[#All],[Insurance Category Code]],4,TM[[#All],[Large Provider Entity Code]],A90)/I90,"NA")</f>
        <v>NA</v>
      </c>
      <c r="L90" s="126" t="str">
        <f>IFERROR(SUMIFS(TM[[#All],[Total Non-Truncated Claims and Non-Claims Spending]],TM[[#All],[Reporting Year]],2023,TM[[#All],[Insurance Category Code]],4,TM[[#All],[Large Provider Entity Code]],A90)/I90,"NA")</f>
        <v>NA</v>
      </c>
      <c r="M90" s="126" t="str">
        <f>IFERROR(SUMIFS(TM[[#All],[Total Truncated Claims Spending]],TM[[#All],[Reporting Year]],2023,TM[[#All],[Insurance Category Code]],4,TM[[#All],[Large Provider Entity Code]],A90)/I90,"NA")</f>
        <v>NA</v>
      </c>
      <c r="N90" s="214" t="str">
        <f>IFERROR(SUMIFS(TM[[#All],[Total Truncated Expenses]],TM[[#All],[Reporting Year]],2023,TM[[#All],[Insurance Category Code]],4,TM[[#All],[Large Provider Entity Code]],A90)/I90,"NA")</f>
        <v>NA</v>
      </c>
      <c r="O90" s="518">
        <f t="shared" si="17"/>
        <v>0</v>
      </c>
      <c r="P90" s="245" t="str">
        <f t="shared" si="16"/>
        <v>NA</v>
      </c>
      <c r="Q90" s="127" t="str">
        <f t="shared" si="16"/>
        <v>NA</v>
      </c>
      <c r="R90" s="127" t="str">
        <f t="shared" si="16"/>
        <v>NA</v>
      </c>
      <c r="S90" s="127" t="str">
        <f t="shared" si="16"/>
        <v>NA</v>
      </c>
      <c r="T90" s="127" t="str">
        <f t="shared" si="16"/>
        <v>NA</v>
      </c>
      <c r="U90" s="127" t="str">
        <f t="shared" si="16"/>
        <v>NA</v>
      </c>
    </row>
    <row r="91" spans="1:21" x14ac:dyDescent="0.25">
      <c r="A91" s="218">
        <v>999</v>
      </c>
      <c r="B91" s="495" t="s">
        <v>81</v>
      </c>
      <c r="C91" s="213">
        <f>SUMIFS(TM[[#All],[Member Months]],TM[[#All],[Reporting Year]],2022,TM[[#All],[Insurance Category Code]],4,TM[[#All],[Large Provider Entity Code]],A91)</f>
        <v>0</v>
      </c>
      <c r="D91" s="7" t="str">
        <f>IFERROR(SUMIFS(TM[[#All],[Total Non-Truncated Claims Spending]],TM[[#All],[Reporting Year]],2022,TM[[#All],[Insurance Category Code]],4,TM[[#All],[Large Provider Entity Code]],A91)/C91,"NA")</f>
        <v>NA</v>
      </c>
      <c r="E91" s="7" t="str">
        <f>IFERROR(SUMIFS(TM[[#All],[Total Non-Claims Spending]],TM[[#All],[Reporting Year]],2022,TM[[#All],[Insurance Category Code]],4,TM[[#All],[Large Provider Entity Code]],A91)/C91,"NA")</f>
        <v>NA</v>
      </c>
      <c r="F91" s="7" t="str">
        <f>IFERROR(SUMIFS(TM[[#All],[Total Non-Truncated Claims and Non-Claims Spending]],TM[[#All],[Reporting Year]],2022,TM[[#All],[Insurance Category Code]],4,TM[[#All],[Large Provider Entity Code]],A91)/C91,"NA")</f>
        <v>NA</v>
      </c>
      <c r="G91" s="7" t="str">
        <f>IFERROR(SUMIFS(TM[[#All],[Total Truncated Claims Spending]],TM[[#All],[Reporting Year]],2022,TM[[#All],[Insurance Category Code]],4,TM[[#All],[Large Provider Entity Code]],A91)/C91,"NA")</f>
        <v>NA</v>
      </c>
      <c r="H91" s="214" t="str">
        <f>IFERROR(SUMIFS(TM[[#All],[Total Truncated Expenses]],TM[[#All],[Reporting Year]],2022,TM[[#All],[Insurance Category Code]],4,TM[[#All],[Large Provider Entity Code]],A91)/C91,"NA")</f>
        <v>NA</v>
      </c>
      <c r="I91" s="213">
        <f>SUMIFS(TM[[#All],[Member Months]],TM[[#All],[Reporting Year]],2023,TM[[#All],[Insurance Category Code]],4,TM[[#All],[Large Provider Entity Code]],A91)</f>
        <v>0</v>
      </c>
      <c r="J91" s="126" t="str">
        <f>IFERROR(SUMIFS(TM[[#All],[Total Non-Truncated Claims Spending]],TM[[#All],[Reporting Year]],2023,TM[[#All],[Insurance Category Code]],4,TM[[#All],[Large Provider Entity Code]],A91)/I91,"NA")</f>
        <v>NA</v>
      </c>
      <c r="K91" s="126" t="str">
        <f>IFERROR(SUMIFS(TM[[#All],[Total Non-Claims Spending]],TM[[#All],[Reporting Year]],2023,TM[[#All],[Insurance Category Code]],4,TM[[#All],[Large Provider Entity Code]],A91)/I91,"NA")</f>
        <v>NA</v>
      </c>
      <c r="L91" s="126" t="str">
        <f>IFERROR(SUMIFS(TM[[#All],[Total Non-Truncated Claims and Non-Claims Spending]],TM[[#All],[Reporting Year]],2023,TM[[#All],[Insurance Category Code]],4,TM[[#All],[Large Provider Entity Code]],A91)/I91,"NA")</f>
        <v>NA</v>
      </c>
      <c r="M91" s="126" t="str">
        <f>IFERROR(SUMIFS(TM[[#All],[Total Truncated Claims Spending]],TM[[#All],[Reporting Year]],2023,TM[[#All],[Insurance Category Code]],4,TM[[#All],[Large Provider Entity Code]],A91)/I91,"NA")</f>
        <v>NA</v>
      </c>
      <c r="N91" s="96" t="str">
        <f>IFERROR(SUMIFS(TM[[#All],[Total Truncated Expenses]],TM[[#All],[Reporting Year]],2023,TM[[#All],[Insurance Category Code]],4,TM[[#All],[Large Provider Entity Code]],A91)/I91,"NA")</f>
        <v>NA</v>
      </c>
      <c r="O91" s="518">
        <f t="shared" si="17"/>
        <v>0</v>
      </c>
      <c r="P91" s="245" t="str">
        <f t="shared" si="16"/>
        <v>NA</v>
      </c>
      <c r="Q91" s="127" t="str">
        <f t="shared" si="16"/>
        <v>NA</v>
      </c>
      <c r="R91" s="127" t="str">
        <f t="shared" si="16"/>
        <v>NA</v>
      </c>
      <c r="S91" s="127" t="str">
        <f t="shared" si="16"/>
        <v>NA</v>
      </c>
      <c r="T91" s="127" t="str">
        <f t="shared" si="16"/>
        <v>NA</v>
      </c>
      <c r="U91" s="127" t="str">
        <f t="shared" si="16"/>
        <v>NA</v>
      </c>
    </row>
    <row r="92" spans="1:21" ht="30" customHeight="1" x14ac:dyDescent="0.25">
      <c r="A92" s="707" t="s">
        <v>567</v>
      </c>
      <c r="B92" s="708"/>
      <c r="C92" s="165">
        <f>SUM(C72:C91)</f>
        <v>0</v>
      </c>
      <c r="D92" s="131" t="str">
        <f>IFERROR((SUMPRODUCT(D72:D91,C72:C91)/C92),"NA")</f>
        <v>NA</v>
      </c>
      <c r="E92" s="131" t="str">
        <f>IFERROR((SUMPRODUCT(E72:E91,C72:C91)/C92),"NA")</f>
        <v>NA</v>
      </c>
      <c r="F92" s="131" t="str">
        <f>IFERROR((SUMPRODUCT(F72:F91,C72:C91)/C92),"NA")</f>
        <v>NA</v>
      </c>
      <c r="G92" s="131" t="str">
        <f>IFERROR((SUMPRODUCT(G72:G91,C72:C91)/C92),"NA")</f>
        <v>NA</v>
      </c>
      <c r="H92" s="131" t="str">
        <f>IFERROR((SUMPRODUCT(H72:H91,C72:C91)/C92),"NA")</f>
        <v>NA</v>
      </c>
      <c r="I92" s="165">
        <f>SUM(I72:I91)</f>
        <v>0</v>
      </c>
      <c r="J92" s="131" t="str">
        <f>IFERROR((SUMPRODUCT(J72:J91,I72:I91)/I92),"NA")</f>
        <v>NA</v>
      </c>
      <c r="K92" s="131" t="str">
        <f>IFERROR((SUMPRODUCT(K72:K91,I72:I91)/I92),"NA")</f>
        <v>NA</v>
      </c>
      <c r="L92" s="131" t="str">
        <f>IFERROR((SUMPRODUCT(L72:L91,I72:I91)/I92),"NA")</f>
        <v>NA</v>
      </c>
      <c r="M92" s="131" t="str">
        <f>IFERROR((SUMPRODUCT(M72:M91,I72:I91)/I92),"NA")</f>
        <v>NA</v>
      </c>
      <c r="N92" s="206" t="str">
        <f>IFERROR((SUMPRODUCT(N72:N91,I72:I91)/I92),"NA")</f>
        <v>NA</v>
      </c>
      <c r="O92" s="544" t="s">
        <v>500</v>
      </c>
      <c r="P92" s="439" t="s">
        <v>500</v>
      </c>
      <c r="Q92" s="438" t="s">
        <v>500</v>
      </c>
      <c r="R92" s="438" t="s">
        <v>500</v>
      </c>
      <c r="S92" s="438" t="s">
        <v>500</v>
      </c>
      <c r="T92" s="438" t="s">
        <v>500</v>
      </c>
      <c r="U92" s="438" t="s">
        <v>500</v>
      </c>
    </row>
    <row r="93" spans="1:21" x14ac:dyDescent="0.25">
      <c r="A93" s="709" t="s">
        <v>563</v>
      </c>
      <c r="B93" s="710"/>
      <c r="C93" s="165" t="s">
        <v>500</v>
      </c>
      <c r="D93" s="130" t="str">
        <f>IFERROR(((SUMPRODUCT(D71,$C$71))-ABS(SUMIFS(RX[[#All],[Total Medical and Retail Pharmacy Rebate Amount]],RX[[#All],[Reporting Year]],2022,RX[[#All],[Insurance Category Code]],4)))/$C$92,"NA")</f>
        <v>NA</v>
      </c>
      <c r="E93" s="130" t="str">
        <f>IFERROR(((SUMPRODUCT(E71,$C$71))-ABS(SUMIFS(RX[[#All],[Total Medical and Retail Pharmacy Rebate Amount]],RX[[#All],[Reporting Year]],2022,RX[[#All],[Insurance Category Code]],4)))/$C$92,"NA")</f>
        <v>NA</v>
      </c>
      <c r="F93" s="130" t="str">
        <f>IFERROR(((SUMPRODUCT(F71,$C$71))-ABS(SUMIFS(RX[[#All],[Total Medical and Retail Pharmacy Rebate Amount]],RX[[#All],[Reporting Year]],2022,RX[[#All],[Insurance Category Code]],4)))/$C$92,"NA")</f>
        <v>NA</v>
      </c>
      <c r="G93" s="130" t="str">
        <f>IFERROR(((SUMPRODUCT(G71,$C$71))-ABS(SUMIFS(RX[[#All],[Total Medical and Retail Pharmacy Rebate Amount]],RX[[#All],[Reporting Year]],2022,RX[[#All],[Insurance Category Code]],4)))/$C$92,"NA")</f>
        <v>NA</v>
      </c>
      <c r="H93" s="130" t="str">
        <f>IFERROR(((SUMPRODUCT(H71,$C$71))-ABS(SUMIFS(RX[[#All],[Total Medical and Retail Pharmacy Rebate Amount]],RX[[#All],[Reporting Year]],2022,RX[[#All],[Insurance Category Code]],4)))/$C$92,"NA")</f>
        <v>NA</v>
      </c>
      <c r="I93" s="165" t="s">
        <v>500</v>
      </c>
      <c r="J93" s="130" t="str">
        <f>IFERROR(((SUMPRODUCT(J71,$I$71))-ABS(SUMIFS(RX[[#All],[Total Medical and Retail Pharmacy Rebate Amount]],RX[[#All],[Reporting Year]],2023,RX[[#All],[Insurance Category Code]],4)))/$I$92,"NA")</f>
        <v>NA</v>
      </c>
      <c r="K93" s="130" t="str">
        <f>IFERROR(((SUMPRODUCT(K71,$I$71))-ABS(SUMIFS(RX[[#All],[Total Medical and Retail Pharmacy Rebate Amount]],RX[[#All],[Reporting Year]],2023,RX[[#All],[Insurance Category Code]],4)))/$I$92,"NA")</f>
        <v>NA</v>
      </c>
      <c r="L93" s="130" t="str">
        <f>IFERROR(((SUMPRODUCT(L71,$I$71))-ABS(SUMIFS(RX[[#All],[Total Medical and Retail Pharmacy Rebate Amount]],RX[[#All],[Reporting Year]],2023,RX[[#All],[Insurance Category Code]],4)))/$I$92,"NA")</f>
        <v>NA</v>
      </c>
      <c r="M93" s="130" t="str">
        <f>IFERROR(((SUMPRODUCT(M71,$I$71))-ABS(SUMIFS(RX[[#All],[Total Medical and Retail Pharmacy Rebate Amount]],RX[[#All],[Reporting Year]],2023,RX[[#All],[Insurance Category Code]],4)))/$I$92,"NA")</f>
        <v>NA</v>
      </c>
      <c r="N93" s="208" t="str">
        <f>IFERROR(((SUMPRODUCT(N71,$I$71))-ABS(SUMIFS(RX[[#All],[Total Medical and Retail Pharmacy Rebate Amount]],RX[[#All],[Reporting Year]],2023,RX[[#All],[Insurance Category Code]],4)))/$I$92,"NA")</f>
        <v>NA</v>
      </c>
      <c r="O93" s="544" t="s">
        <v>500</v>
      </c>
      <c r="P93" s="439" t="s">
        <v>500</v>
      </c>
      <c r="Q93" s="438" t="s">
        <v>500</v>
      </c>
      <c r="R93" s="438" t="s">
        <v>500</v>
      </c>
      <c r="S93" s="438" t="s">
        <v>500</v>
      </c>
      <c r="T93" s="438" t="s">
        <v>500</v>
      </c>
      <c r="U93" s="438" t="s">
        <v>500</v>
      </c>
    </row>
    <row r="94" spans="1:21" x14ac:dyDescent="0.25">
      <c r="A94" s="717" t="s">
        <v>564</v>
      </c>
      <c r="B94" s="718"/>
      <c r="C94" s="230">
        <f>ABS(C92-C71)</f>
        <v>0</v>
      </c>
      <c r="D94" s="227" t="e">
        <f>ABS(D92-D71)</f>
        <v>#VALUE!</v>
      </c>
      <c r="E94" s="227" t="e">
        <f>ABS(E92-E71)</f>
        <v>#VALUE!</v>
      </c>
      <c r="F94" s="227" t="e">
        <f>ABS(F92-F71)</f>
        <v>#VALUE!</v>
      </c>
      <c r="G94" s="181" t="s">
        <v>500</v>
      </c>
      <c r="H94" s="233" t="s">
        <v>500</v>
      </c>
      <c r="I94" s="230">
        <f>ABS(I92-I71)</f>
        <v>0</v>
      </c>
      <c r="J94" s="232" t="e">
        <f>ABS(J92-J71)</f>
        <v>#VALUE!</v>
      </c>
      <c r="K94" s="232" t="e">
        <f>ABS(K92-K71)</f>
        <v>#VALUE!</v>
      </c>
      <c r="L94" s="232" t="e">
        <f>ABS(L92-L71)</f>
        <v>#VALUE!</v>
      </c>
      <c r="M94" s="181" t="s">
        <v>500</v>
      </c>
      <c r="N94" s="233" t="s">
        <v>500</v>
      </c>
      <c r="O94" s="545" t="s">
        <v>500</v>
      </c>
      <c r="P94" s="546" t="s">
        <v>500</v>
      </c>
      <c r="Q94" s="548" t="s">
        <v>500</v>
      </c>
      <c r="R94" s="548" t="s">
        <v>500</v>
      </c>
      <c r="S94" s="548" t="s">
        <v>500</v>
      </c>
      <c r="T94" s="548" t="s">
        <v>500</v>
      </c>
      <c r="U94" s="548" t="s">
        <v>500</v>
      </c>
    </row>
    <row r="95" spans="1:21" ht="14.45" customHeight="1" x14ac:dyDescent="0.25">
      <c r="A95" s="715" t="s">
        <v>565</v>
      </c>
      <c r="B95" s="716"/>
      <c r="C95" s="260" t="str">
        <f>IF(((ABS(C92-C71))&lt;10),"Yes","No")</f>
        <v>Yes</v>
      </c>
      <c r="D95" s="181" t="e">
        <f>IF(((ABS(D92-D71))&lt;10),"Yes","No")</f>
        <v>#VALUE!</v>
      </c>
      <c r="E95" s="181" t="e">
        <f>IF(((ABS(E92-E71))&lt;10),"Yes","No")</f>
        <v>#VALUE!</v>
      </c>
      <c r="F95" s="181" t="e">
        <f>IF(((ABS(F92-F71))&lt;10),"Yes","No")</f>
        <v>#VALUE!</v>
      </c>
      <c r="G95" s="181" t="s">
        <v>500</v>
      </c>
      <c r="H95" s="233" t="s">
        <v>500</v>
      </c>
      <c r="I95" s="260" t="str">
        <f>IF(((ABS(I92-I71))&lt;10),"Yes","No")</f>
        <v>Yes</v>
      </c>
      <c r="J95" s="252" t="e">
        <f>IF(((ABS(J92-J71))&lt;10),"Yes","No")</f>
        <v>#VALUE!</v>
      </c>
      <c r="K95" s="252" t="e">
        <f>IF(((ABS(K92-K71))&lt;10),"Yes","No")</f>
        <v>#VALUE!</v>
      </c>
      <c r="L95" s="252" t="e">
        <f>IF(((ABS(L92-L71))&lt;10),"Yes","No")</f>
        <v>#VALUE!</v>
      </c>
      <c r="M95" s="181" t="s">
        <v>500</v>
      </c>
      <c r="N95" s="233" t="s">
        <v>500</v>
      </c>
      <c r="O95" s="545" t="s">
        <v>500</v>
      </c>
      <c r="P95" s="546" t="s">
        <v>500</v>
      </c>
      <c r="Q95" s="548" t="s">
        <v>500</v>
      </c>
      <c r="R95" s="548" t="s">
        <v>500</v>
      </c>
      <c r="S95" s="548" t="s">
        <v>500</v>
      </c>
      <c r="T95" s="548" t="s">
        <v>500</v>
      </c>
      <c r="U95" s="548" t="s">
        <v>500</v>
      </c>
    </row>
    <row r="96" spans="1:21" x14ac:dyDescent="0.25">
      <c r="A96"/>
      <c r="B96"/>
      <c r="C96" s="115"/>
      <c r="D96" s="116"/>
      <c r="E96" s="116"/>
      <c r="F96" s="116"/>
      <c r="G96" s="116"/>
      <c r="H96" s="116"/>
      <c r="I96" s="115"/>
      <c r="J96" s="116"/>
      <c r="K96" s="116"/>
      <c r="L96" s="116"/>
      <c r="M96" s="116"/>
      <c r="N96" s="116"/>
      <c r="O96" s="116"/>
      <c r="P96" s="117"/>
      <c r="Q96" s="117"/>
      <c r="R96" s="117"/>
      <c r="S96" s="117"/>
      <c r="T96" s="117"/>
      <c r="U96" s="117"/>
    </row>
    <row r="97" spans="1:21" x14ac:dyDescent="0.25">
      <c r="A97"/>
      <c r="B97"/>
      <c r="C97" s="115"/>
      <c r="D97" s="116"/>
      <c r="E97" s="116"/>
      <c r="F97" s="116"/>
      <c r="G97" s="116"/>
      <c r="H97" s="116"/>
      <c r="I97" s="115"/>
      <c r="J97" s="116"/>
      <c r="K97" s="116"/>
      <c r="L97" s="116"/>
      <c r="M97" s="116"/>
      <c r="N97" s="116"/>
      <c r="O97" s="116"/>
      <c r="P97" s="117"/>
      <c r="Q97" s="117"/>
      <c r="R97" s="117"/>
      <c r="S97" s="117"/>
      <c r="T97" s="117"/>
      <c r="U97" s="117"/>
    </row>
    <row r="98" spans="1:21" x14ac:dyDescent="0.25">
      <c r="A98" s="3" t="s">
        <v>569</v>
      </c>
      <c r="B98"/>
      <c r="C98"/>
      <c r="D98"/>
      <c r="E98"/>
      <c r="F98"/>
      <c r="G98"/>
      <c r="H98"/>
      <c r="I98"/>
      <c r="J98"/>
      <c r="K98"/>
      <c r="L98"/>
      <c r="M98"/>
      <c r="N98"/>
      <c r="O98"/>
      <c r="P98"/>
      <c r="Q98"/>
      <c r="R98"/>
      <c r="S98"/>
      <c r="T98"/>
      <c r="U98"/>
    </row>
    <row r="99" spans="1:21" ht="15" customHeight="1" x14ac:dyDescent="0.25">
      <c r="A99" s="657" t="s">
        <v>71</v>
      </c>
      <c r="B99" s="706" t="s">
        <v>547</v>
      </c>
      <c r="C99" s="697">
        <v>2022</v>
      </c>
      <c r="D99" s="698"/>
      <c r="E99" s="698"/>
      <c r="F99" s="698"/>
      <c r="G99" s="698"/>
      <c r="H99" s="699"/>
      <c r="I99" s="700">
        <v>2023</v>
      </c>
      <c r="J99" s="701"/>
      <c r="K99" s="701"/>
      <c r="L99" s="701"/>
      <c r="M99" s="701"/>
      <c r="N99" s="702"/>
      <c r="O99" s="570"/>
      <c r="P99" s="703" t="s">
        <v>618</v>
      </c>
      <c r="Q99" s="704"/>
      <c r="R99" s="704"/>
      <c r="S99" s="704"/>
      <c r="T99" s="704"/>
      <c r="U99" s="705"/>
    </row>
    <row r="100" spans="1:21" ht="45" x14ac:dyDescent="0.25">
      <c r="A100" s="657"/>
      <c r="B100" s="706"/>
      <c r="C100" s="90" t="s">
        <v>352</v>
      </c>
      <c r="D100" s="91" t="s">
        <v>550</v>
      </c>
      <c r="E100" s="91" t="s">
        <v>551</v>
      </c>
      <c r="F100" s="91" t="s">
        <v>552</v>
      </c>
      <c r="G100" s="91" t="s">
        <v>553</v>
      </c>
      <c r="H100" s="92" t="s">
        <v>554</v>
      </c>
      <c r="I100" s="87" t="s">
        <v>352</v>
      </c>
      <c r="J100" s="88" t="s">
        <v>550</v>
      </c>
      <c r="K100" s="88" t="s">
        <v>551</v>
      </c>
      <c r="L100" s="88" t="s">
        <v>552</v>
      </c>
      <c r="M100" s="88" t="s">
        <v>553</v>
      </c>
      <c r="N100" s="89" t="s">
        <v>554</v>
      </c>
      <c r="O100" s="513" t="s">
        <v>555</v>
      </c>
      <c r="P100" s="242" t="s">
        <v>556</v>
      </c>
      <c r="Q100" s="77" t="s">
        <v>557</v>
      </c>
      <c r="R100" s="77" t="s">
        <v>558</v>
      </c>
      <c r="S100" s="77" t="s">
        <v>559</v>
      </c>
      <c r="T100" s="77" t="s">
        <v>560</v>
      </c>
      <c r="U100" s="217" t="s">
        <v>561</v>
      </c>
    </row>
    <row r="101" spans="1:21" x14ac:dyDescent="0.25">
      <c r="A101" s="219">
        <v>100</v>
      </c>
      <c r="B101" s="495" t="s">
        <v>72</v>
      </c>
      <c r="C101" s="95">
        <f>SUMIFS(TM[[#All],[Member Months]],TM[[#All],[Reporting Year]],2022,TM[[#All],[Insurance Category Code]],7,TM[[#All],[Large Provider Entity Code]],A101)</f>
        <v>0</v>
      </c>
      <c r="D101" s="7" t="str">
        <f>IFERROR(SUMIFS(TM[[#All],[Total Non-Truncated Claims Spending]],TM[[#All],[Reporting Year]],2022,TM[[#All],[Insurance Category Code]],7,TM[[#All],[Large Provider Entity Code]],A101)/C101,"NA")</f>
        <v>NA</v>
      </c>
      <c r="E101" s="7" t="str">
        <f>IFERROR(SUMIFS(TM[[#All],[Total Non-Claims Spending]],TM[[#All],[Reporting Year]],2022,TM[[#All],[Insurance Category Code]],7,TM[[#All],[Large Provider Entity Code]],A101)/C101,"NA")</f>
        <v>NA</v>
      </c>
      <c r="F101" s="7" t="str">
        <f>IFERROR(SUMIFS(TM[[#All],[Total Non-Truncated Claims and Non-Claims Spending]],TM[[#All],[Reporting Year]],2022,TM[[#All],[Insurance Category Code]],7,TM[[#All],[Large Provider Entity Code]],A101)/C101,"NA")</f>
        <v>NA</v>
      </c>
      <c r="G101" s="7" t="str">
        <f>IFERROR(SUMIFS(TM[[#All],[Total Truncated Claims Spending]],TM[[#All],[Reporting Year]],2022,TM[[#All],[Insurance Category Code]],7,TM[[#All],[Large Provider Entity Code]],A101)/C101,"NA")</f>
        <v>NA</v>
      </c>
      <c r="H101" s="96" t="str">
        <f>IFERROR(SUMIFS(TM[[#All],[Total Truncated Expenses]],TM[[#All],[Reporting Year]],2022,TM[[#All],[Insurance Category Code]],7,TM[[#All],[Large Provider Entity Code]],A101)/C101,"NA")</f>
        <v>NA</v>
      </c>
      <c r="I101" s="95">
        <f>SUMIFS(TM[[#All],[Member Months]],TM[[#All],[Reporting Year]],2023,TM[[#All],[Insurance Category Code]],7,TM[[#All],[Large Provider Entity Code]],A101)</f>
        <v>0</v>
      </c>
      <c r="J101" s="7" t="str">
        <f>IFERROR(SUMIFS(TM[[#All],[Total Non-Truncated Claims Spending]],TM[[#All],[Reporting Year]],2023,TM[[#All],[Insurance Category Code]],7,TM[[#All],[Large Provider Entity Code]],A101)/I101,"NA")</f>
        <v>NA</v>
      </c>
      <c r="K101" s="7" t="str">
        <f>IFERROR(SUMIFS(TM[[#All],[Total Non-Claims Spending]],TM[[#All],[Reporting Year]],2023,TM[[#All],[Insurance Category Code]],7,TM[[#All],[Large Provider Entity Code]],A101)/I101,"NA")</f>
        <v>NA</v>
      </c>
      <c r="L101" s="7" t="str">
        <f>IFERROR(SUMIFS(TM[[#All],[Total Non-Truncated Claims and Non-Claims Spending]],TM[[#All],[Reporting Year]],2023,TM[[#All],[Insurance Category Code]],7,TM[[#All],[Large Provider Entity Code]],A101)/I101,"NA")</f>
        <v>NA</v>
      </c>
      <c r="M101" s="7" t="str">
        <f>IFERROR(SUMIFS(TM[[#All],[Total Truncated Claims Spending]],TM[[#All],[Reporting Year]],2023,TM[[#All],[Insurance Category Code]],7,TM[[#All],[Large Provider Entity Code]],A101)/I101,"NA")</f>
        <v>NA</v>
      </c>
      <c r="N101" s="96" t="str">
        <f>IFERROR(SUMIFS(TM[[#All],[Total Truncated Expenses]],TM[[#All],[Reporting Year]],2023,TM[[#All],[Insurance Category Code]],7,TM[[#All],[Large Provider Entity Code]],A101)/I101,"NA")</f>
        <v>NA</v>
      </c>
      <c r="O101" s="518">
        <f>ABS(C101-I101)</f>
        <v>0</v>
      </c>
      <c r="P101" s="243" t="str">
        <f t="shared" ref="P101:U121" si="18">IFERROR((I101/C101-1),"NA")</f>
        <v>NA</v>
      </c>
      <c r="Q101" s="97" t="str">
        <f t="shared" si="18"/>
        <v>NA</v>
      </c>
      <c r="R101" s="97" t="str">
        <f t="shared" si="18"/>
        <v>NA</v>
      </c>
      <c r="S101" s="97" t="str">
        <f t="shared" si="18"/>
        <v>NA</v>
      </c>
      <c r="T101" s="97" t="str">
        <f t="shared" si="18"/>
        <v>NA</v>
      </c>
      <c r="U101" s="97" t="str">
        <f t="shared" si="18"/>
        <v>NA</v>
      </c>
    </row>
    <row r="102" spans="1:21" x14ac:dyDescent="0.25">
      <c r="A102" s="218">
        <v>101</v>
      </c>
      <c r="B102" s="495" t="s">
        <v>609</v>
      </c>
      <c r="C102" s="95">
        <f>SUMIFS(TM[[#All],[Member Months]],TM[[#All],[Reporting Year]],2022,TM[[#All],[Insurance Category Code]],7,TM[[#All],[Large Provider Entity Code]],A102)</f>
        <v>0</v>
      </c>
      <c r="D102" s="7" t="str">
        <f>IFERROR(SUMIFS(TM[[#All],[Total Non-Truncated Claims Spending]],TM[[#All],[Reporting Year]],2022,TM[[#All],[Insurance Category Code]],7,TM[[#All],[Large Provider Entity Code]],A102)/C102,"NA")</f>
        <v>NA</v>
      </c>
      <c r="E102" s="7" t="str">
        <f>IFERROR(SUMIFS(TM[[#All],[Total Non-Claims Spending]],TM[[#All],[Reporting Year]],2022,TM[[#All],[Insurance Category Code]],7,TM[[#All],[Large Provider Entity Code]],A102)/C102,"NA")</f>
        <v>NA</v>
      </c>
      <c r="F102" s="7" t="str">
        <f>IFERROR(SUMIFS(TM[[#All],[Total Non-Truncated Claims and Non-Claims Spending]],TM[[#All],[Reporting Year]],2022,TM[[#All],[Insurance Category Code]],7,TM[[#All],[Large Provider Entity Code]],A102)/C102,"NA")</f>
        <v>NA</v>
      </c>
      <c r="G102" s="7" t="str">
        <f>IFERROR(SUMIFS(TM[[#All],[Total Truncated Claims Spending]],TM[[#All],[Reporting Year]],2022,TM[[#All],[Insurance Category Code]],7,TM[[#All],[Large Provider Entity Code]],A102)/C102,"NA")</f>
        <v>NA</v>
      </c>
      <c r="H102" s="96" t="str">
        <f>IFERROR(SUMIFS(TM[[#All],[Total Truncated Expenses]],TM[[#All],[Reporting Year]],2022,TM[[#All],[Insurance Category Code]],7,TM[[#All],[Large Provider Entity Code]],A102)/C102,"NA")</f>
        <v>NA</v>
      </c>
      <c r="I102" s="95">
        <f>SUMIFS(TM[[#All],[Member Months]],TM[[#All],[Reporting Year]],2023,TM[[#All],[Insurance Category Code]],7,TM[[#All],[Large Provider Entity Code]],A102)</f>
        <v>0</v>
      </c>
      <c r="J102" s="7" t="str">
        <f>IFERROR(SUMIFS(TM[[#All],[Total Non-Truncated Claims Spending]],TM[[#All],[Reporting Year]],2023,TM[[#All],[Insurance Category Code]],7,TM[[#All],[Large Provider Entity Code]],A102)/I102,"NA")</f>
        <v>NA</v>
      </c>
      <c r="K102" s="7" t="str">
        <f>IFERROR(SUMIFS(TM[[#All],[Total Non-Claims Spending]],TM[[#All],[Reporting Year]],2023,TM[[#All],[Insurance Category Code]],7,TM[[#All],[Large Provider Entity Code]],A102)/I102,"NA")</f>
        <v>NA</v>
      </c>
      <c r="L102" s="7" t="str">
        <f>IFERROR(SUMIFS(TM[[#All],[Total Non-Truncated Claims and Non-Claims Spending]],TM[[#All],[Reporting Year]],2023,TM[[#All],[Insurance Category Code]],7,TM[[#All],[Large Provider Entity Code]],A102)/I102,"NA")</f>
        <v>NA</v>
      </c>
      <c r="M102" s="7" t="str">
        <f>IFERROR(SUMIFS(TM[[#All],[Total Truncated Claims Spending]],TM[[#All],[Reporting Year]],2023,TM[[#All],[Insurance Category Code]],7,TM[[#All],[Large Provider Entity Code]],A102)/I102,"NA")</f>
        <v>NA</v>
      </c>
      <c r="N102" s="96" t="str">
        <f>IFERROR(SUMIFS(TM[[#All],[Total Truncated Expenses]],TM[[#All],[Reporting Year]],2023,TM[[#All],[Insurance Category Code]],7,TM[[#All],[Large Provider Entity Code]],A102)/I102,"NA")</f>
        <v>NA</v>
      </c>
      <c r="O102" s="518">
        <f t="shared" ref="O102:O121" si="19">ABS(C102-I102)</f>
        <v>0</v>
      </c>
      <c r="P102" s="243" t="str">
        <f t="shared" si="18"/>
        <v>NA</v>
      </c>
      <c r="Q102" s="97" t="str">
        <f t="shared" si="18"/>
        <v>NA</v>
      </c>
      <c r="R102" s="97" t="str">
        <f t="shared" si="18"/>
        <v>NA</v>
      </c>
      <c r="S102" s="97" t="str">
        <f t="shared" si="18"/>
        <v>NA</v>
      </c>
      <c r="T102" s="97" t="str">
        <f t="shared" si="18"/>
        <v>NA</v>
      </c>
      <c r="U102" s="97" t="str">
        <f t="shared" si="18"/>
        <v>NA</v>
      </c>
    </row>
    <row r="103" spans="1:21" x14ac:dyDescent="0.25">
      <c r="A103" s="218">
        <v>102</v>
      </c>
      <c r="B103" s="566" t="s">
        <v>610</v>
      </c>
      <c r="C103" s="95">
        <f>SUMIFS(TM[[#All],[Member Months]],TM[[#All],[Reporting Year]],2022,TM[[#All],[Insurance Category Code]],7,TM[[#All],[Large Provider Entity Code]],A103)</f>
        <v>0</v>
      </c>
      <c r="D103" s="7" t="str">
        <f>IFERROR(SUMIFS(TM[[#All],[Total Non-Truncated Claims Spending]],TM[[#All],[Reporting Year]],2022,TM[[#All],[Insurance Category Code]],7,TM[[#All],[Large Provider Entity Code]],A103)/C103,"NA")</f>
        <v>NA</v>
      </c>
      <c r="E103" s="7" t="str">
        <f>IFERROR(SUMIFS(TM[[#All],[Total Non-Claims Spending]],TM[[#All],[Reporting Year]],2022,TM[[#All],[Insurance Category Code]],7,TM[[#All],[Large Provider Entity Code]],A103)/C103,"NA")</f>
        <v>NA</v>
      </c>
      <c r="F103" s="7" t="str">
        <f>IFERROR(SUMIFS(TM[[#All],[Total Non-Truncated Claims and Non-Claims Spending]],TM[[#All],[Reporting Year]],2022,TM[[#All],[Insurance Category Code]],7,TM[[#All],[Large Provider Entity Code]],A103)/C103,"NA")</f>
        <v>NA</v>
      </c>
      <c r="G103" s="7" t="str">
        <f>IFERROR(SUMIFS(TM[[#All],[Total Truncated Claims Spending]],TM[[#All],[Reporting Year]],2022,TM[[#All],[Insurance Category Code]],7,TM[[#All],[Large Provider Entity Code]],A103)/C103,"NA")</f>
        <v>NA</v>
      </c>
      <c r="H103" s="96" t="str">
        <f>IFERROR(SUMIFS(TM[[#All],[Total Truncated Expenses]],TM[[#All],[Reporting Year]],2022,TM[[#All],[Insurance Category Code]],7,TM[[#All],[Large Provider Entity Code]],A103)/C103,"NA")</f>
        <v>NA</v>
      </c>
      <c r="I103" s="95">
        <f>SUMIFS(TM[[#All],[Member Months]],TM[[#All],[Reporting Year]],2023,TM[[#All],[Insurance Category Code]],7,TM[[#All],[Large Provider Entity Code]],A103)</f>
        <v>0</v>
      </c>
      <c r="J103" s="7" t="str">
        <f>IFERROR(SUMIFS(TM[[#All],[Total Non-Truncated Claims Spending]],TM[[#All],[Reporting Year]],2023,TM[[#All],[Insurance Category Code]],7,TM[[#All],[Large Provider Entity Code]],A103)/I103,"NA")</f>
        <v>NA</v>
      </c>
      <c r="K103" s="7" t="str">
        <f>IFERROR(SUMIFS(TM[[#All],[Total Non-Claims Spending]],TM[[#All],[Reporting Year]],2023,TM[[#All],[Insurance Category Code]],7,TM[[#All],[Large Provider Entity Code]],A103)/I103,"NA")</f>
        <v>NA</v>
      </c>
      <c r="L103" s="7" t="str">
        <f>IFERROR(SUMIFS(TM[[#All],[Total Non-Truncated Claims and Non-Claims Spending]],TM[[#All],[Reporting Year]],2023,TM[[#All],[Insurance Category Code]],7,TM[[#All],[Large Provider Entity Code]],A103)/I103,"NA")</f>
        <v>NA</v>
      </c>
      <c r="M103" s="7" t="str">
        <f>IFERROR(SUMIFS(TM[[#All],[Total Truncated Claims Spending]],TM[[#All],[Reporting Year]],2023,TM[[#All],[Insurance Category Code]],7,TM[[#All],[Large Provider Entity Code]],A103)/I103,"NA")</f>
        <v>NA</v>
      </c>
      <c r="N103" s="96" t="str">
        <f>IFERROR(SUMIFS(TM[[#All],[Total Truncated Expenses]],TM[[#All],[Reporting Year]],2023,TM[[#All],[Insurance Category Code]],7,TM[[#All],[Large Provider Entity Code]],A103)/I103,"NA")</f>
        <v>NA</v>
      </c>
      <c r="O103" s="518">
        <f t="shared" si="19"/>
        <v>0</v>
      </c>
      <c r="P103" s="243" t="str">
        <f t="shared" si="18"/>
        <v>NA</v>
      </c>
      <c r="Q103" s="97" t="str">
        <f t="shared" si="18"/>
        <v>NA</v>
      </c>
      <c r="R103" s="97" t="str">
        <f t="shared" si="18"/>
        <v>NA</v>
      </c>
      <c r="S103" s="97" t="str">
        <f t="shared" si="18"/>
        <v>NA</v>
      </c>
      <c r="T103" s="97" t="str">
        <f t="shared" si="18"/>
        <v>NA</v>
      </c>
      <c r="U103" s="97" t="str">
        <f t="shared" si="18"/>
        <v>NA</v>
      </c>
    </row>
    <row r="104" spans="1:21" ht="30" x14ac:dyDescent="0.25">
      <c r="A104" s="218">
        <v>103</v>
      </c>
      <c r="B104" s="495" t="s">
        <v>73</v>
      </c>
      <c r="C104" s="95">
        <f>SUMIFS(TM[[#All],[Member Months]],TM[[#All],[Reporting Year]],2022,TM[[#All],[Insurance Category Code]],7,TM[[#All],[Large Provider Entity Code]],A104)</f>
        <v>0</v>
      </c>
      <c r="D104" s="7" t="str">
        <f>IFERROR(SUMIFS(TM[[#All],[Total Non-Truncated Claims Spending]],TM[[#All],[Reporting Year]],2022,TM[[#All],[Insurance Category Code]],7,TM[[#All],[Large Provider Entity Code]],A104)/C104,"NA")</f>
        <v>NA</v>
      </c>
      <c r="E104" s="7" t="str">
        <f>IFERROR(SUMIFS(TM[[#All],[Total Non-Claims Spending]],TM[[#All],[Reporting Year]],2022,TM[[#All],[Insurance Category Code]],7,TM[[#All],[Large Provider Entity Code]],A104)/C104,"NA")</f>
        <v>NA</v>
      </c>
      <c r="F104" s="7" t="str">
        <f>IFERROR(SUMIFS(TM[[#All],[Total Non-Truncated Claims and Non-Claims Spending]],TM[[#All],[Reporting Year]],2022,TM[[#All],[Insurance Category Code]],7,TM[[#All],[Large Provider Entity Code]],A104)/C104,"NA")</f>
        <v>NA</v>
      </c>
      <c r="G104" s="7" t="str">
        <f>IFERROR(SUMIFS(TM[[#All],[Total Truncated Claims Spending]],TM[[#All],[Reporting Year]],2022,TM[[#All],[Insurance Category Code]],7,TM[[#All],[Large Provider Entity Code]],A104)/C104,"NA")</f>
        <v>NA</v>
      </c>
      <c r="H104" s="96" t="str">
        <f>IFERROR(SUMIFS(TM[[#All],[Total Truncated Expenses]],TM[[#All],[Reporting Year]],2022,TM[[#All],[Insurance Category Code]],7,TM[[#All],[Large Provider Entity Code]],A104)/C104,"NA")</f>
        <v>NA</v>
      </c>
      <c r="I104" s="95">
        <f>SUMIFS(TM[[#All],[Member Months]],TM[[#All],[Reporting Year]],2023,TM[[#All],[Insurance Category Code]],7,TM[[#All],[Large Provider Entity Code]],A104)</f>
        <v>0</v>
      </c>
      <c r="J104" s="7" t="str">
        <f>IFERROR(SUMIFS(TM[[#All],[Total Non-Truncated Claims Spending]],TM[[#All],[Reporting Year]],2023,TM[[#All],[Insurance Category Code]],7,TM[[#All],[Large Provider Entity Code]],A104)/I104,"NA")</f>
        <v>NA</v>
      </c>
      <c r="K104" s="7" t="str">
        <f>IFERROR(SUMIFS(TM[[#All],[Total Non-Claims Spending]],TM[[#All],[Reporting Year]],2023,TM[[#All],[Insurance Category Code]],7,TM[[#All],[Large Provider Entity Code]],A104)/I104,"NA")</f>
        <v>NA</v>
      </c>
      <c r="L104" s="7" t="str">
        <f>IFERROR(SUMIFS(TM[[#All],[Total Non-Truncated Claims and Non-Claims Spending]],TM[[#All],[Reporting Year]],2023,TM[[#All],[Insurance Category Code]],7,TM[[#All],[Large Provider Entity Code]],A104)/I104,"NA")</f>
        <v>NA</v>
      </c>
      <c r="M104" s="7" t="str">
        <f>IFERROR(SUMIFS(TM[[#All],[Total Truncated Claims Spending]],TM[[#All],[Reporting Year]],2023,TM[[#All],[Insurance Category Code]],7,TM[[#All],[Large Provider Entity Code]],A104)/I104,"NA")</f>
        <v>NA</v>
      </c>
      <c r="N104" s="96" t="str">
        <f>IFERROR(SUMIFS(TM[[#All],[Total Truncated Expenses]],TM[[#All],[Reporting Year]],2023,TM[[#All],[Insurance Category Code]],7,TM[[#All],[Large Provider Entity Code]],A104)/I104,"NA")</f>
        <v>NA</v>
      </c>
      <c r="O104" s="518">
        <f t="shared" si="19"/>
        <v>0</v>
      </c>
      <c r="P104" s="243" t="str">
        <f t="shared" si="18"/>
        <v>NA</v>
      </c>
      <c r="Q104" s="97" t="str">
        <f t="shared" si="18"/>
        <v>NA</v>
      </c>
      <c r="R104" s="97" t="str">
        <f t="shared" si="18"/>
        <v>NA</v>
      </c>
      <c r="S104" s="97" t="str">
        <f t="shared" si="18"/>
        <v>NA</v>
      </c>
      <c r="T104" s="97" t="str">
        <f t="shared" si="18"/>
        <v>NA</v>
      </c>
      <c r="U104" s="97" t="str">
        <f t="shared" si="18"/>
        <v>NA</v>
      </c>
    </row>
    <row r="105" spans="1:21" x14ac:dyDescent="0.25">
      <c r="A105" s="218">
        <v>104</v>
      </c>
      <c r="B105" s="495" t="s">
        <v>611</v>
      </c>
      <c r="C105" s="95">
        <f>SUMIFS(TM[[#All],[Member Months]],TM[[#All],[Reporting Year]],2022,TM[[#All],[Insurance Category Code]],7,TM[[#All],[Large Provider Entity Code]],A105)</f>
        <v>0</v>
      </c>
      <c r="D105" s="7" t="str">
        <f>IFERROR(SUMIFS(TM[[#All],[Total Non-Truncated Claims Spending]],TM[[#All],[Reporting Year]],2022,TM[[#All],[Insurance Category Code]],7,TM[[#All],[Large Provider Entity Code]],A105)/C105,"NA")</f>
        <v>NA</v>
      </c>
      <c r="E105" s="7" t="str">
        <f>IFERROR(SUMIFS(TM[[#All],[Total Non-Claims Spending]],TM[[#All],[Reporting Year]],2022,TM[[#All],[Insurance Category Code]],7,TM[[#All],[Large Provider Entity Code]],A105)/C105,"NA")</f>
        <v>NA</v>
      </c>
      <c r="F105" s="7" t="str">
        <f>IFERROR(SUMIFS(TM[[#All],[Total Non-Truncated Claims and Non-Claims Spending]],TM[[#All],[Reporting Year]],2022,TM[[#All],[Insurance Category Code]],7,TM[[#All],[Large Provider Entity Code]],A105)/C105,"NA")</f>
        <v>NA</v>
      </c>
      <c r="G105" s="7" t="str">
        <f>IFERROR(SUMIFS(TM[[#All],[Total Truncated Claims Spending]],TM[[#All],[Reporting Year]],2022,TM[[#All],[Insurance Category Code]],7,TM[[#All],[Large Provider Entity Code]],A105)/C105,"NA")</f>
        <v>NA</v>
      </c>
      <c r="H105" s="96" t="str">
        <f>IFERROR(SUMIFS(TM[[#All],[Total Truncated Expenses]],TM[[#All],[Reporting Year]],2022,TM[[#All],[Insurance Category Code]],7,TM[[#All],[Large Provider Entity Code]],A105)/C105,"NA")</f>
        <v>NA</v>
      </c>
      <c r="I105" s="95">
        <f>SUMIFS(TM[[#All],[Member Months]],TM[[#All],[Reporting Year]],2023,TM[[#All],[Insurance Category Code]],7,TM[[#All],[Large Provider Entity Code]],A105)</f>
        <v>0</v>
      </c>
      <c r="J105" s="7" t="str">
        <f>IFERROR(SUMIFS(TM[[#All],[Total Non-Truncated Claims Spending]],TM[[#All],[Reporting Year]],2023,TM[[#All],[Insurance Category Code]],7,TM[[#All],[Large Provider Entity Code]],A105)/I105,"NA")</f>
        <v>NA</v>
      </c>
      <c r="K105" s="7" t="str">
        <f>IFERROR(SUMIFS(TM[[#All],[Total Non-Claims Spending]],TM[[#All],[Reporting Year]],2023,TM[[#All],[Insurance Category Code]],7,TM[[#All],[Large Provider Entity Code]],A105)/I105,"NA")</f>
        <v>NA</v>
      </c>
      <c r="L105" s="7" t="str">
        <f>IFERROR(SUMIFS(TM[[#All],[Total Non-Truncated Claims and Non-Claims Spending]],TM[[#All],[Reporting Year]],2023,TM[[#All],[Insurance Category Code]],7,TM[[#All],[Large Provider Entity Code]],A105)/I105,"NA")</f>
        <v>NA</v>
      </c>
      <c r="M105" s="7" t="str">
        <f>IFERROR(SUMIFS(TM[[#All],[Total Truncated Claims Spending]],TM[[#All],[Reporting Year]],2023,TM[[#All],[Insurance Category Code]],7,TM[[#All],[Large Provider Entity Code]],A105)/I105,"NA")</f>
        <v>NA</v>
      </c>
      <c r="N105" s="96" t="str">
        <f>IFERROR(SUMIFS(TM[[#All],[Total Truncated Expenses]],TM[[#All],[Reporting Year]],2023,TM[[#All],[Insurance Category Code]],7,TM[[#All],[Large Provider Entity Code]],A105)/I105,"NA")</f>
        <v>NA</v>
      </c>
      <c r="O105" s="518">
        <f t="shared" si="19"/>
        <v>0</v>
      </c>
      <c r="P105" s="243" t="str">
        <f t="shared" si="18"/>
        <v>NA</v>
      </c>
      <c r="Q105" s="97" t="str">
        <f t="shared" si="18"/>
        <v>NA</v>
      </c>
      <c r="R105" s="97" t="str">
        <f t="shared" si="18"/>
        <v>NA</v>
      </c>
      <c r="S105" s="97" t="str">
        <f t="shared" si="18"/>
        <v>NA</v>
      </c>
      <c r="T105" s="97" t="str">
        <f t="shared" si="18"/>
        <v>NA</v>
      </c>
      <c r="U105" s="97" t="str">
        <f t="shared" si="18"/>
        <v>NA</v>
      </c>
    </row>
    <row r="106" spans="1:21" x14ac:dyDescent="0.25">
      <c r="A106" s="218">
        <v>105</v>
      </c>
      <c r="B106" s="566" t="s">
        <v>607</v>
      </c>
      <c r="C106" s="95">
        <f>SUMIFS(TM[[#All],[Member Months]],TM[[#All],[Reporting Year]],2022,TM[[#All],[Insurance Category Code]],7,TM[[#All],[Large Provider Entity Code]],A106)</f>
        <v>0</v>
      </c>
      <c r="D106" s="7" t="str">
        <f>IFERROR(SUMIFS(TM[[#All],[Total Non-Truncated Claims Spending]],TM[[#All],[Reporting Year]],2022,TM[[#All],[Insurance Category Code]],7,TM[[#All],[Large Provider Entity Code]],A106)/C106,"NA")</f>
        <v>NA</v>
      </c>
      <c r="E106" s="7" t="str">
        <f>IFERROR(SUMIFS(TM[[#All],[Total Non-Claims Spending]],TM[[#All],[Reporting Year]],2022,TM[[#All],[Insurance Category Code]],7,TM[[#All],[Large Provider Entity Code]],A106)/C106,"NA")</f>
        <v>NA</v>
      </c>
      <c r="F106" s="7" t="str">
        <f>IFERROR(SUMIFS(TM[[#All],[Total Non-Truncated Claims and Non-Claims Spending]],TM[[#All],[Reporting Year]],2022,TM[[#All],[Insurance Category Code]],7,TM[[#All],[Large Provider Entity Code]],A106)/C106,"NA")</f>
        <v>NA</v>
      </c>
      <c r="G106" s="7" t="str">
        <f>IFERROR(SUMIFS(TM[[#All],[Total Truncated Claims Spending]],TM[[#All],[Reporting Year]],2022,TM[[#All],[Insurance Category Code]],7,TM[[#All],[Large Provider Entity Code]],A106)/C106,"NA")</f>
        <v>NA</v>
      </c>
      <c r="H106" s="96" t="str">
        <f>IFERROR(SUMIFS(TM[[#All],[Total Truncated Expenses]],TM[[#All],[Reporting Year]],2022,TM[[#All],[Insurance Category Code]],7,TM[[#All],[Large Provider Entity Code]],A106)/C106,"NA")</f>
        <v>NA</v>
      </c>
      <c r="I106" s="95">
        <f>SUMIFS(TM[[#All],[Member Months]],TM[[#All],[Reporting Year]],2023,TM[[#All],[Insurance Category Code]],7,TM[[#All],[Large Provider Entity Code]],A106)</f>
        <v>0</v>
      </c>
      <c r="J106" s="7" t="str">
        <f>IFERROR(SUMIFS(TM[[#All],[Total Non-Truncated Claims Spending]],TM[[#All],[Reporting Year]],2023,TM[[#All],[Insurance Category Code]],7,TM[[#All],[Large Provider Entity Code]],A106)/I106,"NA")</f>
        <v>NA</v>
      </c>
      <c r="K106" s="7" t="str">
        <f>IFERROR(SUMIFS(TM[[#All],[Total Non-Claims Spending]],TM[[#All],[Reporting Year]],2023,TM[[#All],[Insurance Category Code]],7,TM[[#All],[Large Provider Entity Code]],A106)/I106,"NA")</f>
        <v>NA</v>
      </c>
      <c r="L106" s="7" t="str">
        <f>IFERROR(SUMIFS(TM[[#All],[Total Non-Truncated Claims and Non-Claims Spending]],TM[[#All],[Reporting Year]],2023,TM[[#All],[Insurance Category Code]],7,TM[[#All],[Large Provider Entity Code]],A106)/I106,"NA")</f>
        <v>NA</v>
      </c>
      <c r="M106" s="7" t="str">
        <f>IFERROR(SUMIFS(TM[[#All],[Total Truncated Claims Spending]],TM[[#All],[Reporting Year]],2023,TM[[#All],[Insurance Category Code]],7,TM[[#All],[Large Provider Entity Code]],A106)/I106,"NA")</f>
        <v>NA</v>
      </c>
      <c r="N106" s="96" t="str">
        <f>IFERROR(SUMIFS(TM[[#All],[Total Truncated Expenses]],TM[[#All],[Reporting Year]],2023,TM[[#All],[Insurance Category Code]],7,TM[[#All],[Large Provider Entity Code]],A106)/I106,"NA")</f>
        <v>NA</v>
      </c>
      <c r="O106" s="518">
        <f t="shared" si="19"/>
        <v>0</v>
      </c>
      <c r="P106" s="243" t="str">
        <f t="shared" si="18"/>
        <v>NA</v>
      </c>
      <c r="Q106" s="97" t="str">
        <f t="shared" si="18"/>
        <v>NA</v>
      </c>
      <c r="R106" s="97" t="str">
        <f t="shared" si="18"/>
        <v>NA</v>
      </c>
      <c r="S106" s="97" t="str">
        <f t="shared" si="18"/>
        <v>NA</v>
      </c>
      <c r="T106" s="97" t="str">
        <f t="shared" si="18"/>
        <v>NA</v>
      </c>
      <c r="U106" s="97" t="str">
        <f t="shared" si="18"/>
        <v>NA</v>
      </c>
    </row>
    <row r="107" spans="1:21" x14ac:dyDescent="0.25">
      <c r="A107" s="218">
        <v>106</v>
      </c>
      <c r="B107" s="495" t="s">
        <v>74</v>
      </c>
      <c r="C107" s="95">
        <f>SUMIFS(TM[[#All],[Member Months]],TM[[#All],[Reporting Year]],2022,TM[[#All],[Insurance Category Code]],7,TM[[#All],[Large Provider Entity Code]],A107)</f>
        <v>0</v>
      </c>
      <c r="D107" s="7" t="str">
        <f>IFERROR(SUMIFS(TM[[#All],[Total Non-Truncated Claims Spending]],TM[[#All],[Reporting Year]],2022,TM[[#All],[Insurance Category Code]],7,TM[[#All],[Large Provider Entity Code]],A107)/C107,"NA")</f>
        <v>NA</v>
      </c>
      <c r="E107" s="7" t="str">
        <f>IFERROR(SUMIFS(TM[[#All],[Total Non-Claims Spending]],TM[[#All],[Reporting Year]],2022,TM[[#All],[Insurance Category Code]],7,TM[[#All],[Large Provider Entity Code]],A107)/C107,"NA")</f>
        <v>NA</v>
      </c>
      <c r="F107" s="7" t="str">
        <f>IFERROR(SUMIFS(TM[[#All],[Total Non-Truncated Claims and Non-Claims Spending]],TM[[#All],[Reporting Year]],2022,TM[[#All],[Insurance Category Code]],7,TM[[#All],[Large Provider Entity Code]],A107)/C107,"NA")</f>
        <v>NA</v>
      </c>
      <c r="G107" s="7" t="str">
        <f>IFERROR(SUMIFS(TM[[#All],[Total Truncated Claims Spending]],TM[[#All],[Reporting Year]],2022,TM[[#All],[Insurance Category Code]],7,TM[[#All],[Large Provider Entity Code]],A107)/C107,"NA")</f>
        <v>NA</v>
      </c>
      <c r="H107" s="96" t="str">
        <f>IFERROR(SUMIFS(TM[[#All],[Total Truncated Expenses]],TM[[#All],[Reporting Year]],2022,TM[[#All],[Insurance Category Code]],7,TM[[#All],[Large Provider Entity Code]],A107)/C107,"NA")</f>
        <v>NA</v>
      </c>
      <c r="I107" s="95">
        <f>SUMIFS(TM[[#All],[Member Months]],TM[[#All],[Reporting Year]],2023,TM[[#All],[Insurance Category Code]],7,TM[[#All],[Large Provider Entity Code]],A107)</f>
        <v>0</v>
      </c>
      <c r="J107" s="7" t="str">
        <f>IFERROR(SUMIFS(TM[[#All],[Total Non-Truncated Claims Spending]],TM[[#All],[Reporting Year]],2023,TM[[#All],[Insurance Category Code]],7,TM[[#All],[Large Provider Entity Code]],A107)/I107,"NA")</f>
        <v>NA</v>
      </c>
      <c r="K107" s="7" t="str">
        <f>IFERROR(SUMIFS(TM[[#All],[Total Non-Claims Spending]],TM[[#All],[Reporting Year]],2023,TM[[#All],[Insurance Category Code]],7,TM[[#All],[Large Provider Entity Code]],A107)/I107,"NA")</f>
        <v>NA</v>
      </c>
      <c r="L107" s="7" t="str">
        <f>IFERROR(SUMIFS(TM[[#All],[Total Non-Truncated Claims and Non-Claims Spending]],TM[[#All],[Reporting Year]],2023,TM[[#All],[Insurance Category Code]],7,TM[[#All],[Large Provider Entity Code]],A107)/I107,"NA")</f>
        <v>NA</v>
      </c>
      <c r="M107" s="7" t="str">
        <f>IFERROR(SUMIFS(TM[[#All],[Total Truncated Claims Spending]],TM[[#All],[Reporting Year]],2023,TM[[#All],[Insurance Category Code]],7,TM[[#All],[Large Provider Entity Code]],A107)/I107,"NA")</f>
        <v>NA</v>
      </c>
      <c r="N107" s="96" t="str">
        <f>IFERROR(SUMIFS(TM[[#All],[Total Truncated Expenses]],TM[[#All],[Reporting Year]],2023,TM[[#All],[Insurance Category Code]],7,TM[[#All],[Large Provider Entity Code]],A107)/I107,"NA")</f>
        <v>NA</v>
      </c>
      <c r="O107" s="518">
        <f t="shared" si="19"/>
        <v>0</v>
      </c>
      <c r="P107" s="243" t="str">
        <f t="shared" si="18"/>
        <v>NA</v>
      </c>
      <c r="Q107" s="97" t="str">
        <f t="shared" si="18"/>
        <v>NA</v>
      </c>
      <c r="R107" s="97" t="str">
        <f t="shared" si="18"/>
        <v>NA</v>
      </c>
      <c r="S107" s="97" t="str">
        <f t="shared" si="18"/>
        <v>NA</v>
      </c>
      <c r="T107" s="97" t="str">
        <f t="shared" si="18"/>
        <v>NA</v>
      </c>
      <c r="U107" s="97" t="str">
        <f t="shared" si="18"/>
        <v>NA</v>
      </c>
    </row>
    <row r="108" spans="1:21" ht="30" x14ac:dyDescent="0.25">
      <c r="A108" s="218">
        <v>107</v>
      </c>
      <c r="B108" s="495" t="s">
        <v>75</v>
      </c>
      <c r="C108" s="95">
        <f>SUMIFS(TM[[#All],[Member Months]],TM[[#All],[Reporting Year]],2022,TM[[#All],[Insurance Category Code]],7,TM[[#All],[Large Provider Entity Code]],A108)</f>
        <v>0</v>
      </c>
      <c r="D108" s="7" t="str">
        <f>IFERROR(SUMIFS(TM[[#All],[Total Non-Truncated Claims Spending]],TM[[#All],[Reporting Year]],2022,TM[[#All],[Insurance Category Code]],7,TM[[#All],[Large Provider Entity Code]],A108)/C108,"NA")</f>
        <v>NA</v>
      </c>
      <c r="E108" s="7" t="str">
        <f>IFERROR(SUMIFS(TM[[#All],[Total Non-Claims Spending]],TM[[#All],[Reporting Year]],2022,TM[[#All],[Insurance Category Code]],7,TM[[#All],[Large Provider Entity Code]],A108)/C108,"NA")</f>
        <v>NA</v>
      </c>
      <c r="F108" s="7" t="str">
        <f>IFERROR(SUMIFS(TM[[#All],[Total Non-Truncated Claims and Non-Claims Spending]],TM[[#All],[Reporting Year]],2022,TM[[#All],[Insurance Category Code]],7,TM[[#All],[Large Provider Entity Code]],A108)/C108,"NA")</f>
        <v>NA</v>
      </c>
      <c r="G108" s="7" t="str">
        <f>IFERROR(SUMIFS(TM[[#All],[Total Truncated Claims Spending]],TM[[#All],[Reporting Year]],2022,TM[[#All],[Insurance Category Code]],7,TM[[#All],[Large Provider Entity Code]],A108)/C108,"NA")</f>
        <v>NA</v>
      </c>
      <c r="H108" s="96" t="str">
        <f>IFERROR(SUMIFS(TM[[#All],[Total Truncated Expenses]],TM[[#All],[Reporting Year]],2022,TM[[#All],[Insurance Category Code]],7,TM[[#All],[Large Provider Entity Code]],A108)/C108,"NA")</f>
        <v>NA</v>
      </c>
      <c r="I108" s="95">
        <f>SUMIFS(TM[[#All],[Member Months]],TM[[#All],[Reporting Year]],2023,TM[[#All],[Insurance Category Code]],7,TM[[#All],[Large Provider Entity Code]],A108)</f>
        <v>0</v>
      </c>
      <c r="J108" s="7" t="str">
        <f>IFERROR(SUMIFS(TM[[#All],[Total Non-Truncated Claims Spending]],TM[[#All],[Reporting Year]],2023,TM[[#All],[Insurance Category Code]],7,TM[[#All],[Large Provider Entity Code]],A108)/I108,"NA")</f>
        <v>NA</v>
      </c>
      <c r="K108" s="7" t="str">
        <f>IFERROR(SUMIFS(TM[[#All],[Total Non-Claims Spending]],TM[[#All],[Reporting Year]],2023,TM[[#All],[Insurance Category Code]],7,TM[[#All],[Large Provider Entity Code]],A108)/I108,"NA")</f>
        <v>NA</v>
      </c>
      <c r="L108" s="7" t="str">
        <f>IFERROR(SUMIFS(TM[[#All],[Total Non-Truncated Claims and Non-Claims Spending]],TM[[#All],[Reporting Year]],2023,TM[[#All],[Insurance Category Code]],7,TM[[#All],[Large Provider Entity Code]],A108)/I108,"NA")</f>
        <v>NA</v>
      </c>
      <c r="M108" s="7" t="str">
        <f>IFERROR(SUMIFS(TM[[#All],[Total Truncated Claims Spending]],TM[[#All],[Reporting Year]],2023,TM[[#All],[Insurance Category Code]],7,TM[[#All],[Large Provider Entity Code]],A108)/I108,"NA")</f>
        <v>NA</v>
      </c>
      <c r="N108" s="96" t="str">
        <f>IFERROR(SUMIFS(TM[[#All],[Total Truncated Expenses]],TM[[#All],[Reporting Year]],2023,TM[[#All],[Insurance Category Code]],7,TM[[#All],[Large Provider Entity Code]],A108)/I108,"NA")</f>
        <v>NA</v>
      </c>
      <c r="O108" s="518">
        <f t="shared" si="19"/>
        <v>0</v>
      </c>
      <c r="P108" s="243" t="str">
        <f t="shared" si="18"/>
        <v>NA</v>
      </c>
      <c r="Q108" s="97" t="str">
        <f t="shared" si="18"/>
        <v>NA</v>
      </c>
      <c r="R108" s="97" t="str">
        <f t="shared" si="18"/>
        <v>NA</v>
      </c>
      <c r="S108" s="97" t="str">
        <f t="shared" si="18"/>
        <v>NA</v>
      </c>
      <c r="T108" s="97" t="str">
        <f t="shared" si="18"/>
        <v>NA</v>
      </c>
      <c r="U108" s="97" t="str">
        <f t="shared" si="18"/>
        <v>NA</v>
      </c>
    </row>
    <row r="109" spans="1:21" x14ac:dyDescent="0.25">
      <c r="A109" s="218">
        <v>108</v>
      </c>
      <c r="B109" s="495" t="s">
        <v>612</v>
      </c>
      <c r="C109" s="95">
        <f>SUMIFS(TM[[#All],[Member Months]],TM[[#All],[Reporting Year]],2022,TM[[#All],[Insurance Category Code]],7,TM[[#All],[Large Provider Entity Code]],A109)</f>
        <v>0</v>
      </c>
      <c r="D109" s="7" t="str">
        <f>IFERROR(SUMIFS(TM[[#All],[Total Non-Truncated Claims Spending]],TM[[#All],[Reporting Year]],2022,TM[[#All],[Insurance Category Code]],7,TM[[#All],[Large Provider Entity Code]],A109)/C109,"NA")</f>
        <v>NA</v>
      </c>
      <c r="E109" s="7" t="str">
        <f>IFERROR(SUMIFS(TM[[#All],[Total Non-Claims Spending]],TM[[#All],[Reporting Year]],2022,TM[[#All],[Insurance Category Code]],7,TM[[#All],[Large Provider Entity Code]],A109)/C109,"NA")</f>
        <v>NA</v>
      </c>
      <c r="F109" s="7" t="str">
        <f>IFERROR(SUMIFS(TM[[#All],[Total Non-Truncated Claims and Non-Claims Spending]],TM[[#All],[Reporting Year]],2022,TM[[#All],[Insurance Category Code]],7,TM[[#All],[Large Provider Entity Code]],A109)/C109,"NA")</f>
        <v>NA</v>
      </c>
      <c r="G109" s="7" t="str">
        <f>IFERROR(SUMIFS(TM[[#All],[Total Truncated Claims Spending]],TM[[#All],[Reporting Year]],2022,TM[[#All],[Insurance Category Code]],7,TM[[#All],[Large Provider Entity Code]],A109)/C109,"NA")</f>
        <v>NA</v>
      </c>
      <c r="H109" s="96" t="str">
        <f>IFERROR(SUMIFS(TM[[#All],[Total Truncated Expenses]],TM[[#All],[Reporting Year]],2022,TM[[#All],[Insurance Category Code]],7,TM[[#All],[Large Provider Entity Code]],A109)/C109,"NA")</f>
        <v>NA</v>
      </c>
      <c r="I109" s="95">
        <f>SUMIFS(TM[[#All],[Member Months]],TM[[#All],[Reporting Year]],2023,TM[[#All],[Insurance Category Code]],7,TM[[#All],[Large Provider Entity Code]],A109)</f>
        <v>0</v>
      </c>
      <c r="J109" s="7" t="str">
        <f>IFERROR(SUMIFS(TM[[#All],[Total Non-Truncated Claims Spending]],TM[[#All],[Reporting Year]],2023,TM[[#All],[Insurance Category Code]],7,TM[[#All],[Large Provider Entity Code]],A109)/I109,"NA")</f>
        <v>NA</v>
      </c>
      <c r="K109" s="7" t="str">
        <f>IFERROR(SUMIFS(TM[[#All],[Total Non-Claims Spending]],TM[[#All],[Reporting Year]],2023,TM[[#All],[Insurance Category Code]],7,TM[[#All],[Large Provider Entity Code]],A109)/I109,"NA")</f>
        <v>NA</v>
      </c>
      <c r="L109" s="7" t="str">
        <f>IFERROR(SUMIFS(TM[[#All],[Total Non-Truncated Claims and Non-Claims Spending]],TM[[#All],[Reporting Year]],2023,TM[[#All],[Insurance Category Code]],7,TM[[#All],[Large Provider Entity Code]],A109)/I109,"NA")</f>
        <v>NA</v>
      </c>
      <c r="M109" s="7" t="str">
        <f>IFERROR(SUMIFS(TM[[#All],[Total Truncated Claims Spending]],TM[[#All],[Reporting Year]],2023,TM[[#All],[Insurance Category Code]],7,TM[[#All],[Large Provider Entity Code]],A109)/I109,"NA")</f>
        <v>NA</v>
      </c>
      <c r="N109" s="96" t="str">
        <f>IFERROR(SUMIFS(TM[[#All],[Total Truncated Expenses]],TM[[#All],[Reporting Year]],2023,TM[[#All],[Insurance Category Code]],7,TM[[#All],[Large Provider Entity Code]],A109)/I109,"NA")</f>
        <v>NA</v>
      </c>
      <c r="O109" s="518">
        <f t="shared" si="19"/>
        <v>0</v>
      </c>
      <c r="P109" s="243" t="str">
        <f t="shared" si="18"/>
        <v>NA</v>
      </c>
      <c r="Q109" s="97" t="str">
        <f t="shared" si="18"/>
        <v>NA</v>
      </c>
      <c r="R109" s="97" t="str">
        <f t="shared" si="18"/>
        <v>NA</v>
      </c>
      <c r="S109" s="97" t="str">
        <f t="shared" si="18"/>
        <v>NA</v>
      </c>
      <c r="T109" s="97" t="str">
        <f t="shared" si="18"/>
        <v>NA</v>
      </c>
      <c r="U109" s="97" t="str">
        <f t="shared" si="18"/>
        <v>NA</v>
      </c>
    </row>
    <row r="110" spans="1:21" x14ac:dyDescent="0.25">
      <c r="A110" s="218">
        <v>109</v>
      </c>
      <c r="B110" s="571" t="s">
        <v>76</v>
      </c>
      <c r="C110" s="95">
        <f>SUMIFS(TM[[#All],[Member Months]],TM[[#All],[Reporting Year]],2022,TM[[#All],[Insurance Category Code]],7,TM[[#All],[Large Provider Entity Code]],A110)</f>
        <v>0</v>
      </c>
      <c r="D110" s="7" t="str">
        <f>IFERROR(SUMIFS(TM[[#All],[Total Non-Truncated Claims Spending]],TM[[#All],[Reporting Year]],2022,TM[[#All],[Insurance Category Code]],7,TM[[#All],[Large Provider Entity Code]],A110)/C110,"NA")</f>
        <v>NA</v>
      </c>
      <c r="E110" s="7" t="str">
        <f>IFERROR(SUMIFS(TM[[#All],[Total Non-Claims Spending]],TM[[#All],[Reporting Year]],2022,TM[[#All],[Insurance Category Code]],7,TM[[#All],[Large Provider Entity Code]],A110)/C110,"NA")</f>
        <v>NA</v>
      </c>
      <c r="F110" s="7" t="str">
        <f>IFERROR(SUMIFS(TM[[#All],[Total Non-Truncated Claims and Non-Claims Spending]],TM[[#All],[Reporting Year]],2022,TM[[#All],[Insurance Category Code]],7,TM[[#All],[Large Provider Entity Code]],A110)/C110,"NA")</f>
        <v>NA</v>
      </c>
      <c r="G110" s="7" t="str">
        <f>IFERROR(SUMIFS(TM[[#All],[Total Truncated Claims Spending]],TM[[#All],[Reporting Year]],2022,TM[[#All],[Insurance Category Code]],7,TM[[#All],[Large Provider Entity Code]],A110)/C110,"NA")</f>
        <v>NA</v>
      </c>
      <c r="H110" s="96" t="str">
        <f>IFERROR(SUMIFS(TM[[#All],[Total Truncated Expenses]],TM[[#All],[Reporting Year]],2022,TM[[#All],[Insurance Category Code]],7,TM[[#All],[Large Provider Entity Code]],A110)/C110,"NA")</f>
        <v>NA</v>
      </c>
      <c r="I110" s="95">
        <f>SUMIFS(TM[[#All],[Member Months]],TM[[#All],[Reporting Year]],2023,TM[[#All],[Insurance Category Code]],7,TM[[#All],[Large Provider Entity Code]],A110)</f>
        <v>0</v>
      </c>
      <c r="J110" s="7" t="str">
        <f>IFERROR(SUMIFS(TM[[#All],[Total Non-Truncated Claims Spending]],TM[[#All],[Reporting Year]],2023,TM[[#All],[Insurance Category Code]],7,TM[[#All],[Large Provider Entity Code]],A110)/I110,"NA")</f>
        <v>NA</v>
      </c>
      <c r="K110" s="7" t="str">
        <f>IFERROR(SUMIFS(TM[[#All],[Total Non-Claims Spending]],TM[[#All],[Reporting Year]],2023,TM[[#All],[Insurance Category Code]],7,TM[[#All],[Large Provider Entity Code]],A110)/I110,"NA")</f>
        <v>NA</v>
      </c>
      <c r="L110" s="7" t="str">
        <f>IFERROR(SUMIFS(TM[[#All],[Total Non-Truncated Claims and Non-Claims Spending]],TM[[#All],[Reporting Year]],2023,TM[[#All],[Insurance Category Code]],7,TM[[#All],[Large Provider Entity Code]],A110)/I110,"NA")</f>
        <v>NA</v>
      </c>
      <c r="M110" s="7" t="str">
        <f>IFERROR(SUMIFS(TM[[#All],[Total Truncated Claims Spending]],TM[[#All],[Reporting Year]],2023,TM[[#All],[Insurance Category Code]],7,TM[[#All],[Large Provider Entity Code]],A110)/I110,"NA")</f>
        <v>NA</v>
      </c>
      <c r="N110" s="96" t="str">
        <f>IFERROR(SUMIFS(TM[[#All],[Total Truncated Expenses]],TM[[#All],[Reporting Year]],2023,TM[[#All],[Insurance Category Code]],7,TM[[#All],[Large Provider Entity Code]],A110)/I110,"NA")</f>
        <v>NA</v>
      </c>
      <c r="O110" s="518">
        <f t="shared" si="19"/>
        <v>0</v>
      </c>
      <c r="P110" s="243" t="str">
        <f t="shared" si="18"/>
        <v>NA</v>
      </c>
      <c r="Q110" s="97" t="str">
        <f t="shared" si="18"/>
        <v>NA</v>
      </c>
      <c r="R110" s="97" t="str">
        <f t="shared" si="18"/>
        <v>NA</v>
      </c>
      <c r="S110" s="97" t="str">
        <f t="shared" si="18"/>
        <v>NA</v>
      </c>
      <c r="T110" s="97" t="str">
        <f t="shared" si="18"/>
        <v>NA</v>
      </c>
      <c r="U110" s="97" t="str">
        <f t="shared" si="18"/>
        <v>NA</v>
      </c>
    </row>
    <row r="111" spans="1:21" x14ac:dyDescent="0.25">
      <c r="A111" s="218">
        <v>110</v>
      </c>
      <c r="B111" s="495" t="s">
        <v>77</v>
      </c>
      <c r="C111" s="95">
        <f>SUMIFS(TM[[#All],[Member Months]],TM[[#All],[Reporting Year]],2022,TM[[#All],[Insurance Category Code]],7,TM[[#All],[Large Provider Entity Code]],A111)</f>
        <v>0</v>
      </c>
      <c r="D111" s="7" t="str">
        <f>IFERROR(SUMIFS(TM[[#All],[Total Non-Truncated Claims Spending]],TM[[#All],[Reporting Year]],2022,TM[[#All],[Insurance Category Code]],7,TM[[#All],[Large Provider Entity Code]],A111)/C111,"NA")</f>
        <v>NA</v>
      </c>
      <c r="E111" s="7" t="str">
        <f>IFERROR(SUMIFS(TM[[#All],[Total Non-Claims Spending]],TM[[#All],[Reporting Year]],2022,TM[[#All],[Insurance Category Code]],7,TM[[#All],[Large Provider Entity Code]],A111)/C111,"NA")</f>
        <v>NA</v>
      </c>
      <c r="F111" s="7" t="str">
        <f>IFERROR(SUMIFS(TM[[#All],[Total Non-Truncated Claims and Non-Claims Spending]],TM[[#All],[Reporting Year]],2022,TM[[#All],[Insurance Category Code]],7,TM[[#All],[Large Provider Entity Code]],A111)/C111,"NA")</f>
        <v>NA</v>
      </c>
      <c r="G111" s="7" t="str">
        <f>IFERROR(SUMIFS(TM[[#All],[Total Truncated Claims Spending]],TM[[#All],[Reporting Year]],2022,TM[[#All],[Insurance Category Code]],7,TM[[#All],[Large Provider Entity Code]],A111)/C111,"NA")</f>
        <v>NA</v>
      </c>
      <c r="H111" s="96" t="str">
        <f>IFERROR(SUMIFS(TM[[#All],[Total Truncated Expenses]],TM[[#All],[Reporting Year]],2022,TM[[#All],[Insurance Category Code]],7,TM[[#All],[Large Provider Entity Code]],A111)/C111,"NA")</f>
        <v>NA</v>
      </c>
      <c r="I111" s="95">
        <f>SUMIFS(TM[[#All],[Member Months]],TM[[#All],[Reporting Year]],2023,TM[[#All],[Insurance Category Code]],7,TM[[#All],[Large Provider Entity Code]],A111)</f>
        <v>0</v>
      </c>
      <c r="J111" s="7" t="str">
        <f>IFERROR(SUMIFS(TM[[#All],[Total Non-Truncated Claims Spending]],TM[[#All],[Reporting Year]],2023,TM[[#All],[Insurance Category Code]],7,TM[[#All],[Large Provider Entity Code]],A111)/I111,"NA")</f>
        <v>NA</v>
      </c>
      <c r="K111" s="7" t="str">
        <f>IFERROR(SUMIFS(TM[[#All],[Total Non-Claims Spending]],TM[[#All],[Reporting Year]],2023,TM[[#All],[Insurance Category Code]],7,TM[[#All],[Large Provider Entity Code]],A111)/I111,"NA")</f>
        <v>NA</v>
      </c>
      <c r="L111" s="7" t="str">
        <f>IFERROR(SUMIFS(TM[[#All],[Total Non-Truncated Claims and Non-Claims Spending]],TM[[#All],[Reporting Year]],2023,TM[[#All],[Insurance Category Code]],7,TM[[#All],[Large Provider Entity Code]],A111)/I111,"NA")</f>
        <v>NA</v>
      </c>
      <c r="M111" s="7" t="str">
        <f>IFERROR(SUMIFS(TM[[#All],[Total Truncated Claims Spending]],TM[[#All],[Reporting Year]],2023,TM[[#All],[Insurance Category Code]],7,TM[[#All],[Large Provider Entity Code]],A111)/I111,"NA")</f>
        <v>NA</v>
      </c>
      <c r="N111" s="96" t="str">
        <f>IFERROR(SUMIFS(TM[[#All],[Total Truncated Expenses]],TM[[#All],[Reporting Year]],2023,TM[[#All],[Insurance Category Code]],7,TM[[#All],[Large Provider Entity Code]],A111)/I111,"NA")</f>
        <v>NA</v>
      </c>
      <c r="O111" s="518">
        <f t="shared" si="19"/>
        <v>0</v>
      </c>
      <c r="P111" s="243" t="str">
        <f t="shared" si="18"/>
        <v>NA</v>
      </c>
      <c r="Q111" s="97" t="str">
        <f t="shared" si="18"/>
        <v>NA</v>
      </c>
      <c r="R111" s="97" t="str">
        <f t="shared" si="18"/>
        <v>NA</v>
      </c>
      <c r="S111" s="97" t="str">
        <f t="shared" si="18"/>
        <v>NA</v>
      </c>
      <c r="T111" s="97" t="str">
        <f t="shared" si="18"/>
        <v>NA</v>
      </c>
      <c r="U111" s="97" t="str">
        <f t="shared" si="18"/>
        <v>NA</v>
      </c>
    </row>
    <row r="112" spans="1:21" x14ac:dyDescent="0.25">
      <c r="A112" s="218">
        <v>111</v>
      </c>
      <c r="B112" s="566" t="s">
        <v>78</v>
      </c>
      <c r="C112" s="95">
        <f>SUMIFS(TM[[#All],[Member Months]],TM[[#All],[Reporting Year]],2022,TM[[#All],[Insurance Category Code]],7,TM[[#All],[Large Provider Entity Code]],A112)</f>
        <v>0</v>
      </c>
      <c r="D112" s="7" t="str">
        <f>IFERROR(SUMIFS(TM[[#All],[Total Non-Truncated Claims Spending]],TM[[#All],[Reporting Year]],2022,TM[[#All],[Insurance Category Code]],7,TM[[#All],[Large Provider Entity Code]],A112)/C112,"NA")</f>
        <v>NA</v>
      </c>
      <c r="E112" s="7" t="str">
        <f>IFERROR(SUMIFS(TM[[#All],[Total Non-Claims Spending]],TM[[#All],[Reporting Year]],2022,TM[[#All],[Insurance Category Code]],7,TM[[#All],[Large Provider Entity Code]],A112)/C112,"NA")</f>
        <v>NA</v>
      </c>
      <c r="F112" s="7" t="str">
        <f>IFERROR(SUMIFS(TM[[#All],[Total Non-Truncated Claims and Non-Claims Spending]],TM[[#All],[Reporting Year]],2022,TM[[#All],[Insurance Category Code]],7,TM[[#All],[Large Provider Entity Code]],A112)/C112,"NA")</f>
        <v>NA</v>
      </c>
      <c r="G112" s="7" t="str">
        <f>IFERROR(SUMIFS(TM[[#All],[Total Truncated Claims Spending]],TM[[#All],[Reporting Year]],2022,TM[[#All],[Insurance Category Code]],7,TM[[#All],[Large Provider Entity Code]],A112)/C112,"NA")</f>
        <v>NA</v>
      </c>
      <c r="H112" s="96" t="str">
        <f>IFERROR(SUMIFS(TM[[#All],[Total Truncated Expenses]],TM[[#All],[Reporting Year]],2022,TM[[#All],[Insurance Category Code]],7,TM[[#All],[Large Provider Entity Code]],A112)/C112,"NA")</f>
        <v>NA</v>
      </c>
      <c r="I112" s="95">
        <f>SUMIFS(TM[[#All],[Member Months]],TM[[#All],[Reporting Year]],2023,TM[[#All],[Insurance Category Code]],7,TM[[#All],[Large Provider Entity Code]],A112)</f>
        <v>0</v>
      </c>
      <c r="J112" s="7" t="str">
        <f>IFERROR(SUMIFS(TM[[#All],[Total Non-Truncated Claims Spending]],TM[[#All],[Reporting Year]],2023,TM[[#All],[Insurance Category Code]],7,TM[[#All],[Large Provider Entity Code]],A112)/I112,"NA")</f>
        <v>NA</v>
      </c>
      <c r="K112" s="7" t="str">
        <f>IFERROR(SUMIFS(TM[[#All],[Total Non-Claims Spending]],TM[[#All],[Reporting Year]],2023,TM[[#All],[Insurance Category Code]],7,TM[[#All],[Large Provider Entity Code]],A112)/I112,"NA")</f>
        <v>NA</v>
      </c>
      <c r="L112" s="7" t="str">
        <f>IFERROR(SUMIFS(TM[[#All],[Total Non-Truncated Claims and Non-Claims Spending]],TM[[#All],[Reporting Year]],2023,TM[[#All],[Insurance Category Code]],7,TM[[#All],[Large Provider Entity Code]],A112)/I112,"NA")</f>
        <v>NA</v>
      </c>
      <c r="M112" s="7" t="str">
        <f>IFERROR(SUMIFS(TM[[#All],[Total Truncated Claims Spending]],TM[[#All],[Reporting Year]],2023,TM[[#All],[Insurance Category Code]],7,TM[[#All],[Large Provider Entity Code]],A112)/I112,"NA")</f>
        <v>NA</v>
      </c>
      <c r="N112" s="96" t="str">
        <f>IFERROR(SUMIFS(TM[[#All],[Total Truncated Expenses]],TM[[#All],[Reporting Year]],2023,TM[[#All],[Insurance Category Code]],7,TM[[#All],[Large Provider Entity Code]],A112)/I112,"NA")</f>
        <v>NA</v>
      </c>
      <c r="O112" s="518">
        <f t="shared" si="19"/>
        <v>0</v>
      </c>
      <c r="P112" s="243" t="str">
        <f t="shared" si="18"/>
        <v>NA</v>
      </c>
      <c r="Q112" s="97" t="str">
        <f t="shared" si="18"/>
        <v>NA</v>
      </c>
      <c r="R112" s="97" t="str">
        <f t="shared" si="18"/>
        <v>NA</v>
      </c>
      <c r="S112" s="97" t="str">
        <f t="shared" si="18"/>
        <v>NA</v>
      </c>
      <c r="T112" s="97" t="str">
        <f t="shared" si="18"/>
        <v>NA</v>
      </c>
      <c r="U112" s="97" t="str">
        <f t="shared" si="18"/>
        <v>NA</v>
      </c>
    </row>
    <row r="113" spans="1:21" x14ac:dyDescent="0.25">
      <c r="A113" s="218">
        <v>112</v>
      </c>
      <c r="B113" s="566" t="s">
        <v>613</v>
      </c>
      <c r="C113" s="95">
        <f>SUMIFS(TM[[#All],[Member Months]],TM[[#All],[Reporting Year]],2022,TM[[#All],[Insurance Category Code]],7,TM[[#All],[Large Provider Entity Code]],A113)</f>
        <v>0</v>
      </c>
      <c r="D113" s="7" t="str">
        <f>IFERROR(SUMIFS(TM[[#All],[Total Non-Truncated Claims Spending]],TM[[#All],[Reporting Year]],2022,TM[[#All],[Insurance Category Code]],7,TM[[#All],[Large Provider Entity Code]],A113)/C113,"NA")</f>
        <v>NA</v>
      </c>
      <c r="E113" s="7" t="str">
        <f>IFERROR(SUMIFS(TM[[#All],[Total Non-Claims Spending]],TM[[#All],[Reporting Year]],2022,TM[[#All],[Insurance Category Code]],7,TM[[#All],[Large Provider Entity Code]],A113)/C113,"NA")</f>
        <v>NA</v>
      </c>
      <c r="F113" s="7" t="str">
        <f>IFERROR(SUMIFS(TM[[#All],[Total Non-Truncated Claims and Non-Claims Spending]],TM[[#All],[Reporting Year]],2022,TM[[#All],[Insurance Category Code]],7,TM[[#All],[Large Provider Entity Code]],A113)/C113,"NA")</f>
        <v>NA</v>
      </c>
      <c r="G113" s="7" t="str">
        <f>IFERROR(SUMIFS(TM[[#All],[Total Truncated Claims Spending]],TM[[#All],[Reporting Year]],2022,TM[[#All],[Insurance Category Code]],7,TM[[#All],[Large Provider Entity Code]],A113)/C113,"NA")</f>
        <v>NA</v>
      </c>
      <c r="H113" s="96" t="str">
        <f>IFERROR(SUMIFS(TM[[#All],[Total Truncated Expenses]],TM[[#All],[Reporting Year]],2022,TM[[#All],[Insurance Category Code]],7,TM[[#All],[Large Provider Entity Code]],A113)/C113,"NA")</f>
        <v>NA</v>
      </c>
      <c r="I113" s="95">
        <f>SUMIFS(TM[[#All],[Member Months]],TM[[#All],[Reporting Year]],2023,TM[[#All],[Insurance Category Code]],7,TM[[#All],[Large Provider Entity Code]],A113)</f>
        <v>0</v>
      </c>
      <c r="J113" s="7" t="str">
        <f>IFERROR(SUMIFS(TM[[#All],[Total Non-Truncated Claims Spending]],TM[[#All],[Reporting Year]],2023,TM[[#All],[Insurance Category Code]],7,TM[[#All],[Large Provider Entity Code]],A113)/I113,"NA")</f>
        <v>NA</v>
      </c>
      <c r="K113" s="7" t="str">
        <f>IFERROR(SUMIFS(TM[[#All],[Total Non-Claims Spending]],TM[[#All],[Reporting Year]],2023,TM[[#All],[Insurance Category Code]],7,TM[[#All],[Large Provider Entity Code]],A113)/I113,"NA")</f>
        <v>NA</v>
      </c>
      <c r="L113" s="7" t="str">
        <f>IFERROR(SUMIFS(TM[[#All],[Total Non-Truncated Claims and Non-Claims Spending]],TM[[#All],[Reporting Year]],2023,TM[[#All],[Insurance Category Code]],7,TM[[#All],[Large Provider Entity Code]],A113)/I113,"NA")</f>
        <v>NA</v>
      </c>
      <c r="M113" s="7" t="str">
        <f>IFERROR(SUMIFS(TM[[#All],[Total Truncated Claims Spending]],TM[[#All],[Reporting Year]],2023,TM[[#All],[Insurance Category Code]],7,TM[[#All],[Large Provider Entity Code]],A113)/I113,"NA")</f>
        <v>NA</v>
      </c>
      <c r="N113" s="96" t="str">
        <f>IFERROR(SUMIFS(TM[[#All],[Total Truncated Expenses]],TM[[#All],[Reporting Year]],2023,TM[[#All],[Insurance Category Code]],7,TM[[#All],[Large Provider Entity Code]],A113)/I113,"NA")</f>
        <v>NA</v>
      </c>
      <c r="O113" s="518">
        <f t="shared" si="19"/>
        <v>0</v>
      </c>
      <c r="P113" s="243" t="str">
        <f t="shared" si="18"/>
        <v>NA</v>
      </c>
      <c r="Q113" s="97" t="str">
        <f t="shared" si="18"/>
        <v>NA</v>
      </c>
      <c r="R113" s="97" t="str">
        <f t="shared" si="18"/>
        <v>NA</v>
      </c>
      <c r="S113" s="97" t="str">
        <f t="shared" si="18"/>
        <v>NA</v>
      </c>
      <c r="T113" s="97" t="str">
        <f t="shared" si="18"/>
        <v>NA</v>
      </c>
      <c r="U113" s="97" t="str">
        <f t="shared" si="18"/>
        <v>NA</v>
      </c>
    </row>
    <row r="114" spans="1:21" x14ac:dyDescent="0.25">
      <c r="A114" s="218">
        <v>115</v>
      </c>
      <c r="B114" s="566" t="s">
        <v>79</v>
      </c>
      <c r="C114" s="95">
        <f>SUMIFS(TM[[#All],[Member Months]],TM[[#All],[Reporting Year]],2022,TM[[#All],[Insurance Category Code]],7,TM[[#All],[Large Provider Entity Code]],A114)</f>
        <v>0</v>
      </c>
      <c r="D114" s="7" t="str">
        <f>IFERROR(SUMIFS(TM[[#All],[Total Non-Truncated Claims Spending]],TM[[#All],[Reporting Year]],2022,TM[[#All],[Insurance Category Code]],7,TM[[#All],[Large Provider Entity Code]],A114)/C114,"NA")</f>
        <v>NA</v>
      </c>
      <c r="E114" s="7" t="str">
        <f>IFERROR(SUMIFS(TM[[#All],[Total Non-Claims Spending]],TM[[#All],[Reporting Year]],2022,TM[[#All],[Insurance Category Code]],7,TM[[#All],[Large Provider Entity Code]],A114)/C114,"NA")</f>
        <v>NA</v>
      </c>
      <c r="F114" s="7" t="str">
        <f>IFERROR(SUMIFS(TM[[#All],[Total Non-Truncated Claims and Non-Claims Spending]],TM[[#All],[Reporting Year]],2022,TM[[#All],[Insurance Category Code]],7,TM[[#All],[Large Provider Entity Code]],A114)/C114,"NA")</f>
        <v>NA</v>
      </c>
      <c r="G114" s="7" t="str">
        <f>IFERROR(SUMIFS(TM[[#All],[Total Truncated Claims Spending]],TM[[#All],[Reporting Year]],2022,TM[[#All],[Insurance Category Code]],7,TM[[#All],[Large Provider Entity Code]],A114)/C114,"NA")</f>
        <v>NA</v>
      </c>
      <c r="H114" s="96" t="str">
        <f>IFERROR(SUMIFS(TM[[#All],[Total Truncated Expenses]],TM[[#All],[Reporting Year]],2022,TM[[#All],[Insurance Category Code]],7,TM[[#All],[Large Provider Entity Code]],A114)/C114,"NA")</f>
        <v>NA</v>
      </c>
      <c r="I114" s="95">
        <f>SUMIFS(TM[[#All],[Member Months]],TM[[#All],[Reporting Year]],2023,TM[[#All],[Insurance Category Code]],7,TM[[#All],[Large Provider Entity Code]],A114)</f>
        <v>0</v>
      </c>
      <c r="J114" s="7" t="str">
        <f>IFERROR(SUMIFS(TM[[#All],[Total Non-Truncated Claims Spending]],TM[[#All],[Reporting Year]],2023,TM[[#All],[Insurance Category Code]],7,TM[[#All],[Large Provider Entity Code]],A114)/I114,"NA")</f>
        <v>NA</v>
      </c>
      <c r="K114" s="7" t="str">
        <f>IFERROR(SUMIFS(TM[[#All],[Total Non-Claims Spending]],TM[[#All],[Reporting Year]],2023,TM[[#All],[Insurance Category Code]],7,TM[[#All],[Large Provider Entity Code]],A114)/I114,"NA")</f>
        <v>NA</v>
      </c>
      <c r="L114" s="7" t="str">
        <f>IFERROR(SUMIFS(TM[[#All],[Total Non-Truncated Claims and Non-Claims Spending]],TM[[#All],[Reporting Year]],2023,TM[[#All],[Insurance Category Code]],7,TM[[#All],[Large Provider Entity Code]],A114)/I114,"NA")</f>
        <v>NA</v>
      </c>
      <c r="M114" s="7" t="str">
        <f>IFERROR(SUMIFS(TM[[#All],[Total Truncated Claims Spending]],TM[[#All],[Reporting Year]],2023,TM[[#All],[Insurance Category Code]],7,TM[[#All],[Large Provider Entity Code]],A114)/I114,"NA")</f>
        <v>NA</v>
      </c>
      <c r="N114" s="96" t="str">
        <f>IFERROR(SUMIFS(TM[[#All],[Total Truncated Expenses]],TM[[#All],[Reporting Year]],2023,TM[[#All],[Insurance Category Code]],7,TM[[#All],[Large Provider Entity Code]],A114)/I114,"NA")</f>
        <v>NA</v>
      </c>
      <c r="O114" s="518">
        <f t="shared" si="19"/>
        <v>0</v>
      </c>
      <c r="P114" s="243" t="str">
        <f t="shared" si="18"/>
        <v>NA</v>
      </c>
      <c r="Q114" s="97" t="str">
        <f t="shared" si="18"/>
        <v>NA</v>
      </c>
      <c r="R114" s="97" t="str">
        <f t="shared" si="18"/>
        <v>NA</v>
      </c>
      <c r="S114" s="97" t="str">
        <f t="shared" si="18"/>
        <v>NA</v>
      </c>
      <c r="T114" s="97" t="str">
        <f t="shared" si="18"/>
        <v>NA</v>
      </c>
      <c r="U114" s="97" t="str">
        <f t="shared" si="18"/>
        <v>NA</v>
      </c>
    </row>
    <row r="115" spans="1:21" x14ac:dyDescent="0.25">
      <c r="A115" s="218">
        <v>116</v>
      </c>
      <c r="B115" s="566" t="s">
        <v>614</v>
      </c>
      <c r="C115" s="95">
        <f>SUMIFS(TM[[#All],[Member Months]],TM[[#All],[Reporting Year]],2022,TM[[#All],[Insurance Category Code]],7,TM[[#All],[Large Provider Entity Code]],A115)</f>
        <v>0</v>
      </c>
      <c r="D115" s="7" t="str">
        <f>IFERROR(SUMIFS(TM[[#All],[Total Non-Truncated Claims Spending]],TM[[#All],[Reporting Year]],2022,TM[[#All],[Insurance Category Code]],7,TM[[#All],[Large Provider Entity Code]],A115)/C115,"NA")</f>
        <v>NA</v>
      </c>
      <c r="E115" s="7" t="str">
        <f>IFERROR(SUMIFS(TM[[#All],[Total Non-Claims Spending]],TM[[#All],[Reporting Year]],2022,TM[[#All],[Insurance Category Code]],7,TM[[#All],[Large Provider Entity Code]],A115)/C115,"NA")</f>
        <v>NA</v>
      </c>
      <c r="F115" s="7" t="str">
        <f>IFERROR(SUMIFS(TM[[#All],[Total Non-Truncated Claims and Non-Claims Spending]],TM[[#All],[Reporting Year]],2022,TM[[#All],[Insurance Category Code]],7,TM[[#All],[Large Provider Entity Code]],A115)/C115,"NA")</f>
        <v>NA</v>
      </c>
      <c r="G115" s="7" t="str">
        <f>IFERROR(SUMIFS(TM[[#All],[Total Truncated Claims Spending]],TM[[#All],[Reporting Year]],2022,TM[[#All],[Insurance Category Code]],7,TM[[#All],[Large Provider Entity Code]],A115)/C115,"NA")</f>
        <v>NA</v>
      </c>
      <c r="H115" s="96" t="str">
        <f>IFERROR(SUMIFS(TM[[#All],[Total Truncated Expenses]],TM[[#All],[Reporting Year]],2022,TM[[#All],[Insurance Category Code]],7,TM[[#All],[Large Provider Entity Code]],A115)/C115,"NA")</f>
        <v>NA</v>
      </c>
      <c r="I115" s="95">
        <f>SUMIFS(TM[[#All],[Member Months]],TM[[#All],[Reporting Year]],2023,TM[[#All],[Insurance Category Code]],7,TM[[#All],[Large Provider Entity Code]],A115)</f>
        <v>0</v>
      </c>
      <c r="J115" s="7" t="str">
        <f>IFERROR(SUMIFS(TM[[#All],[Total Non-Truncated Claims Spending]],TM[[#All],[Reporting Year]],2023,TM[[#All],[Insurance Category Code]],7,TM[[#All],[Large Provider Entity Code]],A115)/I115,"NA")</f>
        <v>NA</v>
      </c>
      <c r="K115" s="7" t="str">
        <f>IFERROR(SUMIFS(TM[[#All],[Total Non-Claims Spending]],TM[[#All],[Reporting Year]],2023,TM[[#All],[Insurance Category Code]],7,TM[[#All],[Large Provider Entity Code]],A115)/I115,"NA")</f>
        <v>NA</v>
      </c>
      <c r="L115" s="7" t="str">
        <f>IFERROR(SUMIFS(TM[[#All],[Total Non-Truncated Claims and Non-Claims Spending]],TM[[#All],[Reporting Year]],2023,TM[[#All],[Insurance Category Code]],7,TM[[#All],[Large Provider Entity Code]],A115)/I115,"NA")</f>
        <v>NA</v>
      </c>
      <c r="M115" s="7" t="str">
        <f>IFERROR(SUMIFS(TM[[#All],[Total Truncated Claims Spending]],TM[[#All],[Reporting Year]],2023,TM[[#All],[Insurance Category Code]],7,TM[[#All],[Large Provider Entity Code]],A115)/I115,"NA")</f>
        <v>NA</v>
      </c>
      <c r="N115" s="96" t="str">
        <f>IFERROR(SUMIFS(TM[[#All],[Total Truncated Expenses]],TM[[#All],[Reporting Year]],2023,TM[[#All],[Insurance Category Code]],7,TM[[#All],[Large Provider Entity Code]],A115)/I115,"NA")</f>
        <v>NA</v>
      </c>
      <c r="O115" s="518">
        <f t="shared" si="19"/>
        <v>0</v>
      </c>
      <c r="P115" s="243" t="str">
        <f t="shared" si="18"/>
        <v>NA</v>
      </c>
      <c r="Q115" s="97" t="str">
        <f t="shared" si="18"/>
        <v>NA</v>
      </c>
      <c r="R115" s="97" t="str">
        <f t="shared" si="18"/>
        <v>NA</v>
      </c>
      <c r="S115" s="97" t="str">
        <f t="shared" si="18"/>
        <v>NA</v>
      </c>
      <c r="T115" s="97" t="str">
        <f t="shared" si="18"/>
        <v>NA</v>
      </c>
      <c r="U115" s="97" t="str">
        <f t="shared" si="18"/>
        <v>NA</v>
      </c>
    </row>
    <row r="116" spans="1:21" x14ac:dyDescent="0.25">
      <c r="A116" s="218">
        <v>118</v>
      </c>
      <c r="B116" s="566" t="s">
        <v>80</v>
      </c>
      <c r="C116" s="95">
        <f>SUMIFS(TM[[#All],[Member Months]],TM[[#All],[Reporting Year]],2022,TM[[#All],[Insurance Category Code]],7,TM[[#All],[Large Provider Entity Code]],A116)</f>
        <v>0</v>
      </c>
      <c r="D116" s="7" t="str">
        <f>IFERROR(SUMIFS(TM[[#All],[Total Non-Truncated Claims Spending]],TM[[#All],[Reporting Year]],2022,TM[[#All],[Insurance Category Code]],7,TM[[#All],[Large Provider Entity Code]],A116)/C116,"NA")</f>
        <v>NA</v>
      </c>
      <c r="E116" s="7" t="str">
        <f>IFERROR(SUMIFS(TM[[#All],[Total Non-Claims Spending]],TM[[#All],[Reporting Year]],2022,TM[[#All],[Insurance Category Code]],7,TM[[#All],[Large Provider Entity Code]],A116)/C116,"NA")</f>
        <v>NA</v>
      </c>
      <c r="F116" s="7" t="str">
        <f>IFERROR(SUMIFS(TM[[#All],[Total Non-Truncated Claims and Non-Claims Spending]],TM[[#All],[Reporting Year]],2022,TM[[#All],[Insurance Category Code]],7,TM[[#All],[Large Provider Entity Code]],A116)/C116,"NA")</f>
        <v>NA</v>
      </c>
      <c r="G116" s="7" t="str">
        <f>IFERROR(SUMIFS(TM[[#All],[Total Truncated Claims Spending]],TM[[#All],[Reporting Year]],2022,TM[[#All],[Insurance Category Code]],7,TM[[#All],[Large Provider Entity Code]],A116)/C116,"NA")</f>
        <v>NA</v>
      </c>
      <c r="H116" s="96" t="str">
        <f>IFERROR(SUMIFS(TM[[#All],[Total Truncated Expenses]],TM[[#All],[Reporting Year]],2022,TM[[#All],[Insurance Category Code]],7,TM[[#All],[Large Provider Entity Code]],A116)/C116,"NA")</f>
        <v>NA</v>
      </c>
      <c r="I116" s="95">
        <f>SUMIFS(TM[[#All],[Member Months]],TM[[#All],[Reporting Year]],2023,TM[[#All],[Insurance Category Code]],7,TM[[#All],[Large Provider Entity Code]],A116)</f>
        <v>0</v>
      </c>
      <c r="J116" s="7" t="str">
        <f>IFERROR(SUMIFS(TM[[#All],[Total Non-Truncated Claims Spending]],TM[[#All],[Reporting Year]],2023,TM[[#All],[Insurance Category Code]],7,TM[[#All],[Large Provider Entity Code]],A116)/I116,"NA")</f>
        <v>NA</v>
      </c>
      <c r="K116" s="7" t="str">
        <f>IFERROR(SUMIFS(TM[[#All],[Total Non-Claims Spending]],TM[[#All],[Reporting Year]],2023,TM[[#All],[Insurance Category Code]],7,TM[[#All],[Large Provider Entity Code]],A116)/I116,"NA")</f>
        <v>NA</v>
      </c>
      <c r="L116" s="7" t="str">
        <f>IFERROR(SUMIFS(TM[[#All],[Total Non-Truncated Claims and Non-Claims Spending]],TM[[#All],[Reporting Year]],2023,TM[[#All],[Insurance Category Code]],7,TM[[#All],[Large Provider Entity Code]],A116)/I116,"NA")</f>
        <v>NA</v>
      </c>
      <c r="M116" s="7" t="str">
        <f>IFERROR(SUMIFS(TM[[#All],[Total Truncated Claims Spending]],TM[[#All],[Reporting Year]],2023,TM[[#All],[Insurance Category Code]],7,TM[[#All],[Large Provider Entity Code]],A116)/I116,"NA")</f>
        <v>NA</v>
      </c>
      <c r="N116" s="96" t="str">
        <f>IFERROR(SUMIFS(TM[[#All],[Total Truncated Expenses]],TM[[#All],[Reporting Year]],2023,TM[[#All],[Insurance Category Code]],7,TM[[#All],[Large Provider Entity Code]],A116)/I116,"NA")</f>
        <v>NA</v>
      </c>
      <c r="O116" s="518">
        <f t="shared" si="19"/>
        <v>0</v>
      </c>
      <c r="P116" s="243" t="str">
        <f t="shared" si="18"/>
        <v>NA</v>
      </c>
      <c r="Q116" s="97" t="str">
        <f t="shared" si="18"/>
        <v>NA</v>
      </c>
      <c r="R116" s="97" t="str">
        <f t="shared" si="18"/>
        <v>NA</v>
      </c>
      <c r="S116" s="97" t="str">
        <f t="shared" si="18"/>
        <v>NA</v>
      </c>
      <c r="T116" s="97" t="str">
        <f t="shared" si="18"/>
        <v>NA</v>
      </c>
      <c r="U116" s="97" t="str">
        <f t="shared" si="18"/>
        <v>NA</v>
      </c>
    </row>
    <row r="117" spans="1:21" x14ac:dyDescent="0.25">
      <c r="A117" s="218">
        <v>119</v>
      </c>
      <c r="B117" s="566" t="s">
        <v>615</v>
      </c>
      <c r="C117" s="95">
        <f>SUMIFS(TM[[#All],[Member Months]],TM[[#All],[Reporting Year]],2022,TM[[#All],[Insurance Category Code]],7,TM[[#All],[Large Provider Entity Code]],A117)</f>
        <v>0</v>
      </c>
      <c r="D117" s="7" t="str">
        <f>IFERROR(SUMIFS(TM[[#All],[Total Non-Truncated Claims Spending]],TM[[#All],[Reporting Year]],2022,TM[[#All],[Insurance Category Code]],7,TM[[#All],[Large Provider Entity Code]],A117)/C117,"NA")</f>
        <v>NA</v>
      </c>
      <c r="E117" s="7" t="str">
        <f>IFERROR(SUMIFS(TM[[#All],[Total Non-Claims Spending]],TM[[#All],[Reporting Year]],2022,TM[[#All],[Insurance Category Code]],7,TM[[#All],[Large Provider Entity Code]],A117)/C117,"NA")</f>
        <v>NA</v>
      </c>
      <c r="F117" s="7" t="str">
        <f>IFERROR(SUMIFS(TM[[#All],[Total Non-Truncated Claims and Non-Claims Spending]],TM[[#All],[Reporting Year]],2022,TM[[#All],[Insurance Category Code]],7,TM[[#All],[Large Provider Entity Code]],A117)/C117,"NA")</f>
        <v>NA</v>
      </c>
      <c r="G117" s="7" t="str">
        <f>IFERROR(SUMIFS(TM[[#All],[Total Truncated Claims Spending]],TM[[#All],[Reporting Year]],2022,TM[[#All],[Insurance Category Code]],7,TM[[#All],[Large Provider Entity Code]],A117)/C117,"NA")</f>
        <v>NA</v>
      </c>
      <c r="H117" s="96" t="str">
        <f>IFERROR(SUMIFS(TM[[#All],[Total Truncated Expenses]],TM[[#All],[Reporting Year]],2022,TM[[#All],[Insurance Category Code]],7,TM[[#All],[Large Provider Entity Code]],A117)/C117,"NA")</f>
        <v>NA</v>
      </c>
      <c r="I117" s="95">
        <f>SUMIFS(TM[[#All],[Member Months]],TM[[#All],[Reporting Year]],2023,TM[[#All],[Insurance Category Code]],7,TM[[#All],[Large Provider Entity Code]],A117)</f>
        <v>0</v>
      </c>
      <c r="J117" s="7" t="str">
        <f>IFERROR(SUMIFS(TM[[#All],[Total Non-Truncated Claims Spending]],TM[[#All],[Reporting Year]],2023,TM[[#All],[Insurance Category Code]],7,TM[[#All],[Large Provider Entity Code]],A117)/I117,"NA")</f>
        <v>NA</v>
      </c>
      <c r="K117" s="7" t="str">
        <f>IFERROR(SUMIFS(TM[[#All],[Total Non-Claims Spending]],TM[[#All],[Reporting Year]],2023,TM[[#All],[Insurance Category Code]],7,TM[[#All],[Large Provider Entity Code]],A117)/I117,"NA")</f>
        <v>NA</v>
      </c>
      <c r="L117" s="7" t="str">
        <f>IFERROR(SUMIFS(TM[[#All],[Total Non-Truncated Claims and Non-Claims Spending]],TM[[#All],[Reporting Year]],2023,TM[[#All],[Insurance Category Code]],7,TM[[#All],[Large Provider Entity Code]],A117)/I117,"NA")</f>
        <v>NA</v>
      </c>
      <c r="M117" s="7" t="str">
        <f>IFERROR(SUMIFS(TM[[#All],[Total Truncated Claims Spending]],TM[[#All],[Reporting Year]],2023,TM[[#All],[Insurance Category Code]],7,TM[[#All],[Large Provider Entity Code]],A117)/I117,"NA")</f>
        <v>NA</v>
      </c>
      <c r="N117" s="96" t="str">
        <f>IFERROR(SUMIFS(TM[[#All],[Total Truncated Expenses]],TM[[#All],[Reporting Year]],2023,TM[[#All],[Insurance Category Code]],7,TM[[#All],[Large Provider Entity Code]],A117)/I117,"NA")</f>
        <v>NA</v>
      </c>
      <c r="O117" s="518">
        <f t="shared" si="19"/>
        <v>0</v>
      </c>
      <c r="P117" s="243" t="str">
        <f t="shared" si="18"/>
        <v>NA</v>
      </c>
      <c r="Q117" s="97" t="str">
        <f t="shared" si="18"/>
        <v>NA</v>
      </c>
      <c r="R117" s="97" t="str">
        <f t="shared" si="18"/>
        <v>NA</v>
      </c>
      <c r="S117" s="97" t="str">
        <f t="shared" si="18"/>
        <v>NA</v>
      </c>
      <c r="T117" s="97" t="str">
        <f t="shared" si="18"/>
        <v>NA</v>
      </c>
      <c r="U117" s="97" t="str">
        <f t="shared" si="18"/>
        <v>NA</v>
      </c>
    </row>
    <row r="118" spans="1:21" x14ac:dyDescent="0.25">
      <c r="A118" s="218">
        <v>120</v>
      </c>
      <c r="B118" s="566" t="s">
        <v>608</v>
      </c>
      <c r="C118" s="95">
        <f>SUMIFS(TM[[#All],[Member Months]],TM[[#All],[Reporting Year]],2022,TM[[#All],[Insurance Category Code]],7,TM[[#All],[Large Provider Entity Code]],A118)</f>
        <v>0</v>
      </c>
      <c r="D118" s="7" t="str">
        <f>IFERROR(SUMIFS(TM[[#All],[Total Non-Truncated Claims Spending]],TM[[#All],[Reporting Year]],2022,TM[[#All],[Insurance Category Code]],7,TM[[#All],[Large Provider Entity Code]],A118)/C118,"NA")</f>
        <v>NA</v>
      </c>
      <c r="E118" s="7" t="str">
        <f>IFERROR(SUMIFS(TM[[#All],[Total Non-Claims Spending]],TM[[#All],[Reporting Year]],2022,TM[[#All],[Insurance Category Code]],7,TM[[#All],[Large Provider Entity Code]],A118)/C118,"NA")</f>
        <v>NA</v>
      </c>
      <c r="F118" s="7" t="str">
        <f>IFERROR(SUMIFS(TM[[#All],[Total Non-Truncated Claims and Non-Claims Spending]],TM[[#All],[Reporting Year]],2022,TM[[#All],[Insurance Category Code]],7,TM[[#All],[Large Provider Entity Code]],A118)/C118,"NA")</f>
        <v>NA</v>
      </c>
      <c r="G118" s="7" t="str">
        <f>IFERROR(SUMIFS(TM[[#All],[Total Truncated Claims Spending]],TM[[#All],[Reporting Year]],2022,TM[[#All],[Insurance Category Code]],7,TM[[#All],[Large Provider Entity Code]],A118)/C118,"NA")</f>
        <v>NA</v>
      </c>
      <c r="H118" s="96" t="str">
        <f>IFERROR(SUMIFS(TM[[#All],[Total Truncated Expenses]],TM[[#All],[Reporting Year]],2022,TM[[#All],[Insurance Category Code]],7,TM[[#All],[Large Provider Entity Code]],A118)/C118,"NA")</f>
        <v>NA</v>
      </c>
      <c r="I118" s="95">
        <f>SUMIFS(TM[[#All],[Member Months]],TM[[#All],[Reporting Year]],2023,TM[[#All],[Insurance Category Code]],7,TM[[#All],[Large Provider Entity Code]],A118)</f>
        <v>0</v>
      </c>
      <c r="J118" s="7" t="str">
        <f>IFERROR(SUMIFS(TM[[#All],[Total Non-Truncated Claims Spending]],TM[[#All],[Reporting Year]],2023,TM[[#All],[Insurance Category Code]],7,TM[[#All],[Large Provider Entity Code]],A118)/I118,"NA")</f>
        <v>NA</v>
      </c>
      <c r="K118" s="7" t="str">
        <f>IFERROR(SUMIFS(TM[[#All],[Total Non-Claims Spending]],TM[[#All],[Reporting Year]],2023,TM[[#All],[Insurance Category Code]],7,TM[[#All],[Large Provider Entity Code]],A118)/I118,"NA")</f>
        <v>NA</v>
      </c>
      <c r="L118" s="7" t="str">
        <f>IFERROR(SUMIFS(TM[[#All],[Total Non-Truncated Claims and Non-Claims Spending]],TM[[#All],[Reporting Year]],2023,TM[[#All],[Insurance Category Code]],7,TM[[#All],[Large Provider Entity Code]],A118)/I118,"NA")</f>
        <v>NA</v>
      </c>
      <c r="M118" s="7" t="str">
        <f>IFERROR(SUMIFS(TM[[#All],[Total Truncated Claims Spending]],TM[[#All],[Reporting Year]],2023,TM[[#All],[Insurance Category Code]],7,TM[[#All],[Large Provider Entity Code]],A118)/I118,"NA")</f>
        <v>NA</v>
      </c>
      <c r="N118" s="96" t="str">
        <f>IFERROR(SUMIFS(TM[[#All],[Total Truncated Expenses]],TM[[#All],[Reporting Year]],2023,TM[[#All],[Insurance Category Code]],7,TM[[#All],[Large Provider Entity Code]],A118)/I118,"NA")</f>
        <v>NA</v>
      </c>
      <c r="O118" s="518">
        <f t="shared" si="19"/>
        <v>0</v>
      </c>
      <c r="P118" s="243" t="str">
        <f t="shared" si="18"/>
        <v>NA</v>
      </c>
      <c r="Q118" s="97" t="str">
        <f t="shared" si="18"/>
        <v>NA</v>
      </c>
      <c r="R118" s="97" t="str">
        <f t="shared" si="18"/>
        <v>NA</v>
      </c>
      <c r="S118" s="97" t="str">
        <f t="shared" si="18"/>
        <v>NA</v>
      </c>
      <c r="T118" s="97" t="str">
        <f t="shared" si="18"/>
        <v>NA</v>
      </c>
      <c r="U118" s="97" t="str">
        <f t="shared" si="18"/>
        <v>NA</v>
      </c>
    </row>
    <row r="119" spans="1:21" ht="30" x14ac:dyDescent="0.25">
      <c r="A119" s="218">
        <v>121</v>
      </c>
      <c r="B119" s="495" t="s">
        <v>616</v>
      </c>
      <c r="C119" s="95">
        <f>SUMIFS(TM[[#All],[Member Months]],TM[[#All],[Reporting Year]],2022,TM[[#All],[Insurance Category Code]],7,TM[[#All],[Large Provider Entity Code]],A119)</f>
        <v>0</v>
      </c>
      <c r="D119" s="7" t="str">
        <f>IFERROR(SUMIFS(TM[[#All],[Total Non-Truncated Claims Spending]],TM[[#All],[Reporting Year]],2022,TM[[#All],[Insurance Category Code]],7,TM[[#All],[Large Provider Entity Code]],A119)/C119,"NA")</f>
        <v>NA</v>
      </c>
      <c r="E119" s="7" t="str">
        <f>IFERROR(SUMIFS(TM[[#All],[Total Non-Claims Spending]],TM[[#All],[Reporting Year]],2022,TM[[#All],[Insurance Category Code]],7,TM[[#All],[Large Provider Entity Code]],A119)/C119,"NA")</f>
        <v>NA</v>
      </c>
      <c r="F119" s="7" t="str">
        <f>IFERROR(SUMIFS(TM[[#All],[Total Non-Truncated Claims and Non-Claims Spending]],TM[[#All],[Reporting Year]],2022,TM[[#All],[Insurance Category Code]],7,TM[[#All],[Large Provider Entity Code]],A119)/C119,"NA")</f>
        <v>NA</v>
      </c>
      <c r="G119" s="7" t="str">
        <f>IFERROR(SUMIFS(TM[[#All],[Total Truncated Claims Spending]],TM[[#All],[Reporting Year]],2022,TM[[#All],[Insurance Category Code]],7,TM[[#All],[Large Provider Entity Code]],A119)/C119,"NA")</f>
        <v>NA</v>
      </c>
      <c r="H119" s="96" t="str">
        <f>IFERROR(SUMIFS(TM[[#All],[Total Truncated Expenses]],TM[[#All],[Reporting Year]],2022,TM[[#All],[Insurance Category Code]],7,TM[[#All],[Large Provider Entity Code]],A119)/C119,"NA")</f>
        <v>NA</v>
      </c>
      <c r="I119" s="95">
        <f>SUMIFS(TM[[#All],[Member Months]],TM[[#All],[Reporting Year]],2023,TM[[#All],[Insurance Category Code]],7,TM[[#All],[Large Provider Entity Code]],A119)</f>
        <v>0</v>
      </c>
      <c r="J119" s="7" t="str">
        <f>IFERROR(SUMIFS(TM[[#All],[Total Non-Truncated Claims Spending]],TM[[#All],[Reporting Year]],2023,TM[[#All],[Insurance Category Code]],7,TM[[#All],[Large Provider Entity Code]],A119)/I119,"NA")</f>
        <v>NA</v>
      </c>
      <c r="K119" s="7" t="str">
        <f>IFERROR(SUMIFS(TM[[#All],[Total Non-Claims Spending]],TM[[#All],[Reporting Year]],2023,TM[[#All],[Insurance Category Code]],7,TM[[#All],[Large Provider Entity Code]],A119)/I119,"NA")</f>
        <v>NA</v>
      </c>
      <c r="L119" s="7" t="str">
        <f>IFERROR(SUMIFS(TM[[#All],[Total Non-Truncated Claims and Non-Claims Spending]],TM[[#All],[Reporting Year]],2023,TM[[#All],[Insurance Category Code]],7,TM[[#All],[Large Provider Entity Code]],A119)/I119,"NA")</f>
        <v>NA</v>
      </c>
      <c r="M119" s="7" t="str">
        <f>IFERROR(SUMIFS(TM[[#All],[Total Truncated Claims Spending]],TM[[#All],[Reporting Year]],2023,TM[[#All],[Insurance Category Code]],7,TM[[#All],[Large Provider Entity Code]],A119)/I119,"NA")</f>
        <v>NA</v>
      </c>
      <c r="N119" s="96" t="str">
        <f>IFERROR(SUMIFS(TM[[#All],[Total Truncated Expenses]],TM[[#All],[Reporting Year]],2023,TM[[#All],[Insurance Category Code]],7,TM[[#All],[Large Provider Entity Code]],A119)/I119,"NA")</f>
        <v>NA</v>
      </c>
      <c r="O119" s="518">
        <f t="shared" si="19"/>
        <v>0</v>
      </c>
      <c r="P119" s="243" t="str">
        <f t="shared" si="18"/>
        <v>NA</v>
      </c>
      <c r="Q119" s="97" t="str">
        <f t="shared" si="18"/>
        <v>NA</v>
      </c>
      <c r="R119" s="97" t="str">
        <f t="shared" si="18"/>
        <v>NA</v>
      </c>
      <c r="S119" s="97" t="str">
        <f t="shared" si="18"/>
        <v>NA</v>
      </c>
      <c r="T119" s="97" t="str">
        <f t="shared" si="18"/>
        <v>NA</v>
      </c>
      <c r="U119" s="97" t="str">
        <f t="shared" si="18"/>
        <v>NA</v>
      </c>
    </row>
    <row r="120" spans="1:21" x14ac:dyDescent="0.25">
      <c r="A120" s="218">
        <v>122</v>
      </c>
      <c r="B120" s="566" t="s">
        <v>617</v>
      </c>
      <c r="C120" s="95">
        <f>SUMIFS(TM[[#All],[Member Months]],TM[[#All],[Reporting Year]],2022,TM[[#All],[Insurance Category Code]],7,TM[[#All],[Large Provider Entity Code]],A120)</f>
        <v>0</v>
      </c>
      <c r="D120" s="7" t="str">
        <f>IFERROR(SUMIFS(TM[[#All],[Total Non-Truncated Claims Spending]],TM[[#All],[Reporting Year]],2022,TM[[#All],[Insurance Category Code]],7,TM[[#All],[Large Provider Entity Code]],A120)/C120,"NA")</f>
        <v>NA</v>
      </c>
      <c r="E120" s="7" t="str">
        <f>IFERROR(SUMIFS(TM[[#All],[Total Non-Claims Spending]],TM[[#All],[Reporting Year]],2022,TM[[#All],[Insurance Category Code]],7,TM[[#All],[Large Provider Entity Code]],A120)/C120,"NA")</f>
        <v>NA</v>
      </c>
      <c r="F120" s="7" t="str">
        <f>IFERROR(SUMIFS(TM[[#All],[Total Non-Truncated Claims and Non-Claims Spending]],TM[[#All],[Reporting Year]],2022,TM[[#All],[Insurance Category Code]],7,TM[[#All],[Large Provider Entity Code]],A120)/C120,"NA")</f>
        <v>NA</v>
      </c>
      <c r="G120" s="7" t="str">
        <f>IFERROR(SUMIFS(TM[[#All],[Total Truncated Claims Spending]],TM[[#All],[Reporting Year]],2022,TM[[#All],[Insurance Category Code]],7,TM[[#All],[Large Provider Entity Code]],A120)/C120,"NA")</f>
        <v>NA</v>
      </c>
      <c r="H120" s="96" t="str">
        <f>IFERROR(SUMIFS(TM[[#All],[Total Truncated Expenses]],TM[[#All],[Reporting Year]],2022,TM[[#All],[Insurance Category Code]],7,TM[[#All],[Large Provider Entity Code]],A120)/C120,"NA")</f>
        <v>NA</v>
      </c>
      <c r="I120" s="95">
        <f>SUMIFS(TM[[#All],[Member Months]],TM[[#All],[Reporting Year]],2023,TM[[#All],[Insurance Category Code]],7,TM[[#All],[Large Provider Entity Code]],A120)</f>
        <v>0</v>
      </c>
      <c r="J120" s="7" t="str">
        <f>IFERROR(SUMIFS(TM[[#All],[Total Non-Truncated Claims Spending]],TM[[#All],[Reporting Year]],2023,TM[[#All],[Insurance Category Code]],7,TM[[#All],[Large Provider Entity Code]],A120)/I120,"NA")</f>
        <v>NA</v>
      </c>
      <c r="K120" s="7" t="str">
        <f>IFERROR(SUMIFS(TM[[#All],[Total Non-Claims Spending]],TM[[#All],[Reporting Year]],2023,TM[[#All],[Insurance Category Code]],7,TM[[#All],[Large Provider Entity Code]],A120)/I120,"NA")</f>
        <v>NA</v>
      </c>
      <c r="L120" s="7" t="str">
        <f>IFERROR(SUMIFS(TM[[#All],[Total Non-Truncated Claims and Non-Claims Spending]],TM[[#All],[Reporting Year]],2023,TM[[#All],[Insurance Category Code]],7,TM[[#All],[Large Provider Entity Code]],A120)/I120,"NA")</f>
        <v>NA</v>
      </c>
      <c r="M120" s="7" t="str">
        <f>IFERROR(SUMIFS(TM[[#All],[Total Truncated Claims Spending]],TM[[#All],[Reporting Year]],2023,TM[[#All],[Insurance Category Code]],7,TM[[#All],[Large Provider Entity Code]],A120)/I120,"NA")</f>
        <v>NA</v>
      </c>
      <c r="N120" s="96" t="str">
        <f>IFERROR(SUMIFS(TM[[#All],[Total Truncated Expenses]],TM[[#All],[Reporting Year]],2023,TM[[#All],[Insurance Category Code]],7,TM[[#All],[Large Provider Entity Code]],A120)/I120,"NA")</f>
        <v>NA</v>
      </c>
      <c r="O120" s="518">
        <f t="shared" si="19"/>
        <v>0</v>
      </c>
      <c r="P120" s="243" t="str">
        <f t="shared" si="18"/>
        <v>NA</v>
      </c>
      <c r="Q120" s="97" t="str">
        <f t="shared" si="18"/>
        <v>NA</v>
      </c>
      <c r="R120" s="97" t="str">
        <f t="shared" si="18"/>
        <v>NA</v>
      </c>
      <c r="S120" s="97" t="str">
        <f t="shared" si="18"/>
        <v>NA</v>
      </c>
      <c r="T120" s="97" t="str">
        <f t="shared" si="18"/>
        <v>NA</v>
      </c>
      <c r="U120" s="97" t="str">
        <f t="shared" si="18"/>
        <v>NA</v>
      </c>
    </row>
    <row r="121" spans="1:21" x14ac:dyDescent="0.25">
      <c r="A121" s="218">
        <v>999</v>
      </c>
      <c r="B121" s="495" t="s">
        <v>81</v>
      </c>
      <c r="C121" s="95">
        <f>SUMIFS(TM[[#All],[Member Months]],TM[[#All],[Reporting Year]],2022,TM[[#All],[Insurance Category Code]],7,TM[[#All],[Large Provider Entity Code]],A121)</f>
        <v>0</v>
      </c>
      <c r="D121" s="7" t="str">
        <f>IFERROR(SUMIFS(TM[[#All],[Total Non-Truncated Claims Spending]],TM[[#All],[Reporting Year]],2022,TM[[#All],[Insurance Category Code]],7,TM[[#All],[Large Provider Entity Code]],A121)/C121,"NA")</f>
        <v>NA</v>
      </c>
      <c r="E121" s="7" t="str">
        <f>IFERROR(SUMIFS(TM[[#All],[Total Non-Claims Spending]],TM[[#All],[Reporting Year]],2022,TM[[#All],[Insurance Category Code]],7,TM[[#All],[Large Provider Entity Code]],A121)/C121,"NA")</f>
        <v>NA</v>
      </c>
      <c r="F121" s="7" t="str">
        <f>IFERROR(SUMIFS(TM[[#All],[Total Non-Truncated Claims and Non-Claims Spending]],TM[[#All],[Reporting Year]],2022,TM[[#All],[Insurance Category Code]],7,TM[[#All],[Large Provider Entity Code]],A121)/C121,"NA")</f>
        <v>NA</v>
      </c>
      <c r="G121" s="7" t="str">
        <f>IFERROR(SUMIFS(TM[[#All],[Total Truncated Claims Spending]],TM[[#All],[Reporting Year]],2022,TM[[#All],[Insurance Category Code]],7,TM[[#All],[Large Provider Entity Code]],A121)/C121,"NA")</f>
        <v>NA</v>
      </c>
      <c r="H121" s="96" t="str">
        <f>IFERROR(SUMIFS(TM[[#All],[Total Truncated Expenses]],TM[[#All],[Reporting Year]],2022,TM[[#All],[Insurance Category Code]],7,TM[[#All],[Large Provider Entity Code]],A121)/C121,"NA")</f>
        <v>NA</v>
      </c>
      <c r="I121" s="95">
        <f>SUMIFS(TM[[#All],[Member Months]],TM[[#All],[Reporting Year]],2023,TM[[#All],[Insurance Category Code]],7,TM[[#All],[Large Provider Entity Code]],A121)</f>
        <v>0</v>
      </c>
      <c r="J121" s="7" t="str">
        <f>IFERROR(SUMIFS(TM[[#All],[Total Non-Truncated Claims Spending]],TM[[#All],[Reporting Year]],2023,TM[[#All],[Insurance Category Code]],7,TM[[#All],[Large Provider Entity Code]],A121)/I121,"NA")</f>
        <v>NA</v>
      </c>
      <c r="K121" s="7" t="str">
        <f>IFERROR(SUMIFS(TM[[#All],[Total Non-Claims Spending]],TM[[#All],[Reporting Year]],2023,TM[[#All],[Insurance Category Code]],7,TM[[#All],[Large Provider Entity Code]],A121)/I121,"NA")</f>
        <v>NA</v>
      </c>
      <c r="L121" s="7" t="str">
        <f>IFERROR(SUMIFS(TM[[#All],[Total Non-Truncated Claims and Non-Claims Spending]],TM[[#All],[Reporting Year]],2023,TM[[#All],[Insurance Category Code]],7,TM[[#All],[Large Provider Entity Code]],A121)/I121,"NA")</f>
        <v>NA</v>
      </c>
      <c r="M121" s="7" t="str">
        <f>IFERROR(SUMIFS(TM[[#All],[Total Truncated Claims Spending]],TM[[#All],[Reporting Year]],2023,TM[[#All],[Insurance Category Code]],7,TM[[#All],[Large Provider Entity Code]],A121)/I121,"NA")</f>
        <v>NA</v>
      </c>
      <c r="N121" s="96" t="str">
        <f>IFERROR(SUMIFS(TM[[#All],[Total Truncated Expenses]],TM[[#All],[Reporting Year]],2023,TM[[#All],[Insurance Category Code]],7,TM[[#All],[Large Provider Entity Code]],A121)/I121,"NA")</f>
        <v>NA</v>
      </c>
      <c r="O121" s="518">
        <f t="shared" si="19"/>
        <v>0</v>
      </c>
      <c r="P121" s="243" t="str">
        <f t="shared" si="18"/>
        <v>NA</v>
      </c>
      <c r="Q121" s="97" t="str">
        <f t="shared" si="18"/>
        <v>NA</v>
      </c>
      <c r="R121" s="97" t="str">
        <f t="shared" si="18"/>
        <v>NA</v>
      </c>
      <c r="S121" s="97" t="str">
        <f t="shared" si="18"/>
        <v>NA</v>
      </c>
      <c r="T121" s="97" t="str">
        <f t="shared" si="18"/>
        <v>NA</v>
      </c>
      <c r="U121" s="97" t="str">
        <f t="shared" si="18"/>
        <v>NA</v>
      </c>
    </row>
    <row r="122" spans="1:21" ht="30" customHeight="1" x14ac:dyDescent="0.25">
      <c r="A122" s="707" t="s">
        <v>567</v>
      </c>
      <c r="B122" s="708"/>
      <c r="C122" s="165">
        <f>SUM(C102:C121)</f>
        <v>0</v>
      </c>
      <c r="D122" s="131" t="str">
        <f>IFERROR((SUMPRODUCT(D102:D121,C102:C121)/C122),"NA")</f>
        <v>NA</v>
      </c>
      <c r="E122" s="131" t="str">
        <f>IFERROR((SUMPRODUCT(E102:E121,C102:C121)/C122),"NA")</f>
        <v>NA</v>
      </c>
      <c r="F122" s="131" t="str">
        <f>IFERROR((SUMPRODUCT(F102:F121,C102:C121)/C122),"NA")</f>
        <v>NA</v>
      </c>
      <c r="G122" s="131" t="str">
        <f>IFERROR((SUMPRODUCT(G102:G121,C102:C121)/C122),"NA")</f>
        <v>NA</v>
      </c>
      <c r="H122" s="131" t="str">
        <f>IFERROR((SUMPRODUCT(H102:H121,C102:C121)/C122),"NA")</f>
        <v>NA</v>
      </c>
      <c r="I122" s="165">
        <f>SUM(I102:I121)</f>
        <v>0</v>
      </c>
      <c r="J122" s="131" t="str">
        <f>IFERROR((SUMPRODUCT(J102:J121,I102:I121)/I122),"NA")</f>
        <v>NA</v>
      </c>
      <c r="K122" s="131" t="str">
        <f>IFERROR((SUMPRODUCT(K102:K121,I102:I121)/I122),"NA")</f>
        <v>NA</v>
      </c>
      <c r="L122" s="131" t="str">
        <f>IFERROR((SUMPRODUCT(L102:L121,I102:I121)/I122),"NA")</f>
        <v>NA</v>
      </c>
      <c r="M122" s="131" t="str">
        <f>IFERROR((SUMPRODUCT(M102:M121,I102:I121)/I122),"NA")</f>
        <v>NA</v>
      </c>
      <c r="N122" s="206" t="str">
        <f>IFERROR((SUMPRODUCT(N102:N121,I102:I121)/I122),"NA")</f>
        <v>NA</v>
      </c>
      <c r="O122" s="544" t="s">
        <v>500</v>
      </c>
      <c r="P122" s="435" t="s">
        <v>500</v>
      </c>
      <c r="Q122" s="433" t="s">
        <v>500</v>
      </c>
      <c r="R122" s="433" t="s">
        <v>500</v>
      </c>
      <c r="S122" s="433" t="s">
        <v>500</v>
      </c>
      <c r="T122" s="433" t="s">
        <v>500</v>
      </c>
      <c r="U122" s="433" t="s">
        <v>500</v>
      </c>
    </row>
    <row r="123" spans="1:21" x14ac:dyDescent="0.25">
      <c r="A123" s="709" t="s">
        <v>563</v>
      </c>
      <c r="B123" s="710"/>
      <c r="C123" s="165" t="s">
        <v>500</v>
      </c>
      <c r="D123" s="130" t="str">
        <f>IFERROR(((SUMPRODUCT(D101,$C$101))-ABS(SUMIFS(RX[[#All],[Total Medical and Retail Pharmacy Rebate Amount]],RX[[#All],[Reporting Year]],2022,RX[[#All],[Insurance Category Code]],7)))/$C$122,"NA")</f>
        <v>NA</v>
      </c>
      <c r="E123" s="130" t="str">
        <f>IFERROR(((SUMPRODUCT(E101,$C$101))-ABS(SUMIFS(RX[[#All],[Total Medical and Retail Pharmacy Rebate Amount]],RX[[#All],[Reporting Year]],2022,RX[[#All],[Insurance Category Code]],7)))/$C$122,"NA")</f>
        <v>NA</v>
      </c>
      <c r="F123" s="130" t="str">
        <f>IFERROR(((SUMPRODUCT(F101,$C$101))-ABS(SUMIFS(RX[[#All],[Total Medical and Retail Pharmacy Rebate Amount]],RX[[#All],[Reporting Year]],2022,RX[[#All],[Insurance Category Code]],7)))/$C$122,"NA")</f>
        <v>NA</v>
      </c>
      <c r="G123" s="130" t="str">
        <f>IFERROR(((SUMPRODUCT(G101,$C$101))-ABS(SUMIFS(RX[[#All],[Total Medical and Retail Pharmacy Rebate Amount]],RX[[#All],[Reporting Year]],2022,RX[[#All],[Insurance Category Code]],7)))/$C$122,"NA")</f>
        <v>NA</v>
      </c>
      <c r="H123" s="208" t="str">
        <f>IFERROR(((SUMPRODUCT(H101,$C$101))-ABS(SUMIFS(RX[[#All],[Total Medical and Retail Pharmacy Rebate Amount]],RX[[#All],[Reporting Year]],2022,RX[[#All],[Insurance Category Code]],7)))/$C$122,"NA")</f>
        <v>NA</v>
      </c>
      <c r="I123" s="165" t="s">
        <v>500</v>
      </c>
      <c r="J123" s="130" t="str">
        <f>IFERROR(((SUMPRODUCT(J101,$I$101))-ABS(SUMIFS(RX[[#All],[Total Medical and Retail Pharmacy Rebate Amount]],RX[[#All],[Reporting Year]],2023,RX[[#All],[Insurance Category Code]],7)))/$I$122,"NA")</f>
        <v>NA</v>
      </c>
      <c r="K123" s="130" t="str">
        <f>IFERROR(((SUMPRODUCT(K101,$I$101))-ABS(SUMIFS(RX[[#All],[Total Medical and Retail Pharmacy Rebate Amount]],RX[[#All],[Reporting Year]],2023,RX[[#All],[Insurance Category Code]],7)))/$I$122,"NA")</f>
        <v>NA</v>
      </c>
      <c r="L123" s="130" t="str">
        <f>IFERROR(((SUMPRODUCT(L101,$I$101))-ABS(SUMIFS(RX[[#All],[Total Medical and Retail Pharmacy Rebate Amount]],RX[[#All],[Reporting Year]],2023,RX[[#All],[Insurance Category Code]],7)))/$I$122,"NA")</f>
        <v>NA</v>
      </c>
      <c r="M123" s="130" t="str">
        <f>IFERROR(((SUMPRODUCT(M101,$I$101))-ABS(SUMIFS(RX[[#All],[Total Medical and Retail Pharmacy Rebate Amount]],RX[[#All],[Reporting Year]],2023,RX[[#All],[Insurance Category Code]],7)))/$I$122,"NA")</f>
        <v>NA</v>
      </c>
      <c r="N123" s="208" t="str">
        <f>IFERROR(((SUMPRODUCT(N101,$I$101))-ABS(SUMIFS(RX[[#All],[Total Medical and Retail Pharmacy Rebate Amount]],RX[[#All],[Reporting Year]],2023,RX[[#All],[Insurance Category Code]],7)))/$I$122,"NA")</f>
        <v>NA</v>
      </c>
      <c r="O123" s="544" t="s">
        <v>500</v>
      </c>
      <c r="P123" s="435" t="s">
        <v>500</v>
      </c>
      <c r="Q123" s="433" t="s">
        <v>500</v>
      </c>
      <c r="R123" s="433" t="s">
        <v>500</v>
      </c>
      <c r="S123" s="433" t="s">
        <v>500</v>
      </c>
      <c r="T123" s="433" t="s">
        <v>500</v>
      </c>
      <c r="U123" s="433" t="s">
        <v>500</v>
      </c>
    </row>
    <row r="124" spans="1:21" x14ac:dyDescent="0.25">
      <c r="A124" s="717" t="s">
        <v>564</v>
      </c>
      <c r="B124" s="718"/>
      <c r="C124" s="227">
        <f>ABS(C122-C101)</f>
        <v>0</v>
      </c>
      <c r="D124" s="227" t="e">
        <f>ABS(D122-D101)</f>
        <v>#VALUE!</v>
      </c>
      <c r="E124" s="227" t="e">
        <f>ABS(E122-E101)</f>
        <v>#VALUE!</v>
      </c>
      <c r="F124" s="227" t="e">
        <f>ABS(F122-F101)</f>
        <v>#VALUE!</v>
      </c>
      <c r="G124" s="181" t="s">
        <v>500</v>
      </c>
      <c r="H124" s="233" t="s">
        <v>500</v>
      </c>
      <c r="I124" s="221">
        <f>ABS(I122-I101)</f>
        <v>0</v>
      </c>
      <c r="J124" s="227" t="e">
        <f>ABS(J122-J101)</f>
        <v>#VALUE!</v>
      </c>
      <c r="K124" s="227" t="e">
        <f>ABS(K122-K101)</f>
        <v>#VALUE!</v>
      </c>
      <c r="L124" s="227" t="e">
        <f>ABS(L122-L101)</f>
        <v>#VALUE!</v>
      </c>
      <c r="M124" s="181" t="s">
        <v>500</v>
      </c>
      <c r="N124" s="233" t="s">
        <v>500</v>
      </c>
      <c r="O124" s="545" t="s">
        <v>500</v>
      </c>
      <c r="P124" s="546" t="s">
        <v>500</v>
      </c>
      <c r="Q124" s="548" t="s">
        <v>500</v>
      </c>
      <c r="R124" s="548" t="s">
        <v>500</v>
      </c>
      <c r="S124" s="548" t="s">
        <v>500</v>
      </c>
      <c r="T124" s="548" t="s">
        <v>500</v>
      </c>
      <c r="U124" s="548" t="s">
        <v>500</v>
      </c>
    </row>
    <row r="125" spans="1:21" x14ac:dyDescent="0.25">
      <c r="A125" s="715" t="s">
        <v>565</v>
      </c>
      <c r="B125" s="716"/>
      <c r="C125" s="261" t="str">
        <f>IF(((ABS(C101-C122))&lt;10),"Yes","No")</f>
        <v>Yes</v>
      </c>
      <c r="D125" s="181" t="e">
        <f>IF(((ABS(D101-D122))&lt;10),"Yes","No")</f>
        <v>#VALUE!</v>
      </c>
      <c r="E125" s="181" t="e">
        <f>IF(((ABS(E101-E122))&lt;10),"Yes","No")</f>
        <v>#VALUE!</v>
      </c>
      <c r="F125" s="181" t="e">
        <f>IF(((ABS(F101-F122))&lt;10),"Yes","No")</f>
        <v>#VALUE!</v>
      </c>
      <c r="G125" s="181" t="s">
        <v>500</v>
      </c>
      <c r="H125" s="233" t="s">
        <v>500</v>
      </c>
      <c r="I125" s="259" t="str">
        <f>IF(((ABS(I101-I122))&lt;10),"Yes","No")</f>
        <v>Yes</v>
      </c>
      <c r="J125" s="181" t="e">
        <f>IF(((ABS(J101-J122))&lt;10),"Yes","No")</f>
        <v>#VALUE!</v>
      </c>
      <c r="K125" s="181" t="e">
        <f>IF(((ABS(K101-K122))&lt;10),"Yes","No")</f>
        <v>#VALUE!</v>
      </c>
      <c r="L125" s="181" t="e">
        <f>IF(((ABS(L101-L122))&lt;10),"Yes","No")</f>
        <v>#VALUE!</v>
      </c>
      <c r="M125" s="181" t="s">
        <v>500</v>
      </c>
      <c r="N125" s="233" t="s">
        <v>500</v>
      </c>
      <c r="O125" s="545" t="s">
        <v>500</v>
      </c>
      <c r="P125" s="546" t="s">
        <v>500</v>
      </c>
      <c r="Q125" s="548" t="s">
        <v>500</v>
      </c>
      <c r="R125" s="548" t="s">
        <v>500</v>
      </c>
      <c r="S125" s="548" t="s">
        <v>500</v>
      </c>
      <c r="T125" s="548" t="s">
        <v>500</v>
      </c>
      <c r="U125" s="548" t="s">
        <v>500</v>
      </c>
    </row>
    <row r="126" spans="1:21" x14ac:dyDescent="0.25">
      <c r="A126"/>
      <c r="B126"/>
      <c r="C126" s="115"/>
      <c r="D126" s="116"/>
      <c r="E126" s="116"/>
      <c r="F126" s="116"/>
      <c r="G126" s="116"/>
      <c r="H126" s="116"/>
      <c r="I126" s="115"/>
      <c r="J126" s="116"/>
      <c r="K126" s="116"/>
      <c r="L126" s="116"/>
      <c r="M126" s="116"/>
      <c r="N126" s="116"/>
      <c r="O126" s="116"/>
      <c r="P126" s="117"/>
      <c r="Q126" s="117"/>
      <c r="R126" s="117"/>
      <c r="S126" s="117"/>
      <c r="T126" s="117"/>
      <c r="U126" s="117"/>
    </row>
    <row r="127" spans="1:21" x14ac:dyDescent="0.25">
      <c r="A127"/>
      <c r="B127"/>
      <c r="C127"/>
      <c r="D127"/>
      <c r="E127"/>
      <c r="F127"/>
      <c r="G127"/>
      <c r="H127"/>
      <c r="I127"/>
      <c r="J127"/>
      <c r="K127"/>
      <c r="L127"/>
      <c r="M127"/>
      <c r="N127"/>
      <c r="O127"/>
      <c r="P127"/>
      <c r="Q127"/>
      <c r="R127"/>
      <c r="S127"/>
      <c r="T127"/>
      <c r="U127"/>
    </row>
    <row r="128" spans="1:21" x14ac:dyDescent="0.25">
      <c r="A128" s="567" t="s">
        <v>570</v>
      </c>
      <c r="B128" s="568"/>
      <c r="C128" s="568"/>
      <c r="D128"/>
      <c r="E128"/>
      <c r="F128"/>
      <c r="G128"/>
      <c r="H128"/>
      <c r="I128"/>
      <c r="J128"/>
      <c r="K128"/>
      <c r="L128"/>
      <c r="M128"/>
      <c r="N128"/>
      <c r="O128"/>
      <c r="P128"/>
      <c r="Q128"/>
      <c r="R128"/>
      <c r="S128"/>
      <c r="T128"/>
      <c r="U128"/>
    </row>
    <row r="129" spans="1:21" ht="15" customHeight="1" thickBot="1" x14ac:dyDescent="0.3">
      <c r="A129" s="657" t="s">
        <v>71</v>
      </c>
      <c r="B129" s="706" t="s">
        <v>547</v>
      </c>
      <c r="C129" s="697">
        <v>2022</v>
      </c>
      <c r="D129" s="698"/>
      <c r="E129" s="698"/>
      <c r="F129" s="698"/>
      <c r="G129" s="698"/>
      <c r="H129" s="699"/>
      <c r="I129" s="700">
        <v>2023</v>
      </c>
      <c r="J129" s="701"/>
      <c r="K129" s="701"/>
      <c r="L129" s="701"/>
      <c r="M129" s="701"/>
      <c r="N129" s="702"/>
      <c r="O129" s="512"/>
      <c r="P129" s="727" t="s">
        <v>618</v>
      </c>
      <c r="Q129" s="728"/>
      <c r="R129" s="728"/>
      <c r="S129" s="728"/>
      <c r="T129" s="728"/>
      <c r="U129" s="729"/>
    </row>
    <row r="130" spans="1:21" ht="45" x14ac:dyDescent="0.25">
      <c r="A130" s="657"/>
      <c r="B130" s="706"/>
      <c r="C130" s="90" t="s">
        <v>352</v>
      </c>
      <c r="D130" s="91" t="s">
        <v>550</v>
      </c>
      <c r="E130" s="91" t="s">
        <v>551</v>
      </c>
      <c r="F130" s="91" t="s">
        <v>552</v>
      </c>
      <c r="G130" s="91" t="s">
        <v>553</v>
      </c>
      <c r="H130" s="92" t="s">
        <v>554</v>
      </c>
      <c r="I130" s="211" t="s">
        <v>352</v>
      </c>
      <c r="J130" s="125" t="s">
        <v>550</v>
      </c>
      <c r="K130" s="125" t="s">
        <v>551</v>
      </c>
      <c r="L130" s="125" t="s">
        <v>552</v>
      </c>
      <c r="M130" s="125" t="s">
        <v>553</v>
      </c>
      <c r="N130" s="212" t="s">
        <v>554</v>
      </c>
      <c r="O130" s="513" t="s">
        <v>555</v>
      </c>
      <c r="P130" s="246" t="s">
        <v>556</v>
      </c>
      <c r="Q130" s="210" t="s">
        <v>557</v>
      </c>
      <c r="R130" s="210" t="s">
        <v>558</v>
      </c>
      <c r="S130" s="210" t="s">
        <v>559</v>
      </c>
      <c r="T130" s="210" t="s">
        <v>560</v>
      </c>
      <c r="U130" s="220" t="s">
        <v>561</v>
      </c>
    </row>
    <row r="131" spans="1:21" x14ac:dyDescent="0.25">
      <c r="A131" s="219">
        <v>100</v>
      </c>
      <c r="B131" s="495" t="s">
        <v>72</v>
      </c>
      <c r="C131" s="95">
        <f t="shared" ref="C131:C151" si="20">C161+C191+C221</f>
        <v>0</v>
      </c>
      <c r="D131" s="7" t="str">
        <f t="shared" ref="D131:H146" si="21">IF($C131=0,"NA",(SUMPRODUCT(D161,$C161)+SUMPRODUCT(D191,$C191)+SUMPRODUCT(D221,$C221))/$C131)</f>
        <v>NA</v>
      </c>
      <c r="E131" s="7" t="str">
        <f t="shared" si="21"/>
        <v>NA</v>
      </c>
      <c r="F131" s="7" t="str">
        <f t="shared" si="21"/>
        <v>NA</v>
      </c>
      <c r="G131" s="7" t="str">
        <f t="shared" si="21"/>
        <v>NA</v>
      </c>
      <c r="H131" s="96" t="str">
        <f t="shared" si="21"/>
        <v>NA</v>
      </c>
      <c r="I131" s="95">
        <f t="shared" ref="I131:I151" si="22">I161+I191+I221</f>
        <v>0</v>
      </c>
      <c r="J131" s="7" t="str">
        <f t="shared" ref="J131:N146" si="23">IF($I131=0,"NA",(SUMPRODUCT(J161,$I161)+SUMPRODUCT(J191,$I191)+SUMPRODUCT(J221,$I221))/$I131)</f>
        <v>NA</v>
      </c>
      <c r="K131" s="7" t="str">
        <f t="shared" si="23"/>
        <v>NA</v>
      </c>
      <c r="L131" s="7" t="str">
        <f t="shared" si="23"/>
        <v>NA</v>
      </c>
      <c r="M131" s="7" t="str">
        <f t="shared" si="23"/>
        <v>NA</v>
      </c>
      <c r="N131" s="96" t="str">
        <f t="shared" si="23"/>
        <v>NA</v>
      </c>
      <c r="O131" s="518">
        <f>ABS(C131-I131)</f>
        <v>0</v>
      </c>
      <c r="P131" s="245" t="str">
        <f t="shared" ref="P131:U151" si="24">IFERROR((I131/C131-1),"NA")</f>
        <v>NA</v>
      </c>
      <c r="Q131" s="127" t="str">
        <f t="shared" si="24"/>
        <v>NA</v>
      </c>
      <c r="R131" s="127" t="str">
        <f t="shared" si="24"/>
        <v>NA</v>
      </c>
      <c r="S131" s="127" t="str">
        <f t="shared" si="24"/>
        <v>NA</v>
      </c>
      <c r="T131" s="127" t="str">
        <f t="shared" si="24"/>
        <v>NA</v>
      </c>
      <c r="U131" s="127" t="str">
        <f t="shared" si="24"/>
        <v>NA</v>
      </c>
    </row>
    <row r="132" spans="1:21" x14ac:dyDescent="0.25">
      <c r="A132" s="218">
        <v>101</v>
      </c>
      <c r="B132" s="495" t="s">
        <v>609</v>
      </c>
      <c r="C132" s="95">
        <f t="shared" si="20"/>
        <v>0</v>
      </c>
      <c r="D132" s="7" t="str">
        <f t="shared" si="21"/>
        <v>NA</v>
      </c>
      <c r="E132" s="7" t="str">
        <f t="shared" si="21"/>
        <v>NA</v>
      </c>
      <c r="F132" s="7" t="str">
        <f t="shared" si="21"/>
        <v>NA</v>
      </c>
      <c r="G132" s="7" t="str">
        <f t="shared" si="21"/>
        <v>NA</v>
      </c>
      <c r="H132" s="96" t="str">
        <f t="shared" si="21"/>
        <v>NA</v>
      </c>
      <c r="I132" s="95">
        <f t="shared" si="22"/>
        <v>0</v>
      </c>
      <c r="J132" s="7" t="str">
        <f t="shared" si="23"/>
        <v>NA</v>
      </c>
      <c r="K132" s="7" t="str">
        <f t="shared" si="23"/>
        <v>NA</v>
      </c>
      <c r="L132" s="7" t="str">
        <f t="shared" si="23"/>
        <v>NA</v>
      </c>
      <c r="M132" s="7" t="str">
        <f t="shared" si="23"/>
        <v>NA</v>
      </c>
      <c r="N132" s="96" t="str">
        <f t="shared" si="23"/>
        <v>NA</v>
      </c>
      <c r="O132" s="518">
        <f t="shared" ref="O132:O151" si="25">ABS(C132-I132)</f>
        <v>0</v>
      </c>
      <c r="P132" s="245" t="str">
        <f t="shared" si="24"/>
        <v>NA</v>
      </c>
      <c r="Q132" s="127" t="str">
        <f t="shared" si="24"/>
        <v>NA</v>
      </c>
      <c r="R132" s="127" t="str">
        <f t="shared" si="24"/>
        <v>NA</v>
      </c>
      <c r="S132" s="127" t="str">
        <f t="shared" si="24"/>
        <v>NA</v>
      </c>
      <c r="T132" s="127" t="str">
        <f t="shared" si="24"/>
        <v>NA</v>
      </c>
      <c r="U132" s="127" t="str">
        <f t="shared" si="24"/>
        <v>NA</v>
      </c>
    </row>
    <row r="133" spans="1:21" x14ac:dyDescent="0.25">
      <c r="A133" s="218">
        <v>102</v>
      </c>
      <c r="B133" s="566" t="s">
        <v>610</v>
      </c>
      <c r="C133" s="95">
        <f t="shared" si="20"/>
        <v>0</v>
      </c>
      <c r="D133" s="7" t="str">
        <f t="shared" si="21"/>
        <v>NA</v>
      </c>
      <c r="E133" s="7" t="str">
        <f t="shared" si="21"/>
        <v>NA</v>
      </c>
      <c r="F133" s="7" t="str">
        <f t="shared" si="21"/>
        <v>NA</v>
      </c>
      <c r="G133" s="7" t="str">
        <f t="shared" si="21"/>
        <v>NA</v>
      </c>
      <c r="H133" s="96" t="str">
        <f t="shared" si="21"/>
        <v>NA</v>
      </c>
      <c r="I133" s="95">
        <f t="shared" si="22"/>
        <v>0</v>
      </c>
      <c r="J133" s="7" t="str">
        <f t="shared" si="23"/>
        <v>NA</v>
      </c>
      <c r="K133" s="7" t="str">
        <f t="shared" si="23"/>
        <v>NA</v>
      </c>
      <c r="L133" s="7" t="str">
        <f t="shared" si="23"/>
        <v>NA</v>
      </c>
      <c r="M133" s="7" t="str">
        <f t="shared" si="23"/>
        <v>NA</v>
      </c>
      <c r="N133" s="96" t="str">
        <f t="shared" si="23"/>
        <v>NA</v>
      </c>
      <c r="O133" s="518">
        <f t="shared" si="25"/>
        <v>0</v>
      </c>
      <c r="P133" s="245" t="str">
        <f t="shared" si="24"/>
        <v>NA</v>
      </c>
      <c r="Q133" s="127" t="str">
        <f t="shared" si="24"/>
        <v>NA</v>
      </c>
      <c r="R133" s="127" t="str">
        <f t="shared" si="24"/>
        <v>NA</v>
      </c>
      <c r="S133" s="127" t="str">
        <f t="shared" si="24"/>
        <v>NA</v>
      </c>
      <c r="T133" s="127" t="str">
        <f t="shared" si="24"/>
        <v>NA</v>
      </c>
      <c r="U133" s="127" t="str">
        <f t="shared" si="24"/>
        <v>NA</v>
      </c>
    </row>
    <row r="134" spans="1:21" ht="30" x14ac:dyDescent="0.25">
      <c r="A134" s="218">
        <v>103</v>
      </c>
      <c r="B134" s="495" t="s">
        <v>73</v>
      </c>
      <c r="C134" s="95">
        <f t="shared" si="20"/>
        <v>0</v>
      </c>
      <c r="D134" s="7" t="str">
        <f t="shared" si="21"/>
        <v>NA</v>
      </c>
      <c r="E134" s="7" t="str">
        <f t="shared" si="21"/>
        <v>NA</v>
      </c>
      <c r="F134" s="7" t="str">
        <f t="shared" si="21"/>
        <v>NA</v>
      </c>
      <c r="G134" s="7" t="str">
        <f t="shared" si="21"/>
        <v>NA</v>
      </c>
      <c r="H134" s="96" t="str">
        <f t="shared" si="21"/>
        <v>NA</v>
      </c>
      <c r="I134" s="95">
        <f t="shared" si="22"/>
        <v>0</v>
      </c>
      <c r="J134" s="7" t="str">
        <f t="shared" si="23"/>
        <v>NA</v>
      </c>
      <c r="K134" s="7" t="str">
        <f t="shared" si="23"/>
        <v>NA</v>
      </c>
      <c r="L134" s="7" t="str">
        <f t="shared" si="23"/>
        <v>NA</v>
      </c>
      <c r="M134" s="7" t="str">
        <f t="shared" si="23"/>
        <v>NA</v>
      </c>
      <c r="N134" s="96" t="str">
        <f t="shared" si="23"/>
        <v>NA</v>
      </c>
      <c r="O134" s="518">
        <f t="shared" si="25"/>
        <v>0</v>
      </c>
      <c r="P134" s="245" t="str">
        <f t="shared" si="24"/>
        <v>NA</v>
      </c>
      <c r="Q134" s="127" t="str">
        <f t="shared" si="24"/>
        <v>NA</v>
      </c>
      <c r="R134" s="127" t="str">
        <f t="shared" si="24"/>
        <v>NA</v>
      </c>
      <c r="S134" s="127" t="str">
        <f t="shared" si="24"/>
        <v>NA</v>
      </c>
      <c r="T134" s="127" t="str">
        <f t="shared" si="24"/>
        <v>NA</v>
      </c>
      <c r="U134" s="127" t="str">
        <f t="shared" si="24"/>
        <v>NA</v>
      </c>
    </row>
    <row r="135" spans="1:21" x14ac:dyDescent="0.25">
      <c r="A135" s="218">
        <v>104</v>
      </c>
      <c r="B135" s="495" t="s">
        <v>611</v>
      </c>
      <c r="C135" s="95">
        <f t="shared" si="20"/>
        <v>0</v>
      </c>
      <c r="D135" s="7" t="str">
        <f t="shared" si="21"/>
        <v>NA</v>
      </c>
      <c r="E135" s="7" t="str">
        <f t="shared" si="21"/>
        <v>NA</v>
      </c>
      <c r="F135" s="7" t="str">
        <f t="shared" si="21"/>
        <v>NA</v>
      </c>
      <c r="G135" s="7" t="str">
        <f t="shared" si="21"/>
        <v>NA</v>
      </c>
      <c r="H135" s="96" t="str">
        <f t="shared" si="21"/>
        <v>NA</v>
      </c>
      <c r="I135" s="95">
        <f t="shared" si="22"/>
        <v>0</v>
      </c>
      <c r="J135" s="7" t="str">
        <f t="shared" si="23"/>
        <v>NA</v>
      </c>
      <c r="K135" s="7" t="str">
        <f t="shared" si="23"/>
        <v>NA</v>
      </c>
      <c r="L135" s="7" t="str">
        <f t="shared" si="23"/>
        <v>NA</v>
      </c>
      <c r="M135" s="7" t="str">
        <f t="shared" si="23"/>
        <v>NA</v>
      </c>
      <c r="N135" s="96" t="str">
        <f t="shared" si="23"/>
        <v>NA</v>
      </c>
      <c r="O135" s="518">
        <f t="shared" si="25"/>
        <v>0</v>
      </c>
      <c r="P135" s="245" t="str">
        <f t="shared" si="24"/>
        <v>NA</v>
      </c>
      <c r="Q135" s="127" t="str">
        <f t="shared" si="24"/>
        <v>NA</v>
      </c>
      <c r="R135" s="127" t="str">
        <f t="shared" si="24"/>
        <v>NA</v>
      </c>
      <c r="S135" s="127" t="str">
        <f t="shared" si="24"/>
        <v>NA</v>
      </c>
      <c r="T135" s="127" t="str">
        <f t="shared" si="24"/>
        <v>NA</v>
      </c>
      <c r="U135" s="127" t="str">
        <f t="shared" si="24"/>
        <v>NA</v>
      </c>
    </row>
    <row r="136" spans="1:21" x14ac:dyDescent="0.25">
      <c r="A136" s="218">
        <v>105</v>
      </c>
      <c r="B136" s="566" t="s">
        <v>607</v>
      </c>
      <c r="C136" s="95">
        <f t="shared" si="20"/>
        <v>0</v>
      </c>
      <c r="D136" s="7" t="str">
        <f t="shared" si="21"/>
        <v>NA</v>
      </c>
      <c r="E136" s="7" t="str">
        <f t="shared" si="21"/>
        <v>NA</v>
      </c>
      <c r="F136" s="7" t="str">
        <f t="shared" si="21"/>
        <v>NA</v>
      </c>
      <c r="G136" s="7" t="str">
        <f t="shared" si="21"/>
        <v>NA</v>
      </c>
      <c r="H136" s="96" t="str">
        <f t="shared" si="21"/>
        <v>NA</v>
      </c>
      <c r="I136" s="95">
        <f t="shared" si="22"/>
        <v>0</v>
      </c>
      <c r="J136" s="7" t="str">
        <f t="shared" si="23"/>
        <v>NA</v>
      </c>
      <c r="K136" s="7" t="str">
        <f t="shared" si="23"/>
        <v>NA</v>
      </c>
      <c r="L136" s="7" t="str">
        <f t="shared" si="23"/>
        <v>NA</v>
      </c>
      <c r="M136" s="7" t="str">
        <f t="shared" si="23"/>
        <v>NA</v>
      </c>
      <c r="N136" s="96" t="str">
        <f t="shared" si="23"/>
        <v>NA</v>
      </c>
      <c r="O136" s="518">
        <f t="shared" si="25"/>
        <v>0</v>
      </c>
      <c r="P136" s="245" t="str">
        <f t="shared" si="24"/>
        <v>NA</v>
      </c>
      <c r="Q136" s="127" t="str">
        <f t="shared" si="24"/>
        <v>NA</v>
      </c>
      <c r="R136" s="127" t="str">
        <f t="shared" si="24"/>
        <v>NA</v>
      </c>
      <c r="S136" s="127" t="str">
        <f t="shared" si="24"/>
        <v>NA</v>
      </c>
      <c r="T136" s="127" t="str">
        <f t="shared" si="24"/>
        <v>NA</v>
      </c>
      <c r="U136" s="127" t="str">
        <f t="shared" si="24"/>
        <v>NA</v>
      </c>
    </row>
    <row r="137" spans="1:21" x14ac:dyDescent="0.25">
      <c r="A137" s="218">
        <v>106</v>
      </c>
      <c r="B137" s="495" t="s">
        <v>74</v>
      </c>
      <c r="C137" s="95">
        <f t="shared" si="20"/>
        <v>0</v>
      </c>
      <c r="D137" s="7" t="str">
        <f t="shared" si="21"/>
        <v>NA</v>
      </c>
      <c r="E137" s="7" t="str">
        <f t="shared" si="21"/>
        <v>NA</v>
      </c>
      <c r="F137" s="7" t="str">
        <f t="shared" si="21"/>
        <v>NA</v>
      </c>
      <c r="G137" s="7" t="str">
        <f t="shared" si="21"/>
        <v>NA</v>
      </c>
      <c r="H137" s="96" t="str">
        <f t="shared" si="21"/>
        <v>NA</v>
      </c>
      <c r="I137" s="95">
        <f t="shared" si="22"/>
        <v>0</v>
      </c>
      <c r="J137" s="7" t="str">
        <f t="shared" si="23"/>
        <v>NA</v>
      </c>
      <c r="K137" s="7" t="str">
        <f t="shared" si="23"/>
        <v>NA</v>
      </c>
      <c r="L137" s="7" t="str">
        <f t="shared" si="23"/>
        <v>NA</v>
      </c>
      <c r="M137" s="7" t="str">
        <f t="shared" si="23"/>
        <v>NA</v>
      </c>
      <c r="N137" s="96" t="str">
        <f t="shared" si="23"/>
        <v>NA</v>
      </c>
      <c r="O137" s="518">
        <f t="shared" si="25"/>
        <v>0</v>
      </c>
      <c r="P137" s="245" t="str">
        <f t="shared" si="24"/>
        <v>NA</v>
      </c>
      <c r="Q137" s="127" t="str">
        <f t="shared" si="24"/>
        <v>NA</v>
      </c>
      <c r="R137" s="127" t="str">
        <f t="shared" si="24"/>
        <v>NA</v>
      </c>
      <c r="S137" s="127" t="str">
        <f t="shared" si="24"/>
        <v>NA</v>
      </c>
      <c r="T137" s="127" t="str">
        <f t="shared" si="24"/>
        <v>NA</v>
      </c>
      <c r="U137" s="127" t="str">
        <f t="shared" si="24"/>
        <v>NA</v>
      </c>
    </row>
    <row r="138" spans="1:21" ht="30" x14ac:dyDescent="0.25">
      <c r="A138" s="218">
        <v>107</v>
      </c>
      <c r="B138" s="495" t="s">
        <v>75</v>
      </c>
      <c r="C138" s="95">
        <f t="shared" si="20"/>
        <v>0</v>
      </c>
      <c r="D138" s="7" t="str">
        <f t="shared" si="21"/>
        <v>NA</v>
      </c>
      <c r="E138" s="7" t="str">
        <f t="shared" si="21"/>
        <v>NA</v>
      </c>
      <c r="F138" s="7" t="str">
        <f t="shared" si="21"/>
        <v>NA</v>
      </c>
      <c r="G138" s="7" t="str">
        <f t="shared" si="21"/>
        <v>NA</v>
      </c>
      <c r="H138" s="96" t="str">
        <f t="shared" si="21"/>
        <v>NA</v>
      </c>
      <c r="I138" s="95">
        <f t="shared" si="22"/>
        <v>0</v>
      </c>
      <c r="J138" s="7" t="str">
        <f t="shared" si="23"/>
        <v>NA</v>
      </c>
      <c r="K138" s="7" t="str">
        <f t="shared" si="23"/>
        <v>NA</v>
      </c>
      <c r="L138" s="7" t="str">
        <f t="shared" si="23"/>
        <v>NA</v>
      </c>
      <c r="M138" s="7" t="str">
        <f t="shared" si="23"/>
        <v>NA</v>
      </c>
      <c r="N138" s="96" t="str">
        <f t="shared" si="23"/>
        <v>NA</v>
      </c>
      <c r="O138" s="518">
        <f t="shared" si="25"/>
        <v>0</v>
      </c>
      <c r="P138" s="245" t="str">
        <f t="shared" si="24"/>
        <v>NA</v>
      </c>
      <c r="Q138" s="127" t="str">
        <f t="shared" si="24"/>
        <v>NA</v>
      </c>
      <c r="R138" s="127" t="str">
        <f t="shared" si="24"/>
        <v>NA</v>
      </c>
      <c r="S138" s="127" t="str">
        <f t="shared" si="24"/>
        <v>NA</v>
      </c>
      <c r="T138" s="127" t="str">
        <f t="shared" si="24"/>
        <v>NA</v>
      </c>
      <c r="U138" s="127" t="str">
        <f t="shared" si="24"/>
        <v>NA</v>
      </c>
    </row>
    <row r="139" spans="1:21" x14ac:dyDescent="0.25">
      <c r="A139" s="218">
        <v>108</v>
      </c>
      <c r="B139" s="495" t="s">
        <v>612</v>
      </c>
      <c r="C139" s="95">
        <f t="shared" si="20"/>
        <v>0</v>
      </c>
      <c r="D139" s="7" t="str">
        <f t="shared" si="21"/>
        <v>NA</v>
      </c>
      <c r="E139" s="7" t="str">
        <f t="shared" si="21"/>
        <v>NA</v>
      </c>
      <c r="F139" s="7" t="str">
        <f t="shared" si="21"/>
        <v>NA</v>
      </c>
      <c r="G139" s="7" t="str">
        <f t="shared" si="21"/>
        <v>NA</v>
      </c>
      <c r="H139" s="96" t="str">
        <f t="shared" si="21"/>
        <v>NA</v>
      </c>
      <c r="I139" s="95">
        <f t="shared" si="22"/>
        <v>0</v>
      </c>
      <c r="J139" s="7" t="str">
        <f t="shared" si="23"/>
        <v>NA</v>
      </c>
      <c r="K139" s="7" t="str">
        <f t="shared" si="23"/>
        <v>NA</v>
      </c>
      <c r="L139" s="7" t="str">
        <f t="shared" si="23"/>
        <v>NA</v>
      </c>
      <c r="M139" s="7" t="str">
        <f t="shared" si="23"/>
        <v>NA</v>
      </c>
      <c r="N139" s="96" t="str">
        <f t="shared" si="23"/>
        <v>NA</v>
      </c>
      <c r="O139" s="518">
        <f t="shared" si="25"/>
        <v>0</v>
      </c>
      <c r="P139" s="245" t="str">
        <f t="shared" si="24"/>
        <v>NA</v>
      </c>
      <c r="Q139" s="127" t="str">
        <f t="shared" si="24"/>
        <v>NA</v>
      </c>
      <c r="R139" s="127" t="str">
        <f t="shared" si="24"/>
        <v>NA</v>
      </c>
      <c r="S139" s="127" t="str">
        <f t="shared" si="24"/>
        <v>NA</v>
      </c>
      <c r="T139" s="127" t="str">
        <f t="shared" si="24"/>
        <v>NA</v>
      </c>
      <c r="U139" s="127" t="str">
        <f t="shared" si="24"/>
        <v>NA</v>
      </c>
    </row>
    <row r="140" spans="1:21" x14ac:dyDescent="0.25">
      <c r="A140" s="218">
        <v>109</v>
      </c>
      <c r="B140" s="571" t="s">
        <v>76</v>
      </c>
      <c r="C140" s="95">
        <f t="shared" si="20"/>
        <v>0</v>
      </c>
      <c r="D140" s="7" t="str">
        <f t="shared" si="21"/>
        <v>NA</v>
      </c>
      <c r="E140" s="7" t="str">
        <f t="shared" si="21"/>
        <v>NA</v>
      </c>
      <c r="F140" s="7" t="str">
        <f t="shared" si="21"/>
        <v>NA</v>
      </c>
      <c r="G140" s="7" t="str">
        <f t="shared" si="21"/>
        <v>NA</v>
      </c>
      <c r="H140" s="96" t="str">
        <f t="shared" si="21"/>
        <v>NA</v>
      </c>
      <c r="I140" s="95">
        <f t="shared" si="22"/>
        <v>0</v>
      </c>
      <c r="J140" s="7" t="str">
        <f t="shared" si="23"/>
        <v>NA</v>
      </c>
      <c r="K140" s="7" t="str">
        <f t="shared" si="23"/>
        <v>NA</v>
      </c>
      <c r="L140" s="7" t="str">
        <f t="shared" si="23"/>
        <v>NA</v>
      </c>
      <c r="M140" s="7" t="str">
        <f t="shared" si="23"/>
        <v>NA</v>
      </c>
      <c r="N140" s="96" t="str">
        <f t="shared" si="23"/>
        <v>NA</v>
      </c>
      <c r="O140" s="518">
        <f t="shared" si="25"/>
        <v>0</v>
      </c>
      <c r="P140" s="245" t="str">
        <f t="shared" si="24"/>
        <v>NA</v>
      </c>
      <c r="Q140" s="127" t="str">
        <f t="shared" si="24"/>
        <v>NA</v>
      </c>
      <c r="R140" s="127" t="str">
        <f t="shared" si="24"/>
        <v>NA</v>
      </c>
      <c r="S140" s="127" t="str">
        <f t="shared" si="24"/>
        <v>NA</v>
      </c>
      <c r="T140" s="127" t="str">
        <f t="shared" si="24"/>
        <v>NA</v>
      </c>
      <c r="U140" s="127" t="str">
        <f t="shared" si="24"/>
        <v>NA</v>
      </c>
    </row>
    <row r="141" spans="1:21" x14ac:dyDescent="0.25">
      <c r="A141" s="218">
        <v>110</v>
      </c>
      <c r="B141" s="495" t="s">
        <v>77</v>
      </c>
      <c r="C141" s="95">
        <f t="shared" si="20"/>
        <v>0</v>
      </c>
      <c r="D141" s="7" t="str">
        <f t="shared" si="21"/>
        <v>NA</v>
      </c>
      <c r="E141" s="7" t="str">
        <f t="shared" si="21"/>
        <v>NA</v>
      </c>
      <c r="F141" s="7" t="str">
        <f t="shared" si="21"/>
        <v>NA</v>
      </c>
      <c r="G141" s="7" t="str">
        <f t="shared" si="21"/>
        <v>NA</v>
      </c>
      <c r="H141" s="96" t="str">
        <f t="shared" si="21"/>
        <v>NA</v>
      </c>
      <c r="I141" s="95">
        <f t="shared" si="22"/>
        <v>0</v>
      </c>
      <c r="J141" s="7" t="str">
        <f t="shared" si="23"/>
        <v>NA</v>
      </c>
      <c r="K141" s="7" t="str">
        <f t="shared" si="23"/>
        <v>NA</v>
      </c>
      <c r="L141" s="7" t="str">
        <f t="shared" si="23"/>
        <v>NA</v>
      </c>
      <c r="M141" s="7" t="str">
        <f t="shared" si="23"/>
        <v>NA</v>
      </c>
      <c r="N141" s="96" t="str">
        <f t="shared" si="23"/>
        <v>NA</v>
      </c>
      <c r="O141" s="518">
        <f t="shared" si="25"/>
        <v>0</v>
      </c>
      <c r="P141" s="245" t="str">
        <f t="shared" si="24"/>
        <v>NA</v>
      </c>
      <c r="Q141" s="127" t="str">
        <f t="shared" si="24"/>
        <v>NA</v>
      </c>
      <c r="R141" s="127" t="str">
        <f t="shared" si="24"/>
        <v>NA</v>
      </c>
      <c r="S141" s="127" t="str">
        <f t="shared" si="24"/>
        <v>NA</v>
      </c>
      <c r="T141" s="127" t="str">
        <f t="shared" si="24"/>
        <v>NA</v>
      </c>
      <c r="U141" s="127" t="str">
        <f t="shared" si="24"/>
        <v>NA</v>
      </c>
    </row>
    <row r="142" spans="1:21" x14ac:dyDescent="0.25">
      <c r="A142" s="218">
        <v>111</v>
      </c>
      <c r="B142" s="566" t="s">
        <v>78</v>
      </c>
      <c r="C142" s="95">
        <f t="shared" si="20"/>
        <v>0</v>
      </c>
      <c r="D142" s="7" t="str">
        <f t="shared" si="21"/>
        <v>NA</v>
      </c>
      <c r="E142" s="7" t="str">
        <f t="shared" si="21"/>
        <v>NA</v>
      </c>
      <c r="F142" s="7" t="str">
        <f t="shared" si="21"/>
        <v>NA</v>
      </c>
      <c r="G142" s="7" t="str">
        <f t="shared" si="21"/>
        <v>NA</v>
      </c>
      <c r="H142" s="96" t="str">
        <f t="shared" si="21"/>
        <v>NA</v>
      </c>
      <c r="I142" s="95">
        <f t="shared" si="22"/>
        <v>0</v>
      </c>
      <c r="J142" s="7" t="str">
        <f t="shared" si="23"/>
        <v>NA</v>
      </c>
      <c r="K142" s="7" t="str">
        <f t="shared" si="23"/>
        <v>NA</v>
      </c>
      <c r="L142" s="7" t="str">
        <f t="shared" si="23"/>
        <v>NA</v>
      </c>
      <c r="M142" s="7" t="str">
        <f t="shared" si="23"/>
        <v>NA</v>
      </c>
      <c r="N142" s="96" t="str">
        <f t="shared" si="23"/>
        <v>NA</v>
      </c>
      <c r="O142" s="518">
        <f t="shared" si="25"/>
        <v>0</v>
      </c>
      <c r="P142" s="245" t="str">
        <f t="shared" si="24"/>
        <v>NA</v>
      </c>
      <c r="Q142" s="127" t="str">
        <f t="shared" si="24"/>
        <v>NA</v>
      </c>
      <c r="R142" s="127" t="str">
        <f t="shared" si="24"/>
        <v>NA</v>
      </c>
      <c r="S142" s="127" t="str">
        <f t="shared" si="24"/>
        <v>NA</v>
      </c>
      <c r="T142" s="127" t="str">
        <f t="shared" si="24"/>
        <v>NA</v>
      </c>
      <c r="U142" s="127" t="str">
        <f t="shared" si="24"/>
        <v>NA</v>
      </c>
    </row>
    <row r="143" spans="1:21" x14ac:dyDescent="0.25">
      <c r="A143" s="218">
        <v>112</v>
      </c>
      <c r="B143" s="566" t="s">
        <v>613</v>
      </c>
      <c r="C143" s="95">
        <f t="shared" si="20"/>
        <v>0</v>
      </c>
      <c r="D143" s="7" t="str">
        <f t="shared" si="21"/>
        <v>NA</v>
      </c>
      <c r="E143" s="7" t="str">
        <f t="shared" si="21"/>
        <v>NA</v>
      </c>
      <c r="F143" s="7" t="str">
        <f t="shared" si="21"/>
        <v>NA</v>
      </c>
      <c r="G143" s="7" t="str">
        <f t="shared" si="21"/>
        <v>NA</v>
      </c>
      <c r="H143" s="96" t="str">
        <f t="shared" si="21"/>
        <v>NA</v>
      </c>
      <c r="I143" s="95">
        <f t="shared" si="22"/>
        <v>0</v>
      </c>
      <c r="J143" s="7" t="str">
        <f t="shared" si="23"/>
        <v>NA</v>
      </c>
      <c r="K143" s="7" t="str">
        <f t="shared" si="23"/>
        <v>NA</v>
      </c>
      <c r="L143" s="7" t="str">
        <f t="shared" si="23"/>
        <v>NA</v>
      </c>
      <c r="M143" s="7" t="str">
        <f t="shared" si="23"/>
        <v>NA</v>
      </c>
      <c r="N143" s="96" t="str">
        <f t="shared" si="23"/>
        <v>NA</v>
      </c>
      <c r="O143" s="518">
        <f t="shared" si="25"/>
        <v>0</v>
      </c>
      <c r="P143" s="245" t="str">
        <f t="shared" si="24"/>
        <v>NA</v>
      </c>
      <c r="Q143" s="127" t="str">
        <f t="shared" si="24"/>
        <v>NA</v>
      </c>
      <c r="R143" s="127" t="str">
        <f t="shared" si="24"/>
        <v>NA</v>
      </c>
      <c r="S143" s="127" t="str">
        <f t="shared" si="24"/>
        <v>NA</v>
      </c>
      <c r="T143" s="127" t="str">
        <f t="shared" si="24"/>
        <v>NA</v>
      </c>
      <c r="U143" s="127" t="str">
        <f t="shared" si="24"/>
        <v>NA</v>
      </c>
    </row>
    <row r="144" spans="1:21" x14ac:dyDescent="0.25">
      <c r="A144" s="218">
        <v>115</v>
      </c>
      <c r="B144" s="566" t="s">
        <v>79</v>
      </c>
      <c r="C144" s="95">
        <f t="shared" si="20"/>
        <v>0</v>
      </c>
      <c r="D144" s="7" t="str">
        <f t="shared" si="21"/>
        <v>NA</v>
      </c>
      <c r="E144" s="7" t="str">
        <f t="shared" si="21"/>
        <v>NA</v>
      </c>
      <c r="F144" s="7" t="str">
        <f t="shared" si="21"/>
        <v>NA</v>
      </c>
      <c r="G144" s="7" t="str">
        <f t="shared" si="21"/>
        <v>NA</v>
      </c>
      <c r="H144" s="96" t="str">
        <f t="shared" si="21"/>
        <v>NA</v>
      </c>
      <c r="I144" s="95">
        <f t="shared" si="22"/>
        <v>0</v>
      </c>
      <c r="J144" s="7" t="str">
        <f t="shared" si="23"/>
        <v>NA</v>
      </c>
      <c r="K144" s="7" t="str">
        <f t="shared" si="23"/>
        <v>NA</v>
      </c>
      <c r="L144" s="7" t="str">
        <f t="shared" si="23"/>
        <v>NA</v>
      </c>
      <c r="M144" s="7" t="str">
        <f t="shared" si="23"/>
        <v>NA</v>
      </c>
      <c r="N144" s="96" t="str">
        <f t="shared" si="23"/>
        <v>NA</v>
      </c>
      <c r="O144" s="518">
        <f t="shared" si="25"/>
        <v>0</v>
      </c>
      <c r="P144" s="245" t="str">
        <f t="shared" si="24"/>
        <v>NA</v>
      </c>
      <c r="Q144" s="127" t="str">
        <f t="shared" si="24"/>
        <v>NA</v>
      </c>
      <c r="R144" s="127" t="str">
        <f t="shared" si="24"/>
        <v>NA</v>
      </c>
      <c r="S144" s="127" t="str">
        <f t="shared" si="24"/>
        <v>NA</v>
      </c>
      <c r="T144" s="127" t="str">
        <f t="shared" si="24"/>
        <v>NA</v>
      </c>
      <c r="U144" s="127" t="str">
        <f t="shared" si="24"/>
        <v>NA</v>
      </c>
    </row>
    <row r="145" spans="1:21" x14ac:dyDescent="0.25">
      <c r="A145" s="218">
        <v>116</v>
      </c>
      <c r="B145" s="566" t="s">
        <v>614</v>
      </c>
      <c r="C145" s="95">
        <f t="shared" si="20"/>
        <v>0</v>
      </c>
      <c r="D145" s="7" t="str">
        <f t="shared" si="21"/>
        <v>NA</v>
      </c>
      <c r="E145" s="7" t="str">
        <f t="shared" si="21"/>
        <v>NA</v>
      </c>
      <c r="F145" s="7" t="str">
        <f t="shared" si="21"/>
        <v>NA</v>
      </c>
      <c r="G145" s="7" t="str">
        <f t="shared" si="21"/>
        <v>NA</v>
      </c>
      <c r="H145" s="96" t="str">
        <f t="shared" si="21"/>
        <v>NA</v>
      </c>
      <c r="I145" s="95">
        <f t="shared" si="22"/>
        <v>0</v>
      </c>
      <c r="J145" s="7" t="str">
        <f t="shared" si="23"/>
        <v>NA</v>
      </c>
      <c r="K145" s="7" t="str">
        <f t="shared" si="23"/>
        <v>NA</v>
      </c>
      <c r="L145" s="7" t="str">
        <f t="shared" si="23"/>
        <v>NA</v>
      </c>
      <c r="M145" s="7" t="str">
        <f t="shared" si="23"/>
        <v>NA</v>
      </c>
      <c r="N145" s="96" t="str">
        <f t="shared" si="23"/>
        <v>NA</v>
      </c>
      <c r="O145" s="518">
        <f t="shared" si="25"/>
        <v>0</v>
      </c>
      <c r="P145" s="245" t="str">
        <f t="shared" si="24"/>
        <v>NA</v>
      </c>
      <c r="Q145" s="127" t="str">
        <f t="shared" si="24"/>
        <v>NA</v>
      </c>
      <c r="R145" s="127" t="str">
        <f t="shared" si="24"/>
        <v>NA</v>
      </c>
      <c r="S145" s="127" t="str">
        <f t="shared" si="24"/>
        <v>NA</v>
      </c>
      <c r="T145" s="127" t="str">
        <f t="shared" si="24"/>
        <v>NA</v>
      </c>
      <c r="U145" s="127" t="str">
        <f t="shared" si="24"/>
        <v>NA</v>
      </c>
    </row>
    <row r="146" spans="1:21" x14ac:dyDescent="0.25">
      <c r="A146" s="218">
        <v>118</v>
      </c>
      <c r="B146" s="566" t="s">
        <v>80</v>
      </c>
      <c r="C146" s="95">
        <f t="shared" si="20"/>
        <v>0</v>
      </c>
      <c r="D146" s="7" t="str">
        <f t="shared" si="21"/>
        <v>NA</v>
      </c>
      <c r="E146" s="7" t="str">
        <f t="shared" si="21"/>
        <v>NA</v>
      </c>
      <c r="F146" s="7" t="str">
        <f t="shared" si="21"/>
        <v>NA</v>
      </c>
      <c r="G146" s="7" t="str">
        <f t="shared" si="21"/>
        <v>NA</v>
      </c>
      <c r="H146" s="96" t="str">
        <f t="shared" si="21"/>
        <v>NA</v>
      </c>
      <c r="I146" s="95">
        <f t="shared" si="22"/>
        <v>0</v>
      </c>
      <c r="J146" s="7" t="str">
        <f t="shared" si="23"/>
        <v>NA</v>
      </c>
      <c r="K146" s="7" t="str">
        <f t="shared" si="23"/>
        <v>NA</v>
      </c>
      <c r="L146" s="7" t="str">
        <f t="shared" si="23"/>
        <v>NA</v>
      </c>
      <c r="M146" s="7" t="str">
        <f t="shared" si="23"/>
        <v>NA</v>
      </c>
      <c r="N146" s="96" t="str">
        <f t="shared" si="23"/>
        <v>NA</v>
      </c>
      <c r="O146" s="518">
        <f t="shared" si="25"/>
        <v>0</v>
      </c>
      <c r="P146" s="245" t="str">
        <f t="shared" si="24"/>
        <v>NA</v>
      </c>
      <c r="Q146" s="127" t="str">
        <f t="shared" si="24"/>
        <v>NA</v>
      </c>
      <c r="R146" s="127" t="str">
        <f t="shared" si="24"/>
        <v>NA</v>
      </c>
      <c r="S146" s="127" t="str">
        <f t="shared" si="24"/>
        <v>NA</v>
      </c>
      <c r="T146" s="127" t="str">
        <f t="shared" si="24"/>
        <v>NA</v>
      </c>
      <c r="U146" s="127" t="str">
        <f t="shared" si="24"/>
        <v>NA</v>
      </c>
    </row>
    <row r="147" spans="1:21" x14ac:dyDescent="0.25">
      <c r="A147" s="218">
        <v>119</v>
      </c>
      <c r="B147" s="566" t="s">
        <v>615</v>
      </c>
      <c r="C147" s="95">
        <f t="shared" si="20"/>
        <v>0</v>
      </c>
      <c r="D147" s="7" t="str">
        <f t="shared" ref="D147:H151" si="26">IF($C147=0,"NA",(SUMPRODUCT(D177,$C177)+SUMPRODUCT(D207,$C207)+SUMPRODUCT(D237,$C237))/$C147)</f>
        <v>NA</v>
      </c>
      <c r="E147" s="7" t="str">
        <f t="shared" si="26"/>
        <v>NA</v>
      </c>
      <c r="F147" s="7" t="str">
        <f t="shared" si="26"/>
        <v>NA</v>
      </c>
      <c r="G147" s="7" t="str">
        <f t="shared" si="26"/>
        <v>NA</v>
      </c>
      <c r="H147" s="96" t="str">
        <f t="shared" si="26"/>
        <v>NA</v>
      </c>
      <c r="I147" s="95">
        <f t="shared" si="22"/>
        <v>0</v>
      </c>
      <c r="J147" s="7" t="str">
        <f t="shared" ref="J147:N151" si="27">IF($I147=0,"NA",(SUMPRODUCT(J177,$I177)+SUMPRODUCT(J207,$I207)+SUMPRODUCT(J237,$I237))/$I147)</f>
        <v>NA</v>
      </c>
      <c r="K147" s="7" t="str">
        <f t="shared" si="27"/>
        <v>NA</v>
      </c>
      <c r="L147" s="7" t="str">
        <f t="shared" si="27"/>
        <v>NA</v>
      </c>
      <c r="M147" s="7" t="str">
        <f t="shared" si="27"/>
        <v>NA</v>
      </c>
      <c r="N147" s="96" t="str">
        <f t="shared" si="27"/>
        <v>NA</v>
      </c>
      <c r="O147" s="518">
        <f t="shared" si="25"/>
        <v>0</v>
      </c>
      <c r="P147" s="245" t="str">
        <f t="shared" si="24"/>
        <v>NA</v>
      </c>
      <c r="Q147" s="127" t="str">
        <f t="shared" si="24"/>
        <v>NA</v>
      </c>
      <c r="R147" s="127" t="str">
        <f t="shared" si="24"/>
        <v>NA</v>
      </c>
      <c r="S147" s="127" t="str">
        <f t="shared" si="24"/>
        <v>NA</v>
      </c>
      <c r="T147" s="127" t="str">
        <f t="shared" si="24"/>
        <v>NA</v>
      </c>
      <c r="U147" s="127" t="str">
        <f t="shared" si="24"/>
        <v>NA</v>
      </c>
    </row>
    <row r="148" spans="1:21" x14ac:dyDescent="0.25">
      <c r="A148" s="218">
        <v>120</v>
      </c>
      <c r="B148" s="566" t="s">
        <v>608</v>
      </c>
      <c r="C148" s="95">
        <f t="shared" si="20"/>
        <v>0</v>
      </c>
      <c r="D148" s="7" t="str">
        <f t="shared" si="26"/>
        <v>NA</v>
      </c>
      <c r="E148" s="7" t="str">
        <f t="shared" si="26"/>
        <v>NA</v>
      </c>
      <c r="F148" s="7" t="str">
        <f t="shared" si="26"/>
        <v>NA</v>
      </c>
      <c r="G148" s="7" t="str">
        <f t="shared" si="26"/>
        <v>NA</v>
      </c>
      <c r="H148" s="96" t="str">
        <f t="shared" si="26"/>
        <v>NA</v>
      </c>
      <c r="I148" s="95">
        <f t="shared" si="22"/>
        <v>0</v>
      </c>
      <c r="J148" s="7" t="str">
        <f>IF($I148=0,"NA",(SUMPRODUCT(J178,$I178)+SUMPRODUCT(J208,$I208)+SUMPRODUCT(J238,$I238))/$I148)</f>
        <v>NA</v>
      </c>
      <c r="K148" s="7" t="str">
        <f>IF($I148=0,"NA",(SUMPRODUCT(K178,$I178)+SUMPRODUCT(K208,$I208)+SUMPRODUCT(K238,$CI38))/$I148)</f>
        <v>NA</v>
      </c>
      <c r="L148" s="7" t="str">
        <f t="shared" si="27"/>
        <v>NA</v>
      </c>
      <c r="M148" s="7" t="str">
        <f t="shared" si="27"/>
        <v>NA</v>
      </c>
      <c r="N148" s="96" t="str">
        <f t="shared" si="27"/>
        <v>NA</v>
      </c>
      <c r="O148" s="518">
        <f t="shared" si="25"/>
        <v>0</v>
      </c>
      <c r="P148" s="245" t="str">
        <f t="shared" si="24"/>
        <v>NA</v>
      </c>
      <c r="Q148" s="127" t="str">
        <f t="shared" si="24"/>
        <v>NA</v>
      </c>
      <c r="R148" s="127" t="str">
        <f t="shared" si="24"/>
        <v>NA</v>
      </c>
      <c r="S148" s="127" t="str">
        <f t="shared" si="24"/>
        <v>NA</v>
      </c>
      <c r="T148" s="127" t="str">
        <f t="shared" si="24"/>
        <v>NA</v>
      </c>
      <c r="U148" s="127" t="str">
        <f t="shared" si="24"/>
        <v>NA</v>
      </c>
    </row>
    <row r="149" spans="1:21" ht="30" x14ac:dyDescent="0.25">
      <c r="A149" s="218">
        <v>121</v>
      </c>
      <c r="B149" s="495" t="s">
        <v>616</v>
      </c>
      <c r="C149" s="95">
        <f t="shared" si="20"/>
        <v>0</v>
      </c>
      <c r="D149" s="7" t="str">
        <f t="shared" si="26"/>
        <v>NA</v>
      </c>
      <c r="E149" s="7" t="str">
        <f t="shared" si="26"/>
        <v>NA</v>
      </c>
      <c r="F149" s="7" t="str">
        <f t="shared" si="26"/>
        <v>NA</v>
      </c>
      <c r="G149" s="7" t="str">
        <f t="shared" si="26"/>
        <v>NA</v>
      </c>
      <c r="H149" s="96" t="str">
        <f t="shared" si="26"/>
        <v>NA</v>
      </c>
      <c r="I149" s="95">
        <f t="shared" si="22"/>
        <v>0</v>
      </c>
      <c r="J149" s="7" t="str">
        <f>IF($I149=0,"NA",(SUMPRODUCT(J179,$I179)+SUMPRODUCT(J209,$I209)+SUMPRODUCT(J239,$I239))/$I149)</f>
        <v>NA</v>
      </c>
      <c r="K149" s="7" t="str">
        <f>IF($I149=0,"NA",(SUMPRODUCT(K179,$I179)+SUMPRODUCT(K209,$I209)+SUMPRODUCT(K239,$CI39))/$I149)</f>
        <v>NA</v>
      </c>
      <c r="L149" s="7" t="str">
        <f t="shared" si="27"/>
        <v>NA</v>
      </c>
      <c r="M149" s="7" t="str">
        <f t="shared" si="27"/>
        <v>NA</v>
      </c>
      <c r="N149" s="96" t="str">
        <f t="shared" si="27"/>
        <v>NA</v>
      </c>
      <c r="O149" s="518">
        <f t="shared" si="25"/>
        <v>0</v>
      </c>
      <c r="P149" s="245" t="str">
        <f t="shared" si="24"/>
        <v>NA</v>
      </c>
      <c r="Q149" s="127" t="str">
        <f t="shared" si="24"/>
        <v>NA</v>
      </c>
      <c r="R149" s="127" t="str">
        <f t="shared" si="24"/>
        <v>NA</v>
      </c>
      <c r="S149" s="127" t="str">
        <f t="shared" si="24"/>
        <v>NA</v>
      </c>
      <c r="T149" s="127" t="str">
        <f t="shared" si="24"/>
        <v>NA</v>
      </c>
      <c r="U149" s="127" t="str">
        <f t="shared" si="24"/>
        <v>NA</v>
      </c>
    </row>
    <row r="150" spans="1:21" x14ac:dyDescent="0.25">
      <c r="A150" s="218">
        <v>122</v>
      </c>
      <c r="B150" s="566" t="s">
        <v>617</v>
      </c>
      <c r="C150" s="95">
        <f t="shared" si="20"/>
        <v>0</v>
      </c>
      <c r="D150" s="7" t="str">
        <f t="shared" si="26"/>
        <v>NA</v>
      </c>
      <c r="E150" s="7" t="str">
        <f t="shared" si="26"/>
        <v>NA</v>
      </c>
      <c r="F150" s="7" t="str">
        <f t="shared" si="26"/>
        <v>NA</v>
      </c>
      <c r="G150" s="7" t="str">
        <f t="shared" si="26"/>
        <v>NA</v>
      </c>
      <c r="H150" s="96" t="str">
        <f t="shared" si="26"/>
        <v>NA</v>
      </c>
      <c r="I150" s="95">
        <f t="shared" si="22"/>
        <v>0</v>
      </c>
      <c r="J150" s="7" t="str">
        <f>IF($I150=0,"NA",(SUMPRODUCT(J180,$I180)+SUMPRODUCT(J210,$I210)+SUMPRODUCT(J240,$I240))/$I150)</f>
        <v>NA</v>
      </c>
      <c r="K150" s="7" t="str">
        <f>IF($I150=0,"NA",(SUMPRODUCT(K180,$I180)+SUMPRODUCT(K210,$I210)+SUMPRODUCT(K240,$I240))/$I150)</f>
        <v>NA</v>
      </c>
      <c r="L150" s="7" t="str">
        <f t="shared" si="27"/>
        <v>NA</v>
      </c>
      <c r="M150" s="7" t="str">
        <f t="shared" si="27"/>
        <v>NA</v>
      </c>
      <c r="N150" s="96" t="str">
        <f t="shared" si="27"/>
        <v>NA</v>
      </c>
      <c r="O150" s="518">
        <f t="shared" si="25"/>
        <v>0</v>
      </c>
      <c r="P150" s="245" t="str">
        <f t="shared" si="24"/>
        <v>NA</v>
      </c>
      <c r="Q150" s="127" t="str">
        <f t="shared" si="24"/>
        <v>NA</v>
      </c>
      <c r="R150" s="127" t="str">
        <f t="shared" si="24"/>
        <v>NA</v>
      </c>
      <c r="S150" s="127" t="str">
        <f t="shared" si="24"/>
        <v>NA</v>
      </c>
      <c r="T150" s="127" t="str">
        <f t="shared" si="24"/>
        <v>NA</v>
      </c>
      <c r="U150" s="127" t="str">
        <f t="shared" si="24"/>
        <v>NA</v>
      </c>
    </row>
    <row r="151" spans="1:21" x14ac:dyDescent="0.25">
      <c r="A151" s="218">
        <v>999</v>
      </c>
      <c r="B151" s="495" t="s">
        <v>81</v>
      </c>
      <c r="C151" s="95">
        <f t="shared" si="20"/>
        <v>0</v>
      </c>
      <c r="D151" s="7" t="str">
        <f t="shared" si="26"/>
        <v>NA</v>
      </c>
      <c r="E151" s="7" t="str">
        <f t="shared" si="26"/>
        <v>NA</v>
      </c>
      <c r="F151" s="7" t="str">
        <f t="shared" si="26"/>
        <v>NA</v>
      </c>
      <c r="G151" s="7" t="str">
        <f t="shared" si="26"/>
        <v>NA</v>
      </c>
      <c r="H151" s="96" t="str">
        <f t="shared" si="26"/>
        <v>NA</v>
      </c>
      <c r="I151" s="95">
        <f t="shared" si="22"/>
        <v>0</v>
      </c>
      <c r="J151" s="7" t="str">
        <f>IF($I151=0,"NA",(SUMPRODUCT(J181,$I181)+SUMPRODUCT(J211,$I211)+SUMPRODUCT(J241,$I241))/$I151)</f>
        <v>NA</v>
      </c>
      <c r="K151" s="7" t="str">
        <f>IF($I151=0,"NA",(SUMPRODUCT(K181,$I181)+SUMPRODUCT(K211,$I211)+SUMPRODUCT(K241,$I241))/$I151)</f>
        <v>NA</v>
      </c>
      <c r="L151" s="7" t="str">
        <f t="shared" si="27"/>
        <v>NA</v>
      </c>
      <c r="M151" s="7" t="str">
        <f t="shared" si="27"/>
        <v>NA</v>
      </c>
      <c r="N151" s="96" t="str">
        <f t="shared" si="27"/>
        <v>NA</v>
      </c>
      <c r="O151" s="518">
        <f t="shared" si="25"/>
        <v>0</v>
      </c>
      <c r="P151" s="245" t="str">
        <f t="shared" si="24"/>
        <v>NA</v>
      </c>
      <c r="Q151" s="127" t="str">
        <f t="shared" si="24"/>
        <v>NA</v>
      </c>
      <c r="R151" s="127" t="str">
        <f t="shared" si="24"/>
        <v>NA</v>
      </c>
      <c r="S151" s="127" t="str">
        <f t="shared" si="24"/>
        <v>NA</v>
      </c>
      <c r="T151" s="127" t="str">
        <f t="shared" si="24"/>
        <v>NA</v>
      </c>
      <c r="U151" s="127" t="str">
        <f t="shared" si="24"/>
        <v>NA</v>
      </c>
    </row>
    <row r="152" spans="1:21" ht="30" customHeight="1" x14ac:dyDescent="0.25">
      <c r="A152" s="707" t="s">
        <v>567</v>
      </c>
      <c r="B152" s="708"/>
      <c r="C152" s="165">
        <f>SUM(C132:C151)</f>
        <v>0</v>
      </c>
      <c r="D152" s="131" t="str">
        <f>IFERROR((SUMPRODUCT(D132:D151,C132:C151)/C152),"NA")</f>
        <v>NA</v>
      </c>
      <c r="E152" s="131" t="str">
        <f>IFERROR((SUMPRODUCT(E132:E151,C132:C151)/C152),"NA")</f>
        <v>NA</v>
      </c>
      <c r="F152" s="131" t="str">
        <f>IFERROR((SUMPRODUCT(F132:F151,C132:C151)/C152),"NA")</f>
        <v>NA</v>
      </c>
      <c r="G152" s="131" t="str">
        <f>IFERROR((SUMPRODUCT(G132:G151,C132:C151)/C152),"NA")</f>
        <v>NA</v>
      </c>
      <c r="H152" s="131" t="str">
        <f>IFERROR((SUMPRODUCT(H132:H151,C132:C151)/C152),"NA")</f>
        <v>NA</v>
      </c>
      <c r="I152" s="165">
        <f>SUM(I132:I151)</f>
        <v>0</v>
      </c>
      <c r="J152" s="131" t="str">
        <f>IFERROR((SUMPRODUCT(J132:J151,I132:I151)/I152),"NA")</f>
        <v>NA</v>
      </c>
      <c r="K152" s="131" t="str">
        <f>IFERROR((SUMPRODUCT(K132:K151,I132:I151)/I152),"NA")</f>
        <v>NA</v>
      </c>
      <c r="L152" s="131" t="str">
        <f>IFERROR((SUMPRODUCT(L132:L151,I132:I151)/I152),"NA")</f>
        <v>NA</v>
      </c>
      <c r="M152" s="131" t="str">
        <f>IFERROR((SUMPRODUCT(M132:M151,I132:I151)/I152),"NA")</f>
        <v>NA</v>
      </c>
      <c r="N152" s="206" t="str">
        <f>IFERROR((SUMPRODUCT(N132:N151,I132:I151)/I152),"NA")</f>
        <v>NA</v>
      </c>
      <c r="O152" s="544" t="s">
        <v>500</v>
      </c>
      <c r="P152" s="435" t="s">
        <v>500</v>
      </c>
      <c r="Q152" s="433" t="s">
        <v>500</v>
      </c>
      <c r="R152" s="433" t="s">
        <v>500</v>
      </c>
      <c r="S152" s="433" t="s">
        <v>500</v>
      </c>
      <c r="T152" s="433" t="s">
        <v>500</v>
      </c>
      <c r="U152" s="433" t="s">
        <v>500</v>
      </c>
    </row>
    <row r="153" spans="1:21" x14ac:dyDescent="0.25">
      <c r="A153" s="709" t="s">
        <v>563</v>
      </c>
      <c r="B153" s="710"/>
      <c r="C153" s="549" t="s">
        <v>500</v>
      </c>
      <c r="D153" s="550" t="str">
        <f>IF($C$152=0,"NA",(SUMPRODUCT(D183,$C$182)+SUMPRODUCT(D213,$C$212)+SUMPRODUCT(D243,$C$242))/$C$152)</f>
        <v>NA</v>
      </c>
      <c r="E153" s="550" t="str">
        <f>IF($C$152=0,"NA",(SUMPRODUCT(E183,$C$182)+SUMPRODUCT(E213,$C$212)+SUMPRODUCT(E243,$C$242))/$C$152)</f>
        <v>NA</v>
      </c>
      <c r="F153" s="550" t="str">
        <f>IF($C$152=0,"NA",(SUMPRODUCT(F183,$C$182)+SUMPRODUCT(F213,$C$212)+SUMPRODUCT(F243,$C$242))/$C$152)</f>
        <v>NA</v>
      </c>
      <c r="G153" s="550" t="str">
        <f>IF($C$152=0,"NA",(SUMPRODUCT(G183,$C$182)+SUMPRODUCT(G213,$C$212)+SUMPRODUCT(G243,$C$242))/$C$152)</f>
        <v>NA</v>
      </c>
      <c r="H153" s="550" t="str">
        <f>IF($C$152=0,"NA",(SUMPRODUCT(H183,$C$182)+SUMPRODUCT(H213,$C$212)+SUMPRODUCT(H243,$C$242))/$C$152)</f>
        <v>NA</v>
      </c>
      <c r="I153" s="549" t="s">
        <v>500</v>
      </c>
      <c r="J153" s="550" t="str">
        <f>IF($I$152=0,"NA",(SUMPRODUCT(J183,$I$182)+SUMPRODUCT(J213,$I$212)+SUMPRODUCT(J243,$I$242))/$I$152)</f>
        <v>NA</v>
      </c>
      <c r="K153" s="550" t="str">
        <f>IF($I$152=0,"NA",(SUMPRODUCT(K183,$I$182)+SUMPRODUCT(K213,$I$212)+SUMPRODUCT(K243,$I$242))/$I$152)</f>
        <v>NA</v>
      </c>
      <c r="L153" s="550" t="str">
        <f>IF($I$152=0,"NA",(SUMPRODUCT(L183,$I$182)+SUMPRODUCT(L213,$I$212)+SUMPRODUCT(L243,$I$242))/$I$152)</f>
        <v>NA</v>
      </c>
      <c r="M153" s="550" t="str">
        <f>IF($I$152=0,"NA",(SUMPRODUCT(M183,$I$182)+SUMPRODUCT(M213,$I$212)+SUMPRODUCT(M243,$I$242))/$I$152)</f>
        <v>NA</v>
      </c>
      <c r="N153" s="551" t="str">
        <f>IF($I$152=0,"NA",(SUMPRODUCT(N183,$I$182)+SUMPRODUCT(N213,$I$212)+SUMPRODUCT(N243,$I$242))/$I$152)</f>
        <v>NA</v>
      </c>
      <c r="O153" s="552" t="s">
        <v>500</v>
      </c>
      <c r="P153" s="553" t="s">
        <v>500</v>
      </c>
      <c r="Q153" s="554" t="s">
        <v>500</v>
      </c>
      <c r="R153" s="554" t="s">
        <v>500</v>
      </c>
      <c r="S153" s="554" t="s">
        <v>500</v>
      </c>
      <c r="T153" s="554" t="s">
        <v>500</v>
      </c>
      <c r="U153" s="554" t="s">
        <v>500</v>
      </c>
    </row>
    <row r="154" spans="1:21" x14ac:dyDescent="0.25">
      <c r="A154" s="717" t="s">
        <v>564</v>
      </c>
      <c r="B154" s="718"/>
      <c r="C154" s="181">
        <f>ABS(C152-C131)</f>
        <v>0</v>
      </c>
      <c r="D154" s="181" t="e">
        <f>ABS(D152-D131)</f>
        <v>#VALUE!</v>
      </c>
      <c r="E154" s="181" t="e">
        <f>ABS(E152-E131)</f>
        <v>#VALUE!</v>
      </c>
      <c r="F154" s="181" t="e">
        <f>ABS(F152-F131)</f>
        <v>#VALUE!</v>
      </c>
      <c r="G154" s="181" t="s">
        <v>500</v>
      </c>
      <c r="H154" s="233" t="s">
        <v>500</v>
      </c>
      <c r="I154" s="182">
        <f>ABS(I152-I131)</f>
        <v>0</v>
      </c>
      <c r="J154" s="181" t="e">
        <f>ABS(J152-J131)</f>
        <v>#VALUE!</v>
      </c>
      <c r="K154" s="181" t="e">
        <f>ABS(K152-K131)</f>
        <v>#VALUE!</v>
      </c>
      <c r="L154" s="181" t="e">
        <f>ABS(L152-L131)</f>
        <v>#VALUE!</v>
      </c>
      <c r="M154" s="181" t="s">
        <v>500</v>
      </c>
      <c r="N154" s="233" t="s">
        <v>500</v>
      </c>
      <c r="O154" s="545" t="s">
        <v>500</v>
      </c>
      <c r="P154" s="546" t="s">
        <v>500</v>
      </c>
      <c r="Q154" s="548" t="s">
        <v>500</v>
      </c>
      <c r="R154" s="548" t="s">
        <v>500</v>
      </c>
      <c r="S154" s="548" t="s">
        <v>500</v>
      </c>
      <c r="T154" s="548" t="s">
        <v>500</v>
      </c>
      <c r="U154" s="548" t="s">
        <v>500</v>
      </c>
    </row>
    <row r="155" spans="1:21" x14ac:dyDescent="0.25">
      <c r="A155" s="715" t="s">
        <v>565</v>
      </c>
      <c r="B155" s="716"/>
      <c r="C155" s="261" t="str">
        <f>IF(((ABS(C131-C152))&lt;10),"Yes","No")</f>
        <v>Yes</v>
      </c>
      <c r="D155" s="181" t="e">
        <f>IF(((ABS(D131-D152))&lt;10),"Yes","No")</f>
        <v>#VALUE!</v>
      </c>
      <c r="E155" s="181" t="e">
        <f>IF(((ABS(E131-E152))&lt;10),"Yes","No")</f>
        <v>#VALUE!</v>
      </c>
      <c r="F155" s="181" t="e">
        <f>IF(((ABS(F131-F152))&lt;10),"Yes","No")</f>
        <v>#VALUE!</v>
      </c>
      <c r="G155" s="181" t="s">
        <v>500</v>
      </c>
      <c r="H155" s="233" t="s">
        <v>500</v>
      </c>
      <c r="I155" s="259" t="str">
        <f>IF(((ABS(I131-I152))&lt;10),"Yes","No")</f>
        <v>Yes</v>
      </c>
      <c r="J155" s="181" t="e">
        <f>IF(((ABS(J131-J152))&lt;10),"Yes","No")</f>
        <v>#VALUE!</v>
      </c>
      <c r="K155" s="181" t="e">
        <f>IF(((ABS(K131-K152))&lt;10),"Yes","No")</f>
        <v>#VALUE!</v>
      </c>
      <c r="L155" s="181" t="e">
        <f>IF(((ABS(L131-L152))&lt;10),"Yes","No")</f>
        <v>#VALUE!</v>
      </c>
      <c r="M155" s="181" t="s">
        <v>500</v>
      </c>
      <c r="N155" s="233" t="s">
        <v>500</v>
      </c>
      <c r="O155" s="545" t="s">
        <v>500</v>
      </c>
      <c r="P155" s="546" t="s">
        <v>500</v>
      </c>
      <c r="Q155" s="548" t="s">
        <v>500</v>
      </c>
      <c r="R155" s="548" t="s">
        <v>500</v>
      </c>
      <c r="S155" s="548" t="s">
        <v>500</v>
      </c>
      <c r="T155" s="548" t="s">
        <v>500</v>
      </c>
      <c r="U155" s="548" t="s">
        <v>500</v>
      </c>
    </row>
    <row r="156" spans="1:21" x14ac:dyDescent="0.25">
      <c r="A156"/>
      <c r="B156"/>
      <c r="C156"/>
      <c r="D156"/>
      <c r="E156"/>
      <c r="F156"/>
      <c r="G156"/>
      <c r="H156"/>
      <c r="I156"/>
      <c r="J156"/>
      <c r="K156"/>
      <c r="L156"/>
      <c r="M156"/>
      <c r="N156"/>
      <c r="O156"/>
      <c r="P156"/>
      <c r="Q156"/>
      <c r="R156"/>
      <c r="S156"/>
      <c r="T156"/>
      <c r="U156"/>
    </row>
    <row r="157" spans="1:21" x14ac:dyDescent="0.25">
      <c r="A157"/>
      <c r="B157"/>
      <c r="C157"/>
      <c r="D157"/>
      <c r="E157"/>
      <c r="F157"/>
      <c r="G157"/>
      <c r="H157"/>
      <c r="I157"/>
      <c r="J157"/>
      <c r="K157"/>
      <c r="L157"/>
      <c r="M157"/>
      <c r="N157"/>
      <c r="O157"/>
      <c r="P157"/>
      <c r="Q157"/>
      <c r="R157"/>
      <c r="S157"/>
      <c r="T157"/>
      <c r="U157"/>
    </row>
    <row r="158" spans="1:21" x14ac:dyDescent="0.25">
      <c r="A158" s="3" t="s">
        <v>571</v>
      </c>
      <c r="B158"/>
      <c r="C158"/>
      <c r="D158"/>
      <c r="E158"/>
      <c r="F158"/>
      <c r="G158"/>
      <c r="H158"/>
      <c r="I158"/>
      <c r="J158"/>
      <c r="K158"/>
      <c r="L158"/>
      <c r="M158"/>
      <c r="N158"/>
      <c r="O158"/>
      <c r="P158"/>
      <c r="Q158"/>
      <c r="R158"/>
      <c r="S158"/>
      <c r="T158"/>
      <c r="U158"/>
    </row>
    <row r="159" spans="1:21" x14ac:dyDescent="0.25">
      <c r="A159" s="723" t="s">
        <v>71</v>
      </c>
      <c r="B159" s="725" t="s">
        <v>547</v>
      </c>
      <c r="C159" s="697">
        <v>2022</v>
      </c>
      <c r="D159" s="698"/>
      <c r="E159" s="698"/>
      <c r="F159" s="698"/>
      <c r="G159" s="698"/>
      <c r="H159" s="699"/>
      <c r="I159" s="700">
        <v>2023</v>
      </c>
      <c r="J159" s="701"/>
      <c r="K159" s="701"/>
      <c r="L159" s="701"/>
      <c r="M159" s="701"/>
      <c r="N159" s="702"/>
      <c r="O159" s="570"/>
      <c r="P159" s="703" t="s">
        <v>618</v>
      </c>
      <c r="Q159" s="704"/>
      <c r="R159" s="704"/>
      <c r="S159" s="704"/>
      <c r="T159" s="704"/>
      <c r="U159" s="705"/>
    </row>
    <row r="160" spans="1:21" ht="45" x14ac:dyDescent="0.25">
      <c r="A160" s="724"/>
      <c r="B160" s="726"/>
      <c r="C160" s="215" t="s">
        <v>352</v>
      </c>
      <c r="D160" s="124" t="s">
        <v>550</v>
      </c>
      <c r="E160" s="124" t="s">
        <v>551</v>
      </c>
      <c r="F160" s="124" t="s">
        <v>552</v>
      </c>
      <c r="G160" s="124" t="s">
        <v>553</v>
      </c>
      <c r="H160" s="216" t="s">
        <v>554</v>
      </c>
      <c r="I160" s="211" t="s">
        <v>352</v>
      </c>
      <c r="J160" s="125" t="s">
        <v>550</v>
      </c>
      <c r="K160" s="125" t="s">
        <v>551</v>
      </c>
      <c r="L160" s="125" t="s">
        <v>552</v>
      </c>
      <c r="M160" s="125" t="s">
        <v>553</v>
      </c>
      <c r="N160" s="212" t="s">
        <v>554</v>
      </c>
      <c r="O160" s="513" t="s">
        <v>555</v>
      </c>
      <c r="P160" s="242" t="s">
        <v>556</v>
      </c>
      <c r="Q160" s="77" t="s">
        <v>557</v>
      </c>
      <c r="R160" s="77" t="s">
        <v>558</v>
      </c>
      <c r="S160" s="77" t="s">
        <v>559</v>
      </c>
      <c r="T160" s="77" t="s">
        <v>560</v>
      </c>
      <c r="U160" s="217" t="s">
        <v>561</v>
      </c>
    </row>
    <row r="161" spans="1:21" x14ac:dyDescent="0.25">
      <c r="A161" s="219">
        <v>100</v>
      </c>
      <c r="B161" s="495" t="s">
        <v>72</v>
      </c>
      <c r="C161" s="213">
        <f>SUMIFS(TM[[#All],[Member Months]],TM[[#All],[Reporting Year]],2022,TM[[#All],[Insurance Category Code]],1,TM[[#All],[Large Provider Entity Code]],A161)</f>
        <v>0</v>
      </c>
      <c r="D161" s="126" t="str">
        <f>IFERROR(SUMIFS(TM[[#All],[Total Non-Truncated Claims Spending]],TM[[#All],[Reporting Year]],2022,TM[[#All],[Insurance Category Code]],1,TM[[#All],[Large Provider Entity Code]],A161)/C161,"NA")</f>
        <v>NA</v>
      </c>
      <c r="E161" s="126" t="str">
        <f>IFERROR(SUMIFS(TM[[#All],[Total Non-Claims Spending]],TM[[#All],[Reporting Year]],2022,TM[[#All],[Insurance Category Code]],1,TM[[#All],[Large Provider Entity Code]],A161)/C161,"NA")</f>
        <v>NA</v>
      </c>
      <c r="F161" s="126" t="str">
        <f>IFERROR(SUMIFS(TM[[#All],[Total Non-Truncated Claims and Non-Claims Spending]],TM[[#All],[Reporting Year]],2022,TM[[#All],[Insurance Category Code]],1,TM[[#All],[Large Provider Entity Code]],A161)/C161,"NA")</f>
        <v>NA</v>
      </c>
      <c r="G161" s="126" t="str">
        <f>IFERROR(SUMIFS(TM[[#All],[Total Truncated Claims Spending]],TM[[#All],[Reporting Year]],2022,TM[[#All],[Insurance Category Code]],1,TM[[#All],[Large Provider Entity Code]],A161)/C161,"NA")</f>
        <v>NA</v>
      </c>
      <c r="H161" s="214" t="str">
        <f>IFERROR(SUMIFS(TM[[#All],[Total Truncated Expenses]],TM[[#All],[Reporting Year]],2022,TM[[#All],[Insurance Category Code]],1,TM[[#All],[Large Provider Entity Code]],A161)/C161,"NA")</f>
        <v>NA</v>
      </c>
      <c r="I161" s="213">
        <f>SUMIFS(TM[[#All],[Member Months]],TM[[#All],[Reporting Year]],2023,TM[[#All],[Insurance Category Code]],1,TM[[#All],[Large Provider Entity Code]],A161)</f>
        <v>0</v>
      </c>
      <c r="J161" s="126" t="str">
        <f>IFERROR(SUMIFS(TM[[#All],[Total Non-Truncated Claims Spending]],TM[[#All],[Reporting Year]],2023,TM[[#All],[Insurance Category Code]],1,TM[[#All],[Large Provider Entity Code]],A161)/I161,"NA")</f>
        <v>NA</v>
      </c>
      <c r="K161" s="126" t="str">
        <f>IFERROR(SUMIFS(TM[[#All],[Total Non-Claims Spending]],TM[[#All],[Reporting Year]],2023,TM[[#All],[Insurance Category Code]],1,TM[[#All],[Large Provider Entity Code]],A161)/I161,"NA")</f>
        <v>NA</v>
      </c>
      <c r="L161" s="126" t="str">
        <f>IFERROR(SUMIFS(TM[[#All],[Total Non-Truncated Claims and Non-Claims Spending]],TM[[#All],[Reporting Year]],2023,TM[[#All],[Insurance Category Code]],1,TM[[#All],[Large Provider Entity Code]],A161)/I161,"NA")</f>
        <v>NA</v>
      </c>
      <c r="M161" s="126" t="str">
        <f>IFERROR(SUMIFS(TM[[#All],[Total Truncated Claims Spending]],TM[[#All],[Reporting Year]],2023,TM[[#All],[Insurance Category Code]],1,TM[[#All],[Large Provider Entity Code]],A161)/I161,"NA")</f>
        <v>NA</v>
      </c>
      <c r="N161" s="214" t="str">
        <f>IFERROR(SUMIFS(TM[[#All],[Total Truncated Expenses]],TM[[#All],[Reporting Year]],2023,TM[[#All],[Insurance Category Code]],1,TM[[#All],[Large Provider Entity Code]],A161)/I161,"NA")</f>
        <v>NA</v>
      </c>
      <c r="O161" s="518">
        <f>ABS(C161-I161)</f>
        <v>0</v>
      </c>
      <c r="P161" s="245" t="str">
        <f t="shared" ref="P161:U181" si="28">IFERROR((I161/C161-1),"NA")</f>
        <v>NA</v>
      </c>
      <c r="Q161" s="127" t="str">
        <f t="shared" si="28"/>
        <v>NA</v>
      </c>
      <c r="R161" s="127" t="str">
        <f t="shared" si="28"/>
        <v>NA</v>
      </c>
      <c r="S161" s="127" t="str">
        <f t="shared" si="28"/>
        <v>NA</v>
      </c>
      <c r="T161" s="127" t="str">
        <f t="shared" si="28"/>
        <v>NA</v>
      </c>
      <c r="U161" s="127" t="str">
        <f t="shared" si="28"/>
        <v>NA</v>
      </c>
    </row>
    <row r="162" spans="1:21" x14ac:dyDescent="0.25">
      <c r="A162" s="218">
        <v>101</v>
      </c>
      <c r="B162" s="495" t="s">
        <v>609</v>
      </c>
      <c r="C162" s="213">
        <f>SUMIFS(TM[[#All],[Member Months]],TM[[#All],[Reporting Year]],2022,TM[[#All],[Insurance Category Code]],1,TM[[#All],[Large Provider Entity Code]],A162)</f>
        <v>0</v>
      </c>
      <c r="D162" s="126" t="str">
        <f>IFERROR(SUMIFS(TM[[#All],[Total Non-Truncated Claims Spending]],TM[[#All],[Reporting Year]],2022,TM[[#All],[Insurance Category Code]],1,TM[[#All],[Large Provider Entity Code]],A162)/C162,"NA")</f>
        <v>NA</v>
      </c>
      <c r="E162" s="126" t="str">
        <f>IFERROR(SUMIFS(TM[[#All],[Total Non-Claims Spending]],TM[[#All],[Reporting Year]],2022,TM[[#All],[Insurance Category Code]],1,TM[[#All],[Large Provider Entity Code]],A162)/C162,"NA")</f>
        <v>NA</v>
      </c>
      <c r="F162" s="126" t="str">
        <f>IFERROR(SUMIFS(TM[[#All],[Total Non-Truncated Claims and Non-Claims Spending]],TM[[#All],[Reporting Year]],2022,TM[[#All],[Insurance Category Code]],1,TM[[#All],[Large Provider Entity Code]],A162)/C162,"NA")</f>
        <v>NA</v>
      </c>
      <c r="G162" s="126" t="str">
        <f>IFERROR(SUMIFS(TM[[#All],[Total Truncated Claims Spending]],TM[[#All],[Reporting Year]],2022,TM[[#All],[Insurance Category Code]],1,TM[[#All],[Large Provider Entity Code]],A162)/C162,"NA")</f>
        <v>NA</v>
      </c>
      <c r="H162" s="214" t="str">
        <f>IFERROR(SUMIFS(TM[[#All],[Total Truncated Expenses]],TM[[#All],[Reporting Year]],2022,TM[[#All],[Insurance Category Code]],1,TM[[#All],[Large Provider Entity Code]],A162)/C162,"NA")</f>
        <v>NA</v>
      </c>
      <c r="I162" s="213">
        <f>SUMIFS(TM[[#All],[Member Months]],TM[[#All],[Reporting Year]],2023,TM[[#All],[Insurance Category Code]],1,TM[[#All],[Large Provider Entity Code]],A162)</f>
        <v>0</v>
      </c>
      <c r="J162" s="126" t="str">
        <f>IFERROR(SUMIFS(TM[[#All],[Total Non-Truncated Claims Spending]],TM[[#All],[Reporting Year]],2023,TM[[#All],[Insurance Category Code]],1,TM[[#All],[Large Provider Entity Code]],A162)/I162,"NA")</f>
        <v>NA</v>
      </c>
      <c r="K162" s="126" t="str">
        <f>IFERROR(SUMIFS(TM[[#All],[Total Non-Claims Spending]],TM[[#All],[Reporting Year]],2023,TM[[#All],[Insurance Category Code]],1,TM[[#All],[Large Provider Entity Code]],A162)/I162,"NA")</f>
        <v>NA</v>
      </c>
      <c r="L162" s="126" t="str">
        <f>IFERROR(SUMIFS(TM[[#All],[Total Non-Truncated Claims and Non-Claims Spending]],TM[[#All],[Reporting Year]],2023,TM[[#All],[Insurance Category Code]],1,TM[[#All],[Large Provider Entity Code]],A162)/I162,"NA")</f>
        <v>NA</v>
      </c>
      <c r="M162" s="126" t="str">
        <f>IFERROR(SUMIFS(TM[[#All],[Total Truncated Claims Spending]],TM[[#All],[Reporting Year]],2023,TM[[#All],[Insurance Category Code]],1,TM[[#All],[Large Provider Entity Code]],A162)/I162,"NA")</f>
        <v>NA</v>
      </c>
      <c r="N162" s="214" t="str">
        <f>IFERROR(SUMIFS(TM[[#All],[Total Truncated Expenses]],TM[[#All],[Reporting Year]],2023,TM[[#All],[Insurance Category Code]],1,TM[[#All],[Large Provider Entity Code]],A162)/I162,"NA")</f>
        <v>NA</v>
      </c>
      <c r="O162" s="518">
        <f t="shared" ref="O162:O181" si="29">ABS(C162-I162)</f>
        <v>0</v>
      </c>
      <c r="P162" s="245" t="str">
        <f t="shared" si="28"/>
        <v>NA</v>
      </c>
      <c r="Q162" s="127" t="str">
        <f t="shared" si="28"/>
        <v>NA</v>
      </c>
      <c r="R162" s="127" t="str">
        <f t="shared" si="28"/>
        <v>NA</v>
      </c>
      <c r="S162" s="127" t="str">
        <f t="shared" si="28"/>
        <v>NA</v>
      </c>
      <c r="T162" s="127" t="str">
        <f t="shared" si="28"/>
        <v>NA</v>
      </c>
      <c r="U162" s="127" t="str">
        <f t="shared" si="28"/>
        <v>NA</v>
      </c>
    </row>
    <row r="163" spans="1:21" x14ac:dyDescent="0.25">
      <c r="A163" s="218">
        <v>102</v>
      </c>
      <c r="B163" s="566" t="s">
        <v>610</v>
      </c>
      <c r="C163" s="213">
        <f>SUMIFS(TM[[#All],[Member Months]],TM[[#All],[Reporting Year]],2022,TM[[#All],[Insurance Category Code]],1,TM[[#All],[Large Provider Entity Code]],A163)</f>
        <v>0</v>
      </c>
      <c r="D163" s="126" t="str">
        <f>IFERROR(SUMIFS(TM[[#All],[Total Non-Truncated Claims Spending]],TM[[#All],[Reporting Year]],2022,TM[[#All],[Insurance Category Code]],1,TM[[#All],[Large Provider Entity Code]],A163)/C163,"NA")</f>
        <v>NA</v>
      </c>
      <c r="E163" s="126" t="str">
        <f>IFERROR(SUMIFS(TM[[#All],[Total Non-Claims Spending]],TM[[#All],[Reporting Year]],2022,TM[[#All],[Insurance Category Code]],1,TM[[#All],[Large Provider Entity Code]],A163)/C163,"NA")</f>
        <v>NA</v>
      </c>
      <c r="F163" s="126" t="str">
        <f>IFERROR(SUMIFS(TM[[#All],[Total Non-Truncated Claims and Non-Claims Spending]],TM[[#All],[Reporting Year]],2022,TM[[#All],[Insurance Category Code]],1,TM[[#All],[Large Provider Entity Code]],A163)/C163,"NA")</f>
        <v>NA</v>
      </c>
      <c r="G163" s="126" t="str">
        <f>IFERROR(SUMIFS(TM[[#All],[Total Truncated Claims Spending]],TM[[#All],[Reporting Year]],2022,TM[[#All],[Insurance Category Code]],1,TM[[#All],[Large Provider Entity Code]],A163)/C163,"NA")</f>
        <v>NA</v>
      </c>
      <c r="H163" s="214" t="str">
        <f>IFERROR(SUMIFS(TM[[#All],[Total Truncated Expenses]],TM[[#All],[Reporting Year]],2022,TM[[#All],[Insurance Category Code]],1,TM[[#All],[Large Provider Entity Code]],A163)/C163,"NA")</f>
        <v>NA</v>
      </c>
      <c r="I163" s="213">
        <f>SUMIFS(TM[[#All],[Member Months]],TM[[#All],[Reporting Year]],2023,TM[[#All],[Insurance Category Code]],1,TM[[#All],[Large Provider Entity Code]],A163)</f>
        <v>0</v>
      </c>
      <c r="J163" s="126" t="str">
        <f>IFERROR(SUMIFS(TM[[#All],[Total Non-Truncated Claims Spending]],TM[[#All],[Reporting Year]],2023,TM[[#All],[Insurance Category Code]],1,TM[[#All],[Large Provider Entity Code]],A163)/I163,"NA")</f>
        <v>NA</v>
      </c>
      <c r="K163" s="126" t="str">
        <f>IFERROR(SUMIFS(TM[[#All],[Total Non-Claims Spending]],TM[[#All],[Reporting Year]],2023,TM[[#All],[Insurance Category Code]],1,TM[[#All],[Large Provider Entity Code]],A163)/I163,"NA")</f>
        <v>NA</v>
      </c>
      <c r="L163" s="126" t="str">
        <f>IFERROR(SUMIFS(TM[[#All],[Total Non-Truncated Claims and Non-Claims Spending]],TM[[#All],[Reporting Year]],2023,TM[[#All],[Insurance Category Code]],1,TM[[#All],[Large Provider Entity Code]],A163)/I163,"NA")</f>
        <v>NA</v>
      </c>
      <c r="M163" s="126" t="str">
        <f>IFERROR(SUMIFS(TM[[#All],[Total Truncated Claims Spending]],TM[[#All],[Reporting Year]],2023,TM[[#All],[Insurance Category Code]],1,TM[[#All],[Large Provider Entity Code]],A163)/I163,"NA")</f>
        <v>NA</v>
      </c>
      <c r="N163" s="214" t="str">
        <f>IFERROR(SUMIFS(TM[[#All],[Total Truncated Expenses]],TM[[#All],[Reporting Year]],2023,TM[[#All],[Insurance Category Code]],1,TM[[#All],[Large Provider Entity Code]],A163)/I163,"NA")</f>
        <v>NA</v>
      </c>
      <c r="O163" s="518">
        <f t="shared" si="29"/>
        <v>0</v>
      </c>
      <c r="P163" s="245" t="str">
        <f t="shared" si="28"/>
        <v>NA</v>
      </c>
      <c r="Q163" s="127" t="str">
        <f t="shared" si="28"/>
        <v>NA</v>
      </c>
      <c r="R163" s="127" t="str">
        <f t="shared" si="28"/>
        <v>NA</v>
      </c>
      <c r="S163" s="127" t="str">
        <f t="shared" si="28"/>
        <v>NA</v>
      </c>
      <c r="T163" s="127" t="str">
        <f t="shared" si="28"/>
        <v>NA</v>
      </c>
      <c r="U163" s="127" t="str">
        <f t="shared" si="28"/>
        <v>NA</v>
      </c>
    </row>
    <row r="164" spans="1:21" ht="30" x14ac:dyDescent="0.25">
      <c r="A164" s="218">
        <v>103</v>
      </c>
      <c r="B164" s="495" t="s">
        <v>73</v>
      </c>
      <c r="C164" s="213">
        <f>SUMIFS(TM[[#All],[Member Months]],TM[[#All],[Reporting Year]],2022,TM[[#All],[Insurance Category Code]],1,TM[[#All],[Large Provider Entity Code]],A164)</f>
        <v>0</v>
      </c>
      <c r="D164" s="126" t="str">
        <f>IFERROR(SUMIFS(TM[[#All],[Total Non-Truncated Claims Spending]],TM[[#All],[Reporting Year]],2022,TM[[#All],[Insurance Category Code]],1,TM[[#All],[Large Provider Entity Code]],A164)/C164,"NA")</f>
        <v>NA</v>
      </c>
      <c r="E164" s="126" t="str">
        <f>IFERROR(SUMIFS(TM[[#All],[Total Non-Claims Spending]],TM[[#All],[Reporting Year]],2022,TM[[#All],[Insurance Category Code]],1,TM[[#All],[Large Provider Entity Code]],A164)/C164,"NA")</f>
        <v>NA</v>
      </c>
      <c r="F164" s="126" t="str">
        <f>IFERROR(SUMIFS(TM[[#All],[Total Non-Truncated Claims and Non-Claims Spending]],TM[[#All],[Reporting Year]],2022,TM[[#All],[Insurance Category Code]],1,TM[[#All],[Large Provider Entity Code]],A164)/C164,"NA")</f>
        <v>NA</v>
      </c>
      <c r="G164" s="126" t="str">
        <f>IFERROR(SUMIFS(TM[[#All],[Total Truncated Claims Spending]],TM[[#All],[Reporting Year]],2022,TM[[#All],[Insurance Category Code]],1,TM[[#All],[Large Provider Entity Code]],A164)/C164,"NA")</f>
        <v>NA</v>
      </c>
      <c r="H164" s="214" t="str">
        <f>IFERROR(SUMIFS(TM[[#All],[Total Truncated Expenses]],TM[[#All],[Reporting Year]],2022,TM[[#All],[Insurance Category Code]],1,TM[[#All],[Large Provider Entity Code]],A164)/C164,"NA")</f>
        <v>NA</v>
      </c>
      <c r="I164" s="213">
        <f>SUMIFS(TM[[#All],[Member Months]],TM[[#All],[Reporting Year]],2023,TM[[#All],[Insurance Category Code]],1,TM[[#All],[Large Provider Entity Code]],A164)</f>
        <v>0</v>
      </c>
      <c r="J164" s="126" t="str">
        <f>IFERROR(SUMIFS(TM[[#All],[Total Non-Truncated Claims Spending]],TM[[#All],[Reporting Year]],2023,TM[[#All],[Insurance Category Code]],1,TM[[#All],[Large Provider Entity Code]],A164)/I164,"NA")</f>
        <v>NA</v>
      </c>
      <c r="K164" s="126" t="str">
        <f>IFERROR(SUMIFS(TM[[#All],[Total Non-Claims Spending]],TM[[#All],[Reporting Year]],2023,TM[[#All],[Insurance Category Code]],1,TM[[#All],[Large Provider Entity Code]],A164)/I164,"NA")</f>
        <v>NA</v>
      </c>
      <c r="L164" s="126" t="str">
        <f>IFERROR(SUMIFS(TM[[#All],[Total Non-Truncated Claims and Non-Claims Spending]],TM[[#All],[Reporting Year]],2023,TM[[#All],[Insurance Category Code]],1,TM[[#All],[Large Provider Entity Code]],A164)/I164,"NA")</f>
        <v>NA</v>
      </c>
      <c r="M164" s="126" t="str">
        <f>IFERROR(SUMIFS(TM[[#All],[Total Truncated Claims Spending]],TM[[#All],[Reporting Year]],2023,TM[[#All],[Insurance Category Code]],1,TM[[#All],[Large Provider Entity Code]],A164)/I164,"NA")</f>
        <v>NA</v>
      </c>
      <c r="N164" s="214" t="str">
        <f>IFERROR(SUMIFS(TM[[#All],[Total Truncated Expenses]],TM[[#All],[Reporting Year]],2023,TM[[#All],[Insurance Category Code]],1,TM[[#All],[Large Provider Entity Code]],A164)/I164,"NA")</f>
        <v>NA</v>
      </c>
      <c r="O164" s="518">
        <f t="shared" si="29"/>
        <v>0</v>
      </c>
      <c r="P164" s="245" t="str">
        <f t="shared" si="28"/>
        <v>NA</v>
      </c>
      <c r="Q164" s="127" t="str">
        <f t="shared" si="28"/>
        <v>NA</v>
      </c>
      <c r="R164" s="127" t="str">
        <f t="shared" si="28"/>
        <v>NA</v>
      </c>
      <c r="S164" s="127" t="str">
        <f t="shared" si="28"/>
        <v>NA</v>
      </c>
      <c r="T164" s="127" t="str">
        <f t="shared" si="28"/>
        <v>NA</v>
      </c>
      <c r="U164" s="127" t="str">
        <f t="shared" si="28"/>
        <v>NA</v>
      </c>
    </row>
    <row r="165" spans="1:21" x14ac:dyDescent="0.25">
      <c r="A165" s="218">
        <v>104</v>
      </c>
      <c r="B165" s="495" t="s">
        <v>611</v>
      </c>
      <c r="C165" s="213">
        <f>SUMIFS(TM[[#All],[Member Months]],TM[[#All],[Reporting Year]],2022,TM[[#All],[Insurance Category Code]],1,TM[[#All],[Large Provider Entity Code]],A165)</f>
        <v>0</v>
      </c>
      <c r="D165" s="126" t="str">
        <f>IFERROR(SUMIFS(TM[[#All],[Total Non-Truncated Claims Spending]],TM[[#All],[Reporting Year]],2022,TM[[#All],[Insurance Category Code]],1,TM[[#All],[Large Provider Entity Code]],A165)/C165,"NA")</f>
        <v>NA</v>
      </c>
      <c r="E165" s="126" t="str">
        <f>IFERROR(SUMIFS(TM[[#All],[Total Non-Claims Spending]],TM[[#All],[Reporting Year]],2022,TM[[#All],[Insurance Category Code]],1,TM[[#All],[Large Provider Entity Code]],A165)/C165,"NA")</f>
        <v>NA</v>
      </c>
      <c r="F165" s="126" t="str">
        <f>IFERROR(SUMIFS(TM[[#All],[Total Non-Truncated Claims and Non-Claims Spending]],TM[[#All],[Reporting Year]],2022,TM[[#All],[Insurance Category Code]],1,TM[[#All],[Large Provider Entity Code]],A165)/C165,"NA")</f>
        <v>NA</v>
      </c>
      <c r="G165" s="126" t="str">
        <f>IFERROR(SUMIFS(TM[[#All],[Total Truncated Claims Spending]],TM[[#All],[Reporting Year]],2022,TM[[#All],[Insurance Category Code]],1,TM[[#All],[Large Provider Entity Code]],A165)/C165,"NA")</f>
        <v>NA</v>
      </c>
      <c r="H165" s="214" t="str">
        <f>IFERROR(SUMIFS(TM[[#All],[Total Truncated Expenses]],TM[[#All],[Reporting Year]],2022,TM[[#All],[Insurance Category Code]],1,TM[[#All],[Large Provider Entity Code]],A165)/C165,"NA")</f>
        <v>NA</v>
      </c>
      <c r="I165" s="213">
        <f>SUMIFS(TM[[#All],[Member Months]],TM[[#All],[Reporting Year]],2023,TM[[#All],[Insurance Category Code]],1,TM[[#All],[Large Provider Entity Code]],A165)</f>
        <v>0</v>
      </c>
      <c r="J165" s="126" t="str">
        <f>IFERROR(SUMIFS(TM[[#All],[Total Non-Truncated Claims Spending]],TM[[#All],[Reporting Year]],2023,TM[[#All],[Insurance Category Code]],1,TM[[#All],[Large Provider Entity Code]],A165)/I165,"NA")</f>
        <v>NA</v>
      </c>
      <c r="K165" s="126" t="str">
        <f>IFERROR(SUMIFS(TM[[#All],[Total Non-Claims Spending]],TM[[#All],[Reporting Year]],2023,TM[[#All],[Insurance Category Code]],1,TM[[#All],[Large Provider Entity Code]],A165)/I165,"NA")</f>
        <v>NA</v>
      </c>
      <c r="L165" s="126" t="str">
        <f>IFERROR(SUMIFS(TM[[#All],[Total Non-Truncated Claims and Non-Claims Spending]],TM[[#All],[Reporting Year]],2023,TM[[#All],[Insurance Category Code]],1,TM[[#All],[Large Provider Entity Code]],A165)/I165,"NA")</f>
        <v>NA</v>
      </c>
      <c r="M165" s="126" t="str">
        <f>IFERROR(SUMIFS(TM[[#All],[Total Truncated Claims Spending]],TM[[#All],[Reporting Year]],2023,TM[[#All],[Insurance Category Code]],1,TM[[#All],[Large Provider Entity Code]],A165)/I165,"NA")</f>
        <v>NA</v>
      </c>
      <c r="N165" s="214" t="str">
        <f>IFERROR(SUMIFS(TM[[#All],[Total Truncated Expenses]],TM[[#All],[Reporting Year]],2023,TM[[#All],[Insurance Category Code]],1,TM[[#All],[Large Provider Entity Code]],A165)/I165,"NA")</f>
        <v>NA</v>
      </c>
      <c r="O165" s="518">
        <f t="shared" si="29"/>
        <v>0</v>
      </c>
      <c r="P165" s="245" t="str">
        <f t="shared" si="28"/>
        <v>NA</v>
      </c>
      <c r="Q165" s="127" t="str">
        <f t="shared" si="28"/>
        <v>NA</v>
      </c>
      <c r="R165" s="127" t="str">
        <f t="shared" si="28"/>
        <v>NA</v>
      </c>
      <c r="S165" s="127" t="str">
        <f t="shared" si="28"/>
        <v>NA</v>
      </c>
      <c r="T165" s="127" t="str">
        <f t="shared" si="28"/>
        <v>NA</v>
      </c>
      <c r="U165" s="127" t="str">
        <f t="shared" si="28"/>
        <v>NA</v>
      </c>
    </row>
    <row r="166" spans="1:21" x14ac:dyDescent="0.25">
      <c r="A166" s="218">
        <v>105</v>
      </c>
      <c r="B166" s="566" t="s">
        <v>607</v>
      </c>
      <c r="C166" s="213">
        <f>SUMIFS(TM[[#All],[Member Months]],TM[[#All],[Reporting Year]],2022,TM[[#All],[Insurance Category Code]],1,TM[[#All],[Large Provider Entity Code]],A166)</f>
        <v>0</v>
      </c>
      <c r="D166" s="126" t="str">
        <f>IFERROR(SUMIFS(TM[[#All],[Total Non-Truncated Claims Spending]],TM[[#All],[Reporting Year]],2022,TM[[#All],[Insurance Category Code]],1,TM[[#All],[Large Provider Entity Code]],A166)/C166,"NA")</f>
        <v>NA</v>
      </c>
      <c r="E166" s="126" t="str">
        <f>IFERROR(SUMIFS(TM[[#All],[Total Non-Claims Spending]],TM[[#All],[Reporting Year]],2022,TM[[#All],[Insurance Category Code]],1,TM[[#All],[Large Provider Entity Code]],A166)/C166,"NA")</f>
        <v>NA</v>
      </c>
      <c r="F166" s="126" t="str">
        <f>IFERROR(SUMIFS(TM[[#All],[Total Non-Truncated Claims and Non-Claims Spending]],TM[[#All],[Reporting Year]],2022,TM[[#All],[Insurance Category Code]],1,TM[[#All],[Large Provider Entity Code]],A166)/C166,"NA")</f>
        <v>NA</v>
      </c>
      <c r="G166" s="126" t="str">
        <f>IFERROR(SUMIFS(TM[[#All],[Total Truncated Claims Spending]],TM[[#All],[Reporting Year]],2022,TM[[#All],[Insurance Category Code]],1,TM[[#All],[Large Provider Entity Code]],A166)/C166,"NA")</f>
        <v>NA</v>
      </c>
      <c r="H166" s="214" t="str">
        <f>IFERROR(SUMIFS(TM[[#All],[Total Truncated Expenses]],TM[[#All],[Reporting Year]],2022,TM[[#All],[Insurance Category Code]],1,TM[[#All],[Large Provider Entity Code]],A166)/C166,"NA")</f>
        <v>NA</v>
      </c>
      <c r="I166" s="213">
        <f>SUMIFS(TM[[#All],[Member Months]],TM[[#All],[Reporting Year]],2023,TM[[#All],[Insurance Category Code]],1,TM[[#All],[Large Provider Entity Code]],A166)</f>
        <v>0</v>
      </c>
      <c r="J166" s="126" t="str">
        <f>IFERROR(SUMIFS(TM[[#All],[Total Non-Truncated Claims Spending]],TM[[#All],[Reporting Year]],2023,TM[[#All],[Insurance Category Code]],1,TM[[#All],[Large Provider Entity Code]],A166)/I166,"NA")</f>
        <v>NA</v>
      </c>
      <c r="K166" s="126" t="str">
        <f>IFERROR(SUMIFS(TM[[#All],[Total Non-Claims Spending]],TM[[#All],[Reporting Year]],2023,TM[[#All],[Insurance Category Code]],1,TM[[#All],[Large Provider Entity Code]],A166)/I166,"NA")</f>
        <v>NA</v>
      </c>
      <c r="L166" s="126" t="str">
        <f>IFERROR(SUMIFS(TM[[#All],[Total Non-Truncated Claims and Non-Claims Spending]],TM[[#All],[Reporting Year]],2023,TM[[#All],[Insurance Category Code]],1,TM[[#All],[Large Provider Entity Code]],A166)/I166,"NA")</f>
        <v>NA</v>
      </c>
      <c r="M166" s="126" t="str">
        <f>IFERROR(SUMIFS(TM[[#All],[Total Truncated Claims Spending]],TM[[#All],[Reporting Year]],2023,TM[[#All],[Insurance Category Code]],1,TM[[#All],[Large Provider Entity Code]],A166)/I166,"NA")</f>
        <v>NA</v>
      </c>
      <c r="N166" s="214" t="str">
        <f>IFERROR(SUMIFS(TM[[#All],[Total Truncated Expenses]],TM[[#All],[Reporting Year]],2023,TM[[#All],[Insurance Category Code]],1,TM[[#All],[Large Provider Entity Code]],A166)/I166,"NA")</f>
        <v>NA</v>
      </c>
      <c r="O166" s="518">
        <f t="shared" si="29"/>
        <v>0</v>
      </c>
      <c r="P166" s="245" t="str">
        <f t="shared" si="28"/>
        <v>NA</v>
      </c>
      <c r="Q166" s="127" t="str">
        <f t="shared" si="28"/>
        <v>NA</v>
      </c>
      <c r="R166" s="127" t="str">
        <f t="shared" si="28"/>
        <v>NA</v>
      </c>
      <c r="S166" s="127" t="str">
        <f t="shared" si="28"/>
        <v>NA</v>
      </c>
      <c r="T166" s="127" t="str">
        <f t="shared" si="28"/>
        <v>NA</v>
      </c>
      <c r="U166" s="127" t="str">
        <f t="shared" si="28"/>
        <v>NA</v>
      </c>
    </row>
    <row r="167" spans="1:21" x14ac:dyDescent="0.25">
      <c r="A167" s="218">
        <v>106</v>
      </c>
      <c r="B167" s="495" t="s">
        <v>74</v>
      </c>
      <c r="C167" s="213">
        <f>SUMIFS(TM[[#All],[Member Months]],TM[[#All],[Reporting Year]],2022,TM[[#All],[Insurance Category Code]],1,TM[[#All],[Large Provider Entity Code]],A167)</f>
        <v>0</v>
      </c>
      <c r="D167" s="126" t="str">
        <f>IFERROR(SUMIFS(TM[[#All],[Total Non-Truncated Claims Spending]],TM[[#All],[Reporting Year]],2022,TM[[#All],[Insurance Category Code]],1,TM[[#All],[Large Provider Entity Code]],A167)/C167,"NA")</f>
        <v>NA</v>
      </c>
      <c r="E167" s="126" t="str">
        <f>IFERROR(SUMIFS(TM[[#All],[Total Non-Claims Spending]],TM[[#All],[Reporting Year]],2022,TM[[#All],[Insurance Category Code]],1,TM[[#All],[Large Provider Entity Code]],A167)/C167,"NA")</f>
        <v>NA</v>
      </c>
      <c r="F167" s="126" t="str">
        <f>IFERROR(SUMIFS(TM[[#All],[Total Non-Truncated Claims and Non-Claims Spending]],TM[[#All],[Reporting Year]],2022,TM[[#All],[Insurance Category Code]],1,TM[[#All],[Large Provider Entity Code]],A167)/C167,"NA")</f>
        <v>NA</v>
      </c>
      <c r="G167" s="126" t="str">
        <f>IFERROR(SUMIFS(TM[[#All],[Total Truncated Claims Spending]],TM[[#All],[Reporting Year]],2022,TM[[#All],[Insurance Category Code]],1,TM[[#All],[Large Provider Entity Code]],A167)/C167,"NA")</f>
        <v>NA</v>
      </c>
      <c r="H167" s="214" t="str">
        <f>IFERROR(SUMIFS(TM[[#All],[Total Truncated Expenses]],TM[[#All],[Reporting Year]],2022,TM[[#All],[Insurance Category Code]],1,TM[[#All],[Large Provider Entity Code]],A167)/C167,"NA")</f>
        <v>NA</v>
      </c>
      <c r="I167" s="213">
        <f>SUMIFS(TM[[#All],[Member Months]],TM[[#All],[Reporting Year]],2023,TM[[#All],[Insurance Category Code]],1,TM[[#All],[Large Provider Entity Code]],A167)</f>
        <v>0</v>
      </c>
      <c r="J167" s="126" t="str">
        <f>IFERROR(SUMIFS(TM[[#All],[Total Non-Truncated Claims Spending]],TM[[#All],[Reporting Year]],2023,TM[[#All],[Insurance Category Code]],1,TM[[#All],[Large Provider Entity Code]],A167)/I167,"NA")</f>
        <v>NA</v>
      </c>
      <c r="K167" s="126" t="str">
        <f>IFERROR(SUMIFS(TM[[#All],[Total Non-Claims Spending]],TM[[#All],[Reporting Year]],2023,TM[[#All],[Insurance Category Code]],1,TM[[#All],[Large Provider Entity Code]],A167)/I167,"NA")</f>
        <v>NA</v>
      </c>
      <c r="L167" s="126" t="str">
        <f>IFERROR(SUMIFS(TM[[#All],[Total Non-Truncated Claims and Non-Claims Spending]],TM[[#All],[Reporting Year]],2023,TM[[#All],[Insurance Category Code]],1,TM[[#All],[Large Provider Entity Code]],A167)/I167,"NA")</f>
        <v>NA</v>
      </c>
      <c r="M167" s="126" t="str">
        <f>IFERROR(SUMIFS(TM[[#All],[Total Truncated Claims Spending]],TM[[#All],[Reporting Year]],2023,TM[[#All],[Insurance Category Code]],1,TM[[#All],[Large Provider Entity Code]],A167)/I167,"NA")</f>
        <v>NA</v>
      </c>
      <c r="N167" s="214" t="str">
        <f>IFERROR(SUMIFS(TM[[#All],[Total Truncated Expenses]],TM[[#All],[Reporting Year]],2023,TM[[#All],[Insurance Category Code]],1,TM[[#All],[Large Provider Entity Code]],A167)/I167,"NA")</f>
        <v>NA</v>
      </c>
      <c r="O167" s="518">
        <f t="shared" si="29"/>
        <v>0</v>
      </c>
      <c r="P167" s="245" t="str">
        <f t="shared" si="28"/>
        <v>NA</v>
      </c>
      <c r="Q167" s="127" t="str">
        <f t="shared" si="28"/>
        <v>NA</v>
      </c>
      <c r="R167" s="127" t="str">
        <f t="shared" si="28"/>
        <v>NA</v>
      </c>
      <c r="S167" s="127" t="str">
        <f t="shared" si="28"/>
        <v>NA</v>
      </c>
      <c r="T167" s="127" t="str">
        <f t="shared" si="28"/>
        <v>NA</v>
      </c>
      <c r="U167" s="127" t="str">
        <f t="shared" si="28"/>
        <v>NA</v>
      </c>
    </row>
    <row r="168" spans="1:21" ht="30" x14ac:dyDescent="0.25">
      <c r="A168" s="218">
        <v>107</v>
      </c>
      <c r="B168" s="495" t="s">
        <v>75</v>
      </c>
      <c r="C168" s="213">
        <f>SUMIFS(TM[[#All],[Member Months]],TM[[#All],[Reporting Year]],2022,TM[[#All],[Insurance Category Code]],1,TM[[#All],[Large Provider Entity Code]],A168)</f>
        <v>0</v>
      </c>
      <c r="D168" s="126" t="str">
        <f>IFERROR(SUMIFS(TM[[#All],[Total Non-Truncated Claims Spending]],TM[[#All],[Reporting Year]],2022,TM[[#All],[Insurance Category Code]],1,TM[[#All],[Large Provider Entity Code]],A168)/C168,"NA")</f>
        <v>NA</v>
      </c>
      <c r="E168" s="126" t="str">
        <f>IFERROR(SUMIFS(TM[[#All],[Total Non-Claims Spending]],TM[[#All],[Reporting Year]],2022,TM[[#All],[Insurance Category Code]],1,TM[[#All],[Large Provider Entity Code]],A168)/C168,"NA")</f>
        <v>NA</v>
      </c>
      <c r="F168" s="126" t="str">
        <f>IFERROR(SUMIFS(TM[[#All],[Total Non-Truncated Claims and Non-Claims Spending]],TM[[#All],[Reporting Year]],2022,TM[[#All],[Insurance Category Code]],1,TM[[#All],[Large Provider Entity Code]],A168)/C168,"NA")</f>
        <v>NA</v>
      </c>
      <c r="G168" s="126" t="str">
        <f>IFERROR(SUMIFS(TM[[#All],[Total Truncated Claims Spending]],TM[[#All],[Reporting Year]],2022,TM[[#All],[Insurance Category Code]],1,TM[[#All],[Large Provider Entity Code]],A168)/C168,"NA")</f>
        <v>NA</v>
      </c>
      <c r="H168" s="214" t="str">
        <f>IFERROR(SUMIFS(TM[[#All],[Total Truncated Expenses]],TM[[#All],[Reporting Year]],2022,TM[[#All],[Insurance Category Code]],1,TM[[#All],[Large Provider Entity Code]],A168)/C168,"NA")</f>
        <v>NA</v>
      </c>
      <c r="I168" s="213">
        <f>SUMIFS(TM[[#All],[Member Months]],TM[[#All],[Reporting Year]],2023,TM[[#All],[Insurance Category Code]],1,TM[[#All],[Large Provider Entity Code]],A168)</f>
        <v>0</v>
      </c>
      <c r="J168" s="126" t="str">
        <f>IFERROR(SUMIFS(TM[[#All],[Total Non-Truncated Claims Spending]],TM[[#All],[Reporting Year]],2023,TM[[#All],[Insurance Category Code]],1,TM[[#All],[Large Provider Entity Code]],A168)/I168,"NA")</f>
        <v>NA</v>
      </c>
      <c r="K168" s="126" t="str">
        <f>IFERROR(SUMIFS(TM[[#All],[Total Non-Claims Spending]],TM[[#All],[Reporting Year]],2023,TM[[#All],[Insurance Category Code]],1,TM[[#All],[Large Provider Entity Code]],A168)/I168,"NA")</f>
        <v>NA</v>
      </c>
      <c r="L168" s="126" t="str">
        <f>IFERROR(SUMIFS(TM[[#All],[Total Non-Truncated Claims and Non-Claims Spending]],TM[[#All],[Reporting Year]],2023,TM[[#All],[Insurance Category Code]],1,TM[[#All],[Large Provider Entity Code]],A168)/I168,"NA")</f>
        <v>NA</v>
      </c>
      <c r="M168" s="126" t="str">
        <f>IFERROR(SUMIFS(TM[[#All],[Total Truncated Claims Spending]],TM[[#All],[Reporting Year]],2023,TM[[#All],[Insurance Category Code]],1,TM[[#All],[Large Provider Entity Code]],A168)/I168,"NA")</f>
        <v>NA</v>
      </c>
      <c r="N168" s="214" t="str">
        <f>IFERROR(SUMIFS(TM[[#All],[Total Truncated Expenses]],TM[[#All],[Reporting Year]],2023,TM[[#All],[Insurance Category Code]],1,TM[[#All],[Large Provider Entity Code]],A168)/I168,"NA")</f>
        <v>NA</v>
      </c>
      <c r="O168" s="518">
        <f t="shared" si="29"/>
        <v>0</v>
      </c>
      <c r="P168" s="245" t="str">
        <f t="shared" si="28"/>
        <v>NA</v>
      </c>
      <c r="Q168" s="127" t="str">
        <f t="shared" si="28"/>
        <v>NA</v>
      </c>
      <c r="R168" s="127" t="str">
        <f t="shared" si="28"/>
        <v>NA</v>
      </c>
      <c r="S168" s="127" t="str">
        <f t="shared" si="28"/>
        <v>NA</v>
      </c>
      <c r="T168" s="127" t="str">
        <f t="shared" si="28"/>
        <v>NA</v>
      </c>
      <c r="U168" s="127" t="str">
        <f t="shared" si="28"/>
        <v>NA</v>
      </c>
    </row>
    <row r="169" spans="1:21" x14ac:dyDescent="0.25">
      <c r="A169" s="218">
        <v>108</v>
      </c>
      <c r="B169" s="495" t="s">
        <v>612</v>
      </c>
      <c r="C169" s="213">
        <f>SUMIFS(TM[[#All],[Member Months]],TM[[#All],[Reporting Year]],2022,TM[[#All],[Insurance Category Code]],1,TM[[#All],[Large Provider Entity Code]],A169)</f>
        <v>0</v>
      </c>
      <c r="D169" s="126" t="str">
        <f>IFERROR(SUMIFS(TM[[#All],[Total Non-Truncated Claims Spending]],TM[[#All],[Reporting Year]],2022,TM[[#All],[Insurance Category Code]],1,TM[[#All],[Large Provider Entity Code]],A169)/C169,"NA")</f>
        <v>NA</v>
      </c>
      <c r="E169" s="126" t="str">
        <f>IFERROR(SUMIFS(TM[[#All],[Total Non-Claims Spending]],TM[[#All],[Reporting Year]],2022,TM[[#All],[Insurance Category Code]],1,TM[[#All],[Large Provider Entity Code]],A169)/C169,"NA")</f>
        <v>NA</v>
      </c>
      <c r="F169" s="126" t="str">
        <f>IFERROR(SUMIFS(TM[[#All],[Total Non-Truncated Claims and Non-Claims Spending]],TM[[#All],[Reporting Year]],2022,TM[[#All],[Insurance Category Code]],1,TM[[#All],[Large Provider Entity Code]],A169)/C169,"NA")</f>
        <v>NA</v>
      </c>
      <c r="G169" s="126" t="str">
        <f>IFERROR(SUMIFS(TM[[#All],[Total Truncated Claims Spending]],TM[[#All],[Reporting Year]],2022,TM[[#All],[Insurance Category Code]],1,TM[[#All],[Large Provider Entity Code]],A169)/C169,"NA")</f>
        <v>NA</v>
      </c>
      <c r="H169" s="214" t="str">
        <f>IFERROR(SUMIFS(TM[[#All],[Total Truncated Expenses]],TM[[#All],[Reporting Year]],2022,TM[[#All],[Insurance Category Code]],1,TM[[#All],[Large Provider Entity Code]],A169)/C169,"NA")</f>
        <v>NA</v>
      </c>
      <c r="I169" s="213">
        <f>SUMIFS(TM[[#All],[Member Months]],TM[[#All],[Reporting Year]],2023,TM[[#All],[Insurance Category Code]],1,TM[[#All],[Large Provider Entity Code]],A169)</f>
        <v>0</v>
      </c>
      <c r="J169" s="126" t="str">
        <f>IFERROR(SUMIFS(TM[[#All],[Total Non-Truncated Claims Spending]],TM[[#All],[Reporting Year]],2023,TM[[#All],[Insurance Category Code]],1,TM[[#All],[Large Provider Entity Code]],A169)/I169,"NA")</f>
        <v>NA</v>
      </c>
      <c r="K169" s="126" t="str">
        <f>IFERROR(SUMIFS(TM[[#All],[Total Non-Claims Spending]],TM[[#All],[Reporting Year]],2023,TM[[#All],[Insurance Category Code]],1,TM[[#All],[Large Provider Entity Code]],A169)/I169,"NA")</f>
        <v>NA</v>
      </c>
      <c r="L169" s="126" t="str">
        <f>IFERROR(SUMIFS(TM[[#All],[Total Non-Truncated Claims and Non-Claims Spending]],TM[[#All],[Reporting Year]],2023,TM[[#All],[Insurance Category Code]],1,TM[[#All],[Large Provider Entity Code]],A169)/I169,"NA")</f>
        <v>NA</v>
      </c>
      <c r="M169" s="126" t="str">
        <f>IFERROR(SUMIFS(TM[[#All],[Total Truncated Claims Spending]],TM[[#All],[Reporting Year]],2023,TM[[#All],[Insurance Category Code]],1,TM[[#All],[Large Provider Entity Code]],A169)/I169,"NA")</f>
        <v>NA</v>
      </c>
      <c r="N169" s="214" t="str">
        <f>IFERROR(SUMIFS(TM[[#All],[Total Truncated Expenses]],TM[[#All],[Reporting Year]],2023,TM[[#All],[Insurance Category Code]],1,TM[[#All],[Large Provider Entity Code]],A169)/I169,"NA")</f>
        <v>NA</v>
      </c>
      <c r="O169" s="518">
        <f t="shared" si="29"/>
        <v>0</v>
      </c>
      <c r="P169" s="245" t="str">
        <f t="shared" si="28"/>
        <v>NA</v>
      </c>
      <c r="Q169" s="127" t="str">
        <f t="shared" si="28"/>
        <v>NA</v>
      </c>
      <c r="R169" s="127" t="str">
        <f t="shared" si="28"/>
        <v>NA</v>
      </c>
      <c r="S169" s="127" t="str">
        <f t="shared" si="28"/>
        <v>NA</v>
      </c>
      <c r="T169" s="127" t="str">
        <f t="shared" si="28"/>
        <v>NA</v>
      </c>
      <c r="U169" s="127" t="str">
        <f t="shared" si="28"/>
        <v>NA</v>
      </c>
    </row>
    <row r="170" spans="1:21" x14ac:dyDescent="0.25">
      <c r="A170" s="218">
        <v>109</v>
      </c>
      <c r="B170" s="571" t="s">
        <v>76</v>
      </c>
      <c r="C170" s="213">
        <f>SUMIFS(TM[[#All],[Member Months]],TM[[#All],[Reporting Year]],2022,TM[[#All],[Insurance Category Code]],1,TM[[#All],[Large Provider Entity Code]],A170)</f>
        <v>0</v>
      </c>
      <c r="D170" s="126" t="str">
        <f>IFERROR(SUMIFS(TM[[#All],[Total Non-Truncated Claims Spending]],TM[[#All],[Reporting Year]],2022,TM[[#All],[Insurance Category Code]],1,TM[[#All],[Large Provider Entity Code]],A170)/C170,"NA")</f>
        <v>NA</v>
      </c>
      <c r="E170" s="126" t="str">
        <f>IFERROR(SUMIFS(TM[[#All],[Total Non-Claims Spending]],TM[[#All],[Reporting Year]],2022,TM[[#All],[Insurance Category Code]],1,TM[[#All],[Large Provider Entity Code]],A170)/C170,"NA")</f>
        <v>NA</v>
      </c>
      <c r="F170" s="126" t="str">
        <f>IFERROR(SUMIFS(TM[[#All],[Total Non-Truncated Claims and Non-Claims Spending]],TM[[#All],[Reporting Year]],2022,TM[[#All],[Insurance Category Code]],1,TM[[#All],[Large Provider Entity Code]],A170)/C170,"NA")</f>
        <v>NA</v>
      </c>
      <c r="G170" s="126" t="str">
        <f>IFERROR(SUMIFS(TM[[#All],[Total Truncated Claims Spending]],TM[[#All],[Reporting Year]],2022,TM[[#All],[Insurance Category Code]],1,TM[[#All],[Large Provider Entity Code]],A170)/C170,"NA")</f>
        <v>NA</v>
      </c>
      <c r="H170" s="214" t="str">
        <f>IFERROR(SUMIFS(TM[[#All],[Total Truncated Expenses]],TM[[#All],[Reporting Year]],2022,TM[[#All],[Insurance Category Code]],1,TM[[#All],[Large Provider Entity Code]],A170)/C170,"NA")</f>
        <v>NA</v>
      </c>
      <c r="I170" s="213">
        <f>SUMIFS(TM[[#All],[Member Months]],TM[[#All],[Reporting Year]],2023,TM[[#All],[Insurance Category Code]],1,TM[[#All],[Large Provider Entity Code]],A170)</f>
        <v>0</v>
      </c>
      <c r="J170" s="126" t="str">
        <f>IFERROR(SUMIFS(TM[[#All],[Total Non-Truncated Claims Spending]],TM[[#All],[Reporting Year]],2023,TM[[#All],[Insurance Category Code]],1,TM[[#All],[Large Provider Entity Code]],A170)/I170,"NA")</f>
        <v>NA</v>
      </c>
      <c r="K170" s="126" t="str">
        <f>IFERROR(SUMIFS(TM[[#All],[Total Non-Claims Spending]],TM[[#All],[Reporting Year]],2023,TM[[#All],[Insurance Category Code]],1,TM[[#All],[Large Provider Entity Code]],A170)/I170,"NA")</f>
        <v>NA</v>
      </c>
      <c r="L170" s="126" t="str">
        <f>IFERROR(SUMIFS(TM[[#All],[Total Non-Truncated Claims and Non-Claims Spending]],TM[[#All],[Reporting Year]],2023,TM[[#All],[Insurance Category Code]],1,TM[[#All],[Large Provider Entity Code]],A170)/I170,"NA")</f>
        <v>NA</v>
      </c>
      <c r="M170" s="126" t="str">
        <f>IFERROR(SUMIFS(TM[[#All],[Total Truncated Claims Spending]],TM[[#All],[Reporting Year]],2023,TM[[#All],[Insurance Category Code]],1,TM[[#All],[Large Provider Entity Code]],A170)/I170,"NA")</f>
        <v>NA</v>
      </c>
      <c r="N170" s="214" t="str">
        <f>IFERROR(SUMIFS(TM[[#All],[Total Truncated Expenses]],TM[[#All],[Reporting Year]],2023,TM[[#All],[Insurance Category Code]],1,TM[[#All],[Large Provider Entity Code]],A170)/I170,"NA")</f>
        <v>NA</v>
      </c>
      <c r="O170" s="518">
        <f t="shared" si="29"/>
        <v>0</v>
      </c>
      <c r="P170" s="245" t="str">
        <f t="shared" si="28"/>
        <v>NA</v>
      </c>
      <c r="Q170" s="127" t="str">
        <f t="shared" si="28"/>
        <v>NA</v>
      </c>
      <c r="R170" s="127" t="str">
        <f t="shared" si="28"/>
        <v>NA</v>
      </c>
      <c r="S170" s="127" t="str">
        <f t="shared" si="28"/>
        <v>NA</v>
      </c>
      <c r="T170" s="127" t="str">
        <f t="shared" si="28"/>
        <v>NA</v>
      </c>
      <c r="U170" s="127" t="str">
        <f t="shared" si="28"/>
        <v>NA</v>
      </c>
    </row>
    <row r="171" spans="1:21" x14ac:dyDescent="0.25">
      <c r="A171" s="218">
        <v>110</v>
      </c>
      <c r="B171" s="495" t="s">
        <v>77</v>
      </c>
      <c r="C171" s="213">
        <f>SUMIFS(TM[[#All],[Member Months]],TM[[#All],[Reporting Year]],2022,TM[[#All],[Insurance Category Code]],1,TM[[#All],[Large Provider Entity Code]],A171)</f>
        <v>0</v>
      </c>
      <c r="D171" s="126" t="str">
        <f>IFERROR(SUMIFS(TM[[#All],[Total Non-Truncated Claims Spending]],TM[[#All],[Reporting Year]],2022,TM[[#All],[Insurance Category Code]],1,TM[[#All],[Large Provider Entity Code]],A171)/C171,"NA")</f>
        <v>NA</v>
      </c>
      <c r="E171" s="126" t="str">
        <f>IFERROR(SUMIFS(TM[[#All],[Total Non-Claims Spending]],TM[[#All],[Reporting Year]],2022,TM[[#All],[Insurance Category Code]],1,TM[[#All],[Large Provider Entity Code]],A171)/C171,"NA")</f>
        <v>NA</v>
      </c>
      <c r="F171" s="126" t="str">
        <f>IFERROR(SUMIFS(TM[[#All],[Total Non-Truncated Claims and Non-Claims Spending]],TM[[#All],[Reporting Year]],2022,TM[[#All],[Insurance Category Code]],1,TM[[#All],[Large Provider Entity Code]],A171)/C171,"NA")</f>
        <v>NA</v>
      </c>
      <c r="G171" s="126" t="str">
        <f>IFERROR(SUMIFS(TM[[#All],[Total Truncated Claims Spending]],TM[[#All],[Reporting Year]],2022,TM[[#All],[Insurance Category Code]],1,TM[[#All],[Large Provider Entity Code]],A171)/C171,"NA")</f>
        <v>NA</v>
      </c>
      <c r="H171" s="214" t="str">
        <f>IFERROR(SUMIFS(TM[[#All],[Total Truncated Expenses]],TM[[#All],[Reporting Year]],2022,TM[[#All],[Insurance Category Code]],1,TM[[#All],[Large Provider Entity Code]],A171)/C171,"NA")</f>
        <v>NA</v>
      </c>
      <c r="I171" s="213">
        <f>SUMIFS(TM[[#All],[Member Months]],TM[[#All],[Reporting Year]],2023,TM[[#All],[Insurance Category Code]],1,TM[[#All],[Large Provider Entity Code]],A171)</f>
        <v>0</v>
      </c>
      <c r="J171" s="126" t="str">
        <f>IFERROR(SUMIFS(TM[[#All],[Total Non-Truncated Claims Spending]],TM[[#All],[Reporting Year]],2023,TM[[#All],[Insurance Category Code]],1,TM[[#All],[Large Provider Entity Code]],A171)/I171,"NA")</f>
        <v>NA</v>
      </c>
      <c r="K171" s="126" t="str">
        <f>IFERROR(SUMIFS(TM[[#All],[Total Non-Claims Spending]],TM[[#All],[Reporting Year]],2023,TM[[#All],[Insurance Category Code]],1,TM[[#All],[Large Provider Entity Code]],A171)/I171,"NA")</f>
        <v>NA</v>
      </c>
      <c r="L171" s="126" t="str">
        <f>IFERROR(SUMIFS(TM[[#All],[Total Non-Truncated Claims and Non-Claims Spending]],TM[[#All],[Reporting Year]],2023,TM[[#All],[Insurance Category Code]],1,TM[[#All],[Large Provider Entity Code]],A171)/I171,"NA")</f>
        <v>NA</v>
      </c>
      <c r="M171" s="126" t="str">
        <f>IFERROR(SUMIFS(TM[[#All],[Total Truncated Claims Spending]],TM[[#All],[Reporting Year]],2023,TM[[#All],[Insurance Category Code]],1,TM[[#All],[Large Provider Entity Code]],A171)/I171,"NA")</f>
        <v>NA</v>
      </c>
      <c r="N171" s="214" t="str">
        <f>IFERROR(SUMIFS(TM[[#All],[Total Truncated Expenses]],TM[[#All],[Reporting Year]],2023,TM[[#All],[Insurance Category Code]],1,TM[[#All],[Large Provider Entity Code]],A171)/I171,"NA")</f>
        <v>NA</v>
      </c>
      <c r="O171" s="518">
        <f t="shared" si="29"/>
        <v>0</v>
      </c>
      <c r="P171" s="245" t="str">
        <f t="shared" si="28"/>
        <v>NA</v>
      </c>
      <c r="Q171" s="127" t="str">
        <f t="shared" si="28"/>
        <v>NA</v>
      </c>
      <c r="R171" s="127" t="str">
        <f t="shared" si="28"/>
        <v>NA</v>
      </c>
      <c r="S171" s="127" t="str">
        <f t="shared" si="28"/>
        <v>NA</v>
      </c>
      <c r="T171" s="127" t="str">
        <f t="shared" si="28"/>
        <v>NA</v>
      </c>
      <c r="U171" s="127" t="str">
        <f t="shared" si="28"/>
        <v>NA</v>
      </c>
    </row>
    <row r="172" spans="1:21" x14ac:dyDescent="0.25">
      <c r="A172" s="218">
        <v>111</v>
      </c>
      <c r="B172" s="566" t="s">
        <v>78</v>
      </c>
      <c r="C172" s="213">
        <f>SUMIFS(TM[[#All],[Member Months]],TM[[#All],[Reporting Year]],2022,TM[[#All],[Insurance Category Code]],1,TM[[#All],[Large Provider Entity Code]],A172)</f>
        <v>0</v>
      </c>
      <c r="D172" s="126" t="str">
        <f>IFERROR(SUMIFS(TM[[#All],[Total Non-Truncated Claims Spending]],TM[[#All],[Reporting Year]],2022,TM[[#All],[Insurance Category Code]],1,TM[[#All],[Large Provider Entity Code]],A172)/C172,"NA")</f>
        <v>NA</v>
      </c>
      <c r="E172" s="126" t="str">
        <f>IFERROR(SUMIFS(TM[[#All],[Total Non-Claims Spending]],TM[[#All],[Reporting Year]],2022,TM[[#All],[Insurance Category Code]],1,TM[[#All],[Large Provider Entity Code]],A172)/C172,"NA")</f>
        <v>NA</v>
      </c>
      <c r="F172" s="126" t="str">
        <f>IFERROR(SUMIFS(TM[[#All],[Total Non-Truncated Claims and Non-Claims Spending]],TM[[#All],[Reporting Year]],2022,TM[[#All],[Insurance Category Code]],1,TM[[#All],[Large Provider Entity Code]],A172)/C172,"NA")</f>
        <v>NA</v>
      </c>
      <c r="G172" s="126" t="str">
        <f>IFERROR(SUMIFS(TM[[#All],[Total Truncated Claims Spending]],TM[[#All],[Reporting Year]],2022,TM[[#All],[Insurance Category Code]],1,TM[[#All],[Large Provider Entity Code]],A172)/C172,"NA")</f>
        <v>NA</v>
      </c>
      <c r="H172" s="214" t="str">
        <f>IFERROR(SUMIFS(TM[[#All],[Total Truncated Expenses]],TM[[#All],[Reporting Year]],2022,TM[[#All],[Insurance Category Code]],1,TM[[#All],[Large Provider Entity Code]],A172)/C172,"NA")</f>
        <v>NA</v>
      </c>
      <c r="I172" s="213">
        <f>SUMIFS(TM[[#All],[Member Months]],TM[[#All],[Reporting Year]],2023,TM[[#All],[Insurance Category Code]],1,TM[[#All],[Large Provider Entity Code]],A172)</f>
        <v>0</v>
      </c>
      <c r="J172" s="126" t="str">
        <f>IFERROR(SUMIFS(TM[[#All],[Total Non-Truncated Claims Spending]],TM[[#All],[Reporting Year]],2023,TM[[#All],[Insurance Category Code]],1,TM[[#All],[Large Provider Entity Code]],A172)/I172,"NA")</f>
        <v>NA</v>
      </c>
      <c r="K172" s="126" t="str">
        <f>IFERROR(SUMIFS(TM[[#All],[Total Non-Claims Spending]],TM[[#All],[Reporting Year]],2023,TM[[#All],[Insurance Category Code]],1,TM[[#All],[Large Provider Entity Code]],A172)/I172,"NA")</f>
        <v>NA</v>
      </c>
      <c r="L172" s="126" t="str">
        <f>IFERROR(SUMIFS(TM[[#All],[Total Non-Truncated Claims and Non-Claims Spending]],TM[[#All],[Reporting Year]],2023,TM[[#All],[Insurance Category Code]],1,TM[[#All],[Large Provider Entity Code]],A172)/I172,"NA")</f>
        <v>NA</v>
      </c>
      <c r="M172" s="126" t="str">
        <f>IFERROR(SUMIFS(TM[[#All],[Total Truncated Claims Spending]],TM[[#All],[Reporting Year]],2023,TM[[#All],[Insurance Category Code]],1,TM[[#All],[Large Provider Entity Code]],A172)/I172,"NA")</f>
        <v>NA</v>
      </c>
      <c r="N172" s="214" t="str">
        <f>IFERROR(SUMIFS(TM[[#All],[Total Truncated Expenses]],TM[[#All],[Reporting Year]],2023,TM[[#All],[Insurance Category Code]],1,TM[[#All],[Large Provider Entity Code]],A172)/I172,"NA")</f>
        <v>NA</v>
      </c>
      <c r="O172" s="518">
        <f t="shared" si="29"/>
        <v>0</v>
      </c>
      <c r="P172" s="245" t="str">
        <f t="shared" si="28"/>
        <v>NA</v>
      </c>
      <c r="Q172" s="127" t="str">
        <f t="shared" si="28"/>
        <v>NA</v>
      </c>
      <c r="R172" s="127" t="str">
        <f t="shared" si="28"/>
        <v>NA</v>
      </c>
      <c r="S172" s="127" t="str">
        <f t="shared" si="28"/>
        <v>NA</v>
      </c>
      <c r="T172" s="127" t="str">
        <f t="shared" si="28"/>
        <v>NA</v>
      </c>
      <c r="U172" s="127" t="str">
        <f t="shared" si="28"/>
        <v>NA</v>
      </c>
    </row>
    <row r="173" spans="1:21" x14ac:dyDescent="0.25">
      <c r="A173" s="218">
        <v>112</v>
      </c>
      <c r="B173" s="566" t="s">
        <v>613</v>
      </c>
      <c r="C173" s="213">
        <f>SUMIFS(TM[[#All],[Member Months]],TM[[#All],[Reporting Year]],2022,TM[[#All],[Insurance Category Code]],1,TM[[#All],[Large Provider Entity Code]],A173)</f>
        <v>0</v>
      </c>
      <c r="D173" s="126" t="str">
        <f>IFERROR(SUMIFS(TM[[#All],[Total Non-Truncated Claims Spending]],TM[[#All],[Reporting Year]],2022,TM[[#All],[Insurance Category Code]],1,TM[[#All],[Large Provider Entity Code]],A173)/C173,"NA")</f>
        <v>NA</v>
      </c>
      <c r="E173" s="126" t="str">
        <f>IFERROR(SUMIFS(TM[[#All],[Total Non-Claims Spending]],TM[[#All],[Reporting Year]],2022,TM[[#All],[Insurance Category Code]],1,TM[[#All],[Large Provider Entity Code]],A173)/C173,"NA")</f>
        <v>NA</v>
      </c>
      <c r="F173" s="126" t="str">
        <f>IFERROR(SUMIFS(TM[[#All],[Total Non-Truncated Claims and Non-Claims Spending]],TM[[#All],[Reporting Year]],2022,TM[[#All],[Insurance Category Code]],1,TM[[#All],[Large Provider Entity Code]],A173)/C173,"NA")</f>
        <v>NA</v>
      </c>
      <c r="G173" s="126" t="str">
        <f>IFERROR(SUMIFS(TM[[#All],[Total Truncated Claims Spending]],TM[[#All],[Reporting Year]],2022,TM[[#All],[Insurance Category Code]],1,TM[[#All],[Large Provider Entity Code]],A173)/C173,"NA")</f>
        <v>NA</v>
      </c>
      <c r="H173" s="214" t="str">
        <f>IFERROR(SUMIFS(TM[[#All],[Total Truncated Expenses]],TM[[#All],[Reporting Year]],2022,TM[[#All],[Insurance Category Code]],1,TM[[#All],[Large Provider Entity Code]],A173)/C173,"NA")</f>
        <v>NA</v>
      </c>
      <c r="I173" s="213">
        <f>SUMIFS(TM[[#All],[Member Months]],TM[[#All],[Reporting Year]],2023,TM[[#All],[Insurance Category Code]],1,TM[[#All],[Large Provider Entity Code]],A173)</f>
        <v>0</v>
      </c>
      <c r="J173" s="126" t="str">
        <f>IFERROR(SUMIFS(TM[[#All],[Total Non-Truncated Claims Spending]],TM[[#All],[Reporting Year]],2023,TM[[#All],[Insurance Category Code]],1,TM[[#All],[Large Provider Entity Code]],A173)/I173,"NA")</f>
        <v>NA</v>
      </c>
      <c r="K173" s="126" t="str">
        <f>IFERROR(SUMIFS(TM[[#All],[Total Non-Claims Spending]],TM[[#All],[Reporting Year]],2023,TM[[#All],[Insurance Category Code]],1,TM[[#All],[Large Provider Entity Code]],A173)/I173,"NA")</f>
        <v>NA</v>
      </c>
      <c r="L173" s="126" t="str">
        <f>IFERROR(SUMIFS(TM[[#All],[Total Non-Truncated Claims and Non-Claims Spending]],TM[[#All],[Reporting Year]],2023,TM[[#All],[Insurance Category Code]],1,TM[[#All],[Large Provider Entity Code]],A173)/I173,"NA")</f>
        <v>NA</v>
      </c>
      <c r="M173" s="126" t="str">
        <f>IFERROR(SUMIFS(TM[[#All],[Total Truncated Claims Spending]],TM[[#All],[Reporting Year]],2023,TM[[#All],[Insurance Category Code]],1,TM[[#All],[Large Provider Entity Code]],A173)/I173,"NA")</f>
        <v>NA</v>
      </c>
      <c r="N173" s="214" t="str">
        <f>IFERROR(SUMIFS(TM[[#All],[Total Truncated Expenses]],TM[[#All],[Reporting Year]],2023,TM[[#All],[Insurance Category Code]],1,TM[[#All],[Large Provider Entity Code]],A173)/I173,"NA")</f>
        <v>NA</v>
      </c>
      <c r="O173" s="518">
        <f t="shared" si="29"/>
        <v>0</v>
      </c>
      <c r="P173" s="245" t="str">
        <f t="shared" si="28"/>
        <v>NA</v>
      </c>
      <c r="Q173" s="127" t="str">
        <f t="shared" si="28"/>
        <v>NA</v>
      </c>
      <c r="R173" s="127" t="str">
        <f t="shared" si="28"/>
        <v>NA</v>
      </c>
      <c r="S173" s="127" t="str">
        <f t="shared" si="28"/>
        <v>NA</v>
      </c>
      <c r="T173" s="127" t="str">
        <f t="shared" si="28"/>
        <v>NA</v>
      </c>
      <c r="U173" s="127" t="str">
        <f t="shared" si="28"/>
        <v>NA</v>
      </c>
    </row>
    <row r="174" spans="1:21" x14ac:dyDescent="0.25">
      <c r="A174" s="218">
        <v>115</v>
      </c>
      <c r="B174" s="566" t="s">
        <v>79</v>
      </c>
      <c r="C174" s="213">
        <f>SUMIFS(TM[[#All],[Member Months]],TM[[#All],[Reporting Year]],2022,TM[[#All],[Insurance Category Code]],1,TM[[#All],[Large Provider Entity Code]],A174)</f>
        <v>0</v>
      </c>
      <c r="D174" s="7" t="str">
        <f>IFERROR(SUMIFS(TM[[#All],[Total Non-Truncated Claims Spending]],TM[[#All],[Reporting Year]],2022,TM[[#All],[Insurance Category Code]],1,TM[[#All],[Large Provider Entity Code]],A174)/C174,"NA")</f>
        <v>NA</v>
      </c>
      <c r="E174" s="7" t="str">
        <f>IFERROR(SUMIFS(TM[[#All],[Total Non-Claims Spending]],TM[[#All],[Reporting Year]],2022,TM[[#All],[Insurance Category Code]],1,TM[[#All],[Large Provider Entity Code]],A174)/C174,"NA")</f>
        <v>NA</v>
      </c>
      <c r="F174" s="7" t="str">
        <f>IFERROR(SUMIFS(TM[[#All],[Total Non-Truncated Claims and Non-Claims Spending]],TM[[#All],[Reporting Year]],2022,TM[[#All],[Insurance Category Code]],1,TM[[#All],[Large Provider Entity Code]],A174)/C174,"NA")</f>
        <v>NA</v>
      </c>
      <c r="G174" s="7" t="str">
        <f>IFERROR(SUMIFS(TM[[#All],[Total Truncated Claims Spending]],TM[[#All],[Reporting Year]],2022,TM[[#All],[Insurance Category Code]],1,TM[[#All],[Large Provider Entity Code]],A174)/C174,"NA")</f>
        <v>NA</v>
      </c>
      <c r="H174" s="214" t="str">
        <f>IFERROR(SUMIFS(TM[[#All],[Total Truncated Expenses]],TM[[#All],[Reporting Year]],2022,TM[[#All],[Insurance Category Code]],1,TM[[#All],[Large Provider Entity Code]],A174)/C174,"NA")</f>
        <v>NA</v>
      </c>
      <c r="I174" s="213">
        <f>SUMIFS(TM[[#All],[Member Months]],TM[[#All],[Reporting Year]],2023,TM[[#All],[Insurance Category Code]],1,TM[[#All],[Large Provider Entity Code]],A174)</f>
        <v>0</v>
      </c>
      <c r="J174" s="7" t="str">
        <f>IFERROR(SUMIFS(TM[[#All],[Total Non-Truncated Claims Spending]],TM[[#All],[Reporting Year]],2023,TM[[#All],[Insurance Category Code]],1,TM[[#All],[Large Provider Entity Code]],A174)/I174,"NA")</f>
        <v>NA</v>
      </c>
      <c r="K174" s="7" t="str">
        <f>IFERROR(SUMIFS(TM[[#All],[Total Non-Claims Spending]],TM[[#All],[Reporting Year]],2023,TM[[#All],[Insurance Category Code]],1,TM[[#All],[Large Provider Entity Code]],A174)/I174,"NA")</f>
        <v>NA</v>
      </c>
      <c r="L174" s="7" t="str">
        <f>IFERROR(SUMIFS(TM[[#All],[Total Non-Truncated Claims and Non-Claims Spending]],TM[[#All],[Reporting Year]],2023,TM[[#All],[Insurance Category Code]],1,TM[[#All],[Large Provider Entity Code]],A174)/I174,"NA")</f>
        <v>NA</v>
      </c>
      <c r="M174" s="7" t="str">
        <f>IFERROR(SUMIFS(TM[[#All],[Total Truncated Claims Spending]],TM[[#All],[Reporting Year]],2023,TM[[#All],[Insurance Category Code]],1,TM[[#All],[Large Provider Entity Code]],A174)/I174,"NA")</f>
        <v>NA</v>
      </c>
      <c r="N174" s="214" t="str">
        <f>IFERROR(SUMIFS(TM[[#All],[Total Truncated Expenses]],TM[[#All],[Reporting Year]],2023,TM[[#All],[Insurance Category Code]],1,TM[[#All],[Large Provider Entity Code]],A174)/I174,"NA")</f>
        <v>NA</v>
      </c>
      <c r="O174" s="518">
        <f t="shared" si="29"/>
        <v>0</v>
      </c>
      <c r="P174" s="245" t="str">
        <f t="shared" si="28"/>
        <v>NA</v>
      </c>
      <c r="Q174" s="127" t="str">
        <f t="shared" si="28"/>
        <v>NA</v>
      </c>
      <c r="R174" s="127" t="str">
        <f t="shared" si="28"/>
        <v>NA</v>
      </c>
      <c r="S174" s="127" t="str">
        <f t="shared" si="28"/>
        <v>NA</v>
      </c>
      <c r="T174" s="127" t="str">
        <f t="shared" si="28"/>
        <v>NA</v>
      </c>
      <c r="U174" s="127" t="str">
        <f t="shared" si="28"/>
        <v>NA</v>
      </c>
    </row>
    <row r="175" spans="1:21" x14ac:dyDescent="0.25">
      <c r="A175" s="218">
        <v>116</v>
      </c>
      <c r="B175" s="566" t="s">
        <v>614</v>
      </c>
      <c r="C175" s="213">
        <f>SUMIFS(TM[[#All],[Member Months]],TM[[#All],[Reporting Year]],2022,TM[[#All],[Insurance Category Code]],1,TM[[#All],[Large Provider Entity Code]],A175)</f>
        <v>0</v>
      </c>
      <c r="D175" s="7" t="str">
        <f>IFERROR(SUMIFS(TM[[#All],[Total Non-Truncated Claims Spending]],TM[[#All],[Reporting Year]],2022,TM[[#All],[Insurance Category Code]],1,TM[[#All],[Large Provider Entity Code]],A175)/C175,"NA")</f>
        <v>NA</v>
      </c>
      <c r="E175" s="7" t="str">
        <f>IFERROR(SUMIFS(TM[[#All],[Total Non-Claims Spending]],TM[[#All],[Reporting Year]],2022,TM[[#All],[Insurance Category Code]],1,TM[[#All],[Large Provider Entity Code]],A175)/C175,"NA")</f>
        <v>NA</v>
      </c>
      <c r="F175" s="7" t="str">
        <f>IFERROR(SUMIFS(TM[[#All],[Total Non-Truncated Claims and Non-Claims Spending]],TM[[#All],[Reporting Year]],2022,TM[[#All],[Insurance Category Code]],1,TM[[#All],[Large Provider Entity Code]],A175)/C175,"NA")</f>
        <v>NA</v>
      </c>
      <c r="G175" s="7" t="str">
        <f>IFERROR(SUMIFS(TM[[#All],[Total Truncated Claims Spending]],TM[[#All],[Reporting Year]],2022,TM[[#All],[Insurance Category Code]],1,TM[[#All],[Large Provider Entity Code]],A175)/C175,"NA")</f>
        <v>NA</v>
      </c>
      <c r="H175" s="214" t="str">
        <f>IFERROR(SUMIFS(TM[[#All],[Total Truncated Expenses]],TM[[#All],[Reporting Year]],2022,TM[[#All],[Insurance Category Code]],1,TM[[#All],[Large Provider Entity Code]],A175)/C175,"NA")</f>
        <v>NA</v>
      </c>
      <c r="I175" s="213">
        <f>SUMIFS(TM[[#All],[Member Months]],TM[[#All],[Reporting Year]],2023,TM[[#All],[Insurance Category Code]],1,TM[[#All],[Large Provider Entity Code]],A175)</f>
        <v>0</v>
      </c>
      <c r="J175" s="7" t="str">
        <f>IFERROR(SUMIFS(TM[[#All],[Total Non-Truncated Claims Spending]],TM[[#All],[Reporting Year]],2023,TM[[#All],[Insurance Category Code]],1,TM[[#All],[Large Provider Entity Code]],A175)/I175,"NA")</f>
        <v>NA</v>
      </c>
      <c r="K175" s="7" t="str">
        <f>IFERROR(SUMIFS(TM[[#All],[Total Non-Claims Spending]],TM[[#All],[Reporting Year]],2023,TM[[#All],[Insurance Category Code]],1,TM[[#All],[Large Provider Entity Code]],A175)/I175,"NA")</f>
        <v>NA</v>
      </c>
      <c r="L175" s="7" t="str">
        <f>IFERROR(SUMIFS(TM[[#All],[Total Non-Truncated Claims and Non-Claims Spending]],TM[[#All],[Reporting Year]],2023,TM[[#All],[Insurance Category Code]],1,TM[[#All],[Large Provider Entity Code]],A175)/I175,"NA")</f>
        <v>NA</v>
      </c>
      <c r="M175" s="7" t="str">
        <f>IFERROR(SUMIFS(TM[[#All],[Total Truncated Claims Spending]],TM[[#All],[Reporting Year]],2023,TM[[#All],[Insurance Category Code]],1,TM[[#All],[Large Provider Entity Code]],A175)/I175,"NA")</f>
        <v>NA</v>
      </c>
      <c r="N175" s="214" t="str">
        <f>IFERROR(SUMIFS(TM[[#All],[Total Truncated Expenses]],TM[[#All],[Reporting Year]],2023,TM[[#All],[Insurance Category Code]],1,TM[[#All],[Large Provider Entity Code]],A175)/I175,"NA")</f>
        <v>NA</v>
      </c>
      <c r="O175" s="518">
        <f t="shared" si="29"/>
        <v>0</v>
      </c>
      <c r="P175" s="245" t="str">
        <f t="shared" si="28"/>
        <v>NA</v>
      </c>
      <c r="Q175" s="127" t="str">
        <f t="shared" si="28"/>
        <v>NA</v>
      </c>
      <c r="R175" s="127" t="str">
        <f t="shared" si="28"/>
        <v>NA</v>
      </c>
      <c r="S175" s="127" t="str">
        <f t="shared" si="28"/>
        <v>NA</v>
      </c>
      <c r="T175" s="127" t="str">
        <f t="shared" si="28"/>
        <v>NA</v>
      </c>
      <c r="U175" s="127" t="str">
        <f t="shared" si="28"/>
        <v>NA</v>
      </c>
    </row>
    <row r="176" spans="1:21" x14ac:dyDescent="0.25">
      <c r="A176" s="218">
        <v>118</v>
      </c>
      <c r="B176" s="566" t="s">
        <v>80</v>
      </c>
      <c r="C176" s="213">
        <f>SUMIFS(TM[[#All],[Member Months]],TM[[#All],[Reporting Year]],2022,TM[[#All],[Insurance Category Code]],1,TM[[#All],[Large Provider Entity Code]],A176)</f>
        <v>0</v>
      </c>
      <c r="D176" s="7" t="str">
        <f>IFERROR(SUMIFS(TM[[#All],[Total Non-Truncated Claims Spending]],TM[[#All],[Reporting Year]],2022,TM[[#All],[Insurance Category Code]],1,TM[[#All],[Large Provider Entity Code]],A176)/C176,"NA")</f>
        <v>NA</v>
      </c>
      <c r="E176" s="7" t="str">
        <f>IFERROR(SUMIFS(TM[[#All],[Total Non-Claims Spending]],TM[[#All],[Reporting Year]],2022,TM[[#All],[Insurance Category Code]],1,TM[[#All],[Large Provider Entity Code]],A176)/C176,"NA")</f>
        <v>NA</v>
      </c>
      <c r="F176" s="7" t="str">
        <f>IFERROR(SUMIFS(TM[[#All],[Total Non-Truncated Claims and Non-Claims Spending]],TM[[#All],[Reporting Year]],2022,TM[[#All],[Insurance Category Code]],1,TM[[#All],[Large Provider Entity Code]],A176)/C176,"NA")</f>
        <v>NA</v>
      </c>
      <c r="G176" s="7" t="str">
        <f>IFERROR(SUMIFS(TM[[#All],[Total Truncated Claims Spending]],TM[[#All],[Reporting Year]],2022,TM[[#All],[Insurance Category Code]],1,TM[[#All],[Large Provider Entity Code]],A176)/C176,"NA")</f>
        <v>NA</v>
      </c>
      <c r="H176" s="214" t="str">
        <f>IFERROR(SUMIFS(TM[[#All],[Total Truncated Expenses]],TM[[#All],[Reporting Year]],2022,TM[[#All],[Insurance Category Code]],1,TM[[#All],[Large Provider Entity Code]],A176)/C176,"NA")</f>
        <v>NA</v>
      </c>
      <c r="I176" s="213">
        <f>SUMIFS(TM[[#All],[Member Months]],TM[[#All],[Reporting Year]],2023,TM[[#All],[Insurance Category Code]],1,TM[[#All],[Large Provider Entity Code]],A176)</f>
        <v>0</v>
      </c>
      <c r="J176" s="7" t="str">
        <f>IFERROR(SUMIFS(TM[[#All],[Total Non-Truncated Claims Spending]],TM[[#All],[Reporting Year]],2023,TM[[#All],[Insurance Category Code]],1,TM[[#All],[Large Provider Entity Code]],A176)/I176,"NA")</f>
        <v>NA</v>
      </c>
      <c r="K176" s="7" t="str">
        <f>IFERROR(SUMIFS(TM[[#All],[Total Non-Claims Spending]],TM[[#All],[Reporting Year]],2023,TM[[#All],[Insurance Category Code]],1,TM[[#All],[Large Provider Entity Code]],A176)/I176,"NA")</f>
        <v>NA</v>
      </c>
      <c r="L176" s="7" t="str">
        <f>IFERROR(SUMIFS(TM[[#All],[Total Non-Truncated Claims and Non-Claims Spending]],TM[[#All],[Reporting Year]],2023,TM[[#All],[Insurance Category Code]],1,TM[[#All],[Large Provider Entity Code]],A176)/I176,"NA")</f>
        <v>NA</v>
      </c>
      <c r="M176" s="7" t="str">
        <f>IFERROR(SUMIFS(TM[[#All],[Total Truncated Claims Spending]],TM[[#All],[Reporting Year]],2023,TM[[#All],[Insurance Category Code]],1,TM[[#All],[Large Provider Entity Code]],A176)/I176,"NA")</f>
        <v>NA</v>
      </c>
      <c r="N176" s="214" t="str">
        <f>IFERROR(SUMIFS(TM[[#All],[Total Truncated Expenses]],TM[[#All],[Reporting Year]],2023,TM[[#All],[Insurance Category Code]],1,TM[[#All],[Large Provider Entity Code]],A176)/I176,"NA")</f>
        <v>NA</v>
      </c>
      <c r="O176" s="518">
        <f t="shared" si="29"/>
        <v>0</v>
      </c>
      <c r="P176" s="245" t="str">
        <f t="shared" si="28"/>
        <v>NA</v>
      </c>
      <c r="Q176" s="127" t="str">
        <f t="shared" si="28"/>
        <v>NA</v>
      </c>
      <c r="R176" s="127" t="str">
        <f t="shared" si="28"/>
        <v>NA</v>
      </c>
      <c r="S176" s="127" t="str">
        <f t="shared" si="28"/>
        <v>NA</v>
      </c>
      <c r="T176" s="127" t="str">
        <f t="shared" si="28"/>
        <v>NA</v>
      </c>
      <c r="U176" s="127" t="str">
        <f t="shared" si="28"/>
        <v>NA</v>
      </c>
    </row>
    <row r="177" spans="1:21" x14ac:dyDescent="0.25">
      <c r="A177" s="218">
        <v>119</v>
      </c>
      <c r="B177" s="566" t="s">
        <v>615</v>
      </c>
      <c r="C177" s="213">
        <f>SUMIFS(TM[[#All],[Member Months]],TM[[#All],[Reporting Year]],2022,TM[[#All],[Insurance Category Code]],1,TM[[#All],[Large Provider Entity Code]],A177)</f>
        <v>0</v>
      </c>
      <c r="D177" s="7" t="str">
        <f>IFERROR(SUMIFS(TM[[#All],[Total Non-Truncated Claims Spending]],TM[[#All],[Reporting Year]],2022,TM[[#All],[Insurance Category Code]],1,TM[[#All],[Large Provider Entity Code]],A177)/C177,"NA")</f>
        <v>NA</v>
      </c>
      <c r="E177" s="7" t="str">
        <f>IFERROR(SUMIFS(TM[[#All],[Total Non-Claims Spending]],TM[[#All],[Reporting Year]],2022,TM[[#All],[Insurance Category Code]],1,TM[[#All],[Large Provider Entity Code]],A177)/C177,"NA")</f>
        <v>NA</v>
      </c>
      <c r="F177" s="7" t="str">
        <f>IFERROR(SUMIFS(TM[[#All],[Total Non-Truncated Claims and Non-Claims Spending]],TM[[#All],[Reporting Year]],2022,TM[[#All],[Insurance Category Code]],1,TM[[#All],[Large Provider Entity Code]],A177)/C177,"NA")</f>
        <v>NA</v>
      </c>
      <c r="G177" s="7" t="str">
        <f>IFERROR(SUMIFS(TM[[#All],[Total Truncated Claims Spending]],TM[[#All],[Reporting Year]],2022,TM[[#All],[Insurance Category Code]],1,TM[[#All],[Large Provider Entity Code]],A177)/C177,"NA")</f>
        <v>NA</v>
      </c>
      <c r="H177" s="214" t="str">
        <f>IFERROR(SUMIFS(TM[[#All],[Total Truncated Expenses]],TM[[#All],[Reporting Year]],2022,TM[[#All],[Insurance Category Code]],1,TM[[#All],[Large Provider Entity Code]],A177)/C177,"NA")</f>
        <v>NA</v>
      </c>
      <c r="I177" s="213">
        <f>SUMIFS(TM[[#All],[Member Months]],TM[[#All],[Reporting Year]],2023,TM[[#All],[Insurance Category Code]],1,TM[[#All],[Large Provider Entity Code]],A177)</f>
        <v>0</v>
      </c>
      <c r="J177" s="7" t="str">
        <f>IFERROR(SUMIFS(TM[[#All],[Total Non-Truncated Claims Spending]],TM[[#All],[Reporting Year]],2023,TM[[#All],[Insurance Category Code]],1,TM[[#All],[Large Provider Entity Code]],A177)/I177,"NA")</f>
        <v>NA</v>
      </c>
      <c r="K177" s="7" t="str">
        <f>IFERROR(SUMIFS(TM[[#All],[Total Non-Claims Spending]],TM[[#All],[Reporting Year]],2023,TM[[#All],[Insurance Category Code]],1,TM[[#All],[Large Provider Entity Code]],A177)/I177,"NA")</f>
        <v>NA</v>
      </c>
      <c r="L177" s="7" t="str">
        <f>IFERROR(SUMIFS(TM[[#All],[Total Non-Truncated Claims and Non-Claims Spending]],TM[[#All],[Reporting Year]],2023,TM[[#All],[Insurance Category Code]],1,TM[[#All],[Large Provider Entity Code]],A177)/I177,"NA")</f>
        <v>NA</v>
      </c>
      <c r="M177" s="7" t="str">
        <f>IFERROR(SUMIFS(TM[[#All],[Total Truncated Claims Spending]],TM[[#All],[Reporting Year]],2023,TM[[#All],[Insurance Category Code]],1,TM[[#All],[Large Provider Entity Code]],A177)/I177,"NA")</f>
        <v>NA</v>
      </c>
      <c r="N177" s="214" t="str">
        <f>IFERROR(SUMIFS(TM[[#All],[Total Truncated Expenses]],TM[[#All],[Reporting Year]],2023,TM[[#All],[Insurance Category Code]],1,TM[[#All],[Large Provider Entity Code]],A177)/I177,"NA")</f>
        <v>NA</v>
      </c>
      <c r="O177" s="518">
        <f t="shared" si="29"/>
        <v>0</v>
      </c>
      <c r="P177" s="245" t="str">
        <f t="shared" si="28"/>
        <v>NA</v>
      </c>
      <c r="Q177" s="127" t="str">
        <f t="shared" si="28"/>
        <v>NA</v>
      </c>
      <c r="R177" s="127" t="str">
        <f t="shared" si="28"/>
        <v>NA</v>
      </c>
      <c r="S177" s="127" t="str">
        <f t="shared" si="28"/>
        <v>NA</v>
      </c>
      <c r="T177" s="127" t="str">
        <f t="shared" si="28"/>
        <v>NA</v>
      </c>
      <c r="U177" s="127" t="str">
        <f t="shared" si="28"/>
        <v>NA</v>
      </c>
    </row>
    <row r="178" spans="1:21" x14ac:dyDescent="0.25">
      <c r="A178" s="218">
        <v>120</v>
      </c>
      <c r="B178" s="566" t="s">
        <v>608</v>
      </c>
      <c r="C178" s="213">
        <f>SUMIFS(TM[[#All],[Member Months]],TM[[#All],[Reporting Year]],2022,TM[[#All],[Insurance Category Code]],1,TM[[#All],[Large Provider Entity Code]],A178)</f>
        <v>0</v>
      </c>
      <c r="D178" s="7" t="str">
        <f>IFERROR(SUMIFS(TM[[#All],[Total Non-Truncated Claims Spending]],TM[[#All],[Reporting Year]],2022,TM[[#All],[Insurance Category Code]],1,TM[[#All],[Large Provider Entity Code]],A178)/C178,"NA")</f>
        <v>NA</v>
      </c>
      <c r="E178" s="7" t="str">
        <f>IFERROR(SUMIFS(TM[[#All],[Total Non-Claims Spending]],TM[[#All],[Reporting Year]],2022,TM[[#All],[Insurance Category Code]],1,TM[[#All],[Large Provider Entity Code]],A178)/C178,"NA")</f>
        <v>NA</v>
      </c>
      <c r="F178" s="7" t="str">
        <f>IFERROR(SUMIFS(TM[[#All],[Total Non-Truncated Claims and Non-Claims Spending]],TM[[#All],[Reporting Year]],2022,TM[[#All],[Insurance Category Code]],1,TM[[#All],[Large Provider Entity Code]],A178)/C178,"NA")</f>
        <v>NA</v>
      </c>
      <c r="G178" s="7" t="str">
        <f>IFERROR(SUMIFS(TM[[#All],[Total Truncated Claims Spending]],TM[[#All],[Reporting Year]],2022,TM[[#All],[Insurance Category Code]],1,TM[[#All],[Large Provider Entity Code]],A178)/C178,"NA")</f>
        <v>NA</v>
      </c>
      <c r="H178" s="214" t="str">
        <f>IFERROR(SUMIFS(TM[[#All],[Total Truncated Expenses]],TM[[#All],[Reporting Year]],2022,TM[[#All],[Insurance Category Code]],1,TM[[#All],[Large Provider Entity Code]],A178)/C178,"NA")</f>
        <v>NA</v>
      </c>
      <c r="I178" s="213">
        <f>SUMIFS(TM[[#All],[Member Months]],TM[[#All],[Reporting Year]],2023,TM[[#All],[Insurance Category Code]],1,TM[[#All],[Large Provider Entity Code]],A178)</f>
        <v>0</v>
      </c>
      <c r="J178" s="7" t="str">
        <f>IFERROR(SUMIFS(TM[[#All],[Total Non-Truncated Claims Spending]],TM[[#All],[Reporting Year]],2023,TM[[#All],[Insurance Category Code]],1,TM[[#All],[Large Provider Entity Code]],A178)/I178,"NA")</f>
        <v>NA</v>
      </c>
      <c r="K178" s="7" t="str">
        <f>IFERROR(SUMIFS(TM[[#All],[Total Non-Claims Spending]],TM[[#All],[Reporting Year]],2023,TM[[#All],[Insurance Category Code]],1,TM[[#All],[Large Provider Entity Code]],A178)/I178,"NA")</f>
        <v>NA</v>
      </c>
      <c r="L178" s="7" t="str">
        <f>IFERROR(SUMIFS(TM[[#All],[Total Non-Truncated Claims and Non-Claims Spending]],TM[[#All],[Reporting Year]],2023,TM[[#All],[Insurance Category Code]],1,TM[[#All],[Large Provider Entity Code]],A178)/I178,"NA")</f>
        <v>NA</v>
      </c>
      <c r="M178" s="7" t="str">
        <f>IFERROR(SUMIFS(TM[[#All],[Total Truncated Claims Spending]],TM[[#All],[Reporting Year]],2023,TM[[#All],[Insurance Category Code]],1,TM[[#All],[Large Provider Entity Code]],A178)/I178,"NA")</f>
        <v>NA</v>
      </c>
      <c r="N178" s="214" t="str">
        <f>IFERROR(SUMIFS(TM[[#All],[Total Truncated Expenses]],TM[[#All],[Reporting Year]],2023,TM[[#All],[Insurance Category Code]],1,TM[[#All],[Large Provider Entity Code]],A178)/I178,"NA")</f>
        <v>NA</v>
      </c>
      <c r="O178" s="518">
        <f t="shared" si="29"/>
        <v>0</v>
      </c>
      <c r="P178" s="245" t="str">
        <f t="shared" si="28"/>
        <v>NA</v>
      </c>
      <c r="Q178" s="127" t="str">
        <f t="shared" si="28"/>
        <v>NA</v>
      </c>
      <c r="R178" s="127" t="str">
        <f t="shared" si="28"/>
        <v>NA</v>
      </c>
      <c r="S178" s="127" t="str">
        <f t="shared" si="28"/>
        <v>NA</v>
      </c>
      <c r="T178" s="127" t="str">
        <f t="shared" si="28"/>
        <v>NA</v>
      </c>
      <c r="U178" s="127" t="str">
        <f t="shared" si="28"/>
        <v>NA</v>
      </c>
    </row>
    <row r="179" spans="1:21" ht="30" x14ac:dyDescent="0.25">
      <c r="A179" s="218">
        <v>121</v>
      </c>
      <c r="B179" s="495" t="s">
        <v>616</v>
      </c>
      <c r="C179" s="213">
        <f>SUMIFS(TM[[#All],[Member Months]],TM[[#All],[Reporting Year]],2022,TM[[#All],[Insurance Category Code]],1,TM[[#All],[Large Provider Entity Code]],A179)</f>
        <v>0</v>
      </c>
      <c r="D179" s="7" t="str">
        <f>IFERROR(SUMIFS(TM[[#All],[Total Non-Truncated Claims Spending]],TM[[#All],[Reporting Year]],2022,TM[[#All],[Insurance Category Code]],1,TM[[#All],[Large Provider Entity Code]],A179)/C179,"NA")</f>
        <v>NA</v>
      </c>
      <c r="E179" s="7" t="str">
        <f>IFERROR(SUMIFS(TM[[#All],[Total Non-Claims Spending]],TM[[#All],[Reporting Year]],2022,TM[[#All],[Insurance Category Code]],1,TM[[#All],[Large Provider Entity Code]],A179)/C179,"NA")</f>
        <v>NA</v>
      </c>
      <c r="F179" s="7" t="str">
        <f>IFERROR(SUMIFS(TM[[#All],[Total Non-Truncated Claims and Non-Claims Spending]],TM[[#All],[Reporting Year]],2022,TM[[#All],[Insurance Category Code]],1,TM[[#All],[Large Provider Entity Code]],A179)/C179,"NA")</f>
        <v>NA</v>
      </c>
      <c r="G179" s="7" t="str">
        <f>IFERROR(SUMIFS(TM[[#All],[Total Truncated Claims Spending]],TM[[#All],[Reporting Year]],2022,TM[[#All],[Insurance Category Code]],1,TM[[#All],[Large Provider Entity Code]],A179)/C179,"NA")</f>
        <v>NA</v>
      </c>
      <c r="H179" s="214" t="str">
        <f>IFERROR(SUMIFS(TM[[#All],[Total Truncated Expenses]],TM[[#All],[Reporting Year]],2022,TM[[#All],[Insurance Category Code]],1,TM[[#All],[Large Provider Entity Code]],A179)/C179,"NA")</f>
        <v>NA</v>
      </c>
      <c r="I179" s="213">
        <f>SUMIFS(TM[[#All],[Member Months]],TM[[#All],[Reporting Year]],2023,TM[[#All],[Insurance Category Code]],1,TM[[#All],[Large Provider Entity Code]],A179)</f>
        <v>0</v>
      </c>
      <c r="J179" s="7" t="str">
        <f>IFERROR(SUMIFS(TM[[#All],[Total Non-Truncated Claims Spending]],TM[[#All],[Reporting Year]],2023,TM[[#All],[Insurance Category Code]],1,TM[[#All],[Large Provider Entity Code]],A179)/I179,"NA")</f>
        <v>NA</v>
      </c>
      <c r="K179" s="7" t="str">
        <f>IFERROR(SUMIFS(TM[[#All],[Total Non-Claims Spending]],TM[[#All],[Reporting Year]],2023,TM[[#All],[Insurance Category Code]],1,TM[[#All],[Large Provider Entity Code]],A179)/I179,"NA")</f>
        <v>NA</v>
      </c>
      <c r="L179" s="7" t="str">
        <f>IFERROR(SUMIFS(TM[[#All],[Total Non-Truncated Claims and Non-Claims Spending]],TM[[#All],[Reporting Year]],2023,TM[[#All],[Insurance Category Code]],1,TM[[#All],[Large Provider Entity Code]],A179)/I179,"NA")</f>
        <v>NA</v>
      </c>
      <c r="M179" s="7" t="str">
        <f>IFERROR(SUMIFS(TM[[#All],[Total Truncated Claims Spending]],TM[[#All],[Reporting Year]],2023,TM[[#All],[Insurance Category Code]],1,TM[[#All],[Large Provider Entity Code]],A179)/I179,"NA")</f>
        <v>NA</v>
      </c>
      <c r="N179" s="214" t="str">
        <f>IFERROR(SUMIFS(TM[[#All],[Total Truncated Expenses]],TM[[#All],[Reporting Year]],2023,TM[[#All],[Insurance Category Code]],1,TM[[#All],[Large Provider Entity Code]],A179)/I179,"NA")</f>
        <v>NA</v>
      </c>
      <c r="O179" s="518">
        <f t="shared" si="29"/>
        <v>0</v>
      </c>
      <c r="P179" s="245" t="str">
        <f t="shared" si="28"/>
        <v>NA</v>
      </c>
      <c r="Q179" s="127" t="str">
        <f t="shared" si="28"/>
        <v>NA</v>
      </c>
      <c r="R179" s="127" t="str">
        <f t="shared" si="28"/>
        <v>NA</v>
      </c>
      <c r="S179" s="127" t="str">
        <f t="shared" si="28"/>
        <v>NA</v>
      </c>
      <c r="T179" s="127" t="str">
        <f t="shared" si="28"/>
        <v>NA</v>
      </c>
      <c r="U179" s="127" t="str">
        <f t="shared" si="28"/>
        <v>NA</v>
      </c>
    </row>
    <row r="180" spans="1:21" x14ac:dyDescent="0.25">
      <c r="A180" s="218">
        <v>122</v>
      </c>
      <c r="B180" s="566" t="s">
        <v>617</v>
      </c>
      <c r="C180" s="213">
        <f>SUMIFS(TM[[#All],[Member Months]],TM[[#All],[Reporting Year]],2022,TM[[#All],[Insurance Category Code]],1,TM[[#All],[Large Provider Entity Code]],A180)</f>
        <v>0</v>
      </c>
      <c r="D180" s="7" t="str">
        <f>IFERROR(SUMIFS(TM[[#All],[Total Non-Truncated Claims Spending]],TM[[#All],[Reporting Year]],2022,TM[[#All],[Insurance Category Code]],1,TM[[#All],[Large Provider Entity Code]],A180)/C180,"NA")</f>
        <v>NA</v>
      </c>
      <c r="E180" s="7" t="str">
        <f>IFERROR(SUMIFS(TM[[#All],[Total Non-Claims Spending]],TM[[#All],[Reporting Year]],2022,TM[[#All],[Insurance Category Code]],1,TM[[#All],[Large Provider Entity Code]],A180)/C180,"NA")</f>
        <v>NA</v>
      </c>
      <c r="F180" s="7" t="str">
        <f>IFERROR(SUMIFS(TM[[#All],[Total Non-Truncated Claims and Non-Claims Spending]],TM[[#All],[Reporting Year]],2022,TM[[#All],[Insurance Category Code]],1,TM[[#All],[Large Provider Entity Code]],A180)/C180,"NA")</f>
        <v>NA</v>
      </c>
      <c r="G180" s="7" t="str">
        <f>IFERROR(SUMIFS(TM[[#All],[Total Truncated Claims Spending]],TM[[#All],[Reporting Year]],2022,TM[[#All],[Insurance Category Code]],1,TM[[#All],[Large Provider Entity Code]],A180)/C180,"NA")</f>
        <v>NA</v>
      </c>
      <c r="H180" s="214" t="str">
        <f>IFERROR(SUMIFS(TM[[#All],[Total Truncated Expenses]],TM[[#All],[Reporting Year]],2022,TM[[#All],[Insurance Category Code]],1,TM[[#All],[Large Provider Entity Code]],A180)/C180,"NA")</f>
        <v>NA</v>
      </c>
      <c r="I180" s="213">
        <f>SUMIFS(TM[[#All],[Member Months]],TM[[#All],[Reporting Year]],2023,TM[[#All],[Insurance Category Code]],1,TM[[#All],[Large Provider Entity Code]],A180)</f>
        <v>0</v>
      </c>
      <c r="J180" s="7" t="str">
        <f>IFERROR(SUMIFS(TM[[#All],[Total Non-Truncated Claims Spending]],TM[[#All],[Reporting Year]],2023,TM[[#All],[Insurance Category Code]],1,TM[[#All],[Large Provider Entity Code]],A180)/I180,"NA")</f>
        <v>NA</v>
      </c>
      <c r="K180" s="7" t="str">
        <f>IFERROR(SUMIFS(TM[[#All],[Total Non-Claims Spending]],TM[[#All],[Reporting Year]],2023,TM[[#All],[Insurance Category Code]],1,TM[[#All],[Large Provider Entity Code]],A180)/I180,"NA")</f>
        <v>NA</v>
      </c>
      <c r="L180" s="7" t="str">
        <f>IFERROR(SUMIFS(TM[[#All],[Total Non-Truncated Claims and Non-Claims Spending]],TM[[#All],[Reporting Year]],2023,TM[[#All],[Insurance Category Code]],1,TM[[#All],[Large Provider Entity Code]],A180)/I180,"NA")</f>
        <v>NA</v>
      </c>
      <c r="M180" s="7" t="str">
        <f>IFERROR(SUMIFS(TM[[#All],[Total Truncated Claims Spending]],TM[[#All],[Reporting Year]],2023,TM[[#All],[Insurance Category Code]],1,TM[[#All],[Large Provider Entity Code]],A180)/I180,"NA")</f>
        <v>NA</v>
      </c>
      <c r="N180" s="214" t="str">
        <f>IFERROR(SUMIFS(TM[[#All],[Total Truncated Expenses]],TM[[#All],[Reporting Year]],2023,TM[[#All],[Insurance Category Code]],1,TM[[#All],[Large Provider Entity Code]],A180)/I180,"NA")</f>
        <v>NA</v>
      </c>
      <c r="O180" s="518">
        <f t="shared" si="29"/>
        <v>0</v>
      </c>
      <c r="P180" s="245" t="str">
        <f t="shared" si="28"/>
        <v>NA</v>
      </c>
      <c r="Q180" s="127" t="str">
        <f t="shared" si="28"/>
        <v>NA</v>
      </c>
      <c r="R180" s="127" t="str">
        <f t="shared" si="28"/>
        <v>NA</v>
      </c>
      <c r="S180" s="127" t="str">
        <f t="shared" si="28"/>
        <v>NA</v>
      </c>
      <c r="T180" s="127" t="str">
        <f t="shared" si="28"/>
        <v>NA</v>
      </c>
      <c r="U180" s="127" t="str">
        <f t="shared" si="28"/>
        <v>NA</v>
      </c>
    </row>
    <row r="181" spans="1:21" x14ac:dyDescent="0.25">
      <c r="A181" s="218">
        <v>999</v>
      </c>
      <c r="B181" s="495" t="s">
        <v>81</v>
      </c>
      <c r="C181" s="213">
        <f>SUMIFS(TM[[#All],[Member Months]],TM[[#All],[Reporting Year]],2022,TM[[#All],[Insurance Category Code]],1,TM[[#All],[Large Provider Entity Code]],A181)</f>
        <v>0</v>
      </c>
      <c r="D181" s="7" t="str">
        <f>IFERROR(SUMIFS(TM[[#All],[Total Non-Truncated Claims Spending]],TM[[#All],[Reporting Year]],2022,TM[[#All],[Insurance Category Code]],1,TM[[#All],[Large Provider Entity Code]],A181)/C181,"NA")</f>
        <v>NA</v>
      </c>
      <c r="E181" s="7" t="str">
        <f>IFERROR(SUMIFS(TM[[#All],[Total Non-Claims Spending]],TM[[#All],[Reporting Year]],2022,TM[[#All],[Insurance Category Code]],1,TM[[#All],[Large Provider Entity Code]],A181)/C181,"NA")</f>
        <v>NA</v>
      </c>
      <c r="F181" s="7" t="str">
        <f>IFERROR(SUMIFS(TM[[#All],[Total Non-Truncated Claims and Non-Claims Spending]],TM[[#All],[Reporting Year]],2022,TM[[#All],[Insurance Category Code]],1,TM[[#All],[Large Provider Entity Code]],A181)/C181,"NA")</f>
        <v>NA</v>
      </c>
      <c r="G181" s="7" t="str">
        <f>IFERROR(SUMIFS(TM[[#All],[Total Truncated Claims Spending]],TM[[#All],[Reporting Year]],2022,TM[[#All],[Insurance Category Code]],1,TM[[#All],[Large Provider Entity Code]],A181)/C181,"NA")</f>
        <v>NA</v>
      </c>
      <c r="H181" s="214" t="str">
        <f>IFERROR(SUMIFS(TM[[#All],[Total Truncated Expenses]],TM[[#All],[Reporting Year]],2022,TM[[#All],[Insurance Category Code]],1,TM[[#All],[Large Provider Entity Code]],A181)/C181,"NA")</f>
        <v>NA</v>
      </c>
      <c r="I181" s="213">
        <f>SUMIFS(TM[[#All],[Member Months]],TM[[#All],[Reporting Year]],2023,TM[[#All],[Insurance Category Code]],1,TM[[#All],[Large Provider Entity Code]],A181)</f>
        <v>0</v>
      </c>
      <c r="J181" s="7" t="str">
        <f>IFERROR(SUMIFS(TM[[#All],[Total Non-Truncated Claims Spending]],TM[[#All],[Reporting Year]],2023,TM[[#All],[Insurance Category Code]],1,TM[[#All],[Large Provider Entity Code]],A181)/I181,"NA")</f>
        <v>NA</v>
      </c>
      <c r="K181" s="7" t="str">
        <f>IFERROR(SUMIFS(TM[[#All],[Total Non-Claims Spending]],TM[[#All],[Reporting Year]],2023,TM[[#All],[Insurance Category Code]],1,TM[[#All],[Large Provider Entity Code]],A181)/I181,"NA")</f>
        <v>NA</v>
      </c>
      <c r="L181" s="7" t="str">
        <f>IFERROR(SUMIFS(TM[[#All],[Total Non-Truncated Claims and Non-Claims Spending]],TM[[#All],[Reporting Year]],2023,TM[[#All],[Insurance Category Code]],1,TM[[#All],[Large Provider Entity Code]],A181)/I181,"NA")</f>
        <v>NA</v>
      </c>
      <c r="M181" s="7" t="str">
        <f>IFERROR(SUMIFS(TM[[#All],[Total Truncated Claims Spending]],TM[[#All],[Reporting Year]],2023,TM[[#All],[Insurance Category Code]],1,TM[[#All],[Large Provider Entity Code]],A181)/I181,"NA")</f>
        <v>NA</v>
      </c>
      <c r="N181" s="96" t="str">
        <f>IFERROR(SUMIFS(TM[[#All],[Total Truncated Expenses]],TM[[#All],[Reporting Year]],2023,TM[[#All],[Insurance Category Code]],1,TM[[#All],[Large Provider Entity Code]],A181)/I181,"NA")</f>
        <v>NA</v>
      </c>
      <c r="O181" s="518">
        <f t="shared" si="29"/>
        <v>0</v>
      </c>
      <c r="P181" s="245" t="str">
        <f t="shared" si="28"/>
        <v>NA</v>
      </c>
      <c r="Q181" s="127" t="str">
        <f t="shared" si="28"/>
        <v>NA</v>
      </c>
      <c r="R181" s="127" t="str">
        <f t="shared" si="28"/>
        <v>NA</v>
      </c>
      <c r="S181" s="127" t="str">
        <f t="shared" si="28"/>
        <v>NA</v>
      </c>
      <c r="T181" s="127" t="str">
        <f t="shared" si="28"/>
        <v>NA</v>
      </c>
      <c r="U181" s="127" t="str">
        <f t="shared" si="28"/>
        <v>NA</v>
      </c>
    </row>
    <row r="182" spans="1:21" ht="30" customHeight="1" x14ac:dyDescent="0.25">
      <c r="A182" s="707" t="s">
        <v>567</v>
      </c>
      <c r="B182" s="708"/>
      <c r="C182" s="165">
        <f>SUM(C162:C181)</f>
        <v>0</v>
      </c>
      <c r="D182" s="131" t="str">
        <f>IFERROR((SUMPRODUCT(D162:D181,C162:C181)/C182),"NA")</f>
        <v>NA</v>
      </c>
      <c r="E182" s="131" t="str">
        <f>IFERROR((SUMPRODUCT(E162:E181,C162:C181)/C182),"NA")</f>
        <v>NA</v>
      </c>
      <c r="F182" s="131" t="str">
        <f>IFERROR((SUMPRODUCT(F162:F181,C162:C181)/C182),"NA")</f>
        <v>NA</v>
      </c>
      <c r="G182" s="131" t="str">
        <f>IFERROR((SUMPRODUCT(G162:G181,C162:C181)/C182),"NA")</f>
        <v>NA</v>
      </c>
      <c r="H182" s="131" t="str">
        <f>IFERROR((SUMPRODUCT(H162:H181,C162:C181)/C182),"NA")</f>
        <v>NA</v>
      </c>
      <c r="I182" s="228">
        <f>SUM(I162:I181)</f>
        <v>0</v>
      </c>
      <c r="J182" s="131" t="str">
        <f>IFERROR((SUMPRODUCT(J162:J181,I162:I181)/I182),"NA")</f>
        <v>NA</v>
      </c>
      <c r="K182" s="131" t="str">
        <f>IFERROR((SUMPRODUCT(K162:K181,I162:I181)/I182),"NA")</f>
        <v>NA</v>
      </c>
      <c r="L182" s="131" t="str">
        <f>IFERROR((SUMPRODUCT(L162:L181,I162:I181)/I182),"NA")</f>
        <v>NA</v>
      </c>
      <c r="M182" s="131" t="str">
        <f>IFERROR((SUMPRODUCT(M162:M181,I162:I181)/I182),"NA")</f>
        <v>NA</v>
      </c>
      <c r="N182" s="206" t="str">
        <f>IFERROR((SUMPRODUCT(N162:N181,I162:I181)/I182),"NA")</f>
        <v>NA</v>
      </c>
      <c r="O182" s="544" t="s">
        <v>500</v>
      </c>
      <c r="P182" s="435" t="s">
        <v>500</v>
      </c>
      <c r="Q182" s="433" t="s">
        <v>500</v>
      </c>
      <c r="R182" s="433" t="s">
        <v>500</v>
      </c>
      <c r="S182" s="433" t="s">
        <v>500</v>
      </c>
      <c r="T182" s="433" t="s">
        <v>500</v>
      </c>
      <c r="U182" s="433" t="s">
        <v>500</v>
      </c>
    </row>
    <row r="183" spans="1:21" x14ac:dyDescent="0.25">
      <c r="A183" s="709" t="s">
        <v>563</v>
      </c>
      <c r="B183" s="710"/>
      <c r="C183" s="165" t="s">
        <v>500</v>
      </c>
      <c r="D183" s="130" t="str">
        <f>IFERROR(((SUMPRODUCT(D161,$C$161))-ABS(SUMIFS(RX[[#All],[Total Medical and Retail Pharmacy Rebate Amount]],RX[[#All],[Reporting Year]],2022,RX[[#All],[Insurance Category Code]],1)))/$C$182,"NA")</f>
        <v>NA</v>
      </c>
      <c r="E183" s="130" t="str">
        <f>IFERROR(((SUMPRODUCT(E161,$C$161))-ABS(SUMIFS(RX[[#All],[Total Medical and Retail Pharmacy Rebate Amount]],RX[[#All],[Reporting Year]],2022,RX[[#All],[Insurance Category Code]],1)))/$C$182,"NA")</f>
        <v>NA</v>
      </c>
      <c r="F183" s="130" t="str">
        <f>IFERROR(((SUMPRODUCT(F161,$C$161))-ABS(SUMIFS(RX[[#All],[Total Medical and Retail Pharmacy Rebate Amount]],RX[[#All],[Reporting Year]],2022,RX[[#All],[Insurance Category Code]],1)))/$C$182,"NA")</f>
        <v>NA</v>
      </c>
      <c r="G183" s="130" t="str">
        <f>IFERROR(((SUMPRODUCT(G161,$C$161))-ABS(SUMIFS(RX[[#All],[Total Medical and Retail Pharmacy Rebate Amount]],RX[[#All],[Reporting Year]],2022,RX[[#All],[Insurance Category Code]],1)))/$C$182,"NA")</f>
        <v>NA</v>
      </c>
      <c r="H183" s="208" t="str">
        <f>IFERROR(((SUMPRODUCT(H161,$C$161))-ABS(SUMIFS(RX[[#All],[Total Medical and Retail Pharmacy Rebate Amount]],RX[[#All],[Reporting Year]],2022,RX[[#All],[Insurance Category Code]],1)))/$C$182,"NA")</f>
        <v>NA</v>
      </c>
      <c r="I183" s="165" t="s">
        <v>500</v>
      </c>
      <c r="J183" s="130" t="str">
        <f>IFERROR(((SUMPRODUCT(J161,$I$161))-ABS(SUMIFS(RX[[#All],[Total Medical and Retail Pharmacy Rebate Amount]],RX[[#All],[Reporting Year]],2023,RX[[#All],[Insurance Category Code]],1)))/$I$182,"NA")</f>
        <v>NA</v>
      </c>
      <c r="K183" s="130" t="str">
        <f>IFERROR(((SUMPRODUCT(K161,$I$161))-ABS(SUMIFS(RX[[#All],[Total Medical and Retail Pharmacy Rebate Amount]],RX[[#All],[Reporting Year]],2023,RX[[#All],[Insurance Category Code]],1)))/$I$182,"NA")</f>
        <v>NA</v>
      </c>
      <c r="L183" s="130" t="str">
        <f>IFERROR(((SUMPRODUCT(L161,$I$161))-ABS(SUMIFS(RX[[#All],[Total Medical and Retail Pharmacy Rebate Amount]],RX[[#All],[Reporting Year]],2023,RX[[#All],[Insurance Category Code]],1)))/$I$182,"NA")</f>
        <v>NA</v>
      </c>
      <c r="M183" s="130" t="str">
        <f>IFERROR(((SUMPRODUCT(M161,$I$161))-ABS(SUMIFS(RX[[#All],[Total Medical and Retail Pharmacy Rebate Amount]],RX[[#All],[Reporting Year]],2023,RX[[#All],[Insurance Category Code]],1)))/$I$182,"NA")</f>
        <v>NA</v>
      </c>
      <c r="N183" s="208" t="str">
        <f>IFERROR(((SUMPRODUCT(N161,$I$161))-ABS(SUMIFS(RX[[#All],[Total Medical and Retail Pharmacy Rebate Amount]],RX[[#All],[Reporting Year]],2023,RX[[#All],[Insurance Category Code]],1)))/$I$182,"NA")</f>
        <v>NA</v>
      </c>
      <c r="O183" s="544" t="s">
        <v>500</v>
      </c>
      <c r="P183" s="435" t="s">
        <v>500</v>
      </c>
      <c r="Q183" s="433" t="s">
        <v>500</v>
      </c>
      <c r="R183" s="433" t="s">
        <v>500</v>
      </c>
      <c r="S183" s="433" t="s">
        <v>500</v>
      </c>
      <c r="T183" s="433" t="s">
        <v>500</v>
      </c>
      <c r="U183" s="433" t="s">
        <v>500</v>
      </c>
    </row>
    <row r="184" spans="1:21" x14ac:dyDescent="0.25">
      <c r="A184" s="717" t="s">
        <v>564</v>
      </c>
      <c r="B184" s="718"/>
      <c r="C184" s="227">
        <f>ABS(C182-C161)</f>
        <v>0</v>
      </c>
      <c r="D184" s="227" t="e">
        <f>ABS(D182-D161)</f>
        <v>#VALUE!</v>
      </c>
      <c r="E184" s="227" t="e">
        <f>ABS(E182-E161)</f>
        <v>#VALUE!</v>
      </c>
      <c r="F184" s="227" t="e">
        <f>ABS(F182-F161)</f>
        <v>#VALUE!</v>
      </c>
      <c r="G184" s="227" t="s">
        <v>500</v>
      </c>
      <c r="H184" s="231" t="s">
        <v>500</v>
      </c>
      <c r="I184" s="221">
        <f>ABS(I182-I161)</f>
        <v>0</v>
      </c>
      <c r="J184" s="227" t="e">
        <f>ABS(J182-J161)</f>
        <v>#VALUE!</v>
      </c>
      <c r="K184" s="227" t="e">
        <f>ABS(K182-K161)</f>
        <v>#VALUE!</v>
      </c>
      <c r="L184" s="227" t="e">
        <f>ABS(L182-L161)</f>
        <v>#VALUE!</v>
      </c>
      <c r="M184" s="227" t="s">
        <v>500</v>
      </c>
      <c r="N184" s="231" t="s">
        <v>500</v>
      </c>
      <c r="O184" s="545" t="s">
        <v>500</v>
      </c>
      <c r="P184" s="546" t="s">
        <v>500</v>
      </c>
      <c r="Q184" s="548" t="s">
        <v>500</v>
      </c>
      <c r="R184" s="548" t="s">
        <v>500</v>
      </c>
      <c r="S184" s="548" t="s">
        <v>500</v>
      </c>
      <c r="T184" s="548" t="s">
        <v>500</v>
      </c>
      <c r="U184" s="548" t="s">
        <v>500</v>
      </c>
    </row>
    <row r="185" spans="1:21" x14ac:dyDescent="0.25">
      <c r="A185" s="715" t="s">
        <v>565</v>
      </c>
      <c r="B185" s="716"/>
      <c r="C185" s="261" t="str">
        <f>IF(((ABS(C161-C182))&lt;10),"Yes","No")</f>
        <v>Yes</v>
      </c>
      <c r="D185" s="181" t="e">
        <f>IF(((ABS(D161-D182))&lt;10),"Yes","No")</f>
        <v>#VALUE!</v>
      </c>
      <c r="E185" s="181" t="e">
        <f>IF(((ABS(E161-E182))&lt;10),"Yes","No")</f>
        <v>#VALUE!</v>
      </c>
      <c r="F185" s="181" t="e">
        <f>IF(((ABS(F161-F182))&lt;10),"Yes","No")</f>
        <v>#VALUE!</v>
      </c>
      <c r="G185" s="181" t="s">
        <v>500</v>
      </c>
      <c r="H185" s="233" t="s">
        <v>500</v>
      </c>
      <c r="I185" s="259" t="str">
        <f>IF(((ABS(I161-I182))&lt;10),"Yes","No")</f>
        <v>Yes</v>
      </c>
      <c r="J185" s="181" t="e">
        <f>IF(((ABS(J161-J182))&lt;10),"Yes","No")</f>
        <v>#VALUE!</v>
      </c>
      <c r="K185" s="181" t="e">
        <f>IF(((ABS(K161-K182))&lt;10),"Yes","No")</f>
        <v>#VALUE!</v>
      </c>
      <c r="L185" s="181" t="e">
        <f>IF(((ABS(L161-L182))&lt;10),"Yes","No")</f>
        <v>#VALUE!</v>
      </c>
      <c r="M185" s="181" t="s">
        <v>500</v>
      </c>
      <c r="N185" s="233" t="s">
        <v>500</v>
      </c>
      <c r="O185" s="545" t="s">
        <v>500</v>
      </c>
      <c r="P185" s="546" t="s">
        <v>500</v>
      </c>
      <c r="Q185" s="548" t="s">
        <v>500</v>
      </c>
      <c r="R185" s="548" t="s">
        <v>500</v>
      </c>
      <c r="S185" s="548" t="s">
        <v>500</v>
      </c>
      <c r="T185" s="548" t="s">
        <v>500</v>
      </c>
      <c r="U185" s="548" t="s">
        <v>500</v>
      </c>
    </row>
    <row r="186" spans="1:21" x14ac:dyDescent="0.25">
      <c r="A186"/>
      <c r="B186"/>
      <c r="C186"/>
      <c r="D186"/>
      <c r="E186"/>
      <c r="F186"/>
      <c r="G186"/>
      <c r="H186"/>
      <c r="I186"/>
      <c r="J186"/>
      <c r="K186"/>
      <c r="L186"/>
      <c r="M186"/>
      <c r="N186"/>
      <c r="O186"/>
      <c r="P186"/>
      <c r="Q186"/>
      <c r="R186"/>
      <c r="S186"/>
      <c r="T186"/>
      <c r="U186"/>
    </row>
    <row r="187" spans="1:21" x14ac:dyDescent="0.25">
      <c r="A187"/>
      <c r="B187"/>
      <c r="C187"/>
      <c r="D187"/>
      <c r="E187"/>
      <c r="F187"/>
      <c r="G187"/>
      <c r="H187"/>
      <c r="I187"/>
      <c r="J187"/>
      <c r="K187"/>
      <c r="L187"/>
      <c r="M187"/>
      <c r="N187"/>
      <c r="O187"/>
      <c r="P187"/>
      <c r="Q187"/>
      <c r="R187"/>
      <c r="S187"/>
      <c r="T187"/>
      <c r="U187"/>
    </row>
    <row r="188" spans="1:21" x14ac:dyDescent="0.25">
      <c r="A188" s="3" t="s">
        <v>572</v>
      </c>
      <c r="B188"/>
      <c r="C188"/>
      <c r="D188"/>
      <c r="E188"/>
      <c r="F188"/>
      <c r="G188"/>
      <c r="H188"/>
      <c r="I188"/>
      <c r="J188"/>
      <c r="K188"/>
      <c r="L188"/>
      <c r="M188"/>
      <c r="N188"/>
      <c r="O188"/>
      <c r="P188"/>
      <c r="Q188"/>
      <c r="R188"/>
      <c r="S188"/>
      <c r="T188"/>
      <c r="U188"/>
    </row>
    <row r="189" spans="1:21" x14ac:dyDescent="0.25">
      <c r="A189" s="711" t="s">
        <v>71</v>
      </c>
      <c r="B189" s="713" t="s">
        <v>547</v>
      </c>
      <c r="C189" s="697">
        <v>2022</v>
      </c>
      <c r="D189" s="698"/>
      <c r="E189" s="698"/>
      <c r="F189" s="698"/>
      <c r="G189" s="698"/>
      <c r="H189" s="699"/>
      <c r="I189" s="255">
        <v>2023</v>
      </c>
      <c r="J189" s="256"/>
      <c r="K189" s="256"/>
      <c r="L189" s="256"/>
      <c r="M189" s="256"/>
      <c r="N189" s="257"/>
      <c r="O189" s="256"/>
      <c r="P189" s="253" t="s">
        <v>618</v>
      </c>
      <c r="Q189" s="253"/>
      <c r="R189" s="253"/>
      <c r="S189" s="253"/>
      <c r="T189" s="253"/>
      <c r="U189" s="254"/>
    </row>
    <row r="190" spans="1:21" ht="45" x14ac:dyDescent="0.25">
      <c r="A190" s="712"/>
      <c r="B190" s="714"/>
      <c r="C190" s="90" t="s">
        <v>352</v>
      </c>
      <c r="D190" s="91" t="s">
        <v>550</v>
      </c>
      <c r="E190" s="91" t="s">
        <v>551</v>
      </c>
      <c r="F190" s="91" t="s">
        <v>552</v>
      </c>
      <c r="G190" s="91" t="s">
        <v>553</v>
      </c>
      <c r="H190" s="205" t="s">
        <v>554</v>
      </c>
      <c r="I190" s="87" t="s">
        <v>352</v>
      </c>
      <c r="J190" s="88" t="s">
        <v>550</v>
      </c>
      <c r="K190" s="88" t="s">
        <v>551</v>
      </c>
      <c r="L190" s="88" t="s">
        <v>552</v>
      </c>
      <c r="M190" s="88" t="s">
        <v>553</v>
      </c>
      <c r="N190" s="89" t="s">
        <v>554</v>
      </c>
      <c r="O190" s="513" t="s">
        <v>555</v>
      </c>
      <c r="P190" s="242" t="s">
        <v>556</v>
      </c>
      <c r="Q190" s="77" t="s">
        <v>557</v>
      </c>
      <c r="R190" s="77" t="s">
        <v>558</v>
      </c>
      <c r="S190" s="77" t="s">
        <v>559</v>
      </c>
      <c r="T190" s="77" t="s">
        <v>560</v>
      </c>
      <c r="U190" s="217" t="s">
        <v>561</v>
      </c>
    </row>
    <row r="191" spans="1:21" x14ac:dyDescent="0.25">
      <c r="A191" s="219">
        <v>100</v>
      </c>
      <c r="B191" s="495" t="s">
        <v>72</v>
      </c>
      <c r="C191" s="95">
        <f>SUMIFS(TM[[#All],[Member Months]],TM[[#All],[Reporting Year]],2022,TM[[#All],[Insurance Category Code]],5,TM[[#All],[Large Provider Entity Code]],A191)</f>
        <v>0</v>
      </c>
      <c r="D191" s="7" t="str">
        <f>IFERROR(SUMIFS(TM[[#All],[Total Non-Truncated Claims Spending]],TM[[#All],[Reporting Year]],2022,TM[[#All],[Insurance Category Code]],5,TM[[#All],[Large Provider Entity Code]],A191)/C191,"NA")</f>
        <v>NA</v>
      </c>
      <c r="E191" s="7" t="str">
        <f>IFERROR(SUMIFS(TM[[#All],[Total Non-Claims Spending]],TM[[#All],[Reporting Year]],2022,TM[[#All],[Insurance Category Code]],5,TM[[#All],[Large Provider Entity Code]],A191)/C191,"NA")</f>
        <v>NA</v>
      </c>
      <c r="F191" s="7" t="str">
        <f>IFERROR(SUMIFS(TM[[#All],[Total Non-Truncated Claims and Non-Claims Spending]],TM[[#All],[Reporting Year]],2022,TM[[#All],[Insurance Category Code]],5,TM[[#All],[Large Provider Entity Code]],A191)/C191,"NA")</f>
        <v>NA</v>
      </c>
      <c r="G191" s="7" t="str">
        <f>IFERROR(SUMIFS(TM[[#All],[Total Truncated Claims Spending]],TM[[#All],[Reporting Year]],2022,TM[[#All],[Insurance Category Code]],5,TM[[#All],[Large Provider Entity Code]],A191)/C191,"NA")</f>
        <v>NA</v>
      </c>
      <c r="H191" s="204" t="str">
        <f>IFERROR(SUMIFS(TM[[#All],[Total Truncated Expenses]],TM[[#All],[Reporting Year]],2022,TM[[#All],[Insurance Category Code]],5,TM[[#All],[Large Provider Entity Code]],A191)/C191,"NA")</f>
        <v>NA</v>
      </c>
      <c r="I191" s="95">
        <f>SUMIFS(TM[[#All],[Member Months]],TM[[#All],[Reporting Year]],2023,TM[[#All],[Insurance Category Code]],5,TM[[#All],[Large Provider Entity Code]],A191)</f>
        <v>0</v>
      </c>
      <c r="J191" s="7" t="str">
        <f>IFERROR(SUMIFS(TM[[#All],[Total Non-Truncated Claims Spending]],TM[[#All],[Reporting Year]],2023,TM[[#All],[Insurance Category Code]],5,TM[[#All],[Large Provider Entity Code]],A191)/I191,"NA")</f>
        <v>NA</v>
      </c>
      <c r="K191" s="7" t="str">
        <f>IFERROR(SUMIFS(TM[[#All],[Total Non-Claims Spending]],TM[[#All],[Reporting Year]],2023,TM[[#All],[Insurance Category Code]],5,TM[[#All],[Large Provider Entity Code]],A191)/I191,"NA")</f>
        <v>NA</v>
      </c>
      <c r="L191" s="7" t="str">
        <f>IFERROR(SUMIFS(TM[[#All],[Total Non-Truncated Claims and Non-Claims Spending]],TM[[#All],[Reporting Year]],2023,TM[[#All],[Insurance Category Code]],5,TM[[#All],[Large Provider Entity Code]],A191)/I191,"NA")</f>
        <v>NA</v>
      </c>
      <c r="M191" s="7" t="str">
        <f>IFERROR(SUMIFS(TM[[#All],[Total Truncated Claims Spending]],TM[[#All],[Reporting Year]],2023,TM[[#All],[Insurance Category Code]],5,TM[[#All],[Large Provider Entity Code]],A191)/I191,"NA")</f>
        <v>NA</v>
      </c>
      <c r="N191" s="96" t="str">
        <f>IFERROR(SUMIFS(TM[[#All],[Total Truncated Expenses]],TM[[#All],[Reporting Year]],2023,TM[[#All],[Insurance Category Code]],5,TM[[#All],[Large Provider Entity Code]],A191)/I191,"NA")</f>
        <v>NA</v>
      </c>
      <c r="O191" s="518">
        <f>ABS(C191-I191)</f>
        <v>0</v>
      </c>
      <c r="P191" s="243" t="str">
        <f t="shared" ref="P191:U211" si="30">IFERROR((I191/C191-1),"NA")</f>
        <v>NA</v>
      </c>
      <c r="Q191" s="97" t="str">
        <f t="shared" si="30"/>
        <v>NA</v>
      </c>
      <c r="R191" s="97" t="str">
        <f t="shared" si="30"/>
        <v>NA</v>
      </c>
      <c r="S191" s="97" t="str">
        <f t="shared" si="30"/>
        <v>NA</v>
      </c>
      <c r="T191" s="97" t="str">
        <f t="shared" si="30"/>
        <v>NA</v>
      </c>
      <c r="U191" s="97" t="str">
        <f t="shared" si="30"/>
        <v>NA</v>
      </c>
    </row>
    <row r="192" spans="1:21" x14ac:dyDescent="0.25">
      <c r="A192" s="218">
        <v>101</v>
      </c>
      <c r="B192" s="495" t="s">
        <v>609</v>
      </c>
      <c r="C192" s="95">
        <f>SUMIFS(TM[[#All],[Member Months]],TM[[#All],[Reporting Year]],2022,TM[[#All],[Insurance Category Code]],5,TM[[#All],[Large Provider Entity Code]],A192)</f>
        <v>0</v>
      </c>
      <c r="D192" s="7" t="str">
        <f>IFERROR(SUMIFS(TM[[#All],[Total Non-Truncated Claims Spending]],TM[[#All],[Reporting Year]],2022,TM[[#All],[Insurance Category Code]],5,TM[[#All],[Large Provider Entity Code]],A192)/C192,"NA")</f>
        <v>NA</v>
      </c>
      <c r="E192" s="7" t="str">
        <f>IFERROR(SUMIFS(TM[[#All],[Total Non-Claims Spending]],TM[[#All],[Reporting Year]],2022,TM[[#All],[Insurance Category Code]],5,TM[[#All],[Large Provider Entity Code]],A192)/C192,"NA")</f>
        <v>NA</v>
      </c>
      <c r="F192" s="7" t="str">
        <f>IFERROR(SUMIFS(TM[[#All],[Total Non-Truncated Claims and Non-Claims Spending]],TM[[#All],[Reporting Year]],2022,TM[[#All],[Insurance Category Code]],5,TM[[#All],[Large Provider Entity Code]],A192)/C192,"NA")</f>
        <v>NA</v>
      </c>
      <c r="G192" s="7" t="str">
        <f>IFERROR(SUMIFS(TM[[#All],[Total Truncated Claims Spending]],TM[[#All],[Reporting Year]],2022,TM[[#All],[Insurance Category Code]],5,TM[[#All],[Large Provider Entity Code]],A192)/C192,"NA")</f>
        <v>NA</v>
      </c>
      <c r="H192" s="204" t="str">
        <f>IFERROR(SUMIFS(TM[[#All],[Total Truncated Expenses]],TM[[#All],[Reporting Year]],2022,TM[[#All],[Insurance Category Code]],5,TM[[#All],[Large Provider Entity Code]],A192)/C192,"NA")</f>
        <v>NA</v>
      </c>
      <c r="I192" s="95">
        <f>SUMIFS(TM[[#All],[Member Months]],TM[[#All],[Reporting Year]],2023,TM[[#All],[Insurance Category Code]],5,TM[[#All],[Large Provider Entity Code]],A192)</f>
        <v>0</v>
      </c>
      <c r="J192" s="7" t="str">
        <f>IFERROR(SUMIFS(TM[[#All],[Total Non-Truncated Claims Spending]],TM[[#All],[Reporting Year]],2023,TM[[#All],[Insurance Category Code]],5,TM[[#All],[Large Provider Entity Code]],A192)/I192,"NA")</f>
        <v>NA</v>
      </c>
      <c r="K192" s="7" t="str">
        <f>IFERROR(SUMIFS(TM[[#All],[Total Non-Claims Spending]],TM[[#All],[Reporting Year]],2023,TM[[#All],[Insurance Category Code]],5,TM[[#All],[Large Provider Entity Code]],A192)/I192,"NA")</f>
        <v>NA</v>
      </c>
      <c r="L192" s="7" t="str">
        <f>IFERROR(SUMIFS(TM[[#All],[Total Non-Truncated Claims and Non-Claims Spending]],TM[[#All],[Reporting Year]],2023,TM[[#All],[Insurance Category Code]],5,TM[[#All],[Large Provider Entity Code]],A192)/I192,"NA")</f>
        <v>NA</v>
      </c>
      <c r="M192" s="7" t="str">
        <f>IFERROR(SUMIFS(TM[[#All],[Total Truncated Claims Spending]],TM[[#All],[Reporting Year]],2023,TM[[#All],[Insurance Category Code]],5,TM[[#All],[Large Provider Entity Code]],A192)/I192,"NA")</f>
        <v>NA</v>
      </c>
      <c r="N192" s="96" t="str">
        <f>IFERROR(SUMIFS(TM[[#All],[Total Truncated Expenses]],TM[[#All],[Reporting Year]],2023,TM[[#All],[Insurance Category Code]],5,TM[[#All],[Large Provider Entity Code]],A192)/I192,"NA")</f>
        <v>NA</v>
      </c>
      <c r="O192" s="518">
        <f t="shared" ref="O192:O211" si="31">ABS(C192-I192)</f>
        <v>0</v>
      </c>
      <c r="P192" s="243" t="str">
        <f t="shared" si="30"/>
        <v>NA</v>
      </c>
      <c r="Q192" s="97" t="str">
        <f t="shared" si="30"/>
        <v>NA</v>
      </c>
      <c r="R192" s="97" t="str">
        <f t="shared" si="30"/>
        <v>NA</v>
      </c>
      <c r="S192" s="97" t="str">
        <f t="shared" si="30"/>
        <v>NA</v>
      </c>
      <c r="T192" s="97" t="str">
        <f t="shared" si="30"/>
        <v>NA</v>
      </c>
      <c r="U192" s="97" t="str">
        <f t="shared" si="30"/>
        <v>NA</v>
      </c>
    </row>
    <row r="193" spans="1:21" x14ac:dyDescent="0.25">
      <c r="A193" s="218">
        <v>102</v>
      </c>
      <c r="B193" s="566" t="s">
        <v>610</v>
      </c>
      <c r="C193" s="95">
        <f>SUMIFS(TM[[#All],[Member Months]],TM[[#All],[Reporting Year]],2022,TM[[#All],[Insurance Category Code]],5,TM[[#All],[Large Provider Entity Code]],A193)</f>
        <v>0</v>
      </c>
      <c r="D193" s="7" t="str">
        <f>IFERROR(SUMIFS(TM[[#All],[Total Non-Truncated Claims Spending]],TM[[#All],[Reporting Year]],2022,TM[[#All],[Insurance Category Code]],5,TM[[#All],[Large Provider Entity Code]],A193)/C193,"NA")</f>
        <v>NA</v>
      </c>
      <c r="E193" s="7" t="str">
        <f>IFERROR(SUMIFS(TM[[#All],[Total Non-Claims Spending]],TM[[#All],[Reporting Year]],2022,TM[[#All],[Insurance Category Code]],5,TM[[#All],[Large Provider Entity Code]],A193)/C193,"NA")</f>
        <v>NA</v>
      </c>
      <c r="F193" s="7" t="str">
        <f>IFERROR(SUMIFS(TM[[#All],[Total Non-Truncated Claims and Non-Claims Spending]],TM[[#All],[Reporting Year]],2022,TM[[#All],[Insurance Category Code]],5,TM[[#All],[Large Provider Entity Code]],A193)/C193,"NA")</f>
        <v>NA</v>
      </c>
      <c r="G193" s="7" t="str">
        <f>IFERROR(SUMIFS(TM[[#All],[Total Truncated Claims Spending]],TM[[#All],[Reporting Year]],2022,TM[[#All],[Insurance Category Code]],5,TM[[#All],[Large Provider Entity Code]],A193)/C193,"NA")</f>
        <v>NA</v>
      </c>
      <c r="H193" s="204" t="str">
        <f>IFERROR(SUMIFS(TM[[#All],[Total Truncated Expenses]],TM[[#All],[Reporting Year]],2022,TM[[#All],[Insurance Category Code]],5,TM[[#All],[Large Provider Entity Code]],A193)/C193,"NA")</f>
        <v>NA</v>
      </c>
      <c r="I193" s="95">
        <f>SUMIFS(TM[[#All],[Member Months]],TM[[#All],[Reporting Year]],2023,TM[[#All],[Insurance Category Code]],5,TM[[#All],[Large Provider Entity Code]],A193)</f>
        <v>0</v>
      </c>
      <c r="J193" s="7" t="str">
        <f>IFERROR(SUMIFS(TM[[#All],[Total Non-Truncated Claims Spending]],TM[[#All],[Reporting Year]],2023,TM[[#All],[Insurance Category Code]],5,TM[[#All],[Large Provider Entity Code]],A193)/I193,"NA")</f>
        <v>NA</v>
      </c>
      <c r="K193" s="7" t="str">
        <f>IFERROR(SUMIFS(TM[[#All],[Total Non-Claims Spending]],TM[[#All],[Reporting Year]],2023,TM[[#All],[Insurance Category Code]],5,TM[[#All],[Large Provider Entity Code]],A193)/I193,"NA")</f>
        <v>NA</v>
      </c>
      <c r="L193" s="7" t="str">
        <f>IFERROR(SUMIFS(TM[[#All],[Total Non-Truncated Claims and Non-Claims Spending]],TM[[#All],[Reporting Year]],2023,TM[[#All],[Insurance Category Code]],5,TM[[#All],[Large Provider Entity Code]],A193)/I193,"NA")</f>
        <v>NA</v>
      </c>
      <c r="M193" s="7" t="str">
        <f>IFERROR(SUMIFS(TM[[#All],[Total Truncated Claims Spending]],TM[[#All],[Reporting Year]],2023,TM[[#All],[Insurance Category Code]],5,TM[[#All],[Large Provider Entity Code]],A193)/I193,"NA")</f>
        <v>NA</v>
      </c>
      <c r="N193" s="96" t="str">
        <f>IFERROR(SUMIFS(TM[[#All],[Total Truncated Expenses]],TM[[#All],[Reporting Year]],2023,TM[[#All],[Insurance Category Code]],5,TM[[#All],[Large Provider Entity Code]],A193)/I193,"NA")</f>
        <v>NA</v>
      </c>
      <c r="O193" s="518">
        <f t="shared" si="31"/>
        <v>0</v>
      </c>
      <c r="P193" s="243" t="str">
        <f t="shared" si="30"/>
        <v>NA</v>
      </c>
      <c r="Q193" s="97" t="str">
        <f t="shared" si="30"/>
        <v>NA</v>
      </c>
      <c r="R193" s="97" t="str">
        <f t="shared" si="30"/>
        <v>NA</v>
      </c>
      <c r="S193" s="97" t="str">
        <f t="shared" si="30"/>
        <v>NA</v>
      </c>
      <c r="T193" s="97" t="str">
        <f t="shared" si="30"/>
        <v>NA</v>
      </c>
      <c r="U193" s="97" t="str">
        <f t="shared" si="30"/>
        <v>NA</v>
      </c>
    </row>
    <row r="194" spans="1:21" ht="30" x14ac:dyDescent="0.25">
      <c r="A194" s="218">
        <v>103</v>
      </c>
      <c r="B194" s="495" t="s">
        <v>73</v>
      </c>
      <c r="C194" s="95">
        <f>SUMIFS(TM[[#All],[Member Months]],TM[[#All],[Reporting Year]],2022,TM[[#All],[Insurance Category Code]],5,TM[[#All],[Large Provider Entity Code]],A194)</f>
        <v>0</v>
      </c>
      <c r="D194" s="7" t="str">
        <f>IFERROR(SUMIFS(TM[[#All],[Total Non-Truncated Claims Spending]],TM[[#All],[Reporting Year]],2022,TM[[#All],[Insurance Category Code]],5,TM[[#All],[Large Provider Entity Code]],A194)/C194,"NA")</f>
        <v>NA</v>
      </c>
      <c r="E194" s="7" t="str">
        <f>IFERROR(SUMIFS(TM[[#All],[Total Non-Claims Spending]],TM[[#All],[Reporting Year]],2022,TM[[#All],[Insurance Category Code]],5,TM[[#All],[Large Provider Entity Code]],A194)/C194,"NA")</f>
        <v>NA</v>
      </c>
      <c r="F194" s="7" t="str">
        <f>IFERROR(SUMIFS(TM[[#All],[Total Non-Truncated Claims and Non-Claims Spending]],TM[[#All],[Reporting Year]],2022,TM[[#All],[Insurance Category Code]],5,TM[[#All],[Large Provider Entity Code]],A194)/C194,"NA")</f>
        <v>NA</v>
      </c>
      <c r="G194" s="7" t="str">
        <f>IFERROR(SUMIFS(TM[[#All],[Total Truncated Claims Spending]],TM[[#All],[Reporting Year]],2022,TM[[#All],[Insurance Category Code]],5,TM[[#All],[Large Provider Entity Code]],A194)/C194,"NA")</f>
        <v>NA</v>
      </c>
      <c r="H194" s="204" t="str">
        <f>IFERROR(SUMIFS(TM[[#All],[Total Truncated Expenses]],TM[[#All],[Reporting Year]],2022,TM[[#All],[Insurance Category Code]],5,TM[[#All],[Large Provider Entity Code]],A194)/C194,"NA")</f>
        <v>NA</v>
      </c>
      <c r="I194" s="95">
        <f>SUMIFS(TM[[#All],[Member Months]],TM[[#All],[Reporting Year]],2023,TM[[#All],[Insurance Category Code]],5,TM[[#All],[Large Provider Entity Code]],A194)</f>
        <v>0</v>
      </c>
      <c r="J194" s="7" t="str">
        <f>IFERROR(SUMIFS(TM[[#All],[Total Non-Truncated Claims Spending]],TM[[#All],[Reporting Year]],2023,TM[[#All],[Insurance Category Code]],5,TM[[#All],[Large Provider Entity Code]],A194)/I194,"NA")</f>
        <v>NA</v>
      </c>
      <c r="K194" s="7" t="str">
        <f>IFERROR(SUMIFS(TM[[#All],[Total Non-Claims Spending]],TM[[#All],[Reporting Year]],2023,TM[[#All],[Insurance Category Code]],5,TM[[#All],[Large Provider Entity Code]],A194)/I194,"NA")</f>
        <v>NA</v>
      </c>
      <c r="L194" s="7" t="str">
        <f>IFERROR(SUMIFS(TM[[#All],[Total Non-Truncated Claims and Non-Claims Spending]],TM[[#All],[Reporting Year]],2023,TM[[#All],[Insurance Category Code]],5,TM[[#All],[Large Provider Entity Code]],A194)/I194,"NA")</f>
        <v>NA</v>
      </c>
      <c r="M194" s="7" t="str">
        <f>IFERROR(SUMIFS(TM[[#All],[Total Truncated Claims Spending]],TM[[#All],[Reporting Year]],2023,TM[[#All],[Insurance Category Code]],5,TM[[#All],[Large Provider Entity Code]],A194)/I194,"NA")</f>
        <v>NA</v>
      </c>
      <c r="N194" s="96" t="str">
        <f>IFERROR(SUMIFS(TM[[#All],[Total Truncated Expenses]],TM[[#All],[Reporting Year]],2023,TM[[#All],[Insurance Category Code]],5,TM[[#All],[Large Provider Entity Code]],A194)/I194,"NA")</f>
        <v>NA</v>
      </c>
      <c r="O194" s="518">
        <f t="shared" si="31"/>
        <v>0</v>
      </c>
      <c r="P194" s="243" t="str">
        <f t="shared" si="30"/>
        <v>NA</v>
      </c>
      <c r="Q194" s="97" t="str">
        <f t="shared" si="30"/>
        <v>NA</v>
      </c>
      <c r="R194" s="97" t="str">
        <f t="shared" si="30"/>
        <v>NA</v>
      </c>
      <c r="S194" s="97" t="str">
        <f t="shared" si="30"/>
        <v>NA</v>
      </c>
      <c r="T194" s="97" t="str">
        <f t="shared" si="30"/>
        <v>NA</v>
      </c>
      <c r="U194" s="97" t="str">
        <f t="shared" si="30"/>
        <v>NA</v>
      </c>
    </row>
    <row r="195" spans="1:21" x14ac:dyDescent="0.25">
      <c r="A195" s="218">
        <v>104</v>
      </c>
      <c r="B195" s="495" t="s">
        <v>611</v>
      </c>
      <c r="C195" s="95">
        <f>SUMIFS(TM[[#All],[Member Months]],TM[[#All],[Reporting Year]],2022,TM[[#All],[Insurance Category Code]],5,TM[[#All],[Large Provider Entity Code]],A195)</f>
        <v>0</v>
      </c>
      <c r="D195" s="7" t="str">
        <f>IFERROR(SUMIFS(TM[[#All],[Total Non-Truncated Claims Spending]],TM[[#All],[Reporting Year]],2022,TM[[#All],[Insurance Category Code]],5,TM[[#All],[Large Provider Entity Code]],A195)/C195,"NA")</f>
        <v>NA</v>
      </c>
      <c r="E195" s="7" t="str">
        <f>IFERROR(SUMIFS(TM[[#All],[Total Non-Claims Spending]],TM[[#All],[Reporting Year]],2022,TM[[#All],[Insurance Category Code]],5,TM[[#All],[Large Provider Entity Code]],A195)/C195,"NA")</f>
        <v>NA</v>
      </c>
      <c r="F195" s="7" t="str">
        <f>IFERROR(SUMIFS(TM[[#All],[Total Non-Truncated Claims and Non-Claims Spending]],TM[[#All],[Reporting Year]],2022,TM[[#All],[Insurance Category Code]],5,TM[[#All],[Large Provider Entity Code]],A195)/C195,"NA")</f>
        <v>NA</v>
      </c>
      <c r="G195" s="7" t="str">
        <f>IFERROR(SUMIFS(TM[[#All],[Total Truncated Claims Spending]],TM[[#All],[Reporting Year]],2022,TM[[#All],[Insurance Category Code]],5,TM[[#All],[Large Provider Entity Code]],A195)/C195,"NA")</f>
        <v>NA</v>
      </c>
      <c r="H195" s="204" t="str">
        <f>IFERROR(SUMIFS(TM[[#All],[Total Truncated Expenses]],TM[[#All],[Reporting Year]],2022,TM[[#All],[Insurance Category Code]],5,TM[[#All],[Large Provider Entity Code]],A195)/C195,"NA")</f>
        <v>NA</v>
      </c>
      <c r="I195" s="95">
        <f>SUMIFS(TM[[#All],[Member Months]],TM[[#All],[Reporting Year]],2023,TM[[#All],[Insurance Category Code]],5,TM[[#All],[Large Provider Entity Code]],A195)</f>
        <v>0</v>
      </c>
      <c r="J195" s="7" t="str">
        <f>IFERROR(SUMIFS(TM[[#All],[Total Non-Truncated Claims Spending]],TM[[#All],[Reporting Year]],2023,TM[[#All],[Insurance Category Code]],5,TM[[#All],[Large Provider Entity Code]],A195)/I195,"NA")</f>
        <v>NA</v>
      </c>
      <c r="K195" s="7" t="str">
        <f>IFERROR(SUMIFS(TM[[#All],[Total Non-Claims Spending]],TM[[#All],[Reporting Year]],2023,TM[[#All],[Insurance Category Code]],5,TM[[#All],[Large Provider Entity Code]],A195)/I195,"NA")</f>
        <v>NA</v>
      </c>
      <c r="L195" s="7" t="str">
        <f>IFERROR(SUMIFS(TM[[#All],[Total Non-Truncated Claims and Non-Claims Spending]],TM[[#All],[Reporting Year]],2023,TM[[#All],[Insurance Category Code]],5,TM[[#All],[Large Provider Entity Code]],A195)/I195,"NA")</f>
        <v>NA</v>
      </c>
      <c r="M195" s="7" t="str">
        <f>IFERROR(SUMIFS(TM[[#All],[Total Truncated Claims Spending]],TM[[#All],[Reporting Year]],2023,TM[[#All],[Insurance Category Code]],5,TM[[#All],[Large Provider Entity Code]],A195)/I195,"NA")</f>
        <v>NA</v>
      </c>
      <c r="N195" s="96" t="str">
        <f>IFERROR(SUMIFS(TM[[#All],[Total Truncated Expenses]],TM[[#All],[Reporting Year]],2023,TM[[#All],[Insurance Category Code]],5,TM[[#All],[Large Provider Entity Code]],A195)/I195,"NA")</f>
        <v>NA</v>
      </c>
      <c r="O195" s="518">
        <f t="shared" si="31"/>
        <v>0</v>
      </c>
      <c r="P195" s="243" t="str">
        <f t="shared" si="30"/>
        <v>NA</v>
      </c>
      <c r="Q195" s="97" t="str">
        <f t="shared" si="30"/>
        <v>NA</v>
      </c>
      <c r="R195" s="97" t="str">
        <f t="shared" si="30"/>
        <v>NA</v>
      </c>
      <c r="S195" s="97" t="str">
        <f t="shared" si="30"/>
        <v>NA</v>
      </c>
      <c r="T195" s="97" t="str">
        <f t="shared" si="30"/>
        <v>NA</v>
      </c>
      <c r="U195" s="97" t="str">
        <f t="shared" si="30"/>
        <v>NA</v>
      </c>
    </row>
    <row r="196" spans="1:21" x14ac:dyDescent="0.25">
      <c r="A196" s="218">
        <v>105</v>
      </c>
      <c r="B196" s="566" t="s">
        <v>607</v>
      </c>
      <c r="C196" s="95">
        <f>SUMIFS(TM[[#All],[Member Months]],TM[[#All],[Reporting Year]],2022,TM[[#All],[Insurance Category Code]],5,TM[[#All],[Large Provider Entity Code]],A196)</f>
        <v>0</v>
      </c>
      <c r="D196" s="7" t="str">
        <f>IFERROR(SUMIFS(TM[[#All],[Total Non-Truncated Claims Spending]],TM[[#All],[Reporting Year]],2022,TM[[#All],[Insurance Category Code]],5,TM[[#All],[Large Provider Entity Code]],A196)/C196,"NA")</f>
        <v>NA</v>
      </c>
      <c r="E196" s="7" t="str">
        <f>IFERROR(SUMIFS(TM[[#All],[Total Non-Claims Spending]],TM[[#All],[Reporting Year]],2022,TM[[#All],[Insurance Category Code]],5,TM[[#All],[Large Provider Entity Code]],A196)/C196,"NA")</f>
        <v>NA</v>
      </c>
      <c r="F196" s="7" t="str">
        <f>IFERROR(SUMIFS(TM[[#All],[Total Non-Truncated Claims and Non-Claims Spending]],TM[[#All],[Reporting Year]],2022,TM[[#All],[Insurance Category Code]],5,TM[[#All],[Large Provider Entity Code]],A196)/C196,"NA")</f>
        <v>NA</v>
      </c>
      <c r="G196" s="7" t="str">
        <f>IFERROR(SUMIFS(TM[[#All],[Total Truncated Claims Spending]],TM[[#All],[Reporting Year]],2022,TM[[#All],[Insurance Category Code]],5,TM[[#All],[Large Provider Entity Code]],A196)/C196,"NA")</f>
        <v>NA</v>
      </c>
      <c r="H196" s="204" t="str">
        <f>IFERROR(SUMIFS(TM[[#All],[Total Truncated Expenses]],TM[[#All],[Reporting Year]],2022,TM[[#All],[Insurance Category Code]],5,TM[[#All],[Large Provider Entity Code]],A196)/C196,"NA")</f>
        <v>NA</v>
      </c>
      <c r="I196" s="95">
        <f>SUMIFS(TM[[#All],[Member Months]],TM[[#All],[Reporting Year]],2023,TM[[#All],[Insurance Category Code]],5,TM[[#All],[Large Provider Entity Code]],A196)</f>
        <v>0</v>
      </c>
      <c r="J196" s="7" t="str">
        <f>IFERROR(SUMIFS(TM[[#All],[Total Non-Truncated Claims Spending]],TM[[#All],[Reporting Year]],2023,TM[[#All],[Insurance Category Code]],5,TM[[#All],[Large Provider Entity Code]],A196)/I196,"NA")</f>
        <v>NA</v>
      </c>
      <c r="K196" s="7" t="str">
        <f>IFERROR(SUMIFS(TM[[#All],[Total Non-Claims Spending]],TM[[#All],[Reporting Year]],2023,TM[[#All],[Insurance Category Code]],5,TM[[#All],[Large Provider Entity Code]],A196)/I196,"NA")</f>
        <v>NA</v>
      </c>
      <c r="L196" s="7" t="str">
        <f>IFERROR(SUMIFS(TM[[#All],[Total Non-Truncated Claims and Non-Claims Spending]],TM[[#All],[Reporting Year]],2023,TM[[#All],[Insurance Category Code]],5,TM[[#All],[Large Provider Entity Code]],A196)/I196,"NA")</f>
        <v>NA</v>
      </c>
      <c r="M196" s="7" t="str">
        <f>IFERROR(SUMIFS(TM[[#All],[Total Truncated Claims Spending]],TM[[#All],[Reporting Year]],2023,TM[[#All],[Insurance Category Code]],5,TM[[#All],[Large Provider Entity Code]],A196)/I196,"NA")</f>
        <v>NA</v>
      </c>
      <c r="N196" s="96" t="str">
        <f>IFERROR(SUMIFS(TM[[#All],[Total Truncated Expenses]],TM[[#All],[Reporting Year]],2023,TM[[#All],[Insurance Category Code]],5,TM[[#All],[Large Provider Entity Code]],A196)/I196,"NA")</f>
        <v>NA</v>
      </c>
      <c r="O196" s="518">
        <f t="shared" si="31"/>
        <v>0</v>
      </c>
      <c r="P196" s="243" t="str">
        <f t="shared" si="30"/>
        <v>NA</v>
      </c>
      <c r="Q196" s="97" t="str">
        <f t="shared" si="30"/>
        <v>NA</v>
      </c>
      <c r="R196" s="97" t="str">
        <f t="shared" si="30"/>
        <v>NA</v>
      </c>
      <c r="S196" s="97" t="str">
        <f t="shared" si="30"/>
        <v>NA</v>
      </c>
      <c r="T196" s="97" t="str">
        <f t="shared" si="30"/>
        <v>NA</v>
      </c>
      <c r="U196" s="97" t="str">
        <f t="shared" si="30"/>
        <v>NA</v>
      </c>
    </row>
    <row r="197" spans="1:21" x14ac:dyDescent="0.25">
      <c r="A197" s="218">
        <v>106</v>
      </c>
      <c r="B197" s="495" t="s">
        <v>74</v>
      </c>
      <c r="C197" s="95">
        <f>SUMIFS(TM[[#All],[Member Months]],TM[[#All],[Reporting Year]],2022,TM[[#All],[Insurance Category Code]],5,TM[[#All],[Large Provider Entity Code]],A197)</f>
        <v>0</v>
      </c>
      <c r="D197" s="7" t="str">
        <f>IFERROR(SUMIFS(TM[[#All],[Total Non-Truncated Claims Spending]],TM[[#All],[Reporting Year]],2022,TM[[#All],[Insurance Category Code]],5,TM[[#All],[Large Provider Entity Code]],A197)/C197,"NA")</f>
        <v>NA</v>
      </c>
      <c r="E197" s="7" t="str">
        <f>IFERROR(SUMIFS(TM[[#All],[Total Non-Claims Spending]],TM[[#All],[Reporting Year]],2022,TM[[#All],[Insurance Category Code]],5,TM[[#All],[Large Provider Entity Code]],A197)/C197,"NA")</f>
        <v>NA</v>
      </c>
      <c r="F197" s="7" t="str">
        <f>IFERROR(SUMIFS(TM[[#All],[Total Non-Truncated Claims and Non-Claims Spending]],TM[[#All],[Reporting Year]],2022,TM[[#All],[Insurance Category Code]],5,TM[[#All],[Large Provider Entity Code]],A197)/C197,"NA")</f>
        <v>NA</v>
      </c>
      <c r="G197" s="7" t="str">
        <f>IFERROR(SUMIFS(TM[[#All],[Total Truncated Claims Spending]],TM[[#All],[Reporting Year]],2022,TM[[#All],[Insurance Category Code]],5,TM[[#All],[Large Provider Entity Code]],A197)/C197,"NA")</f>
        <v>NA</v>
      </c>
      <c r="H197" s="204" t="str">
        <f>IFERROR(SUMIFS(TM[[#All],[Total Truncated Expenses]],TM[[#All],[Reporting Year]],2022,TM[[#All],[Insurance Category Code]],5,TM[[#All],[Large Provider Entity Code]],A197)/C197,"NA")</f>
        <v>NA</v>
      </c>
      <c r="I197" s="95">
        <f>SUMIFS(TM[[#All],[Member Months]],TM[[#All],[Reporting Year]],2023,TM[[#All],[Insurance Category Code]],5,TM[[#All],[Large Provider Entity Code]],A197)</f>
        <v>0</v>
      </c>
      <c r="J197" s="7" t="str">
        <f>IFERROR(SUMIFS(TM[[#All],[Total Non-Truncated Claims Spending]],TM[[#All],[Reporting Year]],2023,TM[[#All],[Insurance Category Code]],5,TM[[#All],[Large Provider Entity Code]],A197)/I197,"NA")</f>
        <v>NA</v>
      </c>
      <c r="K197" s="7" t="str">
        <f>IFERROR(SUMIFS(TM[[#All],[Total Non-Claims Spending]],TM[[#All],[Reporting Year]],2023,TM[[#All],[Insurance Category Code]],5,TM[[#All],[Large Provider Entity Code]],A197)/I197,"NA")</f>
        <v>NA</v>
      </c>
      <c r="L197" s="7" t="str">
        <f>IFERROR(SUMIFS(TM[[#All],[Total Non-Truncated Claims and Non-Claims Spending]],TM[[#All],[Reporting Year]],2023,TM[[#All],[Insurance Category Code]],5,TM[[#All],[Large Provider Entity Code]],A197)/I197,"NA")</f>
        <v>NA</v>
      </c>
      <c r="M197" s="7" t="str">
        <f>IFERROR(SUMIFS(TM[[#All],[Total Truncated Claims Spending]],TM[[#All],[Reporting Year]],2023,TM[[#All],[Insurance Category Code]],5,TM[[#All],[Large Provider Entity Code]],A197)/I197,"NA")</f>
        <v>NA</v>
      </c>
      <c r="N197" s="96" t="str">
        <f>IFERROR(SUMIFS(TM[[#All],[Total Truncated Expenses]],TM[[#All],[Reporting Year]],2023,TM[[#All],[Insurance Category Code]],5,TM[[#All],[Large Provider Entity Code]],A197)/I197,"NA")</f>
        <v>NA</v>
      </c>
      <c r="O197" s="518">
        <f t="shared" si="31"/>
        <v>0</v>
      </c>
      <c r="P197" s="243" t="str">
        <f t="shared" si="30"/>
        <v>NA</v>
      </c>
      <c r="Q197" s="97" t="str">
        <f t="shared" si="30"/>
        <v>NA</v>
      </c>
      <c r="R197" s="97" t="str">
        <f t="shared" si="30"/>
        <v>NA</v>
      </c>
      <c r="S197" s="97" t="str">
        <f t="shared" si="30"/>
        <v>NA</v>
      </c>
      <c r="T197" s="97" t="str">
        <f t="shared" si="30"/>
        <v>NA</v>
      </c>
      <c r="U197" s="97" t="str">
        <f t="shared" si="30"/>
        <v>NA</v>
      </c>
    </row>
    <row r="198" spans="1:21" ht="30" x14ac:dyDescent="0.25">
      <c r="A198" s="218">
        <v>107</v>
      </c>
      <c r="B198" s="495" t="s">
        <v>75</v>
      </c>
      <c r="C198" s="95">
        <f>SUMIFS(TM[[#All],[Member Months]],TM[[#All],[Reporting Year]],2022,TM[[#All],[Insurance Category Code]],5,TM[[#All],[Large Provider Entity Code]],A198)</f>
        <v>0</v>
      </c>
      <c r="D198" s="7" t="str">
        <f>IFERROR(SUMIFS(TM[[#All],[Total Non-Truncated Claims Spending]],TM[[#All],[Reporting Year]],2022,TM[[#All],[Insurance Category Code]],5,TM[[#All],[Large Provider Entity Code]],A198)/C198,"NA")</f>
        <v>NA</v>
      </c>
      <c r="E198" s="7" t="str">
        <f>IFERROR(SUMIFS(TM[[#All],[Total Non-Claims Spending]],TM[[#All],[Reporting Year]],2022,TM[[#All],[Insurance Category Code]],5,TM[[#All],[Large Provider Entity Code]],A198)/C198,"NA")</f>
        <v>NA</v>
      </c>
      <c r="F198" s="7" t="str">
        <f>IFERROR(SUMIFS(TM[[#All],[Total Non-Truncated Claims and Non-Claims Spending]],TM[[#All],[Reporting Year]],2022,TM[[#All],[Insurance Category Code]],5,TM[[#All],[Large Provider Entity Code]],A198)/C198,"NA")</f>
        <v>NA</v>
      </c>
      <c r="G198" s="7" t="str">
        <f>IFERROR(SUMIFS(TM[[#All],[Total Truncated Claims Spending]],TM[[#All],[Reporting Year]],2022,TM[[#All],[Insurance Category Code]],5,TM[[#All],[Large Provider Entity Code]],A198)/C198,"NA")</f>
        <v>NA</v>
      </c>
      <c r="H198" s="204" t="str">
        <f>IFERROR(SUMIFS(TM[[#All],[Total Truncated Expenses]],TM[[#All],[Reporting Year]],2022,TM[[#All],[Insurance Category Code]],5,TM[[#All],[Large Provider Entity Code]],A198)/C198,"NA")</f>
        <v>NA</v>
      </c>
      <c r="I198" s="95">
        <f>SUMIFS(TM[[#All],[Member Months]],TM[[#All],[Reporting Year]],2023,TM[[#All],[Insurance Category Code]],5,TM[[#All],[Large Provider Entity Code]],A198)</f>
        <v>0</v>
      </c>
      <c r="J198" s="7" t="str">
        <f>IFERROR(SUMIFS(TM[[#All],[Total Non-Truncated Claims Spending]],TM[[#All],[Reporting Year]],2023,TM[[#All],[Insurance Category Code]],5,TM[[#All],[Large Provider Entity Code]],A198)/I198,"NA")</f>
        <v>NA</v>
      </c>
      <c r="K198" s="7" t="str">
        <f>IFERROR(SUMIFS(TM[[#All],[Total Non-Claims Spending]],TM[[#All],[Reporting Year]],2023,TM[[#All],[Insurance Category Code]],5,TM[[#All],[Large Provider Entity Code]],A198)/I198,"NA")</f>
        <v>NA</v>
      </c>
      <c r="L198" s="7" t="str">
        <f>IFERROR(SUMIFS(TM[[#All],[Total Non-Truncated Claims and Non-Claims Spending]],TM[[#All],[Reporting Year]],2023,TM[[#All],[Insurance Category Code]],5,TM[[#All],[Large Provider Entity Code]],A198)/I198,"NA")</f>
        <v>NA</v>
      </c>
      <c r="M198" s="7" t="str">
        <f>IFERROR(SUMIFS(TM[[#All],[Total Truncated Claims Spending]],TM[[#All],[Reporting Year]],2023,TM[[#All],[Insurance Category Code]],5,TM[[#All],[Large Provider Entity Code]],A198)/I198,"NA")</f>
        <v>NA</v>
      </c>
      <c r="N198" s="96" t="str">
        <f>IFERROR(SUMIFS(TM[[#All],[Total Truncated Expenses]],TM[[#All],[Reporting Year]],2023,TM[[#All],[Insurance Category Code]],5,TM[[#All],[Large Provider Entity Code]],A198)/I198,"NA")</f>
        <v>NA</v>
      </c>
      <c r="O198" s="518">
        <f t="shared" si="31"/>
        <v>0</v>
      </c>
      <c r="P198" s="243" t="str">
        <f t="shared" si="30"/>
        <v>NA</v>
      </c>
      <c r="Q198" s="97" t="str">
        <f t="shared" si="30"/>
        <v>NA</v>
      </c>
      <c r="R198" s="97" t="str">
        <f t="shared" si="30"/>
        <v>NA</v>
      </c>
      <c r="S198" s="97" t="str">
        <f t="shared" si="30"/>
        <v>NA</v>
      </c>
      <c r="T198" s="97" t="str">
        <f t="shared" si="30"/>
        <v>NA</v>
      </c>
      <c r="U198" s="97" t="str">
        <f t="shared" si="30"/>
        <v>NA</v>
      </c>
    </row>
    <row r="199" spans="1:21" x14ac:dyDescent="0.25">
      <c r="A199" s="218">
        <v>108</v>
      </c>
      <c r="B199" s="495" t="s">
        <v>612</v>
      </c>
      <c r="C199" s="95">
        <f>SUMIFS(TM[[#All],[Member Months]],TM[[#All],[Reporting Year]],2022,TM[[#All],[Insurance Category Code]],5,TM[[#All],[Large Provider Entity Code]],A199)</f>
        <v>0</v>
      </c>
      <c r="D199" s="7" t="str">
        <f>IFERROR(SUMIFS(TM[[#All],[Total Non-Truncated Claims Spending]],TM[[#All],[Reporting Year]],2022,TM[[#All],[Insurance Category Code]],5,TM[[#All],[Large Provider Entity Code]],A199)/C199,"NA")</f>
        <v>NA</v>
      </c>
      <c r="E199" s="7" t="str">
        <f>IFERROR(SUMIFS(TM[[#All],[Total Non-Claims Spending]],TM[[#All],[Reporting Year]],2022,TM[[#All],[Insurance Category Code]],5,TM[[#All],[Large Provider Entity Code]],A199)/C199,"NA")</f>
        <v>NA</v>
      </c>
      <c r="F199" s="7" t="str">
        <f>IFERROR(SUMIFS(TM[[#All],[Total Non-Truncated Claims and Non-Claims Spending]],TM[[#All],[Reporting Year]],2022,TM[[#All],[Insurance Category Code]],5,TM[[#All],[Large Provider Entity Code]],A199)/C199,"NA")</f>
        <v>NA</v>
      </c>
      <c r="G199" s="7" t="str">
        <f>IFERROR(SUMIFS(TM[[#All],[Total Truncated Claims Spending]],TM[[#All],[Reporting Year]],2022,TM[[#All],[Insurance Category Code]],5,TM[[#All],[Large Provider Entity Code]],A199)/C199,"NA")</f>
        <v>NA</v>
      </c>
      <c r="H199" s="204" t="str">
        <f>IFERROR(SUMIFS(TM[[#All],[Total Truncated Expenses]],TM[[#All],[Reporting Year]],2022,TM[[#All],[Insurance Category Code]],5,TM[[#All],[Large Provider Entity Code]],A199)/C199,"NA")</f>
        <v>NA</v>
      </c>
      <c r="I199" s="95">
        <f>SUMIFS(TM[[#All],[Member Months]],TM[[#All],[Reporting Year]],2023,TM[[#All],[Insurance Category Code]],5,TM[[#All],[Large Provider Entity Code]],A199)</f>
        <v>0</v>
      </c>
      <c r="J199" s="7" t="str">
        <f>IFERROR(SUMIFS(TM[[#All],[Total Non-Truncated Claims Spending]],TM[[#All],[Reporting Year]],2023,TM[[#All],[Insurance Category Code]],5,TM[[#All],[Large Provider Entity Code]],A199)/I199,"NA")</f>
        <v>NA</v>
      </c>
      <c r="K199" s="7" t="str">
        <f>IFERROR(SUMIFS(TM[[#All],[Total Non-Claims Spending]],TM[[#All],[Reporting Year]],2023,TM[[#All],[Insurance Category Code]],5,TM[[#All],[Large Provider Entity Code]],A199)/I199,"NA")</f>
        <v>NA</v>
      </c>
      <c r="L199" s="7" t="str">
        <f>IFERROR(SUMIFS(TM[[#All],[Total Non-Truncated Claims and Non-Claims Spending]],TM[[#All],[Reporting Year]],2023,TM[[#All],[Insurance Category Code]],5,TM[[#All],[Large Provider Entity Code]],A199)/I199,"NA")</f>
        <v>NA</v>
      </c>
      <c r="M199" s="7" t="str">
        <f>IFERROR(SUMIFS(TM[[#All],[Total Truncated Claims Spending]],TM[[#All],[Reporting Year]],2023,TM[[#All],[Insurance Category Code]],5,TM[[#All],[Large Provider Entity Code]],A199)/I199,"NA")</f>
        <v>NA</v>
      </c>
      <c r="N199" s="96" t="str">
        <f>IFERROR(SUMIFS(TM[[#All],[Total Truncated Expenses]],TM[[#All],[Reporting Year]],2023,TM[[#All],[Insurance Category Code]],5,TM[[#All],[Large Provider Entity Code]],A199)/I199,"NA")</f>
        <v>NA</v>
      </c>
      <c r="O199" s="518">
        <f t="shared" si="31"/>
        <v>0</v>
      </c>
      <c r="P199" s="243" t="str">
        <f t="shared" si="30"/>
        <v>NA</v>
      </c>
      <c r="Q199" s="97" t="str">
        <f t="shared" si="30"/>
        <v>NA</v>
      </c>
      <c r="R199" s="97" t="str">
        <f t="shared" si="30"/>
        <v>NA</v>
      </c>
      <c r="S199" s="97" t="str">
        <f t="shared" si="30"/>
        <v>NA</v>
      </c>
      <c r="T199" s="97" t="str">
        <f t="shared" si="30"/>
        <v>NA</v>
      </c>
      <c r="U199" s="97" t="str">
        <f t="shared" si="30"/>
        <v>NA</v>
      </c>
    </row>
    <row r="200" spans="1:21" x14ac:dyDescent="0.25">
      <c r="A200" s="218">
        <v>109</v>
      </c>
      <c r="B200" s="571" t="s">
        <v>76</v>
      </c>
      <c r="C200" s="95">
        <f>SUMIFS(TM[[#All],[Member Months]],TM[[#All],[Reporting Year]],2022,TM[[#All],[Insurance Category Code]],5,TM[[#All],[Large Provider Entity Code]],A200)</f>
        <v>0</v>
      </c>
      <c r="D200" s="7" t="str">
        <f>IFERROR(SUMIFS(TM[[#All],[Total Non-Truncated Claims Spending]],TM[[#All],[Reporting Year]],2022,TM[[#All],[Insurance Category Code]],5,TM[[#All],[Large Provider Entity Code]],A200)/C200,"NA")</f>
        <v>NA</v>
      </c>
      <c r="E200" s="7" t="str">
        <f>IFERROR(SUMIFS(TM[[#All],[Total Non-Claims Spending]],TM[[#All],[Reporting Year]],2022,TM[[#All],[Insurance Category Code]],5,TM[[#All],[Large Provider Entity Code]],A200)/C200,"NA")</f>
        <v>NA</v>
      </c>
      <c r="F200" s="7" t="str">
        <f>IFERROR(SUMIFS(TM[[#All],[Total Non-Truncated Claims and Non-Claims Spending]],TM[[#All],[Reporting Year]],2022,TM[[#All],[Insurance Category Code]],5,TM[[#All],[Large Provider Entity Code]],A200)/C200,"NA")</f>
        <v>NA</v>
      </c>
      <c r="G200" s="7" t="str">
        <f>IFERROR(SUMIFS(TM[[#All],[Total Truncated Claims Spending]],TM[[#All],[Reporting Year]],2022,TM[[#All],[Insurance Category Code]],5,TM[[#All],[Large Provider Entity Code]],A200)/C200,"NA")</f>
        <v>NA</v>
      </c>
      <c r="H200" s="204" t="str">
        <f>IFERROR(SUMIFS(TM[[#All],[Total Truncated Expenses]],TM[[#All],[Reporting Year]],2022,TM[[#All],[Insurance Category Code]],5,TM[[#All],[Large Provider Entity Code]],A200)/C200,"NA")</f>
        <v>NA</v>
      </c>
      <c r="I200" s="95">
        <f>SUMIFS(TM[[#All],[Member Months]],TM[[#All],[Reporting Year]],2023,TM[[#All],[Insurance Category Code]],5,TM[[#All],[Large Provider Entity Code]],A200)</f>
        <v>0</v>
      </c>
      <c r="J200" s="7" t="str">
        <f>IFERROR(SUMIFS(TM[[#All],[Total Non-Truncated Claims Spending]],TM[[#All],[Reporting Year]],2023,TM[[#All],[Insurance Category Code]],5,TM[[#All],[Large Provider Entity Code]],A200)/I200,"NA")</f>
        <v>NA</v>
      </c>
      <c r="K200" s="7" t="str">
        <f>IFERROR(SUMIFS(TM[[#All],[Total Non-Claims Spending]],TM[[#All],[Reporting Year]],2023,TM[[#All],[Insurance Category Code]],5,TM[[#All],[Large Provider Entity Code]],A200)/I200,"NA")</f>
        <v>NA</v>
      </c>
      <c r="L200" s="7" t="str">
        <f>IFERROR(SUMIFS(TM[[#All],[Total Non-Truncated Claims and Non-Claims Spending]],TM[[#All],[Reporting Year]],2023,TM[[#All],[Insurance Category Code]],5,TM[[#All],[Large Provider Entity Code]],A200)/I200,"NA")</f>
        <v>NA</v>
      </c>
      <c r="M200" s="7" t="str">
        <f>IFERROR(SUMIFS(TM[[#All],[Total Truncated Claims Spending]],TM[[#All],[Reporting Year]],2023,TM[[#All],[Insurance Category Code]],5,TM[[#All],[Large Provider Entity Code]],A200)/I200,"NA")</f>
        <v>NA</v>
      </c>
      <c r="N200" s="96" t="str">
        <f>IFERROR(SUMIFS(TM[[#All],[Total Truncated Expenses]],TM[[#All],[Reporting Year]],2023,TM[[#All],[Insurance Category Code]],5,TM[[#All],[Large Provider Entity Code]],A200)/I200,"NA")</f>
        <v>NA</v>
      </c>
      <c r="O200" s="518">
        <f t="shared" si="31"/>
        <v>0</v>
      </c>
      <c r="P200" s="243" t="str">
        <f t="shared" si="30"/>
        <v>NA</v>
      </c>
      <c r="Q200" s="97" t="str">
        <f t="shared" si="30"/>
        <v>NA</v>
      </c>
      <c r="R200" s="97" t="str">
        <f t="shared" si="30"/>
        <v>NA</v>
      </c>
      <c r="S200" s="97" t="str">
        <f t="shared" si="30"/>
        <v>NA</v>
      </c>
      <c r="T200" s="97" t="str">
        <f t="shared" si="30"/>
        <v>NA</v>
      </c>
      <c r="U200" s="97" t="str">
        <f t="shared" si="30"/>
        <v>NA</v>
      </c>
    </row>
    <row r="201" spans="1:21" x14ac:dyDescent="0.25">
      <c r="A201" s="218">
        <v>110</v>
      </c>
      <c r="B201" s="495" t="s">
        <v>77</v>
      </c>
      <c r="C201" s="95">
        <f>SUMIFS(TM[[#All],[Member Months]],TM[[#All],[Reporting Year]],2022,TM[[#All],[Insurance Category Code]],5,TM[[#All],[Large Provider Entity Code]],A201)</f>
        <v>0</v>
      </c>
      <c r="D201" s="7" t="str">
        <f>IFERROR(SUMIFS(TM[[#All],[Total Non-Truncated Claims Spending]],TM[[#All],[Reporting Year]],2022,TM[[#All],[Insurance Category Code]],5,TM[[#All],[Large Provider Entity Code]],A201)/C201,"NA")</f>
        <v>NA</v>
      </c>
      <c r="E201" s="7" t="str">
        <f>IFERROR(SUMIFS(TM[[#All],[Total Non-Claims Spending]],TM[[#All],[Reporting Year]],2022,TM[[#All],[Insurance Category Code]],5,TM[[#All],[Large Provider Entity Code]],A201)/C201,"NA")</f>
        <v>NA</v>
      </c>
      <c r="F201" s="7" t="str">
        <f>IFERROR(SUMIFS(TM[[#All],[Total Non-Truncated Claims and Non-Claims Spending]],TM[[#All],[Reporting Year]],2022,TM[[#All],[Insurance Category Code]],5,TM[[#All],[Large Provider Entity Code]],A201)/C201,"NA")</f>
        <v>NA</v>
      </c>
      <c r="G201" s="7" t="str">
        <f>IFERROR(SUMIFS(TM[[#All],[Total Truncated Claims Spending]],TM[[#All],[Reporting Year]],2022,TM[[#All],[Insurance Category Code]],5,TM[[#All],[Large Provider Entity Code]],A201)/C201,"NA")</f>
        <v>NA</v>
      </c>
      <c r="H201" s="204" t="str">
        <f>IFERROR(SUMIFS(TM[[#All],[Total Truncated Expenses]],TM[[#All],[Reporting Year]],2022,TM[[#All],[Insurance Category Code]],5,TM[[#All],[Large Provider Entity Code]],A201)/C201,"NA")</f>
        <v>NA</v>
      </c>
      <c r="I201" s="95">
        <f>SUMIFS(TM[[#All],[Member Months]],TM[[#All],[Reporting Year]],2023,TM[[#All],[Insurance Category Code]],5,TM[[#All],[Large Provider Entity Code]],A201)</f>
        <v>0</v>
      </c>
      <c r="J201" s="7" t="str">
        <f>IFERROR(SUMIFS(TM[[#All],[Total Non-Truncated Claims Spending]],TM[[#All],[Reporting Year]],2023,TM[[#All],[Insurance Category Code]],5,TM[[#All],[Large Provider Entity Code]],A201)/I201,"NA")</f>
        <v>NA</v>
      </c>
      <c r="K201" s="7" t="str">
        <f>IFERROR(SUMIFS(TM[[#All],[Total Non-Claims Spending]],TM[[#All],[Reporting Year]],2023,TM[[#All],[Insurance Category Code]],5,TM[[#All],[Large Provider Entity Code]],A201)/I201,"NA")</f>
        <v>NA</v>
      </c>
      <c r="L201" s="7" t="str">
        <f>IFERROR(SUMIFS(TM[[#All],[Total Non-Truncated Claims and Non-Claims Spending]],TM[[#All],[Reporting Year]],2023,TM[[#All],[Insurance Category Code]],5,TM[[#All],[Large Provider Entity Code]],A201)/I201,"NA")</f>
        <v>NA</v>
      </c>
      <c r="M201" s="7" t="str">
        <f>IFERROR(SUMIFS(TM[[#All],[Total Truncated Claims Spending]],TM[[#All],[Reporting Year]],2023,TM[[#All],[Insurance Category Code]],5,TM[[#All],[Large Provider Entity Code]],A201)/I201,"NA")</f>
        <v>NA</v>
      </c>
      <c r="N201" s="96" t="str">
        <f>IFERROR(SUMIFS(TM[[#All],[Total Truncated Expenses]],TM[[#All],[Reporting Year]],2023,TM[[#All],[Insurance Category Code]],5,TM[[#All],[Large Provider Entity Code]],A201)/I201,"NA")</f>
        <v>NA</v>
      </c>
      <c r="O201" s="518">
        <f t="shared" si="31"/>
        <v>0</v>
      </c>
      <c r="P201" s="243" t="str">
        <f t="shared" si="30"/>
        <v>NA</v>
      </c>
      <c r="Q201" s="97" t="str">
        <f t="shared" si="30"/>
        <v>NA</v>
      </c>
      <c r="R201" s="97" t="str">
        <f t="shared" si="30"/>
        <v>NA</v>
      </c>
      <c r="S201" s="97" t="str">
        <f t="shared" si="30"/>
        <v>NA</v>
      </c>
      <c r="T201" s="97" t="str">
        <f t="shared" si="30"/>
        <v>NA</v>
      </c>
      <c r="U201" s="97" t="str">
        <f t="shared" si="30"/>
        <v>NA</v>
      </c>
    </row>
    <row r="202" spans="1:21" x14ac:dyDescent="0.25">
      <c r="A202" s="218">
        <v>111</v>
      </c>
      <c r="B202" s="566" t="s">
        <v>78</v>
      </c>
      <c r="C202" s="95">
        <f>SUMIFS(TM[[#All],[Member Months]],TM[[#All],[Reporting Year]],2022,TM[[#All],[Insurance Category Code]],5,TM[[#All],[Large Provider Entity Code]],A202)</f>
        <v>0</v>
      </c>
      <c r="D202" s="7" t="str">
        <f>IFERROR(SUMIFS(TM[[#All],[Total Non-Truncated Claims Spending]],TM[[#All],[Reporting Year]],2022,TM[[#All],[Insurance Category Code]],5,TM[[#All],[Large Provider Entity Code]],A202)/C202,"NA")</f>
        <v>NA</v>
      </c>
      <c r="E202" s="7" t="str">
        <f>IFERROR(SUMIFS(TM[[#All],[Total Non-Claims Spending]],TM[[#All],[Reporting Year]],2022,TM[[#All],[Insurance Category Code]],5,TM[[#All],[Large Provider Entity Code]],A202)/C202,"NA")</f>
        <v>NA</v>
      </c>
      <c r="F202" s="7" t="str">
        <f>IFERROR(SUMIFS(TM[[#All],[Total Non-Truncated Claims and Non-Claims Spending]],TM[[#All],[Reporting Year]],2022,TM[[#All],[Insurance Category Code]],5,TM[[#All],[Large Provider Entity Code]],A202)/C202,"NA")</f>
        <v>NA</v>
      </c>
      <c r="G202" s="7" t="str">
        <f>IFERROR(SUMIFS(TM[[#All],[Total Truncated Claims Spending]],TM[[#All],[Reporting Year]],2022,TM[[#All],[Insurance Category Code]],5,TM[[#All],[Large Provider Entity Code]],A202)/C202,"NA")</f>
        <v>NA</v>
      </c>
      <c r="H202" s="204" t="str">
        <f>IFERROR(SUMIFS(TM[[#All],[Total Truncated Expenses]],TM[[#All],[Reporting Year]],2022,TM[[#All],[Insurance Category Code]],5,TM[[#All],[Large Provider Entity Code]],A202)/C202,"NA")</f>
        <v>NA</v>
      </c>
      <c r="I202" s="95">
        <f>SUMIFS(TM[[#All],[Member Months]],TM[[#All],[Reporting Year]],2023,TM[[#All],[Insurance Category Code]],5,TM[[#All],[Large Provider Entity Code]],A202)</f>
        <v>0</v>
      </c>
      <c r="J202" s="7" t="str">
        <f>IFERROR(SUMIFS(TM[[#All],[Total Non-Truncated Claims Spending]],TM[[#All],[Reporting Year]],2023,TM[[#All],[Insurance Category Code]],5,TM[[#All],[Large Provider Entity Code]],A202)/I202,"NA")</f>
        <v>NA</v>
      </c>
      <c r="K202" s="7" t="str">
        <f>IFERROR(SUMIFS(TM[[#All],[Total Non-Claims Spending]],TM[[#All],[Reporting Year]],2023,TM[[#All],[Insurance Category Code]],5,TM[[#All],[Large Provider Entity Code]],A202)/I202,"NA")</f>
        <v>NA</v>
      </c>
      <c r="L202" s="7" t="str">
        <f>IFERROR(SUMIFS(TM[[#All],[Total Non-Truncated Claims and Non-Claims Spending]],TM[[#All],[Reporting Year]],2023,TM[[#All],[Insurance Category Code]],5,TM[[#All],[Large Provider Entity Code]],A202)/I202,"NA")</f>
        <v>NA</v>
      </c>
      <c r="M202" s="7" t="str">
        <f>IFERROR(SUMIFS(TM[[#All],[Total Truncated Claims Spending]],TM[[#All],[Reporting Year]],2023,TM[[#All],[Insurance Category Code]],5,TM[[#All],[Large Provider Entity Code]],A202)/I202,"NA")</f>
        <v>NA</v>
      </c>
      <c r="N202" s="96" t="str">
        <f>IFERROR(SUMIFS(TM[[#All],[Total Truncated Expenses]],TM[[#All],[Reporting Year]],2023,TM[[#All],[Insurance Category Code]],5,TM[[#All],[Large Provider Entity Code]],A202)/I202,"NA")</f>
        <v>NA</v>
      </c>
      <c r="O202" s="518">
        <f t="shared" si="31"/>
        <v>0</v>
      </c>
      <c r="P202" s="243" t="str">
        <f t="shared" si="30"/>
        <v>NA</v>
      </c>
      <c r="Q202" s="97" t="str">
        <f t="shared" si="30"/>
        <v>NA</v>
      </c>
      <c r="R202" s="97" t="str">
        <f t="shared" si="30"/>
        <v>NA</v>
      </c>
      <c r="S202" s="97" t="str">
        <f t="shared" si="30"/>
        <v>NA</v>
      </c>
      <c r="T202" s="97" t="str">
        <f t="shared" si="30"/>
        <v>NA</v>
      </c>
      <c r="U202" s="97" t="str">
        <f t="shared" si="30"/>
        <v>NA</v>
      </c>
    </row>
    <row r="203" spans="1:21" x14ac:dyDescent="0.25">
      <c r="A203" s="218">
        <v>112</v>
      </c>
      <c r="B203" s="566" t="s">
        <v>613</v>
      </c>
      <c r="C203" s="95">
        <f>SUMIFS(TM[[#All],[Member Months]],TM[[#All],[Reporting Year]],2022,TM[[#All],[Insurance Category Code]],5,TM[[#All],[Large Provider Entity Code]],A203)</f>
        <v>0</v>
      </c>
      <c r="D203" s="7" t="str">
        <f>IFERROR(SUMIFS(TM[[#All],[Total Non-Truncated Claims Spending]],TM[[#All],[Reporting Year]],2022,TM[[#All],[Insurance Category Code]],5,TM[[#All],[Large Provider Entity Code]],A203)/C203,"NA")</f>
        <v>NA</v>
      </c>
      <c r="E203" s="7" t="str">
        <f>IFERROR(SUMIFS(TM[[#All],[Total Non-Claims Spending]],TM[[#All],[Reporting Year]],2022,TM[[#All],[Insurance Category Code]],5,TM[[#All],[Large Provider Entity Code]],A203)/C203,"NA")</f>
        <v>NA</v>
      </c>
      <c r="F203" s="7" t="str">
        <f>IFERROR(SUMIFS(TM[[#All],[Total Non-Truncated Claims and Non-Claims Spending]],TM[[#All],[Reporting Year]],2022,TM[[#All],[Insurance Category Code]],5,TM[[#All],[Large Provider Entity Code]],A203)/C203,"NA")</f>
        <v>NA</v>
      </c>
      <c r="G203" s="7" t="str">
        <f>IFERROR(SUMIFS(TM[[#All],[Total Truncated Claims Spending]],TM[[#All],[Reporting Year]],2022,TM[[#All],[Insurance Category Code]],5,TM[[#All],[Large Provider Entity Code]],A203)/C203,"NA")</f>
        <v>NA</v>
      </c>
      <c r="H203" s="204" t="str">
        <f>IFERROR(SUMIFS(TM[[#All],[Total Truncated Expenses]],TM[[#All],[Reporting Year]],2022,TM[[#All],[Insurance Category Code]],5,TM[[#All],[Large Provider Entity Code]],A203)/C203,"NA")</f>
        <v>NA</v>
      </c>
      <c r="I203" s="95">
        <f>SUMIFS(TM[[#All],[Member Months]],TM[[#All],[Reporting Year]],2023,TM[[#All],[Insurance Category Code]],5,TM[[#All],[Large Provider Entity Code]],A203)</f>
        <v>0</v>
      </c>
      <c r="J203" s="7" t="str">
        <f>IFERROR(SUMIFS(TM[[#All],[Total Non-Truncated Claims Spending]],TM[[#All],[Reporting Year]],2023,TM[[#All],[Insurance Category Code]],5,TM[[#All],[Large Provider Entity Code]],A203)/I203,"NA")</f>
        <v>NA</v>
      </c>
      <c r="K203" s="7" t="str">
        <f>IFERROR(SUMIFS(TM[[#All],[Total Non-Claims Spending]],TM[[#All],[Reporting Year]],2023,TM[[#All],[Insurance Category Code]],5,TM[[#All],[Large Provider Entity Code]],A203)/I203,"NA")</f>
        <v>NA</v>
      </c>
      <c r="L203" s="7" t="str">
        <f>IFERROR(SUMIFS(TM[[#All],[Total Non-Truncated Claims and Non-Claims Spending]],TM[[#All],[Reporting Year]],2023,TM[[#All],[Insurance Category Code]],5,TM[[#All],[Large Provider Entity Code]],A203)/I203,"NA")</f>
        <v>NA</v>
      </c>
      <c r="M203" s="7" t="str">
        <f>IFERROR(SUMIFS(TM[[#All],[Total Truncated Claims Spending]],TM[[#All],[Reporting Year]],2023,TM[[#All],[Insurance Category Code]],5,TM[[#All],[Large Provider Entity Code]],A203)/I203,"NA")</f>
        <v>NA</v>
      </c>
      <c r="N203" s="96" t="str">
        <f>IFERROR(SUMIFS(TM[[#All],[Total Truncated Expenses]],TM[[#All],[Reporting Year]],2023,TM[[#All],[Insurance Category Code]],5,TM[[#All],[Large Provider Entity Code]],A203)/I203,"NA")</f>
        <v>NA</v>
      </c>
      <c r="O203" s="518">
        <f t="shared" si="31"/>
        <v>0</v>
      </c>
      <c r="P203" s="243" t="str">
        <f t="shared" si="30"/>
        <v>NA</v>
      </c>
      <c r="Q203" s="97" t="str">
        <f t="shared" si="30"/>
        <v>NA</v>
      </c>
      <c r="R203" s="97" t="str">
        <f t="shared" si="30"/>
        <v>NA</v>
      </c>
      <c r="S203" s="97" t="str">
        <f t="shared" si="30"/>
        <v>NA</v>
      </c>
      <c r="T203" s="97" t="str">
        <f t="shared" si="30"/>
        <v>NA</v>
      </c>
      <c r="U203" s="97" t="str">
        <f t="shared" si="30"/>
        <v>NA</v>
      </c>
    </row>
    <row r="204" spans="1:21" x14ac:dyDescent="0.25">
      <c r="A204" s="218">
        <v>115</v>
      </c>
      <c r="B204" s="566" t="s">
        <v>79</v>
      </c>
      <c r="C204" s="95">
        <f>SUMIFS(TM[[#All],[Member Months]],TM[[#All],[Reporting Year]],2022,TM[[#All],[Insurance Category Code]],5,TM[[#All],[Large Provider Entity Code]],A204)</f>
        <v>0</v>
      </c>
      <c r="D204" s="7" t="str">
        <f>IFERROR(SUMIFS(TM[[#All],[Total Non-Truncated Claims Spending]],TM[[#All],[Reporting Year]],2022,TM[[#All],[Insurance Category Code]],5,TM[[#All],[Large Provider Entity Code]],A204)/C204,"NA")</f>
        <v>NA</v>
      </c>
      <c r="E204" s="7" t="str">
        <f>IFERROR(SUMIFS(TM[[#All],[Total Non-Claims Spending]],TM[[#All],[Reporting Year]],2022,TM[[#All],[Insurance Category Code]],5,TM[[#All],[Large Provider Entity Code]],A204)/C204,"NA")</f>
        <v>NA</v>
      </c>
      <c r="F204" s="7" t="str">
        <f>IFERROR(SUMIFS(TM[[#All],[Total Non-Truncated Claims and Non-Claims Spending]],TM[[#All],[Reporting Year]],2022,TM[[#All],[Insurance Category Code]],5,TM[[#All],[Large Provider Entity Code]],A204)/C204,"NA")</f>
        <v>NA</v>
      </c>
      <c r="G204" s="7" t="str">
        <f>IFERROR(SUMIFS(TM[[#All],[Total Truncated Claims Spending]],TM[[#All],[Reporting Year]],2022,TM[[#All],[Insurance Category Code]],5,TM[[#All],[Large Provider Entity Code]],A204)/C204,"NA")</f>
        <v>NA</v>
      </c>
      <c r="H204" s="204" t="str">
        <f>IFERROR(SUMIFS(TM[[#All],[Total Truncated Expenses]],TM[[#All],[Reporting Year]],2022,TM[[#All],[Insurance Category Code]],5,TM[[#All],[Large Provider Entity Code]],A204)/C204,"NA")</f>
        <v>NA</v>
      </c>
      <c r="I204" s="95">
        <f>SUMIFS(TM[[#All],[Member Months]],TM[[#All],[Reporting Year]],2023,TM[[#All],[Insurance Category Code]],5,TM[[#All],[Large Provider Entity Code]],A204)</f>
        <v>0</v>
      </c>
      <c r="J204" s="7" t="str">
        <f>IFERROR(SUMIFS(TM[[#All],[Total Non-Truncated Claims Spending]],TM[[#All],[Reporting Year]],2023,TM[[#All],[Insurance Category Code]],5,TM[[#All],[Large Provider Entity Code]],A204)/I204,"NA")</f>
        <v>NA</v>
      </c>
      <c r="K204" s="7" t="str">
        <f>IFERROR(SUMIFS(TM[[#All],[Total Non-Claims Spending]],TM[[#All],[Reporting Year]],2023,TM[[#All],[Insurance Category Code]],5,TM[[#All],[Large Provider Entity Code]],A204)/I204,"NA")</f>
        <v>NA</v>
      </c>
      <c r="L204" s="7" t="str">
        <f>IFERROR(SUMIFS(TM[[#All],[Total Non-Truncated Claims and Non-Claims Spending]],TM[[#All],[Reporting Year]],2023,TM[[#All],[Insurance Category Code]],5,TM[[#All],[Large Provider Entity Code]],A204)/I204,"NA")</f>
        <v>NA</v>
      </c>
      <c r="M204" s="7" t="str">
        <f>IFERROR(SUMIFS(TM[[#All],[Total Truncated Claims Spending]],TM[[#All],[Reporting Year]],2023,TM[[#All],[Insurance Category Code]],5,TM[[#All],[Large Provider Entity Code]],A204)/I204,"NA")</f>
        <v>NA</v>
      </c>
      <c r="N204" s="96" t="str">
        <f>IFERROR(SUMIFS(TM[[#All],[Total Truncated Expenses]],TM[[#All],[Reporting Year]],2023,TM[[#All],[Insurance Category Code]],5,TM[[#All],[Large Provider Entity Code]],A204)/I204,"NA")</f>
        <v>NA</v>
      </c>
      <c r="O204" s="518">
        <f t="shared" si="31"/>
        <v>0</v>
      </c>
      <c r="P204" s="243" t="str">
        <f t="shared" si="30"/>
        <v>NA</v>
      </c>
      <c r="Q204" s="97" t="str">
        <f t="shared" si="30"/>
        <v>NA</v>
      </c>
      <c r="R204" s="97" t="str">
        <f t="shared" si="30"/>
        <v>NA</v>
      </c>
      <c r="S204" s="97" t="str">
        <f t="shared" si="30"/>
        <v>NA</v>
      </c>
      <c r="T204" s="97" t="str">
        <f t="shared" si="30"/>
        <v>NA</v>
      </c>
      <c r="U204" s="97" t="str">
        <f t="shared" si="30"/>
        <v>NA</v>
      </c>
    </row>
    <row r="205" spans="1:21" x14ac:dyDescent="0.25">
      <c r="A205" s="218">
        <v>116</v>
      </c>
      <c r="B205" s="566" t="s">
        <v>614</v>
      </c>
      <c r="C205" s="95">
        <f>SUMIFS(TM[[#All],[Member Months]],TM[[#All],[Reporting Year]],2022,TM[[#All],[Insurance Category Code]],5,TM[[#All],[Large Provider Entity Code]],A205)</f>
        <v>0</v>
      </c>
      <c r="D205" s="7" t="str">
        <f>IFERROR(SUMIFS(TM[[#All],[Total Non-Truncated Claims Spending]],TM[[#All],[Reporting Year]],2022,TM[[#All],[Insurance Category Code]],5,TM[[#All],[Large Provider Entity Code]],A205)/C205,"NA")</f>
        <v>NA</v>
      </c>
      <c r="E205" s="7" t="str">
        <f>IFERROR(SUMIFS(TM[[#All],[Total Non-Claims Spending]],TM[[#All],[Reporting Year]],2022,TM[[#All],[Insurance Category Code]],5,TM[[#All],[Large Provider Entity Code]],A205)/C205,"NA")</f>
        <v>NA</v>
      </c>
      <c r="F205" s="7" t="str">
        <f>IFERROR(SUMIFS(TM[[#All],[Total Non-Truncated Claims and Non-Claims Spending]],TM[[#All],[Reporting Year]],2022,TM[[#All],[Insurance Category Code]],5,TM[[#All],[Large Provider Entity Code]],A205)/C205,"NA")</f>
        <v>NA</v>
      </c>
      <c r="G205" s="7" t="str">
        <f>IFERROR(SUMIFS(TM[[#All],[Total Truncated Claims Spending]],TM[[#All],[Reporting Year]],2022,TM[[#All],[Insurance Category Code]],5,TM[[#All],[Large Provider Entity Code]],A205)/C205,"NA")</f>
        <v>NA</v>
      </c>
      <c r="H205" s="204" t="str">
        <f>IFERROR(SUMIFS(TM[[#All],[Total Truncated Expenses]],TM[[#All],[Reporting Year]],2022,TM[[#All],[Insurance Category Code]],5,TM[[#All],[Large Provider Entity Code]],A205)/C205,"NA")</f>
        <v>NA</v>
      </c>
      <c r="I205" s="95">
        <f>SUMIFS(TM[[#All],[Member Months]],TM[[#All],[Reporting Year]],2023,TM[[#All],[Insurance Category Code]],5,TM[[#All],[Large Provider Entity Code]],A205)</f>
        <v>0</v>
      </c>
      <c r="J205" s="7" t="str">
        <f>IFERROR(SUMIFS(TM[[#All],[Total Non-Truncated Claims Spending]],TM[[#All],[Reporting Year]],2023,TM[[#All],[Insurance Category Code]],5,TM[[#All],[Large Provider Entity Code]],A205)/I205,"NA")</f>
        <v>NA</v>
      </c>
      <c r="K205" s="7" t="str">
        <f>IFERROR(SUMIFS(TM[[#All],[Total Non-Claims Spending]],TM[[#All],[Reporting Year]],2023,TM[[#All],[Insurance Category Code]],5,TM[[#All],[Large Provider Entity Code]],A205)/I205,"NA")</f>
        <v>NA</v>
      </c>
      <c r="L205" s="7" t="str">
        <f>IFERROR(SUMIFS(TM[[#All],[Total Non-Truncated Claims and Non-Claims Spending]],TM[[#All],[Reporting Year]],2023,TM[[#All],[Insurance Category Code]],5,TM[[#All],[Large Provider Entity Code]],A205)/I205,"NA")</f>
        <v>NA</v>
      </c>
      <c r="M205" s="7" t="str">
        <f>IFERROR(SUMIFS(TM[[#All],[Total Truncated Claims Spending]],TM[[#All],[Reporting Year]],2023,TM[[#All],[Insurance Category Code]],5,TM[[#All],[Large Provider Entity Code]],A205)/I205,"NA")</f>
        <v>NA</v>
      </c>
      <c r="N205" s="96" t="str">
        <f>IFERROR(SUMIFS(TM[[#All],[Total Truncated Expenses]],TM[[#All],[Reporting Year]],2023,TM[[#All],[Insurance Category Code]],5,TM[[#All],[Large Provider Entity Code]],A205)/I205,"NA")</f>
        <v>NA</v>
      </c>
      <c r="O205" s="518">
        <f t="shared" si="31"/>
        <v>0</v>
      </c>
      <c r="P205" s="243" t="str">
        <f t="shared" si="30"/>
        <v>NA</v>
      </c>
      <c r="Q205" s="97" t="str">
        <f t="shared" si="30"/>
        <v>NA</v>
      </c>
      <c r="R205" s="97" t="str">
        <f t="shared" si="30"/>
        <v>NA</v>
      </c>
      <c r="S205" s="97" t="str">
        <f t="shared" si="30"/>
        <v>NA</v>
      </c>
      <c r="T205" s="97" t="str">
        <f t="shared" si="30"/>
        <v>NA</v>
      </c>
      <c r="U205" s="97" t="str">
        <f t="shared" si="30"/>
        <v>NA</v>
      </c>
    </row>
    <row r="206" spans="1:21" x14ac:dyDescent="0.25">
      <c r="A206" s="218">
        <v>118</v>
      </c>
      <c r="B206" s="566" t="s">
        <v>80</v>
      </c>
      <c r="C206" s="95">
        <f>SUMIFS(TM[[#All],[Member Months]],TM[[#All],[Reporting Year]],2022,TM[[#All],[Insurance Category Code]],5,TM[[#All],[Large Provider Entity Code]],A206)</f>
        <v>0</v>
      </c>
      <c r="D206" s="7" t="str">
        <f>IFERROR(SUMIFS(TM[[#All],[Total Non-Truncated Claims Spending]],TM[[#All],[Reporting Year]],2022,TM[[#All],[Insurance Category Code]],5,TM[[#All],[Large Provider Entity Code]],A206)/C206,"NA")</f>
        <v>NA</v>
      </c>
      <c r="E206" s="7" t="str">
        <f>IFERROR(SUMIFS(TM[[#All],[Total Non-Claims Spending]],TM[[#All],[Reporting Year]],2022,TM[[#All],[Insurance Category Code]],5,TM[[#All],[Large Provider Entity Code]],A206)/C206,"NA")</f>
        <v>NA</v>
      </c>
      <c r="F206" s="7" t="str">
        <f>IFERROR(SUMIFS(TM[[#All],[Total Non-Truncated Claims and Non-Claims Spending]],TM[[#All],[Reporting Year]],2022,TM[[#All],[Insurance Category Code]],5,TM[[#All],[Large Provider Entity Code]],A206)/C206,"NA")</f>
        <v>NA</v>
      </c>
      <c r="G206" s="7" t="str">
        <f>IFERROR(SUMIFS(TM[[#All],[Total Truncated Claims Spending]],TM[[#All],[Reporting Year]],2022,TM[[#All],[Insurance Category Code]],5,TM[[#All],[Large Provider Entity Code]],A206)/C206,"NA")</f>
        <v>NA</v>
      </c>
      <c r="H206" s="204" t="str">
        <f>IFERROR(SUMIFS(TM[[#All],[Total Truncated Expenses]],TM[[#All],[Reporting Year]],2022,TM[[#All],[Insurance Category Code]],5,TM[[#All],[Large Provider Entity Code]],A206)/C206,"NA")</f>
        <v>NA</v>
      </c>
      <c r="I206" s="95">
        <f>SUMIFS(TM[[#All],[Member Months]],TM[[#All],[Reporting Year]],2023,TM[[#All],[Insurance Category Code]],5,TM[[#All],[Large Provider Entity Code]],A206)</f>
        <v>0</v>
      </c>
      <c r="J206" s="7" t="str">
        <f>IFERROR(SUMIFS(TM[[#All],[Total Non-Truncated Claims Spending]],TM[[#All],[Reporting Year]],2023,TM[[#All],[Insurance Category Code]],5,TM[[#All],[Large Provider Entity Code]],A206)/I206,"NA")</f>
        <v>NA</v>
      </c>
      <c r="K206" s="7" t="str">
        <f>IFERROR(SUMIFS(TM[[#All],[Total Non-Claims Spending]],TM[[#All],[Reporting Year]],2023,TM[[#All],[Insurance Category Code]],5,TM[[#All],[Large Provider Entity Code]],A206)/I206,"NA")</f>
        <v>NA</v>
      </c>
      <c r="L206" s="7" t="str">
        <f>IFERROR(SUMIFS(TM[[#All],[Total Non-Truncated Claims and Non-Claims Spending]],TM[[#All],[Reporting Year]],2023,TM[[#All],[Insurance Category Code]],5,TM[[#All],[Large Provider Entity Code]],A206)/I206,"NA")</f>
        <v>NA</v>
      </c>
      <c r="M206" s="7" t="str">
        <f>IFERROR(SUMIFS(TM[[#All],[Total Truncated Claims Spending]],TM[[#All],[Reporting Year]],2023,TM[[#All],[Insurance Category Code]],5,TM[[#All],[Large Provider Entity Code]],A206)/I206,"NA")</f>
        <v>NA</v>
      </c>
      <c r="N206" s="96" t="str">
        <f>IFERROR(SUMIFS(TM[[#All],[Total Truncated Expenses]],TM[[#All],[Reporting Year]],2023,TM[[#All],[Insurance Category Code]],5,TM[[#All],[Large Provider Entity Code]],A206)/I206,"NA")</f>
        <v>NA</v>
      </c>
      <c r="O206" s="518">
        <f t="shared" si="31"/>
        <v>0</v>
      </c>
      <c r="P206" s="243" t="str">
        <f t="shared" si="30"/>
        <v>NA</v>
      </c>
      <c r="Q206" s="97" t="str">
        <f t="shared" si="30"/>
        <v>NA</v>
      </c>
      <c r="R206" s="97" t="str">
        <f t="shared" si="30"/>
        <v>NA</v>
      </c>
      <c r="S206" s="97" t="str">
        <f t="shared" si="30"/>
        <v>NA</v>
      </c>
      <c r="T206" s="97" t="str">
        <f t="shared" si="30"/>
        <v>NA</v>
      </c>
      <c r="U206" s="97" t="str">
        <f t="shared" si="30"/>
        <v>NA</v>
      </c>
    </row>
    <row r="207" spans="1:21" x14ac:dyDescent="0.25">
      <c r="A207" s="218">
        <v>119</v>
      </c>
      <c r="B207" s="566" t="s">
        <v>615</v>
      </c>
      <c r="C207" s="95">
        <f>SUMIFS(TM[[#All],[Member Months]],TM[[#All],[Reporting Year]],2022,TM[[#All],[Insurance Category Code]],5,TM[[#All],[Large Provider Entity Code]],A207)</f>
        <v>0</v>
      </c>
      <c r="D207" s="7" t="str">
        <f>IFERROR(SUMIFS(TM[[#All],[Total Non-Truncated Claims Spending]],TM[[#All],[Reporting Year]],2022,TM[[#All],[Insurance Category Code]],5,TM[[#All],[Large Provider Entity Code]],A207)/C207,"NA")</f>
        <v>NA</v>
      </c>
      <c r="E207" s="7" t="str">
        <f>IFERROR(SUMIFS(TM[[#All],[Total Non-Claims Spending]],TM[[#All],[Reporting Year]],2022,TM[[#All],[Insurance Category Code]],5,TM[[#All],[Large Provider Entity Code]],A207)/C207,"NA")</f>
        <v>NA</v>
      </c>
      <c r="F207" s="7" t="str">
        <f>IFERROR(SUMIFS(TM[[#All],[Total Non-Truncated Claims and Non-Claims Spending]],TM[[#All],[Reporting Year]],2022,TM[[#All],[Insurance Category Code]],5,TM[[#All],[Large Provider Entity Code]],A207)/C207,"NA")</f>
        <v>NA</v>
      </c>
      <c r="G207" s="7" t="str">
        <f>IFERROR(SUMIFS(TM[[#All],[Total Truncated Claims Spending]],TM[[#All],[Reporting Year]],2022,TM[[#All],[Insurance Category Code]],5,TM[[#All],[Large Provider Entity Code]],A207)/C207,"NA")</f>
        <v>NA</v>
      </c>
      <c r="H207" s="204" t="str">
        <f>IFERROR(SUMIFS(TM[[#All],[Total Truncated Expenses]],TM[[#All],[Reporting Year]],2022,TM[[#All],[Insurance Category Code]],5,TM[[#All],[Large Provider Entity Code]],A207)/C207,"NA")</f>
        <v>NA</v>
      </c>
      <c r="I207" s="95">
        <f>SUMIFS(TM[[#All],[Member Months]],TM[[#All],[Reporting Year]],2023,TM[[#All],[Insurance Category Code]],5,TM[[#All],[Large Provider Entity Code]],A207)</f>
        <v>0</v>
      </c>
      <c r="J207" s="7" t="str">
        <f>IFERROR(SUMIFS(TM[[#All],[Total Non-Truncated Claims Spending]],TM[[#All],[Reporting Year]],2023,TM[[#All],[Insurance Category Code]],5,TM[[#All],[Large Provider Entity Code]],A207)/I207,"NA")</f>
        <v>NA</v>
      </c>
      <c r="K207" s="7" t="str">
        <f>IFERROR(SUMIFS(TM[[#All],[Total Non-Claims Spending]],TM[[#All],[Reporting Year]],2023,TM[[#All],[Insurance Category Code]],5,TM[[#All],[Large Provider Entity Code]],A207)/I207,"NA")</f>
        <v>NA</v>
      </c>
      <c r="L207" s="7" t="str">
        <f>IFERROR(SUMIFS(TM[[#All],[Total Non-Truncated Claims and Non-Claims Spending]],TM[[#All],[Reporting Year]],2023,TM[[#All],[Insurance Category Code]],5,TM[[#All],[Large Provider Entity Code]],A207)/I207,"NA")</f>
        <v>NA</v>
      </c>
      <c r="M207" s="7" t="str">
        <f>IFERROR(SUMIFS(TM[[#All],[Total Truncated Claims Spending]],TM[[#All],[Reporting Year]],2023,TM[[#All],[Insurance Category Code]],5,TM[[#All],[Large Provider Entity Code]],A207)/I207,"NA")</f>
        <v>NA</v>
      </c>
      <c r="N207" s="96" t="str">
        <f>IFERROR(SUMIFS(TM[[#All],[Total Truncated Expenses]],TM[[#All],[Reporting Year]],2023,TM[[#All],[Insurance Category Code]],5,TM[[#All],[Large Provider Entity Code]],A207)/I207,"NA")</f>
        <v>NA</v>
      </c>
      <c r="O207" s="518">
        <f t="shared" si="31"/>
        <v>0</v>
      </c>
      <c r="P207" s="243" t="str">
        <f t="shared" si="30"/>
        <v>NA</v>
      </c>
      <c r="Q207" s="97" t="str">
        <f t="shared" si="30"/>
        <v>NA</v>
      </c>
      <c r="R207" s="97" t="str">
        <f t="shared" si="30"/>
        <v>NA</v>
      </c>
      <c r="S207" s="97" t="str">
        <f t="shared" si="30"/>
        <v>NA</v>
      </c>
      <c r="T207" s="97" t="str">
        <f t="shared" si="30"/>
        <v>NA</v>
      </c>
      <c r="U207" s="97" t="str">
        <f t="shared" si="30"/>
        <v>NA</v>
      </c>
    </row>
    <row r="208" spans="1:21" x14ac:dyDescent="0.25">
      <c r="A208" s="218">
        <v>120</v>
      </c>
      <c r="B208" s="566" t="s">
        <v>608</v>
      </c>
      <c r="C208" s="95">
        <f>SUMIFS(TM[[#All],[Member Months]],TM[[#All],[Reporting Year]],2022,TM[[#All],[Insurance Category Code]],5,TM[[#All],[Large Provider Entity Code]],A208)</f>
        <v>0</v>
      </c>
      <c r="D208" s="7" t="str">
        <f>IFERROR(SUMIFS(TM[[#All],[Total Non-Truncated Claims Spending]],TM[[#All],[Reporting Year]],2022,TM[[#All],[Insurance Category Code]],5,TM[[#All],[Large Provider Entity Code]],A208)/C208,"NA")</f>
        <v>NA</v>
      </c>
      <c r="E208" s="7" t="str">
        <f>IFERROR(SUMIFS(TM[[#All],[Total Non-Claims Spending]],TM[[#All],[Reporting Year]],2022,TM[[#All],[Insurance Category Code]],5,TM[[#All],[Large Provider Entity Code]],A208)/C208,"NA")</f>
        <v>NA</v>
      </c>
      <c r="F208" s="7" t="str">
        <f>IFERROR(SUMIFS(TM[[#All],[Total Non-Truncated Claims and Non-Claims Spending]],TM[[#All],[Reporting Year]],2022,TM[[#All],[Insurance Category Code]],5,TM[[#All],[Large Provider Entity Code]],A208)/C208,"NA")</f>
        <v>NA</v>
      </c>
      <c r="G208" s="7" t="str">
        <f>IFERROR(SUMIFS(TM[[#All],[Total Truncated Claims Spending]],TM[[#All],[Reporting Year]],2022,TM[[#All],[Insurance Category Code]],5,TM[[#All],[Large Provider Entity Code]],A208)/C208,"NA")</f>
        <v>NA</v>
      </c>
      <c r="H208" s="204" t="str">
        <f>IFERROR(SUMIFS(TM[[#All],[Total Truncated Expenses]],TM[[#All],[Reporting Year]],2022,TM[[#All],[Insurance Category Code]],5,TM[[#All],[Large Provider Entity Code]],A208)/C208,"NA")</f>
        <v>NA</v>
      </c>
      <c r="I208" s="95">
        <f>SUMIFS(TM[[#All],[Member Months]],TM[[#All],[Reporting Year]],2023,TM[[#All],[Insurance Category Code]],5,TM[[#All],[Large Provider Entity Code]],A208)</f>
        <v>0</v>
      </c>
      <c r="J208" s="7" t="str">
        <f>IFERROR(SUMIFS(TM[[#All],[Total Non-Truncated Claims Spending]],TM[[#All],[Reporting Year]],2023,TM[[#All],[Insurance Category Code]],5,TM[[#All],[Large Provider Entity Code]],A208)/I208,"NA")</f>
        <v>NA</v>
      </c>
      <c r="K208" s="7" t="str">
        <f>IFERROR(SUMIFS(TM[[#All],[Total Non-Claims Spending]],TM[[#All],[Reporting Year]],2023,TM[[#All],[Insurance Category Code]],5,TM[[#All],[Large Provider Entity Code]],A208)/I208,"NA")</f>
        <v>NA</v>
      </c>
      <c r="L208" s="7" t="str">
        <f>IFERROR(SUMIFS(TM[[#All],[Total Non-Truncated Claims and Non-Claims Spending]],TM[[#All],[Reporting Year]],2023,TM[[#All],[Insurance Category Code]],5,TM[[#All],[Large Provider Entity Code]],A208)/I208,"NA")</f>
        <v>NA</v>
      </c>
      <c r="M208" s="7" t="str">
        <f>IFERROR(SUMIFS(TM[[#All],[Total Truncated Claims Spending]],TM[[#All],[Reporting Year]],2023,TM[[#All],[Insurance Category Code]],5,TM[[#All],[Large Provider Entity Code]],A208)/I208,"NA")</f>
        <v>NA</v>
      </c>
      <c r="N208" s="96" t="str">
        <f>IFERROR(SUMIFS(TM[[#All],[Total Truncated Expenses]],TM[[#All],[Reporting Year]],2023,TM[[#All],[Insurance Category Code]],5,TM[[#All],[Large Provider Entity Code]],A208)/I208,"NA")</f>
        <v>NA</v>
      </c>
      <c r="O208" s="518">
        <f t="shared" si="31"/>
        <v>0</v>
      </c>
      <c r="P208" s="243" t="str">
        <f t="shared" si="30"/>
        <v>NA</v>
      </c>
      <c r="Q208" s="97" t="str">
        <f t="shared" si="30"/>
        <v>NA</v>
      </c>
      <c r="R208" s="97" t="str">
        <f t="shared" si="30"/>
        <v>NA</v>
      </c>
      <c r="S208" s="97" t="str">
        <f t="shared" si="30"/>
        <v>NA</v>
      </c>
      <c r="T208" s="97" t="str">
        <f t="shared" si="30"/>
        <v>NA</v>
      </c>
      <c r="U208" s="97" t="str">
        <f t="shared" si="30"/>
        <v>NA</v>
      </c>
    </row>
    <row r="209" spans="1:21" ht="30" x14ac:dyDescent="0.25">
      <c r="A209" s="218">
        <v>121</v>
      </c>
      <c r="B209" s="495" t="s">
        <v>616</v>
      </c>
      <c r="C209" s="95">
        <f>SUMIFS(TM[[#All],[Member Months]],TM[[#All],[Reporting Year]],2022,TM[[#All],[Insurance Category Code]],5,TM[[#All],[Large Provider Entity Code]],A209)</f>
        <v>0</v>
      </c>
      <c r="D209" s="7" t="str">
        <f>IFERROR(SUMIFS(TM[[#All],[Total Non-Truncated Claims Spending]],TM[[#All],[Reporting Year]],2022,TM[[#All],[Insurance Category Code]],5,TM[[#All],[Large Provider Entity Code]],A209)/C209,"NA")</f>
        <v>NA</v>
      </c>
      <c r="E209" s="7" t="str">
        <f>IFERROR(SUMIFS(TM[[#All],[Total Non-Claims Spending]],TM[[#All],[Reporting Year]],2022,TM[[#All],[Insurance Category Code]],5,TM[[#All],[Large Provider Entity Code]],A209)/C209,"NA")</f>
        <v>NA</v>
      </c>
      <c r="F209" s="7" t="str">
        <f>IFERROR(SUMIFS(TM[[#All],[Total Non-Truncated Claims and Non-Claims Spending]],TM[[#All],[Reporting Year]],2022,TM[[#All],[Insurance Category Code]],5,TM[[#All],[Large Provider Entity Code]],A209)/C209,"NA")</f>
        <v>NA</v>
      </c>
      <c r="G209" s="7" t="str">
        <f>IFERROR(SUMIFS(TM[[#All],[Total Truncated Claims Spending]],TM[[#All],[Reporting Year]],2022,TM[[#All],[Insurance Category Code]],5,TM[[#All],[Large Provider Entity Code]],A209)/C209,"NA")</f>
        <v>NA</v>
      </c>
      <c r="H209" s="204" t="str">
        <f>IFERROR(SUMIFS(TM[[#All],[Total Truncated Expenses]],TM[[#All],[Reporting Year]],2022,TM[[#All],[Insurance Category Code]],5,TM[[#All],[Large Provider Entity Code]],A209)/C209,"NA")</f>
        <v>NA</v>
      </c>
      <c r="I209" s="95">
        <f>SUMIFS(TM[[#All],[Member Months]],TM[[#All],[Reporting Year]],2023,TM[[#All],[Insurance Category Code]],5,TM[[#All],[Large Provider Entity Code]],A209)</f>
        <v>0</v>
      </c>
      <c r="J209" s="7" t="str">
        <f>IFERROR(SUMIFS(TM[[#All],[Total Non-Truncated Claims Spending]],TM[[#All],[Reporting Year]],2023,TM[[#All],[Insurance Category Code]],5,TM[[#All],[Large Provider Entity Code]],A209)/I209,"NA")</f>
        <v>NA</v>
      </c>
      <c r="K209" s="7" t="str">
        <f>IFERROR(SUMIFS(TM[[#All],[Total Non-Claims Spending]],TM[[#All],[Reporting Year]],2023,TM[[#All],[Insurance Category Code]],5,TM[[#All],[Large Provider Entity Code]],A209)/I209,"NA")</f>
        <v>NA</v>
      </c>
      <c r="L209" s="7" t="str">
        <f>IFERROR(SUMIFS(TM[[#All],[Total Non-Truncated Claims and Non-Claims Spending]],TM[[#All],[Reporting Year]],2023,TM[[#All],[Insurance Category Code]],5,TM[[#All],[Large Provider Entity Code]],A209)/I209,"NA")</f>
        <v>NA</v>
      </c>
      <c r="M209" s="7" t="str">
        <f>IFERROR(SUMIFS(TM[[#All],[Total Truncated Claims Spending]],TM[[#All],[Reporting Year]],2023,TM[[#All],[Insurance Category Code]],5,TM[[#All],[Large Provider Entity Code]],A209)/I209,"NA")</f>
        <v>NA</v>
      </c>
      <c r="N209" s="96" t="str">
        <f>IFERROR(SUMIFS(TM[[#All],[Total Truncated Expenses]],TM[[#All],[Reporting Year]],2023,TM[[#All],[Insurance Category Code]],5,TM[[#All],[Large Provider Entity Code]],A209)/I209,"NA")</f>
        <v>NA</v>
      </c>
      <c r="O209" s="518">
        <f t="shared" si="31"/>
        <v>0</v>
      </c>
      <c r="P209" s="243" t="str">
        <f t="shared" si="30"/>
        <v>NA</v>
      </c>
      <c r="Q209" s="97" t="str">
        <f t="shared" si="30"/>
        <v>NA</v>
      </c>
      <c r="R209" s="97" t="str">
        <f t="shared" si="30"/>
        <v>NA</v>
      </c>
      <c r="S209" s="97" t="str">
        <f t="shared" si="30"/>
        <v>NA</v>
      </c>
      <c r="T209" s="97" t="str">
        <f t="shared" si="30"/>
        <v>NA</v>
      </c>
      <c r="U209" s="97" t="str">
        <f t="shared" si="30"/>
        <v>NA</v>
      </c>
    </row>
    <row r="210" spans="1:21" x14ac:dyDescent="0.25">
      <c r="A210" s="218">
        <v>122</v>
      </c>
      <c r="B210" s="566" t="s">
        <v>617</v>
      </c>
      <c r="C210" s="95">
        <f>SUMIFS(TM[[#All],[Member Months]],TM[[#All],[Reporting Year]],2022,TM[[#All],[Insurance Category Code]],5,TM[[#All],[Large Provider Entity Code]],A210)</f>
        <v>0</v>
      </c>
      <c r="D210" s="7" t="str">
        <f>IFERROR(SUMIFS(TM[[#All],[Total Non-Truncated Claims Spending]],TM[[#All],[Reporting Year]],2022,TM[[#All],[Insurance Category Code]],5,TM[[#All],[Large Provider Entity Code]],A210)/C210,"NA")</f>
        <v>NA</v>
      </c>
      <c r="E210" s="7" t="str">
        <f>IFERROR(SUMIFS(TM[[#All],[Total Non-Claims Spending]],TM[[#All],[Reporting Year]],2022,TM[[#All],[Insurance Category Code]],5,TM[[#All],[Large Provider Entity Code]],A210)/C210,"NA")</f>
        <v>NA</v>
      </c>
      <c r="F210" s="7" t="str">
        <f>IFERROR(SUMIFS(TM[[#All],[Total Non-Truncated Claims and Non-Claims Spending]],TM[[#All],[Reporting Year]],2022,TM[[#All],[Insurance Category Code]],5,TM[[#All],[Large Provider Entity Code]],A210)/C210,"NA")</f>
        <v>NA</v>
      </c>
      <c r="G210" s="7" t="str">
        <f>IFERROR(SUMIFS(TM[[#All],[Total Truncated Claims Spending]],TM[[#All],[Reporting Year]],2022,TM[[#All],[Insurance Category Code]],5,TM[[#All],[Large Provider Entity Code]],A210)/C210,"NA")</f>
        <v>NA</v>
      </c>
      <c r="H210" s="204" t="str">
        <f>IFERROR(SUMIFS(TM[[#All],[Total Truncated Expenses]],TM[[#All],[Reporting Year]],2022,TM[[#All],[Insurance Category Code]],5,TM[[#All],[Large Provider Entity Code]],A210)/C210,"NA")</f>
        <v>NA</v>
      </c>
      <c r="I210" s="95">
        <f>SUMIFS(TM[[#All],[Member Months]],TM[[#All],[Reporting Year]],2023,TM[[#All],[Insurance Category Code]],5,TM[[#All],[Large Provider Entity Code]],A210)</f>
        <v>0</v>
      </c>
      <c r="J210" s="7" t="str">
        <f>IFERROR(SUMIFS(TM[[#All],[Total Non-Truncated Claims Spending]],TM[[#All],[Reporting Year]],2023,TM[[#All],[Insurance Category Code]],5,TM[[#All],[Large Provider Entity Code]],A210)/I210,"NA")</f>
        <v>NA</v>
      </c>
      <c r="K210" s="7" t="str">
        <f>IFERROR(SUMIFS(TM[[#All],[Total Non-Claims Spending]],TM[[#All],[Reporting Year]],2023,TM[[#All],[Insurance Category Code]],5,TM[[#All],[Large Provider Entity Code]],A210)/I210,"NA")</f>
        <v>NA</v>
      </c>
      <c r="L210" s="7" t="str">
        <f>IFERROR(SUMIFS(TM[[#All],[Total Non-Truncated Claims and Non-Claims Spending]],TM[[#All],[Reporting Year]],2023,TM[[#All],[Insurance Category Code]],5,TM[[#All],[Large Provider Entity Code]],A210)/I210,"NA")</f>
        <v>NA</v>
      </c>
      <c r="M210" s="7" t="str">
        <f>IFERROR(SUMIFS(TM[[#All],[Total Truncated Claims Spending]],TM[[#All],[Reporting Year]],2023,TM[[#All],[Insurance Category Code]],5,TM[[#All],[Large Provider Entity Code]],A210)/I210,"NA")</f>
        <v>NA</v>
      </c>
      <c r="N210" s="96" t="str">
        <f>IFERROR(SUMIFS(TM[[#All],[Total Truncated Expenses]],TM[[#All],[Reporting Year]],2023,TM[[#All],[Insurance Category Code]],5,TM[[#All],[Large Provider Entity Code]],A210)/I210,"NA")</f>
        <v>NA</v>
      </c>
      <c r="O210" s="518">
        <f t="shared" si="31"/>
        <v>0</v>
      </c>
      <c r="P210" s="243" t="str">
        <f t="shared" si="30"/>
        <v>NA</v>
      </c>
      <c r="Q210" s="97" t="str">
        <f t="shared" si="30"/>
        <v>NA</v>
      </c>
      <c r="R210" s="97" t="str">
        <f t="shared" si="30"/>
        <v>NA</v>
      </c>
      <c r="S210" s="97" t="str">
        <f t="shared" si="30"/>
        <v>NA</v>
      </c>
      <c r="T210" s="97" t="str">
        <f t="shared" si="30"/>
        <v>NA</v>
      </c>
      <c r="U210" s="97" t="str">
        <f t="shared" si="30"/>
        <v>NA</v>
      </c>
    </row>
    <row r="211" spans="1:21" x14ac:dyDescent="0.25">
      <c r="A211" s="218">
        <v>999</v>
      </c>
      <c r="B211" s="495" t="s">
        <v>81</v>
      </c>
      <c r="C211" s="95">
        <f>SUMIFS(TM[[#All],[Member Months]],TM[[#All],[Reporting Year]],2022,TM[[#All],[Insurance Category Code]],5,TM[[#All],[Large Provider Entity Code]],A211)</f>
        <v>0</v>
      </c>
      <c r="D211" s="7" t="str">
        <f>IFERROR(SUMIFS(TM[[#All],[Total Non-Truncated Claims Spending]],TM[[#All],[Reporting Year]],2022,TM[[#All],[Insurance Category Code]],5,TM[[#All],[Large Provider Entity Code]],A211)/C211,"NA")</f>
        <v>NA</v>
      </c>
      <c r="E211" s="7" t="str">
        <f>IFERROR(SUMIFS(TM[[#All],[Total Non-Claims Spending]],TM[[#All],[Reporting Year]],2022,TM[[#All],[Insurance Category Code]],5,TM[[#All],[Large Provider Entity Code]],A211)/C211,"NA")</f>
        <v>NA</v>
      </c>
      <c r="F211" s="7" t="str">
        <f>IFERROR(SUMIFS(TM[[#All],[Total Non-Truncated Claims and Non-Claims Spending]],TM[[#All],[Reporting Year]],2022,TM[[#All],[Insurance Category Code]],5,TM[[#All],[Large Provider Entity Code]],A211)/C211,"NA")</f>
        <v>NA</v>
      </c>
      <c r="G211" s="7" t="str">
        <f>IFERROR(SUMIFS(TM[[#All],[Total Truncated Claims Spending]],TM[[#All],[Reporting Year]],2022,TM[[#All],[Insurance Category Code]],5,TM[[#All],[Large Provider Entity Code]],A211)/C211,"NA")</f>
        <v>NA</v>
      </c>
      <c r="H211" s="204" t="str">
        <f>IFERROR(SUMIFS(TM[[#All],[Total Truncated Expenses]],TM[[#All],[Reporting Year]],2022,TM[[#All],[Insurance Category Code]],5,TM[[#All],[Large Provider Entity Code]],A211)/C211,"NA")</f>
        <v>NA</v>
      </c>
      <c r="I211" s="95">
        <f>SUMIFS(TM[[#All],[Member Months]],TM[[#All],[Reporting Year]],2023,TM[[#All],[Insurance Category Code]],5,TM[[#All],[Large Provider Entity Code]],A211)</f>
        <v>0</v>
      </c>
      <c r="J211" s="7" t="str">
        <f>IFERROR(SUMIFS(TM[[#All],[Total Non-Truncated Claims Spending]],TM[[#All],[Reporting Year]],2023,TM[[#All],[Insurance Category Code]],5,TM[[#All],[Large Provider Entity Code]],A211)/I211,"NA")</f>
        <v>NA</v>
      </c>
      <c r="K211" s="7" t="str">
        <f>IFERROR(SUMIFS(TM[[#All],[Total Non-Claims Spending]],TM[[#All],[Reporting Year]],2023,TM[[#All],[Insurance Category Code]],5,TM[[#All],[Large Provider Entity Code]],A211)/I211,"NA")</f>
        <v>NA</v>
      </c>
      <c r="L211" s="7" t="str">
        <f>IFERROR(SUMIFS(TM[[#All],[Total Non-Truncated Claims and Non-Claims Spending]],TM[[#All],[Reporting Year]],2023,TM[[#All],[Insurance Category Code]],5,TM[[#All],[Large Provider Entity Code]],A211)/I211,"NA")</f>
        <v>NA</v>
      </c>
      <c r="M211" s="7" t="str">
        <f>IFERROR(SUMIFS(TM[[#All],[Total Truncated Claims Spending]],TM[[#All],[Reporting Year]],2023,TM[[#All],[Insurance Category Code]],5,TM[[#All],[Large Provider Entity Code]],A211)/I211,"NA")</f>
        <v>NA</v>
      </c>
      <c r="N211" s="96" t="str">
        <f>IFERROR(SUMIFS(TM[[#All],[Total Truncated Expenses]],TM[[#All],[Reporting Year]],2023,TM[[#All],[Insurance Category Code]],5,TM[[#All],[Large Provider Entity Code]],A211)/I211,"NA")</f>
        <v>NA</v>
      </c>
      <c r="O211" s="518">
        <f t="shared" si="31"/>
        <v>0</v>
      </c>
      <c r="P211" s="243" t="str">
        <f t="shared" si="30"/>
        <v>NA</v>
      </c>
      <c r="Q211" s="97" t="str">
        <f t="shared" si="30"/>
        <v>NA</v>
      </c>
      <c r="R211" s="97" t="str">
        <f t="shared" si="30"/>
        <v>NA</v>
      </c>
      <c r="S211" s="97" t="str">
        <f t="shared" si="30"/>
        <v>NA</v>
      </c>
      <c r="T211" s="97" t="str">
        <f t="shared" si="30"/>
        <v>NA</v>
      </c>
      <c r="U211" s="97" t="str">
        <f t="shared" si="30"/>
        <v>NA</v>
      </c>
    </row>
    <row r="212" spans="1:21" ht="30" customHeight="1" x14ac:dyDescent="0.25">
      <c r="A212" s="707" t="s">
        <v>567</v>
      </c>
      <c r="B212" s="708"/>
      <c r="C212" s="165">
        <f>SUM(C192:C211)</f>
        <v>0</v>
      </c>
      <c r="D212" s="131" t="str">
        <f>IFERROR((SUMPRODUCT(D192:D211,C192:C211)/C212),"NA")</f>
        <v>NA</v>
      </c>
      <c r="E212" s="131" t="str">
        <f>IFERROR((SUMPRODUCT(E192:E211,C192:C211)/C212),"NA")</f>
        <v>NA</v>
      </c>
      <c r="F212" s="131" t="str">
        <f>IFERROR((SUMPRODUCT(F192:F211,C192:C211)/C212),"NA")</f>
        <v>NA</v>
      </c>
      <c r="G212" s="131" t="str">
        <f>IFERROR((SUMPRODUCT(G192:G211,C192:C211)/C212),"NA")</f>
        <v>NA</v>
      </c>
      <c r="H212" s="131" t="str">
        <f>IFERROR((SUMPRODUCT(H192:H211,C192:C211)/C212),"NA")</f>
        <v>NA</v>
      </c>
      <c r="I212" s="226">
        <f>SUM(I192:I211)</f>
        <v>0</v>
      </c>
      <c r="J212" s="131" t="str">
        <f>IFERROR((SUMPRODUCT(J192:J211,I192:I211)/I212),"NA")</f>
        <v>NA</v>
      </c>
      <c r="K212" s="131" t="str">
        <f>IFERROR((SUMPRODUCT(K192:K211,I192:I211)/I212),"NA")</f>
        <v>NA</v>
      </c>
      <c r="L212" s="131" t="str">
        <f>IFERROR((SUMPRODUCT(L192:L211,I192:I211)/I212),"NA")</f>
        <v>NA</v>
      </c>
      <c r="M212" s="131" t="str">
        <f>IFERROR((SUMPRODUCT(M192:M211,I192:I211)/I212),"NA")</f>
        <v>NA</v>
      </c>
      <c r="N212" s="206" t="str">
        <f>IFERROR((SUMPRODUCT(N192:N211,I192:I211)/I212),"NA")</f>
        <v>NA</v>
      </c>
      <c r="O212" s="544" t="s">
        <v>500</v>
      </c>
      <c r="P212" s="435" t="s">
        <v>500</v>
      </c>
      <c r="Q212" s="433" t="s">
        <v>500</v>
      </c>
      <c r="R212" s="433" t="s">
        <v>500</v>
      </c>
      <c r="S212" s="433" t="s">
        <v>500</v>
      </c>
      <c r="T212" s="433" t="s">
        <v>500</v>
      </c>
      <c r="U212" s="433" t="s">
        <v>500</v>
      </c>
    </row>
    <row r="213" spans="1:21" x14ac:dyDescent="0.25">
      <c r="A213" s="709" t="s">
        <v>563</v>
      </c>
      <c r="B213" s="710"/>
      <c r="C213" s="165" t="s">
        <v>500</v>
      </c>
      <c r="D213" s="130" t="str">
        <f>IFERROR(((SUMPRODUCT(D191,$C$191))-ABS(SUMIFS(RX[[#All],[Total Medical and Retail Pharmacy Rebate Amount]],RX[[#All],[Reporting Year]],2022,RX[[#All],[Insurance Category Code]],5)))/$C$212,"NA")</f>
        <v>NA</v>
      </c>
      <c r="E213" s="130" t="str">
        <f>IFERROR(((SUMPRODUCT(E191,$C$191))-ABS(SUMIFS(RX[[#All],[Total Medical and Retail Pharmacy Rebate Amount]],RX[[#All],[Reporting Year]],2022,RX[[#All],[Insurance Category Code]],5)))/$C$212,"NA")</f>
        <v>NA</v>
      </c>
      <c r="F213" s="130" t="str">
        <f>IFERROR(((SUMPRODUCT(F191,$C$191))-ABS(SUMIFS(RX[[#All],[Total Medical and Retail Pharmacy Rebate Amount]],RX[[#All],[Reporting Year]],2022,RX[[#All],[Insurance Category Code]],5)))/$C$212,"NA")</f>
        <v>NA</v>
      </c>
      <c r="G213" s="130" t="str">
        <f>IFERROR(((SUMPRODUCT(G191,$C$191))-ABS(SUMIFS(RX[[#All],[Total Medical and Retail Pharmacy Rebate Amount]],RX[[#All],[Reporting Year]],2022,RX[[#All],[Insurance Category Code]],5)))/$C$212,"NA")</f>
        <v>NA</v>
      </c>
      <c r="H213" s="208" t="str">
        <f>IFERROR(((SUMPRODUCT(H191,$C$191))-ABS(SUMIFS(RX[[#All],[Total Medical and Retail Pharmacy Rebate Amount]],RX[[#All],[Reporting Year]],2022,RX[[#All],[Insurance Category Code]],5)))/$C$212,"NA")</f>
        <v>NA</v>
      </c>
      <c r="I213" s="165" t="s">
        <v>500</v>
      </c>
      <c r="J213" s="130" t="str">
        <f>IFERROR(((SUMPRODUCT(J191,$I$191))-ABS(SUMIFS(RX[[#All],[Total Medical and Retail Pharmacy Rebate Amount]],RX[[#All],[Reporting Year]],2023,RX[[#All],[Insurance Category Code]],5)))/$I$212,"NA")</f>
        <v>NA</v>
      </c>
      <c r="K213" s="130" t="str">
        <f>IFERROR(((SUMPRODUCT(K191,$I$191))-ABS(SUMIFS(RX[[#All],[Total Medical and Retail Pharmacy Rebate Amount]],RX[[#All],[Reporting Year]],2023,RX[[#All],[Insurance Category Code]],5)))/$I$212,"NA")</f>
        <v>NA</v>
      </c>
      <c r="L213" s="130" t="str">
        <f>IFERROR(((SUMPRODUCT(L191,$I$191))-ABS(SUMIFS(RX[[#All],[Total Medical and Retail Pharmacy Rebate Amount]],RX[[#All],[Reporting Year]],2023,RX[[#All],[Insurance Category Code]],5)))/$I$212,"NA")</f>
        <v>NA</v>
      </c>
      <c r="M213" s="130" t="str">
        <f>IFERROR(((SUMPRODUCT(M191,$I$191))-ABS(SUMIFS(RX[[#All],[Total Medical and Retail Pharmacy Rebate Amount]],RX[[#All],[Reporting Year]],2023,RX[[#All],[Insurance Category Code]],5)))/$I$212,"NA")</f>
        <v>NA</v>
      </c>
      <c r="N213" s="208" t="str">
        <f>IFERROR(((SUMPRODUCT(N191,$I$191))-ABS(SUMIFS(RX[[#All],[Total Medical and Retail Pharmacy Rebate Amount]],RX[[#All],[Reporting Year]],2023,RX[[#All],[Insurance Category Code]],5)))/$I$212,"NA")</f>
        <v>NA</v>
      </c>
      <c r="O213" s="544" t="s">
        <v>500</v>
      </c>
      <c r="P213" s="435" t="s">
        <v>500</v>
      </c>
      <c r="Q213" s="433" t="s">
        <v>500</v>
      </c>
      <c r="R213" s="433" t="s">
        <v>500</v>
      </c>
      <c r="S213" s="433" t="s">
        <v>500</v>
      </c>
      <c r="T213" s="433" t="s">
        <v>500</v>
      </c>
      <c r="U213" s="433" t="s">
        <v>500</v>
      </c>
    </row>
    <row r="214" spans="1:21" x14ac:dyDescent="0.25">
      <c r="A214" s="717" t="s">
        <v>564</v>
      </c>
      <c r="B214" s="718"/>
      <c r="C214" s="227">
        <f>ABS(C212-C191)</f>
        <v>0</v>
      </c>
      <c r="D214" s="227" t="e">
        <f>ABS(D212-D191)</f>
        <v>#VALUE!</v>
      </c>
      <c r="E214" s="227" t="e">
        <f>ABS(E212-E191)</f>
        <v>#VALUE!</v>
      </c>
      <c r="F214" s="227" t="e">
        <f>ABS(F212-F191)</f>
        <v>#VALUE!</v>
      </c>
      <c r="G214" s="227" t="s">
        <v>500</v>
      </c>
      <c r="H214" s="231" t="s">
        <v>500</v>
      </c>
      <c r="I214" s="221">
        <f>ABS(I212-I191)</f>
        <v>0</v>
      </c>
      <c r="J214" s="227" t="e">
        <f>ABS(J212-J191)</f>
        <v>#VALUE!</v>
      </c>
      <c r="K214" s="227" t="e">
        <f>ABS(K212-K191)</f>
        <v>#VALUE!</v>
      </c>
      <c r="L214" s="227" t="e">
        <f>ABS(L212-L191)</f>
        <v>#VALUE!</v>
      </c>
      <c r="M214" s="227" t="s">
        <v>500</v>
      </c>
      <c r="N214" s="231" t="s">
        <v>500</v>
      </c>
      <c r="O214" s="545" t="s">
        <v>500</v>
      </c>
      <c r="P214" s="546" t="s">
        <v>500</v>
      </c>
      <c r="Q214" s="548" t="s">
        <v>500</v>
      </c>
      <c r="R214" s="548" t="s">
        <v>500</v>
      </c>
      <c r="S214" s="548" t="s">
        <v>500</v>
      </c>
      <c r="T214" s="548" t="s">
        <v>500</v>
      </c>
      <c r="U214" s="548" t="s">
        <v>500</v>
      </c>
    </row>
    <row r="215" spans="1:21" x14ac:dyDescent="0.25">
      <c r="A215" s="715" t="s">
        <v>565</v>
      </c>
      <c r="B215" s="716"/>
      <c r="C215" s="261" t="str">
        <f>IF(((ABS(C191-C212))&lt;10),"Yes","No")</f>
        <v>Yes</v>
      </c>
      <c r="D215" s="181" t="e">
        <f>IF(((ABS(D191-D212))&lt;10),"Yes","No")</f>
        <v>#VALUE!</v>
      </c>
      <c r="E215" s="181" t="e">
        <f>IF(((ABS(E191-E212))&lt;10),"Yes","No")</f>
        <v>#VALUE!</v>
      </c>
      <c r="F215" s="181" t="e">
        <f>IF(((ABS(F191-F212))&lt;10),"Yes","No")</f>
        <v>#VALUE!</v>
      </c>
      <c r="G215" s="181" t="s">
        <v>500</v>
      </c>
      <c r="H215" s="233" t="s">
        <v>500</v>
      </c>
      <c r="I215" s="259" t="str">
        <f>IF(((ABS(I191-I212))&lt;10),"Yes","No")</f>
        <v>Yes</v>
      </c>
      <c r="J215" s="181" t="e">
        <f>IF(((ABS(J191-J212))&lt;10),"Yes","No")</f>
        <v>#VALUE!</v>
      </c>
      <c r="K215" s="181" t="e">
        <f>IF(((ABS(K191-K212))&lt;10),"Yes","No")</f>
        <v>#VALUE!</v>
      </c>
      <c r="L215" s="181" t="e">
        <f>IF(((ABS(L191-L212))&lt;10),"Yes","No")</f>
        <v>#VALUE!</v>
      </c>
      <c r="M215" s="181" t="s">
        <v>500</v>
      </c>
      <c r="N215" s="233" t="s">
        <v>500</v>
      </c>
      <c r="O215" s="545" t="s">
        <v>500</v>
      </c>
      <c r="P215" s="546" t="s">
        <v>500</v>
      </c>
      <c r="Q215" s="548" t="s">
        <v>500</v>
      </c>
      <c r="R215" s="548" t="s">
        <v>500</v>
      </c>
      <c r="S215" s="548" t="s">
        <v>500</v>
      </c>
      <c r="T215" s="548" t="s">
        <v>500</v>
      </c>
      <c r="U215" s="548" t="s">
        <v>500</v>
      </c>
    </row>
    <row r="216" spans="1:21" x14ac:dyDescent="0.25">
      <c r="A216"/>
      <c r="B216"/>
      <c r="C216"/>
      <c r="D216"/>
      <c r="E216"/>
      <c r="F216"/>
      <c r="G216"/>
      <c r="H216"/>
      <c r="I216"/>
      <c r="J216"/>
      <c r="K216"/>
      <c r="L216"/>
      <c r="M216"/>
      <c r="N216"/>
      <c r="O216"/>
      <c r="P216"/>
      <c r="Q216"/>
      <c r="R216"/>
      <c r="S216"/>
      <c r="T216"/>
      <c r="U216"/>
    </row>
    <row r="217" spans="1:21" x14ac:dyDescent="0.25">
      <c r="A217"/>
      <c r="B217"/>
      <c r="C217" s="115"/>
      <c r="D217" s="116"/>
      <c r="E217" s="116"/>
      <c r="F217" s="116"/>
      <c r="G217" s="116"/>
      <c r="H217" s="116"/>
      <c r="I217" s="115"/>
      <c r="J217" s="116"/>
      <c r="K217" s="116"/>
      <c r="L217" s="116"/>
      <c r="M217" s="116"/>
      <c r="N217" s="116"/>
      <c r="O217" s="116"/>
      <c r="P217" s="117"/>
      <c r="Q217" s="117"/>
      <c r="R217" s="117"/>
      <c r="S217" s="117"/>
      <c r="T217" s="117"/>
      <c r="U217" s="117"/>
    </row>
    <row r="218" spans="1:21" x14ac:dyDescent="0.25">
      <c r="A218" s="3" t="s">
        <v>573</v>
      </c>
      <c r="B218"/>
      <c r="C218"/>
      <c r="D218"/>
      <c r="E218"/>
      <c r="F218"/>
      <c r="G218"/>
      <c r="H218"/>
      <c r="I218"/>
      <c r="J218"/>
      <c r="K218"/>
      <c r="L218"/>
      <c r="M218"/>
      <c r="N218"/>
      <c r="O218"/>
      <c r="P218"/>
      <c r="Q218"/>
      <c r="R218"/>
      <c r="S218"/>
      <c r="T218"/>
      <c r="U218"/>
    </row>
    <row r="219" spans="1:21" ht="15" customHeight="1" x14ac:dyDescent="0.25">
      <c r="A219" s="711" t="s">
        <v>71</v>
      </c>
      <c r="B219" s="713" t="s">
        <v>547</v>
      </c>
      <c r="C219" s="697">
        <v>2022</v>
      </c>
      <c r="D219" s="698"/>
      <c r="E219" s="698"/>
      <c r="F219" s="698"/>
      <c r="G219" s="698"/>
      <c r="H219" s="699"/>
      <c r="I219" s="700">
        <v>2023</v>
      </c>
      <c r="J219" s="701"/>
      <c r="K219" s="701"/>
      <c r="L219" s="701"/>
      <c r="M219" s="701"/>
      <c r="N219" s="702"/>
      <c r="O219" s="570"/>
      <c r="P219" s="703" t="s">
        <v>618</v>
      </c>
      <c r="Q219" s="704"/>
      <c r="R219" s="704"/>
      <c r="S219" s="704"/>
      <c r="T219" s="704"/>
      <c r="U219" s="705"/>
    </row>
    <row r="220" spans="1:21" ht="45" x14ac:dyDescent="0.25">
      <c r="A220" s="712"/>
      <c r="B220" s="714"/>
      <c r="C220" s="91" t="s">
        <v>352</v>
      </c>
      <c r="D220" s="91" t="s">
        <v>550</v>
      </c>
      <c r="E220" s="91" t="s">
        <v>551</v>
      </c>
      <c r="F220" s="91" t="s">
        <v>552</v>
      </c>
      <c r="G220" s="91" t="s">
        <v>553</v>
      </c>
      <c r="H220" s="205" t="s">
        <v>554</v>
      </c>
      <c r="I220" s="87" t="s">
        <v>352</v>
      </c>
      <c r="J220" s="88" t="s">
        <v>550</v>
      </c>
      <c r="K220" s="88" t="s">
        <v>551</v>
      </c>
      <c r="L220" s="88" t="s">
        <v>552</v>
      </c>
      <c r="M220" s="88" t="s">
        <v>553</v>
      </c>
      <c r="N220" s="89" t="s">
        <v>554</v>
      </c>
      <c r="O220" s="513" t="s">
        <v>555</v>
      </c>
      <c r="P220" s="242" t="s">
        <v>556</v>
      </c>
      <c r="Q220" s="77" t="s">
        <v>557</v>
      </c>
      <c r="R220" s="77" t="s">
        <v>558</v>
      </c>
      <c r="S220" s="77" t="s">
        <v>559</v>
      </c>
      <c r="T220" s="77" t="s">
        <v>560</v>
      </c>
      <c r="U220" s="217" t="s">
        <v>561</v>
      </c>
    </row>
    <row r="221" spans="1:21" x14ac:dyDescent="0.25">
      <c r="A221" s="219">
        <v>100</v>
      </c>
      <c r="B221" s="495" t="s">
        <v>72</v>
      </c>
      <c r="C221" s="8">
        <f>SUMIFS(TM[[#All],[Member Months]],TM[[#All],[Reporting Year]],2022,TM[[#All],[Insurance Category Code]],8,TM[[#All],[Large Provider Entity Code]],A221)</f>
        <v>0</v>
      </c>
      <c r="D221" s="7" t="str">
        <f>IFERROR(SUMIFS(TM[[#All],[Total Non-Truncated Claims Spending]],TM[[#All],[Reporting Year]],2022,TM[[#All],[Insurance Category Code]],8,TM[[#All],[Large Provider Entity Code]],A221)/C221,"NA")</f>
        <v>NA</v>
      </c>
      <c r="E221" s="7" t="str">
        <f>IFERROR(SUMIFS(TM[[#All],[Total Non-Claims Spending]],TM[[#All],[Reporting Year]],2022,TM[[#All],[Insurance Category Code]],8,TM[[#All],[Large Provider Entity Code]],A221)/C221,"NA")</f>
        <v>NA</v>
      </c>
      <c r="F221" s="7" t="str">
        <f>IFERROR(SUMIFS(TM[[#All],[Total Non-Truncated Claims and Non-Claims Spending]],TM[[#All],[Reporting Year]],2022,TM[[#All],[Insurance Category Code]],8,TM[[#All],[Large Provider Entity Code]],A221)/C221,"NA")</f>
        <v>NA</v>
      </c>
      <c r="G221" s="7" t="str">
        <f>IFERROR(SUMIFS(TM[[#All],[Total Truncated Claims Spending]],TM[[#All],[Reporting Year]],2022,TM[[#All],[Insurance Category Code]],8,TM[[#All],[Large Provider Entity Code]],A221)/C221,"NA")</f>
        <v>NA</v>
      </c>
      <c r="H221" s="204" t="str">
        <f>IFERROR(SUMIFS(TM[[#All],[Total Truncated Expenses]],TM[[#All],[Reporting Year]],2022,TM[[#All],[Insurance Category Code]],8,TM[[#All],[Large Provider Entity Code]],A221)/C221,"NA")</f>
        <v>NA</v>
      </c>
      <c r="I221" s="95">
        <f>SUMIFS(TM[[#All],[Member Months]],TM[[#All],[Reporting Year]],2023,TM[[#All],[Insurance Category Code]],8,TM[[#All],[Large Provider Entity Code]],A221)</f>
        <v>0</v>
      </c>
      <c r="J221" s="7" t="str">
        <f>IFERROR(SUMIFS(TM[[#All],[Total Non-Truncated Claims Spending]],TM[[#All],[Reporting Year]],2023,TM[[#All],[Insurance Category Code]],8,TM[[#All],[Large Provider Entity Code]],A221)/I221,"NA")</f>
        <v>NA</v>
      </c>
      <c r="K221" s="7" t="str">
        <f>IFERROR(SUMIFS(TM[[#All],[Total Non-Claims Spending]],TM[[#All],[Reporting Year]],2023,TM[[#All],[Insurance Category Code]],8,TM[[#All],[Large Provider Entity Code]],A221)/I221,"NA")</f>
        <v>NA</v>
      </c>
      <c r="L221" s="7" t="str">
        <f>IFERROR(SUMIFS(TM[[#All],[Total Non-Truncated Claims and Non-Claims Spending]],TM[[#All],[Reporting Year]],2023,TM[[#All],[Insurance Category Code]],8,TM[[#All],[Large Provider Entity Code]],A221)/I221,"NA")</f>
        <v>NA</v>
      </c>
      <c r="M221" s="7" t="str">
        <f>IFERROR(SUMIFS(TM[[#All],[Total Truncated Claims Spending]],TM[[#All],[Reporting Year]],2023,TM[[#All],[Insurance Category Code]],8,TM[[#All],[Large Provider Entity Code]],A221)/I221,"NA")</f>
        <v>NA</v>
      </c>
      <c r="N221" s="96" t="str">
        <f>IFERROR(SUMIFS(TM[[#All],[Total Truncated Expenses]],TM[[#All],[Reporting Year]],2023,TM[[#All],[Insurance Category Code]],8,TM[[#All],[Large Provider Entity Code]],A221)/I221,"NA")</f>
        <v>NA</v>
      </c>
      <c r="O221" s="518">
        <f>ABS(C221-I221)</f>
        <v>0</v>
      </c>
      <c r="P221" s="243" t="str">
        <f t="shared" ref="P221:U241" si="32">IFERROR((I221/C221-1),"NA")</f>
        <v>NA</v>
      </c>
      <c r="Q221" s="97" t="str">
        <f t="shared" si="32"/>
        <v>NA</v>
      </c>
      <c r="R221" s="97" t="str">
        <f t="shared" si="32"/>
        <v>NA</v>
      </c>
      <c r="S221" s="97" t="str">
        <f t="shared" si="32"/>
        <v>NA</v>
      </c>
      <c r="T221" s="97" t="str">
        <f t="shared" si="32"/>
        <v>NA</v>
      </c>
      <c r="U221" s="97" t="str">
        <f t="shared" si="32"/>
        <v>NA</v>
      </c>
    </row>
    <row r="222" spans="1:21" x14ac:dyDescent="0.25">
      <c r="A222" s="218">
        <v>101</v>
      </c>
      <c r="B222" s="495" t="s">
        <v>609</v>
      </c>
      <c r="C222" s="8">
        <f>SUMIFS(TM[[#All],[Member Months]],TM[[#All],[Reporting Year]],2022,TM[[#All],[Insurance Category Code]],8,TM[[#All],[Large Provider Entity Code]],A222)</f>
        <v>0</v>
      </c>
      <c r="D222" s="7" t="str">
        <f>IFERROR(SUMIFS(TM[[#All],[Total Non-Truncated Claims Spending]],TM[[#All],[Reporting Year]],2022,TM[[#All],[Insurance Category Code]],8,TM[[#All],[Large Provider Entity Code]],A222)/C222,"NA")</f>
        <v>NA</v>
      </c>
      <c r="E222" s="7" t="str">
        <f>IFERROR(SUMIFS(TM[[#All],[Total Non-Claims Spending]],TM[[#All],[Reporting Year]],2022,TM[[#All],[Insurance Category Code]],8,TM[[#All],[Large Provider Entity Code]],A222)/C222,"NA")</f>
        <v>NA</v>
      </c>
      <c r="F222" s="7" t="str">
        <f>IFERROR(SUMIFS(TM[[#All],[Total Non-Truncated Claims and Non-Claims Spending]],TM[[#All],[Reporting Year]],2022,TM[[#All],[Insurance Category Code]],8,TM[[#All],[Large Provider Entity Code]],A222)/C222,"NA")</f>
        <v>NA</v>
      </c>
      <c r="G222" s="7" t="str">
        <f>IFERROR(SUMIFS(TM[[#All],[Total Truncated Claims Spending]],TM[[#All],[Reporting Year]],2022,TM[[#All],[Insurance Category Code]],8,TM[[#All],[Large Provider Entity Code]],A222)/C222,"NA")</f>
        <v>NA</v>
      </c>
      <c r="H222" s="204" t="str">
        <f>IFERROR(SUMIFS(TM[[#All],[Total Truncated Expenses]],TM[[#All],[Reporting Year]],2022,TM[[#All],[Insurance Category Code]],8,TM[[#All],[Large Provider Entity Code]],A222)/C222,"NA")</f>
        <v>NA</v>
      </c>
      <c r="I222" s="95">
        <f>SUMIFS(TM[[#All],[Member Months]],TM[[#All],[Reporting Year]],2023,TM[[#All],[Insurance Category Code]],8,TM[[#All],[Large Provider Entity Code]],A222)</f>
        <v>0</v>
      </c>
      <c r="J222" s="7" t="str">
        <f>IFERROR(SUMIFS(TM[[#All],[Total Non-Truncated Claims Spending]],TM[[#All],[Reporting Year]],2023,TM[[#All],[Insurance Category Code]],8,TM[[#All],[Large Provider Entity Code]],A222)/I222,"NA")</f>
        <v>NA</v>
      </c>
      <c r="K222" s="7" t="str">
        <f>IFERROR(SUMIFS(TM[[#All],[Total Non-Claims Spending]],TM[[#All],[Reporting Year]],2023,TM[[#All],[Insurance Category Code]],8,TM[[#All],[Large Provider Entity Code]],A222)/I222,"NA")</f>
        <v>NA</v>
      </c>
      <c r="L222" s="7" t="str">
        <f>IFERROR(SUMIFS(TM[[#All],[Total Non-Truncated Claims and Non-Claims Spending]],TM[[#All],[Reporting Year]],2023,TM[[#All],[Insurance Category Code]],8,TM[[#All],[Large Provider Entity Code]],A222)/I222,"NA")</f>
        <v>NA</v>
      </c>
      <c r="M222" s="7" t="str">
        <f>IFERROR(SUMIFS(TM[[#All],[Total Truncated Claims Spending]],TM[[#All],[Reporting Year]],2023,TM[[#All],[Insurance Category Code]],8,TM[[#All],[Large Provider Entity Code]],A222)/I222,"NA")</f>
        <v>NA</v>
      </c>
      <c r="N222" s="96" t="str">
        <f>IFERROR(SUMIFS(TM[[#All],[Total Truncated Expenses]],TM[[#All],[Reporting Year]],2023,TM[[#All],[Insurance Category Code]],8,TM[[#All],[Large Provider Entity Code]],A222)/I222,"NA")</f>
        <v>NA</v>
      </c>
      <c r="O222" s="518">
        <f t="shared" ref="O222:O236" si="33">ABS(C222-I222)</f>
        <v>0</v>
      </c>
      <c r="P222" s="243" t="str">
        <f t="shared" si="32"/>
        <v>NA</v>
      </c>
      <c r="Q222" s="97" t="str">
        <f t="shared" si="32"/>
        <v>NA</v>
      </c>
      <c r="R222" s="97" t="str">
        <f t="shared" si="32"/>
        <v>NA</v>
      </c>
      <c r="S222" s="97" t="str">
        <f t="shared" si="32"/>
        <v>NA</v>
      </c>
      <c r="T222" s="97" t="str">
        <f t="shared" si="32"/>
        <v>NA</v>
      </c>
      <c r="U222" s="97" t="str">
        <f t="shared" si="32"/>
        <v>NA</v>
      </c>
    </row>
    <row r="223" spans="1:21" x14ac:dyDescent="0.25">
      <c r="A223" s="218">
        <v>102</v>
      </c>
      <c r="B223" s="566" t="s">
        <v>610</v>
      </c>
      <c r="C223" s="8">
        <f>SUMIFS(TM[[#All],[Member Months]],TM[[#All],[Reporting Year]],2022,TM[[#All],[Insurance Category Code]],8,TM[[#All],[Large Provider Entity Code]],A223)</f>
        <v>0</v>
      </c>
      <c r="D223" s="7" t="str">
        <f>IFERROR(SUMIFS(TM[[#All],[Total Non-Truncated Claims Spending]],TM[[#All],[Reporting Year]],2022,TM[[#All],[Insurance Category Code]],8,TM[[#All],[Large Provider Entity Code]],A223)/C223,"NA")</f>
        <v>NA</v>
      </c>
      <c r="E223" s="7" t="str">
        <f>IFERROR(SUMIFS(TM[[#All],[Total Non-Claims Spending]],TM[[#All],[Reporting Year]],2022,TM[[#All],[Insurance Category Code]],8,TM[[#All],[Large Provider Entity Code]],A223)/C223,"NA")</f>
        <v>NA</v>
      </c>
      <c r="F223" s="7" t="str">
        <f>IFERROR(SUMIFS(TM[[#All],[Total Non-Truncated Claims and Non-Claims Spending]],TM[[#All],[Reporting Year]],2022,TM[[#All],[Insurance Category Code]],8,TM[[#All],[Large Provider Entity Code]],A223)/C223,"NA")</f>
        <v>NA</v>
      </c>
      <c r="G223" s="7" t="str">
        <f>IFERROR(SUMIFS(TM[[#All],[Total Truncated Claims Spending]],TM[[#All],[Reporting Year]],2022,TM[[#All],[Insurance Category Code]],8,TM[[#All],[Large Provider Entity Code]],A223)/C223,"NA")</f>
        <v>NA</v>
      </c>
      <c r="H223" s="204" t="str">
        <f>IFERROR(SUMIFS(TM[[#All],[Total Truncated Expenses]],TM[[#All],[Reporting Year]],2022,TM[[#All],[Insurance Category Code]],8,TM[[#All],[Large Provider Entity Code]],A223)/C223,"NA")</f>
        <v>NA</v>
      </c>
      <c r="I223" s="95">
        <f>SUMIFS(TM[[#All],[Member Months]],TM[[#All],[Reporting Year]],2023,TM[[#All],[Insurance Category Code]],8,TM[[#All],[Large Provider Entity Code]],A223)</f>
        <v>0</v>
      </c>
      <c r="J223" s="7" t="str">
        <f>IFERROR(SUMIFS(TM[[#All],[Total Non-Truncated Claims Spending]],TM[[#All],[Reporting Year]],2023,TM[[#All],[Insurance Category Code]],8,TM[[#All],[Large Provider Entity Code]],A223)/I223,"NA")</f>
        <v>NA</v>
      </c>
      <c r="K223" s="7" t="str">
        <f>IFERROR(SUMIFS(TM[[#All],[Total Non-Claims Spending]],TM[[#All],[Reporting Year]],2023,TM[[#All],[Insurance Category Code]],8,TM[[#All],[Large Provider Entity Code]],A223)/I223,"NA")</f>
        <v>NA</v>
      </c>
      <c r="L223" s="7" t="str">
        <f>IFERROR(SUMIFS(TM[[#All],[Total Non-Truncated Claims and Non-Claims Spending]],TM[[#All],[Reporting Year]],2023,TM[[#All],[Insurance Category Code]],8,TM[[#All],[Large Provider Entity Code]],A223)/I223,"NA")</f>
        <v>NA</v>
      </c>
      <c r="M223" s="7" t="str">
        <f>IFERROR(SUMIFS(TM[[#All],[Total Truncated Claims Spending]],TM[[#All],[Reporting Year]],2023,TM[[#All],[Insurance Category Code]],8,TM[[#All],[Large Provider Entity Code]],A223)/I223,"NA")</f>
        <v>NA</v>
      </c>
      <c r="N223" s="96" t="str">
        <f>IFERROR(SUMIFS(TM[[#All],[Total Truncated Expenses]],TM[[#All],[Reporting Year]],2023,TM[[#All],[Insurance Category Code]],8,TM[[#All],[Large Provider Entity Code]],A223)/I223,"NA")</f>
        <v>NA</v>
      </c>
      <c r="O223" s="518">
        <f t="shared" si="33"/>
        <v>0</v>
      </c>
      <c r="P223" s="243" t="str">
        <f t="shared" si="32"/>
        <v>NA</v>
      </c>
      <c r="Q223" s="97" t="str">
        <f t="shared" si="32"/>
        <v>NA</v>
      </c>
      <c r="R223" s="97" t="str">
        <f t="shared" si="32"/>
        <v>NA</v>
      </c>
      <c r="S223" s="97" t="str">
        <f t="shared" si="32"/>
        <v>NA</v>
      </c>
      <c r="T223" s="97" t="str">
        <f t="shared" si="32"/>
        <v>NA</v>
      </c>
      <c r="U223" s="97" t="str">
        <f t="shared" si="32"/>
        <v>NA</v>
      </c>
    </row>
    <row r="224" spans="1:21" ht="30" x14ac:dyDescent="0.25">
      <c r="A224" s="218">
        <v>103</v>
      </c>
      <c r="B224" s="495" t="s">
        <v>73</v>
      </c>
      <c r="C224" s="8">
        <f>SUMIFS(TM[[#All],[Member Months]],TM[[#All],[Reporting Year]],2022,TM[[#All],[Insurance Category Code]],8,TM[[#All],[Large Provider Entity Code]],A224)</f>
        <v>0</v>
      </c>
      <c r="D224" s="7" t="str">
        <f>IFERROR(SUMIFS(TM[[#All],[Total Non-Truncated Claims Spending]],TM[[#All],[Reporting Year]],2022,TM[[#All],[Insurance Category Code]],8,TM[[#All],[Large Provider Entity Code]],A224)/C224,"NA")</f>
        <v>NA</v>
      </c>
      <c r="E224" s="7" t="str">
        <f>IFERROR(SUMIFS(TM[[#All],[Total Non-Claims Spending]],TM[[#All],[Reporting Year]],2022,TM[[#All],[Insurance Category Code]],8,TM[[#All],[Large Provider Entity Code]],A224)/C224,"NA")</f>
        <v>NA</v>
      </c>
      <c r="F224" s="7" t="str">
        <f>IFERROR(SUMIFS(TM[[#All],[Total Non-Truncated Claims and Non-Claims Spending]],TM[[#All],[Reporting Year]],2022,TM[[#All],[Insurance Category Code]],8,TM[[#All],[Large Provider Entity Code]],A224)/C224,"NA")</f>
        <v>NA</v>
      </c>
      <c r="G224" s="7" t="str">
        <f>IFERROR(SUMIFS(TM[[#All],[Total Truncated Claims Spending]],TM[[#All],[Reporting Year]],2022,TM[[#All],[Insurance Category Code]],8,TM[[#All],[Large Provider Entity Code]],A224)/C224,"NA")</f>
        <v>NA</v>
      </c>
      <c r="H224" s="204" t="str">
        <f>IFERROR(SUMIFS(TM[[#All],[Total Truncated Expenses]],TM[[#All],[Reporting Year]],2022,TM[[#All],[Insurance Category Code]],8,TM[[#All],[Large Provider Entity Code]],A224)/C224,"NA")</f>
        <v>NA</v>
      </c>
      <c r="I224" s="95">
        <f>SUMIFS(TM[[#All],[Member Months]],TM[[#All],[Reporting Year]],2023,TM[[#All],[Insurance Category Code]],8,TM[[#All],[Large Provider Entity Code]],A224)</f>
        <v>0</v>
      </c>
      <c r="J224" s="7" t="str">
        <f>IFERROR(SUMIFS(TM[[#All],[Total Non-Truncated Claims Spending]],TM[[#All],[Reporting Year]],2023,TM[[#All],[Insurance Category Code]],8,TM[[#All],[Large Provider Entity Code]],A224)/I224,"NA")</f>
        <v>NA</v>
      </c>
      <c r="K224" s="7" t="str">
        <f>IFERROR(SUMIFS(TM[[#All],[Total Non-Claims Spending]],TM[[#All],[Reporting Year]],2023,TM[[#All],[Insurance Category Code]],8,TM[[#All],[Large Provider Entity Code]],A224)/I224,"NA")</f>
        <v>NA</v>
      </c>
      <c r="L224" s="7" t="str">
        <f>IFERROR(SUMIFS(TM[[#All],[Total Non-Truncated Claims and Non-Claims Spending]],TM[[#All],[Reporting Year]],2023,TM[[#All],[Insurance Category Code]],8,TM[[#All],[Large Provider Entity Code]],A224)/I224,"NA")</f>
        <v>NA</v>
      </c>
      <c r="M224" s="7" t="str">
        <f>IFERROR(SUMIFS(TM[[#All],[Total Truncated Claims Spending]],TM[[#All],[Reporting Year]],2023,TM[[#All],[Insurance Category Code]],8,TM[[#All],[Large Provider Entity Code]],A224)/I224,"NA")</f>
        <v>NA</v>
      </c>
      <c r="N224" s="96" t="str">
        <f>IFERROR(SUMIFS(TM[[#All],[Total Truncated Expenses]],TM[[#All],[Reporting Year]],2023,TM[[#All],[Insurance Category Code]],8,TM[[#All],[Large Provider Entity Code]],A224)/I224,"NA")</f>
        <v>NA</v>
      </c>
      <c r="O224" s="518">
        <f t="shared" si="33"/>
        <v>0</v>
      </c>
      <c r="P224" s="243" t="str">
        <f t="shared" si="32"/>
        <v>NA</v>
      </c>
      <c r="Q224" s="97" t="str">
        <f t="shared" si="32"/>
        <v>NA</v>
      </c>
      <c r="R224" s="97" t="str">
        <f t="shared" si="32"/>
        <v>NA</v>
      </c>
      <c r="S224" s="97" t="str">
        <f t="shared" si="32"/>
        <v>NA</v>
      </c>
      <c r="T224" s="97" t="str">
        <f t="shared" si="32"/>
        <v>NA</v>
      </c>
      <c r="U224" s="97" t="str">
        <f t="shared" si="32"/>
        <v>NA</v>
      </c>
    </row>
    <row r="225" spans="1:21" x14ac:dyDescent="0.25">
      <c r="A225" s="218">
        <v>104</v>
      </c>
      <c r="B225" s="495" t="s">
        <v>611</v>
      </c>
      <c r="C225" s="8">
        <f>SUMIFS(TM[[#All],[Member Months]],TM[[#All],[Reporting Year]],2022,TM[[#All],[Insurance Category Code]],8,TM[[#All],[Large Provider Entity Code]],A225)</f>
        <v>0</v>
      </c>
      <c r="D225" s="7" t="str">
        <f>IFERROR(SUMIFS(TM[[#All],[Total Non-Truncated Claims Spending]],TM[[#All],[Reporting Year]],2022,TM[[#All],[Insurance Category Code]],8,TM[[#All],[Large Provider Entity Code]],A225)/C225,"NA")</f>
        <v>NA</v>
      </c>
      <c r="E225" s="7" t="str">
        <f>IFERROR(SUMIFS(TM[[#All],[Total Non-Claims Spending]],TM[[#All],[Reporting Year]],2022,TM[[#All],[Insurance Category Code]],8,TM[[#All],[Large Provider Entity Code]],A225)/C225,"NA")</f>
        <v>NA</v>
      </c>
      <c r="F225" s="7" t="str">
        <f>IFERROR(SUMIFS(TM[[#All],[Total Non-Truncated Claims and Non-Claims Spending]],TM[[#All],[Reporting Year]],2022,TM[[#All],[Insurance Category Code]],8,TM[[#All],[Large Provider Entity Code]],A225)/C225,"NA")</f>
        <v>NA</v>
      </c>
      <c r="G225" s="7" t="str">
        <f>IFERROR(SUMIFS(TM[[#All],[Total Truncated Claims Spending]],TM[[#All],[Reporting Year]],2022,TM[[#All],[Insurance Category Code]],8,TM[[#All],[Large Provider Entity Code]],A225)/C225,"NA")</f>
        <v>NA</v>
      </c>
      <c r="H225" s="204" t="str">
        <f>IFERROR(SUMIFS(TM[[#All],[Total Truncated Expenses]],TM[[#All],[Reporting Year]],2022,TM[[#All],[Insurance Category Code]],8,TM[[#All],[Large Provider Entity Code]],A225)/C225,"NA")</f>
        <v>NA</v>
      </c>
      <c r="I225" s="95">
        <f>SUMIFS(TM[[#All],[Member Months]],TM[[#All],[Reporting Year]],2023,TM[[#All],[Insurance Category Code]],8,TM[[#All],[Large Provider Entity Code]],A225)</f>
        <v>0</v>
      </c>
      <c r="J225" s="7" t="str">
        <f>IFERROR(SUMIFS(TM[[#All],[Total Non-Truncated Claims Spending]],TM[[#All],[Reporting Year]],2023,TM[[#All],[Insurance Category Code]],8,TM[[#All],[Large Provider Entity Code]],A225)/I225,"NA")</f>
        <v>NA</v>
      </c>
      <c r="K225" s="7" t="str">
        <f>IFERROR(SUMIFS(TM[[#All],[Total Non-Claims Spending]],TM[[#All],[Reporting Year]],2023,TM[[#All],[Insurance Category Code]],8,TM[[#All],[Large Provider Entity Code]],A225)/I225,"NA")</f>
        <v>NA</v>
      </c>
      <c r="L225" s="7" t="str">
        <f>IFERROR(SUMIFS(TM[[#All],[Total Non-Truncated Claims and Non-Claims Spending]],TM[[#All],[Reporting Year]],2023,TM[[#All],[Insurance Category Code]],8,TM[[#All],[Large Provider Entity Code]],A225)/I225,"NA")</f>
        <v>NA</v>
      </c>
      <c r="M225" s="7" t="str">
        <f>IFERROR(SUMIFS(TM[[#All],[Total Truncated Claims Spending]],TM[[#All],[Reporting Year]],2023,TM[[#All],[Insurance Category Code]],8,TM[[#All],[Large Provider Entity Code]],A225)/I225,"NA")</f>
        <v>NA</v>
      </c>
      <c r="N225" s="96" t="str">
        <f>IFERROR(SUMIFS(TM[[#All],[Total Truncated Expenses]],TM[[#All],[Reporting Year]],2023,TM[[#All],[Insurance Category Code]],8,TM[[#All],[Large Provider Entity Code]],A225)/I225,"NA")</f>
        <v>NA</v>
      </c>
      <c r="O225" s="518">
        <f t="shared" si="33"/>
        <v>0</v>
      </c>
      <c r="P225" s="243" t="str">
        <f t="shared" si="32"/>
        <v>NA</v>
      </c>
      <c r="Q225" s="97" t="str">
        <f t="shared" si="32"/>
        <v>NA</v>
      </c>
      <c r="R225" s="97" t="str">
        <f t="shared" si="32"/>
        <v>NA</v>
      </c>
      <c r="S225" s="97" t="str">
        <f t="shared" si="32"/>
        <v>NA</v>
      </c>
      <c r="T225" s="97" t="str">
        <f t="shared" si="32"/>
        <v>NA</v>
      </c>
      <c r="U225" s="97" t="str">
        <f t="shared" si="32"/>
        <v>NA</v>
      </c>
    </row>
    <row r="226" spans="1:21" x14ac:dyDescent="0.25">
      <c r="A226" s="218">
        <v>105</v>
      </c>
      <c r="B226" s="566" t="s">
        <v>607</v>
      </c>
      <c r="C226" s="8">
        <f>SUMIFS(TM[[#All],[Member Months]],TM[[#All],[Reporting Year]],2022,TM[[#All],[Insurance Category Code]],8,TM[[#All],[Large Provider Entity Code]],A226)</f>
        <v>0</v>
      </c>
      <c r="D226" s="7" t="str">
        <f>IFERROR(SUMIFS(TM[[#All],[Total Non-Truncated Claims Spending]],TM[[#All],[Reporting Year]],2022,TM[[#All],[Insurance Category Code]],8,TM[[#All],[Large Provider Entity Code]],A226)/C226,"NA")</f>
        <v>NA</v>
      </c>
      <c r="E226" s="7" t="str">
        <f>IFERROR(SUMIFS(TM[[#All],[Total Non-Claims Spending]],TM[[#All],[Reporting Year]],2022,TM[[#All],[Insurance Category Code]],8,TM[[#All],[Large Provider Entity Code]],A226)/C226,"NA")</f>
        <v>NA</v>
      </c>
      <c r="F226" s="7" t="str">
        <f>IFERROR(SUMIFS(TM[[#All],[Total Non-Truncated Claims and Non-Claims Spending]],TM[[#All],[Reporting Year]],2022,TM[[#All],[Insurance Category Code]],8,TM[[#All],[Large Provider Entity Code]],A226)/C226,"NA")</f>
        <v>NA</v>
      </c>
      <c r="G226" s="7" t="str">
        <f>IFERROR(SUMIFS(TM[[#All],[Total Truncated Claims Spending]],TM[[#All],[Reporting Year]],2022,TM[[#All],[Insurance Category Code]],8,TM[[#All],[Large Provider Entity Code]],A226)/C226,"NA")</f>
        <v>NA</v>
      </c>
      <c r="H226" s="204" t="str">
        <f>IFERROR(SUMIFS(TM[[#All],[Total Truncated Expenses]],TM[[#All],[Reporting Year]],2022,TM[[#All],[Insurance Category Code]],8,TM[[#All],[Large Provider Entity Code]],A226)/C226,"NA")</f>
        <v>NA</v>
      </c>
      <c r="I226" s="95">
        <f>SUMIFS(TM[[#All],[Member Months]],TM[[#All],[Reporting Year]],2023,TM[[#All],[Insurance Category Code]],8,TM[[#All],[Large Provider Entity Code]],A226)</f>
        <v>0</v>
      </c>
      <c r="J226" s="7" t="str">
        <f>IFERROR(SUMIFS(TM[[#All],[Total Non-Truncated Claims Spending]],TM[[#All],[Reporting Year]],2023,TM[[#All],[Insurance Category Code]],8,TM[[#All],[Large Provider Entity Code]],A226)/I226,"NA")</f>
        <v>NA</v>
      </c>
      <c r="K226" s="7" t="str">
        <f>IFERROR(SUMIFS(TM[[#All],[Total Non-Claims Spending]],TM[[#All],[Reporting Year]],2023,TM[[#All],[Insurance Category Code]],8,TM[[#All],[Large Provider Entity Code]],A226)/I226,"NA")</f>
        <v>NA</v>
      </c>
      <c r="L226" s="7" t="str">
        <f>IFERROR(SUMIFS(TM[[#All],[Total Non-Truncated Claims and Non-Claims Spending]],TM[[#All],[Reporting Year]],2023,TM[[#All],[Insurance Category Code]],8,TM[[#All],[Large Provider Entity Code]],A226)/I226,"NA")</f>
        <v>NA</v>
      </c>
      <c r="M226" s="7" t="str">
        <f>IFERROR(SUMIFS(TM[[#All],[Total Truncated Claims Spending]],TM[[#All],[Reporting Year]],2023,TM[[#All],[Insurance Category Code]],8,TM[[#All],[Large Provider Entity Code]],A226)/I226,"NA")</f>
        <v>NA</v>
      </c>
      <c r="N226" s="96" t="str">
        <f>IFERROR(SUMIFS(TM[[#All],[Total Truncated Expenses]],TM[[#All],[Reporting Year]],2023,TM[[#All],[Insurance Category Code]],8,TM[[#All],[Large Provider Entity Code]],A226)/I226,"NA")</f>
        <v>NA</v>
      </c>
      <c r="O226" s="518">
        <f t="shared" si="33"/>
        <v>0</v>
      </c>
      <c r="P226" s="243" t="str">
        <f t="shared" si="32"/>
        <v>NA</v>
      </c>
      <c r="Q226" s="97" t="str">
        <f t="shared" si="32"/>
        <v>NA</v>
      </c>
      <c r="R226" s="97" t="str">
        <f t="shared" si="32"/>
        <v>NA</v>
      </c>
      <c r="S226" s="97" t="str">
        <f t="shared" si="32"/>
        <v>NA</v>
      </c>
      <c r="T226" s="97" t="str">
        <f t="shared" si="32"/>
        <v>NA</v>
      </c>
      <c r="U226" s="97" t="str">
        <f t="shared" si="32"/>
        <v>NA</v>
      </c>
    </row>
    <row r="227" spans="1:21" x14ac:dyDescent="0.25">
      <c r="A227" s="218">
        <v>106</v>
      </c>
      <c r="B227" s="495" t="s">
        <v>74</v>
      </c>
      <c r="C227" s="8">
        <f>SUMIFS(TM[[#All],[Member Months]],TM[[#All],[Reporting Year]],2022,TM[[#All],[Insurance Category Code]],8,TM[[#All],[Large Provider Entity Code]],A227)</f>
        <v>0</v>
      </c>
      <c r="D227" s="7" t="str">
        <f>IFERROR(SUMIFS(TM[[#All],[Total Non-Truncated Claims Spending]],TM[[#All],[Reporting Year]],2022,TM[[#All],[Insurance Category Code]],8,TM[[#All],[Large Provider Entity Code]],A227)/C227,"NA")</f>
        <v>NA</v>
      </c>
      <c r="E227" s="7" t="str">
        <f>IFERROR(SUMIFS(TM[[#All],[Total Non-Claims Spending]],TM[[#All],[Reporting Year]],2022,TM[[#All],[Insurance Category Code]],8,TM[[#All],[Large Provider Entity Code]],A227)/C227,"NA")</f>
        <v>NA</v>
      </c>
      <c r="F227" s="7" t="str">
        <f>IFERROR(SUMIFS(TM[[#All],[Total Non-Truncated Claims and Non-Claims Spending]],TM[[#All],[Reporting Year]],2022,TM[[#All],[Insurance Category Code]],8,TM[[#All],[Large Provider Entity Code]],A227)/C227,"NA")</f>
        <v>NA</v>
      </c>
      <c r="G227" s="7" t="str">
        <f>IFERROR(SUMIFS(TM[[#All],[Total Truncated Claims Spending]],TM[[#All],[Reporting Year]],2022,TM[[#All],[Insurance Category Code]],8,TM[[#All],[Large Provider Entity Code]],A227)/C227,"NA")</f>
        <v>NA</v>
      </c>
      <c r="H227" s="204" t="str">
        <f>IFERROR(SUMIFS(TM[[#All],[Total Truncated Expenses]],TM[[#All],[Reporting Year]],2022,TM[[#All],[Insurance Category Code]],8,TM[[#All],[Large Provider Entity Code]],A227)/C227,"NA")</f>
        <v>NA</v>
      </c>
      <c r="I227" s="95">
        <f>SUMIFS(TM[[#All],[Member Months]],TM[[#All],[Reporting Year]],2023,TM[[#All],[Insurance Category Code]],8,TM[[#All],[Large Provider Entity Code]],A227)</f>
        <v>0</v>
      </c>
      <c r="J227" s="7" t="str">
        <f>IFERROR(SUMIFS(TM[[#All],[Total Non-Truncated Claims Spending]],TM[[#All],[Reporting Year]],2023,TM[[#All],[Insurance Category Code]],8,TM[[#All],[Large Provider Entity Code]],A227)/I227,"NA")</f>
        <v>NA</v>
      </c>
      <c r="K227" s="7" t="str">
        <f>IFERROR(SUMIFS(TM[[#All],[Total Non-Claims Spending]],TM[[#All],[Reporting Year]],2023,TM[[#All],[Insurance Category Code]],8,TM[[#All],[Large Provider Entity Code]],A227)/I227,"NA")</f>
        <v>NA</v>
      </c>
      <c r="L227" s="7" t="str">
        <f>IFERROR(SUMIFS(TM[[#All],[Total Non-Truncated Claims and Non-Claims Spending]],TM[[#All],[Reporting Year]],2023,TM[[#All],[Insurance Category Code]],8,TM[[#All],[Large Provider Entity Code]],A227)/I227,"NA")</f>
        <v>NA</v>
      </c>
      <c r="M227" s="7" t="str">
        <f>IFERROR(SUMIFS(TM[[#All],[Total Truncated Claims Spending]],TM[[#All],[Reporting Year]],2023,TM[[#All],[Insurance Category Code]],8,TM[[#All],[Large Provider Entity Code]],A227)/I227,"NA")</f>
        <v>NA</v>
      </c>
      <c r="N227" s="96" t="str">
        <f>IFERROR(SUMIFS(TM[[#All],[Total Truncated Expenses]],TM[[#All],[Reporting Year]],2023,TM[[#All],[Insurance Category Code]],8,TM[[#All],[Large Provider Entity Code]],A227)/I227,"NA")</f>
        <v>NA</v>
      </c>
      <c r="O227" s="518">
        <f t="shared" si="33"/>
        <v>0</v>
      </c>
      <c r="P227" s="243" t="str">
        <f t="shared" si="32"/>
        <v>NA</v>
      </c>
      <c r="Q227" s="97" t="str">
        <f t="shared" si="32"/>
        <v>NA</v>
      </c>
      <c r="R227" s="97" t="str">
        <f t="shared" si="32"/>
        <v>NA</v>
      </c>
      <c r="S227" s="97" t="str">
        <f t="shared" si="32"/>
        <v>NA</v>
      </c>
      <c r="T227" s="97" t="str">
        <f t="shared" si="32"/>
        <v>NA</v>
      </c>
      <c r="U227" s="97" t="str">
        <f t="shared" si="32"/>
        <v>NA</v>
      </c>
    </row>
    <row r="228" spans="1:21" ht="30" x14ac:dyDescent="0.25">
      <c r="A228" s="218">
        <v>107</v>
      </c>
      <c r="B228" s="495" t="s">
        <v>75</v>
      </c>
      <c r="C228" s="8">
        <f>SUMIFS(TM[[#All],[Member Months]],TM[[#All],[Reporting Year]],2022,TM[[#All],[Insurance Category Code]],8,TM[[#All],[Large Provider Entity Code]],A228)</f>
        <v>0</v>
      </c>
      <c r="D228" s="7" t="str">
        <f>IFERROR(SUMIFS(TM[[#All],[Total Non-Truncated Claims Spending]],TM[[#All],[Reporting Year]],2022,TM[[#All],[Insurance Category Code]],8,TM[[#All],[Large Provider Entity Code]],A228)/C228,"NA")</f>
        <v>NA</v>
      </c>
      <c r="E228" s="7" t="str">
        <f>IFERROR(SUMIFS(TM[[#All],[Total Non-Claims Spending]],TM[[#All],[Reporting Year]],2022,TM[[#All],[Insurance Category Code]],8,TM[[#All],[Large Provider Entity Code]],A228)/C228,"NA")</f>
        <v>NA</v>
      </c>
      <c r="F228" s="7" t="str">
        <f>IFERROR(SUMIFS(TM[[#All],[Total Non-Truncated Claims and Non-Claims Spending]],TM[[#All],[Reporting Year]],2022,TM[[#All],[Insurance Category Code]],8,TM[[#All],[Large Provider Entity Code]],A228)/C228,"NA")</f>
        <v>NA</v>
      </c>
      <c r="G228" s="7" t="str">
        <f>IFERROR(SUMIFS(TM[[#All],[Total Truncated Claims Spending]],TM[[#All],[Reporting Year]],2022,TM[[#All],[Insurance Category Code]],8,TM[[#All],[Large Provider Entity Code]],A228)/C228,"NA")</f>
        <v>NA</v>
      </c>
      <c r="H228" s="204" t="str">
        <f>IFERROR(SUMIFS(TM[[#All],[Total Truncated Expenses]],TM[[#All],[Reporting Year]],2022,TM[[#All],[Insurance Category Code]],8,TM[[#All],[Large Provider Entity Code]],A228)/C228,"NA")</f>
        <v>NA</v>
      </c>
      <c r="I228" s="95">
        <f>SUMIFS(TM[[#All],[Member Months]],TM[[#All],[Reporting Year]],2023,TM[[#All],[Insurance Category Code]],8,TM[[#All],[Large Provider Entity Code]],A228)</f>
        <v>0</v>
      </c>
      <c r="J228" s="7" t="str">
        <f>IFERROR(SUMIFS(TM[[#All],[Total Non-Truncated Claims Spending]],TM[[#All],[Reporting Year]],2023,TM[[#All],[Insurance Category Code]],8,TM[[#All],[Large Provider Entity Code]],A228)/I228,"NA")</f>
        <v>NA</v>
      </c>
      <c r="K228" s="7" t="str">
        <f>IFERROR(SUMIFS(TM[[#All],[Total Non-Claims Spending]],TM[[#All],[Reporting Year]],2023,TM[[#All],[Insurance Category Code]],8,TM[[#All],[Large Provider Entity Code]],A228)/I228,"NA")</f>
        <v>NA</v>
      </c>
      <c r="L228" s="7" t="str">
        <f>IFERROR(SUMIFS(TM[[#All],[Total Non-Truncated Claims and Non-Claims Spending]],TM[[#All],[Reporting Year]],2023,TM[[#All],[Insurance Category Code]],8,TM[[#All],[Large Provider Entity Code]],A228)/I228,"NA")</f>
        <v>NA</v>
      </c>
      <c r="M228" s="7" t="str">
        <f>IFERROR(SUMIFS(TM[[#All],[Total Truncated Claims Spending]],TM[[#All],[Reporting Year]],2023,TM[[#All],[Insurance Category Code]],8,TM[[#All],[Large Provider Entity Code]],A228)/I228,"NA")</f>
        <v>NA</v>
      </c>
      <c r="N228" s="96" t="str">
        <f>IFERROR(SUMIFS(TM[[#All],[Total Truncated Expenses]],TM[[#All],[Reporting Year]],2023,TM[[#All],[Insurance Category Code]],8,TM[[#All],[Large Provider Entity Code]],A228)/I228,"NA")</f>
        <v>NA</v>
      </c>
      <c r="O228" s="518">
        <f t="shared" si="33"/>
        <v>0</v>
      </c>
      <c r="P228" s="243" t="str">
        <f t="shared" si="32"/>
        <v>NA</v>
      </c>
      <c r="Q228" s="97" t="str">
        <f t="shared" si="32"/>
        <v>NA</v>
      </c>
      <c r="R228" s="97" t="str">
        <f t="shared" si="32"/>
        <v>NA</v>
      </c>
      <c r="S228" s="97" t="str">
        <f t="shared" si="32"/>
        <v>NA</v>
      </c>
      <c r="T228" s="97" t="str">
        <f t="shared" si="32"/>
        <v>NA</v>
      </c>
      <c r="U228" s="97" t="str">
        <f t="shared" si="32"/>
        <v>NA</v>
      </c>
    </row>
    <row r="229" spans="1:21" x14ac:dyDescent="0.25">
      <c r="A229" s="218">
        <v>108</v>
      </c>
      <c r="B229" s="495" t="s">
        <v>612</v>
      </c>
      <c r="C229" s="8">
        <f>SUMIFS(TM[[#All],[Member Months]],TM[[#All],[Reporting Year]],2022,TM[[#All],[Insurance Category Code]],8,TM[[#All],[Large Provider Entity Code]],A229)</f>
        <v>0</v>
      </c>
      <c r="D229" s="7" t="str">
        <f>IFERROR(SUMIFS(TM[[#All],[Total Non-Truncated Claims Spending]],TM[[#All],[Reporting Year]],2022,TM[[#All],[Insurance Category Code]],8,TM[[#All],[Large Provider Entity Code]],A229)/C229,"NA")</f>
        <v>NA</v>
      </c>
      <c r="E229" s="7" t="str">
        <f>IFERROR(SUMIFS(TM[[#All],[Total Non-Claims Spending]],TM[[#All],[Reporting Year]],2022,TM[[#All],[Insurance Category Code]],8,TM[[#All],[Large Provider Entity Code]],A229)/C229,"NA")</f>
        <v>NA</v>
      </c>
      <c r="F229" s="7" t="str">
        <f>IFERROR(SUMIFS(TM[[#All],[Total Non-Truncated Claims and Non-Claims Spending]],TM[[#All],[Reporting Year]],2022,TM[[#All],[Insurance Category Code]],8,TM[[#All],[Large Provider Entity Code]],A229)/C229,"NA")</f>
        <v>NA</v>
      </c>
      <c r="G229" s="7" t="str">
        <f>IFERROR(SUMIFS(TM[[#All],[Total Truncated Claims Spending]],TM[[#All],[Reporting Year]],2022,TM[[#All],[Insurance Category Code]],8,TM[[#All],[Large Provider Entity Code]],A229)/C229,"NA")</f>
        <v>NA</v>
      </c>
      <c r="H229" s="204" t="str">
        <f>IFERROR(SUMIFS(TM[[#All],[Total Truncated Expenses]],TM[[#All],[Reporting Year]],2022,TM[[#All],[Insurance Category Code]],8,TM[[#All],[Large Provider Entity Code]],A229)/C229,"NA")</f>
        <v>NA</v>
      </c>
      <c r="I229" s="95">
        <f>SUMIFS(TM[[#All],[Member Months]],TM[[#All],[Reporting Year]],2023,TM[[#All],[Insurance Category Code]],8,TM[[#All],[Large Provider Entity Code]],A229)</f>
        <v>0</v>
      </c>
      <c r="J229" s="7" t="str">
        <f>IFERROR(SUMIFS(TM[[#All],[Total Non-Truncated Claims Spending]],TM[[#All],[Reporting Year]],2023,TM[[#All],[Insurance Category Code]],8,TM[[#All],[Large Provider Entity Code]],A229)/I229,"NA")</f>
        <v>NA</v>
      </c>
      <c r="K229" s="7" t="str">
        <f>IFERROR(SUMIFS(TM[[#All],[Total Non-Claims Spending]],TM[[#All],[Reporting Year]],2023,TM[[#All],[Insurance Category Code]],8,TM[[#All],[Large Provider Entity Code]],A229)/I229,"NA")</f>
        <v>NA</v>
      </c>
      <c r="L229" s="7" t="str">
        <f>IFERROR(SUMIFS(TM[[#All],[Total Non-Truncated Claims and Non-Claims Spending]],TM[[#All],[Reporting Year]],2023,TM[[#All],[Insurance Category Code]],8,TM[[#All],[Large Provider Entity Code]],A229)/I229,"NA")</f>
        <v>NA</v>
      </c>
      <c r="M229" s="7" t="str">
        <f>IFERROR(SUMIFS(TM[[#All],[Total Truncated Claims Spending]],TM[[#All],[Reporting Year]],2023,TM[[#All],[Insurance Category Code]],8,TM[[#All],[Large Provider Entity Code]],A229)/I229,"NA")</f>
        <v>NA</v>
      </c>
      <c r="N229" s="96" t="str">
        <f>IFERROR(SUMIFS(TM[[#All],[Total Truncated Expenses]],TM[[#All],[Reporting Year]],2023,TM[[#All],[Insurance Category Code]],8,TM[[#All],[Large Provider Entity Code]],A229)/I229,"NA")</f>
        <v>NA</v>
      </c>
      <c r="O229" s="518">
        <f t="shared" si="33"/>
        <v>0</v>
      </c>
      <c r="P229" s="243" t="str">
        <f t="shared" si="32"/>
        <v>NA</v>
      </c>
      <c r="Q229" s="97" t="str">
        <f t="shared" si="32"/>
        <v>NA</v>
      </c>
      <c r="R229" s="97" t="str">
        <f t="shared" si="32"/>
        <v>NA</v>
      </c>
      <c r="S229" s="97" t="str">
        <f t="shared" si="32"/>
        <v>NA</v>
      </c>
      <c r="T229" s="97" t="str">
        <f t="shared" si="32"/>
        <v>NA</v>
      </c>
      <c r="U229" s="97" t="str">
        <f t="shared" si="32"/>
        <v>NA</v>
      </c>
    </row>
    <row r="230" spans="1:21" x14ac:dyDescent="0.25">
      <c r="A230" s="218">
        <v>109</v>
      </c>
      <c r="B230" s="571" t="s">
        <v>76</v>
      </c>
      <c r="C230" s="8">
        <f>SUMIFS(TM[[#All],[Member Months]],TM[[#All],[Reporting Year]],2022,TM[[#All],[Insurance Category Code]],8,TM[[#All],[Large Provider Entity Code]],A230)</f>
        <v>0</v>
      </c>
      <c r="D230" s="7" t="str">
        <f>IFERROR(SUMIFS(TM[[#All],[Total Non-Truncated Claims Spending]],TM[[#All],[Reporting Year]],2022,TM[[#All],[Insurance Category Code]],8,TM[[#All],[Large Provider Entity Code]],A230)/C230,"NA")</f>
        <v>NA</v>
      </c>
      <c r="E230" s="7" t="str">
        <f>IFERROR(SUMIFS(TM[[#All],[Total Non-Claims Spending]],TM[[#All],[Reporting Year]],2022,TM[[#All],[Insurance Category Code]],8,TM[[#All],[Large Provider Entity Code]],A230)/C230,"NA")</f>
        <v>NA</v>
      </c>
      <c r="F230" s="7" t="str">
        <f>IFERROR(SUMIFS(TM[[#All],[Total Non-Truncated Claims and Non-Claims Spending]],TM[[#All],[Reporting Year]],2022,TM[[#All],[Insurance Category Code]],8,TM[[#All],[Large Provider Entity Code]],A230)/C230,"NA")</f>
        <v>NA</v>
      </c>
      <c r="G230" s="7" t="str">
        <f>IFERROR(SUMIFS(TM[[#All],[Total Truncated Claims Spending]],TM[[#All],[Reporting Year]],2022,TM[[#All],[Insurance Category Code]],8,TM[[#All],[Large Provider Entity Code]],A230)/C230,"NA")</f>
        <v>NA</v>
      </c>
      <c r="H230" s="204" t="str">
        <f>IFERROR(SUMIFS(TM[[#All],[Total Truncated Expenses]],TM[[#All],[Reporting Year]],2022,TM[[#All],[Insurance Category Code]],8,TM[[#All],[Large Provider Entity Code]],A230)/C230,"NA")</f>
        <v>NA</v>
      </c>
      <c r="I230" s="95">
        <f>SUMIFS(TM[[#All],[Member Months]],TM[[#All],[Reporting Year]],2023,TM[[#All],[Insurance Category Code]],8,TM[[#All],[Large Provider Entity Code]],A230)</f>
        <v>0</v>
      </c>
      <c r="J230" s="7" t="str">
        <f>IFERROR(SUMIFS(TM[[#All],[Total Non-Truncated Claims Spending]],TM[[#All],[Reporting Year]],2023,TM[[#All],[Insurance Category Code]],8,TM[[#All],[Large Provider Entity Code]],A230)/I230,"NA")</f>
        <v>NA</v>
      </c>
      <c r="K230" s="7" t="str">
        <f>IFERROR(SUMIFS(TM[[#All],[Total Non-Claims Spending]],TM[[#All],[Reporting Year]],2023,TM[[#All],[Insurance Category Code]],8,TM[[#All],[Large Provider Entity Code]],A230)/I230,"NA")</f>
        <v>NA</v>
      </c>
      <c r="L230" s="7" t="str">
        <f>IFERROR(SUMIFS(TM[[#All],[Total Non-Truncated Claims and Non-Claims Spending]],TM[[#All],[Reporting Year]],2023,TM[[#All],[Insurance Category Code]],8,TM[[#All],[Large Provider Entity Code]],A230)/I230,"NA")</f>
        <v>NA</v>
      </c>
      <c r="M230" s="7" t="str">
        <f>IFERROR(SUMIFS(TM[[#All],[Total Truncated Claims Spending]],TM[[#All],[Reporting Year]],2023,TM[[#All],[Insurance Category Code]],8,TM[[#All],[Large Provider Entity Code]],A230)/I230,"NA")</f>
        <v>NA</v>
      </c>
      <c r="N230" s="96" t="str">
        <f>IFERROR(SUMIFS(TM[[#All],[Total Truncated Expenses]],TM[[#All],[Reporting Year]],2023,TM[[#All],[Insurance Category Code]],8,TM[[#All],[Large Provider Entity Code]],A230)/I230,"NA")</f>
        <v>NA</v>
      </c>
      <c r="O230" s="518">
        <f t="shared" si="33"/>
        <v>0</v>
      </c>
      <c r="P230" s="243" t="str">
        <f t="shared" si="32"/>
        <v>NA</v>
      </c>
      <c r="Q230" s="97" t="str">
        <f t="shared" si="32"/>
        <v>NA</v>
      </c>
      <c r="R230" s="97" t="str">
        <f t="shared" si="32"/>
        <v>NA</v>
      </c>
      <c r="S230" s="97" t="str">
        <f t="shared" si="32"/>
        <v>NA</v>
      </c>
      <c r="T230" s="97" t="str">
        <f t="shared" si="32"/>
        <v>NA</v>
      </c>
      <c r="U230" s="97" t="str">
        <f t="shared" si="32"/>
        <v>NA</v>
      </c>
    </row>
    <row r="231" spans="1:21" x14ac:dyDescent="0.25">
      <c r="A231" s="218">
        <v>110</v>
      </c>
      <c r="B231" s="495" t="s">
        <v>77</v>
      </c>
      <c r="C231" s="8">
        <f>SUMIFS(TM[[#All],[Member Months]],TM[[#All],[Reporting Year]],2022,TM[[#All],[Insurance Category Code]],8,TM[[#All],[Large Provider Entity Code]],A231)</f>
        <v>0</v>
      </c>
      <c r="D231" s="7" t="str">
        <f>IFERROR(SUMIFS(TM[[#All],[Total Non-Truncated Claims Spending]],TM[[#All],[Reporting Year]],2022,TM[[#All],[Insurance Category Code]],8,TM[[#All],[Large Provider Entity Code]],A231)/C231,"NA")</f>
        <v>NA</v>
      </c>
      <c r="E231" s="7" t="str">
        <f>IFERROR(SUMIFS(TM[[#All],[Total Non-Claims Spending]],TM[[#All],[Reporting Year]],2022,TM[[#All],[Insurance Category Code]],8,TM[[#All],[Large Provider Entity Code]],A231)/C231,"NA")</f>
        <v>NA</v>
      </c>
      <c r="F231" s="7" t="str">
        <f>IFERROR(SUMIFS(TM[[#All],[Total Non-Truncated Claims and Non-Claims Spending]],TM[[#All],[Reporting Year]],2022,TM[[#All],[Insurance Category Code]],8,TM[[#All],[Large Provider Entity Code]],A231)/C231,"NA")</f>
        <v>NA</v>
      </c>
      <c r="G231" s="7" t="str">
        <f>IFERROR(SUMIFS(TM[[#All],[Total Truncated Claims Spending]],TM[[#All],[Reporting Year]],2022,TM[[#All],[Insurance Category Code]],8,TM[[#All],[Large Provider Entity Code]],A231)/C231,"NA")</f>
        <v>NA</v>
      </c>
      <c r="H231" s="204" t="str">
        <f>IFERROR(SUMIFS(TM[[#All],[Total Truncated Expenses]],TM[[#All],[Reporting Year]],2022,TM[[#All],[Insurance Category Code]],8,TM[[#All],[Large Provider Entity Code]],A231)/C231,"NA")</f>
        <v>NA</v>
      </c>
      <c r="I231" s="95">
        <f>SUMIFS(TM[[#All],[Member Months]],TM[[#All],[Reporting Year]],2023,TM[[#All],[Insurance Category Code]],8,TM[[#All],[Large Provider Entity Code]],A231)</f>
        <v>0</v>
      </c>
      <c r="J231" s="7" t="str">
        <f>IFERROR(SUMIFS(TM[[#All],[Total Non-Truncated Claims Spending]],TM[[#All],[Reporting Year]],2023,TM[[#All],[Insurance Category Code]],8,TM[[#All],[Large Provider Entity Code]],A231)/I231,"NA")</f>
        <v>NA</v>
      </c>
      <c r="K231" s="7" t="str">
        <f>IFERROR(SUMIFS(TM[[#All],[Total Non-Claims Spending]],TM[[#All],[Reporting Year]],2023,TM[[#All],[Insurance Category Code]],8,TM[[#All],[Large Provider Entity Code]],A231)/I231,"NA")</f>
        <v>NA</v>
      </c>
      <c r="L231" s="7" t="str">
        <f>IFERROR(SUMIFS(TM[[#All],[Total Non-Truncated Claims and Non-Claims Spending]],TM[[#All],[Reporting Year]],2023,TM[[#All],[Insurance Category Code]],8,TM[[#All],[Large Provider Entity Code]],A231)/I231,"NA")</f>
        <v>NA</v>
      </c>
      <c r="M231" s="7" t="str">
        <f>IFERROR(SUMIFS(TM[[#All],[Total Truncated Claims Spending]],TM[[#All],[Reporting Year]],2023,TM[[#All],[Insurance Category Code]],8,TM[[#All],[Large Provider Entity Code]],A231)/I231,"NA")</f>
        <v>NA</v>
      </c>
      <c r="N231" s="96" t="str">
        <f>IFERROR(SUMIFS(TM[[#All],[Total Truncated Expenses]],TM[[#All],[Reporting Year]],2023,TM[[#All],[Insurance Category Code]],8,TM[[#All],[Large Provider Entity Code]],A231)/I231,"NA")</f>
        <v>NA</v>
      </c>
      <c r="O231" s="518">
        <f t="shared" si="33"/>
        <v>0</v>
      </c>
      <c r="P231" s="243" t="str">
        <f t="shared" si="32"/>
        <v>NA</v>
      </c>
      <c r="Q231" s="97" t="str">
        <f t="shared" si="32"/>
        <v>NA</v>
      </c>
      <c r="R231" s="97" t="str">
        <f t="shared" si="32"/>
        <v>NA</v>
      </c>
      <c r="S231" s="97" t="str">
        <f t="shared" si="32"/>
        <v>NA</v>
      </c>
      <c r="T231" s="97" t="str">
        <f t="shared" si="32"/>
        <v>NA</v>
      </c>
      <c r="U231" s="97" t="str">
        <f t="shared" si="32"/>
        <v>NA</v>
      </c>
    </row>
    <row r="232" spans="1:21" x14ac:dyDescent="0.25">
      <c r="A232" s="218">
        <v>111</v>
      </c>
      <c r="B232" s="566" t="s">
        <v>78</v>
      </c>
      <c r="C232" s="8">
        <f>SUMIFS(TM[[#All],[Member Months]],TM[[#All],[Reporting Year]],2022,TM[[#All],[Insurance Category Code]],8,TM[[#All],[Large Provider Entity Code]],A232)</f>
        <v>0</v>
      </c>
      <c r="D232" s="7" t="str">
        <f>IFERROR(SUMIFS(TM[[#All],[Total Non-Truncated Claims Spending]],TM[[#All],[Reporting Year]],2022,TM[[#All],[Insurance Category Code]],8,TM[[#All],[Large Provider Entity Code]],A232)/C232,"NA")</f>
        <v>NA</v>
      </c>
      <c r="E232" s="7" t="str">
        <f>IFERROR(SUMIFS(TM[[#All],[Total Non-Claims Spending]],TM[[#All],[Reporting Year]],2022,TM[[#All],[Insurance Category Code]],8,TM[[#All],[Large Provider Entity Code]],A232)/C232,"NA")</f>
        <v>NA</v>
      </c>
      <c r="F232" s="7" t="str">
        <f>IFERROR(SUMIFS(TM[[#All],[Total Non-Truncated Claims and Non-Claims Spending]],TM[[#All],[Reporting Year]],2022,TM[[#All],[Insurance Category Code]],8,TM[[#All],[Large Provider Entity Code]],A232)/C232,"NA")</f>
        <v>NA</v>
      </c>
      <c r="G232" s="7" t="str">
        <f>IFERROR(SUMIFS(TM[[#All],[Total Truncated Claims Spending]],TM[[#All],[Reporting Year]],2022,TM[[#All],[Insurance Category Code]],8,TM[[#All],[Large Provider Entity Code]],A232)/C232,"NA")</f>
        <v>NA</v>
      </c>
      <c r="H232" s="204" t="str">
        <f>IFERROR(SUMIFS(TM[[#All],[Total Truncated Expenses]],TM[[#All],[Reporting Year]],2022,TM[[#All],[Insurance Category Code]],8,TM[[#All],[Large Provider Entity Code]],A232)/C232,"NA")</f>
        <v>NA</v>
      </c>
      <c r="I232" s="95">
        <f>SUMIFS(TM[[#All],[Member Months]],TM[[#All],[Reporting Year]],2023,TM[[#All],[Insurance Category Code]],8,TM[[#All],[Large Provider Entity Code]],A232)</f>
        <v>0</v>
      </c>
      <c r="J232" s="7" t="str">
        <f>IFERROR(SUMIFS(TM[[#All],[Total Non-Truncated Claims Spending]],TM[[#All],[Reporting Year]],2023,TM[[#All],[Insurance Category Code]],8,TM[[#All],[Large Provider Entity Code]],A232)/I232,"NA")</f>
        <v>NA</v>
      </c>
      <c r="K232" s="7" t="str">
        <f>IFERROR(SUMIFS(TM[[#All],[Total Non-Claims Spending]],TM[[#All],[Reporting Year]],2023,TM[[#All],[Insurance Category Code]],8,TM[[#All],[Large Provider Entity Code]],A232)/I232,"NA")</f>
        <v>NA</v>
      </c>
      <c r="L232" s="7" t="str">
        <f>IFERROR(SUMIFS(TM[[#All],[Total Non-Truncated Claims and Non-Claims Spending]],TM[[#All],[Reporting Year]],2023,TM[[#All],[Insurance Category Code]],8,TM[[#All],[Large Provider Entity Code]],A232)/I232,"NA")</f>
        <v>NA</v>
      </c>
      <c r="M232" s="7" t="str">
        <f>IFERROR(SUMIFS(TM[[#All],[Total Truncated Claims Spending]],TM[[#All],[Reporting Year]],2023,TM[[#All],[Insurance Category Code]],8,TM[[#All],[Large Provider Entity Code]],A232)/I232,"NA")</f>
        <v>NA</v>
      </c>
      <c r="N232" s="96" t="str">
        <f>IFERROR(SUMIFS(TM[[#All],[Total Truncated Expenses]],TM[[#All],[Reporting Year]],2023,TM[[#All],[Insurance Category Code]],8,TM[[#All],[Large Provider Entity Code]],A232)/I232,"NA")</f>
        <v>NA</v>
      </c>
      <c r="O232" s="518">
        <f t="shared" si="33"/>
        <v>0</v>
      </c>
      <c r="P232" s="243" t="str">
        <f t="shared" si="32"/>
        <v>NA</v>
      </c>
      <c r="Q232" s="97" t="str">
        <f t="shared" si="32"/>
        <v>NA</v>
      </c>
      <c r="R232" s="97" t="str">
        <f t="shared" si="32"/>
        <v>NA</v>
      </c>
      <c r="S232" s="97" t="str">
        <f t="shared" si="32"/>
        <v>NA</v>
      </c>
      <c r="T232" s="97" t="str">
        <f t="shared" si="32"/>
        <v>NA</v>
      </c>
      <c r="U232" s="97" t="str">
        <f t="shared" si="32"/>
        <v>NA</v>
      </c>
    </row>
    <row r="233" spans="1:21" x14ac:dyDescent="0.25">
      <c r="A233" s="218">
        <v>112</v>
      </c>
      <c r="B233" s="566" t="s">
        <v>613</v>
      </c>
      <c r="C233" s="8">
        <f>SUMIFS(TM[[#All],[Member Months]],TM[[#All],[Reporting Year]],2022,TM[[#All],[Insurance Category Code]],8,TM[[#All],[Large Provider Entity Code]],A233)</f>
        <v>0</v>
      </c>
      <c r="D233" s="7" t="str">
        <f>IFERROR(SUMIFS(TM[[#All],[Total Non-Truncated Claims Spending]],TM[[#All],[Reporting Year]],2022,TM[[#All],[Insurance Category Code]],8,TM[[#All],[Large Provider Entity Code]],A233)/C233,"NA")</f>
        <v>NA</v>
      </c>
      <c r="E233" s="7" t="str">
        <f>IFERROR(SUMIFS(TM[[#All],[Total Non-Claims Spending]],TM[[#All],[Reporting Year]],2022,TM[[#All],[Insurance Category Code]],8,TM[[#All],[Large Provider Entity Code]],A233)/C233,"NA")</f>
        <v>NA</v>
      </c>
      <c r="F233" s="7" t="str">
        <f>IFERROR(SUMIFS(TM[[#All],[Total Non-Truncated Claims and Non-Claims Spending]],TM[[#All],[Reporting Year]],2022,TM[[#All],[Insurance Category Code]],8,TM[[#All],[Large Provider Entity Code]],A233)/C233,"NA")</f>
        <v>NA</v>
      </c>
      <c r="G233" s="7" t="str">
        <f>IFERROR(SUMIFS(TM[[#All],[Total Truncated Claims Spending]],TM[[#All],[Reporting Year]],2022,TM[[#All],[Insurance Category Code]],8,TM[[#All],[Large Provider Entity Code]],A233)/C233,"NA")</f>
        <v>NA</v>
      </c>
      <c r="H233" s="204" t="str">
        <f>IFERROR(SUMIFS(TM[[#All],[Total Truncated Expenses]],TM[[#All],[Reporting Year]],2022,TM[[#All],[Insurance Category Code]],8,TM[[#All],[Large Provider Entity Code]],A233)/C233,"NA")</f>
        <v>NA</v>
      </c>
      <c r="I233" s="95">
        <f>SUMIFS(TM[[#All],[Member Months]],TM[[#All],[Reporting Year]],2023,TM[[#All],[Insurance Category Code]],8,TM[[#All],[Large Provider Entity Code]],A233)</f>
        <v>0</v>
      </c>
      <c r="J233" s="7" t="str">
        <f>IFERROR(SUMIFS(TM[[#All],[Total Non-Truncated Claims Spending]],TM[[#All],[Reporting Year]],2023,TM[[#All],[Insurance Category Code]],8,TM[[#All],[Large Provider Entity Code]],A233)/I233,"NA")</f>
        <v>NA</v>
      </c>
      <c r="K233" s="7" t="str">
        <f>IFERROR(SUMIFS(TM[[#All],[Total Non-Claims Spending]],TM[[#All],[Reporting Year]],2023,TM[[#All],[Insurance Category Code]],8,TM[[#All],[Large Provider Entity Code]],A233)/I233,"NA")</f>
        <v>NA</v>
      </c>
      <c r="L233" s="7" t="str">
        <f>IFERROR(SUMIFS(TM[[#All],[Total Non-Truncated Claims and Non-Claims Spending]],TM[[#All],[Reporting Year]],2023,TM[[#All],[Insurance Category Code]],8,TM[[#All],[Large Provider Entity Code]],A233)/I233,"NA")</f>
        <v>NA</v>
      </c>
      <c r="M233" s="7" t="str">
        <f>IFERROR(SUMIFS(TM[[#All],[Total Truncated Claims Spending]],TM[[#All],[Reporting Year]],2023,TM[[#All],[Insurance Category Code]],8,TM[[#All],[Large Provider Entity Code]],A233)/I233,"NA")</f>
        <v>NA</v>
      </c>
      <c r="N233" s="96" t="str">
        <f>IFERROR(SUMIFS(TM[[#All],[Total Truncated Expenses]],TM[[#All],[Reporting Year]],2023,TM[[#All],[Insurance Category Code]],8,TM[[#All],[Large Provider Entity Code]],A233)/I233,"NA")</f>
        <v>NA</v>
      </c>
      <c r="O233" s="518">
        <f t="shared" si="33"/>
        <v>0</v>
      </c>
      <c r="P233" s="243" t="str">
        <f t="shared" si="32"/>
        <v>NA</v>
      </c>
      <c r="Q233" s="97" t="str">
        <f t="shared" si="32"/>
        <v>NA</v>
      </c>
      <c r="R233" s="97" t="str">
        <f t="shared" si="32"/>
        <v>NA</v>
      </c>
      <c r="S233" s="97" t="str">
        <f t="shared" si="32"/>
        <v>NA</v>
      </c>
      <c r="T233" s="97" t="str">
        <f t="shared" si="32"/>
        <v>NA</v>
      </c>
      <c r="U233" s="97" t="str">
        <f t="shared" si="32"/>
        <v>NA</v>
      </c>
    </row>
    <row r="234" spans="1:21" x14ac:dyDescent="0.25">
      <c r="A234" s="218">
        <v>115</v>
      </c>
      <c r="B234" s="566" t="s">
        <v>79</v>
      </c>
      <c r="C234" s="8">
        <f>SUMIFS(TM[[#All],[Member Months]],TM[[#All],[Reporting Year]],2022,TM[[#All],[Insurance Category Code]],8,TM[[#All],[Large Provider Entity Code]],A234)</f>
        <v>0</v>
      </c>
      <c r="D234" s="7" t="str">
        <f>IFERROR(SUMIFS(TM[[#All],[Total Non-Truncated Claims Spending]],TM[[#All],[Reporting Year]],2022,TM[[#All],[Insurance Category Code]],8,TM[[#All],[Large Provider Entity Code]],A234)/C234,"NA")</f>
        <v>NA</v>
      </c>
      <c r="E234" s="7" t="str">
        <f>IFERROR(SUMIFS(TM[[#All],[Total Non-Claims Spending]],TM[[#All],[Reporting Year]],2022,TM[[#All],[Insurance Category Code]],8,TM[[#All],[Large Provider Entity Code]],A234)/C234,"NA")</f>
        <v>NA</v>
      </c>
      <c r="F234" s="7" t="str">
        <f>IFERROR(SUMIFS(TM[[#All],[Total Non-Truncated Claims and Non-Claims Spending]],TM[[#All],[Reporting Year]],2022,TM[[#All],[Insurance Category Code]],8,TM[[#All],[Large Provider Entity Code]],A234)/C234,"NA")</f>
        <v>NA</v>
      </c>
      <c r="G234" s="7" t="str">
        <f>IFERROR(SUMIFS(TM[[#All],[Total Truncated Claims Spending]],TM[[#All],[Reporting Year]],2022,TM[[#All],[Insurance Category Code]],8,TM[[#All],[Large Provider Entity Code]],A234)/C234,"NA")</f>
        <v>NA</v>
      </c>
      <c r="H234" s="204" t="str">
        <f>IFERROR(SUMIFS(TM[[#All],[Total Truncated Expenses]],TM[[#All],[Reporting Year]],2022,TM[[#All],[Insurance Category Code]],8,TM[[#All],[Large Provider Entity Code]],A234)/C234,"NA")</f>
        <v>NA</v>
      </c>
      <c r="I234" s="95">
        <f>SUMIFS(TM[[#All],[Member Months]],TM[[#All],[Reporting Year]],2023,TM[[#All],[Insurance Category Code]],8,TM[[#All],[Large Provider Entity Code]],A234)</f>
        <v>0</v>
      </c>
      <c r="J234" s="7" t="str">
        <f>IFERROR(SUMIFS(TM[[#All],[Total Non-Truncated Claims Spending]],TM[[#All],[Reporting Year]],2023,TM[[#All],[Insurance Category Code]],8,TM[[#All],[Large Provider Entity Code]],A234)/I234,"NA")</f>
        <v>NA</v>
      </c>
      <c r="K234" s="7" t="str">
        <f>IFERROR(SUMIFS(TM[[#All],[Total Non-Claims Spending]],TM[[#All],[Reporting Year]],2023,TM[[#All],[Insurance Category Code]],8,TM[[#All],[Large Provider Entity Code]],A234)/I234,"NA")</f>
        <v>NA</v>
      </c>
      <c r="L234" s="7" t="str">
        <f>IFERROR(SUMIFS(TM[[#All],[Total Non-Truncated Claims and Non-Claims Spending]],TM[[#All],[Reporting Year]],2023,TM[[#All],[Insurance Category Code]],8,TM[[#All],[Large Provider Entity Code]],A234)/I234,"NA")</f>
        <v>NA</v>
      </c>
      <c r="M234" s="7" t="str">
        <f>IFERROR(SUMIFS(TM[[#All],[Total Truncated Claims Spending]],TM[[#All],[Reporting Year]],2023,TM[[#All],[Insurance Category Code]],8,TM[[#All],[Large Provider Entity Code]],A234)/I234,"NA")</f>
        <v>NA</v>
      </c>
      <c r="N234" s="96" t="str">
        <f>IFERROR(SUMIFS(TM[[#All],[Total Truncated Expenses]],TM[[#All],[Reporting Year]],2023,TM[[#All],[Insurance Category Code]],8,TM[[#All],[Large Provider Entity Code]],A234)/I234,"NA")</f>
        <v>NA</v>
      </c>
      <c r="O234" s="518">
        <f t="shared" si="33"/>
        <v>0</v>
      </c>
      <c r="P234" s="243" t="str">
        <f t="shared" si="32"/>
        <v>NA</v>
      </c>
      <c r="Q234" s="97" t="str">
        <f t="shared" si="32"/>
        <v>NA</v>
      </c>
      <c r="R234" s="97" t="str">
        <f t="shared" si="32"/>
        <v>NA</v>
      </c>
      <c r="S234" s="97" t="str">
        <f t="shared" si="32"/>
        <v>NA</v>
      </c>
      <c r="T234" s="97" t="str">
        <f t="shared" si="32"/>
        <v>NA</v>
      </c>
      <c r="U234" s="97" t="str">
        <f t="shared" si="32"/>
        <v>NA</v>
      </c>
    </row>
    <row r="235" spans="1:21" x14ac:dyDescent="0.25">
      <c r="A235" s="218">
        <v>116</v>
      </c>
      <c r="B235" s="566" t="s">
        <v>614</v>
      </c>
      <c r="C235" s="8">
        <f>SUMIFS(TM[[#All],[Member Months]],TM[[#All],[Reporting Year]],2022,TM[[#All],[Insurance Category Code]],8,TM[[#All],[Large Provider Entity Code]],A235)</f>
        <v>0</v>
      </c>
      <c r="D235" s="7" t="str">
        <f>IFERROR(SUMIFS(TM[[#All],[Total Non-Truncated Claims Spending]],TM[[#All],[Reporting Year]],2022,TM[[#All],[Insurance Category Code]],8,TM[[#All],[Large Provider Entity Code]],A235)/C235,"NA")</f>
        <v>NA</v>
      </c>
      <c r="E235" s="7" t="str">
        <f>IFERROR(SUMIFS(TM[[#All],[Total Non-Claims Spending]],TM[[#All],[Reporting Year]],2022,TM[[#All],[Insurance Category Code]],8,TM[[#All],[Large Provider Entity Code]],A235)/C235,"NA")</f>
        <v>NA</v>
      </c>
      <c r="F235" s="7" t="str">
        <f>IFERROR(SUMIFS(TM[[#All],[Total Non-Truncated Claims and Non-Claims Spending]],TM[[#All],[Reporting Year]],2022,TM[[#All],[Insurance Category Code]],8,TM[[#All],[Large Provider Entity Code]],A235)/C235,"NA")</f>
        <v>NA</v>
      </c>
      <c r="G235" s="7" t="str">
        <f>IFERROR(SUMIFS(TM[[#All],[Total Truncated Claims Spending]],TM[[#All],[Reporting Year]],2022,TM[[#All],[Insurance Category Code]],8,TM[[#All],[Large Provider Entity Code]],A235)/C235,"NA")</f>
        <v>NA</v>
      </c>
      <c r="H235" s="204" t="str">
        <f>IFERROR(SUMIFS(TM[[#All],[Total Truncated Expenses]],TM[[#All],[Reporting Year]],2022,TM[[#All],[Insurance Category Code]],8,TM[[#All],[Large Provider Entity Code]],A235)/C235,"NA")</f>
        <v>NA</v>
      </c>
      <c r="I235" s="95">
        <f>SUMIFS(TM[[#All],[Member Months]],TM[[#All],[Reporting Year]],2023,TM[[#All],[Insurance Category Code]],8,TM[[#All],[Large Provider Entity Code]],A235)</f>
        <v>0</v>
      </c>
      <c r="J235" s="7" t="str">
        <f>IFERROR(SUMIFS(TM[[#All],[Total Non-Truncated Claims Spending]],TM[[#All],[Reporting Year]],2023,TM[[#All],[Insurance Category Code]],8,TM[[#All],[Large Provider Entity Code]],A235)/I235,"NA")</f>
        <v>NA</v>
      </c>
      <c r="K235" s="7" t="str">
        <f>IFERROR(SUMIFS(TM[[#All],[Total Non-Claims Spending]],TM[[#All],[Reporting Year]],2023,TM[[#All],[Insurance Category Code]],8,TM[[#All],[Large Provider Entity Code]],A235)/I235,"NA")</f>
        <v>NA</v>
      </c>
      <c r="L235" s="7" t="str">
        <f>IFERROR(SUMIFS(TM[[#All],[Total Non-Truncated Claims and Non-Claims Spending]],TM[[#All],[Reporting Year]],2023,TM[[#All],[Insurance Category Code]],8,TM[[#All],[Large Provider Entity Code]],A235)/I235,"NA")</f>
        <v>NA</v>
      </c>
      <c r="M235" s="7" t="str">
        <f>IFERROR(SUMIFS(TM[[#All],[Total Truncated Claims Spending]],TM[[#All],[Reporting Year]],2023,TM[[#All],[Insurance Category Code]],8,TM[[#All],[Large Provider Entity Code]],A235)/I235,"NA")</f>
        <v>NA</v>
      </c>
      <c r="N235" s="96" t="str">
        <f>IFERROR(SUMIFS(TM[[#All],[Total Truncated Expenses]],TM[[#All],[Reporting Year]],2023,TM[[#All],[Insurance Category Code]],8,TM[[#All],[Large Provider Entity Code]],A235)/I235,"NA")</f>
        <v>NA</v>
      </c>
      <c r="O235" s="518">
        <f t="shared" si="33"/>
        <v>0</v>
      </c>
      <c r="P235" s="243" t="str">
        <f t="shared" si="32"/>
        <v>NA</v>
      </c>
      <c r="Q235" s="97" t="str">
        <f t="shared" si="32"/>
        <v>NA</v>
      </c>
      <c r="R235" s="97" t="str">
        <f t="shared" si="32"/>
        <v>NA</v>
      </c>
      <c r="S235" s="97" t="str">
        <f t="shared" si="32"/>
        <v>NA</v>
      </c>
      <c r="T235" s="97" t="str">
        <f t="shared" si="32"/>
        <v>NA</v>
      </c>
      <c r="U235" s="97" t="str">
        <f t="shared" si="32"/>
        <v>NA</v>
      </c>
    </row>
    <row r="236" spans="1:21" x14ac:dyDescent="0.25">
      <c r="A236" s="218">
        <v>118</v>
      </c>
      <c r="B236" s="566" t="s">
        <v>80</v>
      </c>
      <c r="C236" s="8">
        <f>SUMIFS(TM[[#All],[Member Months]],TM[[#All],[Reporting Year]],2022,TM[[#All],[Insurance Category Code]],8,TM[[#All],[Large Provider Entity Code]],A236)</f>
        <v>0</v>
      </c>
      <c r="D236" s="7" t="str">
        <f>IFERROR(SUMIFS(TM[[#All],[Total Non-Truncated Claims Spending]],TM[[#All],[Reporting Year]],2022,TM[[#All],[Insurance Category Code]],8,TM[[#All],[Large Provider Entity Code]],A236)/C236,"NA")</f>
        <v>NA</v>
      </c>
      <c r="E236" s="7" t="str">
        <f>IFERROR(SUMIFS(TM[[#All],[Total Non-Claims Spending]],TM[[#All],[Reporting Year]],2022,TM[[#All],[Insurance Category Code]],8,TM[[#All],[Large Provider Entity Code]],A236)/C236,"NA")</f>
        <v>NA</v>
      </c>
      <c r="F236" s="7" t="str">
        <f>IFERROR(SUMIFS(TM[[#All],[Total Non-Truncated Claims and Non-Claims Spending]],TM[[#All],[Reporting Year]],2022,TM[[#All],[Insurance Category Code]],8,TM[[#All],[Large Provider Entity Code]],A236)/C236,"NA")</f>
        <v>NA</v>
      </c>
      <c r="G236" s="7" t="str">
        <f>IFERROR(SUMIFS(TM[[#All],[Total Truncated Claims Spending]],TM[[#All],[Reporting Year]],2022,TM[[#All],[Insurance Category Code]],8,TM[[#All],[Large Provider Entity Code]],A236)/C236,"NA")</f>
        <v>NA</v>
      </c>
      <c r="H236" s="204" t="str">
        <f>IFERROR(SUMIFS(TM[[#All],[Total Truncated Expenses]],TM[[#All],[Reporting Year]],2022,TM[[#All],[Insurance Category Code]],8,TM[[#All],[Large Provider Entity Code]],A236)/C236,"NA")</f>
        <v>NA</v>
      </c>
      <c r="I236" s="95">
        <f>SUMIFS(TM[[#All],[Member Months]],TM[[#All],[Reporting Year]],2023,TM[[#All],[Insurance Category Code]],8,TM[[#All],[Large Provider Entity Code]],A236)</f>
        <v>0</v>
      </c>
      <c r="J236" s="7" t="str">
        <f>IFERROR(SUMIFS(TM[[#All],[Total Non-Truncated Claims Spending]],TM[[#All],[Reporting Year]],2023,TM[[#All],[Insurance Category Code]],8,TM[[#All],[Large Provider Entity Code]],A236)/I236,"NA")</f>
        <v>NA</v>
      </c>
      <c r="K236" s="7" t="str">
        <f>IFERROR(SUMIFS(TM[[#All],[Total Non-Claims Spending]],TM[[#All],[Reporting Year]],2023,TM[[#All],[Insurance Category Code]],8,TM[[#All],[Large Provider Entity Code]],A236)/I236,"NA")</f>
        <v>NA</v>
      </c>
      <c r="L236" s="7" t="str">
        <f>IFERROR(SUMIFS(TM[[#All],[Total Non-Truncated Claims and Non-Claims Spending]],TM[[#All],[Reporting Year]],2023,TM[[#All],[Insurance Category Code]],8,TM[[#All],[Large Provider Entity Code]],A236)/I236,"NA")</f>
        <v>NA</v>
      </c>
      <c r="M236" s="7" t="str">
        <f>IFERROR(SUMIFS(TM[[#All],[Total Truncated Claims Spending]],TM[[#All],[Reporting Year]],2023,TM[[#All],[Insurance Category Code]],8,TM[[#All],[Large Provider Entity Code]],A236)/I236,"NA")</f>
        <v>NA</v>
      </c>
      <c r="N236" s="96" t="str">
        <f>IFERROR(SUMIFS(TM[[#All],[Total Truncated Expenses]],TM[[#All],[Reporting Year]],2023,TM[[#All],[Insurance Category Code]],8,TM[[#All],[Large Provider Entity Code]],A236)/I236,"NA")</f>
        <v>NA</v>
      </c>
      <c r="O236" s="518">
        <f t="shared" si="33"/>
        <v>0</v>
      </c>
      <c r="P236" s="243" t="str">
        <f t="shared" si="32"/>
        <v>NA</v>
      </c>
      <c r="Q236" s="97" t="str">
        <f t="shared" si="32"/>
        <v>NA</v>
      </c>
      <c r="R236" s="97" t="str">
        <f t="shared" si="32"/>
        <v>NA</v>
      </c>
      <c r="S236" s="97" t="str">
        <f t="shared" si="32"/>
        <v>NA</v>
      </c>
      <c r="T236" s="97" t="str">
        <f t="shared" si="32"/>
        <v>NA</v>
      </c>
      <c r="U236" s="97" t="str">
        <f t="shared" si="32"/>
        <v>NA</v>
      </c>
    </row>
    <row r="237" spans="1:21" x14ac:dyDescent="0.25">
      <c r="A237" s="218">
        <v>119</v>
      </c>
      <c r="B237" s="566" t="s">
        <v>615</v>
      </c>
      <c r="C237" s="95">
        <f>SUMIFS(TM[[#All],[Member Months]],TM[[#All],[Reporting Year]],2022,TM[[#All],[Insurance Category Code]],8,TM[[#All],[Large Provider Entity Code]],A237)</f>
        <v>0</v>
      </c>
      <c r="D237" s="7" t="str">
        <f>IFERROR(SUMIFS(TM[[#All],[Total Non-Truncated Claims Spending]],TM[[#All],[Reporting Year]],2022,TM[[#All],[Insurance Category Code]],8,TM[[#All],[Large Provider Entity Code]],A237)/C237,"NA")</f>
        <v>NA</v>
      </c>
      <c r="E237" s="7" t="str">
        <f>IFERROR(SUMIFS(TM[[#All],[Total Non-Claims Spending]],TM[[#All],[Reporting Year]],2022,TM[[#All],[Insurance Category Code]],8,TM[[#All],[Large Provider Entity Code]],A237)/C237,"NA")</f>
        <v>NA</v>
      </c>
      <c r="F237" s="7" t="str">
        <f>IFERROR(SUMIFS(TM[[#All],[Total Non-Truncated Claims and Non-Claims Spending]],TM[[#All],[Reporting Year]],2022,TM[[#All],[Insurance Category Code]],8,TM[[#All],[Large Provider Entity Code]],A237)/C237,"NA")</f>
        <v>NA</v>
      </c>
      <c r="G237" s="7" t="str">
        <f>IFERROR(SUMIFS(TM[[#All],[Total Truncated Claims Spending]],TM[[#All],[Reporting Year]],2022,TM[[#All],[Insurance Category Code]],8,TM[[#All],[Large Provider Entity Code]],A237)/C237,"NA")</f>
        <v>NA</v>
      </c>
      <c r="H237" s="204" t="str">
        <f>IFERROR(SUMIFS(TM[[#All],[Total Truncated Expenses]],TM[[#All],[Reporting Year]],2022,TM[[#All],[Insurance Category Code]],8,TM[[#All],[Large Provider Entity Code]],A237)/C237,"NA")</f>
        <v>NA</v>
      </c>
      <c r="I237" s="95">
        <f>SUMIFS(TM[[#All],[Member Months]],TM[[#All],[Reporting Year]],2023,TM[[#All],[Insurance Category Code]],8,TM[[#All],[Large Provider Entity Code]],A237)</f>
        <v>0</v>
      </c>
      <c r="J237" s="7" t="str">
        <f>IFERROR(SUMIFS(TM[[#All],[Total Non-Truncated Claims Spending]],TM[[#All],[Reporting Year]],2023,TM[[#All],[Insurance Category Code]],8,TM[[#All],[Large Provider Entity Code]],A237)/I237,"NA")</f>
        <v>NA</v>
      </c>
      <c r="K237" s="7" t="str">
        <f>IFERROR(SUMIFS(TM[[#All],[Total Non-Claims Spending]],TM[[#All],[Reporting Year]],2023,TM[[#All],[Insurance Category Code]],8,TM[[#All],[Large Provider Entity Code]],A237)/I237,"NA")</f>
        <v>NA</v>
      </c>
      <c r="L237" s="7" t="str">
        <f>IFERROR(SUMIFS(TM[[#All],[Total Non-Truncated Claims and Non-Claims Spending]],TM[[#All],[Reporting Year]],2023,TM[[#All],[Insurance Category Code]],8,TM[[#All],[Large Provider Entity Code]],A237)/I237,"NA")</f>
        <v>NA</v>
      </c>
      <c r="M237" s="7" t="str">
        <f>IFERROR(SUMIFS(TM[[#All],[Total Truncated Claims Spending]],TM[[#All],[Reporting Year]],2023,TM[[#All],[Insurance Category Code]],8,TM[[#All],[Large Provider Entity Code]],A237)/I237,"NA")</f>
        <v>NA</v>
      </c>
      <c r="N237" s="96" t="str">
        <f>IFERROR(SUMIFS(TM[[#All],[Total Truncated Expenses]],TM[[#All],[Reporting Year]],2023,TM[[#All],[Insurance Category Code]],8,TM[[#All],[Large Provider Entity Code]],A237)/I237,"NA")</f>
        <v>NA</v>
      </c>
      <c r="O237" s="518">
        <f>ABS(C237-I237)</f>
        <v>0</v>
      </c>
      <c r="P237" s="243" t="str">
        <f t="shared" si="32"/>
        <v>NA</v>
      </c>
      <c r="Q237" s="97" t="str">
        <f>IFERROR((J237/D237-1),"NA")</f>
        <v>NA</v>
      </c>
      <c r="R237" s="97" t="str">
        <f t="shared" si="32"/>
        <v>NA</v>
      </c>
      <c r="S237" s="97" t="str">
        <f t="shared" si="32"/>
        <v>NA</v>
      </c>
      <c r="T237" s="97" t="str">
        <f t="shared" si="32"/>
        <v>NA</v>
      </c>
      <c r="U237" s="97" t="str">
        <f t="shared" si="32"/>
        <v>NA</v>
      </c>
    </row>
    <row r="238" spans="1:21" x14ac:dyDescent="0.25">
      <c r="A238" s="218">
        <v>120</v>
      </c>
      <c r="B238" s="566" t="s">
        <v>608</v>
      </c>
      <c r="C238" s="95">
        <f>SUMIFS(TM[[#All],[Member Months]],TM[[#All],[Reporting Year]],2022,TM[[#All],[Insurance Category Code]],8,TM[[#All],[Large Provider Entity Code]],A238)</f>
        <v>0</v>
      </c>
      <c r="D238" s="7" t="str">
        <f>IFERROR(SUMIFS(TM[[#All],[Total Non-Truncated Claims Spending]],TM[[#All],[Reporting Year]],2022,TM[[#All],[Insurance Category Code]],8,TM[[#All],[Large Provider Entity Code]],A238)/C238,"NA")</f>
        <v>NA</v>
      </c>
      <c r="E238" s="7" t="str">
        <f>IFERROR(SUMIFS(TM[[#All],[Total Non-Claims Spending]],TM[[#All],[Reporting Year]],2022,TM[[#All],[Insurance Category Code]],8,TM[[#All],[Large Provider Entity Code]],A238)/C238,"NA")</f>
        <v>NA</v>
      </c>
      <c r="F238" s="7" t="str">
        <f>IFERROR(SUMIFS(TM[[#All],[Total Non-Truncated Claims and Non-Claims Spending]],TM[[#All],[Reporting Year]],2022,TM[[#All],[Insurance Category Code]],8,TM[[#All],[Large Provider Entity Code]],A238)/C238,"NA")</f>
        <v>NA</v>
      </c>
      <c r="G238" s="7" t="str">
        <f>IFERROR(SUMIFS(TM[[#All],[Total Truncated Claims Spending]],TM[[#All],[Reporting Year]],2022,TM[[#All],[Insurance Category Code]],8,TM[[#All],[Large Provider Entity Code]],A238)/C238,"NA")</f>
        <v>NA</v>
      </c>
      <c r="H238" s="204" t="str">
        <f>IFERROR(SUMIFS(TM[[#All],[Total Truncated Expenses]],TM[[#All],[Reporting Year]],2022,TM[[#All],[Insurance Category Code]],8,TM[[#All],[Large Provider Entity Code]],A238)/C238,"NA")</f>
        <v>NA</v>
      </c>
      <c r="I238" s="95">
        <f>SUMIFS(TM[[#All],[Member Months]],TM[[#All],[Reporting Year]],2023,TM[[#All],[Insurance Category Code]],8,TM[[#All],[Large Provider Entity Code]],A238)</f>
        <v>0</v>
      </c>
      <c r="J238" s="7" t="str">
        <f>IFERROR(SUMIFS(TM[[#All],[Total Non-Truncated Claims Spending]],TM[[#All],[Reporting Year]],2023,TM[[#All],[Insurance Category Code]],8,TM[[#All],[Large Provider Entity Code]],A238)/I238,"NA")</f>
        <v>NA</v>
      </c>
      <c r="K238" s="7" t="str">
        <f>IFERROR(SUMIFS(TM[[#All],[Total Non-Claims Spending]],TM[[#All],[Reporting Year]],2023,TM[[#All],[Insurance Category Code]],8,TM[[#All],[Large Provider Entity Code]],A238)/I238,"NA")</f>
        <v>NA</v>
      </c>
      <c r="L238" s="7" t="str">
        <f>IFERROR(SUMIFS(TM[[#All],[Total Non-Truncated Claims and Non-Claims Spending]],TM[[#All],[Reporting Year]],2023,TM[[#All],[Insurance Category Code]],8,TM[[#All],[Large Provider Entity Code]],A238)/I238,"NA")</f>
        <v>NA</v>
      </c>
      <c r="M238" s="7" t="str">
        <f>IFERROR(SUMIFS(TM[[#All],[Total Truncated Claims Spending]],TM[[#All],[Reporting Year]],2023,TM[[#All],[Insurance Category Code]],8,TM[[#All],[Large Provider Entity Code]],A238)/I238,"NA")</f>
        <v>NA</v>
      </c>
      <c r="N238" s="96" t="str">
        <f>IFERROR(SUMIFS(TM[[#All],[Total Truncated Expenses]],TM[[#All],[Reporting Year]],2023,TM[[#All],[Insurance Category Code]],8,TM[[#All],[Large Provider Entity Code]],A238)/I238,"NA")</f>
        <v>NA</v>
      </c>
      <c r="O238" s="518">
        <f>ABS(C238-I238)</f>
        <v>0</v>
      </c>
      <c r="P238" s="243" t="str">
        <f t="shared" si="32"/>
        <v>NA</v>
      </c>
      <c r="Q238" s="97" t="str">
        <f>IFERROR((J238/D238-1),"NA")</f>
        <v>NA</v>
      </c>
      <c r="R238" s="97" t="str">
        <f t="shared" si="32"/>
        <v>NA</v>
      </c>
      <c r="S238" s="97" t="str">
        <f t="shared" si="32"/>
        <v>NA</v>
      </c>
      <c r="T238" s="97" t="str">
        <f t="shared" si="32"/>
        <v>NA</v>
      </c>
      <c r="U238" s="97" t="str">
        <f t="shared" si="32"/>
        <v>NA</v>
      </c>
    </row>
    <row r="239" spans="1:21" ht="30" x14ac:dyDescent="0.25">
      <c r="A239" s="218">
        <v>121</v>
      </c>
      <c r="B239" s="495" t="s">
        <v>616</v>
      </c>
      <c r="C239" s="95">
        <f>SUMIFS(TM[[#All],[Member Months]],TM[[#All],[Reporting Year]],2022,TM[[#All],[Insurance Category Code]],8,TM[[#All],[Large Provider Entity Code]],A239)</f>
        <v>0</v>
      </c>
      <c r="D239" s="7" t="str">
        <f>IFERROR(SUMIFS(TM[[#All],[Total Non-Truncated Claims Spending]],TM[[#All],[Reporting Year]],2022,TM[[#All],[Insurance Category Code]],8,TM[[#All],[Large Provider Entity Code]],A239)/C239,"NA")</f>
        <v>NA</v>
      </c>
      <c r="E239" s="7" t="str">
        <f>IFERROR(SUMIFS(TM[[#All],[Total Non-Claims Spending]],TM[[#All],[Reporting Year]],2022,TM[[#All],[Insurance Category Code]],8,TM[[#All],[Large Provider Entity Code]],A239)/C239,"NA")</f>
        <v>NA</v>
      </c>
      <c r="F239" s="7" t="str">
        <f>IFERROR(SUMIFS(TM[[#All],[Total Non-Truncated Claims and Non-Claims Spending]],TM[[#All],[Reporting Year]],2022,TM[[#All],[Insurance Category Code]],8,TM[[#All],[Large Provider Entity Code]],A239)/C239,"NA")</f>
        <v>NA</v>
      </c>
      <c r="G239" s="7" t="str">
        <f>IFERROR(SUMIFS(TM[[#All],[Total Truncated Claims Spending]],TM[[#All],[Reporting Year]],2022,TM[[#All],[Insurance Category Code]],8,TM[[#All],[Large Provider Entity Code]],A239)/C239,"NA")</f>
        <v>NA</v>
      </c>
      <c r="H239" s="204" t="str">
        <f>IFERROR(SUMIFS(TM[[#All],[Total Truncated Expenses]],TM[[#All],[Reporting Year]],2022,TM[[#All],[Insurance Category Code]],8,TM[[#All],[Large Provider Entity Code]],A239)/C239,"NA")</f>
        <v>NA</v>
      </c>
      <c r="I239" s="95">
        <f>SUMIFS(TM[[#All],[Member Months]],TM[[#All],[Reporting Year]],2023,TM[[#All],[Insurance Category Code]],8,TM[[#All],[Large Provider Entity Code]],A239)</f>
        <v>0</v>
      </c>
      <c r="J239" s="7" t="str">
        <f>IFERROR(SUMIFS(TM[[#All],[Total Non-Truncated Claims Spending]],TM[[#All],[Reporting Year]],2023,TM[[#All],[Insurance Category Code]],8,TM[[#All],[Large Provider Entity Code]],A239)/I239,"NA")</f>
        <v>NA</v>
      </c>
      <c r="K239" s="7" t="str">
        <f>IFERROR(SUMIFS(TM[[#All],[Total Non-Claims Spending]],TM[[#All],[Reporting Year]],2023,TM[[#All],[Insurance Category Code]],8,TM[[#All],[Large Provider Entity Code]],A239)/I239,"NA")</f>
        <v>NA</v>
      </c>
      <c r="L239" s="7" t="str">
        <f>IFERROR(SUMIFS(TM[[#All],[Total Non-Truncated Claims and Non-Claims Spending]],TM[[#All],[Reporting Year]],2023,TM[[#All],[Insurance Category Code]],8,TM[[#All],[Large Provider Entity Code]],A239)/I239,"NA")</f>
        <v>NA</v>
      </c>
      <c r="M239" s="7" t="str">
        <f>IFERROR(SUMIFS(TM[[#All],[Total Truncated Claims Spending]],TM[[#All],[Reporting Year]],2023,TM[[#All],[Insurance Category Code]],8,TM[[#All],[Large Provider Entity Code]],A239)/I239,"NA")</f>
        <v>NA</v>
      </c>
      <c r="N239" s="96" t="str">
        <f>IFERROR(SUMIFS(TM[[#All],[Total Truncated Expenses]],TM[[#All],[Reporting Year]],2023,TM[[#All],[Insurance Category Code]],8,TM[[#All],[Large Provider Entity Code]],A239)/I239,"NA")</f>
        <v>NA</v>
      </c>
      <c r="O239" s="518">
        <f>ABS(C239-I239)</f>
        <v>0</v>
      </c>
      <c r="P239" s="243" t="str">
        <f t="shared" si="32"/>
        <v>NA</v>
      </c>
      <c r="Q239" s="97" t="str">
        <f t="shared" si="32"/>
        <v>NA</v>
      </c>
      <c r="R239" s="97" t="str">
        <f t="shared" si="32"/>
        <v>NA</v>
      </c>
      <c r="S239" s="97" t="str">
        <f t="shared" si="32"/>
        <v>NA</v>
      </c>
      <c r="T239" s="97" t="str">
        <f t="shared" si="32"/>
        <v>NA</v>
      </c>
      <c r="U239" s="97" t="str">
        <f t="shared" si="32"/>
        <v>NA</v>
      </c>
    </row>
    <row r="240" spans="1:21" x14ac:dyDescent="0.25">
      <c r="A240" s="218">
        <v>122</v>
      </c>
      <c r="B240" s="566" t="s">
        <v>617</v>
      </c>
      <c r="C240" s="95">
        <f>SUMIFS(TM[[#All],[Member Months]],TM[[#All],[Reporting Year]],2022,TM[[#All],[Insurance Category Code]],8,TM[[#All],[Large Provider Entity Code]],A240)</f>
        <v>0</v>
      </c>
      <c r="D240" s="7" t="str">
        <f>IFERROR(SUMIFS(TM[[#All],[Total Non-Truncated Claims Spending]],TM[[#All],[Reporting Year]],2022,TM[[#All],[Insurance Category Code]],8,TM[[#All],[Large Provider Entity Code]],A240)/C240,"NA")</f>
        <v>NA</v>
      </c>
      <c r="E240" s="7" t="str">
        <f>IFERROR(SUMIFS(TM[[#All],[Total Non-Claims Spending]],TM[[#All],[Reporting Year]],2022,TM[[#All],[Insurance Category Code]],8,TM[[#All],[Large Provider Entity Code]],A240)/C240,"NA")</f>
        <v>NA</v>
      </c>
      <c r="F240" s="7" t="str">
        <f>IFERROR(SUMIFS(TM[[#All],[Total Non-Truncated Claims and Non-Claims Spending]],TM[[#All],[Reporting Year]],2022,TM[[#All],[Insurance Category Code]],8,TM[[#All],[Large Provider Entity Code]],A240)/C240,"NA")</f>
        <v>NA</v>
      </c>
      <c r="G240" s="7" t="str">
        <f>IFERROR(SUMIFS(TM[[#All],[Total Truncated Claims Spending]],TM[[#All],[Reporting Year]],2022,TM[[#All],[Insurance Category Code]],8,TM[[#All],[Large Provider Entity Code]],A240)/C240,"NA")</f>
        <v>NA</v>
      </c>
      <c r="H240" s="204" t="str">
        <f>IFERROR(SUMIFS(TM[[#All],[Total Truncated Expenses]],TM[[#All],[Reporting Year]],2022,TM[[#All],[Insurance Category Code]],8,TM[[#All],[Large Provider Entity Code]],A240)/C240,"NA")</f>
        <v>NA</v>
      </c>
      <c r="I240" s="95">
        <f>SUMIFS(TM[[#All],[Member Months]],TM[[#All],[Reporting Year]],2023,TM[[#All],[Insurance Category Code]],8,TM[[#All],[Large Provider Entity Code]],A240)</f>
        <v>0</v>
      </c>
      <c r="J240" s="7" t="str">
        <f>IFERROR(SUMIFS(TM[[#All],[Total Non-Truncated Claims Spending]],TM[[#All],[Reporting Year]],2023,TM[[#All],[Insurance Category Code]],8,TM[[#All],[Large Provider Entity Code]],A240)/I240,"NA")</f>
        <v>NA</v>
      </c>
      <c r="K240" s="7" t="str">
        <f>IFERROR(SUMIFS(TM[[#All],[Total Non-Claims Spending]],TM[[#All],[Reporting Year]],2023,TM[[#All],[Insurance Category Code]],8,TM[[#All],[Large Provider Entity Code]],A240)/I240,"NA")</f>
        <v>NA</v>
      </c>
      <c r="L240" s="7" t="str">
        <f>IFERROR(SUMIFS(TM[[#All],[Total Non-Truncated Claims and Non-Claims Spending]],TM[[#All],[Reporting Year]],2023,TM[[#All],[Insurance Category Code]],8,TM[[#All],[Large Provider Entity Code]],A240)/I240,"NA")</f>
        <v>NA</v>
      </c>
      <c r="M240" s="7" t="str">
        <f>IFERROR(SUMIFS(TM[[#All],[Total Truncated Claims Spending]],TM[[#All],[Reporting Year]],2023,TM[[#All],[Insurance Category Code]],8,TM[[#All],[Large Provider Entity Code]],A240)/I240,"NA")</f>
        <v>NA</v>
      </c>
      <c r="N240" s="96" t="str">
        <f>IFERROR(SUMIFS(TM[[#All],[Total Truncated Expenses]],TM[[#All],[Reporting Year]],2023,TM[[#All],[Insurance Category Code]],8,TM[[#All],[Large Provider Entity Code]],A240)/I240,"NA")</f>
        <v>NA</v>
      </c>
      <c r="O240" s="518">
        <f>ABS(C240-I240)</f>
        <v>0</v>
      </c>
      <c r="P240" s="243" t="str">
        <f t="shared" si="32"/>
        <v>NA</v>
      </c>
      <c r="Q240" s="97" t="str">
        <f t="shared" si="32"/>
        <v>NA</v>
      </c>
      <c r="R240" s="97" t="str">
        <f t="shared" si="32"/>
        <v>NA</v>
      </c>
      <c r="S240" s="97" t="str">
        <f t="shared" si="32"/>
        <v>NA</v>
      </c>
      <c r="T240" s="97" t="str">
        <f t="shared" si="32"/>
        <v>NA</v>
      </c>
      <c r="U240" s="97" t="str">
        <f t="shared" si="32"/>
        <v>NA</v>
      </c>
    </row>
    <row r="241" spans="1:21" x14ac:dyDescent="0.25">
      <c r="A241" s="218">
        <v>999</v>
      </c>
      <c r="B241" s="495" t="s">
        <v>81</v>
      </c>
      <c r="C241" s="163">
        <f>SUMIFS(TM[[#All],[Member Months]],TM[[#All],[Reporting Year]],2022,TM[[#All],[Insurance Category Code]],8,TM[[#All],[Large Provider Entity Code]],A241)</f>
        <v>0</v>
      </c>
      <c r="D241" s="7" t="str">
        <f>IFERROR(SUMIFS(TM[[#All],[Total Non-Truncated Claims Spending]],TM[[#All],[Reporting Year]],2022,TM[[#All],[Insurance Category Code]],8,TM[[#All],[Large Provider Entity Code]],A241)/C241,"NA")</f>
        <v>NA</v>
      </c>
      <c r="E241" s="7" t="str">
        <f>IFERROR(SUMIFS(TM[[#All],[Total Non-Claims Spending]],TM[[#All],[Reporting Year]],2022,TM[[#All],[Insurance Category Code]],8,TM[[#All],[Large Provider Entity Code]],A241)/C241,"NA")</f>
        <v>NA</v>
      </c>
      <c r="F241" s="7" t="str">
        <f>IFERROR(SUMIFS(TM[[#All],[Total Non-Truncated Claims and Non-Claims Spending]],TM[[#All],[Reporting Year]],2022,TM[[#All],[Insurance Category Code]],8,TM[[#All],[Large Provider Entity Code]],A241)/C241,"NA")</f>
        <v>NA</v>
      </c>
      <c r="G241" s="7" t="str">
        <f>IFERROR(SUMIFS(TM[[#All],[Total Truncated Claims Spending]],TM[[#All],[Reporting Year]],2022,TM[[#All],[Insurance Category Code]],8,TM[[#All],[Large Provider Entity Code]],A241)/C241,"NA")</f>
        <v>NA</v>
      </c>
      <c r="H241" s="204" t="str">
        <f>IFERROR(SUMIFS(TM[[#All],[Total Truncated Expenses]],TM[[#All],[Reporting Year]],2022,TM[[#All],[Insurance Category Code]],8,TM[[#All],[Large Provider Entity Code]],A241)/C241,"NA")</f>
        <v>NA</v>
      </c>
      <c r="I241" s="95">
        <f>SUMIFS(TM[[#All],[Member Months]],TM[[#All],[Reporting Year]],2023,TM[[#All],[Insurance Category Code]],8,TM[[#All],[Large Provider Entity Code]],A241)</f>
        <v>0</v>
      </c>
      <c r="J241" s="7" t="str">
        <f>IFERROR(SUMIFS(TM[[#All],[Total Non-Truncated Claims Spending]],TM[[#All],[Reporting Year]],2023,TM[[#All],[Insurance Category Code]],8,TM[[#All],[Large Provider Entity Code]],A241)/I241,"NA")</f>
        <v>NA</v>
      </c>
      <c r="K241" s="7" t="str">
        <f>IFERROR(SUMIFS(TM[[#All],[Total Non-Claims Spending]],TM[[#All],[Reporting Year]],2023,TM[[#All],[Insurance Category Code]],8,TM[[#All],[Large Provider Entity Code]],A241)/I241,"NA")</f>
        <v>NA</v>
      </c>
      <c r="L241" s="7" t="str">
        <f>IFERROR(SUMIFS(TM[[#All],[Total Non-Truncated Claims and Non-Claims Spending]],TM[[#All],[Reporting Year]],2023,TM[[#All],[Insurance Category Code]],8,TM[[#All],[Large Provider Entity Code]],A241)/I241,"NA")</f>
        <v>NA</v>
      </c>
      <c r="M241" s="7" t="str">
        <f>IFERROR(SUMIFS(TM[[#All],[Total Truncated Claims Spending]],TM[[#All],[Reporting Year]],2023,TM[[#All],[Insurance Category Code]],8,TM[[#All],[Large Provider Entity Code]],A241)/I241,"NA")</f>
        <v>NA</v>
      </c>
      <c r="N241" s="96" t="str">
        <f>IFERROR(SUMIFS(TM[[#All],[Total Truncated Expenses]],TM[[#All],[Reporting Year]],2023,TM[[#All],[Insurance Category Code]],8,TM[[#All],[Large Provider Entity Code]],A241)/I241,"NA")</f>
        <v>NA</v>
      </c>
      <c r="O241" s="518">
        <f>ABS(C241-I241)</f>
        <v>0</v>
      </c>
      <c r="P241" s="243" t="str">
        <f t="shared" si="32"/>
        <v>NA</v>
      </c>
      <c r="Q241" s="97" t="str">
        <f t="shared" si="32"/>
        <v>NA</v>
      </c>
      <c r="R241" s="97" t="str">
        <f t="shared" si="32"/>
        <v>NA</v>
      </c>
      <c r="S241" s="97" t="str">
        <f t="shared" si="32"/>
        <v>NA</v>
      </c>
      <c r="T241" s="97" t="str">
        <f t="shared" si="32"/>
        <v>NA</v>
      </c>
      <c r="U241" s="97" t="str">
        <f t="shared" si="32"/>
        <v>NA</v>
      </c>
    </row>
    <row r="242" spans="1:21" ht="30" customHeight="1" x14ac:dyDescent="0.25">
      <c r="A242" s="707" t="s">
        <v>567</v>
      </c>
      <c r="B242" s="708"/>
      <c r="C242" s="164">
        <f>SUM(C222:C241)</f>
        <v>0</v>
      </c>
      <c r="D242" s="131" t="str">
        <f>IFERROR((SUMPRODUCT(D222:D241,C222:C241)/C242),"NA")</f>
        <v>NA</v>
      </c>
      <c r="E242" s="131" t="str">
        <f>IFERROR((SUMPRODUCT(E222:E241,C222:C241)/C242),"NA")</f>
        <v>NA</v>
      </c>
      <c r="F242" s="131" t="str">
        <f>IFERROR((SUMPRODUCT(F222:F241,C222:C241)/C242),"NA")</f>
        <v>NA</v>
      </c>
      <c r="G242" s="131" t="str">
        <f>IFERROR((SUMPRODUCT(G222:G241,C222:C241)/C242),"NA")</f>
        <v>NA</v>
      </c>
      <c r="H242" s="131" t="str">
        <f>IFERROR((SUMPRODUCT(H222:H241,C222:C241)/C242),"NA")</f>
        <v>NA</v>
      </c>
      <c r="I242" s="165">
        <f>SUM(I222:I241)</f>
        <v>0</v>
      </c>
      <c r="J242" s="131" t="str">
        <f>IFERROR((SUMPRODUCT(J222:J241,I222:I241)/I242),"NA")</f>
        <v>NA</v>
      </c>
      <c r="K242" s="131" t="str">
        <f>IFERROR((SUMPRODUCT(K222:K241,I222:I241)/I242),"NA")</f>
        <v>NA</v>
      </c>
      <c r="L242" s="131" t="str">
        <f>IFERROR((SUMPRODUCT(L222:L241,I222:I241)/I242),"NA")</f>
        <v>NA</v>
      </c>
      <c r="M242" s="131" t="str">
        <f>IFERROR((SUMPRODUCT(M222:M241,I222:I241)/I242),"NA")</f>
        <v>NA</v>
      </c>
      <c r="N242" s="206" t="str">
        <f>IFERROR((SUMPRODUCT(N222:N241,I222:I241)/I242),"NA")</f>
        <v>NA</v>
      </c>
      <c r="O242" s="544" t="s">
        <v>500</v>
      </c>
      <c r="P242" s="435" t="s">
        <v>500</v>
      </c>
      <c r="Q242" s="433" t="s">
        <v>500</v>
      </c>
      <c r="R242" s="433" t="s">
        <v>500</v>
      </c>
      <c r="S242" s="433" t="s">
        <v>500</v>
      </c>
      <c r="T242" s="433" t="s">
        <v>500</v>
      </c>
      <c r="U242" s="433" t="s">
        <v>500</v>
      </c>
    </row>
    <row r="243" spans="1:21" x14ac:dyDescent="0.25">
      <c r="A243" s="709" t="s">
        <v>563</v>
      </c>
      <c r="B243" s="710"/>
      <c r="C243" s="164" t="s">
        <v>500</v>
      </c>
      <c r="D243" s="130" t="str">
        <f>IFERROR(((SUMPRODUCT(D221,$C$221))-ABS(SUMIFS(RX[[#All],[Total Medical and Retail Pharmacy Rebate Amount]],RX[[#All],[Reporting Year]],2022,RX[[#All],[Insurance Category Code]],8)))/$C$242,"NA")</f>
        <v>NA</v>
      </c>
      <c r="E243" s="130" t="str">
        <f>IFERROR(((SUMPRODUCT(E221,$C$221))-ABS(SUMIFS(RX[[#All],[Total Medical and Retail Pharmacy Rebate Amount]],RX[[#All],[Reporting Year]],2022,RX[[#All],[Insurance Category Code]],8)))/$C$242,"NA")</f>
        <v>NA</v>
      </c>
      <c r="F243" s="130" t="str">
        <f>IFERROR(((SUMPRODUCT(F221,$C$221))-ABS(SUMIFS(RX[[#All],[Total Medical and Retail Pharmacy Rebate Amount]],RX[[#All],[Reporting Year]],2022,RX[[#All],[Insurance Category Code]],8)))/$C$242,"NA")</f>
        <v>NA</v>
      </c>
      <c r="G243" s="130" t="str">
        <f>IFERROR(((SUMPRODUCT(G221,$C$221))-ABS(SUMIFS(RX[[#All],[Total Medical and Retail Pharmacy Rebate Amount]],RX[[#All],[Reporting Year]],2022,RX[[#All],[Insurance Category Code]],8)))/$C$242,"NA")</f>
        <v>NA</v>
      </c>
      <c r="H243" s="209" t="str">
        <f>IFERROR(((SUMPRODUCT(H221,$C$221))-ABS(SUMIFS(RX[[#All],[Total Medical and Retail Pharmacy Rebate Amount]],RX[[#All],[Reporting Year]],2022,RX[[#All],[Insurance Category Code]],8)))/$C$242,"NA")</f>
        <v>NA</v>
      </c>
      <c r="I243" s="165" t="s">
        <v>500</v>
      </c>
      <c r="J243" s="130" t="str">
        <f>IFERROR(((SUMPRODUCT(J221,$I$221))-ABS(SUMIFS(RX[[#All],[Total Medical and Retail Pharmacy Rebate Amount]],RX[[#All],[Reporting Year]],2023,RX[[#All],[Insurance Category Code]],8)))/$I$242,"NA")</f>
        <v>NA</v>
      </c>
      <c r="K243" s="130" t="str">
        <f>IFERROR(((SUMPRODUCT(K221,$I$221))-ABS(SUMIFS(RX[[#All],[Total Medical and Retail Pharmacy Rebate Amount]],RX[[#All],[Reporting Year]],2023,RX[[#All],[Insurance Category Code]],8)))/$I$242,"NA")</f>
        <v>NA</v>
      </c>
      <c r="L243" s="130" t="str">
        <f>IFERROR(((SUMPRODUCT(L221,$I$221))-ABS(SUMIFS(RX[[#All],[Total Medical and Retail Pharmacy Rebate Amount]],RX[[#All],[Reporting Year]],2023,RX[[#All],[Insurance Category Code]],8)))/$I$242,"NA")</f>
        <v>NA</v>
      </c>
      <c r="M243" s="130" t="str">
        <f>IFERROR(((SUMPRODUCT(M221,$I$221))-ABS(SUMIFS(RX[[#All],[Total Medical and Retail Pharmacy Rebate Amount]],RX[[#All],[Reporting Year]],2023,RX[[#All],[Insurance Category Code]],8)))/$I$242,"NA")</f>
        <v>NA</v>
      </c>
      <c r="N243" s="208" t="str">
        <f>IFERROR(((SUMPRODUCT(N221,$I$221))-ABS(SUMIFS(RX[[#All],[Total Medical and Retail Pharmacy Rebate Amount]],RX[[#All],[Reporting Year]],2023,RX[[#All],[Insurance Category Code]],8)))/$I$242,"NA")</f>
        <v>NA</v>
      </c>
      <c r="O243" s="544" t="s">
        <v>500</v>
      </c>
      <c r="P243" s="435" t="s">
        <v>500</v>
      </c>
      <c r="Q243" s="433" t="s">
        <v>500</v>
      </c>
      <c r="R243" s="433" t="s">
        <v>500</v>
      </c>
      <c r="S243" s="433" t="s">
        <v>500</v>
      </c>
      <c r="T243" s="433" t="s">
        <v>500</v>
      </c>
      <c r="U243" s="433" t="s">
        <v>500</v>
      </c>
    </row>
    <row r="244" spans="1:21" x14ac:dyDescent="0.25">
      <c r="A244" s="717" t="s">
        <v>564</v>
      </c>
      <c r="B244" s="718"/>
      <c r="C244" s="227">
        <f>ABS(C242-C221)</f>
        <v>0</v>
      </c>
      <c r="D244" s="227" t="e">
        <f>ABS(D242-D221)</f>
        <v>#VALUE!</v>
      </c>
      <c r="E244" s="227" t="e">
        <f>ABS(E242-E221)</f>
        <v>#VALUE!</v>
      </c>
      <c r="F244" s="227" t="e">
        <f>ABS(F242-F221)</f>
        <v>#VALUE!</v>
      </c>
      <c r="G244" s="227" t="s">
        <v>500</v>
      </c>
      <c r="H244" s="231" t="s">
        <v>500</v>
      </c>
      <c r="I244" s="221">
        <f>ABS(I242-I221)</f>
        <v>0</v>
      </c>
      <c r="J244" s="227" t="e">
        <f>ABS(J242-J221)</f>
        <v>#VALUE!</v>
      </c>
      <c r="K244" s="227" t="e">
        <f>ABS(K242-K221)</f>
        <v>#VALUE!</v>
      </c>
      <c r="L244" s="227" t="e">
        <f>ABS(L242-L221)</f>
        <v>#VALUE!</v>
      </c>
      <c r="M244" s="227" t="s">
        <v>500</v>
      </c>
      <c r="N244" s="231" t="s">
        <v>500</v>
      </c>
      <c r="O244" s="545" t="s">
        <v>500</v>
      </c>
      <c r="P244" s="546" t="s">
        <v>500</v>
      </c>
      <c r="Q244" s="548" t="s">
        <v>500</v>
      </c>
      <c r="R244" s="548" t="s">
        <v>500</v>
      </c>
      <c r="S244" s="548" t="s">
        <v>500</v>
      </c>
      <c r="T244" s="548" t="s">
        <v>500</v>
      </c>
      <c r="U244" s="548" t="s">
        <v>500</v>
      </c>
    </row>
    <row r="245" spans="1:21" x14ac:dyDescent="0.25">
      <c r="A245" s="715" t="s">
        <v>565</v>
      </c>
      <c r="B245" s="716"/>
      <c r="C245" s="261" t="str">
        <f>IF(((ABS(C221-C242))&lt;10),"Yes","No")</f>
        <v>Yes</v>
      </c>
      <c r="D245" s="181" t="e">
        <f>IF(((ABS(D221-D242))&lt;10),"Yes","No")</f>
        <v>#VALUE!</v>
      </c>
      <c r="E245" s="181" t="e">
        <f>IF(((ABS(E221-E242))&lt;10),"Yes","No")</f>
        <v>#VALUE!</v>
      </c>
      <c r="F245" s="181" t="e">
        <f>IF(((ABS(F221-F242))&lt;10),"Yes","No")</f>
        <v>#VALUE!</v>
      </c>
      <c r="G245" s="181" t="s">
        <v>500</v>
      </c>
      <c r="H245" s="233" t="s">
        <v>500</v>
      </c>
      <c r="I245" s="259" t="str">
        <f>IF(((ABS(I221-I242))&lt;10),"Yes","No")</f>
        <v>Yes</v>
      </c>
      <c r="J245" s="181" t="e">
        <f>IF(((ABS(J221-J242))&lt;10),"Yes","No")</f>
        <v>#VALUE!</v>
      </c>
      <c r="K245" s="181" t="e">
        <f>IF(((ABS(K221-K242))&lt;10),"Yes","No")</f>
        <v>#VALUE!</v>
      </c>
      <c r="L245" s="181" t="e">
        <f>IF(((ABS(L221-L242))&lt;10),"Yes","No")</f>
        <v>#VALUE!</v>
      </c>
      <c r="M245" s="181" t="s">
        <v>500</v>
      </c>
      <c r="N245" s="233" t="s">
        <v>500</v>
      </c>
      <c r="O245" s="545" t="s">
        <v>500</v>
      </c>
      <c r="P245" s="546" t="s">
        <v>500</v>
      </c>
      <c r="Q245" s="548" t="s">
        <v>500</v>
      </c>
      <c r="R245" s="548" t="s">
        <v>500</v>
      </c>
      <c r="S245" s="548" t="s">
        <v>500</v>
      </c>
      <c r="T245" s="548" t="s">
        <v>500</v>
      </c>
      <c r="U245" s="548" t="s">
        <v>500</v>
      </c>
    </row>
    <row r="246" spans="1:21" x14ac:dyDescent="0.25">
      <c r="A246"/>
      <c r="B246"/>
      <c r="C246" s="115"/>
      <c r="D246" s="116"/>
      <c r="E246" s="116"/>
      <c r="F246" s="116"/>
      <c r="G246" s="116"/>
      <c r="H246" s="116"/>
      <c r="I246" s="115"/>
      <c r="J246" s="116"/>
      <c r="K246" s="116"/>
      <c r="L246" s="116"/>
      <c r="M246" s="116"/>
      <c r="N246" s="116"/>
      <c r="O246" s="116"/>
      <c r="P246" s="117"/>
      <c r="Q246" s="117"/>
      <c r="R246" s="117"/>
      <c r="S246" s="117"/>
      <c r="T246" s="117"/>
      <c r="U246" s="117"/>
    </row>
    <row r="247" spans="1:21" x14ac:dyDescent="0.25">
      <c r="A247"/>
      <c r="B247"/>
      <c r="C247"/>
      <c r="D247"/>
      <c r="E247"/>
      <c r="F247"/>
      <c r="G247"/>
      <c r="H247"/>
      <c r="I247"/>
      <c r="J247"/>
      <c r="K247"/>
      <c r="L247"/>
      <c r="M247"/>
      <c r="N247"/>
      <c r="O247"/>
      <c r="P247"/>
      <c r="Q247"/>
      <c r="R247"/>
      <c r="S247"/>
      <c r="T247"/>
      <c r="U247"/>
    </row>
    <row r="248" spans="1:21" x14ac:dyDescent="0.25">
      <c r="A248" s="567" t="s">
        <v>574</v>
      </c>
      <c r="B248" s="568"/>
      <c r="C248"/>
      <c r="D248"/>
      <c r="E248"/>
      <c r="F248"/>
      <c r="G248"/>
      <c r="H248"/>
      <c r="I248"/>
      <c r="J248"/>
      <c r="K248"/>
      <c r="L248"/>
      <c r="M248"/>
      <c r="N248"/>
      <c r="O248"/>
      <c r="P248"/>
      <c r="Q248"/>
      <c r="R248"/>
      <c r="S248"/>
      <c r="T248"/>
      <c r="U248"/>
    </row>
    <row r="249" spans="1:21" x14ac:dyDescent="0.25">
      <c r="A249" s="711" t="s">
        <v>71</v>
      </c>
      <c r="B249" s="713" t="s">
        <v>547</v>
      </c>
      <c r="C249" s="697">
        <v>2022</v>
      </c>
      <c r="D249" s="698"/>
      <c r="E249" s="698"/>
      <c r="F249" s="698"/>
      <c r="G249" s="698"/>
      <c r="H249" s="699"/>
      <c r="I249" s="700">
        <v>2023</v>
      </c>
      <c r="J249" s="701"/>
      <c r="K249" s="701"/>
      <c r="L249" s="701"/>
      <c r="M249" s="701"/>
      <c r="N249" s="702"/>
      <c r="O249" s="570"/>
      <c r="P249" s="703" t="s">
        <v>618</v>
      </c>
      <c r="Q249" s="704"/>
      <c r="R249" s="704"/>
      <c r="S249" s="704"/>
      <c r="T249" s="704"/>
      <c r="U249" s="705"/>
    </row>
    <row r="250" spans="1:21" ht="45" x14ac:dyDescent="0.25">
      <c r="A250" s="712"/>
      <c r="B250" s="714"/>
      <c r="C250" s="91" t="s">
        <v>352</v>
      </c>
      <c r="D250" s="91" t="s">
        <v>550</v>
      </c>
      <c r="E250" s="91" t="s">
        <v>551</v>
      </c>
      <c r="F250" s="91" t="s">
        <v>552</v>
      </c>
      <c r="G250" s="91" t="s">
        <v>553</v>
      </c>
      <c r="H250" s="205" t="s">
        <v>554</v>
      </c>
      <c r="I250" s="87" t="s">
        <v>352</v>
      </c>
      <c r="J250" s="88" t="s">
        <v>550</v>
      </c>
      <c r="K250" s="88" t="s">
        <v>551</v>
      </c>
      <c r="L250" s="88" t="s">
        <v>552</v>
      </c>
      <c r="M250" s="88" t="s">
        <v>553</v>
      </c>
      <c r="N250" s="89" t="s">
        <v>554</v>
      </c>
      <c r="O250" s="513" t="s">
        <v>555</v>
      </c>
      <c r="P250" s="247" t="s">
        <v>181</v>
      </c>
      <c r="Q250" s="77" t="s">
        <v>557</v>
      </c>
      <c r="R250" s="77" t="s">
        <v>558</v>
      </c>
      <c r="S250" s="77" t="s">
        <v>559</v>
      </c>
      <c r="T250" s="77" t="s">
        <v>560</v>
      </c>
      <c r="U250" s="217" t="s">
        <v>561</v>
      </c>
    </row>
    <row r="251" spans="1:21" x14ac:dyDescent="0.25">
      <c r="A251" s="219">
        <v>100</v>
      </c>
      <c r="B251" s="495" t="s">
        <v>72</v>
      </c>
      <c r="C251" s="8">
        <f t="shared" ref="C251:C271" si="34">C281+C311</f>
        <v>0</v>
      </c>
      <c r="D251" s="7" t="str">
        <f t="shared" ref="D251:D271" si="35">IF(C251=0,"NA",(SUMPRODUCT(D281,C281)+SUMPRODUCT(D311,C311))/C251)</f>
        <v>NA</v>
      </c>
      <c r="E251" s="7" t="str">
        <f t="shared" ref="E251:E271" si="36">IF(C251=0,"NA",(SUMPRODUCT(E281,C281)+SUMPRODUCT(E311,C311))/C251)</f>
        <v>NA</v>
      </c>
      <c r="F251" s="7" t="str">
        <f t="shared" ref="F251:F271" si="37">IF(C251=0,"NA",(SUMPRODUCT(F281,C281)+SUMPRODUCT(F311,C311))/C251)</f>
        <v>NA</v>
      </c>
      <c r="G251" s="7" t="str">
        <f t="shared" ref="G251:G271" si="38">IF(C251=0,"NA",(SUMPRODUCT(G281,C281)+SUMPRODUCT(G311,C311))/C251)</f>
        <v>NA</v>
      </c>
      <c r="H251" s="204" t="str">
        <f t="shared" ref="H251:H271" si="39">IF(C251=0,"NA",(SUMPRODUCT(H281,C281)+SUMPRODUCT(H311,C311))/C251)</f>
        <v>NA</v>
      </c>
      <c r="I251" s="95">
        <f t="shared" ref="I251:I271" si="40">I281+I311</f>
        <v>0</v>
      </c>
      <c r="J251" s="7" t="str">
        <f t="shared" ref="J251:J271" si="41">IF(I251=0,"NA",(SUMPRODUCT(J281,I281)+SUMPRODUCT(J311,I311))/I251)</f>
        <v>NA</v>
      </c>
      <c r="K251" s="7" t="str">
        <f t="shared" ref="K251:K271" si="42">IF(I251=0,"NA",(SUMPRODUCT(K281,I281)+SUMPRODUCT(K311,I311))/I251)</f>
        <v>NA</v>
      </c>
      <c r="L251" s="7" t="str">
        <f t="shared" ref="L251:L271" si="43">IF(I251=0,"NA",(SUMPRODUCT(L281,I281)+SUMPRODUCT(L311,I311))/I251)</f>
        <v>NA</v>
      </c>
      <c r="M251" s="7" t="str">
        <f t="shared" ref="M251:M271" si="44">IF(I251=0,"NA",(SUMPRODUCT(M281,I281)+SUMPRODUCT(M311,I311))/I251)</f>
        <v>NA</v>
      </c>
      <c r="N251" s="96" t="str">
        <f t="shared" ref="N251:N271" si="45">IF(I251=0,"NA",(SUMPRODUCT(N281,I281)+SUMPRODUCT(N311,I311))/I251)</f>
        <v>NA</v>
      </c>
      <c r="O251" s="518">
        <f>ABS(C251-I251)</f>
        <v>0</v>
      </c>
      <c r="P251" s="243" t="str">
        <f t="shared" ref="P251:U271" si="46">IFERROR((I251/C251-1),"NA")</f>
        <v>NA</v>
      </c>
      <c r="Q251" s="97" t="str">
        <f t="shared" si="46"/>
        <v>NA</v>
      </c>
      <c r="R251" s="97" t="str">
        <f t="shared" si="46"/>
        <v>NA</v>
      </c>
      <c r="S251" s="97" t="str">
        <f t="shared" si="46"/>
        <v>NA</v>
      </c>
      <c r="T251" s="97" t="str">
        <f t="shared" si="46"/>
        <v>NA</v>
      </c>
      <c r="U251" s="97" t="str">
        <f t="shared" si="46"/>
        <v>NA</v>
      </c>
    </row>
    <row r="252" spans="1:21" x14ac:dyDescent="0.25">
      <c r="A252" s="218">
        <v>101</v>
      </c>
      <c r="B252" s="495" t="s">
        <v>609</v>
      </c>
      <c r="C252" s="8">
        <f t="shared" si="34"/>
        <v>0</v>
      </c>
      <c r="D252" s="7" t="str">
        <f t="shared" si="35"/>
        <v>NA</v>
      </c>
      <c r="E252" s="7" t="str">
        <f t="shared" si="36"/>
        <v>NA</v>
      </c>
      <c r="F252" s="7" t="str">
        <f t="shared" si="37"/>
        <v>NA</v>
      </c>
      <c r="G252" s="7" t="str">
        <f t="shared" si="38"/>
        <v>NA</v>
      </c>
      <c r="H252" s="204" t="str">
        <f t="shared" si="39"/>
        <v>NA</v>
      </c>
      <c r="I252" s="95">
        <f t="shared" si="40"/>
        <v>0</v>
      </c>
      <c r="J252" s="7" t="str">
        <f t="shared" si="41"/>
        <v>NA</v>
      </c>
      <c r="K252" s="7" t="str">
        <f t="shared" si="42"/>
        <v>NA</v>
      </c>
      <c r="L252" s="7" t="str">
        <f t="shared" si="43"/>
        <v>NA</v>
      </c>
      <c r="M252" s="7" t="str">
        <f t="shared" si="44"/>
        <v>NA</v>
      </c>
      <c r="N252" s="96" t="str">
        <f t="shared" si="45"/>
        <v>NA</v>
      </c>
      <c r="O252" s="518">
        <f t="shared" ref="O252:O271" si="47">ABS(C252-I252)</f>
        <v>0</v>
      </c>
      <c r="P252" s="243" t="str">
        <f t="shared" si="46"/>
        <v>NA</v>
      </c>
      <c r="Q252" s="97" t="str">
        <f t="shared" si="46"/>
        <v>NA</v>
      </c>
      <c r="R252" s="97" t="str">
        <f t="shared" si="46"/>
        <v>NA</v>
      </c>
      <c r="S252" s="97" t="str">
        <f t="shared" si="46"/>
        <v>NA</v>
      </c>
      <c r="T252" s="97" t="str">
        <f t="shared" si="46"/>
        <v>NA</v>
      </c>
      <c r="U252" s="97" t="str">
        <f t="shared" si="46"/>
        <v>NA</v>
      </c>
    </row>
    <row r="253" spans="1:21" x14ac:dyDescent="0.25">
      <c r="A253" s="218">
        <v>102</v>
      </c>
      <c r="B253" s="566" t="s">
        <v>610</v>
      </c>
      <c r="C253" s="8">
        <f t="shared" si="34"/>
        <v>0</v>
      </c>
      <c r="D253" s="7" t="str">
        <f t="shared" si="35"/>
        <v>NA</v>
      </c>
      <c r="E253" s="7" t="str">
        <f t="shared" si="36"/>
        <v>NA</v>
      </c>
      <c r="F253" s="7" t="str">
        <f t="shared" si="37"/>
        <v>NA</v>
      </c>
      <c r="G253" s="7" t="str">
        <f t="shared" si="38"/>
        <v>NA</v>
      </c>
      <c r="H253" s="204" t="str">
        <f t="shared" si="39"/>
        <v>NA</v>
      </c>
      <c r="I253" s="95">
        <f t="shared" si="40"/>
        <v>0</v>
      </c>
      <c r="J253" s="7" t="str">
        <f t="shared" si="41"/>
        <v>NA</v>
      </c>
      <c r="K253" s="7" t="str">
        <f t="shared" si="42"/>
        <v>NA</v>
      </c>
      <c r="L253" s="7" t="str">
        <f t="shared" si="43"/>
        <v>NA</v>
      </c>
      <c r="M253" s="7" t="str">
        <f t="shared" si="44"/>
        <v>NA</v>
      </c>
      <c r="N253" s="96" t="str">
        <f t="shared" si="45"/>
        <v>NA</v>
      </c>
      <c r="O253" s="518">
        <f t="shared" si="47"/>
        <v>0</v>
      </c>
      <c r="P253" s="243" t="str">
        <f t="shared" si="46"/>
        <v>NA</v>
      </c>
      <c r="Q253" s="97" t="str">
        <f t="shared" si="46"/>
        <v>NA</v>
      </c>
      <c r="R253" s="97" t="str">
        <f t="shared" si="46"/>
        <v>NA</v>
      </c>
      <c r="S253" s="97" t="str">
        <f t="shared" si="46"/>
        <v>NA</v>
      </c>
      <c r="T253" s="97" t="str">
        <f t="shared" si="46"/>
        <v>NA</v>
      </c>
      <c r="U253" s="97" t="str">
        <f t="shared" si="46"/>
        <v>NA</v>
      </c>
    </row>
    <row r="254" spans="1:21" ht="30" x14ac:dyDescent="0.25">
      <c r="A254" s="218">
        <v>103</v>
      </c>
      <c r="B254" s="495" t="s">
        <v>73</v>
      </c>
      <c r="C254" s="8">
        <f t="shared" si="34"/>
        <v>0</v>
      </c>
      <c r="D254" s="7" t="str">
        <f t="shared" si="35"/>
        <v>NA</v>
      </c>
      <c r="E254" s="7" t="str">
        <f t="shared" si="36"/>
        <v>NA</v>
      </c>
      <c r="F254" s="7" t="str">
        <f t="shared" si="37"/>
        <v>NA</v>
      </c>
      <c r="G254" s="7" t="str">
        <f t="shared" si="38"/>
        <v>NA</v>
      </c>
      <c r="H254" s="204" t="str">
        <f t="shared" si="39"/>
        <v>NA</v>
      </c>
      <c r="I254" s="95">
        <f t="shared" si="40"/>
        <v>0</v>
      </c>
      <c r="J254" s="7" t="str">
        <f t="shared" si="41"/>
        <v>NA</v>
      </c>
      <c r="K254" s="7" t="str">
        <f t="shared" si="42"/>
        <v>NA</v>
      </c>
      <c r="L254" s="7" t="str">
        <f t="shared" si="43"/>
        <v>NA</v>
      </c>
      <c r="M254" s="7" t="str">
        <f t="shared" si="44"/>
        <v>NA</v>
      </c>
      <c r="N254" s="96" t="str">
        <f t="shared" si="45"/>
        <v>NA</v>
      </c>
      <c r="O254" s="518">
        <f t="shared" si="47"/>
        <v>0</v>
      </c>
      <c r="P254" s="243" t="str">
        <f t="shared" si="46"/>
        <v>NA</v>
      </c>
      <c r="Q254" s="97" t="str">
        <f t="shared" si="46"/>
        <v>NA</v>
      </c>
      <c r="R254" s="97" t="str">
        <f t="shared" si="46"/>
        <v>NA</v>
      </c>
      <c r="S254" s="97" t="str">
        <f t="shared" si="46"/>
        <v>NA</v>
      </c>
      <c r="T254" s="97" t="str">
        <f t="shared" si="46"/>
        <v>NA</v>
      </c>
      <c r="U254" s="97" t="str">
        <f t="shared" si="46"/>
        <v>NA</v>
      </c>
    </row>
    <row r="255" spans="1:21" x14ac:dyDescent="0.25">
      <c r="A255" s="218">
        <v>104</v>
      </c>
      <c r="B255" s="495" t="s">
        <v>611</v>
      </c>
      <c r="C255" s="8">
        <f t="shared" si="34"/>
        <v>0</v>
      </c>
      <c r="D255" s="7" t="str">
        <f t="shared" si="35"/>
        <v>NA</v>
      </c>
      <c r="E255" s="7" t="str">
        <f t="shared" si="36"/>
        <v>NA</v>
      </c>
      <c r="F255" s="7" t="str">
        <f t="shared" si="37"/>
        <v>NA</v>
      </c>
      <c r="G255" s="7" t="str">
        <f t="shared" si="38"/>
        <v>NA</v>
      </c>
      <c r="H255" s="204" t="str">
        <f t="shared" si="39"/>
        <v>NA</v>
      </c>
      <c r="I255" s="95">
        <f t="shared" si="40"/>
        <v>0</v>
      </c>
      <c r="J255" s="7" t="str">
        <f t="shared" si="41"/>
        <v>NA</v>
      </c>
      <c r="K255" s="7" t="str">
        <f t="shared" si="42"/>
        <v>NA</v>
      </c>
      <c r="L255" s="7" t="str">
        <f t="shared" si="43"/>
        <v>NA</v>
      </c>
      <c r="M255" s="7" t="str">
        <f t="shared" si="44"/>
        <v>NA</v>
      </c>
      <c r="N255" s="96" t="str">
        <f t="shared" si="45"/>
        <v>NA</v>
      </c>
      <c r="O255" s="518">
        <f t="shared" si="47"/>
        <v>0</v>
      </c>
      <c r="P255" s="243" t="str">
        <f t="shared" si="46"/>
        <v>NA</v>
      </c>
      <c r="Q255" s="97" t="str">
        <f t="shared" si="46"/>
        <v>NA</v>
      </c>
      <c r="R255" s="97" t="str">
        <f t="shared" si="46"/>
        <v>NA</v>
      </c>
      <c r="S255" s="97" t="str">
        <f t="shared" si="46"/>
        <v>NA</v>
      </c>
      <c r="T255" s="97" t="str">
        <f t="shared" si="46"/>
        <v>NA</v>
      </c>
      <c r="U255" s="97" t="str">
        <f t="shared" si="46"/>
        <v>NA</v>
      </c>
    </row>
    <row r="256" spans="1:21" x14ac:dyDescent="0.25">
      <c r="A256" s="218">
        <v>105</v>
      </c>
      <c r="B256" s="566" t="s">
        <v>607</v>
      </c>
      <c r="C256" s="8">
        <f t="shared" si="34"/>
        <v>0</v>
      </c>
      <c r="D256" s="7" t="str">
        <f t="shared" si="35"/>
        <v>NA</v>
      </c>
      <c r="E256" s="7" t="str">
        <f t="shared" si="36"/>
        <v>NA</v>
      </c>
      <c r="F256" s="7" t="str">
        <f t="shared" si="37"/>
        <v>NA</v>
      </c>
      <c r="G256" s="7" t="str">
        <f t="shared" si="38"/>
        <v>NA</v>
      </c>
      <c r="H256" s="204" t="str">
        <f t="shared" si="39"/>
        <v>NA</v>
      </c>
      <c r="I256" s="95">
        <f t="shared" si="40"/>
        <v>0</v>
      </c>
      <c r="J256" s="7" t="str">
        <f t="shared" si="41"/>
        <v>NA</v>
      </c>
      <c r="K256" s="7" t="str">
        <f t="shared" si="42"/>
        <v>NA</v>
      </c>
      <c r="L256" s="7" t="str">
        <f t="shared" si="43"/>
        <v>NA</v>
      </c>
      <c r="M256" s="7" t="str">
        <f t="shared" si="44"/>
        <v>NA</v>
      </c>
      <c r="N256" s="96" t="str">
        <f t="shared" si="45"/>
        <v>NA</v>
      </c>
      <c r="O256" s="518">
        <f t="shared" si="47"/>
        <v>0</v>
      </c>
      <c r="P256" s="243" t="str">
        <f t="shared" si="46"/>
        <v>NA</v>
      </c>
      <c r="Q256" s="97" t="str">
        <f t="shared" si="46"/>
        <v>NA</v>
      </c>
      <c r="R256" s="97" t="str">
        <f t="shared" si="46"/>
        <v>NA</v>
      </c>
      <c r="S256" s="97" t="str">
        <f t="shared" si="46"/>
        <v>NA</v>
      </c>
      <c r="T256" s="97" t="str">
        <f t="shared" si="46"/>
        <v>NA</v>
      </c>
      <c r="U256" s="97" t="str">
        <f t="shared" si="46"/>
        <v>NA</v>
      </c>
    </row>
    <row r="257" spans="1:21" x14ac:dyDescent="0.25">
      <c r="A257" s="218">
        <v>106</v>
      </c>
      <c r="B257" s="495" t="s">
        <v>74</v>
      </c>
      <c r="C257" s="8">
        <f t="shared" si="34"/>
        <v>0</v>
      </c>
      <c r="D257" s="7" t="str">
        <f t="shared" si="35"/>
        <v>NA</v>
      </c>
      <c r="E257" s="7" t="str">
        <f t="shared" si="36"/>
        <v>NA</v>
      </c>
      <c r="F257" s="7" t="str">
        <f t="shared" si="37"/>
        <v>NA</v>
      </c>
      <c r="G257" s="7" t="str">
        <f t="shared" si="38"/>
        <v>NA</v>
      </c>
      <c r="H257" s="204" t="str">
        <f t="shared" si="39"/>
        <v>NA</v>
      </c>
      <c r="I257" s="95">
        <f t="shared" si="40"/>
        <v>0</v>
      </c>
      <c r="J257" s="7" t="str">
        <f t="shared" si="41"/>
        <v>NA</v>
      </c>
      <c r="K257" s="7" t="str">
        <f t="shared" si="42"/>
        <v>NA</v>
      </c>
      <c r="L257" s="7" t="str">
        <f t="shared" si="43"/>
        <v>NA</v>
      </c>
      <c r="M257" s="7" t="str">
        <f t="shared" si="44"/>
        <v>NA</v>
      </c>
      <c r="N257" s="96" t="str">
        <f t="shared" si="45"/>
        <v>NA</v>
      </c>
      <c r="O257" s="518">
        <f t="shared" si="47"/>
        <v>0</v>
      </c>
      <c r="P257" s="243" t="str">
        <f t="shared" si="46"/>
        <v>NA</v>
      </c>
      <c r="Q257" s="97" t="str">
        <f t="shared" si="46"/>
        <v>NA</v>
      </c>
      <c r="R257" s="97" t="str">
        <f t="shared" si="46"/>
        <v>NA</v>
      </c>
      <c r="S257" s="97" t="str">
        <f t="shared" si="46"/>
        <v>NA</v>
      </c>
      <c r="T257" s="97" t="str">
        <f t="shared" si="46"/>
        <v>NA</v>
      </c>
      <c r="U257" s="97" t="str">
        <f t="shared" si="46"/>
        <v>NA</v>
      </c>
    </row>
    <row r="258" spans="1:21" ht="30" x14ac:dyDescent="0.25">
      <c r="A258" s="218">
        <v>107</v>
      </c>
      <c r="B258" s="495" t="s">
        <v>75</v>
      </c>
      <c r="C258" s="8">
        <f t="shared" si="34"/>
        <v>0</v>
      </c>
      <c r="D258" s="7" t="str">
        <f t="shared" si="35"/>
        <v>NA</v>
      </c>
      <c r="E258" s="7" t="str">
        <f t="shared" si="36"/>
        <v>NA</v>
      </c>
      <c r="F258" s="7" t="str">
        <f t="shared" si="37"/>
        <v>NA</v>
      </c>
      <c r="G258" s="7" t="str">
        <f t="shared" si="38"/>
        <v>NA</v>
      </c>
      <c r="H258" s="204" t="str">
        <f t="shared" si="39"/>
        <v>NA</v>
      </c>
      <c r="I258" s="95">
        <f t="shared" si="40"/>
        <v>0</v>
      </c>
      <c r="J258" s="7" t="str">
        <f t="shared" si="41"/>
        <v>NA</v>
      </c>
      <c r="K258" s="7" t="str">
        <f t="shared" si="42"/>
        <v>NA</v>
      </c>
      <c r="L258" s="7" t="str">
        <f t="shared" si="43"/>
        <v>NA</v>
      </c>
      <c r="M258" s="7" t="str">
        <f t="shared" si="44"/>
        <v>NA</v>
      </c>
      <c r="N258" s="96" t="str">
        <f t="shared" si="45"/>
        <v>NA</v>
      </c>
      <c r="O258" s="518">
        <f t="shared" si="47"/>
        <v>0</v>
      </c>
      <c r="P258" s="243" t="str">
        <f t="shared" si="46"/>
        <v>NA</v>
      </c>
      <c r="Q258" s="97" t="str">
        <f t="shared" si="46"/>
        <v>NA</v>
      </c>
      <c r="R258" s="97" t="str">
        <f t="shared" si="46"/>
        <v>NA</v>
      </c>
      <c r="S258" s="97" t="str">
        <f t="shared" si="46"/>
        <v>NA</v>
      </c>
      <c r="T258" s="97" t="str">
        <f t="shared" si="46"/>
        <v>NA</v>
      </c>
      <c r="U258" s="97" t="str">
        <f t="shared" si="46"/>
        <v>NA</v>
      </c>
    </row>
    <row r="259" spans="1:21" x14ac:dyDescent="0.25">
      <c r="A259" s="218">
        <v>108</v>
      </c>
      <c r="B259" s="495" t="s">
        <v>612</v>
      </c>
      <c r="C259" s="8">
        <f t="shared" si="34"/>
        <v>0</v>
      </c>
      <c r="D259" s="7" t="str">
        <f t="shared" si="35"/>
        <v>NA</v>
      </c>
      <c r="E259" s="7" t="str">
        <f t="shared" si="36"/>
        <v>NA</v>
      </c>
      <c r="F259" s="7" t="str">
        <f t="shared" si="37"/>
        <v>NA</v>
      </c>
      <c r="G259" s="7" t="str">
        <f t="shared" si="38"/>
        <v>NA</v>
      </c>
      <c r="H259" s="204" t="str">
        <f t="shared" si="39"/>
        <v>NA</v>
      </c>
      <c r="I259" s="95">
        <f t="shared" si="40"/>
        <v>0</v>
      </c>
      <c r="J259" s="7" t="str">
        <f t="shared" si="41"/>
        <v>NA</v>
      </c>
      <c r="K259" s="7" t="str">
        <f t="shared" si="42"/>
        <v>NA</v>
      </c>
      <c r="L259" s="7" t="str">
        <f t="shared" si="43"/>
        <v>NA</v>
      </c>
      <c r="M259" s="7" t="str">
        <f t="shared" si="44"/>
        <v>NA</v>
      </c>
      <c r="N259" s="96" t="str">
        <f t="shared" si="45"/>
        <v>NA</v>
      </c>
      <c r="O259" s="518">
        <f t="shared" si="47"/>
        <v>0</v>
      </c>
      <c r="P259" s="243" t="str">
        <f t="shared" si="46"/>
        <v>NA</v>
      </c>
      <c r="Q259" s="97" t="str">
        <f t="shared" si="46"/>
        <v>NA</v>
      </c>
      <c r="R259" s="97" t="str">
        <f t="shared" si="46"/>
        <v>NA</v>
      </c>
      <c r="S259" s="97" t="str">
        <f t="shared" si="46"/>
        <v>NA</v>
      </c>
      <c r="T259" s="97" t="str">
        <f t="shared" si="46"/>
        <v>NA</v>
      </c>
      <c r="U259" s="97" t="str">
        <f t="shared" si="46"/>
        <v>NA</v>
      </c>
    </row>
    <row r="260" spans="1:21" x14ac:dyDescent="0.25">
      <c r="A260" s="218">
        <v>109</v>
      </c>
      <c r="B260" s="571" t="s">
        <v>76</v>
      </c>
      <c r="C260" s="8">
        <f t="shared" si="34"/>
        <v>0</v>
      </c>
      <c r="D260" s="7" t="str">
        <f t="shared" si="35"/>
        <v>NA</v>
      </c>
      <c r="E260" s="7" t="str">
        <f t="shared" si="36"/>
        <v>NA</v>
      </c>
      <c r="F260" s="7" t="str">
        <f t="shared" si="37"/>
        <v>NA</v>
      </c>
      <c r="G260" s="7" t="str">
        <f t="shared" si="38"/>
        <v>NA</v>
      </c>
      <c r="H260" s="204" t="str">
        <f t="shared" si="39"/>
        <v>NA</v>
      </c>
      <c r="I260" s="95">
        <f t="shared" si="40"/>
        <v>0</v>
      </c>
      <c r="J260" s="7" t="str">
        <f t="shared" si="41"/>
        <v>NA</v>
      </c>
      <c r="K260" s="7" t="str">
        <f t="shared" si="42"/>
        <v>NA</v>
      </c>
      <c r="L260" s="7" t="str">
        <f t="shared" si="43"/>
        <v>NA</v>
      </c>
      <c r="M260" s="7" t="str">
        <f t="shared" si="44"/>
        <v>NA</v>
      </c>
      <c r="N260" s="96" t="str">
        <f t="shared" si="45"/>
        <v>NA</v>
      </c>
      <c r="O260" s="518">
        <f t="shared" si="47"/>
        <v>0</v>
      </c>
      <c r="P260" s="243" t="str">
        <f t="shared" si="46"/>
        <v>NA</v>
      </c>
      <c r="Q260" s="97" t="str">
        <f t="shared" si="46"/>
        <v>NA</v>
      </c>
      <c r="R260" s="97" t="str">
        <f t="shared" si="46"/>
        <v>NA</v>
      </c>
      <c r="S260" s="97" t="str">
        <f t="shared" si="46"/>
        <v>NA</v>
      </c>
      <c r="T260" s="97" t="str">
        <f t="shared" si="46"/>
        <v>NA</v>
      </c>
      <c r="U260" s="97" t="str">
        <f t="shared" si="46"/>
        <v>NA</v>
      </c>
    </row>
    <row r="261" spans="1:21" x14ac:dyDescent="0.25">
      <c r="A261" s="218">
        <v>110</v>
      </c>
      <c r="B261" s="495" t="s">
        <v>77</v>
      </c>
      <c r="C261" s="8">
        <f t="shared" si="34"/>
        <v>0</v>
      </c>
      <c r="D261" s="7" t="str">
        <f t="shared" si="35"/>
        <v>NA</v>
      </c>
      <c r="E261" s="7" t="str">
        <f t="shared" si="36"/>
        <v>NA</v>
      </c>
      <c r="F261" s="7" t="str">
        <f t="shared" si="37"/>
        <v>NA</v>
      </c>
      <c r="G261" s="7" t="str">
        <f t="shared" si="38"/>
        <v>NA</v>
      </c>
      <c r="H261" s="204" t="str">
        <f t="shared" si="39"/>
        <v>NA</v>
      </c>
      <c r="I261" s="95">
        <f t="shared" si="40"/>
        <v>0</v>
      </c>
      <c r="J261" s="7" t="str">
        <f t="shared" si="41"/>
        <v>NA</v>
      </c>
      <c r="K261" s="7" t="str">
        <f t="shared" si="42"/>
        <v>NA</v>
      </c>
      <c r="L261" s="7" t="str">
        <f t="shared" si="43"/>
        <v>NA</v>
      </c>
      <c r="M261" s="7" t="str">
        <f t="shared" si="44"/>
        <v>NA</v>
      </c>
      <c r="N261" s="96" t="str">
        <f t="shared" si="45"/>
        <v>NA</v>
      </c>
      <c r="O261" s="518">
        <f t="shared" si="47"/>
        <v>0</v>
      </c>
      <c r="P261" s="243" t="str">
        <f t="shared" si="46"/>
        <v>NA</v>
      </c>
      <c r="Q261" s="97" t="str">
        <f t="shared" si="46"/>
        <v>NA</v>
      </c>
      <c r="R261" s="97" t="str">
        <f t="shared" si="46"/>
        <v>NA</v>
      </c>
      <c r="S261" s="97" t="str">
        <f t="shared" si="46"/>
        <v>NA</v>
      </c>
      <c r="T261" s="97" t="str">
        <f t="shared" si="46"/>
        <v>NA</v>
      </c>
      <c r="U261" s="97" t="str">
        <f t="shared" si="46"/>
        <v>NA</v>
      </c>
    </row>
    <row r="262" spans="1:21" x14ac:dyDescent="0.25">
      <c r="A262" s="218">
        <v>111</v>
      </c>
      <c r="B262" s="566" t="s">
        <v>78</v>
      </c>
      <c r="C262" s="8">
        <f t="shared" si="34"/>
        <v>0</v>
      </c>
      <c r="D262" s="7" t="str">
        <f t="shared" si="35"/>
        <v>NA</v>
      </c>
      <c r="E262" s="7" t="str">
        <f t="shared" si="36"/>
        <v>NA</v>
      </c>
      <c r="F262" s="7" t="str">
        <f t="shared" si="37"/>
        <v>NA</v>
      </c>
      <c r="G262" s="7" t="str">
        <f t="shared" si="38"/>
        <v>NA</v>
      </c>
      <c r="H262" s="204" t="str">
        <f t="shared" si="39"/>
        <v>NA</v>
      </c>
      <c r="I262" s="95">
        <f t="shared" si="40"/>
        <v>0</v>
      </c>
      <c r="J262" s="7" t="str">
        <f t="shared" si="41"/>
        <v>NA</v>
      </c>
      <c r="K262" s="7" t="str">
        <f t="shared" si="42"/>
        <v>NA</v>
      </c>
      <c r="L262" s="7" t="str">
        <f t="shared" si="43"/>
        <v>NA</v>
      </c>
      <c r="M262" s="7" t="str">
        <f t="shared" si="44"/>
        <v>NA</v>
      </c>
      <c r="N262" s="96" t="str">
        <f t="shared" si="45"/>
        <v>NA</v>
      </c>
      <c r="O262" s="518">
        <f t="shared" si="47"/>
        <v>0</v>
      </c>
      <c r="P262" s="243" t="str">
        <f t="shared" si="46"/>
        <v>NA</v>
      </c>
      <c r="Q262" s="97" t="str">
        <f t="shared" si="46"/>
        <v>NA</v>
      </c>
      <c r="R262" s="97" t="str">
        <f t="shared" si="46"/>
        <v>NA</v>
      </c>
      <c r="S262" s="97" t="str">
        <f t="shared" si="46"/>
        <v>NA</v>
      </c>
      <c r="T262" s="97" t="str">
        <f t="shared" si="46"/>
        <v>NA</v>
      </c>
      <c r="U262" s="97" t="str">
        <f t="shared" si="46"/>
        <v>NA</v>
      </c>
    </row>
    <row r="263" spans="1:21" x14ac:dyDescent="0.25">
      <c r="A263" s="218">
        <v>112</v>
      </c>
      <c r="B263" s="566" t="s">
        <v>613</v>
      </c>
      <c r="C263" s="8">
        <f t="shared" si="34"/>
        <v>0</v>
      </c>
      <c r="D263" s="7" t="str">
        <f t="shared" si="35"/>
        <v>NA</v>
      </c>
      <c r="E263" s="7" t="str">
        <f t="shared" si="36"/>
        <v>NA</v>
      </c>
      <c r="F263" s="7" t="str">
        <f t="shared" si="37"/>
        <v>NA</v>
      </c>
      <c r="G263" s="7" t="str">
        <f t="shared" si="38"/>
        <v>NA</v>
      </c>
      <c r="H263" s="204" t="str">
        <f t="shared" si="39"/>
        <v>NA</v>
      </c>
      <c r="I263" s="95">
        <f t="shared" si="40"/>
        <v>0</v>
      </c>
      <c r="J263" s="7" t="str">
        <f t="shared" si="41"/>
        <v>NA</v>
      </c>
      <c r="K263" s="7" t="str">
        <f t="shared" si="42"/>
        <v>NA</v>
      </c>
      <c r="L263" s="7" t="str">
        <f t="shared" si="43"/>
        <v>NA</v>
      </c>
      <c r="M263" s="7" t="str">
        <f t="shared" si="44"/>
        <v>NA</v>
      </c>
      <c r="N263" s="96" t="str">
        <f t="shared" si="45"/>
        <v>NA</v>
      </c>
      <c r="O263" s="518">
        <f t="shared" si="47"/>
        <v>0</v>
      </c>
      <c r="P263" s="243" t="str">
        <f t="shared" si="46"/>
        <v>NA</v>
      </c>
      <c r="Q263" s="97" t="str">
        <f t="shared" si="46"/>
        <v>NA</v>
      </c>
      <c r="R263" s="97" t="str">
        <f t="shared" si="46"/>
        <v>NA</v>
      </c>
      <c r="S263" s="97" t="str">
        <f t="shared" si="46"/>
        <v>NA</v>
      </c>
      <c r="T263" s="97" t="str">
        <f t="shared" si="46"/>
        <v>NA</v>
      </c>
      <c r="U263" s="97" t="str">
        <f t="shared" si="46"/>
        <v>NA</v>
      </c>
    </row>
    <row r="264" spans="1:21" x14ac:dyDescent="0.25">
      <c r="A264" s="218">
        <v>115</v>
      </c>
      <c r="B264" s="566" t="s">
        <v>79</v>
      </c>
      <c r="C264" s="8">
        <f t="shared" si="34"/>
        <v>0</v>
      </c>
      <c r="D264" s="7" t="str">
        <f t="shared" si="35"/>
        <v>NA</v>
      </c>
      <c r="E264" s="7" t="str">
        <f t="shared" si="36"/>
        <v>NA</v>
      </c>
      <c r="F264" s="7" t="str">
        <f t="shared" si="37"/>
        <v>NA</v>
      </c>
      <c r="G264" s="7" t="str">
        <f t="shared" si="38"/>
        <v>NA</v>
      </c>
      <c r="H264" s="204" t="str">
        <f t="shared" si="39"/>
        <v>NA</v>
      </c>
      <c r="I264" s="95">
        <f t="shared" si="40"/>
        <v>0</v>
      </c>
      <c r="J264" s="7" t="str">
        <f t="shared" si="41"/>
        <v>NA</v>
      </c>
      <c r="K264" s="7" t="str">
        <f t="shared" si="42"/>
        <v>NA</v>
      </c>
      <c r="L264" s="7" t="str">
        <f t="shared" si="43"/>
        <v>NA</v>
      </c>
      <c r="M264" s="7" t="str">
        <f t="shared" si="44"/>
        <v>NA</v>
      </c>
      <c r="N264" s="96" t="str">
        <f t="shared" si="45"/>
        <v>NA</v>
      </c>
      <c r="O264" s="518">
        <f t="shared" si="47"/>
        <v>0</v>
      </c>
      <c r="P264" s="243" t="str">
        <f t="shared" si="46"/>
        <v>NA</v>
      </c>
      <c r="Q264" s="97" t="str">
        <f t="shared" si="46"/>
        <v>NA</v>
      </c>
      <c r="R264" s="97" t="str">
        <f t="shared" si="46"/>
        <v>NA</v>
      </c>
      <c r="S264" s="97" t="str">
        <f t="shared" si="46"/>
        <v>NA</v>
      </c>
      <c r="T264" s="97" t="str">
        <f t="shared" si="46"/>
        <v>NA</v>
      </c>
      <c r="U264" s="97" t="str">
        <f t="shared" si="46"/>
        <v>NA</v>
      </c>
    </row>
    <row r="265" spans="1:21" x14ac:dyDescent="0.25">
      <c r="A265" s="218">
        <v>116</v>
      </c>
      <c r="B265" s="566" t="s">
        <v>614</v>
      </c>
      <c r="C265" s="8">
        <f t="shared" si="34"/>
        <v>0</v>
      </c>
      <c r="D265" s="7" t="str">
        <f t="shared" si="35"/>
        <v>NA</v>
      </c>
      <c r="E265" s="7" t="str">
        <f t="shared" si="36"/>
        <v>NA</v>
      </c>
      <c r="F265" s="7" t="str">
        <f t="shared" si="37"/>
        <v>NA</v>
      </c>
      <c r="G265" s="7" t="str">
        <f t="shared" si="38"/>
        <v>NA</v>
      </c>
      <c r="H265" s="204" t="str">
        <f t="shared" si="39"/>
        <v>NA</v>
      </c>
      <c r="I265" s="95">
        <f t="shared" si="40"/>
        <v>0</v>
      </c>
      <c r="J265" s="7" t="str">
        <f t="shared" si="41"/>
        <v>NA</v>
      </c>
      <c r="K265" s="7" t="str">
        <f t="shared" si="42"/>
        <v>NA</v>
      </c>
      <c r="L265" s="7" t="str">
        <f t="shared" si="43"/>
        <v>NA</v>
      </c>
      <c r="M265" s="7" t="str">
        <f t="shared" si="44"/>
        <v>NA</v>
      </c>
      <c r="N265" s="96" t="str">
        <f t="shared" si="45"/>
        <v>NA</v>
      </c>
      <c r="O265" s="518">
        <f t="shared" si="47"/>
        <v>0</v>
      </c>
      <c r="P265" s="243" t="str">
        <f t="shared" si="46"/>
        <v>NA</v>
      </c>
      <c r="Q265" s="97" t="str">
        <f t="shared" si="46"/>
        <v>NA</v>
      </c>
      <c r="R265" s="97" t="str">
        <f t="shared" si="46"/>
        <v>NA</v>
      </c>
      <c r="S265" s="97" t="str">
        <f t="shared" si="46"/>
        <v>NA</v>
      </c>
      <c r="T265" s="97" t="str">
        <f t="shared" si="46"/>
        <v>NA</v>
      </c>
      <c r="U265" s="97" t="str">
        <f t="shared" si="46"/>
        <v>NA</v>
      </c>
    </row>
    <row r="266" spans="1:21" x14ac:dyDescent="0.25">
      <c r="A266" s="218">
        <v>118</v>
      </c>
      <c r="B266" s="566" t="s">
        <v>80</v>
      </c>
      <c r="C266" s="8">
        <f t="shared" si="34"/>
        <v>0</v>
      </c>
      <c r="D266" s="7" t="str">
        <f t="shared" si="35"/>
        <v>NA</v>
      </c>
      <c r="E266" s="7" t="str">
        <f t="shared" si="36"/>
        <v>NA</v>
      </c>
      <c r="F266" s="7" t="str">
        <f t="shared" si="37"/>
        <v>NA</v>
      </c>
      <c r="G266" s="7" t="str">
        <f t="shared" si="38"/>
        <v>NA</v>
      </c>
      <c r="H266" s="204" t="str">
        <f t="shared" si="39"/>
        <v>NA</v>
      </c>
      <c r="I266" s="95">
        <f t="shared" si="40"/>
        <v>0</v>
      </c>
      <c r="J266" s="7" t="str">
        <f t="shared" si="41"/>
        <v>NA</v>
      </c>
      <c r="K266" s="7" t="str">
        <f t="shared" si="42"/>
        <v>NA</v>
      </c>
      <c r="L266" s="7" t="str">
        <f t="shared" si="43"/>
        <v>NA</v>
      </c>
      <c r="M266" s="7" t="str">
        <f t="shared" si="44"/>
        <v>NA</v>
      </c>
      <c r="N266" s="96" t="str">
        <f t="shared" si="45"/>
        <v>NA</v>
      </c>
      <c r="O266" s="518">
        <f t="shared" si="47"/>
        <v>0</v>
      </c>
      <c r="P266" s="243" t="str">
        <f t="shared" si="46"/>
        <v>NA</v>
      </c>
      <c r="Q266" s="97" t="str">
        <f t="shared" si="46"/>
        <v>NA</v>
      </c>
      <c r="R266" s="97" t="str">
        <f t="shared" si="46"/>
        <v>NA</v>
      </c>
      <c r="S266" s="97" t="str">
        <f t="shared" si="46"/>
        <v>NA</v>
      </c>
      <c r="T266" s="97" t="str">
        <f t="shared" si="46"/>
        <v>NA</v>
      </c>
      <c r="U266" s="97" t="str">
        <f t="shared" si="46"/>
        <v>NA</v>
      </c>
    </row>
    <row r="267" spans="1:21" x14ac:dyDescent="0.25">
      <c r="A267" s="218">
        <v>119</v>
      </c>
      <c r="B267" s="566" t="s">
        <v>615</v>
      </c>
      <c r="C267" s="163">
        <f t="shared" si="34"/>
        <v>0</v>
      </c>
      <c r="D267" s="7" t="str">
        <f t="shared" si="35"/>
        <v>NA</v>
      </c>
      <c r="E267" s="7" t="str">
        <f t="shared" si="36"/>
        <v>NA</v>
      </c>
      <c r="F267" s="7" t="str">
        <f t="shared" si="37"/>
        <v>NA</v>
      </c>
      <c r="G267" s="7" t="str">
        <f t="shared" si="38"/>
        <v>NA</v>
      </c>
      <c r="H267" s="204" t="str">
        <f t="shared" si="39"/>
        <v>NA</v>
      </c>
      <c r="I267" s="95">
        <f t="shared" si="40"/>
        <v>0</v>
      </c>
      <c r="J267" s="7" t="str">
        <f t="shared" si="41"/>
        <v>NA</v>
      </c>
      <c r="K267" s="7" t="str">
        <f t="shared" si="42"/>
        <v>NA</v>
      </c>
      <c r="L267" s="7" t="str">
        <f t="shared" si="43"/>
        <v>NA</v>
      </c>
      <c r="M267" s="7" t="str">
        <f t="shared" si="44"/>
        <v>NA</v>
      </c>
      <c r="N267" s="96" t="str">
        <f t="shared" si="45"/>
        <v>NA</v>
      </c>
      <c r="O267" s="518">
        <f t="shared" si="47"/>
        <v>0</v>
      </c>
      <c r="P267" s="243" t="str">
        <f t="shared" si="46"/>
        <v>NA</v>
      </c>
      <c r="Q267" s="97" t="str">
        <f t="shared" si="46"/>
        <v>NA</v>
      </c>
      <c r="R267" s="97" t="str">
        <f t="shared" si="46"/>
        <v>NA</v>
      </c>
      <c r="S267" s="97" t="str">
        <f t="shared" si="46"/>
        <v>NA</v>
      </c>
      <c r="T267" s="97" t="str">
        <f t="shared" si="46"/>
        <v>NA</v>
      </c>
      <c r="U267" s="97" t="str">
        <f t="shared" si="46"/>
        <v>NA</v>
      </c>
    </row>
    <row r="268" spans="1:21" x14ac:dyDescent="0.25">
      <c r="A268" s="218">
        <v>120</v>
      </c>
      <c r="B268" s="566" t="s">
        <v>608</v>
      </c>
      <c r="C268" s="163">
        <f t="shared" si="34"/>
        <v>0</v>
      </c>
      <c r="D268" s="7" t="str">
        <f t="shared" si="35"/>
        <v>NA</v>
      </c>
      <c r="E268" s="7" t="str">
        <f t="shared" si="36"/>
        <v>NA</v>
      </c>
      <c r="F268" s="7" t="str">
        <f t="shared" si="37"/>
        <v>NA</v>
      </c>
      <c r="G268" s="7" t="str">
        <f t="shared" si="38"/>
        <v>NA</v>
      </c>
      <c r="H268" s="204" t="str">
        <f t="shared" si="39"/>
        <v>NA</v>
      </c>
      <c r="I268" s="95">
        <f t="shared" si="40"/>
        <v>0</v>
      </c>
      <c r="J268" s="7" t="str">
        <f t="shared" si="41"/>
        <v>NA</v>
      </c>
      <c r="K268" s="7" t="str">
        <f t="shared" si="42"/>
        <v>NA</v>
      </c>
      <c r="L268" s="7" t="str">
        <f t="shared" si="43"/>
        <v>NA</v>
      </c>
      <c r="M268" s="7" t="str">
        <f t="shared" si="44"/>
        <v>NA</v>
      </c>
      <c r="N268" s="96" t="str">
        <f t="shared" si="45"/>
        <v>NA</v>
      </c>
      <c r="O268" s="518">
        <f t="shared" si="47"/>
        <v>0</v>
      </c>
      <c r="P268" s="243" t="str">
        <f t="shared" si="46"/>
        <v>NA</v>
      </c>
      <c r="Q268" s="97" t="str">
        <f t="shared" si="46"/>
        <v>NA</v>
      </c>
      <c r="R268" s="97" t="str">
        <f t="shared" si="46"/>
        <v>NA</v>
      </c>
      <c r="S268" s="97" t="str">
        <f t="shared" si="46"/>
        <v>NA</v>
      </c>
      <c r="T268" s="97" t="str">
        <f t="shared" si="46"/>
        <v>NA</v>
      </c>
      <c r="U268" s="97" t="str">
        <f t="shared" si="46"/>
        <v>NA</v>
      </c>
    </row>
    <row r="269" spans="1:21" ht="30" x14ac:dyDescent="0.25">
      <c r="A269" s="218">
        <v>121</v>
      </c>
      <c r="B269" s="495" t="s">
        <v>616</v>
      </c>
      <c r="C269" s="163">
        <f t="shared" si="34"/>
        <v>0</v>
      </c>
      <c r="D269" s="7" t="str">
        <f t="shared" si="35"/>
        <v>NA</v>
      </c>
      <c r="E269" s="7" t="str">
        <f t="shared" si="36"/>
        <v>NA</v>
      </c>
      <c r="F269" s="7" t="str">
        <f t="shared" si="37"/>
        <v>NA</v>
      </c>
      <c r="G269" s="7" t="str">
        <f t="shared" si="38"/>
        <v>NA</v>
      </c>
      <c r="H269" s="204" t="str">
        <f t="shared" si="39"/>
        <v>NA</v>
      </c>
      <c r="I269" s="95">
        <f t="shared" si="40"/>
        <v>0</v>
      </c>
      <c r="J269" s="7" t="str">
        <f t="shared" si="41"/>
        <v>NA</v>
      </c>
      <c r="K269" s="7" t="str">
        <f t="shared" si="42"/>
        <v>NA</v>
      </c>
      <c r="L269" s="7" t="str">
        <f t="shared" si="43"/>
        <v>NA</v>
      </c>
      <c r="M269" s="7" t="str">
        <f t="shared" si="44"/>
        <v>NA</v>
      </c>
      <c r="N269" s="96" t="str">
        <f t="shared" si="45"/>
        <v>NA</v>
      </c>
      <c r="O269" s="518">
        <f t="shared" si="47"/>
        <v>0</v>
      </c>
      <c r="P269" s="243" t="str">
        <f t="shared" si="46"/>
        <v>NA</v>
      </c>
      <c r="Q269" s="97" t="str">
        <f t="shared" si="46"/>
        <v>NA</v>
      </c>
      <c r="R269" s="97" t="str">
        <f t="shared" si="46"/>
        <v>NA</v>
      </c>
      <c r="S269" s="97" t="str">
        <f t="shared" si="46"/>
        <v>NA</v>
      </c>
      <c r="T269" s="97" t="str">
        <f t="shared" si="46"/>
        <v>NA</v>
      </c>
      <c r="U269" s="97" t="str">
        <f t="shared" si="46"/>
        <v>NA</v>
      </c>
    </row>
    <row r="270" spans="1:21" x14ac:dyDescent="0.25">
      <c r="A270" s="218">
        <v>122</v>
      </c>
      <c r="B270" s="566" t="s">
        <v>617</v>
      </c>
      <c r="C270" s="163">
        <f t="shared" si="34"/>
        <v>0</v>
      </c>
      <c r="D270" s="7" t="str">
        <f t="shared" si="35"/>
        <v>NA</v>
      </c>
      <c r="E270" s="7" t="str">
        <f t="shared" si="36"/>
        <v>NA</v>
      </c>
      <c r="F270" s="7" t="str">
        <f t="shared" si="37"/>
        <v>NA</v>
      </c>
      <c r="G270" s="7" t="str">
        <f t="shared" si="38"/>
        <v>NA</v>
      </c>
      <c r="H270" s="204" t="str">
        <f t="shared" si="39"/>
        <v>NA</v>
      </c>
      <c r="I270" s="95">
        <f t="shared" si="40"/>
        <v>0</v>
      </c>
      <c r="J270" s="7" t="str">
        <f t="shared" si="41"/>
        <v>NA</v>
      </c>
      <c r="K270" s="7" t="str">
        <f t="shared" si="42"/>
        <v>NA</v>
      </c>
      <c r="L270" s="7" t="str">
        <f t="shared" si="43"/>
        <v>NA</v>
      </c>
      <c r="M270" s="7" t="str">
        <f t="shared" si="44"/>
        <v>NA</v>
      </c>
      <c r="N270" s="96" t="str">
        <f t="shared" si="45"/>
        <v>NA</v>
      </c>
      <c r="O270" s="518">
        <f t="shared" si="47"/>
        <v>0</v>
      </c>
      <c r="P270" s="243" t="str">
        <f t="shared" si="46"/>
        <v>NA</v>
      </c>
      <c r="Q270" s="97" t="str">
        <f t="shared" si="46"/>
        <v>NA</v>
      </c>
      <c r="R270" s="97" t="str">
        <f t="shared" si="46"/>
        <v>NA</v>
      </c>
      <c r="S270" s="97" t="str">
        <f t="shared" si="46"/>
        <v>NA</v>
      </c>
      <c r="T270" s="97" t="str">
        <f t="shared" si="46"/>
        <v>NA</v>
      </c>
      <c r="U270" s="97" t="str">
        <f t="shared" si="46"/>
        <v>NA</v>
      </c>
    </row>
    <row r="271" spans="1:21" x14ac:dyDescent="0.25">
      <c r="A271" s="218">
        <v>999</v>
      </c>
      <c r="B271" s="495" t="s">
        <v>81</v>
      </c>
      <c r="C271" s="163">
        <f t="shared" si="34"/>
        <v>0</v>
      </c>
      <c r="D271" s="7" t="str">
        <f t="shared" si="35"/>
        <v>NA</v>
      </c>
      <c r="E271" s="7" t="str">
        <f t="shared" si="36"/>
        <v>NA</v>
      </c>
      <c r="F271" s="7" t="str">
        <f t="shared" si="37"/>
        <v>NA</v>
      </c>
      <c r="G271" s="7" t="str">
        <f t="shared" si="38"/>
        <v>NA</v>
      </c>
      <c r="H271" s="204" t="str">
        <f t="shared" si="39"/>
        <v>NA</v>
      </c>
      <c r="I271" s="95">
        <f t="shared" si="40"/>
        <v>0</v>
      </c>
      <c r="J271" s="7" t="str">
        <f t="shared" si="41"/>
        <v>NA</v>
      </c>
      <c r="K271" s="7" t="str">
        <f t="shared" si="42"/>
        <v>NA</v>
      </c>
      <c r="L271" s="7" t="str">
        <f t="shared" si="43"/>
        <v>NA</v>
      </c>
      <c r="M271" s="7" t="str">
        <f t="shared" si="44"/>
        <v>NA</v>
      </c>
      <c r="N271" s="263" t="str">
        <f t="shared" si="45"/>
        <v>NA</v>
      </c>
      <c r="O271" s="518">
        <f t="shared" si="47"/>
        <v>0</v>
      </c>
      <c r="P271" s="243" t="str">
        <f t="shared" si="46"/>
        <v>NA</v>
      </c>
      <c r="Q271" s="97" t="str">
        <f t="shared" si="46"/>
        <v>NA</v>
      </c>
      <c r="R271" s="97" t="str">
        <f t="shared" si="46"/>
        <v>NA</v>
      </c>
      <c r="S271" s="97" t="str">
        <f t="shared" si="46"/>
        <v>NA</v>
      </c>
      <c r="T271" s="97" t="str">
        <f t="shared" si="46"/>
        <v>NA</v>
      </c>
      <c r="U271" s="97" t="str">
        <f t="shared" si="46"/>
        <v>NA</v>
      </c>
    </row>
    <row r="272" spans="1:21" ht="30" customHeight="1" x14ac:dyDescent="0.25">
      <c r="A272" s="707" t="s">
        <v>567</v>
      </c>
      <c r="B272" s="708"/>
      <c r="C272" s="164">
        <f>SUM(C252:C271)</f>
        <v>0</v>
      </c>
      <c r="D272" s="131" t="str">
        <f>IFERROR((SUMPRODUCT(D252:D271,C252:C271)/C272),"NA")</f>
        <v>NA</v>
      </c>
      <c r="E272" s="131" t="str">
        <f>IFERROR((SUMPRODUCT(E252:E271,C252:C271)/C272),"NA")</f>
        <v>NA</v>
      </c>
      <c r="F272" s="131" t="str">
        <f>IFERROR((SUMPRODUCT(F252:F271,C252:C271)/C272),"NA")</f>
        <v>NA</v>
      </c>
      <c r="G272" s="131" t="str">
        <f>IFERROR((SUMPRODUCT(G252:G271,C252:C271)/C272),"NA")</f>
        <v>NA</v>
      </c>
      <c r="H272" s="131" t="str">
        <f>IFERROR((SUMPRODUCT(H252:H271,C252:C271)/C272),"NA")</f>
        <v>NA</v>
      </c>
      <c r="I272" s="165">
        <f>SUM(I252:I271)</f>
        <v>0</v>
      </c>
      <c r="J272" s="131" t="str">
        <f>IFERROR((SUMPRODUCT(J252:J271,I252:I271)/I272),"NA")</f>
        <v>NA</v>
      </c>
      <c r="K272" s="131" t="str">
        <f>IFERROR((SUMPRODUCT(K252:K271,I252:I271)/I272),"NA")</f>
        <v>NA</v>
      </c>
      <c r="L272" s="131" t="str">
        <f>IFERROR((SUMPRODUCT(L252:L271,I252:I271)/I272),"NA")</f>
        <v>NA</v>
      </c>
      <c r="M272" s="251" t="str">
        <f>IFERROR((SUMPRODUCT(M252:M271,I252:I271)/I272),"NA")</f>
        <v>NA</v>
      </c>
      <c r="N272" s="206" t="str">
        <f>IFERROR((SUMPRODUCT(N252:N271,I252:I271)/I272),"NA")</f>
        <v>NA</v>
      </c>
      <c r="O272" s="544" t="s">
        <v>500</v>
      </c>
      <c r="P272" s="435" t="s">
        <v>500</v>
      </c>
      <c r="Q272" s="433" t="s">
        <v>500</v>
      </c>
      <c r="R272" s="433" t="s">
        <v>500</v>
      </c>
      <c r="S272" s="433" t="s">
        <v>500</v>
      </c>
      <c r="T272" s="433" t="s">
        <v>500</v>
      </c>
      <c r="U272" s="433" t="s">
        <v>500</v>
      </c>
    </row>
    <row r="273" spans="1:21" x14ac:dyDescent="0.25">
      <c r="A273" s="709" t="s">
        <v>563</v>
      </c>
      <c r="B273" s="710"/>
      <c r="C273" s="164" t="s">
        <v>500</v>
      </c>
      <c r="D273" s="130" t="str">
        <f>IF($C$272=0,"NA",(SUMPRODUCT(D303,$C$302)+SUMPRODUCT(D333,$C$332))/$C$272)</f>
        <v>NA</v>
      </c>
      <c r="E273" s="130" t="str">
        <f>IF($C$272=0,"NA",(SUMPRODUCT(E303,$C$302)+SUMPRODUCT(E333,$C$332))/$C$272)</f>
        <v>NA</v>
      </c>
      <c r="F273" s="130" t="str">
        <f>IF($C$272=0,"NA",(SUMPRODUCT(F303,$C$302)+SUMPRODUCT(F333,$C$332))/$C$272)</f>
        <v>NA</v>
      </c>
      <c r="G273" s="130" t="str">
        <f>IF($C$272=0,"NA",(SUMPRODUCT(G303,$C$302)+SUMPRODUCT(G333,$C$332))/$C$272)</f>
        <v>NA</v>
      </c>
      <c r="H273" s="130" t="str">
        <f>IF($C$272=0,"NA",(SUMPRODUCT(H303,$C$302)+SUMPRODUCT(H333,$C$332))/$C$272)</f>
        <v>NA</v>
      </c>
      <c r="I273" s="165" t="s">
        <v>500</v>
      </c>
      <c r="J273" s="130" t="str">
        <f>IF($I$272=0,"NA",(SUMPRODUCT(J303,$I$302)+SUMPRODUCT(J333,$I$332))/$I$272)</f>
        <v>NA</v>
      </c>
      <c r="K273" s="130" t="str">
        <f>IF($I$272=0,"NA",(SUMPRODUCT(K303,$I$302)+SUMPRODUCT(K333,$I$332))/$I$272)</f>
        <v>NA</v>
      </c>
      <c r="L273" s="130" t="str">
        <f>IF($I$272=0,"NA",(SUMPRODUCT(L303,$I$302)+SUMPRODUCT(L333,$I$332))/$I$272)</f>
        <v>NA</v>
      </c>
      <c r="M273" s="130" t="str">
        <f>IF($I$272=0,"NA",(SUMPRODUCT(M303,$I$302)+SUMPRODUCT(M333,$I$332))/$I$272)</f>
        <v>NA</v>
      </c>
      <c r="N273" s="264" t="str">
        <f>IF($I$272=0,"NA",(SUMPRODUCT(N303,$I$302)+SUMPRODUCT(N333,$I$332))/$I$272)</f>
        <v>NA</v>
      </c>
      <c r="O273" s="544" t="s">
        <v>500</v>
      </c>
      <c r="P273" s="435" t="s">
        <v>500</v>
      </c>
      <c r="Q273" s="433" t="s">
        <v>500</v>
      </c>
      <c r="R273" s="433" t="s">
        <v>500</v>
      </c>
      <c r="S273" s="433" t="s">
        <v>500</v>
      </c>
      <c r="T273" s="433" t="s">
        <v>500</v>
      </c>
      <c r="U273" s="433" t="s">
        <v>500</v>
      </c>
    </row>
    <row r="274" spans="1:21" x14ac:dyDescent="0.25">
      <c r="A274" s="717" t="s">
        <v>564</v>
      </c>
      <c r="B274" s="718"/>
      <c r="C274" s="180">
        <f>ABS(C272-C251)</f>
        <v>0</v>
      </c>
      <c r="D274" s="181" t="e">
        <f>ABS(D272-D251)</f>
        <v>#VALUE!</v>
      </c>
      <c r="E274" s="181" t="e">
        <f>ABS(E272-E251)</f>
        <v>#VALUE!</v>
      </c>
      <c r="F274" s="181" t="e">
        <f>ABS(F272-F251)</f>
        <v>#VALUE!</v>
      </c>
      <c r="G274" s="181" t="s">
        <v>500</v>
      </c>
      <c r="H274" s="233" t="s">
        <v>500</v>
      </c>
      <c r="I274" s="182">
        <f>ABS(I272-I251)</f>
        <v>0</v>
      </c>
      <c r="J274" s="181" t="e">
        <f>ABS(J272-J251)</f>
        <v>#VALUE!</v>
      </c>
      <c r="K274" s="181" t="e">
        <f>ABS(K272-K251)</f>
        <v>#VALUE!</v>
      </c>
      <c r="L274" s="181" t="e">
        <f>ABS(L272-L251)</f>
        <v>#VALUE!</v>
      </c>
      <c r="M274" s="181" t="s">
        <v>500</v>
      </c>
      <c r="N274" s="233" t="s">
        <v>500</v>
      </c>
      <c r="O274" s="545" t="s">
        <v>500</v>
      </c>
      <c r="P274" s="546" t="s">
        <v>500</v>
      </c>
      <c r="Q274" s="548" t="s">
        <v>500</v>
      </c>
      <c r="R274" s="548" t="s">
        <v>500</v>
      </c>
      <c r="S274" s="548" t="s">
        <v>500</v>
      </c>
      <c r="T274" s="548" t="s">
        <v>500</v>
      </c>
      <c r="U274" s="548" t="s">
        <v>500</v>
      </c>
    </row>
    <row r="275" spans="1:21" x14ac:dyDescent="0.25">
      <c r="A275" s="715" t="s">
        <v>565</v>
      </c>
      <c r="B275" s="716"/>
      <c r="C275" s="262" t="str">
        <f>IF(((ABS(C251-C272))&lt;10),"Yes","No")</f>
        <v>Yes</v>
      </c>
      <c r="D275" s="181" t="e">
        <f>IF(((ABS(D251-D272))&lt;10),"Yes","No")</f>
        <v>#VALUE!</v>
      </c>
      <c r="E275" s="181" t="e">
        <f>IF(((ABS(E251-E272))&lt;10),"Yes","No")</f>
        <v>#VALUE!</v>
      </c>
      <c r="F275" s="181" t="e">
        <f>IF(((ABS(F251-F272))&lt;10),"Yes","No")</f>
        <v>#VALUE!</v>
      </c>
      <c r="G275" s="181" t="s">
        <v>500</v>
      </c>
      <c r="H275" s="233" t="s">
        <v>500</v>
      </c>
      <c r="I275" s="259" t="str">
        <f>IF(((ABS(I251-I272))&lt;10),"Yes","No")</f>
        <v>Yes</v>
      </c>
      <c r="J275" s="181" t="e">
        <f>IF(((ABS(J251-J272))&lt;10),"Yes","No")</f>
        <v>#VALUE!</v>
      </c>
      <c r="K275" s="181" t="e">
        <f>IF(((ABS(K251-K272))&lt;10),"Yes","No")</f>
        <v>#VALUE!</v>
      </c>
      <c r="L275" s="181" t="e">
        <f>IF(((ABS(L251-L272))&lt;10),"Yes","No")</f>
        <v>#VALUE!</v>
      </c>
      <c r="M275" s="181" t="s">
        <v>500</v>
      </c>
      <c r="N275" s="233" t="s">
        <v>500</v>
      </c>
      <c r="O275" s="545" t="s">
        <v>500</v>
      </c>
      <c r="P275" s="546" t="s">
        <v>500</v>
      </c>
      <c r="Q275" s="548" t="s">
        <v>500</v>
      </c>
      <c r="R275" s="548" t="s">
        <v>500</v>
      </c>
      <c r="S275" s="548" t="s">
        <v>500</v>
      </c>
      <c r="T275" s="548" t="s">
        <v>500</v>
      </c>
      <c r="U275" s="548" t="s">
        <v>500</v>
      </c>
    </row>
    <row r="276" spans="1:21" x14ac:dyDescent="0.25">
      <c r="A276"/>
      <c r="B276"/>
      <c r="C276"/>
      <c r="D276"/>
      <c r="E276"/>
      <c r="F276"/>
      <c r="G276"/>
      <c r="H276"/>
      <c r="I276"/>
      <c r="J276"/>
      <c r="K276"/>
      <c r="L276"/>
      <c r="M276"/>
      <c r="N276"/>
      <c r="O276"/>
      <c r="P276"/>
      <c r="Q276"/>
      <c r="R276"/>
      <c r="S276"/>
      <c r="T276"/>
      <c r="U276"/>
    </row>
    <row r="277" spans="1:21" x14ac:dyDescent="0.25">
      <c r="A277"/>
      <c r="B277"/>
      <c r="C277"/>
      <c r="D277"/>
      <c r="E277"/>
      <c r="F277"/>
      <c r="G277"/>
      <c r="H277"/>
      <c r="I277"/>
      <c r="J277"/>
      <c r="K277"/>
      <c r="L277"/>
      <c r="M277"/>
      <c r="N277"/>
      <c r="O277"/>
      <c r="P277"/>
      <c r="Q277"/>
      <c r="R277"/>
      <c r="S277"/>
      <c r="T277"/>
      <c r="U277"/>
    </row>
    <row r="278" spans="1:21" x14ac:dyDescent="0.25">
      <c r="A278" s="3" t="s">
        <v>575</v>
      </c>
      <c r="B278"/>
      <c r="C278"/>
      <c r="D278"/>
      <c r="E278"/>
      <c r="F278"/>
      <c r="G278"/>
      <c r="H278"/>
      <c r="I278"/>
      <c r="J278"/>
      <c r="K278"/>
      <c r="L278"/>
      <c r="M278"/>
      <c r="N278"/>
      <c r="O278"/>
      <c r="P278"/>
      <c r="Q278"/>
      <c r="R278"/>
      <c r="S278"/>
      <c r="T278"/>
      <c r="U278"/>
    </row>
    <row r="279" spans="1:21" x14ac:dyDescent="0.25">
      <c r="A279" s="711" t="s">
        <v>71</v>
      </c>
      <c r="B279" s="713" t="s">
        <v>547</v>
      </c>
      <c r="C279" s="697">
        <v>2022</v>
      </c>
      <c r="D279" s="698"/>
      <c r="E279" s="698"/>
      <c r="F279" s="698"/>
      <c r="G279" s="698"/>
      <c r="H279" s="699"/>
      <c r="I279" s="700">
        <v>2023</v>
      </c>
      <c r="J279" s="701"/>
      <c r="K279" s="701"/>
      <c r="L279" s="701"/>
      <c r="M279" s="701"/>
      <c r="N279" s="702"/>
      <c r="O279" s="570"/>
      <c r="P279" s="703" t="s">
        <v>618</v>
      </c>
      <c r="Q279" s="704"/>
      <c r="R279" s="704"/>
      <c r="S279" s="704"/>
      <c r="T279" s="704"/>
      <c r="U279" s="705"/>
    </row>
    <row r="280" spans="1:21" ht="45" x14ac:dyDescent="0.25">
      <c r="A280" s="712"/>
      <c r="B280" s="714"/>
      <c r="C280" s="91" t="s">
        <v>352</v>
      </c>
      <c r="D280" s="91" t="s">
        <v>550</v>
      </c>
      <c r="E280" s="91" t="s">
        <v>551</v>
      </c>
      <c r="F280" s="91" t="s">
        <v>552</v>
      </c>
      <c r="G280" s="91" t="s">
        <v>553</v>
      </c>
      <c r="H280" s="205" t="s">
        <v>554</v>
      </c>
      <c r="I280" s="87" t="s">
        <v>352</v>
      </c>
      <c r="J280" s="88" t="s">
        <v>550</v>
      </c>
      <c r="K280" s="88" t="s">
        <v>551</v>
      </c>
      <c r="L280" s="88" t="s">
        <v>552</v>
      </c>
      <c r="M280" s="88" t="s">
        <v>553</v>
      </c>
      <c r="N280" s="89" t="s">
        <v>554</v>
      </c>
      <c r="O280" s="513" t="s">
        <v>555</v>
      </c>
      <c r="P280" s="242" t="s">
        <v>556</v>
      </c>
      <c r="Q280" s="77" t="s">
        <v>557</v>
      </c>
      <c r="R280" s="77" t="s">
        <v>558</v>
      </c>
      <c r="S280" s="77" t="s">
        <v>559</v>
      </c>
      <c r="T280" s="77" t="s">
        <v>560</v>
      </c>
      <c r="U280" s="217" t="s">
        <v>561</v>
      </c>
    </row>
    <row r="281" spans="1:21" x14ac:dyDescent="0.25">
      <c r="A281" s="219">
        <v>100</v>
      </c>
      <c r="B281" s="495" t="s">
        <v>72</v>
      </c>
      <c r="C281" s="8">
        <f>SUMIFS(TM[[#All],[Member Months]],TM[[#All],[Reporting Year]],2022,TM[[#All],[Insurance Category Code]],2,TM[[#All],[Large Provider Entity Code]],A281)</f>
        <v>0</v>
      </c>
      <c r="D281" s="7" t="str">
        <f>IFERROR(SUMIFS(TM[[#All],[Total Non-Truncated Claims Spending]],TM[[#All],[Reporting Year]],2022,TM[[#All],[Insurance Category Code]],2,TM[[#All],[Large Provider Entity Code]],A281)/C281,"NA")</f>
        <v>NA</v>
      </c>
      <c r="E281" s="7" t="str">
        <f>IFERROR(SUMIFS(TM[[#All],[Total Non-Claims Spending]],TM[[#All],[Reporting Year]],2022,TM[[#All],[Insurance Category Code]],2,TM[[#All],[Large Provider Entity Code]],A281)/C281,"NA")</f>
        <v>NA</v>
      </c>
      <c r="F281" s="7" t="str">
        <f>IFERROR(SUMIFS(TM[[#All],[Total Non-Truncated Claims and Non-Claims Spending]],TM[[#All],[Reporting Year]],2022,TM[[#All],[Insurance Category Code]],2,TM[[#All],[Large Provider Entity Code]],A281)/C281,"NA")</f>
        <v>NA</v>
      </c>
      <c r="G281" s="7" t="str">
        <f>IFERROR(SUMIFS(TM[[#All],[Total Truncated Claims Spending]],TM[[#All],[Reporting Year]],2022,TM[[#All],[Insurance Category Code]],2,TM[[#All],[Large Provider Entity Code]],A281)/C281,"NA")</f>
        <v>NA</v>
      </c>
      <c r="H281" s="204" t="str">
        <f>IFERROR(SUMIFS(TM[[#All],[Total Truncated Expenses]],TM[[#All],[Reporting Year]],2022,TM[[#All],[Insurance Category Code]],2,TM[[#All],[Large Provider Entity Code]],A281)/C281,"NA")</f>
        <v>NA</v>
      </c>
      <c r="I281" s="95">
        <f>SUMIFS(TM[[#All],[Member Months]],TM[[#All],[Reporting Year]],2023,TM[[#All],[Insurance Category Code]],2,TM[[#All],[Large Provider Entity Code]],A281)</f>
        <v>0</v>
      </c>
      <c r="J281" s="7" t="str">
        <f>IFERROR(SUMIFS(TM[[#All],[Total Non-Truncated Claims Spending]],TM[[#All],[Reporting Year]],2023,TM[[#All],[Insurance Category Code]],2,TM[[#All],[Large Provider Entity Code]],A281)/I281,"NA")</f>
        <v>NA</v>
      </c>
      <c r="K281" s="7" t="str">
        <f>IFERROR(SUMIFS(TM[[#All],[Total Non-Claims Spending]],TM[[#All],[Reporting Year]],2023,TM[[#All],[Insurance Category Code]],2,TM[[#All],[Large Provider Entity Code]],A281)/I281,"NA")</f>
        <v>NA</v>
      </c>
      <c r="L281" s="7" t="str">
        <f>IFERROR(SUMIFS(TM[[#All],[Total Non-Truncated Claims and Non-Claims Spending]],TM[[#All],[Reporting Year]],2023,TM[[#All],[Insurance Category Code]],2,TM[[#All],[Large Provider Entity Code]],A281)/I281,"NA")</f>
        <v>NA</v>
      </c>
      <c r="M281" s="7" t="str">
        <f>IFERROR(SUMIFS(TM[[#All],[Total Truncated Claims Spending]],TM[[#All],[Reporting Year]],2023,TM[[#All],[Insurance Category Code]],2,TM[[#All],[Large Provider Entity Code]],A281)/I281,"NA")</f>
        <v>NA</v>
      </c>
      <c r="N281" s="96" t="str">
        <f>IFERROR(SUMIFS(TM[[#All],[Total Truncated Expenses]],TM[[#All],[Reporting Year]],2023,TM[[#All],[Insurance Category Code]],2,TM[[#All],[Large Provider Entity Code]],A281)/I281,"NA")</f>
        <v>NA</v>
      </c>
      <c r="O281" s="518">
        <f>ABS(C281-I281)</f>
        <v>0</v>
      </c>
      <c r="P281" s="243" t="str">
        <f t="shared" ref="P281:U301" si="48">IFERROR((I281/C281-1),"NA")</f>
        <v>NA</v>
      </c>
      <c r="Q281" s="97" t="str">
        <f t="shared" si="48"/>
        <v>NA</v>
      </c>
      <c r="R281" s="97" t="str">
        <f t="shared" si="48"/>
        <v>NA</v>
      </c>
      <c r="S281" s="97" t="str">
        <f t="shared" si="48"/>
        <v>NA</v>
      </c>
      <c r="T281" s="97" t="str">
        <f t="shared" si="48"/>
        <v>NA</v>
      </c>
      <c r="U281" s="97" t="str">
        <f t="shared" si="48"/>
        <v>NA</v>
      </c>
    </row>
    <row r="282" spans="1:21" x14ac:dyDescent="0.25">
      <c r="A282" s="218">
        <v>101</v>
      </c>
      <c r="B282" s="495" t="s">
        <v>609</v>
      </c>
      <c r="C282" s="8">
        <f>SUMIFS(TM[[#All],[Member Months]],TM[[#All],[Reporting Year]],2022,TM[[#All],[Insurance Category Code]],2,TM[[#All],[Large Provider Entity Code]],A282)</f>
        <v>0</v>
      </c>
      <c r="D282" s="7" t="str">
        <f>IFERROR(SUMIFS(TM[[#All],[Total Non-Truncated Claims Spending]],TM[[#All],[Reporting Year]],2022,TM[[#All],[Insurance Category Code]],2,TM[[#All],[Large Provider Entity Code]],A282)/C282,"NA")</f>
        <v>NA</v>
      </c>
      <c r="E282" s="7" t="str">
        <f>IFERROR(SUMIFS(TM[[#All],[Total Non-Claims Spending]],TM[[#All],[Reporting Year]],2022,TM[[#All],[Insurance Category Code]],2,TM[[#All],[Large Provider Entity Code]],A282)/C282,"NA")</f>
        <v>NA</v>
      </c>
      <c r="F282" s="7" t="str">
        <f>IFERROR(SUMIFS(TM[[#All],[Total Non-Truncated Claims and Non-Claims Spending]],TM[[#All],[Reporting Year]],2022,TM[[#All],[Insurance Category Code]],2,TM[[#All],[Large Provider Entity Code]],A282)/C282,"NA")</f>
        <v>NA</v>
      </c>
      <c r="G282" s="7" t="str">
        <f>IFERROR(SUMIFS(TM[[#All],[Total Truncated Claims Spending]],TM[[#All],[Reporting Year]],2022,TM[[#All],[Insurance Category Code]],2,TM[[#All],[Large Provider Entity Code]],A282)/C282,"NA")</f>
        <v>NA</v>
      </c>
      <c r="H282" s="204" t="str">
        <f>IFERROR(SUMIFS(TM[[#All],[Total Truncated Expenses]],TM[[#All],[Reporting Year]],2022,TM[[#All],[Insurance Category Code]],2,TM[[#All],[Large Provider Entity Code]],A282)/C282,"NA")</f>
        <v>NA</v>
      </c>
      <c r="I282" s="95">
        <f>SUMIFS(TM[[#All],[Member Months]],TM[[#All],[Reporting Year]],2023,TM[[#All],[Insurance Category Code]],2,TM[[#All],[Large Provider Entity Code]],A282)</f>
        <v>0</v>
      </c>
      <c r="J282" s="7" t="str">
        <f>IFERROR(SUMIFS(TM[[#All],[Total Non-Truncated Claims Spending]],TM[[#All],[Reporting Year]],2023,TM[[#All],[Insurance Category Code]],2,TM[[#All],[Large Provider Entity Code]],A282)/I282,"NA")</f>
        <v>NA</v>
      </c>
      <c r="K282" s="7" t="str">
        <f>IFERROR(SUMIFS(TM[[#All],[Total Non-Claims Spending]],TM[[#All],[Reporting Year]],2023,TM[[#All],[Insurance Category Code]],2,TM[[#All],[Large Provider Entity Code]],A282)/I282,"NA")</f>
        <v>NA</v>
      </c>
      <c r="L282" s="7" t="str">
        <f>IFERROR(SUMIFS(TM[[#All],[Total Non-Truncated Claims and Non-Claims Spending]],TM[[#All],[Reporting Year]],2023,TM[[#All],[Insurance Category Code]],2,TM[[#All],[Large Provider Entity Code]],A282)/I282,"NA")</f>
        <v>NA</v>
      </c>
      <c r="M282" s="7" t="str">
        <f>IFERROR(SUMIFS(TM[[#All],[Total Truncated Claims Spending]],TM[[#All],[Reporting Year]],2023,TM[[#All],[Insurance Category Code]],2,TM[[#All],[Large Provider Entity Code]],A282)/I282,"NA")</f>
        <v>NA</v>
      </c>
      <c r="N282" s="96" t="str">
        <f>IFERROR(SUMIFS(TM[[#All],[Total Truncated Expenses]],TM[[#All],[Reporting Year]],2023,TM[[#All],[Insurance Category Code]],2,TM[[#All],[Large Provider Entity Code]],A282)/I282,"NA")</f>
        <v>NA</v>
      </c>
      <c r="O282" s="518">
        <f t="shared" ref="O282:O301" si="49">ABS(C282-I282)</f>
        <v>0</v>
      </c>
      <c r="P282" s="243" t="str">
        <f t="shared" si="48"/>
        <v>NA</v>
      </c>
      <c r="Q282" s="97" t="str">
        <f t="shared" si="48"/>
        <v>NA</v>
      </c>
      <c r="R282" s="97" t="str">
        <f t="shared" si="48"/>
        <v>NA</v>
      </c>
      <c r="S282" s="97" t="str">
        <f t="shared" si="48"/>
        <v>NA</v>
      </c>
      <c r="T282" s="97" t="str">
        <f t="shared" si="48"/>
        <v>NA</v>
      </c>
      <c r="U282" s="97" t="str">
        <f t="shared" si="48"/>
        <v>NA</v>
      </c>
    </row>
    <row r="283" spans="1:21" x14ac:dyDescent="0.25">
      <c r="A283" s="218">
        <v>102</v>
      </c>
      <c r="B283" s="566" t="s">
        <v>610</v>
      </c>
      <c r="C283" s="8">
        <f>SUMIFS(TM[[#All],[Member Months]],TM[[#All],[Reporting Year]],2022,TM[[#All],[Insurance Category Code]],2,TM[[#All],[Large Provider Entity Code]],A283)</f>
        <v>0</v>
      </c>
      <c r="D283" s="7" t="str">
        <f>IFERROR(SUMIFS(TM[[#All],[Total Non-Truncated Claims Spending]],TM[[#All],[Reporting Year]],2022,TM[[#All],[Insurance Category Code]],2,TM[[#All],[Large Provider Entity Code]],A283)/C283,"NA")</f>
        <v>NA</v>
      </c>
      <c r="E283" s="7" t="str">
        <f>IFERROR(SUMIFS(TM[[#All],[Total Non-Claims Spending]],TM[[#All],[Reporting Year]],2022,TM[[#All],[Insurance Category Code]],2,TM[[#All],[Large Provider Entity Code]],A283)/C283,"NA")</f>
        <v>NA</v>
      </c>
      <c r="F283" s="7" t="str">
        <f>IFERROR(SUMIFS(TM[[#All],[Total Non-Truncated Claims and Non-Claims Spending]],TM[[#All],[Reporting Year]],2022,TM[[#All],[Insurance Category Code]],2,TM[[#All],[Large Provider Entity Code]],A283)/C283,"NA")</f>
        <v>NA</v>
      </c>
      <c r="G283" s="7" t="str">
        <f>IFERROR(SUMIFS(TM[[#All],[Total Truncated Claims Spending]],TM[[#All],[Reporting Year]],2022,TM[[#All],[Insurance Category Code]],2,TM[[#All],[Large Provider Entity Code]],A283)/C283,"NA")</f>
        <v>NA</v>
      </c>
      <c r="H283" s="204" t="str">
        <f>IFERROR(SUMIFS(TM[[#All],[Total Truncated Expenses]],TM[[#All],[Reporting Year]],2022,TM[[#All],[Insurance Category Code]],2,TM[[#All],[Large Provider Entity Code]],A283)/C283,"NA")</f>
        <v>NA</v>
      </c>
      <c r="I283" s="95">
        <f>SUMIFS(TM[[#All],[Member Months]],TM[[#All],[Reporting Year]],2023,TM[[#All],[Insurance Category Code]],2,TM[[#All],[Large Provider Entity Code]],A283)</f>
        <v>0</v>
      </c>
      <c r="J283" s="7" t="str">
        <f>IFERROR(SUMIFS(TM[[#All],[Total Non-Truncated Claims Spending]],TM[[#All],[Reporting Year]],2023,TM[[#All],[Insurance Category Code]],2,TM[[#All],[Large Provider Entity Code]],A283)/I283,"NA")</f>
        <v>NA</v>
      </c>
      <c r="K283" s="7" t="str">
        <f>IFERROR(SUMIFS(TM[[#All],[Total Non-Claims Spending]],TM[[#All],[Reporting Year]],2023,TM[[#All],[Insurance Category Code]],2,TM[[#All],[Large Provider Entity Code]],A283)/I283,"NA")</f>
        <v>NA</v>
      </c>
      <c r="L283" s="7" t="str">
        <f>IFERROR(SUMIFS(TM[[#All],[Total Non-Truncated Claims and Non-Claims Spending]],TM[[#All],[Reporting Year]],2023,TM[[#All],[Insurance Category Code]],2,TM[[#All],[Large Provider Entity Code]],A283)/I283,"NA")</f>
        <v>NA</v>
      </c>
      <c r="M283" s="7" t="str">
        <f>IFERROR(SUMIFS(TM[[#All],[Total Truncated Claims Spending]],TM[[#All],[Reporting Year]],2023,TM[[#All],[Insurance Category Code]],2,TM[[#All],[Large Provider Entity Code]],A283)/I283,"NA")</f>
        <v>NA</v>
      </c>
      <c r="N283" s="96" t="str">
        <f>IFERROR(SUMIFS(TM[[#All],[Total Truncated Expenses]],TM[[#All],[Reporting Year]],2023,TM[[#All],[Insurance Category Code]],2,TM[[#All],[Large Provider Entity Code]],A283)/I283,"NA")</f>
        <v>NA</v>
      </c>
      <c r="O283" s="518">
        <f t="shared" si="49"/>
        <v>0</v>
      </c>
      <c r="P283" s="243" t="str">
        <f t="shared" si="48"/>
        <v>NA</v>
      </c>
      <c r="Q283" s="97" t="str">
        <f t="shared" si="48"/>
        <v>NA</v>
      </c>
      <c r="R283" s="97" t="str">
        <f t="shared" si="48"/>
        <v>NA</v>
      </c>
      <c r="S283" s="97" t="str">
        <f t="shared" si="48"/>
        <v>NA</v>
      </c>
      <c r="T283" s="97" t="str">
        <f t="shared" si="48"/>
        <v>NA</v>
      </c>
      <c r="U283" s="97" t="str">
        <f t="shared" si="48"/>
        <v>NA</v>
      </c>
    </row>
    <row r="284" spans="1:21" ht="30" x14ac:dyDescent="0.25">
      <c r="A284" s="218">
        <v>103</v>
      </c>
      <c r="B284" s="495" t="s">
        <v>73</v>
      </c>
      <c r="C284" s="8">
        <f>SUMIFS(TM[[#All],[Member Months]],TM[[#All],[Reporting Year]],2022,TM[[#All],[Insurance Category Code]],2,TM[[#All],[Large Provider Entity Code]],A284)</f>
        <v>0</v>
      </c>
      <c r="D284" s="7" t="str">
        <f>IFERROR(SUMIFS(TM[[#All],[Total Non-Truncated Claims Spending]],TM[[#All],[Reporting Year]],2022,TM[[#All],[Insurance Category Code]],2,TM[[#All],[Large Provider Entity Code]],A284)/C284,"NA")</f>
        <v>NA</v>
      </c>
      <c r="E284" s="7" t="str">
        <f>IFERROR(SUMIFS(TM[[#All],[Total Non-Claims Spending]],TM[[#All],[Reporting Year]],2022,TM[[#All],[Insurance Category Code]],2,TM[[#All],[Large Provider Entity Code]],A284)/C284,"NA")</f>
        <v>NA</v>
      </c>
      <c r="F284" s="7" t="str">
        <f>IFERROR(SUMIFS(TM[[#All],[Total Non-Truncated Claims and Non-Claims Spending]],TM[[#All],[Reporting Year]],2022,TM[[#All],[Insurance Category Code]],2,TM[[#All],[Large Provider Entity Code]],A284)/C284,"NA")</f>
        <v>NA</v>
      </c>
      <c r="G284" s="7" t="str">
        <f>IFERROR(SUMIFS(TM[[#All],[Total Truncated Claims Spending]],TM[[#All],[Reporting Year]],2022,TM[[#All],[Insurance Category Code]],2,TM[[#All],[Large Provider Entity Code]],A284)/C284,"NA")</f>
        <v>NA</v>
      </c>
      <c r="H284" s="204" t="str">
        <f>IFERROR(SUMIFS(TM[[#All],[Total Truncated Expenses]],TM[[#All],[Reporting Year]],2022,TM[[#All],[Insurance Category Code]],2,TM[[#All],[Large Provider Entity Code]],A284)/C284,"NA")</f>
        <v>NA</v>
      </c>
      <c r="I284" s="95">
        <f>SUMIFS(TM[[#All],[Member Months]],TM[[#All],[Reporting Year]],2023,TM[[#All],[Insurance Category Code]],2,TM[[#All],[Large Provider Entity Code]],A284)</f>
        <v>0</v>
      </c>
      <c r="J284" s="7" t="str">
        <f>IFERROR(SUMIFS(TM[[#All],[Total Non-Truncated Claims Spending]],TM[[#All],[Reporting Year]],2023,TM[[#All],[Insurance Category Code]],2,TM[[#All],[Large Provider Entity Code]],A284)/I284,"NA")</f>
        <v>NA</v>
      </c>
      <c r="K284" s="7" t="str">
        <f>IFERROR(SUMIFS(TM[[#All],[Total Non-Claims Spending]],TM[[#All],[Reporting Year]],2023,TM[[#All],[Insurance Category Code]],2,TM[[#All],[Large Provider Entity Code]],A284)/I284,"NA")</f>
        <v>NA</v>
      </c>
      <c r="L284" s="7" t="str">
        <f>IFERROR(SUMIFS(TM[[#All],[Total Non-Truncated Claims and Non-Claims Spending]],TM[[#All],[Reporting Year]],2023,TM[[#All],[Insurance Category Code]],2,TM[[#All],[Large Provider Entity Code]],A284)/I284,"NA")</f>
        <v>NA</v>
      </c>
      <c r="M284" s="7" t="str">
        <f>IFERROR(SUMIFS(TM[[#All],[Total Truncated Claims Spending]],TM[[#All],[Reporting Year]],2023,TM[[#All],[Insurance Category Code]],2,TM[[#All],[Large Provider Entity Code]],A284)/I284,"NA")</f>
        <v>NA</v>
      </c>
      <c r="N284" s="96" t="str">
        <f>IFERROR(SUMIFS(TM[[#All],[Total Truncated Expenses]],TM[[#All],[Reporting Year]],2023,TM[[#All],[Insurance Category Code]],2,TM[[#All],[Large Provider Entity Code]],A284)/I284,"NA")</f>
        <v>NA</v>
      </c>
      <c r="O284" s="518">
        <f t="shared" si="49"/>
        <v>0</v>
      </c>
      <c r="P284" s="243" t="str">
        <f t="shared" si="48"/>
        <v>NA</v>
      </c>
      <c r="Q284" s="97" t="str">
        <f t="shared" si="48"/>
        <v>NA</v>
      </c>
      <c r="R284" s="97" t="str">
        <f t="shared" si="48"/>
        <v>NA</v>
      </c>
      <c r="S284" s="97" t="str">
        <f t="shared" si="48"/>
        <v>NA</v>
      </c>
      <c r="T284" s="97" t="str">
        <f t="shared" si="48"/>
        <v>NA</v>
      </c>
      <c r="U284" s="97" t="str">
        <f t="shared" si="48"/>
        <v>NA</v>
      </c>
    </row>
    <row r="285" spans="1:21" x14ac:dyDescent="0.25">
      <c r="A285" s="218">
        <v>104</v>
      </c>
      <c r="B285" s="495" t="s">
        <v>611</v>
      </c>
      <c r="C285" s="8">
        <f>SUMIFS(TM[[#All],[Member Months]],TM[[#All],[Reporting Year]],2022,TM[[#All],[Insurance Category Code]],2,TM[[#All],[Large Provider Entity Code]],A285)</f>
        <v>0</v>
      </c>
      <c r="D285" s="7" t="str">
        <f>IFERROR(SUMIFS(TM[[#All],[Total Non-Truncated Claims Spending]],TM[[#All],[Reporting Year]],2022,TM[[#All],[Insurance Category Code]],2,TM[[#All],[Large Provider Entity Code]],A285)/C285,"NA")</f>
        <v>NA</v>
      </c>
      <c r="E285" s="7" t="str">
        <f>IFERROR(SUMIFS(TM[[#All],[Total Non-Claims Spending]],TM[[#All],[Reporting Year]],2022,TM[[#All],[Insurance Category Code]],2,TM[[#All],[Large Provider Entity Code]],A285)/C285,"NA")</f>
        <v>NA</v>
      </c>
      <c r="F285" s="7" t="str">
        <f>IFERROR(SUMIFS(TM[[#All],[Total Non-Truncated Claims and Non-Claims Spending]],TM[[#All],[Reporting Year]],2022,TM[[#All],[Insurance Category Code]],2,TM[[#All],[Large Provider Entity Code]],A285)/C285,"NA")</f>
        <v>NA</v>
      </c>
      <c r="G285" s="7" t="str">
        <f>IFERROR(SUMIFS(TM[[#All],[Total Truncated Claims Spending]],TM[[#All],[Reporting Year]],2022,TM[[#All],[Insurance Category Code]],2,TM[[#All],[Large Provider Entity Code]],A285)/C285,"NA")</f>
        <v>NA</v>
      </c>
      <c r="H285" s="204" t="str">
        <f>IFERROR(SUMIFS(TM[[#All],[Total Truncated Expenses]],TM[[#All],[Reporting Year]],2022,TM[[#All],[Insurance Category Code]],2,TM[[#All],[Large Provider Entity Code]],A285)/C285,"NA")</f>
        <v>NA</v>
      </c>
      <c r="I285" s="95">
        <f>SUMIFS(TM[[#All],[Member Months]],TM[[#All],[Reporting Year]],2023,TM[[#All],[Insurance Category Code]],2,TM[[#All],[Large Provider Entity Code]],A285)</f>
        <v>0</v>
      </c>
      <c r="J285" s="7" t="str">
        <f>IFERROR(SUMIFS(TM[[#All],[Total Non-Truncated Claims Spending]],TM[[#All],[Reporting Year]],2023,TM[[#All],[Insurance Category Code]],2,TM[[#All],[Large Provider Entity Code]],A285)/I285,"NA")</f>
        <v>NA</v>
      </c>
      <c r="K285" s="7" t="str">
        <f>IFERROR(SUMIFS(TM[[#All],[Total Non-Claims Spending]],TM[[#All],[Reporting Year]],2023,TM[[#All],[Insurance Category Code]],2,TM[[#All],[Large Provider Entity Code]],A285)/I285,"NA")</f>
        <v>NA</v>
      </c>
      <c r="L285" s="7" t="str">
        <f>IFERROR(SUMIFS(TM[[#All],[Total Non-Truncated Claims and Non-Claims Spending]],TM[[#All],[Reporting Year]],2023,TM[[#All],[Insurance Category Code]],2,TM[[#All],[Large Provider Entity Code]],A285)/I285,"NA")</f>
        <v>NA</v>
      </c>
      <c r="M285" s="7" t="str">
        <f>IFERROR(SUMIFS(TM[[#All],[Total Truncated Claims Spending]],TM[[#All],[Reporting Year]],2023,TM[[#All],[Insurance Category Code]],2,TM[[#All],[Large Provider Entity Code]],A285)/I285,"NA")</f>
        <v>NA</v>
      </c>
      <c r="N285" s="96" t="str">
        <f>IFERROR(SUMIFS(TM[[#All],[Total Truncated Expenses]],TM[[#All],[Reporting Year]],2023,TM[[#All],[Insurance Category Code]],2,TM[[#All],[Large Provider Entity Code]],A285)/I285,"NA")</f>
        <v>NA</v>
      </c>
      <c r="O285" s="518">
        <f t="shared" si="49"/>
        <v>0</v>
      </c>
      <c r="P285" s="243" t="str">
        <f t="shared" si="48"/>
        <v>NA</v>
      </c>
      <c r="Q285" s="97" t="str">
        <f t="shared" si="48"/>
        <v>NA</v>
      </c>
      <c r="R285" s="97" t="str">
        <f t="shared" si="48"/>
        <v>NA</v>
      </c>
      <c r="S285" s="97" t="str">
        <f t="shared" si="48"/>
        <v>NA</v>
      </c>
      <c r="T285" s="97" t="str">
        <f t="shared" si="48"/>
        <v>NA</v>
      </c>
      <c r="U285" s="97" t="str">
        <f t="shared" si="48"/>
        <v>NA</v>
      </c>
    </row>
    <row r="286" spans="1:21" x14ac:dyDescent="0.25">
      <c r="A286" s="218">
        <v>105</v>
      </c>
      <c r="B286" s="566" t="s">
        <v>607</v>
      </c>
      <c r="C286" s="8">
        <f>SUMIFS(TM[[#All],[Member Months]],TM[[#All],[Reporting Year]],2022,TM[[#All],[Insurance Category Code]],2,TM[[#All],[Large Provider Entity Code]],A286)</f>
        <v>0</v>
      </c>
      <c r="D286" s="7" t="str">
        <f>IFERROR(SUMIFS(TM[[#All],[Total Non-Truncated Claims Spending]],TM[[#All],[Reporting Year]],2022,TM[[#All],[Insurance Category Code]],2,TM[[#All],[Large Provider Entity Code]],A286)/C286,"NA")</f>
        <v>NA</v>
      </c>
      <c r="E286" s="7" t="str">
        <f>IFERROR(SUMIFS(TM[[#All],[Total Non-Claims Spending]],TM[[#All],[Reporting Year]],2022,TM[[#All],[Insurance Category Code]],2,TM[[#All],[Large Provider Entity Code]],A286)/C286,"NA")</f>
        <v>NA</v>
      </c>
      <c r="F286" s="7" t="str">
        <f>IFERROR(SUMIFS(TM[[#All],[Total Non-Truncated Claims and Non-Claims Spending]],TM[[#All],[Reporting Year]],2022,TM[[#All],[Insurance Category Code]],2,TM[[#All],[Large Provider Entity Code]],A286)/C286,"NA")</f>
        <v>NA</v>
      </c>
      <c r="G286" s="7" t="str">
        <f>IFERROR(SUMIFS(TM[[#All],[Total Truncated Claims Spending]],TM[[#All],[Reporting Year]],2022,TM[[#All],[Insurance Category Code]],2,TM[[#All],[Large Provider Entity Code]],A286)/C286,"NA")</f>
        <v>NA</v>
      </c>
      <c r="H286" s="204" t="str">
        <f>IFERROR(SUMIFS(TM[[#All],[Total Truncated Expenses]],TM[[#All],[Reporting Year]],2022,TM[[#All],[Insurance Category Code]],2,TM[[#All],[Large Provider Entity Code]],A286)/C286,"NA")</f>
        <v>NA</v>
      </c>
      <c r="I286" s="95">
        <f>SUMIFS(TM[[#All],[Member Months]],TM[[#All],[Reporting Year]],2023,TM[[#All],[Insurance Category Code]],2,TM[[#All],[Large Provider Entity Code]],A286)</f>
        <v>0</v>
      </c>
      <c r="J286" s="7" t="str">
        <f>IFERROR(SUMIFS(TM[[#All],[Total Non-Truncated Claims Spending]],TM[[#All],[Reporting Year]],2023,TM[[#All],[Insurance Category Code]],2,TM[[#All],[Large Provider Entity Code]],A286)/I286,"NA")</f>
        <v>NA</v>
      </c>
      <c r="K286" s="7" t="str">
        <f>IFERROR(SUMIFS(TM[[#All],[Total Non-Claims Spending]],TM[[#All],[Reporting Year]],2023,TM[[#All],[Insurance Category Code]],2,TM[[#All],[Large Provider Entity Code]],A286)/I286,"NA")</f>
        <v>NA</v>
      </c>
      <c r="L286" s="7" t="str">
        <f>IFERROR(SUMIFS(TM[[#All],[Total Non-Truncated Claims and Non-Claims Spending]],TM[[#All],[Reporting Year]],2023,TM[[#All],[Insurance Category Code]],2,TM[[#All],[Large Provider Entity Code]],A286)/I286,"NA")</f>
        <v>NA</v>
      </c>
      <c r="M286" s="7" t="str">
        <f>IFERROR(SUMIFS(TM[[#All],[Total Truncated Claims Spending]],TM[[#All],[Reporting Year]],2023,TM[[#All],[Insurance Category Code]],2,TM[[#All],[Large Provider Entity Code]],A286)/I286,"NA")</f>
        <v>NA</v>
      </c>
      <c r="N286" s="96" t="str">
        <f>IFERROR(SUMIFS(TM[[#All],[Total Truncated Expenses]],TM[[#All],[Reporting Year]],2023,TM[[#All],[Insurance Category Code]],2,TM[[#All],[Large Provider Entity Code]],A286)/I286,"NA")</f>
        <v>NA</v>
      </c>
      <c r="O286" s="518">
        <f t="shared" si="49"/>
        <v>0</v>
      </c>
      <c r="P286" s="243" t="str">
        <f t="shared" si="48"/>
        <v>NA</v>
      </c>
      <c r="Q286" s="97" t="str">
        <f t="shared" si="48"/>
        <v>NA</v>
      </c>
      <c r="R286" s="97" t="str">
        <f t="shared" si="48"/>
        <v>NA</v>
      </c>
      <c r="S286" s="97" t="str">
        <f t="shared" si="48"/>
        <v>NA</v>
      </c>
      <c r="T286" s="97" t="str">
        <f t="shared" si="48"/>
        <v>NA</v>
      </c>
      <c r="U286" s="97" t="str">
        <f t="shared" si="48"/>
        <v>NA</v>
      </c>
    </row>
    <row r="287" spans="1:21" x14ac:dyDescent="0.25">
      <c r="A287" s="218">
        <v>106</v>
      </c>
      <c r="B287" s="495" t="s">
        <v>74</v>
      </c>
      <c r="C287" s="8">
        <f>SUMIFS(TM[[#All],[Member Months]],TM[[#All],[Reporting Year]],2022,TM[[#All],[Insurance Category Code]],2,TM[[#All],[Large Provider Entity Code]],A287)</f>
        <v>0</v>
      </c>
      <c r="D287" s="7" t="str">
        <f>IFERROR(SUMIFS(TM[[#All],[Total Non-Truncated Claims Spending]],TM[[#All],[Reporting Year]],2022,TM[[#All],[Insurance Category Code]],2,TM[[#All],[Large Provider Entity Code]],A287)/C287,"NA")</f>
        <v>NA</v>
      </c>
      <c r="E287" s="7" t="str">
        <f>IFERROR(SUMIFS(TM[[#All],[Total Non-Claims Spending]],TM[[#All],[Reporting Year]],2022,TM[[#All],[Insurance Category Code]],2,TM[[#All],[Large Provider Entity Code]],A287)/C287,"NA")</f>
        <v>NA</v>
      </c>
      <c r="F287" s="7" t="str">
        <f>IFERROR(SUMIFS(TM[[#All],[Total Non-Truncated Claims and Non-Claims Spending]],TM[[#All],[Reporting Year]],2022,TM[[#All],[Insurance Category Code]],2,TM[[#All],[Large Provider Entity Code]],A287)/C287,"NA")</f>
        <v>NA</v>
      </c>
      <c r="G287" s="7" t="str">
        <f>IFERROR(SUMIFS(TM[[#All],[Total Truncated Claims Spending]],TM[[#All],[Reporting Year]],2022,TM[[#All],[Insurance Category Code]],2,TM[[#All],[Large Provider Entity Code]],A287)/C287,"NA")</f>
        <v>NA</v>
      </c>
      <c r="H287" s="204" t="str">
        <f>IFERROR(SUMIFS(TM[[#All],[Total Truncated Expenses]],TM[[#All],[Reporting Year]],2022,TM[[#All],[Insurance Category Code]],2,TM[[#All],[Large Provider Entity Code]],A287)/C287,"NA")</f>
        <v>NA</v>
      </c>
      <c r="I287" s="95">
        <f>SUMIFS(TM[[#All],[Member Months]],TM[[#All],[Reporting Year]],2023,TM[[#All],[Insurance Category Code]],2,TM[[#All],[Large Provider Entity Code]],A287)</f>
        <v>0</v>
      </c>
      <c r="J287" s="7" t="str">
        <f>IFERROR(SUMIFS(TM[[#All],[Total Non-Truncated Claims Spending]],TM[[#All],[Reporting Year]],2023,TM[[#All],[Insurance Category Code]],2,TM[[#All],[Large Provider Entity Code]],A287)/I287,"NA")</f>
        <v>NA</v>
      </c>
      <c r="K287" s="7" t="str">
        <f>IFERROR(SUMIFS(TM[[#All],[Total Non-Claims Spending]],TM[[#All],[Reporting Year]],2023,TM[[#All],[Insurance Category Code]],2,TM[[#All],[Large Provider Entity Code]],A287)/I287,"NA")</f>
        <v>NA</v>
      </c>
      <c r="L287" s="7" t="str">
        <f>IFERROR(SUMIFS(TM[[#All],[Total Non-Truncated Claims and Non-Claims Spending]],TM[[#All],[Reporting Year]],2023,TM[[#All],[Insurance Category Code]],2,TM[[#All],[Large Provider Entity Code]],A287)/I287,"NA")</f>
        <v>NA</v>
      </c>
      <c r="M287" s="7" t="str">
        <f>IFERROR(SUMIFS(TM[[#All],[Total Truncated Claims Spending]],TM[[#All],[Reporting Year]],2023,TM[[#All],[Insurance Category Code]],2,TM[[#All],[Large Provider Entity Code]],A287)/I287,"NA")</f>
        <v>NA</v>
      </c>
      <c r="N287" s="96" t="str">
        <f>IFERROR(SUMIFS(TM[[#All],[Total Truncated Expenses]],TM[[#All],[Reporting Year]],2023,TM[[#All],[Insurance Category Code]],2,TM[[#All],[Large Provider Entity Code]],A287)/I287,"NA")</f>
        <v>NA</v>
      </c>
      <c r="O287" s="518">
        <f t="shared" si="49"/>
        <v>0</v>
      </c>
      <c r="P287" s="243" t="str">
        <f t="shared" si="48"/>
        <v>NA</v>
      </c>
      <c r="Q287" s="97" t="str">
        <f t="shared" si="48"/>
        <v>NA</v>
      </c>
      <c r="R287" s="97" t="str">
        <f t="shared" si="48"/>
        <v>NA</v>
      </c>
      <c r="S287" s="97" t="str">
        <f t="shared" si="48"/>
        <v>NA</v>
      </c>
      <c r="T287" s="97" t="str">
        <f t="shared" si="48"/>
        <v>NA</v>
      </c>
      <c r="U287" s="97" t="str">
        <f t="shared" si="48"/>
        <v>NA</v>
      </c>
    </row>
    <row r="288" spans="1:21" ht="30" x14ac:dyDescent="0.25">
      <c r="A288" s="218">
        <v>107</v>
      </c>
      <c r="B288" s="495" t="s">
        <v>75</v>
      </c>
      <c r="C288" s="8">
        <f>SUMIFS(TM[[#All],[Member Months]],TM[[#All],[Reporting Year]],2022,TM[[#All],[Insurance Category Code]],2,TM[[#All],[Large Provider Entity Code]],A288)</f>
        <v>0</v>
      </c>
      <c r="D288" s="7" t="str">
        <f>IFERROR(SUMIFS(TM[[#All],[Total Non-Truncated Claims Spending]],TM[[#All],[Reporting Year]],2022,TM[[#All],[Insurance Category Code]],2,TM[[#All],[Large Provider Entity Code]],A288)/C288,"NA")</f>
        <v>NA</v>
      </c>
      <c r="E288" s="7" t="str">
        <f>IFERROR(SUMIFS(TM[[#All],[Total Non-Claims Spending]],TM[[#All],[Reporting Year]],2022,TM[[#All],[Insurance Category Code]],2,TM[[#All],[Large Provider Entity Code]],A288)/C288,"NA")</f>
        <v>NA</v>
      </c>
      <c r="F288" s="7" t="str">
        <f>IFERROR(SUMIFS(TM[[#All],[Total Non-Truncated Claims and Non-Claims Spending]],TM[[#All],[Reporting Year]],2022,TM[[#All],[Insurance Category Code]],2,TM[[#All],[Large Provider Entity Code]],A288)/C288,"NA")</f>
        <v>NA</v>
      </c>
      <c r="G288" s="7" t="str">
        <f>IFERROR(SUMIFS(TM[[#All],[Total Truncated Claims Spending]],TM[[#All],[Reporting Year]],2022,TM[[#All],[Insurance Category Code]],2,TM[[#All],[Large Provider Entity Code]],A288)/C288,"NA")</f>
        <v>NA</v>
      </c>
      <c r="H288" s="204" t="str">
        <f>IFERROR(SUMIFS(TM[[#All],[Total Truncated Expenses]],TM[[#All],[Reporting Year]],2022,TM[[#All],[Insurance Category Code]],2,TM[[#All],[Large Provider Entity Code]],A288)/C288,"NA")</f>
        <v>NA</v>
      </c>
      <c r="I288" s="95">
        <f>SUMIFS(TM[[#All],[Member Months]],TM[[#All],[Reporting Year]],2023,TM[[#All],[Insurance Category Code]],2,TM[[#All],[Large Provider Entity Code]],A288)</f>
        <v>0</v>
      </c>
      <c r="J288" s="7" t="str">
        <f>IFERROR(SUMIFS(TM[[#All],[Total Non-Truncated Claims Spending]],TM[[#All],[Reporting Year]],2023,TM[[#All],[Insurance Category Code]],2,TM[[#All],[Large Provider Entity Code]],A288)/I288,"NA")</f>
        <v>NA</v>
      </c>
      <c r="K288" s="7" t="str">
        <f>IFERROR(SUMIFS(TM[[#All],[Total Non-Claims Spending]],TM[[#All],[Reporting Year]],2023,TM[[#All],[Insurance Category Code]],2,TM[[#All],[Large Provider Entity Code]],A288)/I288,"NA")</f>
        <v>NA</v>
      </c>
      <c r="L288" s="7" t="str">
        <f>IFERROR(SUMIFS(TM[[#All],[Total Non-Truncated Claims and Non-Claims Spending]],TM[[#All],[Reporting Year]],2023,TM[[#All],[Insurance Category Code]],2,TM[[#All],[Large Provider Entity Code]],A288)/I288,"NA")</f>
        <v>NA</v>
      </c>
      <c r="M288" s="7" t="str">
        <f>IFERROR(SUMIFS(TM[[#All],[Total Truncated Claims Spending]],TM[[#All],[Reporting Year]],2023,TM[[#All],[Insurance Category Code]],2,TM[[#All],[Large Provider Entity Code]],A288)/I288,"NA")</f>
        <v>NA</v>
      </c>
      <c r="N288" s="96" t="str">
        <f>IFERROR(SUMIFS(TM[[#All],[Total Truncated Expenses]],TM[[#All],[Reporting Year]],2023,TM[[#All],[Insurance Category Code]],2,TM[[#All],[Large Provider Entity Code]],A288)/I288,"NA")</f>
        <v>NA</v>
      </c>
      <c r="O288" s="518">
        <f t="shared" si="49"/>
        <v>0</v>
      </c>
      <c r="P288" s="243" t="str">
        <f t="shared" si="48"/>
        <v>NA</v>
      </c>
      <c r="Q288" s="97" t="str">
        <f t="shared" si="48"/>
        <v>NA</v>
      </c>
      <c r="R288" s="97" t="str">
        <f t="shared" si="48"/>
        <v>NA</v>
      </c>
      <c r="S288" s="97" t="str">
        <f t="shared" si="48"/>
        <v>NA</v>
      </c>
      <c r="T288" s="97" t="str">
        <f t="shared" si="48"/>
        <v>NA</v>
      </c>
      <c r="U288" s="97" t="str">
        <f t="shared" si="48"/>
        <v>NA</v>
      </c>
    </row>
    <row r="289" spans="1:21" x14ac:dyDescent="0.25">
      <c r="A289" s="218">
        <v>108</v>
      </c>
      <c r="B289" s="495" t="s">
        <v>612</v>
      </c>
      <c r="C289" s="8">
        <f>SUMIFS(TM[[#All],[Member Months]],TM[[#All],[Reporting Year]],2022,TM[[#All],[Insurance Category Code]],2,TM[[#All],[Large Provider Entity Code]],A289)</f>
        <v>0</v>
      </c>
      <c r="D289" s="7" t="str">
        <f>IFERROR(SUMIFS(TM[[#All],[Total Non-Truncated Claims Spending]],TM[[#All],[Reporting Year]],2022,TM[[#All],[Insurance Category Code]],2,TM[[#All],[Large Provider Entity Code]],A289)/C289,"NA")</f>
        <v>NA</v>
      </c>
      <c r="E289" s="7" t="str">
        <f>IFERROR(SUMIFS(TM[[#All],[Total Non-Claims Spending]],TM[[#All],[Reporting Year]],2022,TM[[#All],[Insurance Category Code]],2,TM[[#All],[Large Provider Entity Code]],A289)/C289,"NA")</f>
        <v>NA</v>
      </c>
      <c r="F289" s="7" t="str">
        <f>IFERROR(SUMIFS(TM[[#All],[Total Non-Truncated Claims and Non-Claims Spending]],TM[[#All],[Reporting Year]],2022,TM[[#All],[Insurance Category Code]],2,TM[[#All],[Large Provider Entity Code]],A289)/C289,"NA")</f>
        <v>NA</v>
      </c>
      <c r="G289" s="7" t="str">
        <f>IFERROR(SUMIFS(TM[[#All],[Total Truncated Claims Spending]],TM[[#All],[Reporting Year]],2022,TM[[#All],[Insurance Category Code]],2,TM[[#All],[Large Provider Entity Code]],A289)/C289,"NA")</f>
        <v>NA</v>
      </c>
      <c r="H289" s="204" t="str">
        <f>IFERROR(SUMIFS(TM[[#All],[Total Truncated Expenses]],TM[[#All],[Reporting Year]],2022,TM[[#All],[Insurance Category Code]],2,TM[[#All],[Large Provider Entity Code]],A289)/C289,"NA")</f>
        <v>NA</v>
      </c>
      <c r="I289" s="95">
        <f>SUMIFS(TM[[#All],[Member Months]],TM[[#All],[Reporting Year]],2023,TM[[#All],[Insurance Category Code]],2,TM[[#All],[Large Provider Entity Code]],A289)</f>
        <v>0</v>
      </c>
      <c r="J289" s="7" t="str">
        <f>IFERROR(SUMIFS(TM[[#All],[Total Non-Truncated Claims Spending]],TM[[#All],[Reporting Year]],2023,TM[[#All],[Insurance Category Code]],2,TM[[#All],[Large Provider Entity Code]],A289)/I289,"NA")</f>
        <v>NA</v>
      </c>
      <c r="K289" s="7" t="str">
        <f>IFERROR(SUMIFS(TM[[#All],[Total Non-Claims Spending]],TM[[#All],[Reporting Year]],2023,TM[[#All],[Insurance Category Code]],2,TM[[#All],[Large Provider Entity Code]],A289)/I289,"NA")</f>
        <v>NA</v>
      </c>
      <c r="L289" s="7" t="str">
        <f>IFERROR(SUMIFS(TM[[#All],[Total Non-Truncated Claims and Non-Claims Spending]],TM[[#All],[Reporting Year]],2023,TM[[#All],[Insurance Category Code]],2,TM[[#All],[Large Provider Entity Code]],A289)/I289,"NA")</f>
        <v>NA</v>
      </c>
      <c r="M289" s="7" t="str">
        <f>IFERROR(SUMIFS(TM[[#All],[Total Truncated Claims Spending]],TM[[#All],[Reporting Year]],2023,TM[[#All],[Insurance Category Code]],2,TM[[#All],[Large Provider Entity Code]],A289)/I289,"NA")</f>
        <v>NA</v>
      </c>
      <c r="N289" s="96" t="str">
        <f>IFERROR(SUMIFS(TM[[#All],[Total Truncated Expenses]],TM[[#All],[Reporting Year]],2023,TM[[#All],[Insurance Category Code]],2,TM[[#All],[Large Provider Entity Code]],A289)/I289,"NA")</f>
        <v>NA</v>
      </c>
      <c r="O289" s="518">
        <f t="shared" si="49"/>
        <v>0</v>
      </c>
      <c r="P289" s="243" t="str">
        <f t="shared" si="48"/>
        <v>NA</v>
      </c>
      <c r="Q289" s="97" t="str">
        <f t="shared" si="48"/>
        <v>NA</v>
      </c>
      <c r="R289" s="97" t="str">
        <f t="shared" si="48"/>
        <v>NA</v>
      </c>
      <c r="S289" s="97" t="str">
        <f t="shared" si="48"/>
        <v>NA</v>
      </c>
      <c r="T289" s="97" t="str">
        <f t="shared" si="48"/>
        <v>NA</v>
      </c>
      <c r="U289" s="97" t="str">
        <f t="shared" si="48"/>
        <v>NA</v>
      </c>
    </row>
    <row r="290" spans="1:21" x14ac:dyDescent="0.25">
      <c r="A290" s="218">
        <v>109</v>
      </c>
      <c r="B290" s="571" t="s">
        <v>76</v>
      </c>
      <c r="C290" s="8">
        <f>SUMIFS(TM[[#All],[Member Months]],TM[[#All],[Reporting Year]],2022,TM[[#All],[Insurance Category Code]],2,TM[[#All],[Large Provider Entity Code]],A290)</f>
        <v>0</v>
      </c>
      <c r="D290" s="7" t="str">
        <f>IFERROR(SUMIFS(TM[[#All],[Total Non-Truncated Claims Spending]],TM[[#All],[Reporting Year]],2022,TM[[#All],[Insurance Category Code]],2,TM[[#All],[Large Provider Entity Code]],A290)/C290,"NA")</f>
        <v>NA</v>
      </c>
      <c r="E290" s="7" t="str">
        <f>IFERROR(SUMIFS(TM[[#All],[Total Non-Claims Spending]],TM[[#All],[Reporting Year]],2022,TM[[#All],[Insurance Category Code]],2,TM[[#All],[Large Provider Entity Code]],A290)/C290,"NA")</f>
        <v>NA</v>
      </c>
      <c r="F290" s="7" t="str">
        <f>IFERROR(SUMIFS(TM[[#All],[Total Non-Truncated Claims and Non-Claims Spending]],TM[[#All],[Reporting Year]],2022,TM[[#All],[Insurance Category Code]],2,TM[[#All],[Large Provider Entity Code]],A290)/C290,"NA")</f>
        <v>NA</v>
      </c>
      <c r="G290" s="7" t="str">
        <f>IFERROR(SUMIFS(TM[[#All],[Total Truncated Claims Spending]],TM[[#All],[Reporting Year]],2022,TM[[#All],[Insurance Category Code]],2,TM[[#All],[Large Provider Entity Code]],A290)/C290,"NA")</f>
        <v>NA</v>
      </c>
      <c r="H290" s="204" t="str">
        <f>IFERROR(SUMIFS(TM[[#All],[Total Truncated Expenses]],TM[[#All],[Reporting Year]],2022,TM[[#All],[Insurance Category Code]],2,TM[[#All],[Large Provider Entity Code]],A290)/C290,"NA")</f>
        <v>NA</v>
      </c>
      <c r="I290" s="95">
        <f>SUMIFS(TM[[#All],[Member Months]],TM[[#All],[Reporting Year]],2023,TM[[#All],[Insurance Category Code]],2,TM[[#All],[Large Provider Entity Code]],A290)</f>
        <v>0</v>
      </c>
      <c r="J290" s="7" t="str">
        <f>IFERROR(SUMIFS(TM[[#All],[Total Non-Truncated Claims Spending]],TM[[#All],[Reporting Year]],2023,TM[[#All],[Insurance Category Code]],2,TM[[#All],[Large Provider Entity Code]],A290)/I290,"NA")</f>
        <v>NA</v>
      </c>
      <c r="K290" s="7" t="str">
        <f>IFERROR(SUMIFS(TM[[#All],[Total Non-Claims Spending]],TM[[#All],[Reporting Year]],2023,TM[[#All],[Insurance Category Code]],2,TM[[#All],[Large Provider Entity Code]],A290)/I290,"NA")</f>
        <v>NA</v>
      </c>
      <c r="L290" s="7" t="str">
        <f>IFERROR(SUMIFS(TM[[#All],[Total Non-Truncated Claims and Non-Claims Spending]],TM[[#All],[Reporting Year]],2023,TM[[#All],[Insurance Category Code]],2,TM[[#All],[Large Provider Entity Code]],A290)/I290,"NA")</f>
        <v>NA</v>
      </c>
      <c r="M290" s="7" t="str">
        <f>IFERROR(SUMIFS(TM[[#All],[Total Truncated Claims Spending]],TM[[#All],[Reporting Year]],2023,TM[[#All],[Insurance Category Code]],2,TM[[#All],[Large Provider Entity Code]],A290)/I290,"NA")</f>
        <v>NA</v>
      </c>
      <c r="N290" s="96" t="str">
        <f>IFERROR(SUMIFS(TM[[#All],[Total Truncated Expenses]],TM[[#All],[Reporting Year]],2023,TM[[#All],[Insurance Category Code]],2,TM[[#All],[Large Provider Entity Code]],A290)/I290,"NA")</f>
        <v>NA</v>
      </c>
      <c r="O290" s="518">
        <f t="shared" si="49"/>
        <v>0</v>
      </c>
      <c r="P290" s="243" t="str">
        <f t="shared" si="48"/>
        <v>NA</v>
      </c>
      <c r="Q290" s="97" t="str">
        <f t="shared" si="48"/>
        <v>NA</v>
      </c>
      <c r="R290" s="97" t="str">
        <f t="shared" si="48"/>
        <v>NA</v>
      </c>
      <c r="S290" s="97" t="str">
        <f t="shared" si="48"/>
        <v>NA</v>
      </c>
      <c r="T290" s="97" t="str">
        <f t="shared" si="48"/>
        <v>NA</v>
      </c>
      <c r="U290" s="97" t="str">
        <f t="shared" si="48"/>
        <v>NA</v>
      </c>
    </row>
    <row r="291" spans="1:21" x14ac:dyDescent="0.25">
      <c r="A291" s="218">
        <v>110</v>
      </c>
      <c r="B291" s="495" t="s">
        <v>77</v>
      </c>
      <c r="C291" s="8">
        <f>SUMIFS(TM[[#All],[Member Months]],TM[[#All],[Reporting Year]],2022,TM[[#All],[Insurance Category Code]],2,TM[[#All],[Large Provider Entity Code]],A291)</f>
        <v>0</v>
      </c>
      <c r="D291" s="7" t="str">
        <f>IFERROR(SUMIFS(TM[[#All],[Total Non-Truncated Claims Spending]],TM[[#All],[Reporting Year]],2022,TM[[#All],[Insurance Category Code]],2,TM[[#All],[Large Provider Entity Code]],A291)/C291,"NA")</f>
        <v>NA</v>
      </c>
      <c r="E291" s="7" t="str">
        <f>IFERROR(SUMIFS(TM[[#All],[Total Non-Claims Spending]],TM[[#All],[Reporting Year]],2022,TM[[#All],[Insurance Category Code]],2,TM[[#All],[Large Provider Entity Code]],A291)/C291,"NA")</f>
        <v>NA</v>
      </c>
      <c r="F291" s="7" t="str">
        <f>IFERROR(SUMIFS(TM[[#All],[Total Non-Truncated Claims and Non-Claims Spending]],TM[[#All],[Reporting Year]],2022,TM[[#All],[Insurance Category Code]],2,TM[[#All],[Large Provider Entity Code]],A291)/C291,"NA")</f>
        <v>NA</v>
      </c>
      <c r="G291" s="7" t="str">
        <f>IFERROR(SUMIFS(TM[[#All],[Total Truncated Claims Spending]],TM[[#All],[Reporting Year]],2022,TM[[#All],[Insurance Category Code]],2,TM[[#All],[Large Provider Entity Code]],A291)/C291,"NA")</f>
        <v>NA</v>
      </c>
      <c r="H291" s="204" t="str">
        <f>IFERROR(SUMIFS(TM[[#All],[Total Truncated Expenses]],TM[[#All],[Reporting Year]],2022,TM[[#All],[Insurance Category Code]],2,TM[[#All],[Large Provider Entity Code]],A291)/C291,"NA")</f>
        <v>NA</v>
      </c>
      <c r="I291" s="95">
        <f>SUMIFS(TM[[#All],[Member Months]],TM[[#All],[Reporting Year]],2023,TM[[#All],[Insurance Category Code]],2,TM[[#All],[Large Provider Entity Code]],A291)</f>
        <v>0</v>
      </c>
      <c r="J291" s="7" t="str">
        <f>IFERROR(SUMIFS(TM[[#All],[Total Non-Truncated Claims Spending]],TM[[#All],[Reporting Year]],2023,TM[[#All],[Insurance Category Code]],2,TM[[#All],[Large Provider Entity Code]],A291)/I291,"NA")</f>
        <v>NA</v>
      </c>
      <c r="K291" s="7" t="str">
        <f>IFERROR(SUMIFS(TM[[#All],[Total Non-Claims Spending]],TM[[#All],[Reporting Year]],2023,TM[[#All],[Insurance Category Code]],2,TM[[#All],[Large Provider Entity Code]],A291)/I291,"NA")</f>
        <v>NA</v>
      </c>
      <c r="L291" s="7" t="str">
        <f>IFERROR(SUMIFS(TM[[#All],[Total Non-Truncated Claims and Non-Claims Spending]],TM[[#All],[Reporting Year]],2023,TM[[#All],[Insurance Category Code]],2,TM[[#All],[Large Provider Entity Code]],A291)/I291,"NA")</f>
        <v>NA</v>
      </c>
      <c r="M291" s="7" t="str">
        <f>IFERROR(SUMIFS(TM[[#All],[Total Truncated Claims Spending]],TM[[#All],[Reporting Year]],2023,TM[[#All],[Insurance Category Code]],2,TM[[#All],[Large Provider Entity Code]],A291)/I291,"NA")</f>
        <v>NA</v>
      </c>
      <c r="N291" s="96" t="str">
        <f>IFERROR(SUMIFS(TM[[#All],[Total Truncated Expenses]],TM[[#All],[Reporting Year]],2023,TM[[#All],[Insurance Category Code]],2,TM[[#All],[Large Provider Entity Code]],A291)/I291,"NA")</f>
        <v>NA</v>
      </c>
      <c r="O291" s="518">
        <f t="shared" si="49"/>
        <v>0</v>
      </c>
      <c r="P291" s="243" t="str">
        <f t="shared" si="48"/>
        <v>NA</v>
      </c>
      <c r="Q291" s="97" t="str">
        <f t="shared" si="48"/>
        <v>NA</v>
      </c>
      <c r="R291" s="97" t="str">
        <f t="shared" si="48"/>
        <v>NA</v>
      </c>
      <c r="S291" s="97" t="str">
        <f t="shared" si="48"/>
        <v>NA</v>
      </c>
      <c r="T291" s="97" t="str">
        <f t="shared" si="48"/>
        <v>NA</v>
      </c>
      <c r="U291" s="97" t="str">
        <f t="shared" si="48"/>
        <v>NA</v>
      </c>
    </row>
    <row r="292" spans="1:21" x14ac:dyDescent="0.25">
      <c r="A292" s="218">
        <v>111</v>
      </c>
      <c r="B292" s="566" t="s">
        <v>78</v>
      </c>
      <c r="C292" s="8">
        <f>SUMIFS(TM[[#All],[Member Months]],TM[[#All],[Reporting Year]],2022,TM[[#All],[Insurance Category Code]],2,TM[[#All],[Large Provider Entity Code]],A292)</f>
        <v>0</v>
      </c>
      <c r="D292" s="7" t="str">
        <f>IFERROR(SUMIFS(TM[[#All],[Total Non-Truncated Claims Spending]],TM[[#All],[Reporting Year]],2022,TM[[#All],[Insurance Category Code]],2,TM[[#All],[Large Provider Entity Code]],A292)/C292,"NA")</f>
        <v>NA</v>
      </c>
      <c r="E292" s="7" t="str">
        <f>IFERROR(SUMIFS(TM[[#All],[Total Non-Claims Spending]],TM[[#All],[Reporting Year]],2022,TM[[#All],[Insurance Category Code]],2,TM[[#All],[Large Provider Entity Code]],A292)/C292,"NA")</f>
        <v>NA</v>
      </c>
      <c r="F292" s="7" t="str">
        <f>IFERROR(SUMIFS(TM[[#All],[Total Non-Truncated Claims and Non-Claims Spending]],TM[[#All],[Reporting Year]],2022,TM[[#All],[Insurance Category Code]],2,TM[[#All],[Large Provider Entity Code]],A292)/C292,"NA")</f>
        <v>NA</v>
      </c>
      <c r="G292" s="7" t="str">
        <f>IFERROR(SUMIFS(TM[[#All],[Total Truncated Claims Spending]],TM[[#All],[Reporting Year]],2022,TM[[#All],[Insurance Category Code]],2,TM[[#All],[Large Provider Entity Code]],A292)/C292,"NA")</f>
        <v>NA</v>
      </c>
      <c r="H292" s="204" t="str">
        <f>IFERROR(SUMIFS(TM[[#All],[Total Truncated Expenses]],TM[[#All],[Reporting Year]],2022,TM[[#All],[Insurance Category Code]],2,TM[[#All],[Large Provider Entity Code]],A292)/C292,"NA")</f>
        <v>NA</v>
      </c>
      <c r="I292" s="95">
        <f>SUMIFS(TM[[#All],[Member Months]],TM[[#All],[Reporting Year]],2023,TM[[#All],[Insurance Category Code]],2,TM[[#All],[Large Provider Entity Code]],A292)</f>
        <v>0</v>
      </c>
      <c r="J292" s="7" t="str">
        <f>IFERROR(SUMIFS(TM[[#All],[Total Non-Truncated Claims Spending]],TM[[#All],[Reporting Year]],2023,TM[[#All],[Insurance Category Code]],2,TM[[#All],[Large Provider Entity Code]],A292)/I292,"NA")</f>
        <v>NA</v>
      </c>
      <c r="K292" s="7" t="str">
        <f>IFERROR(SUMIFS(TM[[#All],[Total Non-Claims Spending]],TM[[#All],[Reporting Year]],2023,TM[[#All],[Insurance Category Code]],2,TM[[#All],[Large Provider Entity Code]],A292)/I292,"NA")</f>
        <v>NA</v>
      </c>
      <c r="L292" s="7" t="str">
        <f>IFERROR(SUMIFS(TM[[#All],[Total Non-Truncated Claims and Non-Claims Spending]],TM[[#All],[Reporting Year]],2023,TM[[#All],[Insurance Category Code]],2,TM[[#All],[Large Provider Entity Code]],A292)/I292,"NA")</f>
        <v>NA</v>
      </c>
      <c r="M292" s="7" t="str">
        <f>IFERROR(SUMIFS(TM[[#All],[Total Truncated Claims Spending]],TM[[#All],[Reporting Year]],2023,TM[[#All],[Insurance Category Code]],2,TM[[#All],[Large Provider Entity Code]],A292)/I292,"NA")</f>
        <v>NA</v>
      </c>
      <c r="N292" s="96" t="str">
        <f>IFERROR(SUMIFS(TM[[#All],[Total Truncated Expenses]],TM[[#All],[Reporting Year]],2023,TM[[#All],[Insurance Category Code]],2,TM[[#All],[Large Provider Entity Code]],A292)/I292,"NA")</f>
        <v>NA</v>
      </c>
      <c r="O292" s="518">
        <f t="shared" si="49"/>
        <v>0</v>
      </c>
      <c r="P292" s="243" t="str">
        <f t="shared" si="48"/>
        <v>NA</v>
      </c>
      <c r="Q292" s="97" t="str">
        <f t="shared" si="48"/>
        <v>NA</v>
      </c>
      <c r="R292" s="97" t="str">
        <f t="shared" si="48"/>
        <v>NA</v>
      </c>
      <c r="S292" s="97" t="str">
        <f t="shared" si="48"/>
        <v>NA</v>
      </c>
      <c r="T292" s="97" t="str">
        <f t="shared" si="48"/>
        <v>NA</v>
      </c>
      <c r="U292" s="97" t="str">
        <f t="shared" si="48"/>
        <v>NA</v>
      </c>
    </row>
    <row r="293" spans="1:21" x14ac:dyDescent="0.25">
      <c r="A293" s="218">
        <v>112</v>
      </c>
      <c r="B293" s="566" t="s">
        <v>613</v>
      </c>
      <c r="C293" s="8">
        <f>SUMIFS(TM[[#All],[Member Months]],TM[[#All],[Reporting Year]],2022,TM[[#All],[Insurance Category Code]],2,TM[[#All],[Large Provider Entity Code]],A293)</f>
        <v>0</v>
      </c>
      <c r="D293" s="7" t="str">
        <f>IFERROR(SUMIFS(TM[[#All],[Total Non-Truncated Claims Spending]],TM[[#All],[Reporting Year]],2022,TM[[#All],[Insurance Category Code]],2,TM[[#All],[Large Provider Entity Code]],A293)/C293,"NA")</f>
        <v>NA</v>
      </c>
      <c r="E293" s="7" t="str">
        <f>IFERROR(SUMIFS(TM[[#All],[Total Non-Claims Spending]],TM[[#All],[Reporting Year]],2022,TM[[#All],[Insurance Category Code]],2,TM[[#All],[Large Provider Entity Code]],A293)/C293,"NA")</f>
        <v>NA</v>
      </c>
      <c r="F293" s="7" t="str">
        <f>IFERROR(SUMIFS(TM[[#All],[Total Non-Truncated Claims and Non-Claims Spending]],TM[[#All],[Reporting Year]],2022,TM[[#All],[Insurance Category Code]],2,TM[[#All],[Large Provider Entity Code]],A293)/C293,"NA")</f>
        <v>NA</v>
      </c>
      <c r="G293" s="7" t="str">
        <f>IFERROR(SUMIFS(TM[[#All],[Total Truncated Claims Spending]],TM[[#All],[Reporting Year]],2022,TM[[#All],[Insurance Category Code]],2,TM[[#All],[Large Provider Entity Code]],A293)/C293,"NA")</f>
        <v>NA</v>
      </c>
      <c r="H293" s="204" t="str">
        <f>IFERROR(SUMIFS(TM[[#All],[Total Truncated Expenses]],TM[[#All],[Reporting Year]],2022,TM[[#All],[Insurance Category Code]],2,TM[[#All],[Large Provider Entity Code]],A293)/C293,"NA")</f>
        <v>NA</v>
      </c>
      <c r="I293" s="95">
        <f>SUMIFS(TM[[#All],[Member Months]],TM[[#All],[Reporting Year]],2023,TM[[#All],[Insurance Category Code]],2,TM[[#All],[Large Provider Entity Code]],A293)</f>
        <v>0</v>
      </c>
      <c r="J293" s="7" t="str">
        <f>IFERROR(SUMIFS(TM[[#All],[Total Non-Truncated Claims Spending]],TM[[#All],[Reporting Year]],2023,TM[[#All],[Insurance Category Code]],2,TM[[#All],[Large Provider Entity Code]],A293)/I293,"NA")</f>
        <v>NA</v>
      </c>
      <c r="K293" s="7" t="str">
        <f>IFERROR(SUMIFS(TM[[#All],[Total Non-Claims Spending]],TM[[#All],[Reporting Year]],2023,TM[[#All],[Insurance Category Code]],2,TM[[#All],[Large Provider Entity Code]],A293)/I293,"NA")</f>
        <v>NA</v>
      </c>
      <c r="L293" s="7" t="str">
        <f>IFERROR(SUMIFS(TM[[#All],[Total Non-Truncated Claims and Non-Claims Spending]],TM[[#All],[Reporting Year]],2023,TM[[#All],[Insurance Category Code]],2,TM[[#All],[Large Provider Entity Code]],A293)/I293,"NA")</f>
        <v>NA</v>
      </c>
      <c r="M293" s="7" t="str">
        <f>IFERROR(SUMIFS(TM[[#All],[Total Truncated Claims Spending]],TM[[#All],[Reporting Year]],2023,TM[[#All],[Insurance Category Code]],2,TM[[#All],[Large Provider Entity Code]],A293)/I293,"NA")</f>
        <v>NA</v>
      </c>
      <c r="N293" s="96" t="str">
        <f>IFERROR(SUMIFS(TM[[#All],[Total Truncated Expenses]],TM[[#All],[Reporting Year]],2023,TM[[#All],[Insurance Category Code]],2,TM[[#All],[Large Provider Entity Code]],A293)/I293,"NA")</f>
        <v>NA</v>
      </c>
      <c r="O293" s="518">
        <f t="shared" si="49"/>
        <v>0</v>
      </c>
      <c r="P293" s="243" t="str">
        <f t="shared" si="48"/>
        <v>NA</v>
      </c>
      <c r="Q293" s="97" t="str">
        <f t="shared" si="48"/>
        <v>NA</v>
      </c>
      <c r="R293" s="97" t="str">
        <f t="shared" si="48"/>
        <v>NA</v>
      </c>
      <c r="S293" s="97" t="str">
        <f t="shared" si="48"/>
        <v>NA</v>
      </c>
      <c r="T293" s="97" t="str">
        <f t="shared" si="48"/>
        <v>NA</v>
      </c>
      <c r="U293" s="97" t="str">
        <f t="shared" si="48"/>
        <v>NA</v>
      </c>
    </row>
    <row r="294" spans="1:21" x14ac:dyDescent="0.25">
      <c r="A294" s="218">
        <v>115</v>
      </c>
      <c r="B294" s="566" t="s">
        <v>79</v>
      </c>
      <c r="C294" s="8">
        <f>SUMIFS(TM[[#All],[Member Months]],TM[[#All],[Reporting Year]],2022,TM[[#All],[Insurance Category Code]],2,TM[[#All],[Large Provider Entity Code]],A294)</f>
        <v>0</v>
      </c>
      <c r="D294" s="7" t="str">
        <f>IFERROR(SUMIFS(TM[[#All],[Total Non-Truncated Claims Spending]],TM[[#All],[Reporting Year]],2022,TM[[#All],[Insurance Category Code]],2,TM[[#All],[Large Provider Entity Code]],A294)/C294,"NA")</f>
        <v>NA</v>
      </c>
      <c r="E294" s="7" t="str">
        <f>IFERROR(SUMIFS(TM[[#All],[Total Non-Claims Spending]],TM[[#All],[Reporting Year]],2022,TM[[#All],[Insurance Category Code]],2,TM[[#All],[Large Provider Entity Code]],A294)/C294,"NA")</f>
        <v>NA</v>
      </c>
      <c r="F294" s="7" t="str">
        <f>IFERROR(SUMIFS(TM[[#All],[Total Non-Truncated Claims and Non-Claims Spending]],TM[[#All],[Reporting Year]],2022,TM[[#All],[Insurance Category Code]],2,TM[[#All],[Large Provider Entity Code]],A294)/C294,"NA")</f>
        <v>NA</v>
      </c>
      <c r="G294" s="7" t="str">
        <f>IFERROR(SUMIFS(TM[[#All],[Total Truncated Claims Spending]],TM[[#All],[Reporting Year]],2022,TM[[#All],[Insurance Category Code]],2,TM[[#All],[Large Provider Entity Code]],A294)/C294,"NA")</f>
        <v>NA</v>
      </c>
      <c r="H294" s="204" t="str">
        <f>IFERROR(SUMIFS(TM[[#All],[Total Truncated Expenses]],TM[[#All],[Reporting Year]],2022,TM[[#All],[Insurance Category Code]],2,TM[[#All],[Large Provider Entity Code]],A294)/C294,"NA")</f>
        <v>NA</v>
      </c>
      <c r="I294" s="95">
        <f>SUMIFS(TM[[#All],[Member Months]],TM[[#All],[Reporting Year]],2023,TM[[#All],[Insurance Category Code]],2,TM[[#All],[Large Provider Entity Code]],A294)</f>
        <v>0</v>
      </c>
      <c r="J294" s="7" t="str">
        <f>IFERROR(SUMIFS(TM[[#All],[Total Non-Truncated Claims Spending]],TM[[#All],[Reporting Year]],2023,TM[[#All],[Insurance Category Code]],2,TM[[#All],[Large Provider Entity Code]],A294)/I294,"NA")</f>
        <v>NA</v>
      </c>
      <c r="K294" s="7" t="str">
        <f>IFERROR(SUMIFS(TM[[#All],[Total Non-Claims Spending]],TM[[#All],[Reporting Year]],2023,TM[[#All],[Insurance Category Code]],2,TM[[#All],[Large Provider Entity Code]],A294)/I294,"NA")</f>
        <v>NA</v>
      </c>
      <c r="L294" s="7" t="str">
        <f>IFERROR(SUMIFS(TM[[#All],[Total Non-Truncated Claims and Non-Claims Spending]],TM[[#All],[Reporting Year]],2023,TM[[#All],[Insurance Category Code]],2,TM[[#All],[Large Provider Entity Code]],A294)/I294,"NA")</f>
        <v>NA</v>
      </c>
      <c r="M294" s="7" t="str">
        <f>IFERROR(SUMIFS(TM[[#All],[Total Truncated Claims Spending]],TM[[#All],[Reporting Year]],2023,TM[[#All],[Insurance Category Code]],2,TM[[#All],[Large Provider Entity Code]],A294)/I294,"NA")</f>
        <v>NA</v>
      </c>
      <c r="N294" s="96" t="str">
        <f>IFERROR(SUMIFS(TM[[#All],[Total Truncated Expenses]],TM[[#All],[Reporting Year]],2023,TM[[#All],[Insurance Category Code]],2,TM[[#All],[Large Provider Entity Code]],A294)/I294,"NA")</f>
        <v>NA</v>
      </c>
      <c r="O294" s="518">
        <f t="shared" si="49"/>
        <v>0</v>
      </c>
      <c r="P294" s="243" t="str">
        <f t="shared" si="48"/>
        <v>NA</v>
      </c>
      <c r="Q294" s="97" t="str">
        <f t="shared" si="48"/>
        <v>NA</v>
      </c>
      <c r="R294" s="97" t="str">
        <f t="shared" si="48"/>
        <v>NA</v>
      </c>
      <c r="S294" s="97" t="str">
        <f t="shared" si="48"/>
        <v>NA</v>
      </c>
      <c r="T294" s="97" t="str">
        <f t="shared" si="48"/>
        <v>NA</v>
      </c>
      <c r="U294" s="97" t="str">
        <f t="shared" si="48"/>
        <v>NA</v>
      </c>
    </row>
    <row r="295" spans="1:21" x14ac:dyDescent="0.25">
      <c r="A295" s="218">
        <v>116</v>
      </c>
      <c r="B295" s="566" t="s">
        <v>614</v>
      </c>
      <c r="C295" s="8">
        <f>SUMIFS(TM[[#All],[Member Months]],TM[[#All],[Reporting Year]],2022,TM[[#All],[Insurance Category Code]],2,TM[[#All],[Large Provider Entity Code]],A295)</f>
        <v>0</v>
      </c>
      <c r="D295" s="7" t="str">
        <f>IFERROR(SUMIFS(TM[[#All],[Total Non-Truncated Claims Spending]],TM[[#All],[Reporting Year]],2022,TM[[#All],[Insurance Category Code]],2,TM[[#All],[Large Provider Entity Code]],A295)/C295,"NA")</f>
        <v>NA</v>
      </c>
      <c r="E295" s="7" t="str">
        <f>IFERROR(SUMIFS(TM[[#All],[Total Non-Claims Spending]],TM[[#All],[Reporting Year]],2022,TM[[#All],[Insurance Category Code]],2,TM[[#All],[Large Provider Entity Code]],A295)/C295,"NA")</f>
        <v>NA</v>
      </c>
      <c r="F295" s="7" t="str">
        <f>IFERROR(SUMIFS(TM[[#All],[Total Non-Truncated Claims and Non-Claims Spending]],TM[[#All],[Reporting Year]],2022,TM[[#All],[Insurance Category Code]],2,TM[[#All],[Large Provider Entity Code]],A295)/C295,"NA")</f>
        <v>NA</v>
      </c>
      <c r="G295" s="7" t="str">
        <f>IFERROR(SUMIFS(TM[[#All],[Total Truncated Claims Spending]],TM[[#All],[Reporting Year]],2022,TM[[#All],[Insurance Category Code]],2,TM[[#All],[Large Provider Entity Code]],A295)/C295,"NA")</f>
        <v>NA</v>
      </c>
      <c r="H295" s="204" t="str">
        <f>IFERROR(SUMIFS(TM[[#All],[Total Truncated Expenses]],TM[[#All],[Reporting Year]],2022,TM[[#All],[Insurance Category Code]],2,TM[[#All],[Large Provider Entity Code]],A295)/C295,"NA")</f>
        <v>NA</v>
      </c>
      <c r="I295" s="95">
        <f>SUMIFS(TM[[#All],[Member Months]],TM[[#All],[Reporting Year]],2023,TM[[#All],[Insurance Category Code]],2,TM[[#All],[Large Provider Entity Code]],A295)</f>
        <v>0</v>
      </c>
      <c r="J295" s="7" t="str">
        <f>IFERROR(SUMIFS(TM[[#All],[Total Non-Truncated Claims Spending]],TM[[#All],[Reporting Year]],2023,TM[[#All],[Insurance Category Code]],2,TM[[#All],[Large Provider Entity Code]],A295)/I295,"NA")</f>
        <v>NA</v>
      </c>
      <c r="K295" s="7" t="str">
        <f>IFERROR(SUMIFS(TM[[#All],[Total Non-Claims Spending]],TM[[#All],[Reporting Year]],2023,TM[[#All],[Insurance Category Code]],2,TM[[#All],[Large Provider Entity Code]],A295)/I295,"NA")</f>
        <v>NA</v>
      </c>
      <c r="L295" s="7" t="str">
        <f>IFERROR(SUMIFS(TM[[#All],[Total Non-Truncated Claims and Non-Claims Spending]],TM[[#All],[Reporting Year]],2023,TM[[#All],[Insurance Category Code]],2,TM[[#All],[Large Provider Entity Code]],A295)/I295,"NA")</f>
        <v>NA</v>
      </c>
      <c r="M295" s="7" t="str">
        <f>IFERROR(SUMIFS(TM[[#All],[Total Truncated Claims Spending]],TM[[#All],[Reporting Year]],2023,TM[[#All],[Insurance Category Code]],2,TM[[#All],[Large Provider Entity Code]],A295)/I295,"NA")</f>
        <v>NA</v>
      </c>
      <c r="N295" s="96" t="str">
        <f>IFERROR(SUMIFS(TM[[#All],[Total Truncated Expenses]],TM[[#All],[Reporting Year]],2023,TM[[#All],[Insurance Category Code]],2,TM[[#All],[Large Provider Entity Code]],A295)/I295,"NA")</f>
        <v>NA</v>
      </c>
      <c r="O295" s="518">
        <f t="shared" si="49"/>
        <v>0</v>
      </c>
      <c r="P295" s="243" t="str">
        <f t="shared" si="48"/>
        <v>NA</v>
      </c>
      <c r="Q295" s="97" t="str">
        <f t="shared" si="48"/>
        <v>NA</v>
      </c>
      <c r="R295" s="97" t="str">
        <f t="shared" si="48"/>
        <v>NA</v>
      </c>
      <c r="S295" s="97" t="str">
        <f t="shared" si="48"/>
        <v>NA</v>
      </c>
      <c r="T295" s="97" t="str">
        <f t="shared" si="48"/>
        <v>NA</v>
      </c>
      <c r="U295" s="97" t="str">
        <f t="shared" si="48"/>
        <v>NA</v>
      </c>
    </row>
    <row r="296" spans="1:21" x14ac:dyDescent="0.25">
      <c r="A296" s="218">
        <v>118</v>
      </c>
      <c r="B296" s="566" t="s">
        <v>80</v>
      </c>
      <c r="C296" s="8">
        <f>SUMIFS(TM[[#All],[Member Months]],TM[[#All],[Reporting Year]],2022,TM[[#All],[Insurance Category Code]],2,TM[[#All],[Large Provider Entity Code]],A296)</f>
        <v>0</v>
      </c>
      <c r="D296" s="7" t="str">
        <f>IFERROR(SUMIFS(TM[[#All],[Total Non-Truncated Claims Spending]],TM[[#All],[Reporting Year]],2022,TM[[#All],[Insurance Category Code]],2,TM[[#All],[Large Provider Entity Code]],A296)/C296,"NA")</f>
        <v>NA</v>
      </c>
      <c r="E296" s="7" t="str">
        <f>IFERROR(SUMIFS(TM[[#All],[Total Non-Claims Spending]],TM[[#All],[Reporting Year]],2022,TM[[#All],[Insurance Category Code]],2,TM[[#All],[Large Provider Entity Code]],A296)/C296,"NA")</f>
        <v>NA</v>
      </c>
      <c r="F296" s="7" t="str">
        <f>IFERROR(SUMIFS(TM[[#All],[Total Non-Truncated Claims and Non-Claims Spending]],TM[[#All],[Reporting Year]],2022,TM[[#All],[Insurance Category Code]],2,TM[[#All],[Large Provider Entity Code]],A296)/C296,"NA")</f>
        <v>NA</v>
      </c>
      <c r="G296" s="7" t="str">
        <f>IFERROR(SUMIFS(TM[[#All],[Total Truncated Claims Spending]],TM[[#All],[Reporting Year]],2022,TM[[#All],[Insurance Category Code]],2,TM[[#All],[Large Provider Entity Code]],A296)/C296,"NA")</f>
        <v>NA</v>
      </c>
      <c r="H296" s="204" t="str">
        <f>IFERROR(SUMIFS(TM[[#All],[Total Truncated Expenses]],TM[[#All],[Reporting Year]],2022,TM[[#All],[Insurance Category Code]],2,TM[[#All],[Large Provider Entity Code]],A296)/C296,"NA")</f>
        <v>NA</v>
      </c>
      <c r="I296" s="95">
        <f>SUMIFS(TM[[#All],[Member Months]],TM[[#All],[Reporting Year]],2023,TM[[#All],[Insurance Category Code]],2,TM[[#All],[Large Provider Entity Code]],A296)</f>
        <v>0</v>
      </c>
      <c r="J296" s="7" t="str">
        <f>IFERROR(SUMIFS(TM[[#All],[Total Non-Truncated Claims Spending]],TM[[#All],[Reporting Year]],2023,TM[[#All],[Insurance Category Code]],2,TM[[#All],[Large Provider Entity Code]],A296)/I296,"NA")</f>
        <v>NA</v>
      </c>
      <c r="K296" s="7" t="str">
        <f>IFERROR(SUMIFS(TM[[#All],[Total Non-Claims Spending]],TM[[#All],[Reporting Year]],2023,TM[[#All],[Insurance Category Code]],2,TM[[#All],[Large Provider Entity Code]],A296)/I296,"NA")</f>
        <v>NA</v>
      </c>
      <c r="L296" s="7" t="str">
        <f>IFERROR(SUMIFS(TM[[#All],[Total Non-Truncated Claims and Non-Claims Spending]],TM[[#All],[Reporting Year]],2023,TM[[#All],[Insurance Category Code]],2,TM[[#All],[Large Provider Entity Code]],A296)/I296,"NA")</f>
        <v>NA</v>
      </c>
      <c r="M296" s="7" t="str">
        <f>IFERROR(SUMIFS(TM[[#All],[Total Truncated Claims Spending]],TM[[#All],[Reporting Year]],2023,TM[[#All],[Insurance Category Code]],2,TM[[#All],[Large Provider Entity Code]],A296)/I296,"NA")</f>
        <v>NA</v>
      </c>
      <c r="N296" s="96" t="str">
        <f>IFERROR(SUMIFS(TM[[#All],[Total Truncated Expenses]],TM[[#All],[Reporting Year]],2023,TM[[#All],[Insurance Category Code]],2,TM[[#All],[Large Provider Entity Code]],A296)/I296,"NA")</f>
        <v>NA</v>
      </c>
      <c r="O296" s="518">
        <f t="shared" si="49"/>
        <v>0</v>
      </c>
      <c r="P296" s="243" t="str">
        <f t="shared" si="48"/>
        <v>NA</v>
      </c>
      <c r="Q296" s="97" t="str">
        <f t="shared" si="48"/>
        <v>NA</v>
      </c>
      <c r="R296" s="97" t="str">
        <f t="shared" si="48"/>
        <v>NA</v>
      </c>
      <c r="S296" s="97" t="str">
        <f t="shared" si="48"/>
        <v>NA</v>
      </c>
      <c r="T296" s="97" t="str">
        <f t="shared" si="48"/>
        <v>NA</v>
      </c>
      <c r="U296" s="97" t="str">
        <f t="shared" si="48"/>
        <v>NA</v>
      </c>
    </row>
    <row r="297" spans="1:21" x14ac:dyDescent="0.25">
      <c r="A297" s="218">
        <v>119</v>
      </c>
      <c r="B297" s="566" t="s">
        <v>615</v>
      </c>
      <c r="C297" s="8">
        <f>SUMIFS(TM[[#All],[Member Months]],TM[[#All],[Reporting Year]],2022,TM[[#All],[Insurance Category Code]],2,TM[[#All],[Large Provider Entity Code]],A297)</f>
        <v>0</v>
      </c>
      <c r="D297" s="7" t="str">
        <f>IFERROR(SUMIFS(TM[[#All],[Total Non-Truncated Claims Spending]],TM[[#All],[Reporting Year]],2022,TM[[#All],[Insurance Category Code]],2,TM[[#All],[Large Provider Entity Code]],A297)/C297,"NA")</f>
        <v>NA</v>
      </c>
      <c r="E297" s="7" t="str">
        <f>IFERROR(SUMIFS(TM[[#All],[Total Non-Claims Spending]],TM[[#All],[Reporting Year]],2022,TM[[#All],[Insurance Category Code]],2,TM[[#All],[Large Provider Entity Code]],A297)/C297,"NA")</f>
        <v>NA</v>
      </c>
      <c r="F297" s="7" t="str">
        <f>IFERROR(SUMIFS(TM[[#All],[Total Non-Truncated Claims and Non-Claims Spending]],TM[[#All],[Reporting Year]],2022,TM[[#All],[Insurance Category Code]],2,TM[[#All],[Large Provider Entity Code]],A297)/C297,"NA")</f>
        <v>NA</v>
      </c>
      <c r="G297" s="7" t="str">
        <f>IFERROR(SUMIFS(TM[[#All],[Total Truncated Claims Spending]],TM[[#All],[Reporting Year]],2022,TM[[#All],[Insurance Category Code]],2,TM[[#All],[Large Provider Entity Code]],A297)/C297,"NA")</f>
        <v>NA</v>
      </c>
      <c r="H297" s="204" t="str">
        <f>IFERROR(SUMIFS(TM[[#All],[Total Truncated Expenses]],TM[[#All],[Reporting Year]],2022,TM[[#All],[Insurance Category Code]],2,TM[[#All],[Large Provider Entity Code]],A297)/C297,"NA")</f>
        <v>NA</v>
      </c>
      <c r="I297" s="95">
        <f>SUMIFS(TM[[#All],[Member Months]],TM[[#All],[Reporting Year]],2023,TM[[#All],[Insurance Category Code]],2,TM[[#All],[Large Provider Entity Code]],A297)</f>
        <v>0</v>
      </c>
      <c r="J297" s="7" t="str">
        <f>IFERROR(SUMIFS(TM[[#All],[Total Non-Truncated Claims Spending]],TM[[#All],[Reporting Year]],2023,TM[[#All],[Insurance Category Code]],2,TM[[#All],[Large Provider Entity Code]],A297)/I297,"NA")</f>
        <v>NA</v>
      </c>
      <c r="K297" s="7" t="str">
        <f>IFERROR(SUMIFS(TM[[#All],[Total Non-Claims Spending]],TM[[#All],[Reporting Year]],2023,TM[[#All],[Insurance Category Code]],2,TM[[#All],[Large Provider Entity Code]],A297)/I297,"NA")</f>
        <v>NA</v>
      </c>
      <c r="L297" s="7" t="str">
        <f>IFERROR(SUMIFS(TM[[#All],[Total Non-Truncated Claims and Non-Claims Spending]],TM[[#All],[Reporting Year]],2023,TM[[#All],[Insurance Category Code]],2,TM[[#All],[Large Provider Entity Code]],A297)/I297,"NA")</f>
        <v>NA</v>
      </c>
      <c r="M297" s="7" t="str">
        <f>IFERROR(SUMIFS(TM[[#All],[Total Truncated Claims Spending]],TM[[#All],[Reporting Year]],2023,TM[[#All],[Insurance Category Code]],2,TM[[#All],[Large Provider Entity Code]],A297)/I297,"NA")</f>
        <v>NA</v>
      </c>
      <c r="N297" s="96" t="str">
        <f>IFERROR(SUMIFS(TM[[#All],[Total Truncated Expenses]],TM[[#All],[Reporting Year]],2023,TM[[#All],[Insurance Category Code]],2,TM[[#All],[Large Provider Entity Code]],A297)/I297,"NA")</f>
        <v>NA</v>
      </c>
      <c r="O297" s="518">
        <f t="shared" si="49"/>
        <v>0</v>
      </c>
      <c r="P297" s="243" t="str">
        <f t="shared" si="48"/>
        <v>NA</v>
      </c>
      <c r="Q297" s="97" t="str">
        <f t="shared" si="48"/>
        <v>NA</v>
      </c>
      <c r="R297" s="97" t="str">
        <f t="shared" si="48"/>
        <v>NA</v>
      </c>
      <c r="S297" s="97" t="str">
        <f t="shared" si="48"/>
        <v>NA</v>
      </c>
      <c r="T297" s="97" t="str">
        <f t="shared" si="48"/>
        <v>NA</v>
      </c>
      <c r="U297" s="97" t="str">
        <f t="shared" si="48"/>
        <v>NA</v>
      </c>
    </row>
    <row r="298" spans="1:21" x14ac:dyDescent="0.25">
      <c r="A298" s="218">
        <v>120</v>
      </c>
      <c r="B298" s="566" t="s">
        <v>608</v>
      </c>
      <c r="C298" s="8">
        <f>SUMIFS(TM[[#All],[Member Months]],TM[[#All],[Reporting Year]],2022,TM[[#All],[Insurance Category Code]],2,TM[[#All],[Large Provider Entity Code]],A298)</f>
        <v>0</v>
      </c>
      <c r="D298" s="7" t="str">
        <f>IFERROR(SUMIFS(TM[[#All],[Total Non-Truncated Claims Spending]],TM[[#All],[Reporting Year]],2022,TM[[#All],[Insurance Category Code]],2,TM[[#All],[Large Provider Entity Code]],A298)/C298,"NA")</f>
        <v>NA</v>
      </c>
      <c r="E298" s="7" t="str">
        <f>IFERROR(SUMIFS(TM[[#All],[Total Non-Claims Spending]],TM[[#All],[Reporting Year]],2022,TM[[#All],[Insurance Category Code]],2,TM[[#All],[Large Provider Entity Code]],A298)/C298,"NA")</f>
        <v>NA</v>
      </c>
      <c r="F298" s="7" t="str">
        <f>IFERROR(SUMIFS(TM[[#All],[Total Non-Truncated Claims and Non-Claims Spending]],TM[[#All],[Reporting Year]],2022,TM[[#All],[Insurance Category Code]],2,TM[[#All],[Large Provider Entity Code]],A298)/C298,"NA")</f>
        <v>NA</v>
      </c>
      <c r="G298" s="7" t="str">
        <f>IFERROR(SUMIFS(TM[[#All],[Total Truncated Claims Spending]],TM[[#All],[Reporting Year]],2022,TM[[#All],[Insurance Category Code]],2,TM[[#All],[Large Provider Entity Code]],A298)/C298,"NA")</f>
        <v>NA</v>
      </c>
      <c r="H298" s="204" t="str">
        <f>IFERROR(SUMIFS(TM[[#All],[Total Truncated Expenses]],TM[[#All],[Reporting Year]],2022,TM[[#All],[Insurance Category Code]],2,TM[[#All],[Large Provider Entity Code]],A298)/C298,"NA")</f>
        <v>NA</v>
      </c>
      <c r="I298" s="95">
        <f>SUMIFS(TM[[#All],[Member Months]],TM[[#All],[Reporting Year]],2023,TM[[#All],[Insurance Category Code]],2,TM[[#All],[Large Provider Entity Code]],A298)</f>
        <v>0</v>
      </c>
      <c r="J298" s="7" t="str">
        <f>IFERROR(SUMIFS(TM[[#All],[Total Non-Truncated Claims Spending]],TM[[#All],[Reporting Year]],2023,TM[[#All],[Insurance Category Code]],2,TM[[#All],[Large Provider Entity Code]],A298)/I298,"NA")</f>
        <v>NA</v>
      </c>
      <c r="K298" s="7" t="str">
        <f>IFERROR(SUMIFS(TM[[#All],[Total Non-Claims Spending]],TM[[#All],[Reporting Year]],2023,TM[[#All],[Insurance Category Code]],2,TM[[#All],[Large Provider Entity Code]],A298)/I298,"NA")</f>
        <v>NA</v>
      </c>
      <c r="L298" s="7" t="str">
        <f>IFERROR(SUMIFS(TM[[#All],[Total Non-Truncated Claims and Non-Claims Spending]],TM[[#All],[Reporting Year]],2023,TM[[#All],[Insurance Category Code]],2,TM[[#All],[Large Provider Entity Code]],A298)/I298,"NA")</f>
        <v>NA</v>
      </c>
      <c r="M298" s="7" t="str">
        <f>IFERROR(SUMIFS(TM[[#All],[Total Truncated Claims Spending]],TM[[#All],[Reporting Year]],2023,TM[[#All],[Insurance Category Code]],2,TM[[#All],[Large Provider Entity Code]],A298)/I298,"NA")</f>
        <v>NA</v>
      </c>
      <c r="N298" s="96" t="str">
        <f>IFERROR(SUMIFS(TM[[#All],[Total Truncated Expenses]],TM[[#All],[Reporting Year]],2023,TM[[#All],[Insurance Category Code]],2,TM[[#All],[Large Provider Entity Code]],A298)/I298,"NA")</f>
        <v>NA</v>
      </c>
      <c r="O298" s="518">
        <f t="shared" si="49"/>
        <v>0</v>
      </c>
      <c r="P298" s="243" t="str">
        <f t="shared" si="48"/>
        <v>NA</v>
      </c>
      <c r="Q298" s="97" t="str">
        <f t="shared" si="48"/>
        <v>NA</v>
      </c>
      <c r="R298" s="97" t="str">
        <f t="shared" si="48"/>
        <v>NA</v>
      </c>
      <c r="S298" s="97" t="str">
        <f t="shared" si="48"/>
        <v>NA</v>
      </c>
      <c r="T298" s="97" t="str">
        <f t="shared" si="48"/>
        <v>NA</v>
      </c>
      <c r="U298" s="97" t="str">
        <f t="shared" si="48"/>
        <v>NA</v>
      </c>
    </row>
    <row r="299" spans="1:21" ht="30" x14ac:dyDescent="0.25">
      <c r="A299" s="218">
        <v>121</v>
      </c>
      <c r="B299" s="495" t="s">
        <v>616</v>
      </c>
      <c r="C299" s="8">
        <f>SUMIFS(TM[[#All],[Member Months]],TM[[#All],[Reporting Year]],2022,TM[[#All],[Insurance Category Code]],2,TM[[#All],[Large Provider Entity Code]],A299)</f>
        <v>0</v>
      </c>
      <c r="D299" s="7" t="str">
        <f>IFERROR(SUMIFS(TM[[#All],[Total Non-Truncated Claims Spending]],TM[[#All],[Reporting Year]],2022,TM[[#All],[Insurance Category Code]],2,TM[[#All],[Large Provider Entity Code]],A299)/C299,"NA")</f>
        <v>NA</v>
      </c>
      <c r="E299" s="7" t="str">
        <f>IFERROR(SUMIFS(TM[[#All],[Total Non-Claims Spending]],TM[[#All],[Reporting Year]],2022,TM[[#All],[Insurance Category Code]],2,TM[[#All],[Large Provider Entity Code]],A299)/C299,"NA")</f>
        <v>NA</v>
      </c>
      <c r="F299" s="7" t="str">
        <f>IFERROR(SUMIFS(TM[[#All],[Total Non-Truncated Claims and Non-Claims Spending]],TM[[#All],[Reporting Year]],2022,TM[[#All],[Insurance Category Code]],2,TM[[#All],[Large Provider Entity Code]],A299)/C299,"NA")</f>
        <v>NA</v>
      </c>
      <c r="G299" s="7" t="str">
        <f>IFERROR(SUMIFS(TM[[#All],[Total Truncated Claims Spending]],TM[[#All],[Reporting Year]],2022,TM[[#All],[Insurance Category Code]],2,TM[[#All],[Large Provider Entity Code]],A299)/C299,"NA")</f>
        <v>NA</v>
      </c>
      <c r="H299" s="204" t="str">
        <f>IFERROR(SUMIFS(TM[[#All],[Total Truncated Expenses]],TM[[#All],[Reporting Year]],2022,TM[[#All],[Insurance Category Code]],2,TM[[#All],[Large Provider Entity Code]],A299)/C299,"NA")</f>
        <v>NA</v>
      </c>
      <c r="I299" s="95">
        <f>SUMIFS(TM[[#All],[Member Months]],TM[[#All],[Reporting Year]],2023,TM[[#All],[Insurance Category Code]],2,TM[[#All],[Large Provider Entity Code]],A299)</f>
        <v>0</v>
      </c>
      <c r="J299" s="7" t="str">
        <f>IFERROR(SUMIFS(TM[[#All],[Total Non-Truncated Claims Spending]],TM[[#All],[Reporting Year]],2023,TM[[#All],[Insurance Category Code]],2,TM[[#All],[Large Provider Entity Code]],A299)/I299,"NA")</f>
        <v>NA</v>
      </c>
      <c r="K299" s="7" t="str">
        <f>IFERROR(SUMIFS(TM[[#All],[Total Non-Claims Spending]],TM[[#All],[Reporting Year]],2023,TM[[#All],[Insurance Category Code]],2,TM[[#All],[Large Provider Entity Code]],A299)/I299,"NA")</f>
        <v>NA</v>
      </c>
      <c r="L299" s="7" t="str">
        <f>IFERROR(SUMIFS(TM[[#All],[Total Non-Truncated Claims and Non-Claims Spending]],TM[[#All],[Reporting Year]],2023,TM[[#All],[Insurance Category Code]],2,TM[[#All],[Large Provider Entity Code]],A299)/I299,"NA")</f>
        <v>NA</v>
      </c>
      <c r="M299" s="7" t="str">
        <f>IFERROR(SUMIFS(TM[[#All],[Total Truncated Claims Spending]],TM[[#All],[Reporting Year]],2023,TM[[#All],[Insurance Category Code]],2,TM[[#All],[Large Provider Entity Code]],A299)/I299,"NA")</f>
        <v>NA</v>
      </c>
      <c r="N299" s="96" t="str">
        <f>IFERROR(SUMIFS(TM[[#All],[Total Truncated Expenses]],TM[[#All],[Reporting Year]],2023,TM[[#All],[Insurance Category Code]],2,TM[[#All],[Large Provider Entity Code]],A299)/I299,"NA")</f>
        <v>NA</v>
      </c>
      <c r="O299" s="518">
        <f t="shared" si="49"/>
        <v>0</v>
      </c>
      <c r="P299" s="243" t="str">
        <f t="shared" si="48"/>
        <v>NA</v>
      </c>
      <c r="Q299" s="97" t="str">
        <f t="shared" si="48"/>
        <v>NA</v>
      </c>
      <c r="R299" s="97" t="str">
        <f t="shared" si="48"/>
        <v>NA</v>
      </c>
      <c r="S299" s="97" t="str">
        <f t="shared" si="48"/>
        <v>NA</v>
      </c>
      <c r="T299" s="97" t="str">
        <f t="shared" si="48"/>
        <v>NA</v>
      </c>
      <c r="U299" s="97" t="str">
        <f t="shared" si="48"/>
        <v>NA</v>
      </c>
    </row>
    <row r="300" spans="1:21" x14ac:dyDescent="0.25">
      <c r="A300" s="218">
        <v>122</v>
      </c>
      <c r="B300" s="566" t="s">
        <v>617</v>
      </c>
      <c r="C300" s="8">
        <f>SUMIFS(TM[[#All],[Member Months]],TM[[#All],[Reporting Year]],2022,TM[[#All],[Insurance Category Code]],2,TM[[#All],[Large Provider Entity Code]],A300)</f>
        <v>0</v>
      </c>
      <c r="D300" s="7" t="str">
        <f>IFERROR(SUMIFS(TM[[#All],[Total Non-Truncated Claims Spending]],TM[[#All],[Reporting Year]],2022,TM[[#All],[Insurance Category Code]],2,TM[[#All],[Large Provider Entity Code]],A300)/C300,"NA")</f>
        <v>NA</v>
      </c>
      <c r="E300" s="7" t="str">
        <f>IFERROR(SUMIFS(TM[[#All],[Total Non-Claims Spending]],TM[[#All],[Reporting Year]],2022,TM[[#All],[Insurance Category Code]],2,TM[[#All],[Large Provider Entity Code]],A300)/C300,"NA")</f>
        <v>NA</v>
      </c>
      <c r="F300" s="7" t="str">
        <f>IFERROR(SUMIFS(TM[[#All],[Total Non-Truncated Claims and Non-Claims Spending]],TM[[#All],[Reporting Year]],2022,TM[[#All],[Insurance Category Code]],2,TM[[#All],[Large Provider Entity Code]],A300)/C300,"NA")</f>
        <v>NA</v>
      </c>
      <c r="G300" s="7" t="str">
        <f>IFERROR(SUMIFS(TM[[#All],[Total Truncated Claims Spending]],TM[[#All],[Reporting Year]],2022,TM[[#All],[Insurance Category Code]],2,TM[[#All],[Large Provider Entity Code]],A300)/C300,"NA")</f>
        <v>NA</v>
      </c>
      <c r="H300" s="204" t="str">
        <f>IFERROR(SUMIFS(TM[[#All],[Total Truncated Expenses]],TM[[#All],[Reporting Year]],2022,TM[[#All],[Insurance Category Code]],2,TM[[#All],[Large Provider Entity Code]],A300)/C300,"NA")</f>
        <v>NA</v>
      </c>
      <c r="I300" s="95">
        <f>SUMIFS(TM[[#All],[Member Months]],TM[[#All],[Reporting Year]],2023,TM[[#All],[Insurance Category Code]],2,TM[[#All],[Large Provider Entity Code]],A300)</f>
        <v>0</v>
      </c>
      <c r="J300" s="7" t="str">
        <f>IFERROR(SUMIFS(TM[[#All],[Total Non-Truncated Claims Spending]],TM[[#All],[Reporting Year]],2023,TM[[#All],[Insurance Category Code]],2,TM[[#All],[Large Provider Entity Code]],A300)/I300,"NA")</f>
        <v>NA</v>
      </c>
      <c r="K300" s="7" t="str">
        <f>IFERROR(SUMIFS(TM[[#All],[Total Non-Claims Spending]],TM[[#All],[Reporting Year]],2023,TM[[#All],[Insurance Category Code]],2,TM[[#All],[Large Provider Entity Code]],A300)/I300,"NA")</f>
        <v>NA</v>
      </c>
      <c r="L300" s="7" t="str">
        <f>IFERROR(SUMIFS(TM[[#All],[Total Non-Truncated Claims and Non-Claims Spending]],TM[[#All],[Reporting Year]],2023,TM[[#All],[Insurance Category Code]],2,TM[[#All],[Large Provider Entity Code]],A300)/I300,"NA")</f>
        <v>NA</v>
      </c>
      <c r="M300" s="7" t="str">
        <f>IFERROR(SUMIFS(TM[[#All],[Total Truncated Claims Spending]],TM[[#All],[Reporting Year]],2023,TM[[#All],[Insurance Category Code]],2,TM[[#All],[Large Provider Entity Code]],A300)/I300,"NA")</f>
        <v>NA</v>
      </c>
      <c r="N300" s="96" t="str">
        <f>IFERROR(SUMIFS(TM[[#All],[Total Truncated Expenses]],TM[[#All],[Reporting Year]],2023,TM[[#All],[Insurance Category Code]],2,TM[[#All],[Large Provider Entity Code]],A300)/I300,"NA")</f>
        <v>NA</v>
      </c>
      <c r="O300" s="518">
        <f t="shared" si="49"/>
        <v>0</v>
      </c>
      <c r="P300" s="243" t="str">
        <f t="shared" si="48"/>
        <v>NA</v>
      </c>
      <c r="Q300" s="97" t="str">
        <f t="shared" si="48"/>
        <v>NA</v>
      </c>
      <c r="R300" s="97" t="str">
        <f t="shared" si="48"/>
        <v>NA</v>
      </c>
      <c r="S300" s="97" t="str">
        <f t="shared" si="48"/>
        <v>NA</v>
      </c>
      <c r="T300" s="97" t="str">
        <f t="shared" si="48"/>
        <v>NA</v>
      </c>
      <c r="U300" s="97" t="str">
        <f t="shared" si="48"/>
        <v>NA</v>
      </c>
    </row>
    <row r="301" spans="1:21" x14ac:dyDescent="0.25">
      <c r="A301" s="218">
        <v>999</v>
      </c>
      <c r="B301" s="495" t="s">
        <v>81</v>
      </c>
      <c r="C301" s="163">
        <f>SUMIFS(TM[[#All],[Member Months]],TM[[#All],[Reporting Year]],2022,TM[[#All],[Insurance Category Code]],2,TM[[#All],[Large Provider Entity Code]],A301)</f>
        <v>0</v>
      </c>
      <c r="D301" s="7" t="str">
        <f>IFERROR(SUMIFS(TM[[#All],[Total Non-Truncated Claims Spending]],TM[[#All],[Reporting Year]],2022,TM[[#All],[Insurance Category Code]],2,TM[[#All],[Large Provider Entity Code]],A301)/C301,"NA")</f>
        <v>NA</v>
      </c>
      <c r="E301" s="7" t="str">
        <f>IFERROR(SUMIFS(TM[[#All],[Total Non-Claims Spending]],TM[[#All],[Reporting Year]],2022,TM[[#All],[Insurance Category Code]],2,TM[[#All],[Large Provider Entity Code]],A301)/C301,"NA")</f>
        <v>NA</v>
      </c>
      <c r="F301" s="7" t="str">
        <f>IFERROR(SUMIFS(TM[[#All],[Total Non-Truncated Claims and Non-Claims Spending]],TM[[#All],[Reporting Year]],2022,TM[[#All],[Insurance Category Code]],2,TM[[#All],[Large Provider Entity Code]],A301)/C301,"NA")</f>
        <v>NA</v>
      </c>
      <c r="G301" s="7" t="str">
        <f>IFERROR(SUMIFS(TM[[#All],[Total Truncated Claims Spending]],TM[[#All],[Reporting Year]],2022,TM[[#All],[Insurance Category Code]],2,TM[[#All],[Large Provider Entity Code]],A301)/C301,"NA")</f>
        <v>NA</v>
      </c>
      <c r="H301" s="204" t="str">
        <f>IFERROR(SUMIFS(TM[[#All],[Total Truncated Expenses]],TM[[#All],[Reporting Year]],2022,TM[[#All],[Insurance Category Code]],2,TM[[#All],[Large Provider Entity Code]],A301)/C301,"NA")</f>
        <v>NA</v>
      </c>
      <c r="I301" s="95">
        <f>SUMIFS(TM[[#All],[Member Months]],TM[[#All],[Reporting Year]],2023,TM[[#All],[Insurance Category Code]],2,TM[[#All],[Large Provider Entity Code]],A301)</f>
        <v>0</v>
      </c>
      <c r="J301" s="7" t="str">
        <f>IFERROR(SUMIFS(TM[[#All],[Total Non-Truncated Claims Spending]],TM[[#All],[Reporting Year]],2023,TM[[#All],[Insurance Category Code]],2,TM[[#All],[Large Provider Entity Code]],A301)/I301,"NA")</f>
        <v>NA</v>
      </c>
      <c r="K301" s="7" t="str">
        <f>IFERROR(SUMIFS(TM[[#All],[Total Non-Claims Spending]],TM[[#All],[Reporting Year]],2023,TM[[#All],[Insurance Category Code]],2,TM[[#All],[Large Provider Entity Code]],A301)/I301,"NA")</f>
        <v>NA</v>
      </c>
      <c r="L301" s="7" t="str">
        <f>IFERROR(SUMIFS(TM[[#All],[Total Non-Truncated Claims and Non-Claims Spending]],TM[[#All],[Reporting Year]],2023,TM[[#All],[Insurance Category Code]],2,TM[[#All],[Large Provider Entity Code]],A301)/I301,"NA")</f>
        <v>NA</v>
      </c>
      <c r="M301" s="7" t="str">
        <f>IFERROR(SUMIFS(TM[[#All],[Total Truncated Claims Spending]],TM[[#All],[Reporting Year]],2023,TM[[#All],[Insurance Category Code]],2,TM[[#All],[Large Provider Entity Code]],A301)/I301,"NA")</f>
        <v>NA</v>
      </c>
      <c r="N301" s="96" t="str">
        <f>IFERROR(SUMIFS(TM[[#All],[Total Truncated Expenses]],TM[[#All],[Reporting Year]],2023,TM[[#All],[Insurance Category Code]],2,TM[[#All],[Large Provider Entity Code]],A301)/I301,"NA")</f>
        <v>NA</v>
      </c>
      <c r="O301" s="518">
        <f t="shared" si="49"/>
        <v>0</v>
      </c>
      <c r="P301" s="243" t="str">
        <f t="shared" si="48"/>
        <v>NA</v>
      </c>
      <c r="Q301" s="97" t="str">
        <f t="shared" si="48"/>
        <v>NA</v>
      </c>
      <c r="R301" s="97" t="str">
        <f t="shared" si="48"/>
        <v>NA</v>
      </c>
      <c r="S301" s="97" t="str">
        <f t="shared" si="48"/>
        <v>NA</v>
      </c>
      <c r="T301" s="97" t="str">
        <f t="shared" si="48"/>
        <v>NA</v>
      </c>
      <c r="U301" s="97" t="str">
        <f t="shared" si="48"/>
        <v>NA</v>
      </c>
    </row>
    <row r="302" spans="1:21" ht="30" customHeight="1" x14ac:dyDescent="0.25">
      <c r="A302" s="707" t="s">
        <v>567</v>
      </c>
      <c r="B302" s="708"/>
      <c r="C302" s="164">
        <f>SUM(C282:C301)</f>
        <v>0</v>
      </c>
      <c r="D302" s="131" t="str">
        <f>IFERROR((SUMPRODUCT(D282:D301,C282:C301)/C302),"NA")</f>
        <v>NA</v>
      </c>
      <c r="E302" s="131" t="str">
        <f>IFERROR((SUMPRODUCT(E282:E301,C282:C301)/C302),"NA")</f>
        <v>NA</v>
      </c>
      <c r="F302" s="131" t="str">
        <f>IFERROR((SUMPRODUCT(F282:F301,C282:C301)/C302),"NA")</f>
        <v>NA</v>
      </c>
      <c r="G302" s="131" t="str">
        <f>IFERROR((SUMPRODUCT(G282:G301,C282:C301)/C302),"NA")</f>
        <v>NA</v>
      </c>
      <c r="H302" s="131" t="str">
        <f>IFERROR((SUMPRODUCT(H282:H301,C282:C301)/C302),"NA")</f>
        <v>NA</v>
      </c>
      <c r="I302" s="165">
        <f>SUM(I282:I301)</f>
        <v>0</v>
      </c>
      <c r="J302" s="131" t="str">
        <f>IFERROR((SUMPRODUCT(J282:J301,I282:I301)/I302),"NA")</f>
        <v>NA</v>
      </c>
      <c r="K302" s="131" t="str">
        <f>IFERROR((SUMPRODUCT(K282:K301,I282:I301)/I302),"NA")</f>
        <v>NA</v>
      </c>
      <c r="L302" s="131" t="str">
        <f>IFERROR((SUMPRODUCT(L282:L301,I282:I301)/I302),"NA")</f>
        <v>NA</v>
      </c>
      <c r="M302" s="131" t="str">
        <f>IFERROR((SUMPRODUCT(M282:M301,I282:I301)/I302),"NA")</f>
        <v>NA</v>
      </c>
      <c r="N302" s="206" t="str">
        <f>IFERROR((SUMPRODUCT(N282:N301,I282:I301)/I302),"NA")</f>
        <v>NA</v>
      </c>
      <c r="O302" s="544" t="s">
        <v>500</v>
      </c>
      <c r="P302" s="435" t="s">
        <v>500</v>
      </c>
      <c r="Q302" s="433" t="s">
        <v>500</v>
      </c>
      <c r="R302" s="433" t="s">
        <v>500</v>
      </c>
      <c r="S302" s="433" t="s">
        <v>500</v>
      </c>
      <c r="T302" s="433" t="s">
        <v>500</v>
      </c>
      <c r="U302" s="433" t="s">
        <v>500</v>
      </c>
    </row>
    <row r="303" spans="1:21" x14ac:dyDescent="0.25">
      <c r="A303" s="709" t="s">
        <v>563</v>
      </c>
      <c r="B303" s="710"/>
      <c r="C303" s="164" t="s">
        <v>500</v>
      </c>
      <c r="D303" s="130" t="str">
        <f>IFERROR(((SUMPRODUCT(D281,$C$281))-ABS(SUMIFS(RX[[#All],[Total Medical and Retail Pharmacy Rebate Amount]],RX[[#All],[Reporting Year]],2022,RX[[#All],[Insurance Category Code]],2)))/$C$302,"NA")</f>
        <v>NA</v>
      </c>
      <c r="E303" s="130" t="str">
        <f>IFERROR(((SUMPRODUCT(E281,$C$281))-ABS(SUMIFS(RX[[#All],[Total Medical and Retail Pharmacy Rebate Amount]],RX[[#All],[Reporting Year]],2022,RX[[#All],[Insurance Category Code]],2)))/$C$302,"NA")</f>
        <v>NA</v>
      </c>
      <c r="F303" s="130" t="str">
        <f>IFERROR(((SUMPRODUCT(F281,$C$281))-ABS(SUMIFS(RX[[#All],[Total Medical and Retail Pharmacy Rebate Amount]],RX[[#All],[Reporting Year]],2022,RX[[#All],[Insurance Category Code]],2)))/$C$302,"NA")</f>
        <v>NA</v>
      </c>
      <c r="G303" s="130" t="str">
        <f>IFERROR(((SUMPRODUCT(G281,$C$281))-ABS(SUMIFS(RX[[#All],[Total Medical and Retail Pharmacy Rebate Amount]],RX[[#All],[Reporting Year]],2022,RX[[#All],[Insurance Category Code]],2)))/$C$302,"NA")</f>
        <v>NA</v>
      </c>
      <c r="H303" s="209" t="str">
        <f>IFERROR(((SUMPRODUCT(H281,$C$281))-ABS(SUMIFS(RX[[#All],[Total Medical and Retail Pharmacy Rebate Amount]],RX[[#All],[Reporting Year]],2022,RX[[#All],[Insurance Category Code]],2)))/$C$302,"NA")</f>
        <v>NA</v>
      </c>
      <c r="I303" s="165" t="s">
        <v>500</v>
      </c>
      <c r="J303" s="130" t="str">
        <f>IFERROR(((SUMPRODUCT(J281,$I$281))-ABS(SUMIFS(RX[[#All],[Total Medical and Retail Pharmacy Rebate Amount]],RX[[#All],[Reporting Year]],2023,RX[[#All],[Insurance Category Code]],2)))/$I$302,"NA")</f>
        <v>NA</v>
      </c>
      <c r="K303" s="130" t="str">
        <f>IFERROR(((SUMPRODUCT(K281,$I$281))-ABS(SUMIFS(RX[[#All],[Total Medical and Retail Pharmacy Rebate Amount]],RX[[#All],[Reporting Year]],2023,RX[[#All],[Insurance Category Code]],2)))/$I$302,"NA")</f>
        <v>NA</v>
      </c>
      <c r="L303" s="130" t="str">
        <f>IFERROR(((SUMPRODUCT(L281,$I$281))-ABS(SUMIFS(RX[[#All],[Total Medical and Retail Pharmacy Rebate Amount]],RX[[#All],[Reporting Year]],2023,RX[[#All],[Insurance Category Code]],2)))/$I$302,"NA")</f>
        <v>NA</v>
      </c>
      <c r="M303" s="130" t="str">
        <f>IFERROR(((SUMPRODUCT(M281,$I$281))-ABS(SUMIFS(RX[[#All],[Total Medical and Retail Pharmacy Rebate Amount]],RX[[#All],[Reporting Year]],2023,RX[[#All],[Insurance Category Code]],2)))/$I$302,"NA")</f>
        <v>NA</v>
      </c>
      <c r="N303" s="208" t="str">
        <f>IFERROR(((SUMPRODUCT(N281,$I$281))-ABS(SUMIFS(RX[[#All],[Total Medical and Retail Pharmacy Rebate Amount]],RX[[#All],[Reporting Year]],2023,RX[[#All],[Insurance Category Code]],2)))/$I$302,"NA")</f>
        <v>NA</v>
      </c>
      <c r="O303" s="544" t="s">
        <v>500</v>
      </c>
      <c r="P303" s="435" t="s">
        <v>500</v>
      </c>
      <c r="Q303" s="433" t="s">
        <v>500</v>
      </c>
      <c r="R303" s="433" t="s">
        <v>500</v>
      </c>
      <c r="S303" s="433" t="s">
        <v>500</v>
      </c>
      <c r="T303" s="433" t="s">
        <v>500</v>
      </c>
      <c r="U303" s="433" t="s">
        <v>500</v>
      </c>
    </row>
    <row r="304" spans="1:21" x14ac:dyDescent="0.25">
      <c r="A304" s="717" t="s">
        <v>564</v>
      </c>
      <c r="B304" s="718"/>
      <c r="C304" s="229">
        <f>ABS(C302-C281)</f>
        <v>0</v>
      </c>
      <c r="D304" s="227" t="e">
        <f>ABS(D302-D281)</f>
        <v>#VALUE!</v>
      </c>
      <c r="E304" s="227" t="e">
        <f>ABS(E302-E281)</f>
        <v>#VALUE!</v>
      </c>
      <c r="F304" s="227" t="e">
        <f>ABS(F302-F281)</f>
        <v>#VALUE!</v>
      </c>
      <c r="G304" s="181" t="s">
        <v>500</v>
      </c>
      <c r="H304" s="233" t="s">
        <v>500</v>
      </c>
      <c r="I304" s="221">
        <f>ABS(I302-I281)</f>
        <v>0</v>
      </c>
      <c r="J304" s="227" t="e">
        <f>ABS(J302-J281)</f>
        <v>#VALUE!</v>
      </c>
      <c r="K304" s="227" t="e">
        <f>ABS(K302-K281)</f>
        <v>#VALUE!</v>
      </c>
      <c r="L304" s="227" t="e">
        <f>ABS(L302-L281)</f>
        <v>#VALUE!</v>
      </c>
      <c r="M304" s="181" t="s">
        <v>500</v>
      </c>
      <c r="N304" s="233" t="s">
        <v>500</v>
      </c>
      <c r="O304" s="545" t="s">
        <v>500</v>
      </c>
      <c r="P304" s="546" t="s">
        <v>500</v>
      </c>
      <c r="Q304" s="548" t="s">
        <v>500</v>
      </c>
      <c r="R304" s="548" t="s">
        <v>500</v>
      </c>
      <c r="S304" s="548" t="s">
        <v>500</v>
      </c>
      <c r="T304" s="548" t="s">
        <v>500</v>
      </c>
      <c r="U304" s="548" t="s">
        <v>500</v>
      </c>
    </row>
    <row r="305" spans="1:21" x14ac:dyDescent="0.25">
      <c r="A305" s="715" t="s">
        <v>565</v>
      </c>
      <c r="B305" s="716"/>
      <c r="C305" s="262" t="str">
        <f>IF(((ABS(C302-C281))&lt;10),"Yes","No")</f>
        <v>Yes</v>
      </c>
      <c r="D305" s="181" t="e">
        <f>IF(((ABS(D302-D281))&lt;10),"Yes","No")</f>
        <v>#VALUE!</v>
      </c>
      <c r="E305" s="181" t="e">
        <f>IF(((ABS(E302-E281))&lt;10),"Yes","No")</f>
        <v>#VALUE!</v>
      </c>
      <c r="F305" s="181" t="e">
        <f>IF(((ABS(F302-F281))&lt;10),"Yes","No")</f>
        <v>#VALUE!</v>
      </c>
      <c r="G305" s="181" t="s">
        <v>500</v>
      </c>
      <c r="H305" s="233" t="s">
        <v>500</v>
      </c>
      <c r="I305" s="259" t="str">
        <f>IF(((ABS(I302-I281))&lt;10),"Yes","No")</f>
        <v>Yes</v>
      </c>
      <c r="J305" s="181" t="e">
        <f>IF(((ABS(J302-J281))&lt;10),"Yes","No")</f>
        <v>#VALUE!</v>
      </c>
      <c r="K305" s="181" t="e">
        <f>IF(((ABS(K302-K281))&lt;10),"Yes","No")</f>
        <v>#VALUE!</v>
      </c>
      <c r="L305" s="181" t="e">
        <f>IF(((ABS(L302-L281))&lt;10),"Yes","No")</f>
        <v>#VALUE!</v>
      </c>
      <c r="M305" s="181" t="s">
        <v>500</v>
      </c>
      <c r="N305" s="233" t="s">
        <v>500</v>
      </c>
      <c r="O305" s="545" t="s">
        <v>500</v>
      </c>
      <c r="P305" s="546" t="s">
        <v>500</v>
      </c>
      <c r="Q305" s="548" t="s">
        <v>500</v>
      </c>
      <c r="R305" s="548" t="s">
        <v>500</v>
      </c>
      <c r="S305" s="548" t="s">
        <v>500</v>
      </c>
      <c r="T305" s="548" t="s">
        <v>500</v>
      </c>
      <c r="U305" s="548" t="s">
        <v>500</v>
      </c>
    </row>
    <row r="306" spans="1:21" x14ac:dyDescent="0.25">
      <c r="A306"/>
      <c r="B306"/>
      <c r="C306"/>
      <c r="D306"/>
      <c r="E306"/>
      <c r="F306"/>
      <c r="G306"/>
      <c r="H306"/>
      <c r="I306"/>
      <c r="J306"/>
      <c r="K306"/>
      <c r="L306"/>
      <c r="M306"/>
      <c r="N306"/>
      <c r="O306" s="542"/>
      <c r="P306"/>
      <c r="Q306"/>
      <c r="R306"/>
      <c r="S306"/>
      <c r="T306"/>
      <c r="U306"/>
    </row>
    <row r="307" spans="1:21" x14ac:dyDescent="0.25">
      <c r="A307"/>
      <c r="B307"/>
      <c r="C307"/>
      <c r="D307"/>
      <c r="E307"/>
      <c r="F307"/>
      <c r="G307"/>
      <c r="H307"/>
      <c r="I307"/>
      <c r="J307"/>
      <c r="K307"/>
      <c r="L307"/>
      <c r="M307"/>
      <c r="N307"/>
      <c r="O307" s="543"/>
      <c r="P307"/>
      <c r="Q307"/>
      <c r="R307"/>
      <c r="S307"/>
      <c r="T307"/>
      <c r="U307"/>
    </row>
    <row r="308" spans="1:21" x14ac:dyDescent="0.25">
      <c r="A308" s="3" t="s">
        <v>576</v>
      </c>
      <c r="B308"/>
      <c r="C308"/>
      <c r="D308"/>
      <c r="E308"/>
      <c r="F308"/>
      <c r="G308"/>
      <c r="H308"/>
      <c r="I308"/>
      <c r="J308"/>
      <c r="K308"/>
      <c r="L308"/>
      <c r="M308"/>
      <c r="N308"/>
      <c r="O308" s="543"/>
      <c r="P308"/>
      <c r="Q308"/>
      <c r="R308"/>
      <c r="S308"/>
      <c r="T308"/>
      <c r="U308"/>
    </row>
    <row r="309" spans="1:21" x14ac:dyDescent="0.25">
      <c r="A309" s="711" t="s">
        <v>71</v>
      </c>
      <c r="B309" s="713" t="s">
        <v>547</v>
      </c>
      <c r="C309" s="697">
        <v>2022</v>
      </c>
      <c r="D309" s="698"/>
      <c r="E309" s="698"/>
      <c r="F309" s="698"/>
      <c r="G309" s="698"/>
      <c r="H309" s="699"/>
      <c r="I309" s="700">
        <v>2023</v>
      </c>
      <c r="J309" s="701"/>
      <c r="K309" s="701"/>
      <c r="L309" s="701"/>
      <c r="M309" s="701"/>
      <c r="N309" s="702"/>
      <c r="O309" s="541"/>
      <c r="P309" s="703" t="s">
        <v>618</v>
      </c>
      <c r="Q309" s="704"/>
      <c r="R309" s="704"/>
      <c r="S309" s="704"/>
      <c r="T309" s="704"/>
      <c r="U309" s="705"/>
    </row>
    <row r="310" spans="1:21" ht="45" x14ac:dyDescent="0.25">
      <c r="A310" s="712"/>
      <c r="B310" s="714"/>
      <c r="C310" s="91" t="s">
        <v>352</v>
      </c>
      <c r="D310" s="91" t="s">
        <v>550</v>
      </c>
      <c r="E310" s="91" t="s">
        <v>551</v>
      </c>
      <c r="F310" s="91" t="s">
        <v>552</v>
      </c>
      <c r="G310" s="91" t="s">
        <v>553</v>
      </c>
      <c r="H310" s="205" t="s">
        <v>554</v>
      </c>
      <c r="I310" s="87" t="s">
        <v>352</v>
      </c>
      <c r="J310" s="88" t="s">
        <v>550</v>
      </c>
      <c r="K310" s="88" t="s">
        <v>551</v>
      </c>
      <c r="L310" s="88" t="s">
        <v>552</v>
      </c>
      <c r="M310" s="88" t="s">
        <v>553</v>
      </c>
      <c r="N310" s="89" t="s">
        <v>554</v>
      </c>
      <c r="O310" s="513" t="s">
        <v>555</v>
      </c>
      <c r="P310" s="242" t="s">
        <v>556</v>
      </c>
      <c r="Q310" s="77" t="s">
        <v>557</v>
      </c>
      <c r="R310" s="77" t="s">
        <v>558</v>
      </c>
      <c r="S310" s="77" t="s">
        <v>559</v>
      </c>
      <c r="T310" s="77" t="s">
        <v>560</v>
      </c>
      <c r="U310" s="217" t="s">
        <v>561</v>
      </c>
    </row>
    <row r="311" spans="1:21" x14ac:dyDescent="0.25">
      <c r="A311" s="219">
        <v>100</v>
      </c>
      <c r="B311" s="495" t="s">
        <v>72</v>
      </c>
      <c r="C311" s="8">
        <f>SUMIFS(TM[[#All],[Member Months]],TM[[#All],[Reporting Year]],2022,TM[[#All],[Insurance Category Code]],6,TM[[#All],[Large Provider Entity Code]],A311)</f>
        <v>0</v>
      </c>
      <c r="D311" s="7" t="str">
        <f>IFERROR(SUMIFS(TM[[#All],[Total Non-Truncated Claims Spending]],TM[[#All],[Reporting Year]],2022,TM[[#All],[Insurance Category Code]],6,TM[[#All],[Large Provider Entity Code]],A311)/C311,"NA")</f>
        <v>NA</v>
      </c>
      <c r="E311" s="7" t="str">
        <f>IFERROR(SUMIFS(TM[[#All],[Total Non-Claims Spending]],TM[[#All],[Reporting Year]],2022,TM[[#All],[Insurance Category Code]],6,TM[[#All],[Large Provider Entity Code]],A311)/C311,"NA")</f>
        <v>NA</v>
      </c>
      <c r="F311" s="7" t="str">
        <f>IFERROR(SUMIFS(TM[[#All],[Total Non-Truncated Claims and Non-Claims Spending]],TM[[#All],[Reporting Year]],2022,TM[[#All],[Insurance Category Code]],6,TM[[#All],[Large Provider Entity Code]],A311)/C311,"NA")</f>
        <v>NA</v>
      </c>
      <c r="G311" s="7" t="str">
        <f>IFERROR(SUMIFS(TM[[#All],[Total Truncated Claims Spending]],TM[[#All],[Reporting Year]],2022,TM[[#All],[Insurance Category Code]],6,TM[[#All],[Large Provider Entity Code]],A311)/C311,"NA")</f>
        <v>NA</v>
      </c>
      <c r="H311" s="204" t="str">
        <f>IFERROR(SUMIFS(TM[[#All],[Total Truncated Expenses]],TM[[#All],[Reporting Year]],2022,TM[[#All],[Insurance Category Code]],6,TM[[#All],[Large Provider Entity Code]],A311)/C311,"NA")</f>
        <v>NA</v>
      </c>
      <c r="I311" s="95">
        <f>SUMIFS(TM[[#All],[Member Months]],TM[[#All],[Reporting Year]],2023,TM[[#All],[Insurance Category Code]],6,TM[[#All],[Large Provider Entity Code]],A311)</f>
        <v>0</v>
      </c>
      <c r="J311" s="7" t="str">
        <f>IFERROR(SUMIFS(TM[[#All],[Total Non-Truncated Claims Spending]],TM[[#All],[Reporting Year]],2023,TM[[#All],[Insurance Category Code]],6,TM[[#All],[Large Provider Entity Code]],A311)/I311,"NA")</f>
        <v>NA</v>
      </c>
      <c r="K311" s="7" t="str">
        <f>IFERROR(SUMIFS(TM[[#All],[Total Non-Claims Spending]],TM[[#All],[Reporting Year]],2023,TM[[#All],[Insurance Category Code]],6,TM[[#All],[Large Provider Entity Code]],A311)/I311,"NA")</f>
        <v>NA</v>
      </c>
      <c r="L311" s="7" t="str">
        <f>IFERROR(SUMIFS(TM[[#All],[Total Non-Truncated Claims and Non-Claims Spending]],TM[[#All],[Reporting Year]],2023,TM[[#All],[Insurance Category Code]],6,TM[[#All],[Large Provider Entity Code]],A311)/I311,"NA")</f>
        <v>NA</v>
      </c>
      <c r="M311" s="7" t="str">
        <f>IFERROR(SUMIFS(TM[[#All],[Total Truncated Claims Spending]],TM[[#All],[Reporting Year]],2023,TM[[#All],[Insurance Category Code]],6,TM[[#All],[Large Provider Entity Code]],A311)/I311,"NA")</f>
        <v>NA</v>
      </c>
      <c r="N311" s="96" t="str">
        <f>IFERROR(SUMIFS(TM[[#All],[Total Truncated Expenses]],TM[[#All],[Reporting Year]],2023,TM[[#All],[Insurance Category Code]],6,TM[[#All],[Large Provider Entity Code]],A311)/I311,"NA")</f>
        <v>NA</v>
      </c>
      <c r="O311" s="518">
        <f>ABS(C311-I311)</f>
        <v>0</v>
      </c>
      <c r="P311" s="243" t="str">
        <f t="shared" ref="P311:U331" si="50">IFERROR((I311/C311-1),"NA")</f>
        <v>NA</v>
      </c>
      <c r="Q311" s="97" t="str">
        <f t="shared" si="50"/>
        <v>NA</v>
      </c>
      <c r="R311" s="97" t="str">
        <f t="shared" si="50"/>
        <v>NA</v>
      </c>
      <c r="S311" s="97" t="str">
        <f t="shared" si="50"/>
        <v>NA</v>
      </c>
      <c r="T311" s="97" t="str">
        <f t="shared" si="50"/>
        <v>NA</v>
      </c>
      <c r="U311" s="97" t="str">
        <f t="shared" si="50"/>
        <v>NA</v>
      </c>
    </row>
    <row r="312" spans="1:21" x14ac:dyDescent="0.25">
      <c r="A312" s="218">
        <v>101</v>
      </c>
      <c r="B312" s="495" t="s">
        <v>609</v>
      </c>
      <c r="C312" s="8">
        <f>SUMIFS(TM[[#All],[Member Months]],TM[[#All],[Reporting Year]],2022,TM[[#All],[Insurance Category Code]],6,TM[[#All],[Large Provider Entity Code]],A312)</f>
        <v>0</v>
      </c>
      <c r="D312" s="7" t="str">
        <f>IFERROR(SUMIFS(TM[[#All],[Total Non-Truncated Claims Spending]],TM[[#All],[Reporting Year]],2022,TM[[#All],[Insurance Category Code]],6,TM[[#All],[Large Provider Entity Code]],A312)/C312,"NA")</f>
        <v>NA</v>
      </c>
      <c r="E312" s="7" t="str">
        <f>IFERROR(SUMIFS(TM[[#All],[Total Non-Claims Spending]],TM[[#All],[Reporting Year]],2022,TM[[#All],[Insurance Category Code]],6,TM[[#All],[Large Provider Entity Code]],A312)/C312,"NA")</f>
        <v>NA</v>
      </c>
      <c r="F312" s="7" t="str">
        <f>IFERROR(SUMIFS(TM[[#All],[Total Non-Truncated Claims and Non-Claims Spending]],TM[[#All],[Reporting Year]],2022,TM[[#All],[Insurance Category Code]],6,TM[[#All],[Large Provider Entity Code]],A312)/C312,"NA")</f>
        <v>NA</v>
      </c>
      <c r="G312" s="7" t="str">
        <f>IFERROR(SUMIFS(TM[[#All],[Total Truncated Claims Spending]],TM[[#All],[Reporting Year]],2022,TM[[#All],[Insurance Category Code]],6,TM[[#All],[Large Provider Entity Code]],A312)/C312,"NA")</f>
        <v>NA</v>
      </c>
      <c r="H312" s="204" t="str">
        <f>IFERROR(SUMIFS(TM[[#All],[Total Truncated Expenses]],TM[[#All],[Reporting Year]],2022,TM[[#All],[Insurance Category Code]],6,TM[[#All],[Large Provider Entity Code]],A312)/C312,"NA")</f>
        <v>NA</v>
      </c>
      <c r="I312" s="95">
        <f>SUMIFS(TM[[#All],[Member Months]],TM[[#All],[Reporting Year]],2023,TM[[#All],[Insurance Category Code]],6,TM[[#All],[Large Provider Entity Code]],A312)</f>
        <v>0</v>
      </c>
      <c r="J312" s="7" t="str">
        <f>IFERROR(SUMIFS(TM[[#All],[Total Non-Truncated Claims Spending]],TM[[#All],[Reporting Year]],2023,TM[[#All],[Insurance Category Code]],6,TM[[#All],[Large Provider Entity Code]],A312)/I312,"NA")</f>
        <v>NA</v>
      </c>
      <c r="K312" s="7" t="str">
        <f>IFERROR(SUMIFS(TM[[#All],[Total Non-Claims Spending]],TM[[#All],[Reporting Year]],2023,TM[[#All],[Insurance Category Code]],6,TM[[#All],[Large Provider Entity Code]],A312)/I312,"NA")</f>
        <v>NA</v>
      </c>
      <c r="L312" s="7" t="str">
        <f>IFERROR(SUMIFS(TM[[#All],[Total Non-Truncated Claims and Non-Claims Spending]],TM[[#All],[Reporting Year]],2023,TM[[#All],[Insurance Category Code]],6,TM[[#All],[Large Provider Entity Code]],A312)/I312,"NA")</f>
        <v>NA</v>
      </c>
      <c r="M312" s="7" t="str">
        <f>IFERROR(SUMIFS(TM[[#All],[Total Truncated Claims Spending]],TM[[#All],[Reporting Year]],2023,TM[[#All],[Insurance Category Code]],6,TM[[#All],[Large Provider Entity Code]],A312)/I312,"NA")</f>
        <v>NA</v>
      </c>
      <c r="N312" s="96" t="str">
        <f>IFERROR(SUMIFS(TM[[#All],[Total Truncated Expenses]],TM[[#All],[Reporting Year]],2023,TM[[#All],[Insurance Category Code]],6,TM[[#All],[Large Provider Entity Code]],A312)/I312,"NA")</f>
        <v>NA</v>
      </c>
      <c r="O312" s="518">
        <f t="shared" ref="O312:O331" si="51">ABS(C312-I312)</f>
        <v>0</v>
      </c>
      <c r="P312" s="243" t="str">
        <f t="shared" si="50"/>
        <v>NA</v>
      </c>
      <c r="Q312" s="97" t="str">
        <f t="shared" si="50"/>
        <v>NA</v>
      </c>
      <c r="R312" s="97" t="str">
        <f t="shared" si="50"/>
        <v>NA</v>
      </c>
      <c r="S312" s="97" t="str">
        <f t="shared" si="50"/>
        <v>NA</v>
      </c>
      <c r="T312" s="97" t="str">
        <f t="shared" si="50"/>
        <v>NA</v>
      </c>
      <c r="U312" s="97" t="str">
        <f t="shared" si="50"/>
        <v>NA</v>
      </c>
    </row>
    <row r="313" spans="1:21" x14ac:dyDescent="0.25">
      <c r="A313" s="218">
        <v>102</v>
      </c>
      <c r="B313" s="566" t="s">
        <v>610</v>
      </c>
      <c r="C313" s="8">
        <f>SUMIFS(TM[[#All],[Member Months]],TM[[#All],[Reporting Year]],2022,TM[[#All],[Insurance Category Code]],6,TM[[#All],[Large Provider Entity Code]],A313)</f>
        <v>0</v>
      </c>
      <c r="D313" s="7" t="str">
        <f>IFERROR(SUMIFS(TM[[#All],[Total Non-Truncated Claims Spending]],TM[[#All],[Reporting Year]],2022,TM[[#All],[Insurance Category Code]],6,TM[[#All],[Large Provider Entity Code]],A313)/C313,"NA")</f>
        <v>NA</v>
      </c>
      <c r="E313" s="7" t="str">
        <f>IFERROR(SUMIFS(TM[[#All],[Total Non-Claims Spending]],TM[[#All],[Reporting Year]],2022,TM[[#All],[Insurance Category Code]],6,TM[[#All],[Large Provider Entity Code]],A313)/C313,"NA")</f>
        <v>NA</v>
      </c>
      <c r="F313" s="7" t="str">
        <f>IFERROR(SUMIFS(TM[[#All],[Total Non-Truncated Claims and Non-Claims Spending]],TM[[#All],[Reporting Year]],2022,TM[[#All],[Insurance Category Code]],6,TM[[#All],[Large Provider Entity Code]],A313)/C313,"NA")</f>
        <v>NA</v>
      </c>
      <c r="G313" s="7" t="str">
        <f>IFERROR(SUMIFS(TM[[#All],[Total Truncated Claims Spending]],TM[[#All],[Reporting Year]],2022,TM[[#All],[Insurance Category Code]],6,TM[[#All],[Large Provider Entity Code]],A313)/C313,"NA")</f>
        <v>NA</v>
      </c>
      <c r="H313" s="204" t="str">
        <f>IFERROR(SUMIFS(TM[[#All],[Total Truncated Expenses]],TM[[#All],[Reporting Year]],2022,TM[[#All],[Insurance Category Code]],6,TM[[#All],[Large Provider Entity Code]],A313)/C313,"NA")</f>
        <v>NA</v>
      </c>
      <c r="I313" s="95">
        <f>SUMIFS(TM[[#All],[Member Months]],TM[[#All],[Reporting Year]],2023,TM[[#All],[Insurance Category Code]],6,TM[[#All],[Large Provider Entity Code]],A313)</f>
        <v>0</v>
      </c>
      <c r="J313" s="7" t="str">
        <f>IFERROR(SUMIFS(TM[[#All],[Total Non-Truncated Claims Spending]],TM[[#All],[Reporting Year]],2023,TM[[#All],[Insurance Category Code]],6,TM[[#All],[Large Provider Entity Code]],A313)/I313,"NA")</f>
        <v>NA</v>
      </c>
      <c r="K313" s="7" t="str">
        <f>IFERROR(SUMIFS(TM[[#All],[Total Non-Claims Spending]],TM[[#All],[Reporting Year]],2023,TM[[#All],[Insurance Category Code]],6,TM[[#All],[Large Provider Entity Code]],A313)/I313,"NA")</f>
        <v>NA</v>
      </c>
      <c r="L313" s="7" t="str">
        <f>IFERROR(SUMIFS(TM[[#All],[Total Non-Truncated Claims and Non-Claims Spending]],TM[[#All],[Reporting Year]],2023,TM[[#All],[Insurance Category Code]],6,TM[[#All],[Large Provider Entity Code]],A313)/I313,"NA")</f>
        <v>NA</v>
      </c>
      <c r="M313" s="7" t="str">
        <f>IFERROR(SUMIFS(TM[[#All],[Total Truncated Claims Spending]],TM[[#All],[Reporting Year]],2023,TM[[#All],[Insurance Category Code]],6,TM[[#All],[Large Provider Entity Code]],A313)/I313,"NA")</f>
        <v>NA</v>
      </c>
      <c r="N313" s="96" t="str">
        <f>IFERROR(SUMIFS(TM[[#All],[Total Truncated Expenses]],TM[[#All],[Reporting Year]],2023,TM[[#All],[Insurance Category Code]],6,TM[[#All],[Large Provider Entity Code]],A313)/I313,"NA")</f>
        <v>NA</v>
      </c>
      <c r="O313" s="518">
        <f t="shared" si="51"/>
        <v>0</v>
      </c>
      <c r="P313" s="243" t="str">
        <f t="shared" si="50"/>
        <v>NA</v>
      </c>
      <c r="Q313" s="97" t="str">
        <f t="shared" si="50"/>
        <v>NA</v>
      </c>
      <c r="R313" s="97" t="str">
        <f t="shared" si="50"/>
        <v>NA</v>
      </c>
      <c r="S313" s="97" t="str">
        <f t="shared" si="50"/>
        <v>NA</v>
      </c>
      <c r="T313" s="97" t="str">
        <f t="shared" si="50"/>
        <v>NA</v>
      </c>
      <c r="U313" s="97" t="str">
        <f t="shared" si="50"/>
        <v>NA</v>
      </c>
    </row>
    <row r="314" spans="1:21" ht="30" x14ac:dyDescent="0.25">
      <c r="A314" s="218">
        <v>103</v>
      </c>
      <c r="B314" s="495" t="s">
        <v>73</v>
      </c>
      <c r="C314" s="8">
        <f>SUMIFS(TM[[#All],[Member Months]],TM[[#All],[Reporting Year]],2022,TM[[#All],[Insurance Category Code]],6,TM[[#All],[Large Provider Entity Code]],A314)</f>
        <v>0</v>
      </c>
      <c r="D314" s="7" t="str">
        <f>IFERROR(SUMIFS(TM[[#All],[Total Non-Truncated Claims Spending]],TM[[#All],[Reporting Year]],2022,TM[[#All],[Insurance Category Code]],6,TM[[#All],[Large Provider Entity Code]],A314)/C314,"NA")</f>
        <v>NA</v>
      </c>
      <c r="E314" s="7" t="str">
        <f>IFERROR(SUMIFS(TM[[#All],[Total Non-Claims Spending]],TM[[#All],[Reporting Year]],2022,TM[[#All],[Insurance Category Code]],6,TM[[#All],[Large Provider Entity Code]],A314)/C314,"NA")</f>
        <v>NA</v>
      </c>
      <c r="F314" s="7" t="str">
        <f>IFERROR(SUMIFS(TM[[#All],[Total Non-Truncated Claims and Non-Claims Spending]],TM[[#All],[Reporting Year]],2022,TM[[#All],[Insurance Category Code]],6,TM[[#All],[Large Provider Entity Code]],A314)/C314,"NA")</f>
        <v>NA</v>
      </c>
      <c r="G314" s="7" t="str">
        <f>IFERROR(SUMIFS(TM[[#All],[Total Truncated Claims Spending]],TM[[#All],[Reporting Year]],2022,TM[[#All],[Insurance Category Code]],6,TM[[#All],[Large Provider Entity Code]],A314)/C314,"NA")</f>
        <v>NA</v>
      </c>
      <c r="H314" s="204" t="str">
        <f>IFERROR(SUMIFS(TM[[#All],[Total Truncated Expenses]],TM[[#All],[Reporting Year]],2022,TM[[#All],[Insurance Category Code]],6,TM[[#All],[Large Provider Entity Code]],A314)/C314,"NA")</f>
        <v>NA</v>
      </c>
      <c r="I314" s="95">
        <f>SUMIFS(TM[[#All],[Member Months]],TM[[#All],[Reporting Year]],2023,TM[[#All],[Insurance Category Code]],6,TM[[#All],[Large Provider Entity Code]],A314)</f>
        <v>0</v>
      </c>
      <c r="J314" s="7" t="str">
        <f>IFERROR(SUMIFS(TM[[#All],[Total Non-Truncated Claims Spending]],TM[[#All],[Reporting Year]],2023,TM[[#All],[Insurance Category Code]],6,TM[[#All],[Large Provider Entity Code]],A314)/I314,"NA")</f>
        <v>NA</v>
      </c>
      <c r="K314" s="7" t="str">
        <f>IFERROR(SUMIFS(TM[[#All],[Total Non-Claims Spending]],TM[[#All],[Reporting Year]],2023,TM[[#All],[Insurance Category Code]],6,TM[[#All],[Large Provider Entity Code]],A314)/I314,"NA")</f>
        <v>NA</v>
      </c>
      <c r="L314" s="7" t="str">
        <f>IFERROR(SUMIFS(TM[[#All],[Total Non-Truncated Claims and Non-Claims Spending]],TM[[#All],[Reporting Year]],2023,TM[[#All],[Insurance Category Code]],6,TM[[#All],[Large Provider Entity Code]],A314)/I314,"NA")</f>
        <v>NA</v>
      </c>
      <c r="M314" s="7" t="str">
        <f>IFERROR(SUMIFS(TM[[#All],[Total Truncated Claims Spending]],TM[[#All],[Reporting Year]],2023,TM[[#All],[Insurance Category Code]],6,TM[[#All],[Large Provider Entity Code]],A314)/I314,"NA")</f>
        <v>NA</v>
      </c>
      <c r="N314" s="96" t="str">
        <f>IFERROR(SUMIFS(TM[[#All],[Total Truncated Expenses]],TM[[#All],[Reporting Year]],2023,TM[[#All],[Insurance Category Code]],6,TM[[#All],[Large Provider Entity Code]],A314)/I314,"NA")</f>
        <v>NA</v>
      </c>
      <c r="O314" s="518">
        <f t="shared" si="51"/>
        <v>0</v>
      </c>
      <c r="P314" s="243" t="str">
        <f t="shared" si="50"/>
        <v>NA</v>
      </c>
      <c r="Q314" s="97" t="str">
        <f t="shared" si="50"/>
        <v>NA</v>
      </c>
      <c r="R314" s="97" t="str">
        <f t="shared" si="50"/>
        <v>NA</v>
      </c>
      <c r="S314" s="97" t="str">
        <f t="shared" si="50"/>
        <v>NA</v>
      </c>
      <c r="T314" s="97" t="str">
        <f t="shared" si="50"/>
        <v>NA</v>
      </c>
      <c r="U314" s="97" t="str">
        <f t="shared" si="50"/>
        <v>NA</v>
      </c>
    </row>
    <row r="315" spans="1:21" x14ac:dyDescent="0.25">
      <c r="A315" s="218">
        <v>104</v>
      </c>
      <c r="B315" s="495" t="s">
        <v>611</v>
      </c>
      <c r="C315" s="8">
        <f>SUMIFS(TM[[#All],[Member Months]],TM[[#All],[Reporting Year]],2022,TM[[#All],[Insurance Category Code]],6,TM[[#All],[Large Provider Entity Code]],A315)</f>
        <v>0</v>
      </c>
      <c r="D315" s="7" t="str">
        <f>IFERROR(SUMIFS(TM[[#All],[Total Non-Truncated Claims Spending]],TM[[#All],[Reporting Year]],2022,TM[[#All],[Insurance Category Code]],6,TM[[#All],[Large Provider Entity Code]],A315)/C315,"NA")</f>
        <v>NA</v>
      </c>
      <c r="E315" s="7" t="str">
        <f>IFERROR(SUMIFS(TM[[#All],[Total Non-Claims Spending]],TM[[#All],[Reporting Year]],2022,TM[[#All],[Insurance Category Code]],6,TM[[#All],[Large Provider Entity Code]],A315)/C315,"NA")</f>
        <v>NA</v>
      </c>
      <c r="F315" s="7" t="str">
        <f>IFERROR(SUMIFS(TM[[#All],[Total Non-Truncated Claims and Non-Claims Spending]],TM[[#All],[Reporting Year]],2022,TM[[#All],[Insurance Category Code]],6,TM[[#All],[Large Provider Entity Code]],A315)/C315,"NA")</f>
        <v>NA</v>
      </c>
      <c r="G315" s="7" t="str">
        <f>IFERROR(SUMIFS(TM[[#All],[Total Truncated Claims Spending]],TM[[#All],[Reporting Year]],2022,TM[[#All],[Insurance Category Code]],6,TM[[#All],[Large Provider Entity Code]],A315)/C315,"NA")</f>
        <v>NA</v>
      </c>
      <c r="H315" s="204" t="str">
        <f>IFERROR(SUMIFS(TM[[#All],[Total Truncated Expenses]],TM[[#All],[Reporting Year]],2022,TM[[#All],[Insurance Category Code]],6,TM[[#All],[Large Provider Entity Code]],A315)/C315,"NA")</f>
        <v>NA</v>
      </c>
      <c r="I315" s="95">
        <f>SUMIFS(TM[[#All],[Member Months]],TM[[#All],[Reporting Year]],2023,TM[[#All],[Insurance Category Code]],6,TM[[#All],[Large Provider Entity Code]],A315)</f>
        <v>0</v>
      </c>
      <c r="J315" s="7" t="str">
        <f>IFERROR(SUMIFS(TM[[#All],[Total Non-Truncated Claims Spending]],TM[[#All],[Reporting Year]],2023,TM[[#All],[Insurance Category Code]],6,TM[[#All],[Large Provider Entity Code]],A315)/I315,"NA")</f>
        <v>NA</v>
      </c>
      <c r="K315" s="7" t="str">
        <f>IFERROR(SUMIFS(TM[[#All],[Total Non-Claims Spending]],TM[[#All],[Reporting Year]],2023,TM[[#All],[Insurance Category Code]],6,TM[[#All],[Large Provider Entity Code]],A315)/I315,"NA")</f>
        <v>NA</v>
      </c>
      <c r="L315" s="7" t="str">
        <f>IFERROR(SUMIFS(TM[[#All],[Total Non-Truncated Claims and Non-Claims Spending]],TM[[#All],[Reporting Year]],2023,TM[[#All],[Insurance Category Code]],6,TM[[#All],[Large Provider Entity Code]],A315)/I315,"NA")</f>
        <v>NA</v>
      </c>
      <c r="M315" s="7" t="str">
        <f>IFERROR(SUMIFS(TM[[#All],[Total Truncated Claims Spending]],TM[[#All],[Reporting Year]],2023,TM[[#All],[Insurance Category Code]],6,TM[[#All],[Large Provider Entity Code]],A315)/I315,"NA")</f>
        <v>NA</v>
      </c>
      <c r="N315" s="96" t="str">
        <f>IFERROR(SUMIFS(TM[[#All],[Total Truncated Expenses]],TM[[#All],[Reporting Year]],2023,TM[[#All],[Insurance Category Code]],6,TM[[#All],[Large Provider Entity Code]],A315)/I315,"NA")</f>
        <v>NA</v>
      </c>
      <c r="O315" s="518">
        <f t="shared" si="51"/>
        <v>0</v>
      </c>
      <c r="P315" s="243" t="str">
        <f t="shared" si="50"/>
        <v>NA</v>
      </c>
      <c r="Q315" s="97" t="str">
        <f t="shared" si="50"/>
        <v>NA</v>
      </c>
      <c r="R315" s="97" t="str">
        <f t="shared" si="50"/>
        <v>NA</v>
      </c>
      <c r="S315" s="97" t="str">
        <f t="shared" si="50"/>
        <v>NA</v>
      </c>
      <c r="T315" s="97" t="str">
        <f t="shared" si="50"/>
        <v>NA</v>
      </c>
      <c r="U315" s="97" t="str">
        <f t="shared" si="50"/>
        <v>NA</v>
      </c>
    </row>
    <row r="316" spans="1:21" x14ac:dyDescent="0.25">
      <c r="A316" s="218">
        <v>105</v>
      </c>
      <c r="B316" s="566" t="s">
        <v>607</v>
      </c>
      <c r="C316" s="8">
        <f>SUMIFS(TM[[#All],[Member Months]],TM[[#All],[Reporting Year]],2022,TM[[#All],[Insurance Category Code]],6,TM[[#All],[Large Provider Entity Code]],A316)</f>
        <v>0</v>
      </c>
      <c r="D316" s="7" t="str">
        <f>IFERROR(SUMIFS(TM[[#All],[Total Non-Truncated Claims Spending]],TM[[#All],[Reporting Year]],2022,TM[[#All],[Insurance Category Code]],6,TM[[#All],[Large Provider Entity Code]],A316)/C316,"NA")</f>
        <v>NA</v>
      </c>
      <c r="E316" s="7" t="str">
        <f>IFERROR(SUMIFS(TM[[#All],[Total Non-Claims Spending]],TM[[#All],[Reporting Year]],2022,TM[[#All],[Insurance Category Code]],6,TM[[#All],[Large Provider Entity Code]],A316)/C316,"NA")</f>
        <v>NA</v>
      </c>
      <c r="F316" s="7" t="str">
        <f>IFERROR(SUMIFS(TM[[#All],[Total Non-Truncated Claims and Non-Claims Spending]],TM[[#All],[Reporting Year]],2022,TM[[#All],[Insurance Category Code]],6,TM[[#All],[Large Provider Entity Code]],A316)/C316,"NA")</f>
        <v>NA</v>
      </c>
      <c r="G316" s="7" t="str">
        <f>IFERROR(SUMIFS(TM[[#All],[Total Truncated Claims Spending]],TM[[#All],[Reporting Year]],2022,TM[[#All],[Insurance Category Code]],6,TM[[#All],[Large Provider Entity Code]],A316)/C316,"NA")</f>
        <v>NA</v>
      </c>
      <c r="H316" s="204" t="str">
        <f>IFERROR(SUMIFS(TM[[#All],[Total Truncated Expenses]],TM[[#All],[Reporting Year]],2022,TM[[#All],[Insurance Category Code]],6,TM[[#All],[Large Provider Entity Code]],A316)/C316,"NA")</f>
        <v>NA</v>
      </c>
      <c r="I316" s="95">
        <f>SUMIFS(TM[[#All],[Member Months]],TM[[#All],[Reporting Year]],2023,TM[[#All],[Insurance Category Code]],6,TM[[#All],[Large Provider Entity Code]],A316)</f>
        <v>0</v>
      </c>
      <c r="J316" s="7" t="str">
        <f>IFERROR(SUMIFS(TM[[#All],[Total Non-Truncated Claims Spending]],TM[[#All],[Reporting Year]],2023,TM[[#All],[Insurance Category Code]],6,TM[[#All],[Large Provider Entity Code]],A316)/I316,"NA")</f>
        <v>NA</v>
      </c>
      <c r="K316" s="7" t="str">
        <f>IFERROR(SUMIFS(TM[[#All],[Total Non-Claims Spending]],TM[[#All],[Reporting Year]],2023,TM[[#All],[Insurance Category Code]],6,TM[[#All],[Large Provider Entity Code]],A316)/I316,"NA")</f>
        <v>NA</v>
      </c>
      <c r="L316" s="7" t="str">
        <f>IFERROR(SUMIFS(TM[[#All],[Total Non-Truncated Claims and Non-Claims Spending]],TM[[#All],[Reporting Year]],2023,TM[[#All],[Insurance Category Code]],6,TM[[#All],[Large Provider Entity Code]],A316)/I316,"NA")</f>
        <v>NA</v>
      </c>
      <c r="M316" s="7" t="str">
        <f>IFERROR(SUMIFS(TM[[#All],[Total Truncated Claims Spending]],TM[[#All],[Reporting Year]],2023,TM[[#All],[Insurance Category Code]],6,TM[[#All],[Large Provider Entity Code]],A316)/I316,"NA")</f>
        <v>NA</v>
      </c>
      <c r="N316" s="96" t="str">
        <f>IFERROR(SUMIFS(TM[[#All],[Total Truncated Expenses]],TM[[#All],[Reporting Year]],2023,TM[[#All],[Insurance Category Code]],6,TM[[#All],[Large Provider Entity Code]],A316)/I316,"NA")</f>
        <v>NA</v>
      </c>
      <c r="O316" s="518">
        <f t="shared" si="51"/>
        <v>0</v>
      </c>
      <c r="P316" s="243" t="str">
        <f t="shared" si="50"/>
        <v>NA</v>
      </c>
      <c r="Q316" s="97" t="str">
        <f t="shared" si="50"/>
        <v>NA</v>
      </c>
      <c r="R316" s="97" t="str">
        <f t="shared" si="50"/>
        <v>NA</v>
      </c>
      <c r="S316" s="97" t="str">
        <f t="shared" si="50"/>
        <v>NA</v>
      </c>
      <c r="T316" s="97" t="str">
        <f t="shared" si="50"/>
        <v>NA</v>
      </c>
      <c r="U316" s="97" t="str">
        <f t="shared" si="50"/>
        <v>NA</v>
      </c>
    </row>
    <row r="317" spans="1:21" x14ac:dyDescent="0.25">
      <c r="A317" s="218">
        <v>106</v>
      </c>
      <c r="B317" s="495" t="s">
        <v>74</v>
      </c>
      <c r="C317" s="8">
        <f>SUMIFS(TM[[#All],[Member Months]],TM[[#All],[Reporting Year]],2022,TM[[#All],[Insurance Category Code]],6,TM[[#All],[Large Provider Entity Code]],A317)</f>
        <v>0</v>
      </c>
      <c r="D317" s="7" t="str">
        <f>IFERROR(SUMIFS(TM[[#All],[Total Non-Truncated Claims Spending]],TM[[#All],[Reporting Year]],2022,TM[[#All],[Insurance Category Code]],6,TM[[#All],[Large Provider Entity Code]],A317)/C317,"NA")</f>
        <v>NA</v>
      </c>
      <c r="E317" s="7" t="str">
        <f>IFERROR(SUMIFS(TM[[#All],[Total Non-Claims Spending]],TM[[#All],[Reporting Year]],2022,TM[[#All],[Insurance Category Code]],6,TM[[#All],[Large Provider Entity Code]],A317)/C317,"NA")</f>
        <v>NA</v>
      </c>
      <c r="F317" s="7" t="str">
        <f>IFERROR(SUMIFS(TM[[#All],[Total Non-Truncated Claims and Non-Claims Spending]],TM[[#All],[Reporting Year]],2022,TM[[#All],[Insurance Category Code]],6,TM[[#All],[Large Provider Entity Code]],A317)/C317,"NA")</f>
        <v>NA</v>
      </c>
      <c r="G317" s="7" t="str">
        <f>IFERROR(SUMIFS(TM[[#All],[Total Truncated Claims Spending]],TM[[#All],[Reporting Year]],2022,TM[[#All],[Insurance Category Code]],6,TM[[#All],[Large Provider Entity Code]],A317)/C317,"NA")</f>
        <v>NA</v>
      </c>
      <c r="H317" s="204" t="str">
        <f>IFERROR(SUMIFS(TM[[#All],[Total Truncated Expenses]],TM[[#All],[Reporting Year]],2022,TM[[#All],[Insurance Category Code]],6,TM[[#All],[Large Provider Entity Code]],A317)/C317,"NA")</f>
        <v>NA</v>
      </c>
      <c r="I317" s="95">
        <f>SUMIFS(TM[[#All],[Member Months]],TM[[#All],[Reporting Year]],2023,TM[[#All],[Insurance Category Code]],6,TM[[#All],[Large Provider Entity Code]],A317)</f>
        <v>0</v>
      </c>
      <c r="J317" s="7" t="str">
        <f>IFERROR(SUMIFS(TM[[#All],[Total Non-Truncated Claims Spending]],TM[[#All],[Reporting Year]],2023,TM[[#All],[Insurance Category Code]],6,TM[[#All],[Large Provider Entity Code]],A317)/I317,"NA")</f>
        <v>NA</v>
      </c>
      <c r="K317" s="7" t="str">
        <f>IFERROR(SUMIFS(TM[[#All],[Total Non-Claims Spending]],TM[[#All],[Reporting Year]],2023,TM[[#All],[Insurance Category Code]],6,TM[[#All],[Large Provider Entity Code]],A317)/I317,"NA")</f>
        <v>NA</v>
      </c>
      <c r="L317" s="7" t="str">
        <f>IFERROR(SUMIFS(TM[[#All],[Total Non-Truncated Claims and Non-Claims Spending]],TM[[#All],[Reporting Year]],2023,TM[[#All],[Insurance Category Code]],6,TM[[#All],[Large Provider Entity Code]],A317)/I317,"NA")</f>
        <v>NA</v>
      </c>
      <c r="M317" s="7" t="str">
        <f>IFERROR(SUMIFS(TM[[#All],[Total Truncated Claims Spending]],TM[[#All],[Reporting Year]],2023,TM[[#All],[Insurance Category Code]],6,TM[[#All],[Large Provider Entity Code]],A317)/I317,"NA")</f>
        <v>NA</v>
      </c>
      <c r="N317" s="96" t="str">
        <f>IFERROR(SUMIFS(TM[[#All],[Total Truncated Expenses]],TM[[#All],[Reporting Year]],2023,TM[[#All],[Insurance Category Code]],6,TM[[#All],[Large Provider Entity Code]],A317)/I317,"NA")</f>
        <v>NA</v>
      </c>
      <c r="O317" s="518">
        <f t="shared" si="51"/>
        <v>0</v>
      </c>
      <c r="P317" s="243" t="str">
        <f t="shared" si="50"/>
        <v>NA</v>
      </c>
      <c r="Q317" s="97" t="str">
        <f t="shared" si="50"/>
        <v>NA</v>
      </c>
      <c r="R317" s="97" t="str">
        <f t="shared" si="50"/>
        <v>NA</v>
      </c>
      <c r="S317" s="97" t="str">
        <f t="shared" si="50"/>
        <v>NA</v>
      </c>
      <c r="T317" s="97" t="str">
        <f t="shared" si="50"/>
        <v>NA</v>
      </c>
      <c r="U317" s="97" t="str">
        <f t="shared" si="50"/>
        <v>NA</v>
      </c>
    </row>
    <row r="318" spans="1:21" ht="30" x14ac:dyDescent="0.25">
      <c r="A318" s="218">
        <v>107</v>
      </c>
      <c r="B318" s="495" t="s">
        <v>75</v>
      </c>
      <c r="C318" s="8">
        <f>SUMIFS(TM[[#All],[Member Months]],TM[[#All],[Reporting Year]],2022,TM[[#All],[Insurance Category Code]],6,TM[[#All],[Large Provider Entity Code]],A318)</f>
        <v>0</v>
      </c>
      <c r="D318" s="7" t="str">
        <f>IFERROR(SUMIFS(TM[[#All],[Total Non-Truncated Claims Spending]],TM[[#All],[Reporting Year]],2022,TM[[#All],[Insurance Category Code]],6,TM[[#All],[Large Provider Entity Code]],A318)/C318,"NA")</f>
        <v>NA</v>
      </c>
      <c r="E318" s="7" t="str">
        <f>IFERROR(SUMIFS(TM[[#All],[Total Non-Claims Spending]],TM[[#All],[Reporting Year]],2022,TM[[#All],[Insurance Category Code]],6,TM[[#All],[Large Provider Entity Code]],A318)/C318,"NA")</f>
        <v>NA</v>
      </c>
      <c r="F318" s="7" t="str">
        <f>IFERROR(SUMIFS(TM[[#All],[Total Non-Truncated Claims and Non-Claims Spending]],TM[[#All],[Reporting Year]],2022,TM[[#All],[Insurance Category Code]],6,TM[[#All],[Large Provider Entity Code]],A318)/C318,"NA")</f>
        <v>NA</v>
      </c>
      <c r="G318" s="7" t="str">
        <f>IFERROR(SUMIFS(TM[[#All],[Total Truncated Claims Spending]],TM[[#All],[Reporting Year]],2022,TM[[#All],[Insurance Category Code]],6,TM[[#All],[Large Provider Entity Code]],A318)/C318,"NA")</f>
        <v>NA</v>
      </c>
      <c r="H318" s="204" t="str">
        <f>IFERROR(SUMIFS(TM[[#All],[Total Truncated Expenses]],TM[[#All],[Reporting Year]],2022,TM[[#All],[Insurance Category Code]],6,TM[[#All],[Large Provider Entity Code]],A318)/C318,"NA")</f>
        <v>NA</v>
      </c>
      <c r="I318" s="95">
        <f>SUMIFS(TM[[#All],[Member Months]],TM[[#All],[Reporting Year]],2023,TM[[#All],[Insurance Category Code]],6,TM[[#All],[Large Provider Entity Code]],A318)</f>
        <v>0</v>
      </c>
      <c r="J318" s="7" t="str">
        <f>IFERROR(SUMIFS(TM[[#All],[Total Non-Truncated Claims Spending]],TM[[#All],[Reporting Year]],2023,TM[[#All],[Insurance Category Code]],6,TM[[#All],[Large Provider Entity Code]],A318)/I318,"NA")</f>
        <v>NA</v>
      </c>
      <c r="K318" s="7" t="str">
        <f>IFERROR(SUMIFS(TM[[#All],[Total Non-Claims Spending]],TM[[#All],[Reporting Year]],2023,TM[[#All],[Insurance Category Code]],6,TM[[#All],[Large Provider Entity Code]],A318)/I318,"NA")</f>
        <v>NA</v>
      </c>
      <c r="L318" s="7" t="str">
        <f>IFERROR(SUMIFS(TM[[#All],[Total Non-Truncated Claims and Non-Claims Spending]],TM[[#All],[Reporting Year]],2023,TM[[#All],[Insurance Category Code]],6,TM[[#All],[Large Provider Entity Code]],A318)/I318,"NA")</f>
        <v>NA</v>
      </c>
      <c r="M318" s="7" t="str">
        <f>IFERROR(SUMIFS(TM[[#All],[Total Truncated Claims Spending]],TM[[#All],[Reporting Year]],2023,TM[[#All],[Insurance Category Code]],6,TM[[#All],[Large Provider Entity Code]],A318)/I318,"NA")</f>
        <v>NA</v>
      </c>
      <c r="N318" s="96" t="str">
        <f>IFERROR(SUMIFS(TM[[#All],[Total Truncated Expenses]],TM[[#All],[Reporting Year]],2023,TM[[#All],[Insurance Category Code]],6,TM[[#All],[Large Provider Entity Code]],A318)/I318,"NA")</f>
        <v>NA</v>
      </c>
      <c r="O318" s="518">
        <f t="shared" si="51"/>
        <v>0</v>
      </c>
      <c r="P318" s="243" t="str">
        <f t="shared" si="50"/>
        <v>NA</v>
      </c>
      <c r="Q318" s="97" t="str">
        <f t="shared" si="50"/>
        <v>NA</v>
      </c>
      <c r="R318" s="97" t="str">
        <f t="shared" si="50"/>
        <v>NA</v>
      </c>
      <c r="S318" s="97" t="str">
        <f t="shared" si="50"/>
        <v>NA</v>
      </c>
      <c r="T318" s="97" t="str">
        <f t="shared" si="50"/>
        <v>NA</v>
      </c>
      <c r="U318" s="97" t="str">
        <f t="shared" si="50"/>
        <v>NA</v>
      </c>
    </row>
    <row r="319" spans="1:21" x14ac:dyDescent="0.25">
      <c r="A319" s="218">
        <v>108</v>
      </c>
      <c r="B319" s="495" t="s">
        <v>612</v>
      </c>
      <c r="C319" s="8">
        <f>SUMIFS(TM[[#All],[Member Months]],TM[[#All],[Reporting Year]],2022,TM[[#All],[Insurance Category Code]],6,TM[[#All],[Large Provider Entity Code]],A319)</f>
        <v>0</v>
      </c>
      <c r="D319" s="7" t="str">
        <f>IFERROR(SUMIFS(TM[[#All],[Total Non-Truncated Claims Spending]],TM[[#All],[Reporting Year]],2022,TM[[#All],[Insurance Category Code]],6,TM[[#All],[Large Provider Entity Code]],A319)/C319,"NA")</f>
        <v>NA</v>
      </c>
      <c r="E319" s="7" t="str">
        <f>IFERROR(SUMIFS(TM[[#All],[Total Non-Claims Spending]],TM[[#All],[Reporting Year]],2022,TM[[#All],[Insurance Category Code]],6,TM[[#All],[Large Provider Entity Code]],A319)/C319,"NA")</f>
        <v>NA</v>
      </c>
      <c r="F319" s="7" t="str">
        <f>IFERROR(SUMIFS(TM[[#All],[Total Non-Truncated Claims and Non-Claims Spending]],TM[[#All],[Reporting Year]],2022,TM[[#All],[Insurance Category Code]],6,TM[[#All],[Large Provider Entity Code]],A319)/C319,"NA")</f>
        <v>NA</v>
      </c>
      <c r="G319" s="7" t="str">
        <f>IFERROR(SUMIFS(TM[[#All],[Total Truncated Claims Spending]],TM[[#All],[Reporting Year]],2022,TM[[#All],[Insurance Category Code]],6,TM[[#All],[Large Provider Entity Code]],A319)/C319,"NA")</f>
        <v>NA</v>
      </c>
      <c r="H319" s="204" t="str">
        <f>IFERROR(SUMIFS(TM[[#All],[Total Truncated Expenses]],TM[[#All],[Reporting Year]],2022,TM[[#All],[Insurance Category Code]],6,TM[[#All],[Large Provider Entity Code]],A319)/C319,"NA")</f>
        <v>NA</v>
      </c>
      <c r="I319" s="95">
        <f>SUMIFS(TM[[#All],[Member Months]],TM[[#All],[Reporting Year]],2023,TM[[#All],[Insurance Category Code]],6,TM[[#All],[Large Provider Entity Code]],A319)</f>
        <v>0</v>
      </c>
      <c r="J319" s="7" t="str">
        <f>IFERROR(SUMIFS(TM[[#All],[Total Non-Truncated Claims Spending]],TM[[#All],[Reporting Year]],2023,TM[[#All],[Insurance Category Code]],6,TM[[#All],[Large Provider Entity Code]],A319)/I319,"NA")</f>
        <v>NA</v>
      </c>
      <c r="K319" s="7" t="str">
        <f>IFERROR(SUMIFS(TM[[#All],[Total Non-Claims Spending]],TM[[#All],[Reporting Year]],2023,TM[[#All],[Insurance Category Code]],6,TM[[#All],[Large Provider Entity Code]],A319)/I319,"NA")</f>
        <v>NA</v>
      </c>
      <c r="L319" s="7" t="str">
        <f>IFERROR(SUMIFS(TM[[#All],[Total Non-Truncated Claims and Non-Claims Spending]],TM[[#All],[Reporting Year]],2023,TM[[#All],[Insurance Category Code]],6,TM[[#All],[Large Provider Entity Code]],A319)/I319,"NA")</f>
        <v>NA</v>
      </c>
      <c r="M319" s="7" t="str">
        <f>IFERROR(SUMIFS(TM[[#All],[Total Truncated Claims Spending]],TM[[#All],[Reporting Year]],2023,TM[[#All],[Insurance Category Code]],6,TM[[#All],[Large Provider Entity Code]],A319)/I319,"NA")</f>
        <v>NA</v>
      </c>
      <c r="N319" s="96" t="str">
        <f>IFERROR(SUMIFS(TM[[#All],[Total Truncated Expenses]],TM[[#All],[Reporting Year]],2023,TM[[#All],[Insurance Category Code]],6,TM[[#All],[Large Provider Entity Code]],A319)/I319,"NA")</f>
        <v>NA</v>
      </c>
      <c r="O319" s="518">
        <f t="shared" si="51"/>
        <v>0</v>
      </c>
      <c r="P319" s="243" t="str">
        <f t="shared" si="50"/>
        <v>NA</v>
      </c>
      <c r="Q319" s="97" t="str">
        <f t="shared" si="50"/>
        <v>NA</v>
      </c>
      <c r="R319" s="97" t="str">
        <f t="shared" si="50"/>
        <v>NA</v>
      </c>
      <c r="S319" s="97" t="str">
        <f t="shared" si="50"/>
        <v>NA</v>
      </c>
      <c r="T319" s="97" t="str">
        <f t="shared" si="50"/>
        <v>NA</v>
      </c>
      <c r="U319" s="97" t="str">
        <f t="shared" si="50"/>
        <v>NA</v>
      </c>
    </row>
    <row r="320" spans="1:21" x14ac:dyDescent="0.25">
      <c r="A320" s="218">
        <v>109</v>
      </c>
      <c r="B320" s="571" t="s">
        <v>76</v>
      </c>
      <c r="C320" s="8">
        <f>SUMIFS(TM[[#All],[Member Months]],TM[[#All],[Reporting Year]],2022,TM[[#All],[Insurance Category Code]],6,TM[[#All],[Large Provider Entity Code]],A320)</f>
        <v>0</v>
      </c>
      <c r="D320" s="7" t="str">
        <f>IFERROR(SUMIFS(TM[[#All],[Total Non-Truncated Claims Spending]],TM[[#All],[Reporting Year]],2022,TM[[#All],[Insurance Category Code]],6,TM[[#All],[Large Provider Entity Code]],A320)/C320,"NA")</f>
        <v>NA</v>
      </c>
      <c r="E320" s="7" t="str">
        <f>IFERROR(SUMIFS(TM[[#All],[Total Non-Claims Spending]],TM[[#All],[Reporting Year]],2022,TM[[#All],[Insurance Category Code]],6,TM[[#All],[Large Provider Entity Code]],A320)/C320,"NA")</f>
        <v>NA</v>
      </c>
      <c r="F320" s="7" t="str">
        <f>IFERROR(SUMIFS(TM[[#All],[Total Non-Truncated Claims and Non-Claims Spending]],TM[[#All],[Reporting Year]],2022,TM[[#All],[Insurance Category Code]],6,TM[[#All],[Large Provider Entity Code]],A320)/C320,"NA")</f>
        <v>NA</v>
      </c>
      <c r="G320" s="7" t="str">
        <f>IFERROR(SUMIFS(TM[[#All],[Total Truncated Claims Spending]],TM[[#All],[Reporting Year]],2022,TM[[#All],[Insurance Category Code]],6,TM[[#All],[Large Provider Entity Code]],A320)/C320,"NA")</f>
        <v>NA</v>
      </c>
      <c r="H320" s="204" t="str">
        <f>IFERROR(SUMIFS(TM[[#All],[Total Truncated Expenses]],TM[[#All],[Reporting Year]],2022,TM[[#All],[Insurance Category Code]],6,TM[[#All],[Large Provider Entity Code]],A320)/C320,"NA")</f>
        <v>NA</v>
      </c>
      <c r="I320" s="95">
        <f>SUMIFS(TM[[#All],[Member Months]],TM[[#All],[Reporting Year]],2023,TM[[#All],[Insurance Category Code]],6,TM[[#All],[Large Provider Entity Code]],A320)</f>
        <v>0</v>
      </c>
      <c r="J320" s="7" t="str">
        <f>IFERROR(SUMIFS(TM[[#All],[Total Non-Truncated Claims Spending]],TM[[#All],[Reporting Year]],2023,TM[[#All],[Insurance Category Code]],6,TM[[#All],[Large Provider Entity Code]],A320)/I320,"NA")</f>
        <v>NA</v>
      </c>
      <c r="K320" s="7" t="str">
        <f>IFERROR(SUMIFS(TM[[#All],[Total Non-Claims Spending]],TM[[#All],[Reporting Year]],2023,TM[[#All],[Insurance Category Code]],6,TM[[#All],[Large Provider Entity Code]],A320)/I320,"NA")</f>
        <v>NA</v>
      </c>
      <c r="L320" s="7" t="str">
        <f>IFERROR(SUMIFS(TM[[#All],[Total Non-Truncated Claims and Non-Claims Spending]],TM[[#All],[Reporting Year]],2023,TM[[#All],[Insurance Category Code]],6,TM[[#All],[Large Provider Entity Code]],A320)/I320,"NA")</f>
        <v>NA</v>
      </c>
      <c r="M320" s="7" t="str">
        <f>IFERROR(SUMIFS(TM[[#All],[Total Truncated Claims Spending]],TM[[#All],[Reporting Year]],2023,TM[[#All],[Insurance Category Code]],6,TM[[#All],[Large Provider Entity Code]],A320)/I320,"NA")</f>
        <v>NA</v>
      </c>
      <c r="N320" s="96" t="str">
        <f>IFERROR(SUMIFS(TM[[#All],[Total Truncated Expenses]],TM[[#All],[Reporting Year]],2023,TM[[#All],[Insurance Category Code]],6,TM[[#All],[Large Provider Entity Code]],A320)/I320,"NA")</f>
        <v>NA</v>
      </c>
      <c r="O320" s="518">
        <f t="shared" si="51"/>
        <v>0</v>
      </c>
      <c r="P320" s="243" t="str">
        <f t="shared" si="50"/>
        <v>NA</v>
      </c>
      <c r="Q320" s="97" t="str">
        <f t="shared" si="50"/>
        <v>NA</v>
      </c>
      <c r="R320" s="97" t="str">
        <f t="shared" si="50"/>
        <v>NA</v>
      </c>
      <c r="S320" s="97" t="str">
        <f t="shared" si="50"/>
        <v>NA</v>
      </c>
      <c r="T320" s="97" t="str">
        <f t="shared" si="50"/>
        <v>NA</v>
      </c>
      <c r="U320" s="97" t="str">
        <f t="shared" si="50"/>
        <v>NA</v>
      </c>
    </row>
    <row r="321" spans="1:21" x14ac:dyDescent="0.25">
      <c r="A321" s="218">
        <v>110</v>
      </c>
      <c r="B321" s="495" t="s">
        <v>77</v>
      </c>
      <c r="C321" s="8">
        <f>SUMIFS(TM[[#All],[Member Months]],TM[[#All],[Reporting Year]],2022,TM[[#All],[Insurance Category Code]],6,TM[[#All],[Large Provider Entity Code]],A321)</f>
        <v>0</v>
      </c>
      <c r="D321" s="7" t="str">
        <f>IFERROR(SUMIFS(TM[[#All],[Total Non-Truncated Claims Spending]],TM[[#All],[Reporting Year]],2022,TM[[#All],[Insurance Category Code]],6,TM[[#All],[Large Provider Entity Code]],A321)/C321,"NA")</f>
        <v>NA</v>
      </c>
      <c r="E321" s="7" t="str">
        <f>IFERROR(SUMIFS(TM[[#All],[Total Non-Claims Spending]],TM[[#All],[Reporting Year]],2022,TM[[#All],[Insurance Category Code]],6,TM[[#All],[Large Provider Entity Code]],A321)/C321,"NA")</f>
        <v>NA</v>
      </c>
      <c r="F321" s="7" t="str">
        <f>IFERROR(SUMIFS(TM[[#All],[Total Non-Truncated Claims and Non-Claims Spending]],TM[[#All],[Reporting Year]],2022,TM[[#All],[Insurance Category Code]],6,TM[[#All],[Large Provider Entity Code]],A321)/C321,"NA")</f>
        <v>NA</v>
      </c>
      <c r="G321" s="7" t="str">
        <f>IFERROR(SUMIFS(TM[[#All],[Total Truncated Claims Spending]],TM[[#All],[Reporting Year]],2022,TM[[#All],[Insurance Category Code]],6,TM[[#All],[Large Provider Entity Code]],A321)/C321,"NA")</f>
        <v>NA</v>
      </c>
      <c r="H321" s="204" t="str">
        <f>IFERROR(SUMIFS(TM[[#All],[Total Truncated Expenses]],TM[[#All],[Reporting Year]],2022,TM[[#All],[Insurance Category Code]],6,TM[[#All],[Large Provider Entity Code]],A321)/C321,"NA")</f>
        <v>NA</v>
      </c>
      <c r="I321" s="95">
        <f>SUMIFS(TM[[#All],[Member Months]],TM[[#All],[Reporting Year]],2023,TM[[#All],[Insurance Category Code]],6,TM[[#All],[Large Provider Entity Code]],A321)</f>
        <v>0</v>
      </c>
      <c r="J321" s="7" t="str">
        <f>IFERROR(SUMIFS(TM[[#All],[Total Non-Truncated Claims Spending]],TM[[#All],[Reporting Year]],2023,TM[[#All],[Insurance Category Code]],6,TM[[#All],[Large Provider Entity Code]],A321)/I321,"NA")</f>
        <v>NA</v>
      </c>
      <c r="K321" s="7" t="str">
        <f>IFERROR(SUMIFS(TM[[#All],[Total Non-Claims Spending]],TM[[#All],[Reporting Year]],2023,TM[[#All],[Insurance Category Code]],6,TM[[#All],[Large Provider Entity Code]],A321)/I321,"NA")</f>
        <v>NA</v>
      </c>
      <c r="L321" s="7" t="str">
        <f>IFERROR(SUMIFS(TM[[#All],[Total Non-Truncated Claims and Non-Claims Spending]],TM[[#All],[Reporting Year]],2023,TM[[#All],[Insurance Category Code]],6,TM[[#All],[Large Provider Entity Code]],A321)/I321,"NA")</f>
        <v>NA</v>
      </c>
      <c r="M321" s="7" t="str">
        <f>IFERROR(SUMIFS(TM[[#All],[Total Truncated Claims Spending]],TM[[#All],[Reporting Year]],2023,TM[[#All],[Insurance Category Code]],6,TM[[#All],[Large Provider Entity Code]],A321)/I321,"NA")</f>
        <v>NA</v>
      </c>
      <c r="N321" s="96" t="str">
        <f>IFERROR(SUMIFS(TM[[#All],[Total Truncated Expenses]],TM[[#All],[Reporting Year]],2023,TM[[#All],[Insurance Category Code]],6,TM[[#All],[Large Provider Entity Code]],A321)/I321,"NA")</f>
        <v>NA</v>
      </c>
      <c r="O321" s="518">
        <f t="shared" si="51"/>
        <v>0</v>
      </c>
      <c r="P321" s="243" t="str">
        <f t="shared" si="50"/>
        <v>NA</v>
      </c>
      <c r="Q321" s="97" t="str">
        <f t="shared" si="50"/>
        <v>NA</v>
      </c>
      <c r="R321" s="97" t="str">
        <f t="shared" si="50"/>
        <v>NA</v>
      </c>
      <c r="S321" s="97" t="str">
        <f t="shared" si="50"/>
        <v>NA</v>
      </c>
      <c r="T321" s="97" t="str">
        <f t="shared" si="50"/>
        <v>NA</v>
      </c>
      <c r="U321" s="97" t="str">
        <f t="shared" si="50"/>
        <v>NA</v>
      </c>
    </row>
    <row r="322" spans="1:21" x14ac:dyDescent="0.25">
      <c r="A322" s="218">
        <v>111</v>
      </c>
      <c r="B322" s="566" t="s">
        <v>78</v>
      </c>
      <c r="C322" s="8">
        <f>SUMIFS(TM[[#All],[Member Months]],TM[[#All],[Reporting Year]],2022,TM[[#All],[Insurance Category Code]],6,TM[[#All],[Large Provider Entity Code]],A322)</f>
        <v>0</v>
      </c>
      <c r="D322" s="7" t="str">
        <f>IFERROR(SUMIFS(TM[[#All],[Total Non-Truncated Claims Spending]],TM[[#All],[Reporting Year]],2022,TM[[#All],[Insurance Category Code]],6,TM[[#All],[Large Provider Entity Code]],A322)/C322,"NA")</f>
        <v>NA</v>
      </c>
      <c r="E322" s="7" t="str">
        <f>IFERROR(SUMIFS(TM[[#All],[Total Non-Claims Spending]],TM[[#All],[Reporting Year]],2022,TM[[#All],[Insurance Category Code]],6,TM[[#All],[Large Provider Entity Code]],A322)/C322,"NA")</f>
        <v>NA</v>
      </c>
      <c r="F322" s="7" t="str">
        <f>IFERROR(SUMIFS(TM[[#All],[Total Non-Truncated Claims and Non-Claims Spending]],TM[[#All],[Reporting Year]],2022,TM[[#All],[Insurance Category Code]],6,TM[[#All],[Large Provider Entity Code]],A322)/C322,"NA")</f>
        <v>NA</v>
      </c>
      <c r="G322" s="7" t="str">
        <f>IFERROR(SUMIFS(TM[[#All],[Total Truncated Claims Spending]],TM[[#All],[Reporting Year]],2022,TM[[#All],[Insurance Category Code]],6,TM[[#All],[Large Provider Entity Code]],A322)/C322,"NA")</f>
        <v>NA</v>
      </c>
      <c r="H322" s="204" t="str">
        <f>IFERROR(SUMIFS(TM[[#All],[Total Truncated Expenses]],TM[[#All],[Reporting Year]],2022,TM[[#All],[Insurance Category Code]],6,TM[[#All],[Large Provider Entity Code]],A322)/C322,"NA")</f>
        <v>NA</v>
      </c>
      <c r="I322" s="95">
        <f>SUMIFS(TM[[#All],[Member Months]],TM[[#All],[Reporting Year]],2023,TM[[#All],[Insurance Category Code]],6,TM[[#All],[Large Provider Entity Code]],A322)</f>
        <v>0</v>
      </c>
      <c r="J322" s="7" t="str">
        <f>IFERROR(SUMIFS(TM[[#All],[Total Non-Truncated Claims Spending]],TM[[#All],[Reporting Year]],2023,TM[[#All],[Insurance Category Code]],6,TM[[#All],[Large Provider Entity Code]],A322)/I322,"NA")</f>
        <v>NA</v>
      </c>
      <c r="K322" s="7" t="str">
        <f>IFERROR(SUMIFS(TM[[#All],[Total Non-Claims Spending]],TM[[#All],[Reporting Year]],2023,TM[[#All],[Insurance Category Code]],6,TM[[#All],[Large Provider Entity Code]],A322)/I322,"NA")</f>
        <v>NA</v>
      </c>
      <c r="L322" s="7" t="str">
        <f>IFERROR(SUMIFS(TM[[#All],[Total Non-Truncated Claims and Non-Claims Spending]],TM[[#All],[Reporting Year]],2023,TM[[#All],[Insurance Category Code]],6,TM[[#All],[Large Provider Entity Code]],A322)/I322,"NA")</f>
        <v>NA</v>
      </c>
      <c r="M322" s="7" t="str">
        <f>IFERROR(SUMIFS(TM[[#All],[Total Truncated Claims Spending]],TM[[#All],[Reporting Year]],2023,TM[[#All],[Insurance Category Code]],6,TM[[#All],[Large Provider Entity Code]],A322)/I322,"NA")</f>
        <v>NA</v>
      </c>
      <c r="N322" s="96" t="str">
        <f>IFERROR(SUMIFS(TM[[#All],[Total Truncated Expenses]],TM[[#All],[Reporting Year]],2023,TM[[#All],[Insurance Category Code]],6,TM[[#All],[Large Provider Entity Code]],A322)/I322,"NA")</f>
        <v>NA</v>
      </c>
      <c r="O322" s="518">
        <f t="shared" si="51"/>
        <v>0</v>
      </c>
      <c r="P322" s="243" t="str">
        <f t="shared" si="50"/>
        <v>NA</v>
      </c>
      <c r="Q322" s="97" t="str">
        <f t="shared" si="50"/>
        <v>NA</v>
      </c>
      <c r="R322" s="97" t="str">
        <f t="shared" si="50"/>
        <v>NA</v>
      </c>
      <c r="S322" s="97" t="str">
        <f t="shared" si="50"/>
        <v>NA</v>
      </c>
      <c r="T322" s="97" t="str">
        <f t="shared" si="50"/>
        <v>NA</v>
      </c>
      <c r="U322" s="97" t="str">
        <f t="shared" si="50"/>
        <v>NA</v>
      </c>
    </row>
    <row r="323" spans="1:21" x14ac:dyDescent="0.25">
      <c r="A323" s="218">
        <v>112</v>
      </c>
      <c r="B323" s="566" t="s">
        <v>613</v>
      </c>
      <c r="C323" s="8">
        <f>SUMIFS(TM[[#All],[Member Months]],TM[[#All],[Reporting Year]],2022,TM[[#All],[Insurance Category Code]],6,TM[[#All],[Large Provider Entity Code]],A323)</f>
        <v>0</v>
      </c>
      <c r="D323" s="7" t="str">
        <f>IFERROR(SUMIFS(TM[[#All],[Total Non-Truncated Claims Spending]],TM[[#All],[Reporting Year]],2022,TM[[#All],[Insurance Category Code]],6,TM[[#All],[Large Provider Entity Code]],A323)/C323,"NA")</f>
        <v>NA</v>
      </c>
      <c r="E323" s="7" t="str">
        <f>IFERROR(SUMIFS(TM[[#All],[Total Non-Claims Spending]],TM[[#All],[Reporting Year]],2022,TM[[#All],[Insurance Category Code]],6,TM[[#All],[Large Provider Entity Code]],A323)/C323,"NA")</f>
        <v>NA</v>
      </c>
      <c r="F323" s="7" t="str">
        <f>IFERROR(SUMIFS(TM[[#All],[Total Non-Truncated Claims and Non-Claims Spending]],TM[[#All],[Reporting Year]],2022,TM[[#All],[Insurance Category Code]],6,TM[[#All],[Large Provider Entity Code]],A323)/C323,"NA")</f>
        <v>NA</v>
      </c>
      <c r="G323" s="7" t="str">
        <f>IFERROR(SUMIFS(TM[[#All],[Total Truncated Claims Spending]],TM[[#All],[Reporting Year]],2022,TM[[#All],[Insurance Category Code]],6,TM[[#All],[Large Provider Entity Code]],A323)/C323,"NA")</f>
        <v>NA</v>
      </c>
      <c r="H323" s="204" t="str">
        <f>IFERROR(SUMIFS(TM[[#All],[Total Truncated Expenses]],TM[[#All],[Reporting Year]],2022,TM[[#All],[Insurance Category Code]],6,TM[[#All],[Large Provider Entity Code]],A323)/C323,"NA")</f>
        <v>NA</v>
      </c>
      <c r="I323" s="95">
        <f>SUMIFS(TM[[#All],[Member Months]],TM[[#All],[Reporting Year]],2023,TM[[#All],[Insurance Category Code]],6,TM[[#All],[Large Provider Entity Code]],A323)</f>
        <v>0</v>
      </c>
      <c r="J323" s="7" t="str">
        <f>IFERROR(SUMIFS(TM[[#All],[Total Non-Truncated Claims Spending]],TM[[#All],[Reporting Year]],2023,TM[[#All],[Insurance Category Code]],6,TM[[#All],[Large Provider Entity Code]],A323)/I323,"NA")</f>
        <v>NA</v>
      </c>
      <c r="K323" s="7" t="str">
        <f>IFERROR(SUMIFS(TM[[#All],[Total Non-Claims Spending]],TM[[#All],[Reporting Year]],2023,TM[[#All],[Insurance Category Code]],6,TM[[#All],[Large Provider Entity Code]],A323)/I323,"NA")</f>
        <v>NA</v>
      </c>
      <c r="L323" s="7" t="str">
        <f>IFERROR(SUMIFS(TM[[#All],[Total Non-Truncated Claims and Non-Claims Spending]],TM[[#All],[Reporting Year]],2023,TM[[#All],[Insurance Category Code]],6,TM[[#All],[Large Provider Entity Code]],A323)/I323,"NA")</f>
        <v>NA</v>
      </c>
      <c r="M323" s="7" t="str">
        <f>IFERROR(SUMIFS(TM[[#All],[Total Truncated Claims Spending]],TM[[#All],[Reporting Year]],2023,TM[[#All],[Insurance Category Code]],6,TM[[#All],[Large Provider Entity Code]],A323)/I323,"NA")</f>
        <v>NA</v>
      </c>
      <c r="N323" s="96" t="str">
        <f>IFERROR(SUMIFS(TM[[#All],[Total Truncated Expenses]],TM[[#All],[Reporting Year]],2023,TM[[#All],[Insurance Category Code]],6,TM[[#All],[Large Provider Entity Code]],A323)/I323,"NA")</f>
        <v>NA</v>
      </c>
      <c r="O323" s="518">
        <f t="shared" si="51"/>
        <v>0</v>
      </c>
      <c r="P323" s="243" t="str">
        <f t="shared" si="50"/>
        <v>NA</v>
      </c>
      <c r="Q323" s="97" t="str">
        <f t="shared" si="50"/>
        <v>NA</v>
      </c>
      <c r="R323" s="97" t="str">
        <f t="shared" si="50"/>
        <v>NA</v>
      </c>
      <c r="S323" s="97" t="str">
        <f t="shared" si="50"/>
        <v>NA</v>
      </c>
      <c r="T323" s="97" t="str">
        <f t="shared" si="50"/>
        <v>NA</v>
      </c>
      <c r="U323" s="97" t="str">
        <f t="shared" si="50"/>
        <v>NA</v>
      </c>
    </row>
    <row r="324" spans="1:21" x14ac:dyDescent="0.25">
      <c r="A324" s="218">
        <v>115</v>
      </c>
      <c r="B324" s="566" t="s">
        <v>79</v>
      </c>
      <c r="C324" s="8">
        <f>SUMIFS(TM[[#All],[Member Months]],TM[[#All],[Reporting Year]],2022,TM[[#All],[Insurance Category Code]],6,TM[[#All],[Large Provider Entity Code]],A324)</f>
        <v>0</v>
      </c>
      <c r="D324" s="7" t="str">
        <f>IFERROR(SUMIFS(TM[[#All],[Total Non-Truncated Claims Spending]],TM[[#All],[Reporting Year]],2022,TM[[#All],[Insurance Category Code]],6,TM[[#All],[Large Provider Entity Code]],A324)/C324,"NA")</f>
        <v>NA</v>
      </c>
      <c r="E324" s="7" t="str">
        <f>IFERROR(SUMIFS(TM[[#All],[Total Non-Claims Spending]],TM[[#All],[Reporting Year]],2022,TM[[#All],[Insurance Category Code]],6,TM[[#All],[Large Provider Entity Code]],A324)/C324,"NA")</f>
        <v>NA</v>
      </c>
      <c r="F324" s="7" t="str">
        <f>IFERROR(SUMIFS(TM[[#All],[Total Non-Truncated Claims and Non-Claims Spending]],TM[[#All],[Reporting Year]],2022,TM[[#All],[Insurance Category Code]],6,TM[[#All],[Large Provider Entity Code]],A324)/C324,"NA")</f>
        <v>NA</v>
      </c>
      <c r="G324" s="7" t="str">
        <f>IFERROR(SUMIFS(TM[[#All],[Total Truncated Claims Spending]],TM[[#All],[Reporting Year]],2022,TM[[#All],[Insurance Category Code]],6,TM[[#All],[Large Provider Entity Code]],A324)/C324,"NA")</f>
        <v>NA</v>
      </c>
      <c r="H324" s="204" t="str">
        <f>IFERROR(SUMIFS(TM[[#All],[Total Truncated Expenses]],TM[[#All],[Reporting Year]],2022,TM[[#All],[Insurance Category Code]],6,TM[[#All],[Large Provider Entity Code]],A324)/C324,"NA")</f>
        <v>NA</v>
      </c>
      <c r="I324" s="95">
        <f>SUMIFS(TM[[#All],[Member Months]],TM[[#All],[Reporting Year]],2023,TM[[#All],[Insurance Category Code]],6,TM[[#All],[Large Provider Entity Code]],A324)</f>
        <v>0</v>
      </c>
      <c r="J324" s="7" t="str">
        <f>IFERROR(SUMIFS(TM[[#All],[Total Non-Truncated Claims Spending]],TM[[#All],[Reporting Year]],2023,TM[[#All],[Insurance Category Code]],6,TM[[#All],[Large Provider Entity Code]],A324)/I324,"NA")</f>
        <v>NA</v>
      </c>
      <c r="K324" s="7" t="str">
        <f>IFERROR(SUMIFS(TM[[#All],[Total Non-Claims Spending]],TM[[#All],[Reporting Year]],2023,TM[[#All],[Insurance Category Code]],6,TM[[#All],[Large Provider Entity Code]],A324)/I324,"NA")</f>
        <v>NA</v>
      </c>
      <c r="L324" s="7" t="str">
        <f>IFERROR(SUMIFS(TM[[#All],[Total Non-Truncated Claims and Non-Claims Spending]],TM[[#All],[Reporting Year]],2023,TM[[#All],[Insurance Category Code]],6,TM[[#All],[Large Provider Entity Code]],A324)/I324,"NA")</f>
        <v>NA</v>
      </c>
      <c r="M324" s="7" t="str">
        <f>IFERROR(SUMIFS(TM[[#All],[Total Truncated Claims Spending]],TM[[#All],[Reporting Year]],2023,TM[[#All],[Insurance Category Code]],6,TM[[#All],[Large Provider Entity Code]],A324)/I324,"NA")</f>
        <v>NA</v>
      </c>
      <c r="N324" s="96" t="str">
        <f>IFERROR(SUMIFS(TM[[#All],[Total Truncated Expenses]],TM[[#All],[Reporting Year]],2023,TM[[#All],[Insurance Category Code]],6,TM[[#All],[Large Provider Entity Code]],A324)/I324,"NA")</f>
        <v>NA</v>
      </c>
      <c r="O324" s="518">
        <f t="shared" si="51"/>
        <v>0</v>
      </c>
      <c r="P324" s="243" t="str">
        <f t="shared" si="50"/>
        <v>NA</v>
      </c>
      <c r="Q324" s="97" t="str">
        <f t="shared" si="50"/>
        <v>NA</v>
      </c>
      <c r="R324" s="97" t="str">
        <f t="shared" si="50"/>
        <v>NA</v>
      </c>
      <c r="S324" s="97" t="str">
        <f t="shared" si="50"/>
        <v>NA</v>
      </c>
      <c r="T324" s="97" t="str">
        <f t="shared" si="50"/>
        <v>NA</v>
      </c>
      <c r="U324" s="97" t="str">
        <f t="shared" si="50"/>
        <v>NA</v>
      </c>
    </row>
    <row r="325" spans="1:21" x14ac:dyDescent="0.25">
      <c r="A325" s="218">
        <v>116</v>
      </c>
      <c r="B325" s="566" t="s">
        <v>614</v>
      </c>
      <c r="C325" s="8">
        <f>SUMIFS(TM[[#All],[Member Months]],TM[[#All],[Reporting Year]],2022,TM[[#All],[Insurance Category Code]],6,TM[[#All],[Large Provider Entity Code]],A325)</f>
        <v>0</v>
      </c>
      <c r="D325" s="7" t="str">
        <f>IFERROR(SUMIFS(TM[[#All],[Total Non-Truncated Claims Spending]],TM[[#All],[Reporting Year]],2022,TM[[#All],[Insurance Category Code]],6,TM[[#All],[Large Provider Entity Code]],A325)/C325,"NA")</f>
        <v>NA</v>
      </c>
      <c r="E325" s="7" t="str">
        <f>IFERROR(SUMIFS(TM[[#All],[Total Non-Claims Spending]],TM[[#All],[Reporting Year]],2022,TM[[#All],[Insurance Category Code]],6,TM[[#All],[Large Provider Entity Code]],A325)/C325,"NA")</f>
        <v>NA</v>
      </c>
      <c r="F325" s="7" t="str">
        <f>IFERROR(SUMIFS(TM[[#All],[Total Non-Truncated Claims and Non-Claims Spending]],TM[[#All],[Reporting Year]],2022,TM[[#All],[Insurance Category Code]],6,TM[[#All],[Large Provider Entity Code]],A325)/C325,"NA")</f>
        <v>NA</v>
      </c>
      <c r="G325" s="7" t="str">
        <f>IFERROR(SUMIFS(TM[[#All],[Total Truncated Claims Spending]],TM[[#All],[Reporting Year]],2022,TM[[#All],[Insurance Category Code]],6,TM[[#All],[Large Provider Entity Code]],A325)/C325,"NA")</f>
        <v>NA</v>
      </c>
      <c r="H325" s="204" t="str">
        <f>IFERROR(SUMIFS(TM[[#All],[Total Truncated Expenses]],TM[[#All],[Reporting Year]],2022,TM[[#All],[Insurance Category Code]],6,TM[[#All],[Large Provider Entity Code]],A325)/C325,"NA")</f>
        <v>NA</v>
      </c>
      <c r="I325" s="95">
        <f>SUMIFS(TM[[#All],[Member Months]],TM[[#All],[Reporting Year]],2023,TM[[#All],[Insurance Category Code]],6,TM[[#All],[Large Provider Entity Code]],A325)</f>
        <v>0</v>
      </c>
      <c r="J325" s="7" t="str">
        <f>IFERROR(SUMIFS(TM[[#All],[Total Non-Truncated Claims Spending]],TM[[#All],[Reporting Year]],2023,TM[[#All],[Insurance Category Code]],6,TM[[#All],[Large Provider Entity Code]],A325)/I325,"NA")</f>
        <v>NA</v>
      </c>
      <c r="K325" s="7" t="str">
        <f>IFERROR(SUMIFS(TM[[#All],[Total Non-Claims Spending]],TM[[#All],[Reporting Year]],2023,TM[[#All],[Insurance Category Code]],6,TM[[#All],[Large Provider Entity Code]],A325)/I325,"NA")</f>
        <v>NA</v>
      </c>
      <c r="L325" s="7" t="str">
        <f>IFERROR(SUMIFS(TM[[#All],[Total Non-Truncated Claims and Non-Claims Spending]],TM[[#All],[Reporting Year]],2023,TM[[#All],[Insurance Category Code]],6,TM[[#All],[Large Provider Entity Code]],A325)/I325,"NA")</f>
        <v>NA</v>
      </c>
      <c r="M325" s="7" t="str">
        <f>IFERROR(SUMIFS(TM[[#All],[Total Truncated Claims Spending]],TM[[#All],[Reporting Year]],2023,TM[[#All],[Insurance Category Code]],6,TM[[#All],[Large Provider Entity Code]],A325)/I325,"NA")</f>
        <v>NA</v>
      </c>
      <c r="N325" s="96" t="str">
        <f>IFERROR(SUMIFS(TM[[#All],[Total Truncated Expenses]],TM[[#All],[Reporting Year]],2023,TM[[#All],[Insurance Category Code]],6,TM[[#All],[Large Provider Entity Code]],A325)/I325,"NA")</f>
        <v>NA</v>
      </c>
      <c r="O325" s="518">
        <f t="shared" si="51"/>
        <v>0</v>
      </c>
      <c r="P325" s="243" t="str">
        <f t="shared" si="50"/>
        <v>NA</v>
      </c>
      <c r="Q325" s="97" t="str">
        <f t="shared" si="50"/>
        <v>NA</v>
      </c>
      <c r="R325" s="97" t="str">
        <f t="shared" si="50"/>
        <v>NA</v>
      </c>
      <c r="S325" s="97" t="str">
        <f t="shared" si="50"/>
        <v>NA</v>
      </c>
      <c r="T325" s="97" t="str">
        <f t="shared" si="50"/>
        <v>NA</v>
      </c>
      <c r="U325" s="97" t="str">
        <f t="shared" si="50"/>
        <v>NA</v>
      </c>
    </row>
    <row r="326" spans="1:21" x14ac:dyDescent="0.25">
      <c r="A326" s="218">
        <v>118</v>
      </c>
      <c r="B326" s="566" t="s">
        <v>80</v>
      </c>
      <c r="C326" s="8">
        <f>SUMIFS(TM[[#All],[Member Months]],TM[[#All],[Reporting Year]],2022,TM[[#All],[Insurance Category Code]],6,TM[[#All],[Large Provider Entity Code]],A326)</f>
        <v>0</v>
      </c>
      <c r="D326" s="7" t="str">
        <f>IFERROR(SUMIFS(TM[[#All],[Total Non-Truncated Claims Spending]],TM[[#All],[Reporting Year]],2022,TM[[#All],[Insurance Category Code]],6,TM[[#All],[Large Provider Entity Code]],A326)/C326,"NA")</f>
        <v>NA</v>
      </c>
      <c r="E326" s="7" t="str">
        <f>IFERROR(SUMIFS(TM[[#All],[Total Non-Claims Spending]],TM[[#All],[Reporting Year]],2022,TM[[#All],[Insurance Category Code]],6,TM[[#All],[Large Provider Entity Code]],A326)/C326,"NA")</f>
        <v>NA</v>
      </c>
      <c r="F326" s="7" t="str">
        <f>IFERROR(SUMIFS(TM[[#All],[Total Non-Truncated Claims and Non-Claims Spending]],TM[[#All],[Reporting Year]],2022,TM[[#All],[Insurance Category Code]],6,TM[[#All],[Large Provider Entity Code]],A326)/C326,"NA")</f>
        <v>NA</v>
      </c>
      <c r="G326" s="7" t="str">
        <f>IFERROR(SUMIFS(TM[[#All],[Total Truncated Claims Spending]],TM[[#All],[Reporting Year]],2022,TM[[#All],[Insurance Category Code]],6,TM[[#All],[Large Provider Entity Code]],A326)/C326,"NA")</f>
        <v>NA</v>
      </c>
      <c r="H326" s="204" t="str">
        <f>IFERROR(SUMIFS(TM[[#All],[Total Truncated Expenses]],TM[[#All],[Reporting Year]],2022,TM[[#All],[Insurance Category Code]],6,TM[[#All],[Large Provider Entity Code]],A326)/C326,"NA")</f>
        <v>NA</v>
      </c>
      <c r="I326" s="95">
        <f>SUMIFS(TM[[#All],[Member Months]],TM[[#All],[Reporting Year]],2023,TM[[#All],[Insurance Category Code]],6,TM[[#All],[Large Provider Entity Code]],A326)</f>
        <v>0</v>
      </c>
      <c r="J326" s="7" t="str">
        <f>IFERROR(SUMIFS(TM[[#All],[Total Non-Truncated Claims Spending]],TM[[#All],[Reporting Year]],2023,TM[[#All],[Insurance Category Code]],6,TM[[#All],[Large Provider Entity Code]],A326)/I326,"NA")</f>
        <v>NA</v>
      </c>
      <c r="K326" s="7" t="str">
        <f>IFERROR(SUMIFS(TM[[#All],[Total Non-Claims Spending]],TM[[#All],[Reporting Year]],2023,TM[[#All],[Insurance Category Code]],6,TM[[#All],[Large Provider Entity Code]],A326)/I326,"NA")</f>
        <v>NA</v>
      </c>
      <c r="L326" s="7" t="str">
        <f>IFERROR(SUMIFS(TM[[#All],[Total Non-Truncated Claims and Non-Claims Spending]],TM[[#All],[Reporting Year]],2023,TM[[#All],[Insurance Category Code]],6,TM[[#All],[Large Provider Entity Code]],A326)/I326,"NA")</f>
        <v>NA</v>
      </c>
      <c r="M326" s="7" t="str">
        <f>IFERROR(SUMIFS(TM[[#All],[Total Truncated Claims Spending]],TM[[#All],[Reporting Year]],2023,TM[[#All],[Insurance Category Code]],6,TM[[#All],[Large Provider Entity Code]],A326)/I326,"NA")</f>
        <v>NA</v>
      </c>
      <c r="N326" s="96" t="str">
        <f>IFERROR(SUMIFS(TM[[#All],[Total Truncated Expenses]],TM[[#All],[Reporting Year]],2023,TM[[#All],[Insurance Category Code]],6,TM[[#All],[Large Provider Entity Code]],A326)/I326,"NA")</f>
        <v>NA</v>
      </c>
      <c r="O326" s="518">
        <f t="shared" si="51"/>
        <v>0</v>
      </c>
      <c r="P326" s="243" t="str">
        <f t="shared" si="50"/>
        <v>NA</v>
      </c>
      <c r="Q326" s="97" t="str">
        <f t="shared" si="50"/>
        <v>NA</v>
      </c>
      <c r="R326" s="97" t="str">
        <f t="shared" si="50"/>
        <v>NA</v>
      </c>
      <c r="S326" s="97" t="str">
        <f t="shared" si="50"/>
        <v>NA</v>
      </c>
      <c r="T326" s="97" t="str">
        <f t="shared" si="50"/>
        <v>NA</v>
      </c>
      <c r="U326" s="97" t="str">
        <f t="shared" si="50"/>
        <v>NA</v>
      </c>
    </row>
    <row r="327" spans="1:21" x14ac:dyDescent="0.25">
      <c r="A327" s="218">
        <v>119</v>
      </c>
      <c r="B327" s="566" t="s">
        <v>615</v>
      </c>
      <c r="C327" s="8">
        <f>SUMIFS(TM[[#All],[Member Months]],TM[[#All],[Reporting Year]],2022,TM[[#All],[Insurance Category Code]],6,TM[[#All],[Large Provider Entity Code]],A327)</f>
        <v>0</v>
      </c>
      <c r="D327" s="7" t="str">
        <f>IFERROR(SUMIFS(TM[[#All],[Total Non-Truncated Claims Spending]],TM[[#All],[Reporting Year]],2022,TM[[#All],[Insurance Category Code]],6,TM[[#All],[Large Provider Entity Code]],A327)/C327,"NA")</f>
        <v>NA</v>
      </c>
      <c r="E327" s="7" t="str">
        <f>IFERROR(SUMIFS(TM[[#All],[Total Non-Claims Spending]],TM[[#All],[Reporting Year]],2022,TM[[#All],[Insurance Category Code]],6,TM[[#All],[Large Provider Entity Code]],A327)/C327,"NA")</f>
        <v>NA</v>
      </c>
      <c r="F327" s="7" t="str">
        <f>IFERROR(SUMIFS(TM[[#All],[Total Non-Truncated Claims and Non-Claims Spending]],TM[[#All],[Reporting Year]],2022,TM[[#All],[Insurance Category Code]],6,TM[[#All],[Large Provider Entity Code]],A327)/C327,"NA")</f>
        <v>NA</v>
      </c>
      <c r="G327" s="7" t="str">
        <f>IFERROR(SUMIFS(TM[[#All],[Total Truncated Claims Spending]],TM[[#All],[Reporting Year]],2022,TM[[#All],[Insurance Category Code]],6,TM[[#All],[Large Provider Entity Code]],A327)/C327,"NA")</f>
        <v>NA</v>
      </c>
      <c r="H327" s="204" t="str">
        <f>IFERROR(SUMIFS(TM[[#All],[Total Truncated Expenses]],TM[[#All],[Reporting Year]],2022,TM[[#All],[Insurance Category Code]],6,TM[[#All],[Large Provider Entity Code]],A327)/C327,"NA")</f>
        <v>NA</v>
      </c>
      <c r="I327" s="95">
        <f>SUMIFS(TM[[#All],[Member Months]],TM[[#All],[Reporting Year]],2023,TM[[#All],[Insurance Category Code]],6,TM[[#All],[Large Provider Entity Code]],A327)</f>
        <v>0</v>
      </c>
      <c r="J327" s="7" t="str">
        <f>IFERROR(SUMIFS(TM[[#All],[Total Non-Truncated Claims Spending]],TM[[#All],[Reporting Year]],2023,TM[[#All],[Insurance Category Code]],6,TM[[#All],[Large Provider Entity Code]],A327)/I327,"NA")</f>
        <v>NA</v>
      </c>
      <c r="K327" s="7" t="str">
        <f>IFERROR(SUMIFS(TM[[#All],[Total Non-Claims Spending]],TM[[#All],[Reporting Year]],2023,TM[[#All],[Insurance Category Code]],6,TM[[#All],[Large Provider Entity Code]],A327)/I327,"NA")</f>
        <v>NA</v>
      </c>
      <c r="L327" s="7" t="str">
        <f>IFERROR(SUMIFS(TM[[#All],[Total Non-Truncated Claims and Non-Claims Spending]],TM[[#All],[Reporting Year]],2023,TM[[#All],[Insurance Category Code]],6,TM[[#All],[Large Provider Entity Code]],A327)/I327,"NA")</f>
        <v>NA</v>
      </c>
      <c r="M327" s="7" t="str">
        <f>IFERROR(SUMIFS(TM[[#All],[Total Truncated Claims Spending]],TM[[#All],[Reporting Year]],2023,TM[[#All],[Insurance Category Code]],6,TM[[#All],[Large Provider Entity Code]],A327)/I327,"NA")</f>
        <v>NA</v>
      </c>
      <c r="N327" s="96" t="str">
        <f>IFERROR(SUMIFS(TM[[#All],[Total Truncated Expenses]],TM[[#All],[Reporting Year]],2023,TM[[#All],[Insurance Category Code]],6,TM[[#All],[Large Provider Entity Code]],A327)/I327,"NA")</f>
        <v>NA</v>
      </c>
      <c r="O327" s="518">
        <f t="shared" si="51"/>
        <v>0</v>
      </c>
      <c r="P327" s="243" t="str">
        <f t="shared" si="50"/>
        <v>NA</v>
      </c>
      <c r="Q327" s="97" t="str">
        <f t="shared" si="50"/>
        <v>NA</v>
      </c>
      <c r="R327" s="97" t="str">
        <f t="shared" si="50"/>
        <v>NA</v>
      </c>
      <c r="S327" s="97" t="str">
        <f t="shared" si="50"/>
        <v>NA</v>
      </c>
      <c r="T327" s="97" t="str">
        <f t="shared" si="50"/>
        <v>NA</v>
      </c>
      <c r="U327" s="97" t="str">
        <f t="shared" si="50"/>
        <v>NA</v>
      </c>
    </row>
    <row r="328" spans="1:21" x14ac:dyDescent="0.25">
      <c r="A328" s="218">
        <v>120</v>
      </c>
      <c r="B328" s="566" t="s">
        <v>608</v>
      </c>
      <c r="C328" s="8">
        <f>SUMIFS(TM[[#All],[Member Months]],TM[[#All],[Reporting Year]],2022,TM[[#All],[Insurance Category Code]],6,TM[[#All],[Large Provider Entity Code]],A328)</f>
        <v>0</v>
      </c>
      <c r="D328" s="7" t="str">
        <f>IFERROR(SUMIFS(TM[[#All],[Total Non-Truncated Claims Spending]],TM[[#All],[Reporting Year]],2022,TM[[#All],[Insurance Category Code]],6,TM[[#All],[Large Provider Entity Code]],A328)/C328,"NA")</f>
        <v>NA</v>
      </c>
      <c r="E328" s="7" t="str">
        <f>IFERROR(SUMIFS(TM[[#All],[Total Non-Claims Spending]],TM[[#All],[Reporting Year]],2022,TM[[#All],[Insurance Category Code]],6,TM[[#All],[Large Provider Entity Code]],A328)/C328,"NA")</f>
        <v>NA</v>
      </c>
      <c r="F328" s="7" t="str">
        <f>IFERROR(SUMIFS(TM[[#All],[Total Non-Truncated Claims and Non-Claims Spending]],TM[[#All],[Reporting Year]],2022,TM[[#All],[Insurance Category Code]],6,TM[[#All],[Large Provider Entity Code]],A328)/C328,"NA")</f>
        <v>NA</v>
      </c>
      <c r="G328" s="7" t="str">
        <f>IFERROR(SUMIFS(TM[[#All],[Total Truncated Claims Spending]],TM[[#All],[Reporting Year]],2022,TM[[#All],[Insurance Category Code]],6,TM[[#All],[Large Provider Entity Code]],A328)/C328,"NA")</f>
        <v>NA</v>
      </c>
      <c r="H328" s="204" t="str">
        <f>IFERROR(SUMIFS(TM[[#All],[Total Truncated Expenses]],TM[[#All],[Reporting Year]],2022,TM[[#All],[Insurance Category Code]],6,TM[[#All],[Large Provider Entity Code]],A328)/C328,"NA")</f>
        <v>NA</v>
      </c>
      <c r="I328" s="95">
        <f>SUMIFS(TM[[#All],[Member Months]],TM[[#All],[Reporting Year]],2023,TM[[#All],[Insurance Category Code]],6,TM[[#All],[Large Provider Entity Code]],A328)</f>
        <v>0</v>
      </c>
      <c r="J328" s="7" t="str">
        <f>IFERROR(SUMIFS(TM[[#All],[Total Non-Truncated Claims Spending]],TM[[#All],[Reporting Year]],2023,TM[[#All],[Insurance Category Code]],6,TM[[#All],[Large Provider Entity Code]],A328)/I328,"NA")</f>
        <v>NA</v>
      </c>
      <c r="K328" s="7" t="str">
        <f>IFERROR(SUMIFS(TM[[#All],[Total Non-Claims Spending]],TM[[#All],[Reporting Year]],2023,TM[[#All],[Insurance Category Code]],6,TM[[#All],[Large Provider Entity Code]],A328)/I328,"NA")</f>
        <v>NA</v>
      </c>
      <c r="L328" s="7" t="str">
        <f>IFERROR(SUMIFS(TM[[#All],[Total Non-Truncated Claims and Non-Claims Spending]],TM[[#All],[Reporting Year]],2023,TM[[#All],[Insurance Category Code]],6,TM[[#All],[Large Provider Entity Code]],A328)/I328,"NA")</f>
        <v>NA</v>
      </c>
      <c r="M328" s="7" t="str">
        <f>IFERROR(SUMIFS(TM[[#All],[Total Truncated Claims Spending]],TM[[#All],[Reporting Year]],2023,TM[[#All],[Insurance Category Code]],6,TM[[#All],[Large Provider Entity Code]],A328)/I328,"NA")</f>
        <v>NA</v>
      </c>
      <c r="N328" s="96" t="str">
        <f>IFERROR(SUMIFS(TM[[#All],[Total Truncated Expenses]],TM[[#All],[Reporting Year]],2023,TM[[#All],[Insurance Category Code]],6,TM[[#All],[Large Provider Entity Code]],A328)/I328,"NA")</f>
        <v>NA</v>
      </c>
      <c r="O328" s="518">
        <f t="shared" si="51"/>
        <v>0</v>
      </c>
      <c r="P328" s="243" t="str">
        <f t="shared" si="50"/>
        <v>NA</v>
      </c>
      <c r="Q328" s="97" t="str">
        <f t="shared" si="50"/>
        <v>NA</v>
      </c>
      <c r="R328" s="97" t="str">
        <f t="shared" si="50"/>
        <v>NA</v>
      </c>
      <c r="S328" s="97" t="str">
        <f t="shared" si="50"/>
        <v>NA</v>
      </c>
      <c r="T328" s="97" t="str">
        <f t="shared" si="50"/>
        <v>NA</v>
      </c>
      <c r="U328" s="97" t="str">
        <f t="shared" si="50"/>
        <v>NA</v>
      </c>
    </row>
    <row r="329" spans="1:21" ht="30" x14ac:dyDescent="0.25">
      <c r="A329" s="218">
        <v>121</v>
      </c>
      <c r="B329" s="495" t="s">
        <v>616</v>
      </c>
      <c r="C329" s="8">
        <f>SUMIFS(TM[[#All],[Member Months]],TM[[#All],[Reporting Year]],2022,TM[[#All],[Insurance Category Code]],6,TM[[#All],[Large Provider Entity Code]],A329)</f>
        <v>0</v>
      </c>
      <c r="D329" s="7" t="str">
        <f>IFERROR(SUMIFS(TM[[#All],[Total Non-Truncated Claims Spending]],TM[[#All],[Reporting Year]],2022,TM[[#All],[Insurance Category Code]],6,TM[[#All],[Large Provider Entity Code]],A329)/C329,"NA")</f>
        <v>NA</v>
      </c>
      <c r="E329" s="7" t="str">
        <f>IFERROR(SUMIFS(TM[[#All],[Total Non-Claims Spending]],TM[[#All],[Reporting Year]],2022,TM[[#All],[Insurance Category Code]],6,TM[[#All],[Large Provider Entity Code]],A329)/C329,"NA")</f>
        <v>NA</v>
      </c>
      <c r="F329" s="7" t="str">
        <f>IFERROR(SUMIFS(TM[[#All],[Total Non-Truncated Claims and Non-Claims Spending]],TM[[#All],[Reporting Year]],2022,TM[[#All],[Insurance Category Code]],6,TM[[#All],[Large Provider Entity Code]],A329)/C329,"NA")</f>
        <v>NA</v>
      </c>
      <c r="G329" s="7" t="str">
        <f>IFERROR(SUMIFS(TM[[#All],[Total Truncated Claims Spending]],TM[[#All],[Reporting Year]],2022,TM[[#All],[Insurance Category Code]],6,TM[[#All],[Large Provider Entity Code]],A329)/C329,"NA")</f>
        <v>NA</v>
      </c>
      <c r="H329" s="204" t="str">
        <f>IFERROR(SUMIFS(TM[[#All],[Total Truncated Expenses]],TM[[#All],[Reporting Year]],2022,TM[[#All],[Insurance Category Code]],6,TM[[#All],[Large Provider Entity Code]],A329)/C329,"NA")</f>
        <v>NA</v>
      </c>
      <c r="I329" s="95">
        <f>SUMIFS(TM[[#All],[Member Months]],TM[[#All],[Reporting Year]],2023,TM[[#All],[Insurance Category Code]],6,TM[[#All],[Large Provider Entity Code]],A329)</f>
        <v>0</v>
      </c>
      <c r="J329" s="7" t="str">
        <f>IFERROR(SUMIFS(TM[[#All],[Total Non-Truncated Claims Spending]],TM[[#All],[Reporting Year]],2023,TM[[#All],[Insurance Category Code]],6,TM[[#All],[Large Provider Entity Code]],A329)/I329,"NA")</f>
        <v>NA</v>
      </c>
      <c r="K329" s="7" t="str">
        <f>IFERROR(SUMIFS(TM[[#All],[Total Non-Claims Spending]],TM[[#All],[Reporting Year]],2023,TM[[#All],[Insurance Category Code]],6,TM[[#All],[Large Provider Entity Code]],A329)/I329,"NA")</f>
        <v>NA</v>
      </c>
      <c r="L329" s="7" t="str">
        <f>IFERROR(SUMIFS(TM[[#All],[Total Non-Truncated Claims and Non-Claims Spending]],TM[[#All],[Reporting Year]],2023,TM[[#All],[Insurance Category Code]],6,TM[[#All],[Large Provider Entity Code]],A329)/I329,"NA")</f>
        <v>NA</v>
      </c>
      <c r="M329" s="7" t="str">
        <f>IFERROR(SUMIFS(TM[[#All],[Total Truncated Claims Spending]],TM[[#All],[Reporting Year]],2023,TM[[#All],[Insurance Category Code]],6,TM[[#All],[Large Provider Entity Code]],A329)/I329,"NA")</f>
        <v>NA</v>
      </c>
      <c r="N329" s="96" t="str">
        <f>IFERROR(SUMIFS(TM[[#All],[Total Truncated Expenses]],TM[[#All],[Reporting Year]],2023,TM[[#All],[Insurance Category Code]],6,TM[[#All],[Large Provider Entity Code]],A329)/I329,"NA")</f>
        <v>NA</v>
      </c>
      <c r="O329" s="518">
        <f t="shared" si="51"/>
        <v>0</v>
      </c>
      <c r="P329" s="243" t="str">
        <f t="shared" si="50"/>
        <v>NA</v>
      </c>
      <c r="Q329" s="97" t="str">
        <f t="shared" si="50"/>
        <v>NA</v>
      </c>
      <c r="R329" s="97" t="str">
        <f t="shared" si="50"/>
        <v>NA</v>
      </c>
      <c r="S329" s="97" t="str">
        <f t="shared" si="50"/>
        <v>NA</v>
      </c>
      <c r="T329" s="97" t="str">
        <f t="shared" si="50"/>
        <v>NA</v>
      </c>
      <c r="U329" s="97" t="str">
        <f t="shared" si="50"/>
        <v>NA</v>
      </c>
    </row>
    <row r="330" spans="1:21" x14ac:dyDescent="0.25">
      <c r="A330" s="218">
        <v>122</v>
      </c>
      <c r="B330" s="566" t="s">
        <v>617</v>
      </c>
      <c r="C330" s="8">
        <f>SUMIFS(TM[[#All],[Member Months]],TM[[#All],[Reporting Year]],2022,TM[[#All],[Insurance Category Code]],6,TM[[#All],[Large Provider Entity Code]],A330)</f>
        <v>0</v>
      </c>
      <c r="D330" s="7" t="str">
        <f>IFERROR(SUMIFS(TM[[#All],[Total Non-Truncated Claims Spending]],TM[[#All],[Reporting Year]],2022,TM[[#All],[Insurance Category Code]],6,TM[[#All],[Large Provider Entity Code]],A330)/C330,"NA")</f>
        <v>NA</v>
      </c>
      <c r="E330" s="7" t="str">
        <f>IFERROR(SUMIFS(TM[[#All],[Total Non-Claims Spending]],TM[[#All],[Reporting Year]],2022,TM[[#All],[Insurance Category Code]],6,TM[[#All],[Large Provider Entity Code]],A330)/C330,"NA")</f>
        <v>NA</v>
      </c>
      <c r="F330" s="7" t="str">
        <f>IFERROR(SUMIFS(TM[[#All],[Total Non-Truncated Claims and Non-Claims Spending]],TM[[#All],[Reporting Year]],2022,TM[[#All],[Insurance Category Code]],6,TM[[#All],[Large Provider Entity Code]],A330)/C330,"NA")</f>
        <v>NA</v>
      </c>
      <c r="G330" s="7" t="str">
        <f>IFERROR(SUMIFS(TM[[#All],[Total Truncated Claims Spending]],TM[[#All],[Reporting Year]],2022,TM[[#All],[Insurance Category Code]],6,TM[[#All],[Large Provider Entity Code]],A330)/C330,"NA")</f>
        <v>NA</v>
      </c>
      <c r="H330" s="204" t="str">
        <f>IFERROR(SUMIFS(TM[[#All],[Total Truncated Expenses]],TM[[#All],[Reporting Year]],2022,TM[[#All],[Insurance Category Code]],6,TM[[#All],[Large Provider Entity Code]],A330)/C330,"NA")</f>
        <v>NA</v>
      </c>
      <c r="I330" s="95">
        <f>SUMIFS(TM[[#All],[Member Months]],TM[[#All],[Reporting Year]],2023,TM[[#All],[Insurance Category Code]],6,TM[[#All],[Large Provider Entity Code]],A330)</f>
        <v>0</v>
      </c>
      <c r="J330" s="7" t="str">
        <f>IFERROR(SUMIFS(TM[[#All],[Total Non-Truncated Claims Spending]],TM[[#All],[Reporting Year]],2023,TM[[#All],[Insurance Category Code]],6,TM[[#All],[Large Provider Entity Code]],A330)/I330,"NA")</f>
        <v>NA</v>
      </c>
      <c r="K330" s="7" t="str">
        <f>IFERROR(SUMIFS(TM[[#All],[Total Non-Claims Spending]],TM[[#All],[Reporting Year]],2023,TM[[#All],[Insurance Category Code]],6,TM[[#All],[Large Provider Entity Code]],A330)/I330,"NA")</f>
        <v>NA</v>
      </c>
      <c r="L330" s="7" t="str">
        <f>IFERROR(SUMIFS(TM[[#All],[Total Non-Truncated Claims and Non-Claims Spending]],TM[[#All],[Reporting Year]],2023,TM[[#All],[Insurance Category Code]],6,TM[[#All],[Large Provider Entity Code]],A330)/I330,"NA")</f>
        <v>NA</v>
      </c>
      <c r="M330" s="7" t="str">
        <f>IFERROR(SUMIFS(TM[[#All],[Total Truncated Claims Spending]],TM[[#All],[Reporting Year]],2023,TM[[#All],[Insurance Category Code]],6,TM[[#All],[Large Provider Entity Code]],A330)/I330,"NA")</f>
        <v>NA</v>
      </c>
      <c r="N330" s="96" t="str">
        <f>IFERROR(SUMIFS(TM[[#All],[Total Truncated Expenses]],TM[[#All],[Reporting Year]],2023,TM[[#All],[Insurance Category Code]],6,TM[[#All],[Large Provider Entity Code]],A330)/I330,"NA")</f>
        <v>NA</v>
      </c>
      <c r="O330" s="518">
        <f t="shared" si="51"/>
        <v>0</v>
      </c>
      <c r="P330" s="243" t="str">
        <f t="shared" si="50"/>
        <v>NA</v>
      </c>
      <c r="Q330" s="97" t="str">
        <f t="shared" si="50"/>
        <v>NA</v>
      </c>
      <c r="R330" s="97" t="str">
        <f t="shared" si="50"/>
        <v>NA</v>
      </c>
      <c r="S330" s="97" t="str">
        <f t="shared" si="50"/>
        <v>NA</v>
      </c>
      <c r="T330" s="97" t="str">
        <f t="shared" si="50"/>
        <v>NA</v>
      </c>
      <c r="U330" s="97" t="str">
        <f t="shared" si="50"/>
        <v>NA</v>
      </c>
    </row>
    <row r="331" spans="1:21" x14ac:dyDescent="0.25">
      <c r="A331" s="218">
        <v>999</v>
      </c>
      <c r="B331" s="495" t="s">
        <v>81</v>
      </c>
      <c r="C331" s="163">
        <f>SUMIFS(TM[[#All],[Member Months]],TM[[#All],[Reporting Year]],2022,TM[[#All],[Insurance Category Code]],6,TM[[#All],[Large Provider Entity Code]],A331)</f>
        <v>0</v>
      </c>
      <c r="D331" s="7" t="str">
        <f>IFERROR(SUMIFS(TM[[#All],[Total Non-Truncated Claims Spending]],TM[[#All],[Reporting Year]],2022,TM[[#All],[Insurance Category Code]],6,TM[[#All],[Large Provider Entity Code]],A331)/C331,"NA")</f>
        <v>NA</v>
      </c>
      <c r="E331" s="7" t="str">
        <f>IFERROR(SUMIFS(TM[[#All],[Total Non-Claims Spending]],TM[[#All],[Reporting Year]],2022,TM[[#All],[Insurance Category Code]],6,TM[[#All],[Large Provider Entity Code]],A331)/C331,"NA")</f>
        <v>NA</v>
      </c>
      <c r="F331" s="7" t="str">
        <f>IFERROR(SUMIFS(TM[[#All],[Total Non-Truncated Claims and Non-Claims Spending]],TM[[#All],[Reporting Year]],2022,TM[[#All],[Insurance Category Code]],6,TM[[#All],[Large Provider Entity Code]],A331)/C331,"NA")</f>
        <v>NA</v>
      </c>
      <c r="G331" s="7" t="str">
        <f>IFERROR(SUMIFS(TM[[#All],[Total Truncated Claims Spending]],TM[[#All],[Reporting Year]],2022,TM[[#All],[Insurance Category Code]],6,TM[[#All],[Large Provider Entity Code]],A331)/C331,"NA")</f>
        <v>NA</v>
      </c>
      <c r="H331" s="204" t="str">
        <f>IFERROR(SUMIFS(TM[[#All],[Total Truncated Expenses]],TM[[#All],[Reporting Year]],2022,TM[[#All],[Insurance Category Code]],6,TM[[#All],[Large Provider Entity Code]],A331)/C331,"NA")</f>
        <v>NA</v>
      </c>
      <c r="I331" s="95">
        <f>SUMIFS(TM[[#All],[Member Months]],TM[[#All],[Reporting Year]],2023,TM[[#All],[Insurance Category Code]],6,TM[[#All],[Large Provider Entity Code]],A331)</f>
        <v>0</v>
      </c>
      <c r="J331" s="7" t="str">
        <f>IFERROR(SUMIFS(TM[[#All],[Total Non-Truncated Claims Spending]],TM[[#All],[Reporting Year]],2023,TM[[#All],[Insurance Category Code]],6,TM[[#All],[Large Provider Entity Code]],A331)/I331,"NA")</f>
        <v>NA</v>
      </c>
      <c r="K331" s="7" t="str">
        <f>IFERROR(SUMIFS(TM[[#All],[Total Non-Claims Spending]],TM[[#All],[Reporting Year]],2023,TM[[#All],[Insurance Category Code]],6,TM[[#All],[Large Provider Entity Code]],A331)/I331,"NA")</f>
        <v>NA</v>
      </c>
      <c r="L331" s="7" t="str">
        <f>IFERROR(SUMIFS(TM[[#All],[Total Non-Truncated Claims and Non-Claims Spending]],TM[[#All],[Reporting Year]],2023,TM[[#All],[Insurance Category Code]],6,TM[[#All],[Large Provider Entity Code]],A331)/I331,"NA")</f>
        <v>NA</v>
      </c>
      <c r="M331" s="7" t="str">
        <f>IFERROR(SUMIFS(TM[[#All],[Total Truncated Claims Spending]],TM[[#All],[Reporting Year]],2023,TM[[#All],[Insurance Category Code]],6,TM[[#All],[Large Provider Entity Code]],A331)/I331,"NA")</f>
        <v>NA</v>
      </c>
      <c r="N331" s="96" t="str">
        <f>IFERROR(SUMIFS(TM[[#All],[Total Truncated Expenses]],TM[[#All],[Reporting Year]],2023,TM[[#All],[Insurance Category Code]],6,TM[[#All],[Large Provider Entity Code]],A331)/I331,"NA")</f>
        <v>NA</v>
      </c>
      <c r="O331" s="518">
        <f t="shared" si="51"/>
        <v>0</v>
      </c>
      <c r="P331" s="243" t="str">
        <f t="shared" si="50"/>
        <v>NA</v>
      </c>
      <c r="Q331" s="97" t="str">
        <f t="shared" si="50"/>
        <v>NA</v>
      </c>
      <c r="R331" s="97" t="str">
        <f t="shared" si="50"/>
        <v>NA</v>
      </c>
      <c r="S331" s="97" t="str">
        <f t="shared" si="50"/>
        <v>NA</v>
      </c>
      <c r="T331" s="97" t="str">
        <f t="shared" si="50"/>
        <v>NA</v>
      </c>
      <c r="U331" s="97" t="str">
        <f t="shared" si="50"/>
        <v>NA</v>
      </c>
    </row>
    <row r="332" spans="1:21" ht="30" customHeight="1" x14ac:dyDescent="0.25">
      <c r="A332" s="707" t="s">
        <v>567</v>
      </c>
      <c r="B332" s="708"/>
      <c r="C332" s="164">
        <f>SUM(C312:C331)</f>
        <v>0</v>
      </c>
      <c r="D332" s="131" t="str">
        <f>IFERROR((SUMPRODUCT(D312:D331,C312:C331)/C332),"NA")</f>
        <v>NA</v>
      </c>
      <c r="E332" s="131" t="str">
        <f>IFERROR((SUMPRODUCT(E312:E331,C312:C331)/C332),"NA")</f>
        <v>NA</v>
      </c>
      <c r="F332" s="131" t="str">
        <f>IFERROR((SUMPRODUCT(F312:F331,C312:C331)/C332),"NA")</f>
        <v>NA</v>
      </c>
      <c r="G332" s="131" t="str">
        <f>IFERROR((SUMPRODUCT(G312:G331,C312:C331)/C332),"NA")</f>
        <v>NA</v>
      </c>
      <c r="H332" s="131" t="str">
        <f>IFERROR((SUMPRODUCT(H312:H331,C312:C331)/C332),"NA")</f>
        <v>NA</v>
      </c>
      <c r="I332" s="165">
        <f t="shared" ref="I332" si="52">SUM(I312:I331)</f>
        <v>0</v>
      </c>
      <c r="J332" s="131" t="str">
        <f>IFERROR((SUMPRODUCT(J312:J331,I312:I331)/I332),"NA")</f>
        <v>NA</v>
      </c>
      <c r="K332" s="131" t="str">
        <f>IFERROR((SUMPRODUCT(K312:K331,I312:I331)/I332),"NA")</f>
        <v>NA</v>
      </c>
      <c r="L332" s="131" t="str">
        <f>IFERROR((SUMPRODUCT(L312:L331,I312:I331)/I332),"NA")</f>
        <v>NA</v>
      </c>
      <c r="M332" s="131" t="str">
        <f>IFERROR((SUMPRODUCT(M312:M331,I312:I331)/I332),"NA")</f>
        <v>NA</v>
      </c>
      <c r="N332" s="251" t="str">
        <f>IFERROR((SUMPRODUCT(N312:N331,I312:I331)/I332),"NA")</f>
        <v>NA</v>
      </c>
      <c r="O332" s="544" t="s">
        <v>500</v>
      </c>
      <c r="P332" s="435" t="s">
        <v>500</v>
      </c>
      <c r="Q332" s="433" t="s">
        <v>500</v>
      </c>
      <c r="R332" s="433" t="s">
        <v>500</v>
      </c>
      <c r="S332" s="433" t="s">
        <v>500</v>
      </c>
      <c r="T332" s="433" t="s">
        <v>500</v>
      </c>
      <c r="U332" s="433" t="s">
        <v>500</v>
      </c>
    </row>
    <row r="333" spans="1:21" x14ac:dyDescent="0.25">
      <c r="A333" s="709" t="s">
        <v>563</v>
      </c>
      <c r="B333" s="710"/>
      <c r="C333" s="164" t="s">
        <v>500</v>
      </c>
      <c r="D333" s="130" t="str">
        <f>IFERROR(((SUMPRODUCT(D311,$C$311))-ABS(SUMIFS(RX[[#All],[Total Medical and Retail Pharmacy Rebate Amount]],RX[[#All],[Reporting Year]],2022,RX[[#All],[Insurance Category Code]],6)))/$C$332,"NA")</f>
        <v>NA</v>
      </c>
      <c r="E333" s="130" t="str">
        <f>IFERROR(((SUMPRODUCT(E311,$C$311))-ABS(SUMIFS(RX[[#All],[Total Medical and Retail Pharmacy Rebate Amount]],RX[[#All],[Reporting Year]],2022,RX[[#All],[Insurance Category Code]],6)))/$C$332,"NA")</f>
        <v>NA</v>
      </c>
      <c r="F333" s="130" t="str">
        <f>IFERROR(((SUMPRODUCT(F311,$C$311))-ABS(SUMIFS(RX[[#All],[Total Medical and Retail Pharmacy Rebate Amount]],RX[[#All],[Reporting Year]],2022,RX[[#All],[Insurance Category Code]],6)))/$C$332,"NA")</f>
        <v>NA</v>
      </c>
      <c r="G333" s="130" t="str">
        <f>IFERROR(((SUMPRODUCT(G311,$C$311))-ABS(SUMIFS(RX[[#All],[Total Medical and Retail Pharmacy Rebate Amount]],RX[[#All],[Reporting Year]],2022,RX[[#All],[Insurance Category Code]],6)))/$C$332,"NA")</f>
        <v>NA</v>
      </c>
      <c r="H333" s="209" t="str">
        <f>IFERROR(((SUMPRODUCT(H311,$C$311))-ABS(SUMIFS(RX[[#All],[Total Medical and Retail Pharmacy Rebate Amount]],RX[[#All],[Reporting Year]],2022,RX[[#All],[Insurance Category Code]],6)))/$C$332,"NA")</f>
        <v>NA</v>
      </c>
      <c r="I333" s="165" t="s">
        <v>500</v>
      </c>
      <c r="J333" s="130" t="str">
        <f>IFERROR(((SUMPRODUCT(J311,$I$311))-ABS(SUMIFS(RX[[#All],[Total Medical and Retail Pharmacy Rebate Amount]],RX[[#All],[Reporting Year]],2023,RX[[#All],[Insurance Category Code]],6)))/$I$332,"NA")</f>
        <v>NA</v>
      </c>
      <c r="K333" s="130" t="str">
        <f>IFERROR(((SUMPRODUCT(K311,$I$311))-ABS(SUMIFS(RX[[#All],[Total Medical and Retail Pharmacy Rebate Amount]],RX[[#All],[Reporting Year]],2023,RX[[#All],[Insurance Category Code]],6)))/$I$332,"NA")</f>
        <v>NA</v>
      </c>
      <c r="L333" s="130" t="str">
        <f>IFERROR(((SUMPRODUCT(L311,$I$311))-ABS(SUMIFS(RX[[#All],[Total Medical and Retail Pharmacy Rebate Amount]],RX[[#All],[Reporting Year]],2023,RX[[#All],[Insurance Category Code]],6)))/$I$332,"NA")</f>
        <v>NA</v>
      </c>
      <c r="M333" s="130" t="str">
        <f>IFERROR(((SUMPRODUCT(M311,$I$311))-ABS(SUMIFS(RX[[#All],[Total Medical and Retail Pharmacy Rebate Amount]],RX[[#All],[Reporting Year]],2023,RX[[#All],[Insurance Category Code]],6)))/$I$332,"NA")</f>
        <v>NA</v>
      </c>
      <c r="N333" s="208" t="str">
        <f>IFERROR(((SUMPRODUCT(N311,$I$311))-ABS(SUMIFS(RX[[#All],[Total Medical and Retail Pharmacy Rebate Amount]],RX[[#All],[Reporting Year]],2023,RX[[#All],[Insurance Category Code]],6)))/$I$332,"NA")</f>
        <v>NA</v>
      </c>
      <c r="O333" s="544" t="s">
        <v>500</v>
      </c>
      <c r="P333" s="435" t="s">
        <v>500</v>
      </c>
      <c r="Q333" s="433" t="s">
        <v>500</v>
      </c>
      <c r="R333" s="433" t="s">
        <v>500</v>
      </c>
      <c r="S333" s="433" t="s">
        <v>500</v>
      </c>
      <c r="T333" s="433" t="s">
        <v>500</v>
      </c>
      <c r="U333" s="433" t="s">
        <v>500</v>
      </c>
    </row>
    <row r="334" spans="1:21" x14ac:dyDescent="0.25">
      <c r="A334" s="717" t="s">
        <v>564</v>
      </c>
      <c r="B334" s="718"/>
      <c r="C334" s="229">
        <f>ABS(C332-C311)</f>
        <v>0</v>
      </c>
      <c r="D334" s="227" t="e">
        <f>ABS(D332-D311)</f>
        <v>#VALUE!</v>
      </c>
      <c r="E334" s="227" t="e">
        <f>ABS(E332-E311)</f>
        <v>#VALUE!</v>
      </c>
      <c r="F334" s="227" t="e">
        <f>ABS(F332-F311)</f>
        <v>#VALUE!</v>
      </c>
      <c r="G334" s="181" t="s">
        <v>500</v>
      </c>
      <c r="H334" s="233" t="s">
        <v>500</v>
      </c>
      <c r="I334" s="221">
        <f>ABS(I332-I311)</f>
        <v>0</v>
      </c>
      <c r="J334" s="227" t="e">
        <f>ABS(J332-J311)</f>
        <v>#VALUE!</v>
      </c>
      <c r="K334" s="227" t="e">
        <f>ABS(K332-K311)</f>
        <v>#VALUE!</v>
      </c>
      <c r="L334" s="227" t="e">
        <f>ABS(L332-L311)</f>
        <v>#VALUE!</v>
      </c>
      <c r="M334" s="181" t="s">
        <v>500</v>
      </c>
      <c r="N334" s="233" t="s">
        <v>500</v>
      </c>
      <c r="O334" s="545" t="s">
        <v>500</v>
      </c>
      <c r="P334" s="546" t="s">
        <v>500</v>
      </c>
      <c r="Q334" s="548" t="s">
        <v>500</v>
      </c>
      <c r="R334" s="548" t="s">
        <v>500</v>
      </c>
      <c r="S334" s="548" t="s">
        <v>500</v>
      </c>
      <c r="T334" s="548" t="s">
        <v>500</v>
      </c>
      <c r="U334" s="548" t="s">
        <v>500</v>
      </c>
    </row>
    <row r="335" spans="1:21" x14ac:dyDescent="0.25">
      <c r="A335" s="715" t="s">
        <v>565</v>
      </c>
      <c r="B335" s="716"/>
      <c r="C335" s="262" t="str">
        <f>IF(((ABS(C332-C311))&lt;10),"Yes","No")</f>
        <v>Yes</v>
      </c>
      <c r="D335" s="181" t="e">
        <f>IF(((ABS(D332-D311))&lt;10),"Yes","No")</f>
        <v>#VALUE!</v>
      </c>
      <c r="E335" s="181" t="e">
        <f>IF(((ABS(E332-E311))&lt;10),"Yes","No")</f>
        <v>#VALUE!</v>
      </c>
      <c r="F335" s="181" t="e">
        <f>IF(((ABS(F332-F311))&lt;10),"Yes","No")</f>
        <v>#VALUE!</v>
      </c>
      <c r="G335" s="181" t="s">
        <v>500</v>
      </c>
      <c r="H335" s="233" t="s">
        <v>500</v>
      </c>
      <c r="I335" s="259" t="str">
        <f>IF(((ABS(I332-I311))&lt;10),"Yes","No")</f>
        <v>Yes</v>
      </c>
      <c r="J335" s="181" t="e">
        <f>IF(((ABS(J332-J311))&lt;10),"Yes","No")</f>
        <v>#VALUE!</v>
      </c>
      <c r="K335" s="181" t="e">
        <f>IF(((ABS(K332-K311))&lt;10),"Yes","No")</f>
        <v>#VALUE!</v>
      </c>
      <c r="L335" s="181" t="e">
        <f>IF(((ABS(L332-L311))&lt;10),"Yes","No")</f>
        <v>#VALUE!</v>
      </c>
      <c r="M335" s="181" t="s">
        <v>500</v>
      </c>
      <c r="N335" s="252" t="s">
        <v>500</v>
      </c>
      <c r="O335" s="545" t="s">
        <v>500</v>
      </c>
      <c r="P335" s="546" t="s">
        <v>500</v>
      </c>
      <c r="Q335" s="548" t="s">
        <v>500</v>
      </c>
      <c r="R335" s="548" t="s">
        <v>500</v>
      </c>
      <c r="S335" s="548" t="s">
        <v>500</v>
      </c>
      <c r="T335" s="548" t="s">
        <v>500</v>
      </c>
      <c r="U335" s="548" t="s">
        <v>500</v>
      </c>
    </row>
    <row r="337" spans="17:17" ht="15.75" thickBot="1" x14ac:dyDescent="0.3"/>
    <row r="338" spans="17:17" ht="15.75" thickBot="1" x14ac:dyDescent="0.3">
      <c r="Q338" s="434"/>
    </row>
  </sheetData>
  <mergeCells count="100">
    <mergeCell ref="A2:U2"/>
    <mergeCell ref="A4:U4"/>
    <mergeCell ref="A5:U5"/>
    <mergeCell ref="A9:A10"/>
    <mergeCell ref="B9:B10"/>
    <mergeCell ref="C9:H9"/>
    <mergeCell ref="I9:N9"/>
    <mergeCell ref="O9:U9"/>
    <mergeCell ref="A32:B32"/>
    <mergeCell ref="A33:B33"/>
    <mergeCell ref="A34:B34"/>
    <mergeCell ref="A35:B35"/>
    <mergeCell ref="A39:A40"/>
    <mergeCell ref="B39:B40"/>
    <mergeCell ref="P69:U69"/>
    <mergeCell ref="C39:H39"/>
    <mergeCell ref="I39:N39"/>
    <mergeCell ref="O39:U39"/>
    <mergeCell ref="A62:B62"/>
    <mergeCell ref="A63:B63"/>
    <mergeCell ref="A64:B64"/>
    <mergeCell ref="A65:B65"/>
    <mergeCell ref="A69:A70"/>
    <mergeCell ref="B69:B70"/>
    <mergeCell ref="C69:H69"/>
    <mergeCell ref="I69:N69"/>
    <mergeCell ref="A92:B92"/>
    <mergeCell ref="A93:B93"/>
    <mergeCell ref="A94:B94"/>
    <mergeCell ref="A95:B95"/>
    <mergeCell ref="A99:A100"/>
    <mergeCell ref="B99:B100"/>
    <mergeCell ref="P129:U129"/>
    <mergeCell ref="C99:H99"/>
    <mergeCell ref="I99:N99"/>
    <mergeCell ref="P99:U99"/>
    <mergeCell ref="A122:B122"/>
    <mergeCell ref="A123:B123"/>
    <mergeCell ref="A124:B124"/>
    <mergeCell ref="A125:B125"/>
    <mergeCell ref="A129:A130"/>
    <mergeCell ref="B129:B130"/>
    <mergeCell ref="C129:H129"/>
    <mergeCell ref="I129:N129"/>
    <mergeCell ref="A152:B152"/>
    <mergeCell ref="A153:B153"/>
    <mergeCell ref="A154:B154"/>
    <mergeCell ref="A155:B155"/>
    <mergeCell ref="A159:A160"/>
    <mergeCell ref="B159:B160"/>
    <mergeCell ref="A213:B213"/>
    <mergeCell ref="C159:H159"/>
    <mergeCell ref="I159:N159"/>
    <mergeCell ref="P159:U159"/>
    <mergeCell ref="A182:B182"/>
    <mergeCell ref="A183:B183"/>
    <mergeCell ref="A184:B184"/>
    <mergeCell ref="A185:B185"/>
    <mergeCell ref="A189:A190"/>
    <mergeCell ref="B189:B190"/>
    <mergeCell ref="C189:H189"/>
    <mergeCell ref="A212:B212"/>
    <mergeCell ref="A214:B214"/>
    <mergeCell ref="A215:B215"/>
    <mergeCell ref="A219:A220"/>
    <mergeCell ref="B219:B220"/>
    <mergeCell ref="C219:H219"/>
    <mergeCell ref="A249:A250"/>
    <mergeCell ref="B249:B250"/>
    <mergeCell ref="C249:H249"/>
    <mergeCell ref="I249:N249"/>
    <mergeCell ref="P249:U249"/>
    <mergeCell ref="P219:U219"/>
    <mergeCell ref="A242:B242"/>
    <mergeCell ref="A243:B243"/>
    <mergeCell ref="A244:B244"/>
    <mergeCell ref="A245:B245"/>
    <mergeCell ref="I219:N219"/>
    <mergeCell ref="A302:B302"/>
    <mergeCell ref="A303:B303"/>
    <mergeCell ref="A304:B304"/>
    <mergeCell ref="A272:B272"/>
    <mergeCell ref="A273:B273"/>
    <mergeCell ref="A274:B274"/>
    <mergeCell ref="A275:B275"/>
    <mergeCell ref="A279:A280"/>
    <mergeCell ref="B279:B280"/>
    <mergeCell ref="C309:H309"/>
    <mergeCell ref="I309:N309"/>
    <mergeCell ref="P309:U309"/>
    <mergeCell ref="C279:H279"/>
    <mergeCell ref="I279:N279"/>
    <mergeCell ref="P279:U279"/>
    <mergeCell ref="A332:B332"/>
    <mergeCell ref="A333:B333"/>
    <mergeCell ref="A334:B334"/>
    <mergeCell ref="A335:B335"/>
    <mergeCell ref="A305:B305"/>
    <mergeCell ref="A309:A310"/>
    <mergeCell ref="B309:B310"/>
  </mergeCells>
  <conditionalFormatting sqref="C65:N65 C95:N95 C125:N125 C185:N185 C275:N275 C305:N305 C335:N335 C155:N155 C215:N215 C245:N245">
    <cfRule type="cellIs" dxfId="52" priority="52" operator="equal">
      <formula>"No"</formula>
    </cfRule>
    <cfRule type="cellIs" dxfId="51" priority="53" operator="equal">
      <formula>"Yes"</formula>
    </cfRule>
  </conditionalFormatting>
  <conditionalFormatting sqref="K35:M35">
    <cfRule type="containsText" dxfId="50" priority="46" operator="containsText" text="No">
      <formula>NOT(ISERROR(SEARCH("No",K35)))</formula>
    </cfRule>
    <cfRule type="containsText" dxfId="49" priority="51" operator="containsText" text="No">
      <formula>NOT(ISERROR(SEARCH("No",K35)))</formula>
    </cfRule>
  </conditionalFormatting>
  <conditionalFormatting sqref="C35:O35">
    <cfRule type="containsText" dxfId="48" priority="50" operator="containsText" text="No">
      <formula>NOT(ISERROR(SEARCH("No",C35)))</formula>
    </cfRule>
  </conditionalFormatting>
  <conditionalFormatting sqref="E35:G35">
    <cfRule type="containsText" dxfId="47" priority="48" operator="containsText" text="No">
      <formula>NOT(ISERROR(SEARCH("No",E35)))</formula>
    </cfRule>
    <cfRule type="containsText" dxfId="46" priority="49" operator="containsText" text="No">
      <formula>NOT(ISERROR(SEARCH("No",E35)))</formula>
    </cfRule>
  </conditionalFormatting>
  <conditionalFormatting sqref="I35:J35">
    <cfRule type="containsText" dxfId="45" priority="47" operator="containsText" text="No">
      <formula>NOT(ISERROR(SEARCH("No",I35)))</formula>
    </cfRule>
  </conditionalFormatting>
  <conditionalFormatting sqref="C35:O35">
    <cfRule type="cellIs" dxfId="44" priority="45" operator="equal">
      <formula>"Yes"</formula>
    </cfRule>
  </conditionalFormatting>
  <conditionalFormatting sqref="E245:G245">
    <cfRule type="cellIs" dxfId="43" priority="43" operator="equal">
      <formula>"No"</formula>
    </cfRule>
    <cfRule type="cellIs" dxfId="42" priority="44" operator="equal">
      <formula>"Yes"</formula>
    </cfRule>
  </conditionalFormatting>
  <conditionalFormatting sqref="E245:G245">
    <cfRule type="cellIs" dxfId="41" priority="41" operator="equal">
      <formula>"No"</formula>
    </cfRule>
    <cfRule type="cellIs" dxfId="40" priority="42" operator="equal">
      <formula>"Yes"</formula>
    </cfRule>
  </conditionalFormatting>
  <conditionalFormatting sqref="I245:J245">
    <cfRule type="cellIs" dxfId="39" priority="39" operator="equal">
      <formula>"No"</formula>
    </cfRule>
    <cfRule type="cellIs" dxfId="38" priority="40" operator="equal">
      <formula>"Yes"</formula>
    </cfRule>
  </conditionalFormatting>
  <conditionalFormatting sqref="I245:J245">
    <cfRule type="cellIs" dxfId="37" priority="37" operator="equal">
      <formula>"No"</formula>
    </cfRule>
    <cfRule type="cellIs" dxfId="36" priority="38" operator="equal">
      <formula>"Yes"</formula>
    </cfRule>
  </conditionalFormatting>
  <conditionalFormatting sqref="K245:M245">
    <cfRule type="cellIs" dxfId="35" priority="35" operator="equal">
      <formula>"No"</formula>
    </cfRule>
    <cfRule type="cellIs" dxfId="34" priority="36" operator="equal">
      <formula>"Yes"</formula>
    </cfRule>
  </conditionalFormatting>
  <conditionalFormatting sqref="K245:M245">
    <cfRule type="cellIs" dxfId="33" priority="33" operator="equal">
      <formula>"No"</formula>
    </cfRule>
    <cfRule type="cellIs" dxfId="32" priority="34" operator="equal">
      <formula>"Yes"</formula>
    </cfRule>
  </conditionalFormatting>
  <conditionalFormatting sqref="I35:J35">
    <cfRule type="containsText" dxfId="31" priority="31" operator="containsText" text="No">
      <formula>NOT(ISERROR(SEARCH("No",I35)))</formula>
    </cfRule>
    <cfRule type="containsText" dxfId="30" priority="32" operator="containsText" text="No">
      <formula>NOT(ISERROR(SEARCH("No",I35)))</formula>
    </cfRule>
  </conditionalFormatting>
  <conditionalFormatting sqref="K35:M35">
    <cfRule type="containsText" dxfId="29" priority="29" operator="containsText" text="No">
      <formula>NOT(ISERROR(SEARCH("No",K35)))</formula>
    </cfRule>
    <cfRule type="containsText" dxfId="28" priority="30" operator="containsText" text="No">
      <formula>NOT(ISERROR(SEARCH("No",K35)))</formula>
    </cfRule>
  </conditionalFormatting>
  <conditionalFormatting sqref="O65">
    <cfRule type="containsText" dxfId="27" priority="28" operator="containsText" text="No">
      <formula>NOT(ISERROR(SEARCH("No",O65)))</formula>
    </cfRule>
  </conditionalFormatting>
  <conditionalFormatting sqref="O65">
    <cfRule type="cellIs" dxfId="26" priority="27" operator="equal">
      <formula>"Yes"</formula>
    </cfRule>
  </conditionalFormatting>
  <conditionalFormatting sqref="O95">
    <cfRule type="containsText" dxfId="25" priority="26" operator="containsText" text="No">
      <formula>NOT(ISERROR(SEARCH("No",O95)))</formula>
    </cfRule>
  </conditionalFormatting>
  <conditionalFormatting sqref="O95">
    <cfRule type="cellIs" dxfId="24" priority="25" operator="equal">
      <formula>"Yes"</formula>
    </cfRule>
  </conditionalFormatting>
  <conditionalFormatting sqref="O125">
    <cfRule type="containsText" dxfId="23" priority="24" operator="containsText" text="No">
      <formula>NOT(ISERROR(SEARCH("No",O125)))</formula>
    </cfRule>
  </conditionalFormatting>
  <conditionalFormatting sqref="O125">
    <cfRule type="cellIs" dxfId="22" priority="23" operator="equal">
      <formula>"Yes"</formula>
    </cfRule>
  </conditionalFormatting>
  <conditionalFormatting sqref="O155">
    <cfRule type="containsText" dxfId="21" priority="22" operator="containsText" text="No">
      <formula>NOT(ISERROR(SEARCH("No",O155)))</formula>
    </cfRule>
  </conditionalFormatting>
  <conditionalFormatting sqref="O155">
    <cfRule type="cellIs" dxfId="20" priority="21" operator="equal">
      <formula>"Yes"</formula>
    </cfRule>
  </conditionalFormatting>
  <conditionalFormatting sqref="O185">
    <cfRule type="containsText" dxfId="19" priority="20" operator="containsText" text="No">
      <formula>NOT(ISERROR(SEARCH("No",O185)))</formula>
    </cfRule>
  </conditionalFormatting>
  <conditionalFormatting sqref="O185">
    <cfRule type="cellIs" dxfId="18" priority="19" operator="equal">
      <formula>"Yes"</formula>
    </cfRule>
  </conditionalFormatting>
  <conditionalFormatting sqref="O215">
    <cfRule type="containsText" dxfId="17" priority="18" operator="containsText" text="No">
      <formula>NOT(ISERROR(SEARCH("No",O215)))</formula>
    </cfRule>
  </conditionalFormatting>
  <conditionalFormatting sqref="O215">
    <cfRule type="cellIs" dxfId="16" priority="17" operator="equal">
      <formula>"Yes"</formula>
    </cfRule>
  </conditionalFormatting>
  <conditionalFormatting sqref="O245">
    <cfRule type="containsText" dxfId="15" priority="16" operator="containsText" text="No">
      <formula>NOT(ISERROR(SEARCH("No",O245)))</formula>
    </cfRule>
  </conditionalFormatting>
  <conditionalFormatting sqref="O245">
    <cfRule type="cellIs" dxfId="14" priority="15" operator="equal">
      <formula>"Yes"</formula>
    </cfRule>
  </conditionalFormatting>
  <conditionalFormatting sqref="O275">
    <cfRule type="containsText" dxfId="13" priority="14" operator="containsText" text="No">
      <formula>NOT(ISERROR(SEARCH("No",O275)))</formula>
    </cfRule>
  </conditionalFormatting>
  <conditionalFormatting sqref="O275">
    <cfRule type="cellIs" dxfId="12" priority="13" operator="equal">
      <formula>"Yes"</formula>
    </cfRule>
  </conditionalFormatting>
  <conditionalFormatting sqref="O308">
    <cfRule type="containsText" dxfId="11" priority="12" operator="containsText" text="No">
      <formula>NOT(ISERROR(SEARCH("No",O308)))</formula>
    </cfRule>
  </conditionalFormatting>
  <conditionalFormatting sqref="O308">
    <cfRule type="cellIs" dxfId="10" priority="11" operator="equal">
      <formula>"Yes"</formula>
    </cfRule>
  </conditionalFormatting>
  <conditionalFormatting sqref="O305">
    <cfRule type="containsText" dxfId="9" priority="10" operator="containsText" text="No">
      <formula>NOT(ISERROR(SEARCH("No",O305)))</formula>
    </cfRule>
  </conditionalFormatting>
  <conditionalFormatting sqref="O305">
    <cfRule type="cellIs" dxfId="8" priority="9" operator="equal">
      <formula>"Yes"</formula>
    </cfRule>
  </conditionalFormatting>
  <conditionalFormatting sqref="O335">
    <cfRule type="containsText" dxfId="7" priority="8" operator="containsText" text="No">
      <formula>NOT(ISERROR(SEARCH("No",O335)))</formula>
    </cfRule>
  </conditionalFormatting>
  <conditionalFormatting sqref="O335">
    <cfRule type="cellIs" dxfId="6" priority="7" operator="equal">
      <formula>"Yes"</formula>
    </cfRule>
  </conditionalFormatting>
  <conditionalFormatting sqref="P312:U331">
    <cfRule type="cellIs" dxfId="5" priority="4" operator="equal">
      <formula>"NA"</formula>
    </cfRule>
    <cfRule type="cellIs" dxfId="4" priority="5" operator="lessThan">
      <formula>-0.509</formula>
    </cfRule>
    <cfRule type="cellIs" dxfId="3" priority="6" operator="greaterThan">
      <formula>0.509</formula>
    </cfRule>
  </conditionalFormatting>
  <conditionalFormatting sqref="P42:U61 P72:U91 P102:U121 P162:U181 P192:U211 P222:U241 P282:U301 P12:U31 P132:U151 P252:U271">
    <cfRule type="cellIs" dxfId="2" priority="1" operator="equal">
      <formula>"NA"</formula>
    </cfRule>
    <cfRule type="cellIs" dxfId="1" priority="2" operator="lessThan">
      <formula>-0.509</formula>
    </cfRule>
    <cfRule type="cellIs" dxfId="0" priority="3" operator="greaterThan">
      <formula>0.509</formula>
    </cfRule>
  </conditionalFormatting>
  <pageMargins left="0.7" right="0.7" top="0.75" bottom="0.75" header="0.3" footer="0.3"/>
  <pageSetup scale="10" orientation="landscape" r:id="rId1"/>
  <headerFooter>
    <oddFooter>&amp;L&amp;"-,Bold"Carrier Benchmark Data Submission Template&amp;"-,Regular" | NJ Hart Program&amp;RPage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7B87-71CA-44C5-8E22-C1E3AE80FAF5}">
  <sheetPr>
    <tabColor theme="7" tint="0.39997558519241921"/>
    <pageSetUpPr fitToPage="1"/>
  </sheetPr>
  <dimension ref="A1:B45"/>
  <sheetViews>
    <sheetView showGridLines="0" tabSelected="1" zoomScaleNormal="100" workbookViewId="0">
      <selection activeCell="E14" sqref="E14"/>
    </sheetView>
  </sheetViews>
  <sheetFormatPr defaultColWidth="8.85546875" defaultRowHeight="15" x14ac:dyDescent="0.25"/>
  <cols>
    <col min="1" max="1" width="27.140625" style="14" customWidth="1"/>
    <col min="2" max="2" width="180.28515625" style="14" bestFit="1" customWidth="1"/>
    <col min="3" max="16384" width="8.85546875" style="14"/>
  </cols>
  <sheetData>
    <row r="1" spans="1:2" ht="26.25" x14ac:dyDescent="0.25">
      <c r="A1" s="19" t="s">
        <v>18</v>
      </c>
      <c r="B1" s="13"/>
    </row>
    <row r="2" spans="1:2" ht="21" x14ac:dyDescent="0.35">
      <c r="A2" s="16" t="s">
        <v>19</v>
      </c>
      <c r="B2" s="13"/>
    </row>
    <row r="3" spans="1:2" x14ac:dyDescent="0.25">
      <c r="A3" s="17" t="s">
        <v>20</v>
      </c>
      <c r="B3" s="15"/>
    </row>
    <row r="4" spans="1:2" s="10" customFormat="1" x14ac:dyDescent="0.25">
      <c r="A4" s="1"/>
      <c r="B4" s="1"/>
    </row>
    <row r="5" spans="1:2" s="574" customFormat="1" x14ac:dyDescent="0.25">
      <c r="A5" s="572" t="s">
        <v>21</v>
      </c>
      <c r="B5" s="573"/>
    </row>
    <row r="6" spans="1:2" s="574" customFormat="1" ht="30" customHeight="1" x14ac:dyDescent="0.25">
      <c r="A6" s="627" t="s">
        <v>619</v>
      </c>
      <c r="B6" s="627"/>
    </row>
    <row r="7" spans="1:2" s="574" customFormat="1" x14ac:dyDescent="0.25">
      <c r="A7" s="575"/>
      <c r="B7" s="575"/>
    </row>
    <row r="8" spans="1:2" s="574" customFormat="1" ht="30" customHeight="1" x14ac:dyDescent="0.25">
      <c r="A8" s="628" t="s">
        <v>630</v>
      </c>
      <c r="B8" s="629"/>
    </row>
    <row r="9" spans="1:2" s="574" customFormat="1" x14ac:dyDescent="0.25">
      <c r="A9" s="35"/>
      <c r="B9" s="35"/>
    </row>
    <row r="10" spans="1:2" s="574" customFormat="1" x14ac:dyDescent="0.25">
      <c r="A10" s="34" t="s">
        <v>22</v>
      </c>
      <c r="B10" s="35"/>
    </row>
    <row r="11" spans="1:2" s="574" customFormat="1" x14ac:dyDescent="0.25">
      <c r="A11" s="35" t="s">
        <v>23</v>
      </c>
      <c r="B11" s="35"/>
    </row>
    <row r="12" spans="1:2" s="574" customFormat="1" x14ac:dyDescent="0.25">
      <c r="A12" s="44" t="s">
        <v>24</v>
      </c>
      <c r="B12" s="45" t="s">
        <v>25</v>
      </c>
    </row>
    <row r="13" spans="1:2" s="574" customFormat="1" x14ac:dyDescent="0.25">
      <c r="A13" s="41" t="s">
        <v>25</v>
      </c>
      <c r="B13" s="576" t="s">
        <v>26</v>
      </c>
    </row>
    <row r="14" spans="1:2" s="574" customFormat="1" x14ac:dyDescent="0.25">
      <c r="A14" s="41" t="s">
        <v>27</v>
      </c>
      <c r="B14" s="576" t="s">
        <v>28</v>
      </c>
    </row>
    <row r="15" spans="1:2" s="574" customFormat="1" x14ac:dyDescent="0.25">
      <c r="A15" s="23" t="s">
        <v>29</v>
      </c>
      <c r="B15" s="576" t="s">
        <v>30</v>
      </c>
    </row>
    <row r="16" spans="1:2" s="574" customFormat="1" x14ac:dyDescent="0.25">
      <c r="A16" s="23" t="s">
        <v>31</v>
      </c>
      <c r="B16" s="576" t="s">
        <v>32</v>
      </c>
    </row>
    <row r="17" spans="1:2" s="574" customFormat="1" ht="15" customHeight="1" x14ac:dyDescent="0.25">
      <c r="A17" s="23" t="s">
        <v>33</v>
      </c>
      <c r="B17" s="576" t="s">
        <v>34</v>
      </c>
    </row>
    <row r="18" spans="1:2" s="574" customFormat="1" x14ac:dyDescent="0.25">
      <c r="A18" s="23" t="s">
        <v>35</v>
      </c>
      <c r="B18" s="576" t="s">
        <v>36</v>
      </c>
    </row>
    <row r="19" spans="1:2" s="574" customFormat="1" x14ac:dyDescent="0.25">
      <c r="A19" s="23" t="s">
        <v>37</v>
      </c>
      <c r="B19" s="576" t="s">
        <v>38</v>
      </c>
    </row>
    <row r="20" spans="1:2" s="574" customFormat="1" ht="15" customHeight="1" x14ac:dyDescent="0.25">
      <c r="A20" s="23" t="s">
        <v>39</v>
      </c>
      <c r="B20" s="577" t="s">
        <v>40</v>
      </c>
    </row>
    <row r="21" spans="1:2" s="574" customFormat="1" ht="15" customHeight="1" x14ac:dyDescent="0.25">
      <c r="A21" s="23" t="s">
        <v>41</v>
      </c>
      <c r="B21" s="577" t="s">
        <v>42</v>
      </c>
    </row>
    <row r="22" spans="1:2" s="574" customFormat="1" x14ac:dyDescent="0.25">
      <c r="A22" s="42" t="s">
        <v>43</v>
      </c>
      <c r="B22" s="576" t="s">
        <v>44</v>
      </c>
    </row>
    <row r="23" spans="1:2" s="574" customFormat="1" x14ac:dyDescent="0.25">
      <c r="A23" s="42" t="s">
        <v>45</v>
      </c>
      <c r="B23" s="577" t="s">
        <v>46</v>
      </c>
    </row>
    <row r="24" spans="1:2" s="574" customFormat="1" x14ac:dyDescent="0.25">
      <c r="A24" s="43" t="s">
        <v>47</v>
      </c>
      <c r="B24" s="578" t="s">
        <v>48</v>
      </c>
    </row>
    <row r="25" spans="1:2" s="574" customFormat="1" x14ac:dyDescent="0.25">
      <c r="A25" s="573"/>
      <c r="B25" s="573"/>
    </row>
    <row r="26" spans="1:2" s="574" customFormat="1" x14ac:dyDescent="0.25">
      <c r="A26" s="572" t="s">
        <v>49</v>
      </c>
      <c r="B26" s="573"/>
    </row>
    <row r="27" spans="1:2" s="574" customFormat="1" x14ac:dyDescent="0.25">
      <c r="A27" s="631" t="s">
        <v>624</v>
      </c>
      <c r="B27" s="631"/>
    </row>
    <row r="28" spans="1:2" s="574" customFormat="1" ht="30" customHeight="1" x14ac:dyDescent="0.25">
      <c r="A28" s="630" t="s">
        <v>625</v>
      </c>
      <c r="B28" s="630"/>
    </row>
    <row r="29" spans="1:2" s="574" customFormat="1" x14ac:dyDescent="0.25"/>
    <row r="30" spans="1:2" s="574" customFormat="1" x14ac:dyDescent="0.25"/>
    <row r="31" spans="1:2" s="574" customFormat="1" x14ac:dyDescent="0.25"/>
    <row r="32" spans="1:2" s="574" customFormat="1" x14ac:dyDescent="0.25"/>
    <row r="33" s="574" customFormat="1" x14ac:dyDescent="0.25"/>
    <row r="34" s="574" customFormat="1" x14ac:dyDescent="0.25"/>
    <row r="35" s="574" customFormat="1" x14ac:dyDescent="0.25"/>
    <row r="36" s="574" customFormat="1" x14ac:dyDescent="0.25"/>
    <row r="37" s="574" customFormat="1" x14ac:dyDescent="0.25"/>
    <row r="38" s="574" customFormat="1" x14ac:dyDescent="0.25"/>
    <row r="39" s="574" customFormat="1" x14ac:dyDescent="0.25"/>
    <row r="40" s="574" customFormat="1" x14ac:dyDescent="0.25"/>
    <row r="41" s="574" customFormat="1" x14ac:dyDescent="0.25"/>
    <row r="42" s="574" customFormat="1" x14ac:dyDescent="0.25"/>
    <row r="43" s="574" customFormat="1" x14ac:dyDescent="0.25"/>
    <row r="44" s="574" customFormat="1" x14ac:dyDescent="0.25"/>
    <row r="45" s="574" customFormat="1" x14ac:dyDescent="0.25"/>
  </sheetData>
  <mergeCells count="4">
    <mergeCell ref="A6:B6"/>
    <mergeCell ref="A8:B8"/>
    <mergeCell ref="A28:B28"/>
    <mergeCell ref="A27:B27"/>
  </mergeCells>
  <pageMargins left="0.7" right="0.7" top="0.75" bottom="0.75" header="0.3" footer="0.3"/>
  <pageSetup scale="82" orientation="landscape" r:id="rId1"/>
  <headerFooter>
    <oddFooter>&amp;L&amp;"-,Bold"Carrier Benchmark Data Submission Template&amp;"-,Regular" | NJ Hart Program &amp;RPage &amp;P</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03F45-8207-4E22-9F46-61E28FAEF425}">
  <sheetPr>
    <tabColor theme="7" tint="0.39997558519241921"/>
    <pageSetUpPr fitToPage="1"/>
  </sheetPr>
  <dimension ref="A1:D95"/>
  <sheetViews>
    <sheetView showGridLines="0" topLeftCell="A57" zoomScaleNormal="100" workbookViewId="0">
      <selection activeCell="A47" sqref="A27:A47"/>
    </sheetView>
  </sheetViews>
  <sheetFormatPr defaultColWidth="9.140625" defaultRowHeight="15" x14ac:dyDescent="0.25"/>
  <cols>
    <col min="1" max="1" width="30.7109375" style="74" customWidth="1"/>
    <col min="2" max="2" width="68.5703125" style="74" customWidth="1"/>
    <col min="3" max="3" width="52.28515625" style="74" customWidth="1"/>
    <col min="4" max="4" width="104.42578125" style="49" customWidth="1"/>
    <col min="5" max="16384" width="9.140625" style="49"/>
  </cols>
  <sheetData>
    <row r="1" spans="1:3" ht="18.75" x14ac:dyDescent="0.3">
      <c r="A1" s="70" t="s">
        <v>27</v>
      </c>
      <c r="B1" s="71"/>
      <c r="C1" s="71"/>
    </row>
    <row r="2" spans="1:3" s="579" customFormat="1" ht="45" customHeight="1" x14ac:dyDescent="0.25">
      <c r="A2" s="631" t="s">
        <v>626</v>
      </c>
      <c r="B2" s="631"/>
      <c r="C2" s="631"/>
    </row>
    <row r="3" spans="1:3" s="579" customFormat="1" x14ac:dyDescent="0.25">
      <c r="A3" s="580"/>
      <c r="B3" s="580"/>
      <c r="C3" s="580"/>
    </row>
    <row r="4" spans="1:3" s="581" customFormat="1" x14ac:dyDescent="0.25">
      <c r="A4" s="636" t="s">
        <v>50</v>
      </c>
      <c r="B4" s="636"/>
      <c r="C4" s="636"/>
    </row>
    <row r="5" spans="1:3" s="581" customFormat="1" x14ac:dyDescent="0.25">
      <c r="A5" s="582" t="s">
        <v>51</v>
      </c>
      <c r="B5" s="583" t="s">
        <v>52</v>
      </c>
      <c r="C5" s="72"/>
    </row>
    <row r="6" spans="1:3" s="581" customFormat="1" x14ac:dyDescent="0.25">
      <c r="A6" s="377">
        <v>201</v>
      </c>
      <c r="B6" s="584" t="s">
        <v>53</v>
      </c>
      <c r="C6" s="73"/>
    </row>
    <row r="7" spans="1:3" s="581" customFormat="1" x14ac:dyDescent="0.25">
      <c r="A7" s="377">
        <v>202</v>
      </c>
      <c r="B7" s="584" t="s">
        <v>54</v>
      </c>
      <c r="C7" s="73"/>
    </row>
    <row r="8" spans="1:3" s="581" customFormat="1" x14ac:dyDescent="0.25">
      <c r="A8" s="377">
        <v>203</v>
      </c>
      <c r="B8" s="584" t="s">
        <v>55</v>
      </c>
      <c r="C8" s="73"/>
    </row>
    <row r="9" spans="1:3" s="581" customFormat="1" x14ac:dyDescent="0.25">
      <c r="A9" s="585">
        <v>204</v>
      </c>
      <c r="B9" s="584" t="s">
        <v>56</v>
      </c>
      <c r="C9" s="73"/>
    </row>
    <row r="10" spans="1:3" s="581" customFormat="1" x14ac:dyDescent="0.25">
      <c r="A10" s="585">
        <v>205</v>
      </c>
      <c r="B10" s="584" t="s">
        <v>57</v>
      </c>
      <c r="C10" s="73"/>
    </row>
    <row r="11" spans="1:3" s="581" customFormat="1" x14ac:dyDescent="0.25">
      <c r="A11" s="585">
        <v>206</v>
      </c>
      <c r="B11" s="584" t="s">
        <v>58</v>
      </c>
      <c r="C11" s="73"/>
    </row>
    <row r="12" spans="1:3" s="581" customFormat="1" x14ac:dyDescent="0.25">
      <c r="A12" s="586">
        <v>207</v>
      </c>
      <c r="B12" s="584" t="s">
        <v>59</v>
      </c>
      <c r="C12" s="73"/>
    </row>
    <row r="13" spans="1:3" s="581" customFormat="1" x14ac:dyDescent="0.25">
      <c r="A13" s="587"/>
      <c r="B13" s="73"/>
      <c r="C13" s="73"/>
    </row>
    <row r="14" spans="1:3" s="581" customFormat="1" x14ac:dyDescent="0.25">
      <c r="A14" s="635" t="s">
        <v>60</v>
      </c>
      <c r="B14" s="635"/>
      <c r="C14" s="635"/>
    </row>
    <row r="15" spans="1:3" s="581" customFormat="1" x14ac:dyDescent="0.25">
      <c r="A15" s="248" t="s">
        <v>61</v>
      </c>
      <c r="B15" s="248" t="s">
        <v>52</v>
      </c>
      <c r="C15" s="72"/>
    </row>
    <row r="16" spans="1:3" s="581" customFormat="1" x14ac:dyDescent="0.25">
      <c r="A16" s="588">
        <v>1</v>
      </c>
      <c r="B16" s="588" t="s">
        <v>62</v>
      </c>
      <c r="C16" s="73"/>
    </row>
    <row r="17" spans="1:3" s="581" customFormat="1" x14ac:dyDescent="0.25">
      <c r="A17" s="588">
        <v>2</v>
      </c>
      <c r="B17" s="588" t="s">
        <v>63</v>
      </c>
      <c r="C17" s="73"/>
    </row>
    <row r="18" spans="1:3" s="581" customFormat="1" x14ac:dyDescent="0.25">
      <c r="A18" s="588">
        <v>3</v>
      </c>
      <c r="B18" s="588" t="s">
        <v>64</v>
      </c>
      <c r="C18" s="73"/>
    </row>
    <row r="19" spans="1:3" s="581" customFormat="1" x14ac:dyDescent="0.25">
      <c r="A19" s="588">
        <v>4</v>
      </c>
      <c r="B19" s="588" t="s">
        <v>65</v>
      </c>
      <c r="C19" s="73"/>
    </row>
    <row r="20" spans="1:3" s="581" customFormat="1" x14ac:dyDescent="0.25">
      <c r="A20" s="588">
        <v>5</v>
      </c>
      <c r="B20" s="588" t="s">
        <v>66</v>
      </c>
      <c r="C20" s="73"/>
    </row>
    <row r="21" spans="1:3" s="581" customFormat="1" x14ac:dyDescent="0.25">
      <c r="A21" s="588">
        <v>6</v>
      </c>
      <c r="B21" s="588" t="s">
        <v>67</v>
      </c>
      <c r="C21" s="73"/>
    </row>
    <row r="22" spans="1:3" s="581" customFormat="1" x14ac:dyDescent="0.25">
      <c r="A22" s="588">
        <v>7</v>
      </c>
      <c r="B22" s="588" t="s">
        <v>68</v>
      </c>
      <c r="C22" s="73"/>
    </row>
    <row r="23" spans="1:3" s="581" customFormat="1" x14ac:dyDescent="0.25">
      <c r="A23" s="588">
        <v>8</v>
      </c>
      <c r="B23" s="588" t="s">
        <v>69</v>
      </c>
      <c r="C23" s="73"/>
    </row>
    <row r="24" spans="1:3" s="581" customFormat="1" x14ac:dyDescent="0.25">
      <c r="A24" s="73"/>
      <c r="B24" s="73"/>
      <c r="C24" s="73"/>
    </row>
    <row r="25" spans="1:3" s="581" customFormat="1" x14ac:dyDescent="0.25">
      <c r="A25" s="637" t="s">
        <v>70</v>
      </c>
      <c r="B25" s="637"/>
      <c r="C25" s="637"/>
    </row>
    <row r="26" spans="1:3" s="581" customFormat="1" x14ac:dyDescent="0.25">
      <c r="A26" s="589" t="s">
        <v>71</v>
      </c>
      <c r="B26" s="590" t="s">
        <v>52</v>
      </c>
      <c r="C26" s="72"/>
    </row>
    <row r="27" spans="1:3" s="581" customFormat="1" x14ac:dyDescent="0.25">
      <c r="A27" s="376">
        <v>100</v>
      </c>
      <c r="B27" s="591" t="s">
        <v>72</v>
      </c>
      <c r="C27" s="73"/>
    </row>
    <row r="28" spans="1:3" s="581" customFormat="1" x14ac:dyDescent="0.25">
      <c r="A28" s="592">
        <v>101</v>
      </c>
      <c r="B28" s="591" t="s">
        <v>609</v>
      </c>
      <c r="C28" s="73"/>
    </row>
    <row r="29" spans="1:3" s="581" customFormat="1" x14ac:dyDescent="0.25">
      <c r="A29" s="592">
        <v>102</v>
      </c>
      <c r="B29" s="593" t="s">
        <v>610</v>
      </c>
      <c r="C29" s="73"/>
    </row>
    <row r="30" spans="1:3" s="581" customFormat="1" ht="30" x14ac:dyDescent="0.25">
      <c r="A30" s="592">
        <v>103</v>
      </c>
      <c r="B30" s="591" t="s">
        <v>73</v>
      </c>
      <c r="C30" s="73"/>
    </row>
    <row r="31" spans="1:3" s="581" customFormat="1" x14ac:dyDescent="0.25">
      <c r="A31" s="592">
        <v>104</v>
      </c>
      <c r="B31" s="591" t="s">
        <v>611</v>
      </c>
      <c r="C31" s="73"/>
    </row>
    <row r="32" spans="1:3" s="581" customFormat="1" x14ac:dyDescent="0.25">
      <c r="A32" s="592">
        <v>105</v>
      </c>
      <c r="B32" s="593" t="s">
        <v>607</v>
      </c>
      <c r="C32" s="73"/>
    </row>
    <row r="33" spans="1:4" s="581" customFormat="1" x14ac:dyDescent="0.25">
      <c r="A33" s="592">
        <v>106</v>
      </c>
      <c r="B33" s="591" t="s">
        <v>74</v>
      </c>
      <c r="C33" s="73"/>
    </row>
    <row r="34" spans="1:4" s="581" customFormat="1" x14ac:dyDescent="0.25">
      <c r="A34" s="592">
        <v>107</v>
      </c>
      <c r="B34" s="591" t="s">
        <v>75</v>
      </c>
      <c r="C34" s="73"/>
      <c r="D34" s="594"/>
    </row>
    <row r="35" spans="1:4" s="581" customFormat="1" x14ac:dyDescent="0.25">
      <c r="A35" s="592">
        <v>108</v>
      </c>
      <c r="B35" s="591" t="s">
        <v>612</v>
      </c>
      <c r="C35" s="73"/>
      <c r="D35" s="594"/>
    </row>
    <row r="36" spans="1:4" s="581" customFormat="1" x14ac:dyDescent="0.25">
      <c r="A36" s="592">
        <v>109</v>
      </c>
      <c r="B36" s="595" t="s">
        <v>76</v>
      </c>
      <c r="C36" s="73"/>
      <c r="D36" s="594"/>
    </row>
    <row r="37" spans="1:4" s="581" customFormat="1" x14ac:dyDescent="0.25">
      <c r="A37" s="592">
        <v>110</v>
      </c>
      <c r="B37" s="591" t="s">
        <v>77</v>
      </c>
      <c r="C37" s="73"/>
      <c r="D37" s="594"/>
    </row>
    <row r="38" spans="1:4" s="581" customFormat="1" x14ac:dyDescent="0.25">
      <c r="A38" s="592">
        <v>111</v>
      </c>
      <c r="B38" s="593" t="s">
        <v>78</v>
      </c>
      <c r="C38" s="73"/>
      <c r="D38" s="594"/>
    </row>
    <row r="39" spans="1:4" s="581" customFormat="1" x14ac:dyDescent="0.25">
      <c r="A39" s="592">
        <v>112</v>
      </c>
      <c r="B39" s="593" t="s">
        <v>613</v>
      </c>
      <c r="C39" s="73"/>
      <c r="D39" s="594"/>
    </row>
    <row r="40" spans="1:4" s="581" customFormat="1" x14ac:dyDescent="0.25">
      <c r="A40" s="592">
        <v>115</v>
      </c>
      <c r="B40" s="593" t="s">
        <v>79</v>
      </c>
      <c r="C40" s="73"/>
      <c r="D40" s="594"/>
    </row>
    <row r="41" spans="1:4" s="581" customFormat="1" x14ac:dyDescent="0.25">
      <c r="A41" s="592">
        <v>116</v>
      </c>
      <c r="B41" s="593" t="s">
        <v>614</v>
      </c>
      <c r="C41" s="73"/>
      <c r="D41" s="594"/>
    </row>
    <row r="42" spans="1:4" s="581" customFormat="1" x14ac:dyDescent="0.25">
      <c r="A42" s="592">
        <v>118</v>
      </c>
      <c r="B42" s="593" t="s">
        <v>80</v>
      </c>
      <c r="C42" s="73"/>
      <c r="D42" s="594"/>
    </row>
    <row r="43" spans="1:4" s="581" customFormat="1" x14ac:dyDescent="0.25">
      <c r="A43" s="592">
        <v>119</v>
      </c>
      <c r="B43" s="593" t="s">
        <v>615</v>
      </c>
      <c r="C43" s="73"/>
      <c r="D43" s="594"/>
    </row>
    <row r="44" spans="1:4" s="581" customFormat="1" x14ac:dyDescent="0.25">
      <c r="A44" s="592">
        <v>120</v>
      </c>
      <c r="B44" s="593" t="s">
        <v>608</v>
      </c>
      <c r="C44" s="73"/>
      <c r="D44" s="594"/>
    </row>
    <row r="45" spans="1:4" s="581" customFormat="1" x14ac:dyDescent="0.25">
      <c r="A45" s="592">
        <v>121</v>
      </c>
      <c r="B45" s="591" t="s">
        <v>616</v>
      </c>
      <c r="C45" s="73"/>
      <c r="D45" s="594"/>
    </row>
    <row r="46" spans="1:4" s="581" customFormat="1" x14ac:dyDescent="0.25">
      <c r="A46" s="592">
        <v>122</v>
      </c>
      <c r="B46" s="593" t="s">
        <v>617</v>
      </c>
      <c r="C46" s="73"/>
    </row>
    <row r="47" spans="1:4" s="581" customFormat="1" x14ac:dyDescent="0.25">
      <c r="A47" s="596">
        <v>999</v>
      </c>
      <c r="B47" s="591" t="s">
        <v>81</v>
      </c>
      <c r="C47" s="73"/>
    </row>
    <row r="48" spans="1:4" s="581" customFormat="1" x14ac:dyDescent="0.25">
      <c r="A48" s="73"/>
      <c r="B48" s="597"/>
      <c r="C48" s="72"/>
    </row>
    <row r="49" spans="1:3" s="581" customFormat="1" x14ac:dyDescent="0.25">
      <c r="A49" s="72" t="s">
        <v>82</v>
      </c>
      <c r="B49" s="72"/>
      <c r="C49" s="72"/>
    </row>
    <row r="50" spans="1:3" s="581" customFormat="1" x14ac:dyDescent="0.25">
      <c r="A50" s="248" t="s">
        <v>83</v>
      </c>
      <c r="B50" s="248" t="s">
        <v>52</v>
      </c>
      <c r="C50" s="73"/>
    </row>
    <row r="51" spans="1:3" s="581" customFormat="1" x14ac:dyDescent="0.25">
      <c r="A51" s="376">
        <v>1</v>
      </c>
      <c r="B51" s="376" t="s">
        <v>84</v>
      </c>
      <c r="C51" s="73"/>
    </row>
    <row r="52" spans="1:3" s="581" customFormat="1" x14ac:dyDescent="0.25">
      <c r="A52" s="376">
        <v>2</v>
      </c>
      <c r="B52" s="376" t="s">
        <v>85</v>
      </c>
      <c r="C52" s="73"/>
    </row>
    <row r="53" spans="1:3" s="581" customFormat="1" x14ac:dyDescent="0.25">
      <c r="A53" s="376">
        <v>3</v>
      </c>
      <c r="B53" s="376" t="s">
        <v>86</v>
      </c>
      <c r="C53" s="73"/>
    </row>
    <row r="54" spans="1:3" s="581" customFormat="1" x14ac:dyDescent="0.25">
      <c r="A54" s="376">
        <v>4</v>
      </c>
      <c r="B54" s="376" t="s">
        <v>87</v>
      </c>
      <c r="C54" s="73"/>
    </row>
    <row r="55" spans="1:3" s="581" customFormat="1" x14ac:dyDescent="0.25">
      <c r="A55" s="376">
        <v>5</v>
      </c>
      <c r="B55" s="376" t="s">
        <v>88</v>
      </c>
      <c r="C55" s="73"/>
    </row>
    <row r="56" spans="1:3" s="581" customFormat="1" x14ac:dyDescent="0.25">
      <c r="A56" s="376">
        <v>6</v>
      </c>
      <c r="B56" s="376" t="s">
        <v>89</v>
      </c>
      <c r="C56" s="73"/>
    </row>
    <row r="57" spans="1:3" s="581" customFormat="1" x14ac:dyDescent="0.25">
      <c r="A57" s="376">
        <v>7</v>
      </c>
      <c r="B57" s="376" t="s">
        <v>90</v>
      </c>
      <c r="C57" s="73"/>
    </row>
    <row r="58" spans="1:3" s="581" customFormat="1" x14ac:dyDescent="0.25">
      <c r="A58" s="376">
        <v>8</v>
      </c>
      <c r="B58" s="376" t="s">
        <v>621</v>
      </c>
      <c r="C58" s="73"/>
    </row>
    <row r="59" spans="1:3" s="581" customFormat="1" x14ac:dyDescent="0.25">
      <c r="A59" s="73"/>
      <c r="B59" s="73"/>
      <c r="C59" s="72"/>
    </row>
    <row r="60" spans="1:3" s="581" customFormat="1" x14ac:dyDescent="0.25">
      <c r="A60" s="72" t="s">
        <v>91</v>
      </c>
      <c r="B60" s="72"/>
      <c r="C60" s="72"/>
    </row>
    <row r="61" spans="1:3" s="581" customFormat="1" x14ac:dyDescent="0.25">
      <c r="A61" s="248" t="s">
        <v>92</v>
      </c>
      <c r="B61" s="248" t="s">
        <v>52</v>
      </c>
      <c r="C61" s="73"/>
    </row>
    <row r="62" spans="1:3" s="581" customFormat="1" x14ac:dyDescent="0.25">
      <c r="A62" s="376">
        <v>1</v>
      </c>
      <c r="B62" s="376" t="s">
        <v>93</v>
      </c>
      <c r="C62" s="73"/>
    </row>
    <row r="63" spans="1:3" s="581" customFormat="1" x14ac:dyDescent="0.25">
      <c r="A63" s="376">
        <v>2</v>
      </c>
      <c r="B63" s="376" t="s">
        <v>94</v>
      </c>
      <c r="C63" s="73"/>
    </row>
    <row r="64" spans="1:3" s="581" customFormat="1" x14ac:dyDescent="0.25">
      <c r="A64" s="73"/>
      <c r="B64" s="73"/>
      <c r="C64" s="72"/>
    </row>
    <row r="65" spans="1:3" s="581" customFormat="1" x14ac:dyDescent="0.25">
      <c r="A65" s="72" t="s">
        <v>95</v>
      </c>
      <c r="B65" s="72"/>
      <c r="C65" s="72"/>
    </row>
    <row r="66" spans="1:3" s="581" customFormat="1" x14ac:dyDescent="0.25">
      <c r="A66" s="248" t="s">
        <v>96</v>
      </c>
      <c r="B66" s="248" t="s">
        <v>52</v>
      </c>
      <c r="C66" s="73"/>
    </row>
    <row r="67" spans="1:3" s="581" customFormat="1" x14ac:dyDescent="0.25">
      <c r="A67" s="376">
        <v>1</v>
      </c>
      <c r="B67" s="376" t="s">
        <v>97</v>
      </c>
      <c r="C67" s="73"/>
    </row>
    <row r="68" spans="1:3" s="581" customFormat="1" x14ac:dyDescent="0.25">
      <c r="A68" s="376">
        <v>2</v>
      </c>
      <c r="B68" s="376" t="s">
        <v>98</v>
      </c>
      <c r="C68" s="73"/>
    </row>
    <row r="69" spans="1:3" s="581" customFormat="1" x14ac:dyDescent="0.25">
      <c r="A69" s="376">
        <v>3</v>
      </c>
      <c r="B69" s="376" t="s">
        <v>99</v>
      </c>
      <c r="C69" s="73"/>
    </row>
    <row r="70" spans="1:3" s="581" customFormat="1" x14ac:dyDescent="0.25">
      <c r="A70" s="73"/>
      <c r="B70" s="73"/>
      <c r="C70" s="72"/>
    </row>
    <row r="71" spans="1:3" s="581" customFormat="1" x14ac:dyDescent="0.25">
      <c r="A71" s="34" t="s">
        <v>100</v>
      </c>
      <c r="B71" s="72"/>
      <c r="C71" s="72"/>
    </row>
    <row r="72" spans="1:3" s="581" customFormat="1" x14ac:dyDescent="0.25">
      <c r="A72" s="248" t="s">
        <v>101</v>
      </c>
      <c r="B72" s="248" t="s">
        <v>52</v>
      </c>
      <c r="C72" s="73"/>
    </row>
    <row r="73" spans="1:3" s="581" customFormat="1" x14ac:dyDescent="0.25">
      <c r="A73" s="588">
        <v>1</v>
      </c>
      <c r="B73" s="588" t="s">
        <v>622</v>
      </c>
      <c r="C73" s="73"/>
    </row>
    <row r="74" spans="1:3" s="581" customFormat="1" x14ac:dyDescent="0.25">
      <c r="A74" s="588">
        <v>2</v>
      </c>
      <c r="B74" s="588" t="s">
        <v>102</v>
      </c>
      <c r="C74" s="73"/>
    </row>
    <row r="75" spans="1:3" s="581" customFormat="1" x14ac:dyDescent="0.25">
      <c r="A75" s="588">
        <v>3</v>
      </c>
      <c r="B75" s="588" t="s">
        <v>103</v>
      </c>
      <c r="C75" s="73"/>
    </row>
    <row r="76" spans="1:3" s="581" customFormat="1" x14ac:dyDescent="0.25">
      <c r="A76" s="588">
        <v>4</v>
      </c>
      <c r="B76" s="588" t="s">
        <v>104</v>
      </c>
      <c r="C76" s="73"/>
    </row>
    <row r="77" spans="1:3" s="581" customFormat="1" x14ac:dyDescent="0.25">
      <c r="A77" s="588">
        <v>5</v>
      </c>
      <c r="B77" s="588" t="s">
        <v>105</v>
      </c>
      <c r="C77" s="73"/>
    </row>
    <row r="78" spans="1:3" s="581" customFormat="1" x14ac:dyDescent="0.25">
      <c r="A78" s="588">
        <v>6</v>
      </c>
      <c r="B78" s="588" t="s">
        <v>106</v>
      </c>
      <c r="C78" s="73"/>
    </row>
    <row r="79" spans="1:3" s="581" customFormat="1" x14ac:dyDescent="0.25">
      <c r="A79" s="588">
        <v>7</v>
      </c>
      <c r="B79" s="588" t="s">
        <v>107</v>
      </c>
      <c r="C79" s="73"/>
    </row>
    <row r="80" spans="1:3" s="581" customFormat="1" x14ac:dyDescent="0.25">
      <c r="A80" s="588">
        <v>8</v>
      </c>
      <c r="B80" s="588" t="s">
        <v>108</v>
      </c>
      <c r="C80" s="73"/>
    </row>
    <row r="81" spans="1:3" s="581" customFormat="1" x14ac:dyDescent="0.25">
      <c r="A81" s="588">
        <v>9</v>
      </c>
      <c r="B81" s="588" t="s">
        <v>109</v>
      </c>
      <c r="C81" s="73"/>
    </row>
    <row r="82" spans="1:3" s="581" customFormat="1" x14ac:dyDescent="0.25">
      <c r="A82" s="588">
        <v>10</v>
      </c>
      <c r="B82" s="588" t="s">
        <v>110</v>
      </c>
      <c r="C82" s="73"/>
    </row>
    <row r="83" spans="1:3" s="581" customFormat="1" x14ac:dyDescent="0.25">
      <c r="A83" s="588">
        <v>11</v>
      </c>
      <c r="B83" s="588" t="s">
        <v>111</v>
      </c>
      <c r="C83" s="73"/>
    </row>
    <row r="84" spans="1:3" s="581" customFormat="1" x14ac:dyDescent="0.25">
      <c r="A84" s="73"/>
      <c r="B84" s="73"/>
      <c r="C84" s="72"/>
    </row>
    <row r="85" spans="1:3" s="581" customFormat="1" x14ac:dyDescent="0.25">
      <c r="A85" s="34" t="s">
        <v>112</v>
      </c>
      <c r="B85" s="72"/>
      <c r="C85" s="598"/>
    </row>
    <row r="86" spans="1:3" s="581" customFormat="1" x14ac:dyDescent="0.25">
      <c r="A86" s="599" t="s">
        <v>96</v>
      </c>
      <c r="B86" s="600" t="s">
        <v>61</v>
      </c>
      <c r="C86" s="601" t="s">
        <v>113</v>
      </c>
    </row>
    <row r="87" spans="1:3" s="581" customFormat="1" ht="30" x14ac:dyDescent="0.25">
      <c r="A87" s="632" t="s">
        <v>114</v>
      </c>
      <c r="B87" s="602" t="s">
        <v>115</v>
      </c>
      <c r="C87" s="603" t="s">
        <v>116</v>
      </c>
    </row>
    <row r="88" spans="1:3" s="581" customFormat="1" x14ac:dyDescent="0.25">
      <c r="A88" s="632"/>
      <c r="B88" s="602" t="s">
        <v>117</v>
      </c>
      <c r="C88" s="603" t="s">
        <v>118</v>
      </c>
    </row>
    <row r="89" spans="1:3" s="581" customFormat="1" x14ac:dyDescent="0.25">
      <c r="A89" s="632"/>
      <c r="B89" s="602" t="s">
        <v>119</v>
      </c>
      <c r="C89" s="603" t="s">
        <v>120</v>
      </c>
    </row>
    <row r="90" spans="1:3" s="581" customFormat="1" x14ac:dyDescent="0.25">
      <c r="A90" s="633" t="s">
        <v>121</v>
      </c>
      <c r="B90" s="604" t="s">
        <v>122</v>
      </c>
      <c r="C90" s="605" t="s">
        <v>123</v>
      </c>
    </row>
    <row r="91" spans="1:3" s="581" customFormat="1" x14ac:dyDescent="0.25">
      <c r="A91" s="633"/>
      <c r="B91" s="604" t="s">
        <v>124</v>
      </c>
      <c r="C91" s="605" t="s">
        <v>125</v>
      </c>
    </row>
    <row r="92" spans="1:3" s="581" customFormat="1" ht="90" x14ac:dyDescent="0.25">
      <c r="A92" s="634" t="s">
        <v>126</v>
      </c>
      <c r="B92" s="606" t="s">
        <v>127</v>
      </c>
      <c r="C92" s="607" t="s">
        <v>623</v>
      </c>
    </row>
    <row r="93" spans="1:3" s="579" customFormat="1" x14ac:dyDescent="0.25">
      <c r="A93" s="634"/>
      <c r="B93" s="606" t="s">
        <v>128</v>
      </c>
      <c r="C93" s="607" t="s">
        <v>129</v>
      </c>
    </row>
    <row r="94" spans="1:3" s="579" customFormat="1" x14ac:dyDescent="0.25">
      <c r="A94" s="608"/>
      <c r="B94" s="608"/>
      <c r="C94" s="608"/>
    </row>
    <row r="95" spans="1:3" s="579" customFormat="1" x14ac:dyDescent="0.25">
      <c r="A95" s="608"/>
      <c r="B95" s="608"/>
      <c r="C95" s="608"/>
    </row>
  </sheetData>
  <mergeCells count="7">
    <mergeCell ref="A2:C2"/>
    <mergeCell ref="A87:A89"/>
    <mergeCell ref="A90:A91"/>
    <mergeCell ref="A92:A93"/>
    <mergeCell ref="A14:C14"/>
    <mergeCell ref="A4:C4"/>
    <mergeCell ref="A25:C25"/>
  </mergeCells>
  <phoneticPr fontId="17" type="noConversion"/>
  <pageMargins left="0.7" right="0.7" top="0.75" bottom="0.75" header="0.3" footer="0.3"/>
  <pageSetup scale="80" fitToHeight="5" orientation="landscape" r:id="rId1"/>
  <headerFooter>
    <oddFooter>&amp;L&amp;"-,Bold"Carrier Benchmark Data Submission Template&amp;"-,Regular" | NJ Hart Program &amp;RPage &amp;P</oddFooter>
  </headerFooter>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57345-C91C-417B-8650-3506440E9DDB}">
  <sheetPr>
    <tabColor theme="9" tint="0.39997558519241921"/>
    <pageSetUpPr fitToPage="1"/>
  </sheetPr>
  <dimension ref="A1:F24"/>
  <sheetViews>
    <sheetView showGridLines="0" zoomScaleNormal="100" workbookViewId="0">
      <selection activeCell="C20" sqref="C20"/>
    </sheetView>
  </sheetViews>
  <sheetFormatPr defaultColWidth="28.85546875" defaultRowHeight="15" x14ac:dyDescent="0.25"/>
  <cols>
    <col min="1" max="1" width="6.5703125" style="269" customWidth="1"/>
    <col min="2" max="2" width="67.5703125" style="269" customWidth="1"/>
    <col min="3" max="3" width="87.7109375" style="269" customWidth="1"/>
    <col min="4" max="4" width="56.5703125" style="269" customWidth="1"/>
    <col min="5" max="5" width="76.140625" style="269" customWidth="1"/>
    <col min="6" max="6" width="77.28515625" style="269" customWidth="1"/>
    <col min="7" max="16384" width="28.85546875" style="269"/>
  </cols>
  <sheetData>
    <row r="1" spans="1:6" ht="18.75" x14ac:dyDescent="0.25">
      <c r="A1" s="56" t="s">
        <v>29</v>
      </c>
      <c r="B1" s="56"/>
      <c r="C1" s="56"/>
      <c r="D1" s="268"/>
      <c r="E1" s="268"/>
    </row>
    <row r="2" spans="1:6" s="610" customFormat="1" ht="18.75" x14ac:dyDescent="0.25">
      <c r="A2" s="21" t="s">
        <v>130</v>
      </c>
      <c r="B2" s="56"/>
      <c r="C2" s="56"/>
      <c r="D2" s="609"/>
      <c r="E2" s="609"/>
    </row>
    <row r="3" spans="1:6" s="610" customFormat="1" ht="18.75" x14ac:dyDescent="0.25">
      <c r="A3" s="21"/>
      <c r="B3" s="56"/>
      <c r="C3" s="56"/>
      <c r="D3" s="609"/>
      <c r="E3" s="609"/>
    </row>
    <row r="4" spans="1:6" s="574" customFormat="1" x14ac:dyDescent="0.25">
      <c r="A4" s="225" t="s">
        <v>620</v>
      </c>
      <c r="B4" s="611"/>
      <c r="C4" s="573"/>
      <c r="D4" s="573"/>
      <c r="E4" s="573"/>
    </row>
    <row r="5" spans="1:6" s="574" customFormat="1" ht="8.25" customHeight="1" x14ac:dyDescent="0.25">
      <c r="A5" s="611"/>
      <c r="B5" s="611"/>
      <c r="C5" s="573"/>
      <c r="D5" s="573"/>
      <c r="E5" s="573"/>
    </row>
    <row r="6" spans="1:6" s="574" customFormat="1" x14ac:dyDescent="0.25">
      <c r="A6" s="612" t="s">
        <v>629</v>
      </c>
      <c r="B6" s="612"/>
      <c r="C6" s="573"/>
      <c r="D6" s="573"/>
      <c r="E6" s="573"/>
    </row>
    <row r="7" spans="1:6" s="574" customFormat="1" x14ac:dyDescent="0.25">
      <c r="A7" s="612" t="s">
        <v>627</v>
      </c>
      <c r="B7" s="612"/>
      <c r="C7" s="573"/>
      <c r="D7" s="573"/>
      <c r="E7" s="573"/>
    </row>
    <row r="8" spans="1:6" s="574" customFormat="1" x14ac:dyDescent="0.25">
      <c r="A8" s="612" t="s">
        <v>628</v>
      </c>
      <c r="B8" s="612"/>
      <c r="C8" s="573"/>
      <c r="D8" s="573"/>
      <c r="E8" s="573"/>
    </row>
    <row r="9" spans="1:6" s="574" customFormat="1" x14ac:dyDescent="0.25">
      <c r="A9" s="612" t="s">
        <v>131</v>
      </c>
      <c r="B9" s="612"/>
      <c r="C9" s="573"/>
      <c r="D9" s="573"/>
      <c r="E9" s="573"/>
    </row>
    <row r="10" spans="1:6" s="610" customFormat="1" ht="18.75" x14ac:dyDescent="0.25">
      <c r="A10" s="21"/>
      <c r="B10" s="56"/>
      <c r="C10" s="56"/>
      <c r="D10" s="609"/>
      <c r="E10" s="609"/>
    </row>
    <row r="11" spans="1:6" s="610" customFormat="1" x14ac:dyDescent="0.25">
      <c r="A11" s="270" t="s">
        <v>132</v>
      </c>
      <c r="B11" s="18"/>
      <c r="C11" s="613"/>
      <c r="D11" s="613"/>
      <c r="E11" s="613"/>
      <c r="F11" s="614"/>
    </row>
    <row r="12" spans="1:6" s="610" customFormat="1" x14ac:dyDescent="0.25">
      <c r="A12" s="267" t="s">
        <v>133</v>
      </c>
      <c r="B12" s="32"/>
      <c r="C12" s="267"/>
      <c r="D12" s="609"/>
      <c r="E12" s="609"/>
    </row>
    <row r="13" spans="1:6" s="574" customFormat="1" ht="15" customHeight="1" x14ac:dyDescent="0.25">
      <c r="A13" s="57" t="s">
        <v>134</v>
      </c>
      <c r="B13" s="57"/>
      <c r="C13" s="57"/>
      <c r="D13" s="573"/>
      <c r="E13" s="573"/>
    </row>
    <row r="14" spans="1:6" s="610" customFormat="1" x14ac:dyDescent="0.25">
      <c r="A14" s="22"/>
      <c r="B14" s="18"/>
      <c r="C14" s="18"/>
      <c r="D14" s="609"/>
      <c r="E14" s="609"/>
    </row>
    <row r="15" spans="1:6" s="610" customFormat="1" x14ac:dyDescent="0.25">
      <c r="A15" s="609"/>
      <c r="B15" s="609"/>
      <c r="C15" s="609"/>
      <c r="D15" s="609"/>
      <c r="E15" s="609"/>
    </row>
    <row r="16" spans="1:6" s="610" customFormat="1" x14ac:dyDescent="0.25">
      <c r="A16" s="609"/>
      <c r="B16" s="271" t="s">
        <v>135</v>
      </c>
      <c r="C16" s="609"/>
      <c r="D16" s="609"/>
      <c r="E16" s="609"/>
    </row>
    <row r="17" spans="1:5" s="610" customFormat="1" x14ac:dyDescent="0.25">
      <c r="A17" s="272" t="s">
        <v>136</v>
      </c>
      <c r="B17" s="273" t="s">
        <v>137</v>
      </c>
      <c r="C17" s="615"/>
      <c r="D17" s="609"/>
      <c r="E17" s="609"/>
    </row>
    <row r="18" spans="1:5" s="610" customFormat="1" x14ac:dyDescent="0.25">
      <c r="A18" s="272" t="s">
        <v>138</v>
      </c>
      <c r="B18" s="274" t="s">
        <v>139</v>
      </c>
      <c r="C18" s="616"/>
      <c r="D18" s="609"/>
      <c r="E18" s="609"/>
    </row>
    <row r="19" spans="1:5" s="610" customFormat="1" x14ac:dyDescent="0.25">
      <c r="A19" s="272" t="s">
        <v>140</v>
      </c>
      <c r="B19" s="274" t="s">
        <v>141</v>
      </c>
      <c r="C19" s="617"/>
      <c r="D19" s="609"/>
      <c r="E19" s="609"/>
    </row>
    <row r="20" spans="1:5" s="610" customFormat="1" x14ac:dyDescent="0.25">
      <c r="A20" s="272" t="s">
        <v>142</v>
      </c>
      <c r="B20" s="275" t="s">
        <v>143</v>
      </c>
      <c r="C20" s="615"/>
      <c r="D20" s="609"/>
      <c r="E20" s="609"/>
    </row>
    <row r="21" spans="1:5" s="610" customFormat="1" x14ac:dyDescent="0.25">
      <c r="A21" s="272" t="s">
        <v>144</v>
      </c>
      <c r="B21" s="276" t="s">
        <v>145</v>
      </c>
      <c r="C21" s="618"/>
      <c r="D21" s="609"/>
      <c r="E21" s="609"/>
    </row>
    <row r="22" spans="1:5" s="610" customFormat="1" x14ac:dyDescent="0.25"/>
    <row r="23" spans="1:5" s="610" customFormat="1" x14ac:dyDescent="0.25"/>
    <row r="24" spans="1:5" s="610" customFormat="1" x14ac:dyDescent="0.25"/>
  </sheetData>
  <dataValidations count="3">
    <dataValidation allowBlank="1" showInputMessage="1" showErrorMessage="1" errorTitle="Input missing" promptTitle="Input required" prompt="Input email address for primary contact." sqref="C19" xr:uid="{98E0D241-36FC-453C-B11A-C5908FB884DA}"/>
    <dataValidation allowBlank="1" showInputMessage="1" sqref="C20:C21" xr:uid="{C9EFE231-B61A-4AC4-A45D-E9CBF993FCA5}"/>
    <dataValidation allowBlank="1" showInputMessage="1" showErrorMessage="1" errorTitle="Input missing" promptTitle="Input required" prompt="Input name of the person who can answer data validation questions from the state." sqref="C18" xr:uid="{65A98E42-A6D4-425B-8516-EA344D470CB2}"/>
  </dataValidations>
  <pageMargins left="0.7" right="0.7" top="0.75" bottom="0.75" header="0.3" footer="0.3"/>
  <pageSetup scale="41" orientation="landscape" r:id="rId1"/>
  <headerFooter>
    <oddFooter>&amp;L&amp;"-,Bold"Carrier Benchmark Data Submission Template&amp;"-,Regular" | NJ Hart Program &amp;RPage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showInputMessage="1" showErrorMessage="1" errorTitle="Input missing" promptTitle="Input required" prompt="Input must be an option from the drop down list" xr:uid="{A01B00BA-F714-4E58-A66E-CB10C9F1E04E}">
          <x14:formula1>
            <xm:f>'Reference Tables'!$B$6:$B$12</xm:f>
          </x14:formula1>
          <xm:sqref>C17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FCAC-667E-4878-8DC0-2F586C2BDEC0}">
  <sheetPr>
    <tabColor theme="9" tint="0.39997558519241921"/>
    <pageSetUpPr fitToPage="1"/>
  </sheetPr>
  <dimension ref="A1:AO515"/>
  <sheetViews>
    <sheetView showGridLines="0" topLeftCell="AA487" zoomScaleNormal="100" workbookViewId="0">
      <selection activeCell="AB425" sqref="AB425"/>
    </sheetView>
  </sheetViews>
  <sheetFormatPr defaultColWidth="9.140625" defaultRowHeight="15" x14ac:dyDescent="0.25"/>
  <cols>
    <col min="1" max="4" width="15.7109375" style="10" customWidth="1"/>
    <col min="5" max="29" width="25.7109375" style="10" customWidth="1"/>
    <col min="30" max="30" width="9.140625" style="10"/>
    <col min="31" max="31" width="87.42578125" style="10" bestFit="1" customWidth="1"/>
    <col min="32" max="16384" width="9.140625" style="10"/>
  </cols>
  <sheetData>
    <row r="1" spans="1:41" ht="18.75" x14ac:dyDescent="0.3">
      <c r="A1" s="9" t="s">
        <v>146</v>
      </c>
      <c r="B1" s="277"/>
      <c r="C1" s="277"/>
      <c r="D1" s="277"/>
      <c r="E1" s="1"/>
      <c r="F1" s="1"/>
      <c r="G1" s="1"/>
      <c r="H1" s="1"/>
      <c r="I1" s="1"/>
      <c r="J1" s="1"/>
      <c r="K1" s="1"/>
      <c r="L1" s="1"/>
      <c r="M1" s="1"/>
      <c r="N1" s="1"/>
      <c r="O1" s="1"/>
      <c r="P1" s="1"/>
      <c r="Q1" s="1"/>
      <c r="R1" s="1"/>
      <c r="S1" s="1"/>
      <c r="T1" s="1"/>
      <c r="U1" s="1"/>
      <c r="V1" s="1"/>
      <c r="W1" s="1"/>
      <c r="X1" s="1"/>
      <c r="Y1" s="1"/>
      <c r="Z1" s="1"/>
      <c r="AA1" s="1"/>
      <c r="AB1" s="1"/>
      <c r="AC1" s="1"/>
      <c r="AF1" s="347"/>
      <c r="AG1" s="347"/>
      <c r="AH1" s="347"/>
      <c r="AI1" s="347"/>
      <c r="AJ1" s="347"/>
      <c r="AK1" s="347"/>
      <c r="AL1" s="347"/>
    </row>
    <row r="2" spans="1:41" ht="15" customHeight="1" x14ac:dyDescent="0.25">
      <c r="A2" s="21" t="s">
        <v>147</v>
      </c>
      <c r="B2" s="277"/>
      <c r="C2" s="277"/>
      <c r="D2" s="277"/>
      <c r="E2" s="1"/>
      <c r="F2" s="1"/>
      <c r="G2" s="1"/>
      <c r="H2" s="1"/>
      <c r="I2" s="1"/>
      <c r="J2" s="1"/>
      <c r="K2" s="1"/>
      <c r="L2" s="1"/>
      <c r="M2" s="1"/>
      <c r="N2" s="1"/>
      <c r="O2" s="1"/>
      <c r="P2" s="1"/>
      <c r="Q2" s="1"/>
      <c r="R2" s="1"/>
      <c r="S2" s="1"/>
      <c r="T2" s="1"/>
      <c r="U2" s="1"/>
      <c r="V2" s="1"/>
      <c r="W2" s="1"/>
      <c r="X2" s="1"/>
      <c r="Y2" s="1"/>
      <c r="Z2" s="1"/>
      <c r="AA2" s="1"/>
      <c r="AB2" s="1"/>
      <c r="AC2" s="1"/>
      <c r="AF2" s="347"/>
      <c r="AG2" s="347"/>
      <c r="AH2" s="347"/>
      <c r="AI2" s="347"/>
      <c r="AJ2" s="347"/>
      <c r="AK2" s="347"/>
      <c r="AL2" s="347"/>
    </row>
    <row r="3" spans="1:41" ht="15" customHeight="1" x14ac:dyDescent="0.25">
      <c r="A3" s="21"/>
      <c r="B3" s="277"/>
      <c r="C3" s="277"/>
      <c r="D3" s="277"/>
      <c r="E3" s="1"/>
      <c r="F3" s="1"/>
      <c r="G3" s="1"/>
      <c r="H3" s="1"/>
      <c r="I3" s="1"/>
      <c r="J3" s="1"/>
      <c r="K3" s="1"/>
      <c r="L3" s="1"/>
      <c r="M3" s="1"/>
      <c r="N3" s="1"/>
      <c r="O3" s="1"/>
      <c r="P3" s="1"/>
      <c r="Q3" s="1"/>
      <c r="R3" s="1"/>
      <c r="S3" s="1"/>
      <c r="T3" s="1"/>
      <c r="U3" s="1"/>
      <c r="V3" s="1"/>
      <c r="W3" s="1"/>
      <c r="X3" s="1"/>
      <c r="Y3" s="1"/>
      <c r="Z3" s="1"/>
      <c r="AA3" s="1"/>
      <c r="AB3" s="1"/>
      <c r="AC3" s="1"/>
      <c r="AE3" s="47"/>
      <c r="AF3" s="347"/>
      <c r="AG3" s="347"/>
      <c r="AH3" s="347"/>
      <c r="AI3" s="347"/>
      <c r="AJ3" s="347"/>
      <c r="AK3" s="347"/>
      <c r="AL3" s="347"/>
    </row>
    <row r="4" spans="1:41" s="39" customFormat="1" x14ac:dyDescent="0.25">
      <c r="A4" s="270" t="s">
        <v>132</v>
      </c>
      <c r="B4" s="40"/>
      <c r="C4" s="40"/>
      <c r="D4" s="40"/>
      <c r="E4" s="29"/>
      <c r="F4" s="29"/>
      <c r="G4" s="29"/>
      <c r="H4" s="29"/>
      <c r="I4" s="29"/>
      <c r="J4" s="29"/>
      <c r="K4" s="29"/>
      <c r="L4" s="29"/>
      <c r="M4" s="29"/>
      <c r="N4" s="29"/>
      <c r="O4" s="29"/>
      <c r="P4" s="29"/>
      <c r="Q4" s="29"/>
      <c r="R4" s="29"/>
      <c r="S4" s="29"/>
      <c r="T4" s="29"/>
      <c r="U4" s="29"/>
      <c r="V4" s="29"/>
      <c r="W4" s="29"/>
      <c r="X4" s="29"/>
      <c r="Y4" s="29"/>
      <c r="Z4" s="29"/>
      <c r="AA4" s="29"/>
      <c r="AB4" s="29"/>
      <c r="AC4" s="29"/>
      <c r="AE4" s="47"/>
      <c r="AF4" s="347"/>
      <c r="AG4" s="347"/>
      <c r="AH4" s="347"/>
      <c r="AI4" s="347"/>
      <c r="AJ4" s="347"/>
      <c r="AK4" s="347"/>
      <c r="AL4" s="347"/>
    </row>
    <row r="5" spans="1:41" x14ac:dyDescent="0.25">
      <c r="A5" s="120" t="s">
        <v>148</v>
      </c>
      <c r="B5" s="121"/>
      <c r="C5" s="278"/>
      <c r="D5" s="279"/>
      <c r="E5" s="280"/>
      <c r="F5" s="278"/>
      <c r="G5" s="278"/>
      <c r="H5" s="281"/>
      <c r="I5" s="278"/>
      <c r="J5" s="278"/>
      <c r="K5" s="278"/>
      <c r="L5" s="278"/>
      <c r="M5" s="278"/>
      <c r="N5" s="278"/>
      <c r="O5" s="278"/>
      <c r="P5" s="278"/>
      <c r="Q5" s="278"/>
      <c r="R5" s="278"/>
      <c r="S5" s="278"/>
      <c r="T5" s="278"/>
      <c r="U5" s="278"/>
      <c r="V5" s="278"/>
      <c r="W5" s="278"/>
      <c r="X5" s="278"/>
      <c r="Y5" s="278"/>
      <c r="Z5" s="278"/>
      <c r="AA5" s="278"/>
      <c r="AB5" s="278"/>
      <c r="AC5" s="278"/>
      <c r="AE5" s="47"/>
      <c r="AF5" s="347"/>
      <c r="AG5" s="347"/>
      <c r="AH5" s="347"/>
      <c r="AI5" s="347"/>
      <c r="AJ5" s="347"/>
      <c r="AK5" s="347"/>
      <c r="AL5" s="347"/>
    </row>
    <row r="6" spans="1:41" x14ac:dyDescent="0.25">
      <c r="A6" s="267" t="s">
        <v>133</v>
      </c>
      <c r="B6" s="31"/>
      <c r="C6" s="282"/>
      <c r="D6" s="283"/>
      <c r="E6" s="284"/>
      <c r="F6" s="282"/>
      <c r="G6" s="282"/>
      <c r="H6" s="285"/>
      <c r="I6" s="282"/>
      <c r="J6" s="282"/>
      <c r="K6" s="282"/>
      <c r="L6" s="282"/>
      <c r="M6" s="282"/>
      <c r="N6" s="282"/>
      <c r="O6" s="282"/>
      <c r="P6" s="282"/>
      <c r="Q6" s="282"/>
      <c r="R6" s="282"/>
      <c r="S6" s="282"/>
      <c r="T6" s="282"/>
      <c r="U6" s="282"/>
      <c r="V6" s="282"/>
      <c r="W6" s="282"/>
      <c r="X6" s="282"/>
      <c r="Y6" s="282"/>
      <c r="Z6" s="282"/>
      <c r="AA6" s="282"/>
      <c r="AB6" s="282"/>
      <c r="AC6" s="282"/>
      <c r="AE6" s="47"/>
      <c r="AF6" s="347"/>
      <c r="AG6" s="347"/>
      <c r="AH6" s="347"/>
      <c r="AI6" s="347"/>
      <c r="AJ6" s="347"/>
      <c r="AK6" s="347"/>
      <c r="AL6" s="347"/>
    </row>
    <row r="7" spans="1:41" x14ac:dyDescent="0.25">
      <c r="A7" s="26" t="s">
        <v>149</v>
      </c>
      <c r="B7" s="286"/>
      <c r="C7" s="286"/>
      <c r="D7" s="286"/>
      <c r="E7" s="287"/>
      <c r="F7" s="288"/>
      <c r="G7" s="288"/>
      <c r="H7" s="289"/>
      <c r="I7" s="288"/>
      <c r="J7" s="288"/>
      <c r="K7" s="288"/>
      <c r="L7" s="288"/>
      <c r="M7" s="288"/>
      <c r="N7" s="288"/>
      <c r="O7" s="288"/>
      <c r="P7" s="288"/>
      <c r="Q7" s="288"/>
      <c r="R7" s="288"/>
      <c r="S7" s="288"/>
      <c r="T7" s="288"/>
      <c r="U7" s="288"/>
      <c r="V7" s="288"/>
      <c r="W7" s="288"/>
      <c r="X7" s="288"/>
      <c r="Y7" s="288"/>
      <c r="Z7" s="288"/>
      <c r="AA7" s="288"/>
      <c r="AB7" s="288"/>
      <c r="AC7" s="288"/>
      <c r="AE7" s="47"/>
      <c r="AF7" s="347"/>
      <c r="AG7" s="347"/>
      <c r="AH7" s="347"/>
      <c r="AI7" s="347"/>
      <c r="AJ7" s="347"/>
      <c r="AK7" s="347"/>
      <c r="AL7" s="347"/>
    </row>
    <row r="8" spans="1:41" x14ac:dyDescent="0.25">
      <c r="A8" s="33" t="s">
        <v>150</v>
      </c>
      <c r="B8" s="290"/>
      <c r="C8" s="75"/>
      <c r="D8" s="75"/>
      <c r="E8" s="189"/>
      <c r="F8" s="189"/>
      <c r="G8" s="189"/>
      <c r="H8" s="291"/>
      <c r="I8" s="189"/>
      <c r="J8" s="189"/>
      <c r="K8" s="189"/>
      <c r="L8" s="189"/>
      <c r="M8" s="189"/>
      <c r="N8" s="189"/>
      <c r="O8" s="189"/>
      <c r="P8" s="189"/>
      <c r="Q8" s="189"/>
      <c r="R8" s="189"/>
      <c r="S8" s="189"/>
      <c r="T8" s="189"/>
      <c r="U8" s="189"/>
      <c r="V8" s="189"/>
      <c r="W8" s="189"/>
      <c r="X8" s="189"/>
      <c r="Y8" s="189"/>
      <c r="Z8" s="189"/>
      <c r="AA8" s="189"/>
      <c r="AB8" s="189"/>
      <c r="AC8" s="189"/>
      <c r="AE8" s="47"/>
      <c r="AF8" s="347"/>
      <c r="AG8" s="347"/>
      <c r="AH8" s="347"/>
      <c r="AI8" s="347"/>
      <c r="AJ8" s="347"/>
      <c r="AK8" s="347"/>
      <c r="AL8" s="347"/>
    </row>
    <row r="9" spans="1:41" s="11" customFormat="1" x14ac:dyDescent="0.25">
      <c r="A9"/>
      <c r="B9"/>
      <c r="C9"/>
      <c r="D9"/>
      <c r="E9"/>
      <c r="F9"/>
      <c r="G9"/>
      <c r="H9"/>
      <c r="I9"/>
      <c r="J9"/>
      <c r="K9"/>
      <c r="L9"/>
      <c r="M9"/>
      <c r="N9"/>
      <c r="O9"/>
      <c r="P9"/>
      <c r="Q9"/>
      <c r="R9"/>
      <c r="S9"/>
      <c r="T9"/>
      <c r="U9"/>
      <c r="V9"/>
      <c r="W9"/>
      <c r="X9"/>
      <c r="Y9"/>
      <c r="Z9"/>
      <c r="AA9"/>
      <c r="AB9"/>
      <c r="AC9"/>
      <c r="AE9" s="346"/>
      <c r="AF9" s="345"/>
      <c r="AG9" s="345"/>
      <c r="AH9" s="345"/>
      <c r="AI9" s="345"/>
      <c r="AJ9" s="345"/>
      <c r="AK9" s="345"/>
      <c r="AL9" s="345"/>
    </row>
    <row r="10" spans="1:41" s="39" customFormat="1" x14ac:dyDescent="0.25">
      <c r="A10" s="38" t="s">
        <v>151</v>
      </c>
      <c r="B10" s="38" t="s">
        <v>152</v>
      </c>
      <c r="C10" s="38" t="s">
        <v>153</v>
      </c>
      <c r="D10" s="38" t="s">
        <v>154</v>
      </c>
      <c r="E10" s="38" t="s">
        <v>155</v>
      </c>
      <c r="F10" s="38" t="s">
        <v>156</v>
      </c>
      <c r="G10" s="38" t="s">
        <v>157</v>
      </c>
      <c r="H10" s="38" t="s">
        <v>158</v>
      </c>
      <c r="I10" s="38" t="s">
        <v>159</v>
      </c>
      <c r="J10" s="38" t="s">
        <v>160</v>
      </c>
      <c r="K10" s="38" t="s">
        <v>161</v>
      </c>
      <c r="L10" s="38" t="s">
        <v>162</v>
      </c>
      <c r="M10" s="38" t="s">
        <v>163</v>
      </c>
      <c r="N10" s="38" t="s">
        <v>164</v>
      </c>
      <c r="O10" s="38" t="s">
        <v>165</v>
      </c>
      <c r="P10" s="38" t="s">
        <v>166</v>
      </c>
      <c r="Q10" s="38" t="s">
        <v>167</v>
      </c>
      <c r="R10" s="38" t="s">
        <v>168</v>
      </c>
      <c r="S10" s="38" t="s">
        <v>169</v>
      </c>
      <c r="T10" s="38" t="s">
        <v>170</v>
      </c>
      <c r="U10" s="38" t="s">
        <v>171</v>
      </c>
      <c r="V10" s="38" t="s">
        <v>172</v>
      </c>
      <c r="W10" s="38" t="s">
        <v>173</v>
      </c>
      <c r="X10" s="38" t="s">
        <v>174</v>
      </c>
      <c r="Y10" s="38" t="s">
        <v>175</v>
      </c>
      <c r="Z10" s="38" t="s">
        <v>176</v>
      </c>
      <c r="AA10" s="38" t="s">
        <v>177</v>
      </c>
      <c r="AB10" s="38" t="s">
        <v>178</v>
      </c>
      <c r="AC10" s="38" t="s">
        <v>179</v>
      </c>
      <c r="AE10" s="47"/>
      <c r="AF10" s="347"/>
      <c r="AG10" s="347"/>
      <c r="AH10" s="347"/>
      <c r="AI10" s="347"/>
      <c r="AJ10" s="347"/>
      <c r="AK10" s="347"/>
      <c r="AL10" s="347"/>
    </row>
    <row r="11" spans="1:41" ht="45" x14ac:dyDescent="0.25">
      <c r="A11" s="118" t="s">
        <v>51</v>
      </c>
      <c r="B11" s="119" t="s">
        <v>180</v>
      </c>
      <c r="C11" s="119" t="s">
        <v>61</v>
      </c>
      <c r="D11" s="119" t="s">
        <v>71</v>
      </c>
      <c r="E11" s="25" t="s">
        <v>181</v>
      </c>
      <c r="F11" s="24" t="s">
        <v>182</v>
      </c>
      <c r="G11" s="24" t="s">
        <v>183</v>
      </c>
      <c r="H11" s="24" t="s">
        <v>184</v>
      </c>
      <c r="I11" s="24" t="s">
        <v>185</v>
      </c>
      <c r="J11" s="24" t="s">
        <v>186</v>
      </c>
      <c r="K11" s="24" t="s">
        <v>187</v>
      </c>
      <c r="L11" s="24" t="s">
        <v>188</v>
      </c>
      <c r="M11" s="24" t="s">
        <v>189</v>
      </c>
      <c r="N11" s="24" t="s">
        <v>190</v>
      </c>
      <c r="O11" s="24" t="s">
        <v>191</v>
      </c>
      <c r="P11" s="24" t="s">
        <v>192</v>
      </c>
      <c r="Q11" s="24" t="s">
        <v>193</v>
      </c>
      <c r="R11" s="24" t="s">
        <v>194</v>
      </c>
      <c r="S11" s="24" t="s">
        <v>195</v>
      </c>
      <c r="T11" s="24" t="s">
        <v>196</v>
      </c>
      <c r="U11" s="24" t="s">
        <v>197</v>
      </c>
      <c r="V11" s="24" t="s">
        <v>198</v>
      </c>
      <c r="W11" s="133" t="s">
        <v>199</v>
      </c>
      <c r="X11" s="133" t="s">
        <v>200</v>
      </c>
      <c r="Y11" s="133" t="s">
        <v>201</v>
      </c>
      <c r="Z11" s="133" t="s">
        <v>202</v>
      </c>
      <c r="AA11" s="133" t="s">
        <v>203</v>
      </c>
      <c r="AB11" s="133" t="s">
        <v>204</v>
      </c>
      <c r="AC11" s="134" t="s">
        <v>205</v>
      </c>
      <c r="AD11" s="11"/>
      <c r="AE11" s="348" t="s">
        <v>206</v>
      </c>
      <c r="AF11" s="345"/>
      <c r="AG11" s="345"/>
      <c r="AH11" s="345"/>
      <c r="AI11" s="345"/>
      <c r="AJ11" s="345"/>
      <c r="AK11" s="345"/>
      <c r="AL11" s="345"/>
      <c r="AM11" s="11"/>
      <c r="AN11" s="11"/>
      <c r="AO11" s="11"/>
    </row>
    <row r="12" spans="1:41" x14ac:dyDescent="0.25">
      <c r="A12" s="311"/>
      <c r="B12" s="312"/>
      <c r="C12" s="312"/>
      <c r="D12" s="312"/>
      <c r="E12" s="313"/>
      <c r="F12" s="314"/>
      <c r="G12" s="314"/>
      <c r="H12" s="314"/>
      <c r="I12" s="314"/>
      <c r="J12" s="314"/>
      <c r="K12" s="314"/>
      <c r="L12" s="314"/>
      <c r="M12" s="314"/>
      <c r="N12" s="314"/>
      <c r="O12" s="314"/>
      <c r="P12" s="314"/>
      <c r="Q12" s="314"/>
      <c r="R12" s="442"/>
      <c r="S12" s="314"/>
      <c r="T12" s="314"/>
      <c r="U12" s="314"/>
      <c r="V12" s="315">
        <v>43</v>
      </c>
      <c r="W12" s="447">
        <f t="shared" ref="W12:W75" si="0">SUM(F12:M12)</f>
        <v>0</v>
      </c>
      <c r="X12" s="447">
        <f t="shared" ref="X12:X75" si="1">SUM(N12:S12)</f>
        <v>0</v>
      </c>
      <c r="Y12" s="447">
        <f>W12+X12</f>
        <v>0</v>
      </c>
      <c r="Z12" s="447">
        <f>W12-U12</f>
        <v>0</v>
      </c>
      <c r="AA12" s="447">
        <f>Z12+X12</f>
        <v>0</v>
      </c>
      <c r="AB12" s="447" t="e">
        <f>Y12/E12</f>
        <v>#DIV/0!</v>
      </c>
      <c r="AC12" s="448" t="e">
        <f>AA12/E12</f>
        <v>#DIV/0!</v>
      </c>
      <c r="AD12" s="11"/>
      <c r="AE12" s="349" t="str">
        <f>AF12&amp;TM[[#This Row],[Insurer Code]]&amp;"; "&amp;AG12&amp;TM[[#This Row],[Reporting Year]]&amp;"; "&amp;AH12&amp;TM[[#This Row],[Insurance Category Code]]&amp;"; "&amp;AI12&amp;TM[[#This Row],[Large Provider Entity Code]]</f>
        <v xml:space="preserve">Insurer Code ; Reporting Year ; Insurance Category Code ; Large Provider Entity Code </v>
      </c>
      <c r="AF12" s="345" t="s">
        <v>207</v>
      </c>
      <c r="AG12" s="345" t="s">
        <v>208</v>
      </c>
      <c r="AH12" s="345" t="s">
        <v>209</v>
      </c>
      <c r="AI12" s="345" t="s">
        <v>210</v>
      </c>
      <c r="AJ12" s="345"/>
      <c r="AK12" s="345"/>
      <c r="AL12" s="345"/>
      <c r="AM12" s="11"/>
      <c r="AN12" s="11"/>
      <c r="AO12" s="11"/>
    </row>
    <row r="13" spans="1:41" x14ac:dyDescent="0.25">
      <c r="A13" s="311"/>
      <c r="B13" s="312"/>
      <c r="C13" s="312"/>
      <c r="D13" s="312"/>
      <c r="E13" s="313"/>
      <c r="F13" s="314"/>
      <c r="G13" s="314"/>
      <c r="H13" s="314"/>
      <c r="I13" s="314"/>
      <c r="J13" s="314"/>
      <c r="K13" s="314"/>
      <c r="L13" s="314"/>
      <c r="M13" s="314"/>
      <c r="N13" s="314"/>
      <c r="O13" s="314"/>
      <c r="P13" s="314"/>
      <c r="Q13" s="314"/>
      <c r="R13" s="442"/>
      <c r="S13" s="314"/>
      <c r="T13" s="314"/>
      <c r="U13" s="314"/>
      <c r="V13" s="315">
        <v>559</v>
      </c>
      <c r="W13" s="447">
        <f t="shared" si="0"/>
        <v>0</v>
      </c>
      <c r="X13" s="447">
        <f t="shared" si="1"/>
        <v>0</v>
      </c>
      <c r="Y13" s="447">
        <f t="shared" ref="Y13:Y75" si="2">W13+X13</f>
        <v>0</v>
      </c>
      <c r="Z13" s="447">
        <f t="shared" ref="Z13:Z75" si="3">W13-U13</f>
        <v>0</v>
      </c>
      <c r="AA13" s="447">
        <f t="shared" ref="AA13:AA75" si="4">Z13+X13</f>
        <v>0</v>
      </c>
      <c r="AB13" s="447" t="e">
        <f t="shared" ref="AB13:AB75" si="5">Y13/E13</f>
        <v>#DIV/0!</v>
      </c>
      <c r="AC13" s="448" t="e">
        <f t="shared" ref="AC13:AC75" si="6">AA13/E13</f>
        <v>#DIV/0!</v>
      </c>
      <c r="AD13" s="11"/>
      <c r="AE13" s="349" t="str">
        <f>AF13&amp;TM[[#This Row],[Insurer Code]]&amp;"; "&amp;AG13&amp;TM[[#This Row],[Reporting Year]]&amp;"; "&amp;AH13&amp;TM[[#This Row],[Insurance Category Code]]&amp;"; "&amp;AI13&amp;TM[[#This Row],[Large Provider Entity Code]]</f>
        <v xml:space="preserve">Insurer Code ; Reporting Year ; Insurance Category Code ; Large Provider Entity Code </v>
      </c>
      <c r="AF13" s="345" t="s">
        <v>207</v>
      </c>
      <c r="AG13" s="345" t="s">
        <v>208</v>
      </c>
      <c r="AH13" s="345" t="s">
        <v>209</v>
      </c>
      <c r="AI13" s="345" t="s">
        <v>210</v>
      </c>
      <c r="AJ13" s="345"/>
      <c r="AK13" s="345"/>
      <c r="AL13" s="345"/>
      <c r="AM13" s="11"/>
      <c r="AN13" s="11"/>
      <c r="AO13" s="11"/>
    </row>
    <row r="14" spans="1:41" x14ac:dyDescent="0.25">
      <c r="A14" s="311"/>
      <c r="B14" s="312"/>
      <c r="C14" s="312"/>
      <c r="D14" s="312"/>
      <c r="E14" s="313"/>
      <c r="F14" s="314"/>
      <c r="G14" s="314"/>
      <c r="H14" s="314"/>
      <c r="I14" s="314"/>
      <c r="J14" s="314"/>
      <c r="K14" s="314"/>
      <c r="L14" s="314"/>
      <c r="M14" s="314"/>
      <c r="N14" s="314"/>
      <c r="O14" s="314"/>
      <c r="P14" s="314"/>
      <c r="Q14" s="314"/>
      <c r="R14" s="442"/>
      <c r="S14" s="314"/>
      <c r="T14" s="314"/>
      <c r="U14" s="314"/>
      <c r="V14" s="315">
        <v>1231</v>
      </c>
      <c r="W14" s="447">
        <f t="shared" si="0"/>
        <v>0</v>
      </c>
      <c r="X14" s="447">
        <f t="shared" si="1"/>
        <v>0</v>
      </c>
      <c r="Y14" s="447">
        <f t="shared" si="2"/>
        <v>0</v>
      </c>
      <c r="Z14" s="447">
        <f t="shared" si="3"/>
        <v>0</v>
      </c>
      <c r="AA14" s="447">
        <f t="shared" si="4"/>
        <v>0</v>
      </c>
      <c r="AB14" s="447" t="e">
        <f t="shared" si="5"/>
        <v>#DIV/0!</v>
      </c>
      <c r="AC14" s="448" t="e">
        <f t="shared" si="6"/>
        <v>#DIV/0!</v>
      </c>
      <c r="AD14" s="11"/>
      <c r="AE14" s="349" t="str">
        <f>AF14&amp;TM[[#This Row],[Insurer Code]]&amp;"; "&amp;AG14&amp;TM[[#This Row],[Reporting Year]]&amp;"; "&amp;AH14&amp;TM[[#This Row],[Insurance Category Code]]&amp;"; "&amp;AI14&amp;TM[[#This Row],[Large Provider Entity Code]]</f>
        <v xml:space="preserve">Insurer Code ; Reporting Year ; Insurance Category Code ; Large Provider Entity Code </v>
      </c>
      <c r="AF14" s="345" t="s">
        <v>207</v>
      </c>
      <c r="AG14" s="345" t="s">
        <v>208</v>
      </c>
      <c r="AH14" s="345" t="s">
        <v>209</v>
      </c>
      <c r="AI14" s="345" t="s">
        <v>210</v>
      </c>
      <c r="AJ14" s="345"/>
      <c r="AK14" s="345"/>
      <c r="AL14" s="345"/>
      <c r="AM14" s="11"/>
      <c r="AN14" s="11"/>
      <c r="AO14" s="11"/>
    </row>
    <row r="15" spans="1:41" x14ac:dyDescent="0.25">
      <c r="A15" s="311"/>
      <c r="B15" s="316"/>
      <c r="C15" s="316"/>
      <c r="D15" s="316"/>
      <c r="E15" s="317"/>
      <c r="F15" s="336"/>
      <c r="G15" s="336"/>
      <c r="H15" s="336"/>
      <c r="I15" s="336"/>
      <c r="J15" s="336"/>
      <c r="K15" s="336"/>
      <c r="L15" s="336"/>
      <c r="M15" s="336"/>
      <c r="N15" s="336"/>
      <c r="O15" s="336"/>
      <c r="P15" s="336"/>
      <c r="Q15" s="336"/>
      <c r="R15" s="443"/>
      <c r="S15" s="336"/>
      <c r="T15" s="336"/>
      <c r="U15" s="314"/>
      <c r="V15" s="318">
        <v>804</v>
      </c>
      <c r="W15" s="447">
        <f t="shared" si="0"/>
        <v>0</v>
      </c>
      <c r="X15" s="447">
        <f t="shared" si="1"/>
        <v>0</v>
      </c>
      <c r="Y15" s="447">
        <f t="shared" si="2"/>
        <v>0</v>
      </c>
      <c r="Z15" s="447">
        <f t="shared" si="3"/>
        <v>0</v>
      </c>
      <c r="AA15" s="447">
        <f t="shared" si="4"/>
        <v>0</v>
      </c>
      <c r="AB15" s="447" t="e">
        <f t="shared" si="5"/>
        <v>#DIV/0!</v>
      </c>
      <c r="AC15" s="448" t="e">
        <f t="shared" si="6"/>
        <v>#DIV/0!</v>
      </c>
      <c r="AD15" s="11"/>
      <c r="AE15" s="349" t="str">
        <f>AF15&amp;TM[[#This Row],[Insurer Code]]&amp;"; "&amp;AG15&amp;TM[[#This Row],[Reporting Year]]&amp;"; "&amp;AH15&amp;TM[[#This Row],[Insurance Category Code]]&amp;"; "&amp;AI15&amp;TM[[#This Row],[Large Provider Entity Code]]</f>
        <v xml:space="preserve">Insurer Code ; Reporting Year ; Insurance Category Code ; Large Provider Entity Code </v>
      </c>
      <c r="AF15" s="345" t="s">
        <v>207</v>
      </c>
      <c r="AG15" s="345" t="s">
        <v>208</v>
      </c>
      <c r="AH15" s="345" t="s">
        <v>209</v>
      </c>
      <c r="AI15" s="345" t="s">
        <v>210</v>
      </c>
      <c r="AJ15" s="345"/>
      <c r="AK15" s="345"/>
      <c r="AL15" s="345"/>
      <c r="AM15" s="11"/>
      <c r="AN15" s="11"/>
      <c r="AO15" s="11"/>
    </row>
    <row r="16" spans="1:41" x14ac:dyDescent="0.25">
      <c r="A16" s="311"/>
      <c r="B16" s="316"/>
      <c r="C16" s="316"/>
      <c r="D16" s="316"/>
      <c r="E16" s="317"/>
      <c r="F16" s="336"/>
      <c r="G16" s="336"/>
      <c r="H16" s="336"/>
      <c r="I16" s="336"/>
      <c r="J16" s="336"/>
      <c r="K16" s="336"/>
      <c r="L16" s="336"/>
      <c r="M16" s="336"/>
      <c r="N16" s="336"/>
      <c r="O16" s="336"/>
      <c r="P16" s="336"/>
      <c r="Q16" s="336"/>
      <c r="R16" s="443"/>
      <c r="S16" s="336"/>
      <c r="T16" s="336"/>
      <c r="U16" s="314"/>
      <c r="V16" s="318">
        <v>11</v>
      </c>
      <c r="W16" s="447">
        <f t="shared" si="0"/>
        <v>0</v>
      </c>
      <c r="X16" s="447">
        <f t="shared" si="1"/>
        <v>0</v>
      </c>
      <c r="Y16" s="447">
        <f t="shared" si="2"/>
        <v>0</v>
      </c>
      <c r="Z16" s="447">
        <f t="shared" si="3"/>
        <v>0</v>
      </c>
      <c r="AA16" s="447">
        <f t="shared" si="4"/>
        <v>0</v>
      </c>
      <c r="AB16" s="447" t="e">
        <f t="shared" si="5"/>
        <v>#DIV/0!</v>
      </c>
      <c r="AC16" s="448" t="e">
        <f t="shared" si="6"/>
        <v>#DIV/0!</v>
      </c>
      <c r="AD16" s="11"/>
      <c r="AE16" s="349" t="str">
        <f>AF16&amp;TM[[#This Row],[Insurer Code]]&amp;"; "&amp;AG16&amp;TM[[#This Row],[Reporting Year]]&amp;"; "&amp;AH16&amp;TM[[#This Row],[Insurance Category Code]]&amp;"; "&amp;AI16&amp;TM[[#This Row],[Large Provider Entity Code]]</f>
        <v xml:space="preserve">Insurer Code ; Reporting Year ; Insurance Category Code ; Large Provider Entity Code </v>
      </c>
      <c r="AF16" s="345" t="s">
        <v>207</v>
      </c>
      <c r="AG16" s="345" t="s">
        <v>208</v>
      </c>
      <c r="AH16" s="345" t="s">
        <v>209</v>
      </c>
      <c r="AI16" s="345" t="s">
        <v>210</v>
      </c>
      <c r="AJ16" s="345"/>
      <c r="AK16" s="345"/>
      <c r="AL16" s="345"/>
      <c r="AM16" s="11"/>
      <c r="AN16" s="11"/>
      <c r="AO16" s="11"/>
    </row>
    <row r="17" spans="1:41" x14ac:dyDescent="0.25">
      <c r="A17" s="311"/>
      <c r="B17" s="312"/>
      <c r="C17" s="312"/>
      <c r="D17" s="312"/>
      <c r="E17" s="313"/>
      <c r="F17" s="314"/>
      <c r="G17" s="314"/>
      <c r="H17" s="314"/>
      <c r="I17" s="314"/>
      <c r="J17" s="314"/>
      <c r="K17" s="314"/>
      <c r="L17" s="314"/>
      <c r="M17" s="314"/>
      <c r="N17" s="314"/>
      <c r="O17" s="314"/>
      <c r="P17" s="314"/>
      <c r="Q17" s="314"/>
      <c r="R17" s="442"/>
      <c r="S17" s="314"/>
      <c r="T17" s="314"/>
      <c r="U17" s="314"/>
      <c r="V17" s="315">
        <v>18</v>
      </c>
      <c r="W17" s="447">
        <f t="shared" si="0"/>
        <v>0</v>
      </c>
      <c r="X17" s="447">
        <f t="shared" si="1"/>
        <v>0</v>
      </c>
      <c r="Y17" s="447">
        <f t="shared" si="2"/>
        <v>0</v>
      </c>
      <c r="Z17" s="447">
        <f t="shared" si="3"/>
        <v>0</v>
      </c>
      <c r="AA17" s="447">
        <f t="shared" si="4"/>
        <v>0</v>
      </c>
      <c r="AB17" s="447" t="e">
        <f t="shared" si="5"/>
        <v>#DIV/0!</v>
      </c>
      <c r="AC17" s="448" t="e">
        <f t="shared" si="6"/>
        <v>#DIV/0!</v>
      </c>
      <c r="AD17" s="11"/>
      <c r="AE17" s="349" t="str">
        <f>AF17&amp;TM[[#This Row],[Insurer Code]]&amp;"; "&amp;AG17&amp;TM[[#This Row],[Reporting Year]]&amp;"; "&amp;AH17&amp;TM[[#This Row],[Insurance Category Code]]&amp;"; "&amp;AI17&amp;TM[[#This Row],[Large Provider Entity Code]]</f>
        <v xml:space="preserve">Insurer Code ; Reporting Year ; Insurance Category Code ; Large Provider Entity Code </v>
      </c>
      <c r="AF17" s="345" t="s">
        <v>207</v>
      </c>
      <c r="AG17" s="345" t="s">
        <v>208</v>
      </c>
      <c r="AH17" s="345" t="s">
        <v>209</v>
      </c>
      <c r="AI17" s="345" t="s">
        <v>210</v>
      </c>
      <c r="AJ17" s="345"/>
      <c r="AK17" s="345"/>
      <c r="AL17" s="345"/>
      <c r="AM17" s="11"/>
      <c r="AN17" s="11"/>
      <c r="AO17" s="11"/>
    </row>
    <row r="18" spans="1:41" x14ac:dyDescent="0.25">
      <c r="A18" s="311"/>
      <c r="B18" s="316"/>
      <c r="C18" s="316"/>
      <c r="D18" s="316"/>
      <c r="E18" s="317"/>
      <c r="F18" s="336"/>
      <c r="G18" s="336"/>
      <c r="H18" s="336"/>
      <c r="I18" s="336"/>
      <c r="J18" s="336"/>
      <c r="K18" s="336"/>
      <c r="L18" s="336"/>
      <c r="M18" s="336"/>
      <c r="N18" s="336"/>
      <c r="O18" s="336"/>
      <c r="P18" s="336"/>
      <c r="Q18" s="336"/>
      <c r="R18" s="443"/>
      <c r="S18" s="336"/>
      <c r="T18" s="336"/>
      <c r="U18" s="314"/>
      <c r="V18" s="318">
        <v>946</v>
      </c>
      <c r="W18" s="447">
        <f t="shared" si="0"/>
        <v>0</v>
      </c>
      <c r="X18" s="447">
        <f t="shared" si="1"/>
        <v>0</v>
      </c>
      <c r="Y18" s="447">
        <f t="shared" si="2"/>
        <v>0</v>
      </c>
      <c r="Z18" s="447">
        <f t="shared" si="3"/>
        <v>0</v>
      </c>
      <c r="AA18" s="447">
        <f t="shared" si="4"/>
        <v>0</v>
      </c>
      <c r="AB18" s="447" t="e">
        <f t="shared" si="5"/>
        <v>#DIV/0!</v>
      </c>
      <c r="AC18" s="448" t="e">
        <f t="shared" si="6"/>
        <v>#DIV/0!</v>
      </c>
      <c r="AD18" s="11"/>
      <c r="AE18" s="349" t="str">
        <f>AF18&amp;TM[[#This Row],[Insurer Code]]&amp;"; "&amp;AG18&amp;TM[[#This Row],[Reporting Year]]&amp;"; "&amp;AH18&amp;TM[[#This Row],[Insurance Category Code]]&amp;"; "&amp;AI18&amp;TM[[#This Row],[Large Provider Entity Code]]</f>
        <v xml:space="preserve">Insurer Code ; Reporting Year ; Insurance Category Code ; Large Provider Entity Code </v>
      </c>
      <c r="AF18" s="345" t="s">
        <v>207</v>
      </c>
      <c r="AG18" s="345" t="s">
        <v>208</v>
      </c>
      <c r="AH18" s="345" t="s">
        <v>209</v>
      </c>
      <c r="AI18" s="345" t="s">
        <v>210</v>
      </c>
      <c r="AJ18" s="345"/>
      <c r="AK18" s="345"/>
      <c r="AL18" s="345"/>
      <c r="AM18" s="11"/>
      <c r="AN18" s="11"/>
      <c r="AO18" s="11"/>
    </row>
    <row r="19" spans="1:41" x14ac:dyDescent="0.25">
      <c r="A19" s="311"/>
      <c r="B19" s="316"/>
      <c r="C19" s="316"/>
      <c r="D19" s="316"/>
      <c r="E19" s="317"/>
      <c r="F19" s="336"/>
      <c r="G19" s="336"/>
      <c r="H19" s="336"/>
      <c r="I19" s="336"/>
      <c r="J19" s="336"/>
      <c r="K19" s="336"/>
      <c r="L19" s="336"/>
      <c r="M19" s="336"/>
      <c r="N19" s="336"/>
      <c r="O19" s="336"/>
      <c r="P19" s="336"/>
      <c r="Q19" s="336"/>
      <c r="R19" s="443"/>
      <c r="S19" s="336"/>
      <c r="T19" s="336"/>
      <c r="U19" s="314"/>
      <c r="V19" s="318">
        <v>63</v>
      </c>
      <c r="W19" s="447">
        <f t="shared" si="0"/>
        <v>0</v>
      </c>
      <c r="X19" s="447">
        <f t="shared" si="1"/>
        <v>0</v>
      </c>
      <c r="Y19" s="447">
        <f t="shared" si="2"/>
        <v>0</v>
      </c>
      <c r="Z19" s="447">
        <f t="shared" si="3"/>
        <v>0</v>
      </c>
      <c r="AA19" s="447">
        <f t="shared" si="4"/>
        <v>0</v>
      </c>
      <c r="AB19" s="447" t="e">
        <f t="shared" si="5"/>
        <v>#DIV/0!</v>
      </c>
      <c r="AC19" s="448" t="e">
        <f t="shared" si="6"/>
        <v>#DIV/0!</v>
      </c>
      <c r="AD19" s="11"/>
      <c r="AE19" s="349" t="str">
        <f>AF19&amp;TM[[#This Row],[Insurer Code]]&amp;"; "&amp;AG19&amp;TM[[#This Row],[Reporting Year]]&amp;"; "&amp;AH19&amp;TM[[#This Row],[Insurance Category Code]]&amp;"; "&amp;AI19&amp;TM[[#This Row],[Large Provider Entity Code]]</f>
        <v xml:space="preserve">Insurer Code ; Reporting Year ; Insurance Category Code ; Large Provider Entity Code </v>
      </c>
      <c r="AF19" s="345" t="s">
        <v>207</v>
      </c>
      <c r="AG19" s="345" t="s">
        <v>208</v>
      </c>
      <c r="AH19" s="345" t="s">
        <v>209</v>
      </c>
      <c r="AI19" s="345" t="s">
        <v>210</v>
      </c>
      <c r="AJ19" s="345"/>
      <c r="AK19" s="345"/>
      <c r="AL19" s="345"/>
      <c r="AM19" s="11"/>
      <c r="AN19" s="11"/>
      <c r="AO19" s="11"/>
    </row>
    <row r="20" spans="1:41" x14ac:dyDescent="0.25">
      <c r="A20" s="311"/>
      <c r="B20" s="316"/>
      <c r="C20" s="316"/>
      <c r="D20" s="316"/>
      <c r="E20" s="317"/>
      <c r="F20" s="336"/>
      <c r="G20" s="336"/>
      <c r="H20" s="336"/>
      <c r="I20" s="336"/>
      <c r="J20" s="336"/>
      <c r="K20" s="336"/>
      <c r="L20" s="336"/>
      <c r="M20" s="336"/>
      <c r="N20" s="336"/>
      <c r="O20" s="336"/>
      <c r="P20" s="336"/>
      <c r="Q20" s="336"/>
      <c r="R20" s="443"/>
      <c r="S20" s="336"/>
      <c r="T20" s="336"/>
      <c r="U20" s="314"/>
      <c r="V20" s="318">
        <v>36</v>
      </c>
      <c r="W20" s="447">
        <f t="shared" si="0"/>
        <v>0</v>
      </c>
      <c r="X20" s="447">
        <f t="shared" si="1"/>
        <v>0</v>
      </c>
      <c r="Y20" s="447">
        <f t="shared" si="2"/>
        <v>0</v>
      </c>
      <c r="Z20" s="447">
        <f t="shared" si="3"/>
        <v>0</v>
      </c>
      <c r="AA20" s="447">
        <f t="shared" si="4"/>
        <v>0</v>
      </c>
      <c r="AB20" s="447" t="e">
        <f t="shared" si="5"/>
        <v>#DIV/0!</v>
      </c>
      <c r="AC20" s="448" t="e">
        <f t="shared" si="6"/>
        <v>#DIV/0!</v>
      </c>
      <c r="AD20" s="11"/>
      <c r="AE20" s="349" t="str">
        <f>AF20&amp;TM[[#This Row],[Insurer Code]]&amp;"; "&amp;AG20&amp;TM[[#This Row],[Reporting Year]]&amp;"; "&amp;AH20&amp;TM[[#This Row],[Insurance Category Code]]&amp;"; "&amp;AI20&amp;TM[[#This Row],[Large Provider Entity Code]]</f>
        <v xml:space="preserve">Insurer Code ; Reporting Year ; Insurance Category Code ; Large Provider Entity Code </v>
      </c>
      <c r="AF20" s="345" t="s">
        <v>207</v>
      </c>
      <c r="AG20" s="345" t="s">
        <v>208</v>
      </c>
      <c r="AH20" s="345" t="s">
        <v>209</v>
      </c>
      <c r="AI20" s="345" t="s">
        <v>210</v>
      </c>
      <c r="AJ20" s="345"/>
      <c r="AK20" s="345"/>
      <c r="AL20" s="345"/>
      <c r="AM20" s="11"/>
      <c r="AN20" s="11"/>
      <c r="AO20" s="11"/>
    </row>
    <row r="21" spans="1:41" x14ac:dyDescent="0.25">
      <c r="A21" s="311"/>
      <c r="B21" s="312"/>
      <c r="C21" s="312"/>
      <c r="D21" s="312"/>
      <c r="E21" s="313"/>
      <c r="F21" s="314"/>
      <c r="G21" s="314"/>
      <c r="H21" s="314"/>
      <c r="I21" s="314"/>
      <c r="J21" s="314"/>
      <c r="K21" s="314"/>
      <c r="L21" s="314"/>
      <c r="M21" s="314"/>
      <c r="N21" s="314"/>
      <c r="O21" s="314"/>
      <c r="P21" s="314"/>
      <c r="Q21" s="314"/>
      <c r="R21" s="442"/>
      <c r="S21" s="314"/>
      <c r="T21" s="314"/>
      <c r="U21" s="314"/>
      <c r="V21" s="315">
        <v>550</v>
      </c>
      <c r="W21" s="447">
        <f t="shared" si="0"/>
        <v>0</v>
      </c>
      <c r="X21" s="447">
        <f t="shared" si="1"/>
        <v>0</v>
      </c>
      <c r="Y21" s="447">
        <f t="shared" si="2"/>
        <v>0</v>
      </c>
      <c r="Z21" s="447">
        <f t="shared" si="3"/>
        <v>0</v>
      </c>
      <c r="AA21" s="447">
        <f t="shared" si="4"/>
        <v>0</v>
      </c>
      <c r="AB21" s="447" t="e">
        <f t="shared" si="5"/>
        <v>#DIV/0!</v>
      </c>
      <c r="AC21" s="448" t="e">
        <f t="shared" si="6"/>
        <v>#DIV/0!</v>
      </c>
      <c r="AD21" s="11"/>
      <c r="AE21" s="349" t="str">
        <f>AF21&amp;TM[[#This Row],[Insurer Code]]&amp;"; "&amp;AG21&amp;TM[[#This Row],[Reporting Year]]&amp;"; "&amp;AH21&amp;TM[[#This Row],[Insurance Category Code]]&amp;"; "&amp;AI21&amp;TM[[#This Row],[Large Provider Entity Code]]</f>
        <v xml:space="preserve">Insurer Code ; Reporting Year ; Insurance Category Code ; Large Provider Entity Code </v>
      </c>
      <c r="AF21" s="345" t="s">
        <v>207</v>
      </c>
      <c r="AG21" s="345" t="s">
        <v>208</v>
      </c>
      <c r="AH21" s="345" t="s">
        <v>209</v>
      </c>
      <c r="AI21" s="345" t="s">
        <v>210</v>
      </c>
      <c r="AJ21" s="345"/>
      <c r="AK21" s="345"/>
      <c r="AL21" s="345"/>
      <c r="AM21" s="11"/>
      <c r="AN21" s="11"/>
      <c r="AO21" s="11"/>
    </row>
    <row r="22" spans="1:41" x14ac:dyDescent="0.25">
      <c r="A22" s="311"/>
      <c r="B22" s="312"/>
      <c r="C22" s="312"/>
      <c r="D22" s="312"/>
      <c r="E22" s="313"/>
      <c r="F22" s="314"/>
      <c r="G22" s="314"/>
      <c r="H22" s="314"/>
      <c r="I22" s="314"/>
      <c r="J22" s="314"/>
      <c r="K22" s="314"/>
      <c r="L22" s="314"/>
      <c r="M22" s="314"/>
      <c r="N22" s="314"/>
      <c r="O22" s="314"/>
      <c r="P22" s="314"/>
      <c r="Q22" s="314"/>
      <c r="R22" s="442"/>
      <c r="S22" s="314"/>
      <c r="T22" s="314"/>
      <c r="U22" s="314"/>
      <c r="V22" s="315">
        <v>1264</v>
      </c>
      <c r="W22" s="447">
        <f t="shared" si="0"/>
        <v>0</v>
      </c>
      <c r="X22" s="447">
        <f t="shared" si="1"/>
        <v>0</v>
      </c>
      <c r="Y22" s="447">
        <f t="shared" si="2"/>
        <v>0</v>
      </c>
      <c r="Z22" s="447">
        <f t="shared" si="3"/>
        <v>0</v>
      </c>
      <c r="AA22" s="447">
        <f t="shared" si="4"/>
        <v>0</v>
      </c>
      <c r="AB22" s="447" t="e">
        <f t="shared" si="5"/>
        <v>#DIV/0!</v>
      </c>
      <c r="AC22" s="448" t="e">
        <f t="shared" si="6"/>
        <v>#DIV/0!</v>
      </c>
      <c r="AD22" s="11"/>
      <c r="AE22" s="349" t="str">
        <f>AF22&amp;TM[[#This Row],[Insurer Code]]&amp;"; "&amp;AG22&amp;TM[[#This Row],[Reporting Year]]&amp;"; "&amp;AH22&amp;TM[[#This Row],[Insurance Category Code]]&amp;"; "&amp;AI22&amp;TM[[#This Row],[Large Provider Entity Code]]</f>
        <v xml:space="preserve">Insurer Code ; Reporting Year ; Insurance Category Code ; Large Provider Entity Code </v>
      </c>
      <c r="AF22" s="345" t="s">
        <v>207</v>
      </c>
      <c r="AG22" s="345" t="s">
        <v>208</v>
      </c>
      <c r="AH22" s="345" t="s">
        <v>209</v>
      </c>
      <c r="AI22" s="345" t="s">
        <v>210</v>
      </c>
      <c r="AJ22" s="345"/>
      <c r="AK22" s="345"/>
      <c r="AL22" s="345"/>
      <c r="AM22" s="11"/>
      <c r="AN22" s="11"/>
      <c r="AO22" s="11"/>
    </row>
    <row r="23" spans="1:41" x14ac:dyDescent="0.25">
      <c r="A23" s="311"/>
      <c r="B23" s="316"/>
      <c r="C23" s="316"/>
      <c r="D23" s="316"/>
      <c r="E23" s="317"/>
      <c r="F23" s="336"/>
      <c r="G23" s="336"/>
      <c r="H23" s="336"/>
      <c r="I23" s="336"/>
      <c r="J23" s="336"/>
      <c r="K23" s="336"/>
      <c r="L23" s="336"/>
      <c r="M23" s="336"/>
      <c r="N23" s="336"/>
      <c r="O23" s="336"/>
      <c r="P23" s="336"/>
      <c r="Q23" s="336"/>
      <c r="R23" s="443"/>
      <c r="S23" s="336"/>
      <c r="T23" s="336"/>
      <c r="U23" s="314"/>
      <c r="V23" s="318">
        <v>950</v>
      </c>
      <c r="W23" s="447">
        <f t="shared" si="0"/>
        <v>0</v>
      </c>
      <c r="X23" s="447">
        <f t="shared" si="1"/>
        <v>0</v>
      </c>
      <c r="Y23" s="447">
        <f t="shared" si="2"/>
        <v>0</v>
      </c>
      <c r="Z23" s="447">
        <f t="shared" si="3"/>
        <v>0</v>
      </c>
      <c r="AA23" s="447">
        <f t="shared" si="4"/>
        <v>0</v>
      </c>
      <c r="AB23" s="447" t="e">
        <f t="shared" si="5"/>
        <v>#DIV/0!</v>
      </c>
      <c r="AC23" s="448" t="e">
        <f t="shared" si="6"/>
        <v>#DIV/0!</v>
      </c>
      <c r="AD23" s="11"/>
      <c r="AE23" s="349" t="str">
        <f>AF23&amp;TM[[#This Row],[Insurer Code]]&amp;"; "&amp;AG23&amp;TM[[#This Row],[Reporting Year]]&amp;"; "&amp;AH23&amp;TM[[#This Row],[Insurance Category Code]]&amp;"; "&amp;AI23&amp;TM[[#This Row],[Large Provider Entity Code]]</f>
        <v xml:space="preserve">Insurer Code ; Reporting Year ; Insurance Category Code ; Large Provider Entity Code </v>
      </c>
      <c r="AF23" s="345" t="s">
        <v>207</v>
      </c>
      <c r="AG23" s="345" t="s">
        <v>208</v>
      </c>
      <c r="AH23" s="345" t="s">
        <v>209</v>
      </c>
      <c r="AI23" s="345" t="s">
        <v>210</v>
      </c>
      <c r="AJ23" s="345"/>
      <c r="AK23" s="345"/>
      <c r="AL23" s="345"/>
      <c r="AM23" s="11"/>
      <c r="AN23" s="11"/>
      <c r="AO23" s="11"/>
    </row>
    <row r="24" spans="1:41" x14ac:dyDescent="0.25">
      <c r="A24" s="311"/>
      <c r="B24" s="316"/>
      <c r="C24" s="316"/>
      <c r="D24" s="316"/>
      <c r="E24" s="319"/>
      <c r="F24" s="336"/>
      <c r="G24" s="336"/>
      <c r="H24" s="336"/>
      <c r="I24" s="336"/>
      <c r="J24" s="336"/>
      <c r="K24" s="336"/>
      <c r="L24" s="336"/>
      <c r="M24" s="336"/>
      <c r="N24" s="336"/>
      <c r="O24" s="336"/>
      <c r="P24" s="336"/>
      <c r="Q24" s="336"/>
      <c r="R24" s="443"/>
      <c r="S24" s="336"/>
      <c r="T24" s="336"/>
      <c r="U24" s="314"/>
      <c r="V24" s="318">
        <v>16</v>
      </c>
      <c r="W24" s="447">
        <f t="shared" si="0"/>
        <v>0</v>
      </c>
      <c r="X24" s="447">
        <f t="shared" si="1"/>
        <v>0</v>
      </c>
      <c r="Y24" s="447">
        <f t="shared" si="2"/>
        <v>0</v>
      </c>
      <c r="Z24" s="447">
        <f t="shared" si="3"/>
        <v>0</v>
      </c>
      <c r="AA24" s="447">
        <f t="shared" si="4"/>
        <v>0</v>
      </c>
      <c r="AB24" s="447" t="e">
        <f t="shared" si="5"/>
        <v>#DIV/0!</v>
      </c>
      <c r="AC24" s="448" t="e">
        <f t="shared" si="6"/>
        <v>#DIV/0!</v>
      </c>
      <c r="AD24" s="11"/>
      <c r="AE24" s="349" t="str">
        <f>AF24&amp;TM[[#This Row],[Insurer Code]]&amp;"; "&amp;AG24&amp;TM[[#This Row],[Reporting Year]]&amp;"; "&amp;AH24&amp;TM[[#This Row],[Insurance Category Code]]&amp;"; "&amp;AI24&amp;TM[[#This Row],[Large Provider Entity Code]]</f>
        <v xml:space="preserve">Insurer Code ; Reporting Year ; Insurance Category Code ; Large Provider Entity Code </v>
      </c>
      <c r="AF24" s="345" t="s">
        <v>207</v>
      </c>
      <c r="AG24" s="345" t="s">
        <v>208</v>
      </c>
      <c r="AH24" s="345" t="s">
        <v>209</v>
      </c>
      <c r="AI24" s="345" t="s">
        <v>210</v>
      </c>
      <c r="AJ24" s="345"/>
      <c r="AK24" s="345"/>
      <c r="AL24" s="345"/>
      <c r="AM24" s="11"/>
      <c r="AN24" s="11"/>
      <c r="AO24" s="11"/>
    </row>
    <row r="25" spans="1:41" x14ac:dyDescent="0.25">
      <c r="A25" s="311"/>
      <c r="B25" s="316"/>
      <c r="C25" s="316"/>
      <c r="D25" s="316"/>
      <c r="E25" s="319"/>
      <c r="F25" s="336"/>
      <c r="G25" s="336"/>
      <c r="H25" s="336"/>
      <c r="I25" s="336"/>
      <c r="J25" s="336"/>
      <c r="K25" s="336"/>
      <c r="L25" s="336"/>
      <c r="M25" s="336"/>
      <c r="N25" s="336"/>
      <c r="O25" s="336"/>
      <c r="P25" s="336"/>
      <c r="Q25" s="336"/>
      <c r="R25" s="443"/>
      <c r="S25" s="336"/>
      <c r="T25" s="336"/>
      <c r="U25" s="314"/>
      <c r="V25" s="318">
        <v>20</v>
      </c>
      <c r="W25" s="447">
        <f t="shared" si="0"/>
        <v>0</v>
      </c>
      <c r="X25" s="447">
        <f t="shared" si="1"/>
        <v>0</v>
      </c>
      <c r="Y25" s="447">
        <f t="shared" si="2"/>
        <v>0</v>
      </c>
      <c r="Z25" s="447">
        <f t="shared" si="3"/>
        <v>0</v>
      </c>
      <c r="AA25" s="447">
        <f t="shared" si="4"/>
        <v>0</v>
      </c>
      <c r="AB25" s="447" t="e">
        <f t="shared" si="5"/>
        <v>#DIV/0!</v>
      </c>
      <c r="AC25" s="448" t="e">
        <f t="shared" si="6"/>
        <v>#DIV/0!</v>
      </c>
      <c r="AD25" s="11"/>
      <c r="AE25" s="349" t="str">
        <f>AF25&amp;TM[[#This Row],[Insurer Code]]&amp;"; "&amp;AG25&amp;TM[[#This Row],[Reporting Year]]&amp;"; "&amp;AH25&amp;TM[[#This Row],[Insurance Category Code]]&amp;"; "&amp;AI25&amp;TM[[#This Row],[Large Provider Entity Code]]</f>
        <v xml:space="preserve">Insurer Code ; Reporting Year ; Insurance Category Code ; Large Provider Entity Code </v>
      </c>
      <c r="AF25" s="345" t="s">
        <v>207</v>
      </c>
      <c r="AG25" s="345" t="s">
        <v>208</v>
      </c>
      <c r="AH25" s="345" t="s">
        <v>209</v>
      </c>
      <c r="AI25" s="345" t="s">
        <v>210</v>
      </c>
      <c r="AJ25" s="345"/>
      <c r="AK25" s="345"/>
      <c r="AL25" s="345"/>
      <c r="AM25" s="11"/>
      <c r="AN25" s="11"/>
      <c r="AO25" s="11"/>
    </row>
    <row r="26" spans="1:41" x14ac:dyDescent="0.25">
      <c r="A26" s="311"/>
      <c r="B26" s="316"/>
      <c r="C26" s="316"/>
      <c r="D26" s="316"/>
      <c r="E26" s="317"/>
      <c r="F26" s="336"/>
      <c r="G26" s="336"/>
      <c r="H26" s="336"/>
      <c r="I26" s="336"/>
      <c r="J26" s="336"/>
      <c r="K26" s="336"/>
      <c r="L26" s="336"/>
      <c r="M26" s="336"/>
      <c r="N26" s="336"/>
      <c r="O26" s="336"/>
      <c r="P26" s="336"/>
      <c r="Q26" s="336"/>
      <c r="R26" s="443"/>
      <c r="S26" s="336"/>
      <c r="T26" s="336"/>
      <c r="U26" s="314"/>
      <c r="V26" s="318">
        <v>1036</v>
      </c>
      <c r="W26" s="447">
        <f t="shared" si="0"/>
        <v>0</v>
      </c>
      <c r="X26" s="447">
        <f t="shared" si="1"/>
        <v>0</v>
      </c>
      <c r="Y26" s="447">
        <f t="shared" si="2"/>
        <v>0</v>
      </c>
      <c r="Z26" s="447">
        <f t="shared" si="3"/>
        <v>0</v>
      </c>
      <c r="AA26" s="447">
        <f t="shared" si="4"/>
        <v>0</v>
      </c>
      <c r="AB26" s="447" t="e">
        <f t="shared" si="5"/>
        <v>#DIV/0!</v>
      </c>
      <c r="AC26" s="448" t="e">
        <f t="shared" si="6"/>
        <v>#DIV/0!</v>
      </c>
      <c r="AD26" s="11"/>
      <c r="AE26" s="349" t="str">
        <f>AF26&amp;TM[[#This Row],[Insurer Code]]&amp;"; "&amp;AG26&amp;TM[[#This Row],[Reporting Year]]&amp;"; "&amp;AH26&amp;TM[[#This Row],[Insurance Category Code]]&amp;"; "&amp;AI26&amp;TM[[#This Row],[Large Provider Entity Code]]</f>
        <v xml:space="preserve">Insurer Code ; Reporting Year ; Insurance Category Code ; Large Provider Entity Code </v>
      </c>
      <c r="AF26" s="345" t="s">
        <v>207</v>
      </c>
      <c r="AG26" s="345" t="s">
        <v>208</v>
      </c>
      <c r="AH26" s="345" t="s">
        <v>209</v>
      </c>
      <c r="AI26" s="345" t="s">
        <v>210</v>
      </c>
      <c r="AJ26" s="345"/>
      <c r="AK26" s="345"/>
      <c r="AL26" s="345"/>
      <c r="AM26" s="11"/>
      <c r="AN26" s="11"/>
      <c r="AO26" s="11"/>
    </row>
    <row r="27" spans="1:41" x14ac:dyDescent="0.25">
      <c r="A27" s="311"/>
      <c r="B27" s="312"/>
      <c r="C27" s="312"/>
      <c r="D27" s="312"/>
      <c r="E27" s="328"/>
      <c r="F27" s="442"/>
      <c r="G27" s="314"/>
      <c r="H27" s="314"/>
      <c r="I27" s="314"/>
      <c r="J27" s="314"/>
      <c r="K27" s="314"/>
      <c r="L27" s="314"/>
      <c r="M27" s="314"/>
      <c r="N27" s="314"/>
      <c r="O27" s="314"/>
      <c r="P27" s="314"/>
      <c r="Q27" s="314"/>
      <c r="R27" s="442"/>
      <c r="S27" s="314"/>
      <c r="T27" s="314"/>
      <c r="U27" s="314"/>
      <c r="V27" s="315">
        <v>43</v>
      </c>
      <c r="W27" s="447">
        <f t="shared" si="0"/>
        <v>0</v>
      </c>
      <c r="X27" s="447">
        <f t="shared" si="1"/>
        <v>0</v>
      </c>
      <c r="Y27" s="447">
        <f t="shared" si="2"/>
        <v>0</v>
      </c>
      <c r="Z27" s="447">
        <f t="shared" si="3"/>
        <v>0</v>
      </c>
      <c r="AA27" s="447">
        <f t="shared" si="4"/>
        <v>0</v>
      </c>
      <c r="AB27" s="447" t="e">
        <f t="shared" si="5"/>
        <v>#DIV/0!</v>
      </c>
      <c r="AC27" s="448" t="e">
        <f t="shared" si="6"/>
        <v>#DIV/0!</v>
      </c>
      <c r="AD27" s="11"/>
      <c r="AE27" s="349" t="str">
        <f>AF27&amp;TM[[#This Row],[Insurer Code]]&amp;"; "&amp;AG27&amp;TM[[#This Row],[Reporting Year]]&amp;"; "&amp;AH27&amp;TM[[#This Row],[Insurance Category Code]]&amp;"; "&amp;AI27&amp;TM[[#This Row],[Large Provider Entity Code]]</f>
        <v xml:space="preserve">Insurer Code ; Reporting Year ; Insurance Category Code ; Large Provider Entity Code </v>
      </c>
      <c r="AF27" s="345" t="s">
        <v>207</v>
      </c>
      <c r="AG27" s="345" t="s">
        <v>208</v>
      </c>
      <c r="AH27" s="345" t="s">
        <v>209</v>
      </c>
      <c r="AI27" s="345" t="s">
        <v>210</v>
      </c>
      <c r="AJ27" s="345"/>
      <c r="AK27" s="345"/>
      <c r="AL27" s="345"/>
      <c r="AM27" s="11"/>
      <c r="AN27" s="11"/>
      <c r="AO27" s="11"/>
    </row>
    <row r="28" spans="1:41" x14ac:dyDescent="0.25">
      <c r="A28" s="311"/>
      <c r="B28" s="312"/>
      <c r="C28" s="312"/>
      <c r="D28" s="312"/>
      <c r="E28" s="328"/>
      <c r="F28" s="442"/>
      <c r="G28" s="314"/>
      <c r="H28" s="314"/>
      <c r="I28" s="314"/>
      <c r="J28" s="314"/>
      <c r="K28" s="314"/>
      <c r="L28" s="314"/>
      <c r="M28" s="314"/>
      <c r="N28" s="314"/>
      <c r="O28" s="314"/>
      <c r="P28" s="314"/>
      <c r="Q28" s="314"/>
      <c r="R28" s="442"/>
      <c r="S28" s="314"/>
      <c r="T28" s="314"/>
      <c r="U28" s="314"/>
      <c r="V28" s="315">
        <v>559</v>
      </c>
      <c r="W28" s="447">
        <f t="shared" si="0"/>
        <v>0</v>
      </c>
      <c r="X28" s="447">
        <f t="shared" si="1"/>
        <v>0</v>
      </c>
      <c r="Y28" s="447">
        <f t="shared" si="2"/>
        <v>0</v>
      </c>
      <c r="Z28" s="447">
        <f t="shared" si="3"/>
        <v>0</v>
      </c>
      <c r="AA28" s="447">
        <f t="shared" si="4"/>
        <v>0</v>
      </c>
      <c r="AB28" s="447" t="e">
        <f t="shared" si="5"/>
        <v>#DIV/0!</v>
      </c>
      <c r="AC28" s="448" t="e">
        <f t="shared" si="6"/>
        <v>#DIV/0!</v>
      </c>
      <c r="AD28" s="11"/>
      <c r="AE28" s="349" t="str">
        <f>AF28&amp;TM[[#This Row],[Insurer Code]]&amp;"; "&amp;AG28&amp;TM[[#This Row],[Reporting Year]]&amp;"; "&amp;AH28&amp;TM[[#This Row],[Insurance Category Code]]&amp;"; "&amp;AI28&amp;TM[[#This Row],[Large Provider Entity Code]]</f>
        <v xml:space="preserve">Insurer Code ; Reporting Year ; Insurance Category Code ; Large Provider Entity Code </v>
      </c>
      <c r="AF28" s="345" t="s">
        <v>207</v>
      </c>
      <c r="AG28" s="345" t="s">
        <v>208</v>
      </c>
      <c r="AH28" s="345" t="s">
        <v>209</v>
      </c>
      <c r="AI28" s="345" t="s">
        <v>210</v>
      </c>
      <c r="AJ28" s="345"/>
      <c r="AK28" s="345"/>
      <c r="AL28" s="345"/>
      <c r="AM28" s="11"/>
      <c r="AN28" s="11"/>
      <c r="AO28" s="11"/>
    </row>
    <row r="29" spans="1:41" x14ac:dyDescent="0.25">
      <c r="A29" s="311"/>
      <c r="B29" s="312"/>
      <c r="C29" s="312"/>
      <c r="D29" s="312"/>
      <c r="E29" s="328"/>
      <c r="F29" s="442"/>
      <c r="G29" s="314"/>
      <c r="H29" s="314"/>
      <c r="I29" s="314"/>
      <c r="J29" s="314"/>
      <c r="K29" s="314"/>
      <c r="L29" s="314"/>
      <c r="M29" s="314"/>
      <c r="N29" s="314"/>
      <c r="O29" s="314"/>
      <c r="P29" s="314"/>
      <c r="Q29" s="314"/>
      <c r="R29" s="442"/>
      <c r="S29" s="314"/>
      <c r="T29" s="314"/>
      <c r="U29" s="314"/>
      <c r="V29" s="315">
        <v>1231</v>
      </c>
      <c r="W29" s="447">
        <f t="shared" si="0"/>
        <v>0</v>
      </c>
      <c r="X29" s="447">
        <f t="shared" si="1"/>
        <v>0</v>
      </c>
      <c r="Y29" s="447">
        <f t="shared" si="2"/>
        <v>0</v>
      </c>
      <c r="Z29" s="447">
        <f t="shared" si="3"/>
        <v>0</v>
      </c>
      <c r="AA29" s="447">
        <f t="shared" si="4"/>
        <v>0</v>
      </c>
      <c r="AB29" s="447" t="e">
        <f t="shared" si="5"/>
        <v>#DIV/0!</v>
      </c>
      <c r="AC29" s="448" t="e">
        <f t="shared" si="6"/>
        <v>#DIV/0!</v>
      </c>
      <c r="AD29" s="11"/>
      <c r="AE29" s="349" t="str">
        <f>AF29&amp;TM[[#This Row],[Insurer Code]]&amp;"; "&amp;AG29&amp;TM[[#This Row],[Reporting Year]]&amp;"; "&amp;AH29&amp;TM[[#This Row],[Insurance Category Code]]&amp;"; "&amp;AI29&amp;TM[[#This Row],[Large Provider Entity Code]]</f>
        <v xml:space="preserve">Insurer Code ; Reporting Year ; Insurance Category Code ; Large Provider Entity Code </v>
      </c>
      <c r="AF29" s="345" t="s">
        <v>207</v>
      </c>
      <c r="AG29" s="345" t="s">
        <v>208</v>
      </c>
      <c r="AH29" s="345" t="s">
        <v>209</v>
      </c>
      <c r="AI29" s="345" t="s">
        <v>210</v>
      </c>
      <c r="AJ29" s="345"/>
      <c r="AK29" s="345"/>
      <c r="AL29" s="345"/>
      <c r="AM29" s="11"/>
      <c r="AN29" s="11"/>
      <c r="AO29" s="11"/>
    </row>
    <row r="30" spans="1:41" x14ac:dyDescent="0.25">
      <c r="A30" s="311"/>
      <c r="B30" s="312"/>
      <c r="C30" s="312"/>
      <c r="D30" s="312"/>
      <c r="E30" s="328"/>
      <c r="F30" s="442"/>
      <c r="G30" s="314"/>
      <c r="H30" s="314"/>
      <c r="I30" s="314"/>
      <c r="J30" s="314"/>
      <c r="K30" s="314"/>
      <c r="L30" s="314"/>
      <c r="M30" s="314"/>
      <c r="N30" s="314"/>
      <c r="O30" s="314"/>
      <c r="P30" s="314"/>
      <c r="Q30" s="314"/>
      <c r="R30" s="442"/>
      <c r="S30" s="314"/>
      <c r="T30" s="314"/>
      <c r="U30" s="314"/>
      <c r="V30" s="315">
        <v>804</v>
      </c>
      <c r="W30" s="447">
        <f t="shared" si="0"/>
        <v>0</v>
      </c>
      <c r="X30" s="447">
        <f t="shared" si="1"/>
        <v>0</v>
      </c>
      <c r="Y30" s="447">
        <f t="shared" si="2"/>
        <v>0</v>
      </c>
      <c r="Z30" s="447">
        <f t="shared" si="3"/>
        <v>0</v>
      </c>
      <c r="AA30" s="447">
        <f t="shared" si="4"/>
        <v>0</v>
      </c>
      <c r="AB30" s="447" t="e">
        <f t="shared" si="5"/>
        <v>#DIV/0!</v>
      </c>
      <c r="AC30" s="448" t="e">
        <f t="shared" si="6"/>
        <v>#DIV/0!</v>
      </c>
      <c r="AD30" s="11"/>
      <c r="AE30" s="349" t="str">
        <f>AF30&amp;TM[[#This Row],[Insurer Code]]&amp;"; "&amp;AG30&amp;TM[[#This Row],[Reporting Year]]&amp;"; "&amp;AH30&amp;TM[[#This Row],[Insurance Category Code]]&amp;"; "&amp;AI30&amp;TM[[#This Row],[Large Provider Entity Code]]</f>
        <v xml:space="preserve">Insurer Code ; Reporting Year ; Insurance Category Code ; Large Provider Entity Code </v>
      </c>
      <c r="AF30" s="345" t="s">
        <v>207</v>
      </c>
      <c r="AG30" s="345" t="s">
        <v>208</v>
      </c>
      <c r="AH30" s="345" t="s">
        <v>209</v>
      </c>
      <c r="AI30" s="345" t="s">
        <v>210</v>
      </c>
      <c r="AJ30" s="345"/>
      <c r="AK30" s="345"/>
      <c r="AL30" s="345"/>
      <c r="AM30" s="11"/>
      <c r="AN30" s="11"/>
      <c r="AO30" s="11"/>
    </row>
    <row r="31" spans="1:41" x14ac:dyDescent="0.25">
      <c r="A31" s="311"/>
      <c r="B31" s="312"/>
      <c r="C31" s="312"/>
      <c r="D31" s="312"/>
      <c r="E31" s="328"/>
      <c r="F31" s="442"/>
      <c r="G31" s="314"/>
      <c r="H31" s="314"/>
      <c r="I31" s="314"/>
      <c r="J31" s="314"/>
      <c r="K31" s="314"/>
      <c r="L31" s="314"/>
      <c r="M31" s="314"/>
      <c r="N31" s="314"/>
      <c r="O31" s="314"/>
      <c r="P31" s="314"/>
      <c r="Q31" s="314"/>
      <c r="R31" s="442"/>
      <c r="S31" s="314"/>
      <c r="T31" s="314"/>
      <c r="U31" s="314"/>
      <c r="V31" s="315">
        <v>11</v>
      </c>
      <c r="W31" s="451">
        <f t="shared" si="0"/>
        <v>0</v>
      </c>
      <c r="X31" s="451">
        <f t="shared" si="1"/>
        <v>0</v>
      </c>
      <c r="Y31" s="451">
        <f t="shared" si="2"/>
        <v>0</v>
      </c>
      <c r="Z31" s="451">
        <f t="shared" si="3"/>
        <v>0</v>
      </c>
      <c r="AA31" s="451">
        <f t="shared" si="4"/>
        <v>0</v>
      </c>
      <c r="AB31" s="451" t="e">
        <f t="shared" si="5"/>
        <v>#DIV/0!</v>
      </c>
      <c r="AC31" s="452" t="e">
        <f t="shared" si="6"/>
        <v>#DIV/0!</v>
      </c>
      <c r="AD31" s="11"/>
      <c r="AE31" s="349" t="str">
        <f>AF31&amp;TM[[#This Row],[Insurer Code]]&amp;"; "&amp;AG31&amp;TM[[#This Row],[Reporting Year]]&amp;"; "&amp;AH31&amp;TM[[#This Row],[Insurance Category Code]]&amp;"; "&amp;AI31&amp;TM[[#This Row],[Large Provider Entity Code]]</f>
        <v xml:space="preserve">Insurer Code ; Reporting Year ; Insurance Category Code ; Large Provider Entity Code </v>
      </c>
      <c r="AF31" s="345" t="s">
        <v>207</v>
      </c>
      <c r="AG31" s="345" t="s">
        <v>208</v>
      </c>
      <c r="AH31" s="345" t="s">
        <v>209</v>
      </c>
      <c r="AI31" s="345" t="s">
        <v>210</v>
      </c>
      <c r="AJ31" s="345"/>
      <c r="AK31" s="345"/>
      <c r="AL31" s="345"/>
      <c r="AM31" s="11"/>
      <c r="AN31" s="11"/>
      <c r="AO31" s="11"/>
    </row>
    <row r="32" spans="1:41" x14ac:dyDescent="0.25">
      <c r="A32" s="311"/>
      <c r="B32" s="312"/>
      <c r="C32" s="312"/>
      <c r="D32" s="312"/>
      <c r="E32" s="328"/>
      <c r="F32" s="442"/>
      <c r="G32" s="314"/>
      <c r="H32" s="314"/>
      <c r="I32" s="314"/>
      <c r="J32" s="314"/>
      <c r="K32" s="314"/>
      <c r="L32" s="314"/>
      <c r="M32" s="314"/>
      <c r="N32" s="314"/>
      <c r="O32" s="314"/>
      <c r="P32" s="314"/>
      <c r="Q32" s="314"/>
      <c r="R32" s="442"/>
      <c r="S32" s="314"/>
      <c r="T32" s="314"/>
      <c r="U32" s="314"/>
      <c r="V32" s="315">
        <v>18</v>
      </c>
      <c r="W32" s="451">
        <f t="shared" si="0"/>
        <v>0</v>
      </c>
      <c r="X32" s="451">
        <f t="shared" si="1"/>
        <v>0</v>
      </c>
      <c r="Y32" s="451">
        <f t="shared" si="2"/>
        <v>0</v>
      </c>
      <c r="Z32" s="451">
        <f t="shared" si="3"/>
        <v>0</v>
      </c>
      <c r="AA32" s="451">
        <f t="shared" si="4"/>
        <v>0</v>
      </c>
      <c r="AB32" s="451" t="e">
        <f t="shared" si="5"/>
        <v>#DIV/0!</v>
      </c>
      <c r="AC32" s="452" t="e">
        <f t="shared" si="6"/>
        <v>#DIV/0!</v>
      </c>
      <c r="AD32" s="11"/>
      <c r="AE32" s="349" t="str">
        <f>AF32&amp;TM[[#This Row],[Insurer Code]]&amp;"; "&amp;AG32&amp;TM[[#This Row],[Reporting Year]]&amp;"; "&amp;AH32&amp;TM[[#This Row],[Insurance Category Code]]&amp;"; "&amp;AI32&amp;TM[[#This Row],[Large Provider Entity Code]]</f>
        <v xml:space="preserve">Insurer Code ; Reporting Year ; Insurance Category Code ; Large Provider Entity Code </v>
      </c>
      <c r="AF32" s="345" t="s">
        <v>207</v>
      </c>
      <c r="AG32" s="345" t="s">
        <v>208</v>
      </c>
      <c r="AH32" s="345" t="s">
        <v>209</v>
      </c>
      <c r="AI32" s="345" t="s">
        <v>210</v>
      </c>
      <c r="AJ32" s="345"/>
      <c r="AK32" s="345"/>
      <c r="AL32" s="345"/>
      <c r="AM32" s="11"/>
      <c r="AN32" s="11"/>
      <c r="AO32" s="11"/>
    </row>
    <row r="33" spans="1:41" x14ac:dyDescent="0.25">
      <c r="A33" s="311"/>
      <c r="B33" s="312"/>
      <c r="C33" s="312"/>
      <c r="D33" s="312"/>
      <c r="E33" s="328"/>
      <c r="F33" s="442"/>
      <c r="G33" s="314"/>
      <c r="H33" s="314"/>
      <c r="I33" s="314"/>
      <c r="J33" s="314"/>
      <c r="K33" s="314"/>
      <c r="L33" s="314"/>
      <c r="M33" s="314"/>
      <c r="N33" s="314"/>
      <c r="O33" s="314"/>
      <c r="P33" s="314"/>
      <c r="Q33" s="314"/>
      <c r="R33" s="442"/>
      <c r="S33" s="314"/>
      <c r="T33" s="314"/>
      <c r="U33" s="314"/>
      <c r="V33" s="315">
        <v>946</v>
      </c>
      <c r="W33" s="451">
        <f t="shared" si="0"/>
        <v>0</v>
      </c>
      <c r="X33" s="451">
        <f t="shared" si="1"/>
        <v>0</v>
      </c>
      <c r="Y33" s="451">
        <f t="shared" si="2"/>
        <v>0</v>
      </c>
      <c r="Z33" s="451">
        <f t="shared" si="3"/>
        <v>0</v>
      </c>
      <c r="AA33" s="451">
        <f t="shared" si="4"/>
        <v>0</v>
      </c>
      <c r="AB33" s="451" t="e">
        <f t="shared" si="5"/>
        <v>#DIV/0!</v>
      </c>
      <c r="AC33" s="452" t="e">
        <f t="shared" si="6"/>
        <v>#DIV/0!</v>
      </c>
      <c r="AD33" s="11"/>
      <c r="AE33" s="349" t="str">
        <f>AF33&amp;TM[[#This Row],[Insurer Code]]&amp;"; "&amp;AG33&amp;TM[[#This Row],[Reporting Year]]&amp;"; "&amp;AH33&amp;TM[[#This Row],[Insurance Category Code]]&amp;"; "&amp;AI33&amp;TM[[#This Row],[Large Provider Entity Code]]</f>
        <v xml:space="preserve">Insurer Code ; Reporting Year ; Insurance Category Code ; Large Provider Entity Code </v>
      </c>
      <c r="AF33" s="345" t="s">
        <v>207</v>
      </c>
      <c r="AG33" s="345" t="s">
        <v>208</v>
      </c>
      <c r="AH33" s="345" t="s">
        <v>209</v>
      </c>
      <c r="AI33" s="345" t="s">
        <v>210</v>
      </c>
      <c r="AJ33" s="345"/>
      <c r="AK33" s="345"/>
      <c r="AL33" s="345"/>
      <c r="AM33" s="11"/>
      <c r="AN33" s="11"/>
      <c r="AO33" s="11"/>
    </row>
    <row r="34" spans="1:41" x14ac:dyDescent="0.25">
      <c r="A34" s="311"/>
      <c r="B34" s="312"/>
      <c r="C34" s="312"/>
      <c r="D34" s="312"/>
      <c r="E34" s="328"/>
      <c r="F34" s="442"/>
      <c r="G34" s="314"/>
      <c r="H34" s="314"/>
      <c r="I34" s="314"/>
      <c r="J34" s="314"/>
      <c r="K34" s="314"/>
      <c r="L34" s="314"/>
      <c r="M34" s="314"/>
      <c r="N34" s="314"/>
      <c r="O34" s="314"/>
      <c r="P34" s="314"/>
      <c r="Q34" s="314"/>
      <c r="R34" s="442"/>
      <c r="S34" s="314"/>
      <c r="T34" s="314"/>
      <c r="U34" s="314"/>
      <c r="V34" s="315">
        <v>63</v>
      </c>
      <c r="W34" s="451">
        <f t="shared" si="0"/>
        <v>0</v>
      </c>
      <c r="X34" s="451">
        <f t="shared" si="1"/>
        <v>0</v>
      </c>
      <c r="Y34" s="451">
        <f t="shared" si="2"/>
        <v>0</v>
      </c>
      <c r="Z34" s="451">
        <f t="shared" si="3"/>
        <v>0</v>
      </c>
      <c r="AA34" s="451">
        <f t="shared" si="4"/>
        <v>0</v>
      </c>
      <c r="AB34" s="451" t="e">
        <f t="shared" si="5"/>
        <v>#DIV/0!</v>
      </c>
      <c r="AC34" s="452" t="e">
        <f t="shared" si="6"/>
        <v>#DIV/0!</v>
      </c>
      <c r="AD34" s="11"/>
      <c r="AE34" s="349" t="str">
        <f>AF34&amp;TM[[#This Row],[Insurer Code]]&amp;"; "&amp;AG34&amp;TM[[#This Row],[Reporting Year]]&amp;"; "&amp;AH34&amp;TM[[#This Row],[Insurance Category Code]]&amp;"; "&amp;AI34&amp;TM[[#This Row],[Large Provider Entity Code]]</f>
        <v xml:space="preserve">Insurer Code ; Reporting Year ; Insurance Category Code ; Large Provider Entity Code </v>
      </c>
      <c r="AF34" s="345" t="s">
        <v>207</v>
      </c>
      <c r="AG34" s="345" t="s">
        <v>208</v>
      </c>
      <c r="AH34" s="345" t="s">
        <v>209</v>
      </c>
      <c r="AI34" s="345" t="s">
        <v>210</v>
      </c>
      <c r="AJ34" s="345"/>
      <c r="AK34" s="345"/>
      <c r="AL34" s="345"/>
      <c r="AM34" s="11"/>
      <c r="AN34" s="11"/>
      <c r="AO34" s="11"/>
    </row>
    <row r="35" spans="1:41" x14ac:dyDescent="0.25">
      <c r="A35" s="311"/>
      <c r="B35" s="312"/>
      <c r="C35" s="312"/>
      <c r="D35" s="312"/>
      <c r="E35" s="313"/>
      <c r="F35" s="314"/>
      <c r="G35" s="314"/>
      <c r="H35" s="314"/>
      <c r="I35" s="314"/>
      <c r="J35" s="314"/>
      <c r="K35" s="314"/>
      <c r="L35" s="314"/>
      <c r="M35" s="314"/>
      <c r="N35" s="314"/>
      <c r="O35" s="314"/>
      <c r="P35" s="314"/>
      <c r="Q35" s="314"/>
      <c r="R35" s="442"/>
      <c r="S35" s="314"/>
      <c r="T35" s="314"/>
      <c r="U35" s="314"/>
      <c r="V35" s="315">
        <v>1</v>
      </c>
      <c r="W35" s="447">
        <f t="shared" si="0"/>
        <v>0</v>
      </c>
      <c r="X35" s="447">
        <f t="shared" si="1"/>
        <v>0</v>
      </c>
      <c r="Y35" s="447">
        <f t="shared" si="2"/>
        <v>0</v>
      </c>
      <c r="Z35" s="447">
        <f t="shared" si="3"/>
        <v>0</v>
      </c>
      <c r="AA35" s="447">
        <f t="shared" si="4"/>
        <v>0</v>
      </c>
      <c r="AB35" s="447" t="e">
        <f t="shared" si="5"/>
        <v>#DIV/0!</v>
      </c>
      <c r="AC35" s="448" t="e">
        <f t="shared" si="6"/>
        <v>#DIV/0!</v>
      </c>
      <c r="AD35" s="11"/>
      <c r="AE35" s="349" t="str">
        <f>AF35&amp;TM[[#This Row],[Insurer Code]]&amp;"; "&amp;AG35&amp;TM[[#This Row],[Reporting Year]]&amp;"; "&amp;AH35&amp;TM[[#This Row],[Insurance Category Code]]&amp;"; "&amp;AI35&amp;TM[[#This Row],[Large Provider Entity Code]]</f>
        <v xml:space="preserve">Insurer Code ; Reporting Year ; Insurance Category Code ; Large Provider Entity Code </v>
      </c>
      <c r="AF35" s="345" t="s">
        <v>207</v>
      </c>
      <c r="AG35" s="345" t="s">
        <v>208</v>
      </c>
      <c r="AH35" s="345" t="s">
        <v>209</v>
      </c>
      <c r="AI35" s="345" t="s">
        <v>210</v>
      </c>
      <c r="AJ35" s="345"/>
      <c r="AK35" s="345"/>
      <c r="AL35" s="345"/>
      <c r="AM35" s="11"/>
      <c r="AN35" s="11"/>
      <c r="AO35" s="11"/>
    </row>
    <row r="36" spans="1:41" x14ac:dyDescent="0.25">
      <c r="A36" s="311"/>
      <c r="B36" s="312"/>
      <c r="C36" s="312"/>
      <c r="D36" s="312"/>
      <c r="E36" s="313"/>
      <c r="F36" s="314"/>
      <c r="G36" s="314"/>
      <c r="H36" s="314"/>
      <c r="I36" s="314"/>
      <c r="J36" s="314"/>
      <c r="K36" s="314"/>
      <c r="L36" s="314"/>
      <c r="M36" s="314"/>
      <c r="N36" s="314"/>
      <c r="O36" s="314"/>
      <c r="P36" s="314"/>
      <c r="Q36" s="314"/>
      <c r="R36" s="442"/>
      <c r="S36" s="314"/>
      <c r="T36" s="314"/>
      <c r="U36" s="314"/>
      <c r="V36" s="315">
        <v>8</v>
      </c>
      <c r="W36" s="447">
        <f t="shared" si="0"/>
        <v>0</v>
      </c>
      <c r="X36" s="447">
        <f t="shared" si="1"/>
        <v>0</v>
      </c>
      <c r="Y36" s="447">
        <f t="shared" si="2"/>
        <v>0</v>
      </c>
      <c r="Z36" s="447">
        <f t="shared" si="3"/>
        <v>0</v>
      </c>
      <c r="AA36" s="447">
        <f t="shared" si="4"/>
        <v>0</v>
      </c>
      <c r="AB36" s="447" t="e">
        <f t="shared" si="5"/>
        <v>#DIV/0!</v>
      </c>
      <c r="AC36" s="448" t="e">
        <f t="shared" si="6"/>
        <v>#DIV/0!</v>
      </c>
      <c r="AD36" s="11"/>
      <c r="AE36" s="349" t="str">
        <f>AF36&amp;TM[[#This Row],[Insurer Code]]&amp;"; "&amp;AG36&amp;TM[[#This Row],[Reporting Year]]&amp;"; "&amp;AH36&amp;TM[[#This Row],[Insurance Category Code]]&amp;"; "&amp;AI36&amp;TM[[#This Row],[Large Provider Entity Code]]</f>
        <v xml:space="preserve">Insurer Code ; Reporting Year ; Insurance Category Code ; Large Provider Entity Code </v>
      </c>
      <c r="AF36" s="345" t="s">
        <v>207</v>
      </c>
      <c r="AG36" s="345" t="s">
        <v>208</v>
      </c>
      <c r="AH36" s="345" t="s">
        <v>209</v>
      </c>
      <c r="AI36" s="345" t="s">
        <v>210</v>
      </c>
      <c r="AJ36" s="345"/>
      <c r="AK36" s="345"/>
      <c r="AL36" s="345"/>
      <c r="AM36" s="11"/>
      <c r="AN36" s="11"/>
      <c r="AO36" s="11"/>
    </row>
    <row r="37" spans="1:41" x14ac:dyDescent="0.25">
      <c r="A37" s="311"/>
      <c r="B37" s="312"/>
      <c r="C37" s="312"/>
      <c r="D37" s="312"/>
      <c r="E37" s="313"/>
      <c r="F37" s="314"/>
      <c r="G37" s="314"/>
      <c r="H37" s="314"/>
      <c r="I37" s="314"/>
      <c r="J37" s="314"/>
      <c r="K37" s="314"/>
      <c r="L37" s="314"/>
      <c r="M37" s="314"/>
      <c r="N37" s="314"/>
      <c r="O37" s="314"/>
      <c r="P37" s="314"/>
      <c r="Q37" s="314"/>
      <c r="R37" s="442"/>
      <c r="S37" s="314"/>
      <c r="T37" s="314"/>
      <c r="U37" s="314"/>
      <c r="V37" s="315">
        <v>22</v>
      </c>
      <c r="W37" s="447">
        <f t="shared" si="0"/>
        <v>0</v>
      </c>
      <c r="X37" s="447">
        <f t="shared" si="1"/>
        <v>0</v>
      </c>
      <c r="Y37" s="447">
        <f t="shared" si="2"/>
        <v>0</v>
      </c>
      <c r="Z37" s="447">
        <f t="shared" si="3"/>
        <v>0</v>
      </c>
      <c r="AA37" s="447">
        <f t="shared" si="4"/>
        <v>0</v>
      </c>
      <c r="AB37" s="447" t="e">
        <f t="shared" si="5"/>
        <v>#DIV/0!</v>
      </c>
      <c r="AC37" s="448" t="e">
        <f t="shared" si="6"/>
        <v>#DIV/0!</v>
      </c>
      <c r="AD37" s="11"/>
      <c r="AE37" s="349" t="str">
        <f>AF37&amp;TM[[#This Row],[Insurer Code]]&amp;"; "&amp;AG37&amp;TM[[#This Row],[Reporting Year]]&amp;"; "&amp;AH37&amp;TM[[#This Row],[Insurance Category Code]]&amp;"; "&amp;AI37&amp;TM[[#This Row],[Large Provider Entity Code]]</f>
        <v xml:space="preserve">Insurer Code ; Reporting Year ; Insurance Category Code ; Large Provider Entity Code </v>
      </c>
      <c r="AF37" s="345" t="s">
        <v>207</v>
      </c>
      <c r="AG37" s="345" t="s">
        <v>208</v>
      </c>
      <c r="AH37" s="345" t="s">
        <v>209</v>
      </c>
      <c r="AI37" s="345" t="s">
        <v>210</v>
      </c>
      <c r="AJ37" s="345"/>
      <c r="AK37" s="345"/>
      <c r="AL37" s="345"/>
      <c r="AM37" s="11"/>
      <c r="AN37" s="11"/>
      <c r="AO37" s="11"/>
    </row>
    <row r="38" spans="1:41" x14ac:dyDescent="0.25">
      <c r="A38" s="311"/>
      <c r="B38" s="316"/>
      <c r="C38" s="316"/>
      <c r="D38" s="316"/>
      <c r="E38" s="319"/>
      <c r="F38" s="336"/>
      <c r="G38" s="336"/>
      <c r="H38" s="336"/>
      <c r="I38" s="336"/>
      <c r="J38" s="336"/>
      <c r="K38" s="336"/>
      <c r="L38" s="336"/>
      <c r="M38" s="336"/>
      <c r="N38" s="336"/>
      <c r="O38" s="336"/>
      <c r="P38" s="336"/>
      <c r="Q38" s="336"/>
      <c r="R38" s="443"/>
      <c r="S38" s="336"/>
      <c r="T38" s="336"/>
      <c r="U38" s="314"/>
      <c r="V38" s="318">
        <v>5</v>
      </c>
      <c r="W38" s="447">
        <f t="shared" si="0"/>
        <v>0</v>
      </c>
      <c r="X38" s="447">
        <f t="shared" si="1"/>
        <v>0</v>
      </c>
      <c r="Y38" s="447">
        <f t="shared" si="2"/>
        <v>0</v>
      </c>
      <c r="Z38" s="447">
        <f t="shared" si="3"/>
        <v>0</v>
      </c>
      <c r="AA38" s="447">
        <f t="shared" si="4"/>
        <v>0</v>
      </c>
      <c r="AB38" s="447" t="e">
        <f t="shared" si="5"/>
        <v>#DIV/0!</v>
      </c>
      <c r="AC38" s="448" t="e">
        <f t="shared" si="6"/>
        <v>#DIV/0!</v>
      </c>
      <c r="AD38" s="11"/>
      <c r="AE38" s="349" t="str">
        <f>AF38&amp;TM[[#This Row],[Insurer Code]]&amp;"; "&amp;AG38&amp;TM[[#This Row],[Reporting Year]]&amp;"; "&amp;AH38&amp;TM[[#This Row],[Insurance Category Code]]&amp;"; "&amp;AI38&amp;TM[[#This Row],[Large Provider Entity Code]]</f>
        <v xml:space="preserve">Insurer Code ; Reporting Year ; Insurance Category Code ; Large Provider Entity Code </v>
      </c>
      <c r="AF38" s="345" t="s">
        <v>207</v>
      </c>
      <c r="AG38" s="345" t="s">
        <v>208</v>
      </c>
      <c r="AH38" s="345" t="s">
        <v>209</v>
      </c>
      <c r="AI38" s="345" t="s">
        <v>210</v>
      </c>
      <c r="AJ38" s="345"/>
      <c r="AK38" s="345"/>
      <c r="AL38" s="345"/>
      <c r="AM38" s="11"/>
      <c r="AN38" s="11"/>
      <c r="AO38" s="11"/>
    </row>
    <row r="39" spans="1:41" x14ac:dyDescent="0.25">
      <c r="A39" s="311"/>
      <c r="B39" s="316"/>
      <c r="C39" s="316"/>
      <c r="D39" s="316"/>
      <c r="E39" s="319"/>
      <c r="F39" s="336"/>
      <c r="G39" s="336"/>
      <c r="H39" s="336"/>
      <c r="I39" s="336"/>
      <c r="J39" s="336"/>
      <c r="K39" s="336"/>
      <c r="L39" s="336"/>
      <c r="M39" s="336"/>
      <c r="N39" s="336"/>
      <c r="O39" s="336"/>
      <c r="P39" s="336"/>
      <c r="Q39" s="336"/>
      <c r="R39" s="443"/>
      <c r="S39" s="336"/>
      <c r="T39" s="336"/>
      <c r="U39" s="314"/>
      <c r="V39" s="318">
        <v>0</v>
      </c>
      <c r="W39" s="447">
        <f t="shared" si="0"/>
        <v>0</v>
      </c>
      <c r="X39" s="447">
        <f t="shared" si="1"/>
        <v>0</v>
      </c>
      <c r="Y39" s="447">
        <f t="shared" si="2"/>
        <v>0</v>
      </c>
      <c r="Z39" s="447">
        <f t="shared" si="3"/>
        <v>0</v>
      </c>
      <c r="AA39" s="447">
        <f t="shared" si="4"/>
        <v>0</v>
      </c>
      <c r="AB39" s="447" t="e">
        <f t="shared" si="5"/>
        <v>#DIV/0!</v>
      </c>
      <c r="AC39" s="448" t="e">
        <f t="shared" si="6"/>
        <v>#DIV/0!</v>
      </c>
      <c r="AD39" s="11"/>
      <c r="AE39" s="349" t="str">
        <f>AF39&amp;TM[[#This Row],[Insurer Code]]&amp;"; "&amp;AG39&amp;TM[[#This Row],[Reporting Year]]&amp;"; "&amp;AH39&amp;TM[[#This Row],[Insurance Category Code]]&amp;"; "&amp;AI39&amp;TM[[#This Row],[Large Provider Entity Code]]</f>
        <v xml:space="preserve">Insurer Code ; Reporting Year ; Insurance Category Code ; Large Provider Entity Code </v>
      </c>
      <c r="AF39" s="345" t="s">
        <v>207</v>
      </c>
      <c r="AG39" s="345" t="s">
        <v>208</v>
      </c>
      <c r="AH39" s="345" t="s">
        <v>209</v>
      </c>
      <c r="AI39" s="345" t="s">
        <v>210</v>
      </c>
      <c r="AJ39" s="345"/>
      <c r="AK39" s="345"/>
      <c r="AL39" s="345"/>
      <c r="AM39" s="11"/>
      <c r="AN39" s="11"/>
      <c r="AO39" s="11"/>
    </row>
    <row r="40" spans="1:41" x14ac:dyDescent="0.25">
      <c r="A40" s="311"/>
      <c r="B40" s="312"/>
      <c r="C40" s="312"/>
      <c r="D40" s="312"/>
      <c r="E40" s="313"/>
      <c r="F40" s="314"/>
      <c r="G40" s="314"/>
      <c r="H40" s="314"/>
      <c r="I40" s="314"/>
      <c r="J40" s="314"/>
      <c r="K40" s="314"/>
      <c r="L40" s="314"/>
      <c r="M40" s="314"/>
      <c r="N40" s="314"/>
      <c r="O40" s="314"/>
      <c r="P40" s="314"/>
      <c r="Q40" s="314"/>
      <c r="R40" s="442"/>
      <c r="S40" s="314"/>
      <c r="T40" s="314"/>
      <c r="U40" s="314"/>
      <c r="V40" s="315">
        <v>0</v>
      </c>
      <c r="W40" s="447">
        <f t="shared" si="0"/>
        <v>0</v>
      </c>
      <c r="X40" s="447">
        <f t="shared" si="1"/>
        <v>0</v>
      </c>
      <c r="Y40" s="447">
        <f t="shared" si="2"/>
        <v>0</v>
      </c>
      <c r="Z40" s="447">
        <f t="shared" si="3"/>
        <v>0</v>
      </c>
      <c r="AA40" s="447">
        <f t="shared" si="4"/>
        <v>0</v>
      </c>
      <c r="AB40" s="447" t="e">
        <f t="shared" si="5"/>
        <v>#DIV/0!</v>
      </c>
      <c r="AC40" s="448" t="e">
        <f t="shared" si="6"/>
        <v>#DIV/0!</v>
      </c>
      <c r="AD40" s="11"/>
      <c r="AE40" s="349" t="str">
        <f>AF40&amp;TM[[#This Row],[Insurer Code]]&amp;"; "&amp;AG40&amp;TM[[#This Row],[Reporting Year]]&amp;"; "&amp;AH40&amp;TM[[#This Row],[Insurance Category Code]]&amp;"; "&amp;AI40&amp;TM[[#This Row],[Large Provider Entity Code]]</f>
        <v xml:space="preserve">Insurer Code ; Reporting Year ; Insurance Category Code ; Large Provider Entity Code </v>
      </c>
      <c r="AF40" s="345" t="s">
        <v>207</v>
      </c>
      <c r="AG40" s="345" t="s">
        <v>208</v>
      </c>
      <c r="AH40" s="345" t="s">
        <v>209</v>
      </c>
      <c r="AI40" s="345" t="s">
        <v>210</v>
      </c>
      <c r="AJ40" s="345"/>
      <c r="AK40" s="345"/>
      <c r="AL40" s="345"/>
      <c r="AM40" s="11"/>
      <c r="AN40" s="11"/>
      <c r="AO40" s="11"/>
    </row>
    <row r="41" spans="1:41" x14ac:dyDescent="0.25">
      <c r="A41" s="311"/>
      <c r="B41" s="316"/>
      <c r="C41" s="316"/>
      <c r="D41" s="316"/>
      <c r="E41" s="317"/>
      <c r="F41" s="336"/>
      <c r="G41" s="336"/>
      <c r="H41" s="336"/>
      <c r="I41" s="336"/>
      <c r="J41" s="336"/>
      <c r="K41" s="336"/>
      <c r="L41" s="336"/>
      <c r="M41" s="336"/>
      <c r="N41" s="336"/>
      <c r="O41" s="336"/>
      <c r="P41" s="336"/>
      <c r="Q41" s="336"/>
      <c r="R41" s="443"/>
      <c r="S41" s="336"/>
      <c r="T41" s="336"/>
      <c r="U41" s="314"/>
      <c r="V41" s="318">
        <v>11</v>
      </c>
      <c r="W41" s="447">
        <f t="shared" si="0"/>
        <v>0</v>
      </c>
      <c r="X41" s="447">
        <f t="shared" si="1"/>
        <v>0</v>
      </c>
      <c r="Y41" s="447">
        <f t="shared" si="2"/>
        <v>0</v>
      </c>
      <c r="Z41" s="447">
        <f t="shared" si="3"/>
        <v>0</v>
      </c>
      <c r="AA41" s="447">
        <f t="shared" si="4"/>
        <v>0</v>
      </c>
      <c r="AB41" s="447" t="e">
        <f t="shared" si="5"/>
        <v>#DIV/0!</v>
      </c>
      <c r="AC41" s="448" t="e">
        <f t="shared" si="6"/>
        <v>#DIV/0!</v>
      </c>
      <c r="AD41" s="11"/>
      <c r="AE41" s="349" t="str">
        <f>AF41&amp;TM[[#This Row],[Insurer Code]]&amp;"; "&amp;AG41&amp;TM[[#This Row],[Reporting Year]]&amp;"; "&amp;AH41&amp;TM[[#This Row],[Insurance Category Code]]&amp;"; "&amp;AI41&amp;TM[[#This Row],[Large Provider Entity Code]]</f>
        <v xml:space="preserve">Insurer Code ; Reporting Year ; Insurance Category Code ; Large Provider Entity Code </v>
      </c>
      <c r="AF41" s="345" t="s">
        <v>207</v>
      </c>
      <c r="AG41" s="345" t="s">
        <v>208</v>
      </c>
      <c r="AH41" s="345" t="s">
        <v>209</v>
      </c>
      <c r="AI41" s="345" t="s">
        <v>210</v>
      </c>
      <c r="AJ41" s="345"/>
      <c r="AK41" s="345"/>
      <c r="AL41" s="345"/>
      <c r="AM41" s="11"/>
      <c r="AN41" s="11"/>
      <c r="AO41" s="11"/>
    </row>
    <row r="42" spans="1:41" x14ac:dyDescent="0.25">
      <c r="A42" s="311"/>
      <c r="B42" s="316"/>
      <c r="C42" s="316"/>
      <c r="D42" s="316"/>
      <c r="E42" s="317"/>
      <c r="F42" s="336"/>
      <c r="G42" s="336"/>
      <c r="H42" s="336"/>
      <c r="I42" s="336"/>
      <c r="J42" s="336"/>
      <c r="K42" s="336"/>
      <c r="L42" s="336"/>
      <c r="M42" s="336"/>
      <c r="N42" s="336"/>
      <c r="O42" s="336"/>
      <c r="P42" s="336"/>
      <c r="Q42" s="336"/>
      <c r="R42" s="443"/>
      <c r="S42" s="336"/>
      <c r="T42" s="336"/>
      <c r="U42" s="314"/>
      <c r="V42" s="318">
        <v>0</v>
      </c>
      <c r="W42" s="447">
        <f t="shared" si="0"/>
        <v>0</v>
      </c>
      <c r="X42" s="447">
        <f t="shared" si="1"/>
        <v>0</v>
      </c>
      <c r="Y42" s="447">
        <f t="shared" si="2"/>
        <v>0</v>
      </c>
      <c r="Z42" s="447">
        <f t="shared" si="3"/>
        <v>0</v>
      </c>
      <c r="AA42" s="447">
        <f t="shared" si="4"/>
        <v>0</v>
      </c>
      <c r="AB42" s="447" t="e">
        <f t="shared" si="5"/>
        <v>#DIV/0!</v>
      </c>
      <c r="AC42" s="448" t="e">
        <f t="shared" si="6"/>
        <v>#DIV/0!</v>
      </c>
      <c r="AD42" s="11"/>
      <c r="AE42" s="349" t="str">
        <f>AF42&amp;TM[[#This Row],[Insurer Code]]&amp;"; "&amp;AG42&amp;TM[[#This Row],[Reporting Year]]&amp;"; "&amp;AH42&amp;TM[[#This Row],[Insurance Category Code]]&amp;"; "&amp;AI42&amp;TM[[#This Row],[Large Provider Entity Code]]</f>
        <v xml:space="preserve">Insurer Code ; Reporting Year ; Insurance Category Code ; Large Provider Entity Code </v>
      </c>
      <c r="AF42" s="345" t="s">
        <v>207</v>
      </c>
      <c r="AG42" s="345" t="s">
        <v>208</v>
      </c>
      <c r="AH42" s="345" t="s">
        <v>209</v>
      </c>
      <c r="AI42" s="345" t="s">
        <v>210</v>
      </c>
      <c r="AJ42" s="345"/>
      <c r="AK42" s="345"/>
      <c r="AL42" s="345"/>
      <c r="AM42" s="11"/>
      <c r="AN42" s="11"/>
      <c r="AO42" s="11"/>
    </row>
    <row r="43" spans="1:41" x14ac:dyDescent="0.25">
      <c r="A43" s="311"/>
      <c r="B43" s="316"/>
      <c r="C43" s="316"/>
      <c r="D43" s="316"/>
      <c r="E43" s="317"/>
      <c r="F43" s="336"/>
      <c r="G43" s="336"/>
      <c r="H43" s="336"/>
      <c r="I43" s="336"/>
      <c r="J43" s="336"/>
      <c r="K43" s="336"/>
      <c r="L43" s="336"/>
      <c r="M43" s="336"/>
      <c r="N43" s="336"/>
      <c r="O43" s="336"/>
      <c r="P43" s="336"/>
      <c r="Q43" s="336"/>
      <c r="R43" s="443"/>
      <c r="S43" s="336"/>
      <c r="T43" s="336"/>
      <c r="U43" s="314"/>
      <c r="V43" s="318">
        <v>0</v>
      </c>
      <c r="W43" s="447">
        <f t="shared" si="0"/>
        <v>0</v>
      </c>
      <c r="X43" s="447">
        <f t="shared" si="1"/>
        <v>0</v>
      </c>
      <c r="Y43" s="447">
        <f t="shared" si="2"/>
        <v>0</v>
      </c>
      <c r="Z43" s="447">
        <f t="shared" si="3"/>
        <v>0</v>
      </c>
      <c r="AA43" s="447">
        <f t="shared" si="4"/>
        <v>0</v>
      </c>
      <c r="AB43" s="447" t="e">
        <f t="shared" si="5"/>
        <v>#DIV/0!</v>
      </c>
      <c r="AC43" s="448" t="e">
        <f t="shared" si="6"/>
        <v>#DIV/0!</v>
      </c>
      <c r="AD43" s="11"/>
      <c r="AE43" s="349" t="str">
        <f>AF43&amp;TM[[#This Row],[Insurer Code]]&amp;"; "&amp;AG43&amp;TM[[#This Row],[Reporting Year]]&amp;"; "&amp;AH43&amp;TM[[#This Row],[Insurance Category Code]]&amp;"; "&amp;AI43&amp;TM[[#This Row],[Large Provider Entity Code]]</f>
        <v xml:space="preserve">Insurer Code ; Reporting Year ; Insurance Category Code ; Large Provider Entity Code </v>
      </c>
      <c r="AF43" s="345" t="s">
        <v>207</v>
      </c>
      <c r="AG43" s="345" t="s">
        <v>208</v>
      </c>
      <c r="AH43" s="345" t="s">
        <v>209</v>
      </c>
      <c r="AI43" s="345" t="s">
        <v>210</v>
      </c>
      <c r="AJ43" s="345"/>
      <c r="AK43" s="345"/>
      <c r="AL43" s="345"/>
      <c r="AM43" s="11"/>
      <c r="AN43" s="11"/>
      <c r="AO43" s="11"/>
    </row>
    <row r="44" spans="1:41" x14ac:dyDescent="0.25">
      <c r="A44" s="311"/>
      <c r="B44" s="312"/>
      <c r="C44" s="312"/>
      <c r="D44" s="312"/>
      <c r="E44" s="313"/>
      <c r="F44" s="314"/>
      <c r="G44" s="314"/>
      <c r="H44" s="314"/>
      <c r="I44" s="314"/>
      <c r="J44" s="314"/>
      <c r="K44" s="314"/>
      <c r="L44" s="314"/>
      <c r="M44" s="314"/>
      <c r="N44" s="314"/>
      <c r="O44" s="314"/>
      <c r="P44" s="314"/>
      <c r="Q44" s="314"/>
      <c r="R44" s="442"/>
      <c r="S44" s="314"/>
      <c r="T44" s="314"/>
      <c r="U44" s="314"/>
      <c r="V44" s="315">
        <v>11</v>
      </c>
      <c r="W44" s="447">
        <f t="shared" si="0"/>
        <v>0</v>
      </c>
      <c r="X44" s="447">
        <f t="shared" si="1"/>
        <v>0</v>
      </c>
      <c r="Y44" s="447">
        <f t="shared" si="2"/>
        <v>0</v>
      </c>
      <c r="Z44" s="447">
        <f t="shared" si="3"/>
        <v>0</v>
      </c>
      <c r="AA44" s="447">
        <f t="shared" si="4"/>
        <v>0</v>
      </c>
      <c r="AB44" s="447" t="e">
        <f t="shared" si="5"/>
        <v>#DIV/0!</v>
      </c>
      <c r="AC44" s="448" t="e">
        <f t="shared" si="6"/>
        <v>#DIV/0!</v>
      </c>
      <c r="AD44" s="11"/>
      <c r="AE44" s="349" t="str">
        <f>AF44&amp;TM[[#This Row],[Insurer Code]]&amp;"; "&amp;AG44&amp;TM[[#This Row],[Reporting Year]]&amp;"; "&amp;AH44&amp;TM[[#This Row],[Insurance Category Code]]&amp;"; "&amp;AI44&amp;TM[[#This Row],[Large Provider Entity Code]]</f>
        <v xml:space="preserve">Insurer Code ; Reporting Year ; Insurance Category Code ; Large Provider Entity Code </v>
      </c>
      <c r="AF44" s="345" t="s">
        <v>207</v>
      </c>
      <c r="AG44" s="345" t="s">
        <v>208</v>
      </c>
      <c r="AH44" s="345" t="s">
        <v>209</v>
      </c>
      <c r="AI44" s="345" t="s">
        <v>210</v>
      </c>
      <c r="AJ44" s="345"/>
      <c r="AK44" s="345"/>
      <c r="AL44" s="345"/>
      <c r="AM44" s="11"/>
      <c r="AN44" s="11"/>
      <c r="AO44" s="11"/>
    </row>
    <row r="45" spans="1:41" x14ac:dyDescent="0.25">
      <c r="A45" s="311"/>
      <c r="B45" s="312"/>
      <c r="C45" s="312"/>
      <c r="D45" s="312"/>
      <c r="E45" s="313"/>
      <c r="F45" s="314"/>
      <c r="G45" s="314"/>
      <c r="H45" s="314"/>
      <c r="I45" s="314"/>
      <c r="J45" s="314"/>
      <c r="K45" s="314"/>
      <c r="L45" s="314"/>
      <c r="M45" s="314"/>
      <c r="N45" s="314"/>
      <c r="O45" s="314"/>
      <c r="P45" s="314"/>
      <c r="Q45" s="314"/>
      <c r="R45" s="442"/>
      <c r="S45" s="314"/>
      <c r="T45" s="314"/>
      <c r="U45" s="314"/>
      <c r="V45" s="315">
        <v>24</v>
      </c>
      <c r="W45" s="447">
        <f t="shared" si="0"/>
        <v>0</v>
      </c>
      <c r="X45" s="447">
        <f t="shared" si="1"/>
        <v>0</v>
      </c>
      <c r="Y45" s="447">
        <f t="shared" si="2"/>
        <v>0</v>
      </c>
      <c r="Z45" s="447">
        <f t="shared" si="3"/>
        <v>0</v>
      </c>
      <c r="AA45" s="447">
        <f t="shared" si="4"/>
        <v>0</v>
      </c>
      <c r="AB45" s="447" t="e">
        <f t="shared" si="5"/>
        <v>#DIV/0!</v>
      </c>
      <c r="AC45" s="448" t="e">
        <f t="shared" si="6"/>
        <v>#DIV/0!</v>
      </c>
      <c r="AD45" s="11"/>
      <c r="AE45" s="349" t="str">
        <f>AF45&amp;TM[[#This Row],[Insurer Code]]&amp;"; "&amp;AG45&amp;TM[[#This Row],[Reporting Year]]&amp;"; "&amp;AH45&amp;TM[[#This Row],[Insurance Category Code]]&amp;"; "&amp;AI45&amp;TM[[#This Row],[Large Provider Entity Code]]</f>
        <v xml:space="preserve">Insurer Code ; Reporting Year ; Insurance Category Code ; Large Provider Entity Code </v>
      </c>
      <c r="AF45" s="345" t="s">
        <v>207</v>
      </c>
      <c r="AG45" s="345" t="s">
        <v>208</v>
      </c>
      <c r="AH45" s="345" t="s">
        <v>209</v>
      </c>
      <c r="AI45" s="345" t="s">
        <v>210</v>
      </c>
      <c r="AJ45" s="345"/>
      <c r="AK45" s="345"/>
      <c r="AL45" s="345"/>
      <c r="AM45" s="11"/>
      <c r="AN45" s="11"/>
      <c r="AO45" s="11"/>
    </row>
    <row r="46" spans="1:41" x14ac:dyDescent="0.25">
      <c r="A46" s="311"/>
      <c r="B46" s="316"/>
      <c r="C46" s="316"/>
      <c r="D46" s="316"/>
      <c r="E46" s="317"/>
      <c r="F46" s="336"/>
      <c r="G46" s="336"/>
      <c r="H46" s="336"/>
      <c r="I46" s="336"/>
      <c r="J46" s="336"/>
      <c r="K46" s="336"/>
      <c r="L46" s="336"/>
      <c r="M46" s="336"/>
      <c r="N46" s="336"/>
      <c r="O46" s="336"/>
      <c r="P46" s="336"/>
      <c r="Q46" s="336"/>
      <c r="R46" s="443"/>
      <c r="S46" s="336"/>
      <c r="T46" s="336"/>
      <c r="U46" s="314"/>
      <c r="V46" s="318">
        <v>9</v>
      </c>
      <c r="W46" s="447">
        <f t="shared" si="0"/>
        <v>0</v>
      </c>
      <c r="X46" s="447">
        <f t="shared" si="1"/>
        <v>0</v>
      </c>
      <c r="Y46" s="447">
        <f t="shared" si="2"/>
        <v>0</v>
      </c>
      <c r="Z46" s="447">
        <f t="shared" si="3"/>
        <v>0</v>
      </c>
      <c r="AA46" s="447">
        <f t="shared" si="4"/>
        <v>0</v>
      </c>
      <c r="AB46" s="447" t="e">
        <f t="shared" si="5"/>
        <v>#DIV/0!</v>
      </c>
      <c r="AC46" s="448" t="e">
        <f t="shared" si="6"/>
        <v>#DIV/0!</v>
      </c>
      <c r="AD46" s="11"/>
      <c r="AE46" s="349" t="str">
        <f>AF46&amp;TM[[#This Row],[Insurer Code]]&amp;"; "&amp;AG46&amp;TM[[#This Row],[Reporting Year]]&amp;"; "&amp;AH46&amp;TM[[#This Row],[Insurance Category Code]]&amp;"; "&amp;AI46&amp;TM[[#This Row],[Large Provider Entity Code]]</f>
        <v xml:space="preserve">Insurer Code ; Reporting Year ; Insurance Category Code ; Large Provider Entity Code </v>
      </c>
      <c r="AF46" s="345" t="s">
        <v>207</v>
      </c>
      <c r="AG46" s="345" t="s">
        <v>208</v>
      </c>
      <c r="AH46" s="345" t="s">
        <v>209</v>
      </c>
      <c r="AI46" s="345" t="s">
        <v>210</v>
      </c>
      <c r="AJ46" s="345"/>
      <c r="AK46" s="345"/>
      <c r="AL46" s="345"/>
      <c r="AM46" s="11"/>
      <c r="AN46" s="11"/>
      <c r="AO46" s="11"/>
    </row>
    <row r="47" spans="1:41" x14ac:dyDescent="0.25">
      <c r="A47" s="311"/>
      <c r="B47" s="316"/>
      <c r="C47" s="316"/>
      <c r="D47" s="316"/>
      <c r="E47" s="317"/>
      <c r="F47" s="336"/>
      <c r="G47" s="336"/>
      <c r="H47" s="336"/>
      <c r="I47" s="336"/>
      <c r="J47" s="336"/>
      <c r="K47" s="336"/>
      <c r="L47" s="336"/>
      <c r="M47" s="336"/>
      <c r="N47" s="336"/>
      <c r="O47" s="336"/>
      <c r="P47" s="336"/>
      <c r="Q47" s="336"/>
      <c r="R47" s="443"/>
      <c r="S47" s="336"/>
      <c r="T47" s="336"/>
      <c r="U47" s="314"/>
      <c r="V47" s="318">
        <v>0</v>
      </c>
      <c r="W47" s="447">
        <f t="shared" si="0"/>
        <v>0</v>
      </c>
      <c r="X47" s="447">
        <f t="shared" si="1"/>
        <v>0</v>
      </c>
      <c r="Y47" s="447">
        <f t="shared" si="2"/>
        <v>0</v>
      </c>
      <c r="Z47" s="447">
        <f t="shared" si="3"/>
        <v>0</v>
      </c>
      <c r="AA47" s="447">
        <f t="shared" si="4"/>
        <v>0</v>
      </c>
      <c r="AB47" s="447" t="e">
        <f t="shared" si="5"/>
        <v>#DIV/0!</v>
      </c>
      <c r="AC47" s="448" t="e">
        <f t="shared" si="6"/>
        <v>#DIV/0!</v>
      </c>
      <c r="AD47" s="11"/>
      <c r="AE47" s="349" t="str">
        <f>AF47&amp;TM[[#This Row],[Insurer Code]]&amp;"; "&amp;AG47&amp;TM[[#This Row],[Reporting Year]]&amp;"; "&amp;AH47&amp;TM[[#This Row],[Insurance Category Code]]&amp;"; "&amp;AI47&amp;TM[[#This Row],[Large Provider Entity Code]]</f>
        <v xml:space="preserve">Insurer Code ; Reporting Year ; Insurance Category Code ; Large Provider Entity Code </v>
      </c>
      <c r="AF47" s="345" t="s">
        <v>207</v>
      </c>
      <c r="AG47" s="345" t="s">
        <v>208</v>
      </c>
      <c r="AH47" s="345" t="s">
        <v>209</v>
      </c>
      <c r="AI47" s="345" t="s">
        <v>210</v>
      </c>
      <c r="AJ47" s="345"/>
      <c r="AK47" s="345"/>
      <c r="AL47" s="345"/>
      <c r="AM47" s="11"/>
      <c r="AN47" s="11"/>
      <c r="AO47" s="11"/>
    </row>
    <row r="48" spans="1:41" x14ac:dyDescent="0.25">
      <c r="A48" s="311"/>
      <c r="B48" s="316"/>
      <c r="C48" s="316"/>
      <c r="D48" s="316"/>
      <c r="E48" s="317"/>
      <c r="F48" s="336"/>
      <c r="G48" s="336"/>
      <c r="H48" s="336"/>
      <c r="I48" s="336"/>
      <c r="J48" s="336"/>
      <c r="K48" s="336"/>
      <c r="L48" s="336"/>
      <c r="M48" s="336"/>
      <c r="N48" s="336"/>
      <c r="O48" s="336"/>
      <c r="P48" s="336"/>
      <c r="Q48" s="336"/>
      <c r="R48" s="443"/>
      <c r="S48" s="336"/>
      <c r="T48" s="336"/>
      <c r="U48" s="314"/>
      <c r="V48" s="318">
        <v>0</v>
      </c>
      <c r="W48" s="447">
        <f t="shared" si="0"/>
        <v>0</v>
      </c>
      <c r="X48" s="447">
        <f t="shared" si="1"/>
        <v>0</v>
      </c>
      <c r="Y48" s="447">
        <f t="shared" si="2"/>
        <v>0</v>
      </c>
      <c r="Z48" s="447">
        <f t="shared" si="3"/>
        <v>0</v>
      </c>
      <c r="AA48" s="447">
        <f t="shared" si="4"/>
        <v>0</v>
      </c>
      <c r="AB48" s="447" t="e">
        <f t="shared" si="5"/>
        <v>#DIV/0!</v>
      </c>
      <c r="AC48" s="448" t="e">
        <f t="shared" si="6"/>
        <v>#DIV/0!</v>
      </c>
      <c r="AD48" s="11"/>
      <c r="AE48" s="349" t="str">
        <f>AF48&amp;TM[[#This Row],[Insurer Code]]&amp;"; "&amp;AG48&amp;TM[[#This Row],[Reporting Year]]&amp;"; "&amp;AH48&amp;TM[[#This Row],[Insurance Category Code]]&amp;"; "&amp;AI48&amp;TM[[#This Row],[Large Provider Entity Code]]</f>
        <v xml:space="preserve">Insurer Code ; Reporting Year ; Insurance Category Code ; Large Provider Entity Code </v>
      </c>
      <c r="AF48" s="345" t="s">
        <v>207</v>
      </c>
      <c r="AG48" s="345" t="s">
        <v>208</v>
      </c>
      <c r="AH48" s="345" t="s">
        <v>209</v>
      </c>
      <c r="AI48" s="345" t="s">
        <v>210</v>
      </c>
      <c r="AJ48" s="345"/>
      <c r="AK48" s="345"/>
      <c r="AL48" s="345"/>
      <c r="AM48" s="11"/>
      <c r="AN48" s="11"/>
      <c r="AO48" s="11"/>
    </row>
    <row r="49" spans="1:41" x14ac:dyDescent="0.25">
      <c r="A49" s="311"/>
      <c r="B49" s="316"/>
      <c r="C49" s="316"/>
      <c r="D49" s="316"/>
      <c r="E49" s="319"/>
      <c r="F49" s="336"/>
      <c r="G49" s="336"/>
      <c r="H49" s="336"/>
      <c r="I49" s="336"/>
      <c r="J49" s="336"/>
      <c r="K49" s="336"/>
      <c r="L49" s="336"/>
      <c r="M49" s="336"/>
      <c r="N49" s="336"/>
      <c r="O49" s="336"/>
      <c r="P49" s="336"/>
      <c r="Q49" s="336"/>
      <c r="R49" s="443"/>
      <c r="S49" s="336"/>
      <c r="T49" s="336"/>
      <c r="U49" s="314"/>
      <c r="V49" s="318">
        <v>7</v>
      </c>
      <c r="W49" s="447">
        <f t="shared" si="0"/>
        <v>0</v>
      </c>
      <c r="X49" s="447">
        <f t="shared" si="1"/>
        <v>0</v>
      </c>
      <c r="Y49" s="447">
        <f t="shared" si="2"/>
        <v>0</v>
      </c>
      <c r="Z49" s="447">
        <f t="shared" si="3"/>
        <v>0</v>
      </c>
      <c r="AA49" s="447">
        <f t="shared" si="4"/>
        <v>0</v>
      </c>
      <c r="AB49" s="447" t="e">
        <f t="shared" si="5"/>
        <v>#DIV/0!</v>
      </c>
      <c r="AC49" s="448" t="e">
        <f t="shared" si="6"/>
        <v>#DIV/0!</v>
      </c>
      <c r="AD49" s="11"/>
      <c r="AE49" s="349" t="str">
        <f>AF49&amp;TM[[#This Row],[Insurer Code]]&amp;"; "&amp;AG49&amp;TM[[#This Row],[Reporting Year]]&amp;"; "&amp;AH49&amp;TM[[#This Row],[Insurance Category Code]]&amp;"; "&amp;AI49&amp;TM[[#This Row],[Large Provider Entity Code]]</f>
        <v xml:space="preserve">Insurer Code ; Reporting Year ; Insurance Category Code ; Large Provider Entity Code </v>
      </c>
      <c r="AF49" s="345" t="s">
        <v>207</v>
      </c>
      <c r="AG49" s="345" t="s">
        <v>208</v>
      </c>
      <c r="AH49" s="345" t="s">
        <v>209</v>
      </c>
      <c r="AI49" s="345" t="s">
        <v>210</v>
      </c>
      <c r="AJ49" s="345"/>
      <c r="AK49" s="345"/>
      <c r="AL49" s="345"/>
      <c r="AM49" s="11"/>
      <c r="AN49" s="11"/>
      <c r="AO49" s="11"/>
    </row>
    <row r="50" spans="1:41" x14ac:dyDescent="0.25">
      <c r="A50" s="311"/>
      <c r="B50" s="312"/>
      <c r="C50" s="312"/>
      <c r="D50" s="312"/>
      <c r="E50" s="328"/>
      <c r="F50" s="442"/>
      <c r="G50" s="314"/>
      <c r="H50" s="314"/>
      <c r="I50" s="314"/>
      <c r="J50" s="314"/>
      <c r="K50" s="314"/>
      <c r="L50" s="314"/>
      <c r="M50" s="314"/>
      <c r="N50" s="314"/>
      <c r="O50" s="314"/>
      <c r="P50" s="314"/>
      <c r="Q50" s="314"/>
      <c r="R50" s="442"/>
      <c r="S50" s="314"/>
      <c r="T50" s="314"/>
      <c r="U50" s="314"/>
      <c r="V50" s="315">
        <v>1</v>
      </c>
      <c r="W50" s="447">
        <f t="shared" si="0"/>
        <v>0</v>
      </c>
      <c r="X50" s="447">
        <f t="shared" si="1"/>
        <v>0</v>
      </c>
      <c r="Y50" s="447">
        <f t="shared" si="2"/>
        <v>0</v>
      </c>
      <c r="Z50" s="447">
        <f t="shared" si="3"/>
        <v>0</v>
      </c>
      <c r="AA50" s="447">
        <f t="shared" si="4"/>
        <v>0</v>
      </c>
      <c r="AB50" s="447" t="e">
        <f t="shared" si="5"/>
        <v>#DIV/0!</v>
      </c>
      <c r="AC50" s="448" t="e">
        <f t="shared" si="6"/>
        <v>#DIV/0!</v>
      </c>
      <c r="AD50" s="11"/>
      <c r="AE50" s="349" t="str">
        <f>AF50&amp;TM[[#This Row],[Insurer Code]]&amp;"; "&amp;AG50&amp;TM[[#This Row],[Reporting Year]]&amp;"; "&amp;AH50&amp;TM[[#This Row],[Insurance Category Code]]&amp;"; "&amp;AI50&amp;TM[[#This Row],[Large Provider Entity Code]]</f>
        <v xml:space="preserve">Insurer Code ; Reporting Year ; Insurance Category Code ; Large Provider Entity Code </v>
      </c>
      <c r="AF50" s="345" t="s">
        <v>207</v>
      </c>
      <c r="AG50" s="345" t="s">
        <v>208</v>
      </c>
      <c r="AH50" s="345" t="s">
        <v>209</v>
      </c>
      <c r="AI50" s="345" t="s">
        <v>210</v>
      </c>
      <c r="AJ50" s="345"/>
      <c r="AK50" s="345"/>
      <c r="AL50" s="345"/>
      <c r="AM50" s="11"/>
      <c r="AN50" s="11"/>
      <c r="AO50" s="11"/>
    </row>
    <row r="51" spans="1:41" x14ac:dyDescent="0.25">
      <c r="A51" s="311"/>
      <c r="B51" s="312"/>
      <c r="C51" s="312"/>
      <c r="D51" s="312"/>
      <c r="E51" s="328"/>
      <c r="F51" s="442"/>
      <c r="G51" s="314"/>
      <c r="H51" s="314"/>
      <c r="I51" s="314"/>
      <c r="J51" s="314"/>
      <c r="K51" s="314"/>
      <c r="L51" s="314"/>
      <c r="M51" s="314"/>
      <c r="N51" s="314"/>
      <c r="O51" s="314"/>
      <c r="P51" s="314"/>
      <c r="Q51" s="314"/>
      <c r="R51" s="442"/>
      <c r="S51" s="314"/>
      <c r="T51" s="314"/>
      <c r="U51" s="314"/>
      <c r="V51" s="315">
        <v>8</v>
      </c>
      <c r="W51" s="447">
        <f t="shared" si="0"/>
        <v>0</v>
      </c>
      <c r="X51" s="447">
        <f t="shared" si="1"/>
        <v>0</v>
      </c>
      <c r="Y51" s="447">
        <f t="shared" si="2"/>
        <v>0</v>
      </c>
      <c r="Z51" s="447">
        <f t="shared" si="3"/>
        <v>0</v>
      </c>
      <c r="AA51" s="447">
        <f t="shared" si="4"/>
        <v>0</v>
      </c>
      <c r="AB51" s="447" t="e">
        <f t="shared" si="5"/>
        <v>#DIV/0!</v>
      </c>
      <c r="AC51" s="448" t="e">
        <f t="shared" si="6"/>
        <v>#DIV/0!</v>
      </c>
      <c r="AD51" s="11"/>
      <c r="AE51" s="349" t="str">
        <f>AF51&amp;TM[[#This Row],[Insurer Code]]&amp;"; "&amp;AG51&amp;TM[[#This Row],[Reporting Year]]&amp;"; "&amp;AH51&amp;TM[[#This Row],[Insurance Category Code]]&amp;"; "&amp;AI51&amp;TM[[#This Row],[Large Provider Entity Code]]</f>
        <v xml:space="preserve">Insurer Code ; Reporting Year ; Insurance Category Code ; Large Provider Entity Code </v>
      </c>
      <c r="AF51" s="345" t="s">
        <v>207</v>
      </c>
      <c r="AG51" s="345" t="s">
        <v>208</v>
      </c>
      <c r="AH51" s="345" t="s">
        <v>209</v>
      </c>
      <c r="AI51" s="345" t="s">
        <v>210</v>
      </c>
      <c r="AJ51" s="345"/>
      <c r="AK51" s="345"/>
      <c r="AL51" s="345"/>
      <c r="AM51" s="11"/>
      <c r="AN51" s="11"/>
      <c r="AO51" s="11"/>
    </row>
    <row r="52" spans="1:41" x14ac:dyDescent="0.25">
      <c r="A52" s="311"/>
      <c r="B52" s="312"/>
      <c r="C52" s="312"/>
      <c r="D52" s="312"/>
      <c r="E52" s="328"/>
      <c r="F52" s="442"/>
      <c r="G52" s="314"/>
      <c r="H52" s="314"/>
      <c r="I52" s="314"/>
      <c r="J52" s="314"/>
      <c r="K52" s="314"/>
      <c r="L52" s="314"/>
      <c r="M52" s="314"/>
      <c r="N52" s="314"/>
      <c r="O52" s="314"/>
      <c r="P52" s="314"/>
      <c r="Q52" s="314"/>
      <c r="R52" s="442"/>
      <c r="S52" s="314"/>
      <c r="T52" s="314"/>
      <c r="U52" s="314"/>
      <c r="V52" s="315">
        <v>22</v>
      </c>
      <c r="W52" s="447">
        <f t="shared" si="0"/>
        <v>0</v>
      </c>
      <c r="X52" s="447">
        <f t="shared" si="1"/>
        <v>0</v>
      </c>
      <c r="Y52" s="447">
        <f t="shared" si="2"/>
        <v>0</v>
      </c>
      <c r="Z52" s="447">
        <f t="shared" si="3"/>
        <v>0</v>
      </c>
      <c r="AA52" s="447">
        <f t="shared" si="4"/>
        <v>0</v>
      </c>
      <c r="AB52" s="447" t="e">
        <f t="shared" si="5"/>
        <v>#DIV/0!</v>
      </c>
      <c r="AC52" s="448" t="e">
        <f t="shared" si="6"/>
        <v>#DIV/0!</v>
      </c>
      <c r="AD52" s="11"/>
      <c r="AE52" s="349" t="str">
        <f>AF52&amp;TM[[#This Row],[Insurer Code]]&amp;"; "&amp;AG52&amp;TM[[#This Row],[Reporting Year]]&amp;"; "&amp;AH52&amp;TM[[#This Row],[Insurance Category Code]]&amp;"; "&amp;AI52&amp;TM[[#This Row],[Large Provider Entity Code]]</f>
        <v xml:space="preserve">Insurer Code ; Reporting Year ; Insurance Category Code ; Large Provider Entity Code </v>
      </c>
      <c r="AF52" s="345" t="s">
        <v>207</v>
      </c>
      <c r="AG52" s="345" t="s">
        <v>208</v>
      </c>
      <c r="AH52" s="345" t="s">
        <v>209</v>
      </c>
      <c r="AI52" s="345" t="s">
        <v>210</v>
      </c>
      <c r="AJ52" s="345"/>
      <c r="AK52" s="345"/>
      <c r="AL52" s="345"/>
      <c r="AM52" s="11"/>
      <c r="AN52" s="11"/>
      <c r="AO52" s="11"/>
    </row>
    <row r="53" spans="1:41" x14ac:dyDescent="0.25">
      <c r="A53" s="311"/>
      <c r="B53" s="312"/>
      <c r="C53" s="312"/>
      <c r="D53" s="312"/>
      <c r="E53" s="328"/>
      <c r="F53" s="442"/>
      <c r="G53" s="314"/>
      <c r="H53" s="314"/>
      <c r="I53" s="314"/>
      <c r="J53" s="314"/>
      <c r="K53" s="314"/>
      <c r="L53" s="314"/>
      <c r="M53" s="314"/>
      <c r="N53" s="314"/>
      <c r="O53" s="314"/>
      <c r="P53" s="314"/>
      <c r="Q53" s="314"/>
      <c r="R53" s="442"/>
      <c r="S53" s="314"/>
      <c r="T53" s="314"/>
      <c r="U53" s="314"/>
      <c r="V53" s="315">
        <v>5</v>
      </c>
      <c r="W53" s="447">
        <f t="shared" si="0"/>
        <v>0</v>
      </c>
      <c r="X53" s="447">
        <f t="shared" si="1"/>
        <v>0</v>
      </c>
      <c r="Y53" s="447">
        <f t="shared" si="2"/>
        <v>0</v>
      </c>
      <c r="Z53" s="447">
        <f t="shared" si="3"/>
        <v>0</v>
      </c>
      <c r="AA53" s="447">
        <f t="shared" si="4"/>
        <v>0</v>
      </c>
      <c r="AB53" s="447" t="e">
        <f t="shared" si="5"/>
        <v>#DIV/0!</v>
      </c>
      <c r="AC53" s="448" t="e">
        <f t="shared" si="6"/>
        <v>#DIV/0!</v>
      </c>
      <c r="AD53" s="11"/>
      <c r="AE53" s="349" t="str">
        <f>AF53&amp;TM[[#This Row],[Insurer Code]]&amp;"; "&amp;AG53&amp;TM[[#This Row],[Reporting Year]]&amp;"; "&amp;AH53&amp;TM[[#This Row],[Insurance Category Code]]&amp;"; "&amp;AI53&amp;TM[[#This Row],[Large Provider Entity Code]]</f>
        <v xml:space="preserve">Insurer Code ; Reporting Year ; Insurance Category Code ; Large Provider Entity Code </v>
      </c>
      <c r="AF53" s="345" t="s">
        <v>207</v>
      </c>
      <c r="AG53" s="345" t="s">
        <v>208</v>
      </c>
      <c r="AH53" s="345" t="s">
        <v>209</v>
      </c>
      <c r="AI53" s="345" t="s">
        <v>210</v>
      </c>
      <c r="AJ53" s="345"/>
      <c r="AK53" s="345"/>
      <c r="AL53" s="345"/>
      <c r="AM53" s="11"/>
      <c r="AN53" s="11"/>
      <c r="AO53" s="11"/>
    </row>
    <row r="54" spans="1:41" x14ac:dyDescent="0.25">
      <c r="A54" s="311"/>
      <c r="B54" s="312"/>
      <c r="C54" s="312"/>
      <c r="D54" s="312"/>
      <c r="E54" s="328"/>
      <c r="F54" s="442"/>
      <c r="G54" s="314"/>
      <c r="H54" s="314"/>
      <c r="I54" s="314"/>
      <c r="J54" s="314"/>
      <c r="K54" s="314"/>
      <c r="L54" s="314"/>
      <c r="M54" s="314"/>
      <c r="N54" s="314"/>
      <c r="O54" s="314"/>
      <c r="P54" s="314"/>
      <c r="Q54" s="314"/>
      <c r="R54" s="442"/>
      <c r="S54" s="314"/>
      <c r="T54" s="314"/>
      <c r="U54" s="314"/>
      <c r="V54" s="315">
        <v>0</v>
      </c>
      <c r="W54" s="451">
        <f t="shared" si="0"/>
        <v>0</v>
      </c>
      <c r="X54" s="451">
        <f t="shared" si="1"/>
        <v>0</v>
      </c>
      <c r="Y54" s="451">
        <f t="shared" si="2"/>
        <v>0</v>
      </c>
      <c r="Z54" s="451">
        <f t="shared" si="3"/>
        <v>0</v>
      </c>
      <c r="AA54" s="451">
        <f t="shared" si="4"/>
        <v>0</v>
      </c>
      <c r="AB54" s="451" t="e">
        <f t="shared" si="5"/>
        <v>#DIV/0!</v>
      </c>
      <c r="AC54" s="452" t="e">
        <f t="shared" si="6"/>
        <v>#DIV/0!</v>
      </c>
      <c r="AD54" s="11"/>
      <c r="AE54" s="349" t="str">
        <f>AF54&amp;TM[[#This Row],[Insurer Code]]&amp;"; "&amp;AG54&amp;TM[[#This Row],[Reporting Year]]&amp;"; "&amp;AH54&amp;TM[[#This Row],[Insurance Category Code]]&amp;"; "&amp;AI54&amp;TM[[#This Row],[Large Provider Entity Code]]</f>
        <v xml:space="preserve">Insurer Code ; Reporting Year ; Insurance Category Code ; Large Provider Entity Code </v>
      </c>
      <c r="AF54" s="345" t="s">
        <v>207</v>
      </c>
      <c r="AG54" s="345" t="s">
        <v>208</v>
      </c>
      <c r="AH54" s="345" t="s">
        <v>209</v>
      </c>
      <c r="AI54" s="345" t="s">
        <v>210</v>
      </c>
      <c r="AJ54" s="345"/>
      <c r="AK54" s="345"/>
      <c r="AL54" s="345"/>
      <c r="AM54" s="11"/>
      <c r="AN54" s="11"/>
      <c r="AO54" s="11"/>
    </row>
    <row r="55" spans="1:41" x14ac:dyDescent="0.25">
      <c r="A55" s="311"/>
      <c r="B55" s="312"/>
      <c r="C55" s="312"/>
      <c r="D55" s="312"/>
      <c r="E55" s="328"/>
      <c r="F55" s="442"/>
      <c r="G55" s="314"/>
      <c r="H55" s="314"/>
      <c r="I55" s="314"/>
      <c r="J55" s="314"/>
      <c r="K55" s="314"/>
      <c r="L55" s="314"/>
      <c r="M55" s="314"/>
      <c r="N55" s="314"/>
      <c r="O55" s="314"/>
      <c r="P55" s="314"/>
      <c r="Q55" s="314"/>
      <c r="R55" s="442"/>
      <c r="S55" s="314"/>
      <c r="T55" s="314"/>
      <c r="U55" s="314"/>
      <c r="V55" s="315">
        <v>0</v>
      </c>
      <c r="W55" s="451">
        <f t="shared" si="0"/>
        <v>0</v>
      </c>
      <c r="X55" s="451">
        <f t="shared" si="1"/>
        <v>0</v>
      </c>
      <c r="Y55" s="451">
        <f t="shared" si="2"/>
        <v>0</v>
      </c>
      <c r="Z55" s="451">
        <f t="shared" si="3"/>
        <v>0</v>
      </c>
      <c r="AA55" s="451">
        <f t="shared" si="4"/>
        <v>0</v>
      </c>
      <c r="AB55" s="451" t="e">
        <f t="shared" si="5"/>
        <v>#DIV/0!</v>
      </c>
      <c r="AC55" s="452" t="e">
        <f t="shared" si="6"/>
        <v>#DIV/0!</v>
      </c>
      <c r="AD55" s="11"/>
      <c r="AE55" s="349" t="str">
        <f>AF55&amp;TM[[#This Row],[Insurer Code]]&amp;"; "&amp;AG55&amp;TM[[#This Row],[Reporting Year]]&amp;"; "&amp;AH55&amp;TM[[#This Row],[Insurance Category Code]]&amp;"; "&amp;AI55&amp;TM[[#This Row],[Large Provider Entity Code]]</f>
        <v xml:space="preserve">Insurer Code ; Reporting Year ; Insurance Category Code ; Large Provider Entity Code </v>
      </c>
      <c r="AF55" s="345" t="s">
        <v>207</v>
      </c>
      <c r="AG55" s="345" t="s">
        <v>208</v>
      </c>
      <c r="AH55" s="345" t="s">
        <v>209</v>
      </c>
      <c r="AI55" s="345" t="s">
        <v>210</v>
      </c>
      <c r="AJ55" s="345"/>
      <c r="AK55" s="345"/>
      <c r="AL55" s="345"/>
      <c r="AM55" s="11"/>
      <c r="AN55" s="11"/>
      <c r="AO55" s="11"/>
    </row>
    <row r="56" spans="1:41" x14ac:dyDescent="0.25">
      <c r="A56" s="311"/>
      <c r="B56" s="312"/>
      <c r="C56" s="312"/>
      <c r="D56" s="312"/>
      <c r="E56" s="328"/>
      <c r="F56" s="442"/>
      <c r="G56" s="314"/>
      <c r="H56" s="314"/>
      <c r="I56" s="314"/>
      <c r="J56" s="314"/>
      <c r="K56" s="314"/>
      <c r="L56" s="314"/>
      <c r="M56" s="314"/>
      <c r="N56" s="314"/>
      <c r="O56" s="314"/>
      <c r="P56" s="314"/>
      <c r="Q56" s="314"/>
      <c r="R56" s="442"/>
      <c r="S56" s="314"/>
      <c r="T56" s="314"/>
      <c r="U56" s="314"/>
      <c r="V56" s="315">
        <v>11</v>
      </c>
      <c r="W56" s="451">
        <f t="shared" si="0"/>
        <v>0</v>
      </c>
      <c r="X56" s="451">
        <f t="shared" si="1"/>
        <v>0</v>
      </c>
      <c r="Y56" s="451">
        <f t="shared" si="2"/>
        <v>0</v>
      </c>
      <c r="Z56" s="451">
        <f t="shared" si="3"/>
        <v>0</v>
      </c>
      <c r="AA56" s="451">
        <f t="shared" si="4"/>
        <v>0</v>
      </c>
      <c r="AB56" s="451" t="e">
        <f t="shared" si="5"/>
        <v>#DIV/0!</v>
      </c>
      <c r="AC56" s="452" t="e">
        <f t="shared" si="6"/>
        <v>#DIV/0!</v>
      </c>
      <c r="AD56" s="11"/>
      <c r="AE56" s="349" t="str">
        <f>AF56&amp;TM[[#This Row],[Insurer Code]]&amp;"; "&amp;AG56&amp;TM[[#This Row],[Reporting Year]]&amp;"; "&amp;AH56&amp;TM[[#This Row],[Insurance Category Code]]&amp;"; "&amp;AI56&amp;TM[[#This Row],[Large Provider Entity Code]]</f>
        <v xml:space="preserve">Insurer Code ; Reporting Year ; Insurance Category Code ; Large Provider Entity Code </v>
      </c>
      <c r="AF56" s="345" t="s">
        <v>207</v>
      </c>
      <c r="AG56" s="345" t="s">
        <v>208</v>
      </c>
      <c r="AH56" s="345" t="s">
        <v>209</v>
      </c>
      <c r="AI56" s="345" t="s">
        <v>210</v>
      </c>
      <c r="AJ56" s="345"/>
      <c r="AK56" s="345"/>
      <c r="AL56" s="345"/>
      <c r="AM56" s="11"/>
      <c r="AN56" s="11"/>
      <c r="AO56" s="11"/>
    </row>
    <row r="57" spans="1:41" x14ac:dyDescent="0.25">
      <c r="A57" s="311"/>
      <c r="B57" s="312"/>
      <c r="C57" s="312"/>
      <c r="D57" s="312"/>
      <c r="E57" s="328"/>
      <c r="F57" s="442"/>
      <c r="G57" s="314"/>
      <c r="H57" s="314"/>
      <c r="I57" s="314"/>
      <c r="J57" s="314"/>
      <c r="K57" s="314"/>
      <c r="L57" s="314"/>
      <c r="M57" s="314"/>
      <c r="N57" s="314"/>
      <c r="O57" s="314"/>
      <c r="P57" s="314"/>
      <c r="Q57" s="314"/>
      <c r="R57" s="442"/>
      <c r="S57" s="314"/>
      <c r="T57" s="314"/>
      <c r="U57" s="314"/>
      <c r="V57" s="315">
        <v>0</v>
      </c>
      <c r="W57" s="451">
        <f t="shared" si="0"/>
        <v>0</v>
      </c>
      <c r="X57" s="451">
        <f t="shared" si="1"/>
        <v>0</v>
      </c>
      <c r="Y57" s="451">
        <f t="shared" si="2"/>
        <v>0</v>
      </c>
      <c r="Z57" s="451">
        <f t="shared" si="3"/>
        <v>0</v>
      </c>
      <c r="AA57" s="451">
        <f t="shared" si="4"/>
        <v>0</v>
      </c>
      <c r="AB57" s="451" t="e">
        <f t="shared" si="5"/>
        <v>#DIV/0!</v>
      </c>
      <c r="AC57" s="452" t="e">
        <f t="shared" si="6"/>
        <v>#DIV/0!</v>
      </c>
      <c r="AD57" s="11"/>
      <c r="AE57" s="349" t="str">
        <f>AF57&amp;TM[[#This Row],[Insurer Code]]&amp;"; "&amp;AG57&amp;TM[[#This Row],[Reporting Year]]&amp;"; "&amp;AH57&amp;TM[[#This Row],[Insurance Category Code]]&amp;"; "&amp;AI57&amp;TM[[#This Row],[Large Provider Entity Code]]</f>
        <v xml:space="preserve">Insurer Code ; Reporting Year ; Insurance Category Code ; Large Provider Entity Code </v>
      </c>
      <c r="AF57" s="345" t="s">
        <v>207</v>
      </c>
      <c r="AG57" s="345" t="s">
        <v>208</v>
      </c>
      <c r="AH57" s="345" t="s">
        <v>209</v>
      </c>
      <c r="AI57" s="345" t="s">
        <v>210</v>
      </c>
      <c r="AJ57" s="345"/>
      <c r="AK57" s="345"/>
      <c r="AL57" s="345"/>
      <c r="AM57" s="11"/>
      <c r="AN57" s="11"/>
      <c r="AO57" s="11"/>
    </row>
    <row r="58" spans="1:41" x14ac:dyDescent="0.25">
      <c r="A58" s="311"/>
      <c r="B58" s="312"/>
      <c r="C58" s="312"/>
      <c r="D58" s="312"/>
      <c r="E58" s="313"/>
      <c r="F58" s="314"/>
      <c r="G58" s="314"/>
      <c r="H58" s="314"/>
      <c r="I58" s="314"/>
      <c r="J58" s="314"/>
      <c r="K58" s="314"/>
      <c r="L58" s="314"/>
      <c r="M58" s="314"/>
      <c r="N58" s="314"/>
      <c r="O58" s="314"/>
      <c r="P58" s="314"/>
      <c r="Q58" s="314"/>
      <c r="R58" s="442"/>
      <c r="S58" s="314"/>
      <c r="T58" s="314"/>
      <c r="U58" s="314"/>
      <c r="V58" s="315">
        <v>0</v>
      </c>
      <c r="W58" s="447">
        <f t="shared" si="0"/>
        <v>0</v>
      </c>
      <c r="X58" s="447">
        <f t="shared" si="1"/>
        <v>0</v>
      </c>
      <c r="Y58" s="447">
        <f t="shared" si="2"/>
        <v>0</v>
      </c>
      <c r="Z58" s="447">
        <f t="shared" si="3"/>
        <v>0</v>
      </c>
      <c r="AA58" s="447">
        <f t="shared" si="4"/>
        <v>0</v>
      </c>
      <c r="AB58" s="447" t="e">
        <f t="shared" si="5"/>
        <v>#DIV/0!</v>
      </c>
      <c r="AC58" s="448" t="e">
        <f t="shared" si="6"/>
        <v>#DIV/0!</v>
      </c>
      <c r="AD58" s="11"/>
      <c r="AE58" s="349" t="str">
        <f>AF58&amp;TM[[#This Row],[Insurer Code]]&amp;"; "&amp;AG58&amp;TM[[#This Row],[Reporting Year]]&amp;"; "&amp;AH58&amp;TM[[#This Row],[Insurance Category Code]]&amp;"; "&amp;AI58&amp;TM[[#This Row],[Large Provider Entity Code]]</f>
        <v xml:space="preserve">Insurer Code ; Reporting Year ; Insurance Category Code ; Large Provider Entity Code </v>
      </c>
      <c r="AF58" s="345" t="s">
        <v>207</v>
      </c>
      <c r="AG58" s="345" t="s">
        <v>208</v>
      </c>
      <c r="AH58" s="345" t="s">
        <v>209</v>
      </c>
      <c r="AI58" s="345" t="s">
        <v>210</v>
      </c>
      <c r="AJ58" s="345"/>
      <c r="AK58" s="345"/>
      <c r="AL58" s="345"/>
      <c r="AM58" s="11"/>
      <c r="AN58" s="11"/>
      <c r="AO58" s="11"/>
    </row>
    <row r="59" spans="1:41" x14ac:dyDescent="0.25">
      <c r="A59" s="311"/>
      <c r="B59" s="312"/>
      <c r="C59" s="312"/>
      <c r="D59" s="312"/>
      <c r="E59" s="313"/>
      <c r="F59" s="314"/>
      <c r="G59" s="314"/>
      <c r="H59" s="314"/>
      <c r="I59" s="314"/>
      <c r="J59" s="314"/>
      <c r="K59" s="314"/>
      <c r="L59" s="314"/>
      <c r="M59" s="314"/>
      <c r="N59" s="314"/>
      <c r="O59" s="314"/>
      <c r="P59" s="314"/>
      <c r="Q59" s="314"/>
      <c r="R59" s="442"/>
      <c r="S59" s="314"/>
      <c r="T59" s="314"/>
      <c r="U59" s="314"/>
      <c r="V59" s="315">
        <v>1</v>
      </c>
      <c r="W59" s="447">
        <f t="shared" si="0"/>
        <v>0</v>
      </c>
      <c r="X59" s="447">
        <f t="shared" si="1"/>
        <v>0</v>
      </c>
      <c r="Y59" s="447">
        <f t="shared" si="2"/>
        <v>0</v>
      </c>
      <c r="Z59" s="447">
        <f t="shared" si="3"/>
        <v>0</v>
      </c>
      <c r="AA59" s="447">
        <f t="shared" si="4"/>
        <v>0</v>
      </c>
      <c r="AB59" s="447" t="e">
        <f t="shared" si="5"/>
        <v>#DIV/0!</v>
      </c>
      <c r="AC59" s="448" t="e">
        <f t="shared" si="6"/>
        <v>#DIV/0!</v>
      </c>
      <c r="AD59" s="11"/>
      <c r="AE59" s="349" t="str">
        <f>AF59&amp;TM[[#This Row],[Insurer Code]]&amp;"; "&amp;AG59&amp;TM[[#This Row],[Reporting Year]]&amp;"; "&amp;AH59&amp;TM[[#This Row],[Insurance Category Code]]&amp;"; "&amp;AI59&amp;TM[[#This Row],[Large Provider Entity Code]]</f>
        <v xml:space="preserve">Insurer Code ; Reporting Year ; Insurance Category Code ; Large Provider Entity Code </v>
      </c>
      <c r="AF59" s="345" t="s">
        <v>207</v>
      </c>
      <c r="AG59" s="345" t="s">
        <v>208</v>
      </c>
      <c r="AH59" s="345" t="s">
        <v>209</v>
      </c>
      <c r="AI59" s="345" t="s">
        <v>210</v>
      </c>
      <c r="AJ59" s="345"/>
      <c r="AK59" s="345"/>
      <c r="AL59" s="345"/>
      <c r="AM59" s="11"/>
      <c r="AN59" s="11"/>
      <c r="AO59" s="11"/>
    </row>
    <row r="60" spans="1:41" x14ac:dyDescent="0.25">
      <c r="A60" s="311"/>
      <c r="B60" s="312"/>
      <c r="C60" s="312"/>
      <c r="D60" s="312"/>
      <c r="E60" s="313"/>
      <c r="F60" s="314"/>
      <c r="G60" s="314"/>
      <c r="H60" s="314"/>
      <c r="I60" s="314"/>
      <c r="J60" s="314"/>
      <c r="K60" s="314"/>
      <c r="L60" s="314"/>
      <c r="M60" s="314"/>
      <c r="N60" s="314"/>
      <c r="O60" s="314"/>
      <c r="P60" s="314"/>
      <c r="Q60" s="314"/>
      <c r="R60" s="442"/>
      <c r="S60" s="314"/>
      <c r="T60" s="314"/>
      <c r="U60" s="314"/>
      <c r="V60" s="315">
        <v>11</v>
      </c>
      <c r="W60" s="447">
        <f t="shared" si="0"/>
        <v>0</v>
      </c>
      <c r="X60" s="447">
        <f t="shared" si="1"/>
        <v>0</v>
      </c>
      <c r="Y60" s="447">
        <f t="shared" si="2"/>
        <v>0</v>
      </c>
      <c r="Z60" s="447">
        <f t="shared" si="3"/>
        <v>0</v>
      </c>
      <c r="AA60" s="447">
        <f t="shared" si="4"/>
        <v>0</v>
      </c>
      <c r="AB60" s="447" t="e">
        <f t="shared" si="5"/>
        <v>#DIV/0!</v>
      </c>
      <c r="AC60" s="448" t="e">
        <f t="shared" si="6"/>
        <v>#DIV/0!</v>
      </c>
      <c r="AD60" s="11"/>
      <c r="AE60" s="349" t="str">
        <f>AF60&amp;TM[[#This Row],[Insurer Code]]&amp;"; "&amp;AG60&amp;TM[[#This Row],[Reporting Year]]&amp;"; "&amp;AH60&amp;TM[[#This Row],[Insurance Category Code]]&amp;"; "&amp;AI60&amp;TM[[#This Row],[Large Provider Entity Code]]</f>
        <v xml:space="preserve">Insurer Code ; Reporting Year ; Insurance Category Code ; Large Provider Entity Code </v>
      </c>
      <c r="AF60" s="345" t="s">
        <v>207</v>
      </c>
      <c r="AG60" s="345" t="s">
        <v>208</v>
      </c>
      <c r="AH60" s="345" t="s">
        <v>209</v>
      </c>
      <c r="AI60" s="345" t="s">
        <v>210</v>
      </c>
      <c r="AJ60" s="345"/>
      <c r="AK60" s="345"/>
      <c r="AL60" s="345"/>
      <c r="AM60" s="11"/>
      <c r="AN60" s="11"/>
      <c r="AO60" s="11"/>
    </row>
    <row r="61" spans="1:41" x14ac:dyDescent="0.25">
      <c r="A61" s="311"/>
      <c r="B61" s="316"/>
      <c r="C61" s="316"/>
      <c r="D61" s="316"/>
      <c r="E61" s="317"/>
      <c r="F61" s="336"/>
      <c r="G61" s="336"/>
      <c r="H61" s="336"/>
      <c r="I61" s="336"/>
      <c r="J61" s="336"/>
      <c r="K61" s="336"/>
      <c r="L61" s="336"/>
      <c r="M61" s="336"/>
      <c r="N61" s="336"/>
      <c r="O61" s="336"/>
      <c r="P61" s="336"/>
      <c r="Q61" s="336"/>
      <c r="R61" s="443"/>
      <c r="S61" s="336"/>
      <c r="T61" s="336"/>
      <c r="U61" s="314"/>
      <c r="V61" s="318">
        <v>3</v>
      </c>
      <c r="W61" s="447">
        <f t="shared" si="0"/>
        <v>0</v>
      </c>
      <c r="X61" s="447">
        <f t="shared" si="1"/>
        <v>0</v>
      </c>
      <c r="Y61" s="447">
        <f t="shared" si="2"/>
        <v>0</v>
      </c>
      <c r="Z61" s="447">
        <f t="shared" si="3"/>
        <v>0</v>
      </c>
      <c r="AA61" s="447">
        <f t="shared" si="4"/>
        <v>0</v>
      </c>
      <c r="AB61" s="447" t="e">
        <f t="shared" si="5"/>
        <v>#DIV/0!</v>
      </c>
      <c r="AC61" s="448" t="e">
        <f t="shared" si="6"/>
        <v>#DIV/0!</v>
      </c>
      <c r="AD61" s="11"/>
      <c r="AE61" s="349" t="str">
        <f>AF61&amp;TM[[#This Row],[Insurer Code]]&amp;"; "&amp;AG61&amp;TM[[#This Row],[Reporting Year]]&amp;"; "&amp;AH61&amp;TM[[#This Row],[Insurance Category Code]]&amp;"; "&amp;AI61&amp;TM[[#This Row],[Large Provider Entity Code]]</f>
        <v xml:space="preserve">Insurer Code ; Reporting Year ; Insurance Category Code ; Large Provider Entity Code </v>
      </c>
      <c r="AF61" s="345" t="s">
        <v>207</v>
      </c>
      <c r="AG61" s="345" t="s">
        <v>208</v>
      </c>
      <c r="AH61" s="345" t="s">
        <v>209</v>
      </c>
      <c r="AI61" s="345" t="s">
        <v>210</v>
      </c>
      <c r="AJ61" s="345"/>
      <c r="AK61" s="345"/>
      <c r="AL61" s="345"/>
      <c r="AM61" s="11"/>
      <c r="AN61" s="11"/>
      <c r="AO61" s="11"/>
    </row>
    <row r="62" spans="1:41" x14ac:dyDescent="0.25">
      <c r="A62" s="311"/>
      <c r="B62" s="316"/>
      <c r="C62" s="316"/>
      <c r="D62" s="316"/>
      <c r="E62" s="317"/>
      <c r="F62" s="336"/>
      <c r="G62" s="336"/>
      <c r="H62" s="336"/>
      <c r="I62" s="336"/>
      <c r="J62" s="336"/>
      <c r="K62" s="336"/>
      <c r="L62" s="336"/>
      <c r="M62" s="336"/>
      <c r="N62" s="336"/>
      <c r="O62" s="336"/>
      <c r="P62" s="336"/>
      <c r="Q62" s="336"/>
      <c r="R62" s="443"/>
      <c r="S62" s="336"/>
      <c r="T62" s="336"/>
      <c r="U62" s="314"/>
      <c r="V62" s="318">
        <v>0</v>
      </c>
      <c r="W62" s="447">
        <f t="shared" si="0"/>
        <v>0</v>
      </c>
      <c r="X62" s="447">
        <f t="shared" si="1"/>
        <v>0</v>
      </c>
      <c r="Y62" s="447">
        <f t="shared" si="2"/>
        <v>0</v>
      </c>
      <c r="Z62" s="447">
        <f t="shared" si="3"/>
        <v>0</v>
      </c>
      <c r="AA62" s="447">
        <f t="shared" si="4"/>
        <v>0</v>
      </c>
      <c r="AB62" s="447" t="e">
        <f t="shared" si="5"/>
        <v>#DIV/0!</v>
      </c>
      <c r="AC62" s="448" t="e">
        <f t="shared" si="6"/>
        <v>#DIV/0!</v>
      </c>
      <c r="AD62" s="11"/>
      <c r="AE62" s="349" t="str">
        <f>AF62&amp;TM[[#This Row],[Insurer Code]]&amp;"; "&amp;AG62&amp;TM[[#This Row],[Reporting Year]]&amp;"; "&amp;AH62&amp;TM[[#This Row],[Insurance Category Code]]&amp;"; "&amp;AI62&amp;TM[[#This Row],[Large Provider Entity Code]]</f>
        <v xml:space="preserve">Insurer Code ; Reporting Year ; Insurance Category Code ; Large Provider Entity Code </v>
      </c>
      <c r="AF62" s="345" t="s">
        <v>207</v>
      </c>
      <c r="AG62" s="345" t="s">
        <v>208</v>
      </c>
      <c r="AH62" s="345" t="s">
        <v>209</v>
      </c>
      <c r="AI62" s="345" t="s">
        <v>210</v>
      </c>
      <c r="AJ62" s="345"/>
      <c r="AK62" s="345"/>
      <c r="AL62" s="345"/>
      <c r="AM62" s="11"/>
      <c r="AN62" s="11"/>
      <c r="AO62" s="11"/>
    </row>
    <row r="63" spans="1:41" x14ac:dyDescent="0.25">
      <c r="A63" s="311"/>
      <c r="B63" s="312"/>
      <c r="C63" s="312"/>
      <c r="D63" s="312"/>
      <c r="E63" s="313"/>
      <c r="F63" s="314"/>
      <c r="G63" s="314"/>
      <c r="H63" s="314"/>
      <c r="I63" s="314"/>
      <c r="J63" s="314"/>
      <c r="K63" s="314"/>
      <c r="L63" s="314"/>
      <c r="M63" s="314"/>
      <c r="N63" s="314"/>
      <c r="O63" s="314"/>
      <c r="P63" s="314"/>
      <c r="Q63" s="314"/>
      <c r="R63" s="442"/>
      <c r="S63" s="314"/>
      <c r="T63" s="314"/>
      <c r="U63" s="314"/>
      <c r="V63" s="315">
        <v>0</v>
      </c>
      <c r="W63" s="447">
        <f t="shared" si="0"/>
        <v>0</v>
      </c>
      <c r="X63" s="447">
        <f t="shared" si="1"/>
        <v>0</v>
      </c>
      <c r="Y63" s="447">
        <f t="shared" si="2"/>
        <v>0</v>
      </c>
      <c r="Z63" s="447">
        <f t="shared" si="3"/>
        <v>0</v>
      </c>
      <c r="AA63" s="447">
        <f t="shared" si="4"/>
        <v>0</v>
      </c>
      <c r="AB63" s="447" t="e">
        <f t="shared" si="5"/>
        <v>#DIV/0!</v>
      </c>
      <c r="AC63" s="448" t="e">
        <f t="shared" si="6"/>
        <v>#DIV/0!</v>
      </c>
      <c r="AD63" s="11"/>
      <c r="AE63" s="349" t="str">
        <f>AF63&amp;TM[[#This Row],[Insurer Code]]&amp;"; "&amp;AG63&amp;TM[[#This Row],[Reporting Year]]&amp;"; "&amp;AH63&amp;TM[[#This Row],[Insurance Category Code]]&amp;"; "&amp;AI63&amp;TM[[#This Row],[Large Provider Entity Code]]</f>
        <v xml:space="preserve">Insurer Code ; Reporting Year ; Insurance Category Code ; Large Provider Entity Code </v>
      </c>
      <c r="AF63" s="345" t="s">
        <v>207</v>
      </c>
      <c r="AG63" s="345" t="s">
        <v>208</v>
      </c>
      <c r="AH63" s="345" t="s">
        <v>209</v>
      </c>
      <c r="AI63" s="345" t="s">
        <v>210</v>
      </c>
      <c r="AJ63" s="345"/>
      <c r="AK63" s="345"/>
      <c r="AL63" s="345"/>
      <c r="AM63" s="11"/>
      <c r="AN63" s="11"/>
      <c r="AO63" s="11"/>
    </row>
    <row r="64" spans="1:41" x14ac:dyDescent="0.25">
      <c r="A64" s="311"/>
      <c r="B64" s="316"/>
      <c r="C64" s="316"/>
      <c r="D64" s="316"/>
      <c r="E64" s="319"/>
      <c r="F64" s="336"/>
      <c r="G64" s="336"/>
      <c r="H64" s="336"/>
      <c r="I64" s="336"/>
      <c r="J64" s="336"/>
      <c r="K64" s="336"/>
      <c r="L64" s="336"/>
      <c r="M64" s="336"/>
      <c r="N64" s="336"/>
      <c r="O64" s="336"/>
      <c r="P64" s="336"/>
      <c r="Q64" s="336"/>
      <c r="R64" s="443"/>
      <c r="S64" s="336"/>
      <c r="T64" s="336"/>
      <c r="U64" s="314"/>
      <c r="V64" s="318">
        <v>6</v>
      </c>
      <c r="W64" s="447">
        <f t="shared" si="0"/>
        <v>0</v>
      </c>
      <c r="X64" s="447">
        <f t="shared" si="1"/>
        <v>0</v>
      </c>
      <c r="Y64" s="447">
        <f t="shared" si="2"/>
        <v>0</v>
      </c>
      <c r="Z64" s="447">
        <f t="shared" si="3"/>
        <v>0</v>
      </c>
      <c r="AA64" s="447">
        <f t="shared" si="4"/>
        <v>0</v>
      </c>
      <c r="AB64" s="447" t="e">
        <f t="shared" si="5"/>
        <v>#DIV/0!</v>
      </c>
      <c r="AC64" s="448" t="e">
        <f t="shared" si="6"/>
        <v>#DIV/0!</v>
      </c>
      <c r="AD64" s="11"/>
      <c r="AE64" s="349" t="str">
        <f>AF64&amp;TM[[#This Row],[Insurer Code]]&amp;"; "&amp;AG64&amp;TM[[#This Row],[Reporting Year]]&amp;"; "&amp;AH64&amp;TM[[#This Row],[Insurance Category Code]]&amp;"; "&amp;AI64&amp;TM[[#This Row],[Large Provider Entity Code]]</f>
        <v xml:space="preserve">Insurer Code ; Reporting Year ; Insurance Category Code ; Large Provider Entity Code </v>
      </c>
      <c r="AF64" s="345" t="s">
        <v>207</v>
      </c>
      <c r="AG64" s="345" t="s">
        <v>208</v>
      </c>
      <c r="AH64" s="345" t="s">
        <v>209</v>
      </c>
      <c r="AI64" s="345" t="s">
        <v>210</v>
      </c>
      <c r="AJ64" s="345"/>
      <c r="AK64" s="345"/>
      <c r="AL64" s="345"/>
      <c r="AM64" s="11"/>
      <c r="AN64" s="11"/>
      <c r="AO64" s="11"/>
    </row>
    <row r="65" spans="1:41" x14ac:dyDescent="0.25">
      <c r="A65" s="311"/>
      <c r="B65" s="316"/>
      <c r="C65" s="316"/>
      <c r="D65" s="316"/>
      <c r="E65" s="319"/>
      <c r="F65" s="336"/>
      <c r="G65" s="336"/>
      <c r="H65" s="336"/>
      <c r="I65" s="336"/>
      <c r="J65" s="336"/>
      <c r="K65" s="336"/>
      <c r="L65" s="336"/>
      <c r="M65" s="336"/>
      <c r="N65" s="336"/>
      <c r="O65" s="336"/>
      <c r="P65" s="336"/>
      <c r="Q65" s="336"/>
      <c r="R65" s="443"/>
      <c r="S65" s="336"/>
      <c r="T65" s="336"/>
      <c r="U65" s="314"/>
      <c r="V65" s="318">
        <v>0</v>
      </c>
      <c r="W65" s="447">
        <f t="shared" si="0"/>
        <v>0</v>
      </c>
      <c r="X65" s="447">
        <f t="shared" si="1"/>
        <v>0</v>
      </c>
      <c r="Y65" s="447">
        <f t="shared" si="2"/>
        <v>0</v>
      </c>
      <c r="Z65" s="447">
        <f t="shared" si="3"/>
        <v>0</v>
      </c>
      <c r="AA65" s="447">
        <f t="shared" si="4"/>
        <v>0</v>
      </c>
      <c r="AB65" s="447" t="e">
        <f t="shared" si="5"/>
        <v>#DIV/0!</v>
      </c>
      <c r="AC65" s="448" t="e">
        <f t="shared" si="6"/>
        <v>#DIV/0!</v>
      </c>
      <c r="AD65" s="11"/>
      <c r="AE65" s="349" t="str">
        <f>AF65&amp;TM[[#This Row],[Insurer Code]]&amp;"; "&amp;AG65&amp;TM[[#This Row],[Reporting Year]]&amp;"; "&amp;AH65&amp;TM[[#This Row],[Insurance Category Code]]&amp;"; "&amp;AI65&amp;TM[[#This Row],[Large Provider Entity Code]]</f>
        <v xml:space="preserve">Insurer Code ; Reporting Year ; Insurance Category Code ; Large Provider Entity Code </v>
      </c>
      <c r="AF65" s="345" t="s">
        <v>207</v>
      </c>
      <c r="AG65" s="345" t="s">
        <v>208</v>
      </c>
      <c r="AH65" s="345" t="s">
        <v>209</v>
      </c>
      <c r="AI65" s="345" t="s">
        <v>210</v>
      </c>
      <c r="AJ65" s="345"/>
      <c r="AK65" s="345"/>
      <c r="AL65" s="345"/>
      <c r="AM65" s="11"/>
      <c r="AN65" s="11"/>
      <c r="AO65" s="11"/>
    </row>
    <row r="66" spans="1:41" x14ac:dyDescent="0.25">
      <c r="A66" s="311"/>
      <c r="B66" s="316"/>
      <c r="C66" s="316"/>
      <c r="D66" s="316"/>
      <c r="E66" s="319"/>
      <c r="F66" s="336"/>
      <c r="G66" s="336"/>
      <c r="H66" s="336"/>
      <c r="I66" s="336"/>
      <c r="J66" s="336"/>
      <c r="K66" s="336"/>
      <c r="L66" s="336"/>
      <c r="M66" s="336"/>
      <c r="N66" s="336"/>
      <c r="O66" s="336"/>
      <c r="P66" s="336"/>
      <c r="Q66" s="336"/>
      <c r="R66" s="443"/>
      <c r="S66" s="336"/>
      <c r="T66" s="336"/>
      <c r="U66" s="314"/>
      <c r="V66" s="318">
        <v>0</v>
      </c>
      <c r="W66" s="447">
        <f t="shared" si="0"/>
        <v>0</v>
      </c>
      <c r="X66" s="447">
        <f t="shared" si="1"/>
        <v>0</v>
      </c>
      <c r="Y66" s="447">
        <f t="shared" si="2"/>
        <v>0</v>
      </c>
      <c r="Z66" s="447">
        <f t="shared" si="3"/>
        <v>0</v>
      </c>
      <c r="AA66" s="447">
        <f t="shared" si="4"/>
        <v>0</v>
      </c>
      <c r="AB66" s="447" t="e">
        <f t="shared" si="5"/>
        <v>#DIV/0!</v>
      </c>
      <c r="AC66" s="448" t="e">
        <f t="shared" si="6"/>
        <v>#DIV/0!</v>
      </c>
      <c r="AD66" s="11"/>
      <c r="AE66" s="349" t="str">
        <f>AF66&amp;TM[[#This Row],[Insurer Code]]&amp;"; "&amp;AG66&amp;TM[[#This Row],[Reporting Year]]&amp;"; "&amp;AH66&amp;TM[[#This Row],[Insurance Category Code]]&amp;"; "&amp;AI66&amp;TM[[#This Row],[Large Provider Entity Code]]</f>
        <v xml:space="preserve">Insurer Code ; Reporting Year ; Insurance Category Code ; Large Provider Entity Code </v>
      </c>
      <c r="AF66" s="345" t="s">
        <v>207</v>
      </c>
      <c r="AG66" s="345" t="s">
        <v>208</v>
      </c>
      <c r="AH66" s="345" t="s">
        <v>209</v>
      </c>
      <c r="AI66" s="345" t="s">
        <v>210</v>
      </c>
      <c r="AJ66" s="345"/>
      <c r="AK66" s="345"/>
      <c r="AL66" s="345"/>
      <c r="AM66" s="11"/>
      <c r="AN66" s="11"/>
      <c r="AO66" s="11"/>
    </row>
    <row r="67" spans="1:41" x14ac:dyDescent="0.25">
      <c r="A67" s="311"/>
      <c r="B67" s="312"/>
      <c r="C67" s="312"/>
      <c r="D67" s="312"/>
      <c r="E67" s="313"/>
      <c r="F67" s="314"/>
      <c r="G67" s="314"/>
      <c r="H67" s="314"/>
      <c r="I67" s="314"/>
      <c r="J67" s="314"/>
      <c r="K67" s="314"/>
      <c r="L67" s="314"/>
      <c r="M67" s="314"/>
      <c r="N67" s="314"/>
      <c r="O67" s="314"/>
      <c r="P67" s="314"/>
      <c r="Q67" s="314"/>
      <c r="R67" s="332"/>
      <c r="S67" s="314"/>
      <c r="T67" s="314"/>
      <c r="U67" s="314"/>
      <c r="V67" s="476">
        <v>0</v>
      </c>
      <c r="W67" s="447">
        <f t="shared" si="0"/>
        <v>0</v>
      </c>
      <c r="X67" s="447">
        <f t="shared" si="1"/>
        <v>0</v>
      </c>
      <c r="Y67" s="447">
        <f t="shared" si="2"/>
        <v>0</v>
      </c>
      <c r="Z67" s="447">
        <f t="shared" si="3"/>
        <v>0</v>
      </c>
      <c r="AA67" s="447">
        <f t="shared" si="4"/>
        <v>0</v>
      </c>
      <c r="AB67" s="447" t="e">
        <f t="shared" si="5"/>
        <v>#DIV/0!</v>
      </c>
      <c r="AC67" s="448" t="e">
        <f t="shared" si="6"/>
        <v>#DIV/0!</v>
      </c>
      <c r="AD67" s="11"/>
      <c r="AE67" s="349" t="str">
        <f>AF67&amp;TM[[#This Row],[Insurer Code]]&amp;"; "&amp;AG67&amp;TM[[#This Row],[Reporting Year]]&amp;"; "&amp;AH67&amp;TM[[#This Row],[Insurance Category Code]]&amp;"; "&amp;AI67&amp;TM[[#This Row],[Large Provider Entity Code]]</f>
        <v xml:space="preserve">Insurer Code ; Reporting Year ; Insurance Category Code ; Large Provider Entity Code </v>
      </c>
      <c r="AF67" s="345" t="s">
        <v>207</v>
      </c>
      <c r="AG67" s="345" t="s">
        <v>208</v>
      </c>
      <c r="AH67" s="345" t="s">
        <v>209</v>
      </c>
      <c r="AI67" s="345" t="s">
        <v>210</v>
      </c>
      <c r="AJ67" s="345"/>
      <c r="AK67" s="345"/>
      <c r="AL67" s="345"/>
      <c r="AM67" s="11"/>
      <c r="AN67" s="11"/>
      <c r="AO67" s="11"/>
    </row>
    <row r="68" spans="1:41" x14ac:dyDescent="0.25">
      <c r="A68" s="311"/>
      <c r="B68" s="312"/>
      <c r="C68" s="312"/>
      <c r="D68" s="312"/>
      <c r="E68" s="313"/>
      <c r="F68" s="314"/>
      <c r="G68" s="314"/>
      <c r="H68" s="314"/>
      <c r="I68" s="314"/>
      <c r="J68" s="314"/>
      <c r="K68" s="314"/>
      <c r="L68" s="314"/>
      <c r="M68" s="314"/>
      <c r="N68" s="314"/>
      <c r="O68" s="314"/>
      <c r="P68" s="314"/>
      <c r="Q68" s="314"/>
      <c r="R68" s="442"/>
      <c r="S68" s="314"/>
      <c r="T68" s="314"/>
      <c r="U68" s="314"/>
      <c r="V68" s="315">
        <v>35</v>
      </c>
      <c r="W68" s="447">
        <f t="shared" si="0"/>
        <v>0</v>
      </c>
      <c r="X68" s="447">
        <f t="shared" si="1"/>
        <v>0</v>
      </c>
      <c r="Y68" s="447">
        <f t="shared" si="2"/>
        <v>0</v>
      </c>
      <c r="Z68" s="447">
        <f t="shared" si="3"/>
        <v>0</v>
      </c>
      <c r="AA68" s="447">
        <f t="shared" si="4"/>
        <v>0</v>
      </c>
      <c r="AB68" s="447" t="e">
        <f t="shared" si="5"/>
        <v>#DIV/0!</v>
      </c>
      <c r="AC68" s="448" t="e">
        <f t="shared" si="6"/>
        <v>#DIV/0!</v>
      </c>
      <c r="AD68" s="11"/>
      <c r="AE68" s="349" t="str">
        <f>AF68&amp;TM[[#This Row],[Insurer Code]]&amp;"; "&amp;AG68&amp;TM[[#This Row],[Reporting Year]]&amp;"; "&amp;AH68&amp;TM[[#This Row],[Insurance Category Code]]&amp;"; "&amp;AI68&amp;TM[[#This Row],[Large Provider Entity Code]]</f>
        <v xml:space="preserve">Insurer Code ; Reporting Year ; Insurance Category Code ; Large Provider Entity Code </v>
      </c>
      <c r="AF68" s="345" t="s">
        <v>207</v>
      </c>
      <c r="AG68" s="345" t="s">
        <v>208</v>
      </c>
      <c r="AH68" s="345" t="s">
        <v>209</v>
      </c>
      <c r="AI68" s="345" t="s">
        <v>210</v>
      </c>
      <c r="AJ68" s="345"/>
      <c r="AK68" s="345"/>
      <c r="AL68" s="345"/>
      <c r="AM68" s="11"/>
      <c r="AN68" s="11"/>
      <c r="AO68" s="11"/>
    </row>
    <row r="69" spans="1:41" x14ac:dyDescent="0.25">
      <c r="A69" s="311"/>
      <c r="B69" s="316"/>
      <c r="C69" s="316"/>
      <c r="D69" s="316"/>
      <c r="E69" s="319"/>
      <c r="F69" s="336"/>
      <c r="G69" s="336"/>
      <c r="H69" s="336"/>
      <c r="I69" s="336"/>
      <c r="J69" s="336"/>
      <c r="K69" s="336"/>
      <c r="L69" s="336"/>
      <c r="M69" s="336"/>
      <c r="N69" s="336"/>
      <c r="O69" s="336"/>
      <c r="P69" s="336"/>
      <c r="Q69" s="336"/>
      <c r="R69" s="443"/>
      <c r="S69" s="336"/>
      <c r="T69" s="336"/>
      <c r="U69" s="314"/>
      <c r="V69" s="318">
        <v>16</v>
      </c>
      <c r="W69" s="447">
        <f t="shared" si="0"/>
        <v>0</v>
      </c>
      <c r="X69" s="447">
        <f t="shared" si="1"/>
        <v>0</v>
      </c>
      <c r="Y69" s="447">
        <f t="shared" si="2"/>
        <v>0</v>
      </c>
      <c r="Z69" s="447">
        <f t="shared" si="3"/>
        <v>0</v>
      </c>
      <c r="AA69" s="447">
        <f t="shared" si="4"/>
        <v>0</v>
      </c>
      <c r="AB69" s="447" t="e">
        <f t="shared" si="5"/>
        <v>#DIV/0!</v>
      </c>
      <c r="AC69" s="448" t="e">
        <f t="shared" si="6"/>
        <v>#DIV/0!</v>
      </c>
      <c r="AD69" s="11"/>
      <c r="AE69" s="349" t="str">
        <f>AF69&amp;TM[[#This Row],[Insurer Code]]&amp;"; "&amp;AG69&amp;TM[[#This Row],[Reporting Year]]&amp;"; "&amp;AH69&amp;TM[[#This Row],[Insurance Category Code]]&amp;"; "&amp;AI69&amp;TM[[#This Row],[Large Provider Entity Code]]</f>
        <v xml:space="preserve">Insurer Code ; Reporting Year ; Insurance Category Code ; Large Provider Entity Code </v>
      </c>
      <c r="AF69" s="345" t="s">
        <v>207</v>
      </c>
      <c r="AG69" s="345" t="s">
        <v>208</v>
      </c>
      <c r="AH69" s="345" t="s">
        <v>209</v>
      </c>
      <c r="AI69" s="345" t="s">
        <v>210</v>
      </c>
      <c r="AJ69" s="345"/>
      <c r="AK69" s="345"/>
      <c r="AL69" s="345"/>
      <c r="AM69" s="11"/>
      <c r="AN69" s="11"/>
      <c r="AO69" s="11"/>
    </row>
    <row r="70" spans="1:41" x14ac:dyDescent="0.25">
      <c r="A70" s="311"/>
      <c r="B70" s="316"/>
      <c r="C70" s="316"/>
      <c r="D70" s="316"/>
      <c r="E70" s="319"/>
      <c r="F70" s="336"/>
      <c r="G70" s="336"/>
      <c r="H70" s="336"/>
      <c r="I70" s="336"/>
      <c r="J70" s="336"/>
      <c r="K70" s="336"/>
      <c r="L70" s="336"/>
      <c r="M70" s="336"/>
      <c r="N70" s="336"/>
      <c r="O70" s="336"/>
      <c r="P70" s="336"/>
      <c r="Q70" s="336"/>
      <c r="R70" s="443"/>
      <c r="S70" s="336"/>
      <c r="T70" s="336"/>
      <c r="U70" s="314"/>
      <c r="V70" s="318">
        <v>0</v>
      </c>
      <c r="W70" s="447">
        <f t="shared" si="0"/>
        <v>0</v>
      </c>
      <c r="X70" s="447">
        <f t="shared" si="1"/>
        <v>0</v>
      </c>
      <c r="Y70" s="447">
        <f t="shared" si="2"/>
        <v>0</v>
      </c>
      <c r="Z70" s="447">
        <f t="shared" si="3"/>
        <v>0</v>
      </c>
      <c r="AA70" s="447">
        <f t="shared" si="4"/>
        <v>0</v>
      </c>
      <c r="AB70" s="447" t="e">
        <f t="shared" si="5"/>
        <v>#DIV/0!</v>
      </c>
      <c r="AC70" s="448" t="e">
        <f t="shared" si="6"/>
        <v>#DIV/0!</v>
      </c>
      <c r="AD70" s="11"/>
      <c r="AE70" s="349" t="str">
        <f>AF70&amp;TM[[#This Row],[Insurer Code]]&amp;"; "&amp;AG70&amp;TM[[#This Row],[Reporting Year]]&amp;"; "&amp;AH70&amp;TM[[#This Row],[Insurance Category Code]]&amp;"; "&amp;AI70&amp;TM[[#This Row],[Large Provider Entity Code]]</f>
        <v xml:space="preserve">Insurer Code ; Reporting Year ; Insurance Category Code ; Large Provider Entity Code </v>
      </c>
      <c r="AF70" s="345" t="s">
        <v>207</v>
      </c>
      <c r="AG70" s="345" t="s">
        <v>208</v>
      </c>
      <c r="AH70" s="345" t="s">
        <v>209</v>
      </c>
      <c r="AI70" s="345" t="s">
        <v>210</v>
      </c>
      <c r="AJ70" s="345"/>
      <c r="AK70" s="345"/>
      <c r="AL70" s="345"/>
      <c r="AM70" s="11"/>
      <c r="AN70" s="11"/>
      <c r="AO70" s="11"/>
    </row>
    <row r="71" spans="1:41" x14ac:dyDescent="0.25">
      <c r="A71" s="311"/>
      <c r="B71" s="316"/>
      <c r="C71" s="316"/>
      <c r="D71" s="316"/>
      <c r="E71" s="319"/>
      <c r="F71" s="336"/>
      <c r="G71" s="336"/>
      <c r="H71" s="336"/>
      <c r="I71" s="336"/>
      <c r="J71" s="336"/>
      <c r="K71" s="336"/>
      <c r="L71" s="336"/>
      <c r="M71" s="336"/>
      <c r="N71" s="336"/>
      <c r="O71" s="336"/>
      <c r="P71" s="336"/>
      <c r="Q71" s="336"/>
      <c r="R71" s="443"/>
      <c r="S71" s="336"/>
      <c r="T71" s="336"/>
      <c r="U71" s="314"/>
      <c r="V71" s="318">
        <v>0</v>
      </c>
      <c r="W71" s="447">
        <f t="shared" si="0"/>
        <v>0</v>
      </c>
      <c r="X71" s="447">
        <f t="shared" si="1"/>
        <v>0</v>
      </c>
      <c r="Y71" s="447">
        <f t="shared" si="2"/>
        <v>0</v>
      </c>
      <c r="Z71" s="447">
        <f t="shared" si="3"/>
        <v>0</v>
      </c>
      <c r="AA71" s="447">
        <f t="shared" si="4"/>
        <v>0</v>
      </c>
      <c r="AB71" s="447" t="e">
        <f t="shared" si="5"/>
        <v>#DIV/0!</v>
      </c>
      <c r="AC71" s="448" t="e">
        <f t="shared" si="6"/>
        <v>#DIV/0!</v>
      </c>
      <c r="AD71" s="11"/>
      <c r="AE71" s="349" t="str">
        <f>AF71&amp;TM[[#This Row],[Insurer Code]]&amp;"; "&amp;AG71&amp;TM[[#This Row],[Reporting Year]]&amp;"; "&amp;AH71&amp;TM[[#This Row],[Insurance Category Code]]&amp;"; "&amp;AI71&amp;TM[[#This Row],[Large Provider Entity Code]]</f>
        <v xml:space="preserve">Insurer Code ; Reporting Year ; Insurance Category Code ; Large Provider Entity Code </v>
      </c>
      <c r="AF71" s="345" t="s">
        <v>207</v>
      </c>
      <c r="AG71" s="345" t="s">
        <v>208</v>
      </c>
      <c r="AH71" s="345" t="s">
        <v>209</v>
      </c>
      <c r="AI71" s="345" t="s">
        <v>210</v>
      </c>
      <c r="AJ71" s="345"/>
      <c r="AK71" s="345"/>
      <c r="AL71" s="345"/>
      <c r="AM71" s="11"/>
      <c r="AN71" s="11"/>
      <c r="AO71" s="11"/>
    </row>
    <row r="72" spans="1:41" x14ac:dyDescent="0.25">
      <c r="A72" s="311"/>
      <c r="B72" s="316"/>
      <c r="C72" s="316"/>
      <c r="D72" s="316"/>
      <c r="E72" s="317"/>
      <c r="F72" s="336"/>
      <c r="G72" s="336"/>
      <c r="H72" s="336"/>
      <c r="I72" s="336"/>
      <c r="J72" s="336"/>
      <c r="K72" s="336"/>
      <c r="L72" s="336"/>
      <c r="M72" s="336"/>
      <c r="N72" s="336"/>
      <c r="O72" s="336"/>
      <c r="P72" s="336"/>
      <c r="Q72" s="336"/>
      <c r="R72" s="443"/>
      <c r="S72" s="336"/>
      <c r="T72" s="336"/>
      <c r="U72" s="314"/>
      <c r="V72" s="318">
        <v>13</v>
      </c>
      <c r="W72" s="447">
        <f t="shared" si="0"/>
        <v>0</v>
      </c>
      <c r="X72" s="447">
        <f t="shared" si="1"/>
        <v>0</v>
      </c>
      <c r="Y72" s="447">
        <f t="shared" si="2"/>
        <v>0</v>
      </c>
      <c r="Z72" s="447">
        <f t="shared" si="3"/>
        <v>0</v>
      </c>
      <c r="AA72" s="447">
        <f t="shared" si="4"/>
        <v>0</v>
      </c>
      <c r="AB72" s="447" t="e">
        <f t="shared" si="5"/>
        <v>#DIV/0!</v>
      </c>
      <c r="AC72" s="448" t="e">
        <f t="shared" si="6"/>
        <v>#DIV/0!</v>
      </c>
      <c r="AD72" s="11"/>
      <c r="AE72" s="349" t="str">
        <f>AF72&amp;TM[[#This Row],[Insurer Code]]&amp;"; "&amp;AG72&amp;TM[[#This Row],[Reporting Year]]&amp;"; "&amp;AH72&amp;TM[[#This Row],[Insurance Category Code]]&amp;"; "&amp;AI72&amp;TM[[#This Row],[Large Provider Entity Code]]</f>
        <v xml:space="preserve">Insurer Code ; Reporting Year ; Insurance Category Code ; Large Provider Entity Code </v>
      </c>
      <c r="AF72" s="345" t="s">
        <v>207</v>
      </c>
      <c r="AG72" s="345" t="s">
        <v>208</v>
      </c>
      <c r="AH72" s="345" t="s">
        <v>209</v>
      </c>
      <c r="AI72" s="345" t="s">
        <v>210</v>
      </c>
      <c r="AJ72" s="345"/>
      <c r="AK72" s="345"/>
      <c r="AL72" s="345"/>
      <c r="AM72" s="11"/>
      <c r="AN72" s="11"/>
      <c r="AO72" s="11"/>
    </row>
    <row r="73" spans="1:41" x14ac:dyDescent="0.25">
      <c r="A73" s="311"/>
      <c r="B73" s="312"/>
      <c r="C73" s="312"/>
      <c r="D73" s="312"/>
      <c r="E73" s="328"/>
      <c r="F73" s="442"/>
      <c r="G73" s="314"/>
      <c r="H73" s="314"/>
      <c r="I73" s="314"/>
      <c r="J73" s="314"/>
      <c r="K73" s="314"/>
      <c r="L73" s="314"/>
      <c r="M73" s="314"/>
      <c r="N73" s="314"/>
      <c r="O73" s="314"/>
      <c r="P73" s="314"/>
      <c r="Q73" s="314"/>
      <c r="R73" s="442"/>
      <c r="S73" s="314"/>
      <c r="T73" s="314"/>
      <c r="U73" s="314"/>
      <c r="V73" s="315">
        <v>0</v>
      </c>
      <c r="W73" s="447">
        <f t="shared" si="0"/>
        <v>0</v>
      </c>
      <c r="X73" s="447">
        <f t="shared" si="1"/>
        <v>0</v>
      </c>
      <c r="Y73" s="447">
        <f t="shared" si="2"/>
        <v>0</v>
      </c>
      <c r="Z73" s="447">
        <f t="shared" si="3"/>
        <v>0</v>
      </c>
      <c r="AA73" s="447">
        <f t="shared" si="4"/>
        <v>0</v>
      </c>
      <c r="AB73" s="447" t="e">
        <f t="shared" si="5"/>
        <v>#DIV/0!</v>
      </c>
      <c r="AC73" s="448" t="e">
        <f t="shared" si="6"/>
        <v>#DIV/0!</v>
      </c>
      <c r="AD73" s="11"/>
      <c r="AE73" s="349" t="str">
        <f>AF73&amp;TM[[#This Row],[Insurer Code]]&amp;"; "&amp;AG73&amp;TM[[#This Row],[Reporting Year]]&amp;"; "&amp;AH73&amp;TM[[#This Row],[Insurance Category Code]]&amp;"; "&amp;AI73&amp;TM[[#This Row],[Large Provider Entity Code]]</f>
        <v xml:space="preserve">Insurer Code ; Reporting Year ; Insurance Category Code ; Large Provider Entity Code </v>
      </c>
      <c r="AF73" s="345" t="s">
        <v>207</v>
      </c>
      <c r="AG73" s="345" t="s">
        <v>208</v>
      </c>
      <c r="AH73" s="345" t="s">
        <v>209</v>
      </c>
      <c r="AI73" s="345" t="s">
        <v>210</v>
      </c>
      <c r="AJ73" s="345"/>
      <c r="AK73" s="345"/>
      <c r="AL73" s="345"/>
      <c r="AM73" s="11"/>
      <c r="AN73" s="11"/>
      <c r="AO73" s="11"/>
    </row>
    <row r="74" spans="1:41" x14ac:dyDescent="0.25">
      <c r="A74" s="311"/>
      <c r="B74" s="312"/>
      <c r="C74" s="312"/>
      <c r="D74" s="312"/>
      <c r="E74" s="328"/>
      <c r="F74" s="442"/>
      <c r="G74" s="314"/>
      <c r="H74" s="314"/>
      <c r="I74" s="314"/>
      <c r="J74" s="314"/>
      <c r="K74" s="314"/>
      <c r="L74" s="314"/>
      <c r="M74" s="314"/>
      <c r="N74" s="314"/>
      <c r="O74" s="314"/>
      <c r="P74" s="314"/>
      <c r="Q74" s="314"/>
      <c r="R74" s="442"/>
      <c r="S74" s="314"/>
      <c r="T74" s="314"/>
      <c r="U74" s="314"/>
      <c r="V74" s="315">
        <v>1</v>
      </c>
      <c r="W74" s="447">
        <f t="shared" si="0"/>
        <v>0</v>
      </c>
      <c r="X74" s="447">
        <f t="shared" si="1"/>
        <v>0</v>
      </c>
      <c r="Y74" s="447">
        <f t="shared" si="2"/>
        <v>0</v>
      </c>
      <c r="Z74" s="447">
        <f t="shared" si="3"/>
        <v>0</v>
      </c>
      <c r="AA74" s="447">
        <f t="shared" si="4"/>
        <v>0</v>
      </c>
      <c r="AB74" s="447" t="e">
        <f t="shared" si="5"/>
        <v>#DIV/0!</v>
      </c>
      <c r="AC74" s="448" t="e">
        <f t="shared" si="6"/>
        <v>#DIV/0!</v>
      </c>
      <c r="AD74" s="11"/>
      <c r="AE74" s="349" t="str">
        <f>AF74&amp;TM[[#This Row],[Insurer Code]]&amp;"; "&amp;AG74&amp;TM[[#This Row],[Reporting Year]]&amp;"; "&amp;AH74&amp;TM[[#This Row],[Insurance Category Code]]&amp;"; "&amp;AI74&amp;TM[[#This Row],[Large Provider Entity Code]]</f>
        <v xml:space="preserve">Insurer Code ; Reporting Year ; Insurance Category Code ; Large Provider Entity Code </v>
      </c>
      <c r="AF74" s="345" t="s">
        <v>207</v>
      </c>
      <c r="AG74" s="345" t="s">
        <v>208</v>
      </c>
      <c r="AH74" s="345" t="s">
        <v>209</v>
      </c>
      <c r="AI74" s="345" t="s">
        <v>210</v>
      </c>
      <c r="AJ74" s="345"/>
      <c r="AK74" s="345"/>
      <c r="AL74" s="345"/>
      <c r="AM74" s="11"/>
      <c r="AN74" s="11"/>
      <c r="AO74" s="11"/>
    </row>
    <row r="75" spans="1:41" x14ac:dyDescent="0.25">
      <c r="A75" s="311"/>
      <c r="B75" s="312"/>
      <c r="C75" s="312"/>
      <c r="D75" s="312"/>
      <c r="E75" s="328"/>
      <c r="F75" s="442"/>
      <c r="G75" s="314"/>
      <c r="H75" s="314"/>
      <c r="I75" s="314"/>
      <c r="J75" s="314"/>
      <c r="K75" s="314"/>
      <c r="L75" s="314"/>
      <c r="M75" s="314"/>
      <c r="N75" s="314"/>
      <c r="O75" s="314"/>
      <c r="P75" s="314"/>
      <c r="Q75" s="314"/>
      <c r="R75" s="442"/>
      <c r="S75" s="314"/>
      <c r="T75" s="314"/>
      <c r="U75" s="314"/>
      <c r="V75" s="315">
        <v>11</v>
      </c>
      <c r="W75" s="447">
        <f t="shared" si="0"/>
        <v>0</v>
      </c>
      <c r="X75" s="447">
        <f t="shared" si="1"/>
        <v>0</v>
      </c>
      <c r="Y75" s="447">
        <f t="shared" si="2"/>
        <v>0</v>
      </c>
      <c r="Z75" s="447">
        <f t="shared" si="3"/>
        <v>0</v>
      </c>
      <c r="AA75" s="447">
        <f t="shared" si="4"/>
        <v>0</v>
      </c>
      <c r="AB75" s="447" t="e">
        <f t="shared" si="5"/>
        <v>#DIV/0!</v>
      </c>
      <c r="AC75" s="448" t="e">
        <f t="shared" si="6"/>
        <v>#DIV/0!</v>
      </c>
      <c r="AD75" s="11"/>
      <c r="AE75" s="349" t="str">
        <f>AF75&amp;TM[[#This Row],[Insurer Code]]&amp;"; "&amp;AG75&amp;TM[[#This Row],[Reporting Year]]&amp;"; "&amp;AH75&amp;TM[[#This Row],[Insurance Category Code]]&amp;"; "&amp;AI75&amp;TM[[#This Row],[Large Provider Entity Code]]</f>
        <v xml:space="preserve">Insurer Code ; Reporting Year ; Insurance Category Code ; Large Provider Entity Code </v>
      </c>
      <c r="AF75" s="345" t="s">
        <v>207</v>
      </c>
      <c r="AG75" s="345" t="s">
        <v>208</v>
      </c>
      <c r="AH75" s="345" t="s">
        <v>209</v>
      </c>
      <c r="AI75" s="345" t="s">
        <v>210</v>
      </c>
      <c r="AJ75" s="345"/>
      <c r="AK75" s="345"/>
      <c r="AL75" s="345"/>
      <c r="AM75" s="11"/>
      <c r="AN75" s="11"/>
      <c r="AO75" s="11"/>
    </row>
    <row r="76" spans="1:41" x14ac:dyDescent="0.25">
      <c r="A76" s="311"/>
      <c r="B76" s="312"/>
      <c r="C76" s="312"/>
      <c r="D76" s="312"/>
      <c r="E76" s="328"/>
      <c r="F76" s="442"/>
      <c r="G76" s="314"/>
      <c r="H76" s="314"/>
      <c r="I76" s="314"/>
      <c r="J76" s="314"/>
      <c r="K76" s="314"/>
      <c r="L76" s="314"/>
      <c r="M76" s="314"/>
      <c r="N76" s="314"/>
      <c r="O76" s="314"/>
      <c r="P76" s="314"/>
      <c r="Q76" s="314"/>
      <c r="R76" s="442"/>
      <c r="S76" s="314"/>
      <c r="T76" s="314"/>
      <c r="U76" s="314"/>
      <c r="V76" s="315">
        <v>3</v>
      </c>
      <c r="W76" s="447">
        <f t="shared" ref="W76:W139" si="7">SUM(F76:M76)</f>
        <v>0</v>
      </c>
      <c r="X76" s="447">
        <f t="shared" ref="X76:X139" si="8">SUM(N76:S76)</f>
        <v>0</v>
      </c>
      <c r="Y76" s="447">
        <f t="shared" ref="Y76:Y139" si="9">W76+X76</f>
        <v>0</v>
      </c>
      <c r="Z76" s="447">
        <f t="shared" ref="Z76:Z139" si="10">W76-U76</f>
        <v>0</v>
      </c>
      <c r="AA76" s="447">
        <f t="shared" ref="AA76:AA139" si="11">Z76+X76</f>
        <v>0</v>
      </c>
      <c r="AB76" s="447" t="e">
        <f t="shared" ref="AB76:AB139" si="12">Y76/E76</f>
        <v>#DIV/0!</v>
      </c>
      <c r="AC76" s="448" t="e">
        <f t="shared" ref="AC76:AC139" si="13">AA76/E76</f>
        <v>#DIV/0!</v>
      </c>
      <c r="AD76" s="11"/>
      <c r="AE76" s="349" t="str">
        <f>AF76&amp;TM[[#This Row],[Insurer Code]]&amp;"; "&amp;AG76&amp;TM[[#This Row],[Reporting Year]]&amp;"; "&amp;AH76&amp;TM[[#This Row],[Insurance Category Code]]&amp;"; "&amp;AI76&amp;TM[[#This Row],[Large Provider Entity Code]]</f>
        <v xml:space="preserve">Insurer Code ; Reporting Year ; Insurance Category Code ; Large Provider Entity Code </v>
      </c>
      <c r="AF76" s="345" t="s">
        <v>207</v>
      </c>
      <c r="AG76" s="345" t="s">
        <v>208</v>
      </c>
      <c r="AH76" s="345" t="s">
        <v>209</v>
      </c>
      <c r="AI76" s="345" t="s">
        <v>210</v>
      </c>
      <c r="AJ76" s="345"/>
      <c r="AK76" s="345"/>
      <c r="AL76" s="345"/>
      <c r="AM76" s="11"/>
      <c r="AN76" s="11"/>
      <c r="AO76" s="11"/>
    </row>
    <row r="77" spans="1:41" x14ac:dyDescent="0.25">
      <c r="A77" s="311"/>
      <c r="B77" s="312"/>
      <c r="C77" s="312"/>
      <c r="D77" s="312"/>
      <c r="E77" s="328"/>
      <c r="F77" s="442"/>
      <c r="G77" s="314"/>
      <c r="H77" s="314"/>
      <c r="I77" s="314"/>
      <c r="J77" s="314"/>
      <c r="K77" s="314"/>
      <c r="L77" s="314"/>
      <c r="M77" s="314"/>
      <c r="N77" s="314"/>
      <c r="O77" s="314"/>
      <c r="P77" s="314"/>
      <c r="Q77" s="314"/>
      <c r="R77" s="442"/>
      <c r="S77" s="314"/>
      <c r="T77" s="314"/>
      <c r="U77" s="314"/>
      <c r="V77" s="315">
        <v>0</v>
      </c>
      <c r="W77" s="451">
        <f t="shared" si="7"/>
        <v>0</v>
      </c>
      <c r="X77" s="451">
        <f t="shared" si="8"/>
        <v>0</v>
      </c>
      <c r="Y77" s="451">
        <f t="shared" si="9"/>
        <v>0</v>
      </c>
      <c r="Z77" s="451">
        <f t="shared" si="10"/>
        <v>0</v>
      </c>
      <c r="AA77" s="451">
        <f t="shared" si="11"/>
        <v>0</v>
      </c>
      <c r="AB77" s="451" t="e">
        <f t="shared" si="12"/>
        <v>#DIV/0!</v>
      </c>
      <c r="AC77" s="452" t="e">
        <f t="shared" si="13"/>
        <v>#DIV/0!</v>
      </c>
      <c r="AD77" s="11"/>
      <c r="AE77" s="349" t="str">
        <f>AF77&amp;TM[[#This Row],[Insurer Code]]&amp;"; "&amp;AG77&amp;TM[[#This Row],[Reporting Year]]&amp;"; "&amp;AH77&amp;TM[[#This Row],[Insurance Category Code]]&amp;"; "&amp;AI77&amp;TM[[#This Row],[Large Provider Entity Code]]</f>
        <v xml:space="preserve">Insurer Code ; Reporting Year ; Insurance Category Code ; Large Provider Entity Code </v>
      </c>
      <c r="AF77" s="345" t="s">
        <v>207</v>
      </c>
      <c r="AG77" s="345" t="s">
        <v>208</v>
      </c>
      <c r="AH77" s="345" t="s">
        <v>209</v>
      </c>
      <c r="AI77" s="345" t="s">
        <v>210</v>
      </c>
      <c r="AJ77" s="345"/>
      <c r="AK77" s="345"/>
      <c r="AL77" s="345"/>
      <c r="AM77" s="11"/>
      <c r="AN77" s="11"/>
      <c r="AO77" s="11"/>
    </row>
    <row r="78" spans="1:41" x14ac:dyDescent="0.25">
      <c r="A78" s="311"/>
      <c r="B78" s="312"/>
      <c r="C78" s="312"/>
      <c r="D78" s="312"/>
      <c r="E78" s="328"/>
      <c r="F78" s="442"/>
      <c r="G78" s="314"/>
      <c r="H78" s="314"/>
      <c r="I78" s="314"/>
      <c r="J78" s="314"/>
      <c r="K78" s="314"/>
      <c r="L78" s="314"/>
      <c r="M78" s="314"/>
      <c r="N78" s="314"/>
      <c r="O78" s="314"/>
      <c r="P78" s="314"/>
      <c r="Q78" s="314"/>
      <c r="R78" s="442"/>
      <c r="S78" s="314"/>
      <c r="T78" s="314"/>
      <c r="U78" s="314"/>
      <c r="V78" s="315">
        <v>0</v>
      </c>
      <c r="W78" s="451">
        <f t="shared" si="7"/>
        <v>0</v>
      </c>
      <c r="X78" s="451">
        <f t="shared" si="8"/>
        <v>0</v>
      </c>
      <c r="Y78" s="451">
        <f t="shared" si="9"/>
        <v>0</v>
      </c>
      <c r="Z78" s="451">
        <f t="shared" si="10"/>
        <v>0</v>
      </c>
      <c r="AA78" s="451">
        <f t="shared" si="11"/>
        <v>0</v>
      </c>
      <c r="AB78" s="451" t="e">
        <f t="shared" si="12"/>
        <v>#DIV/0!</v>
      </c>
      <c r="AC78" s="452" t="e">
        <f t="shared" si="13"/>
        <v>#DIV/0!</v>
      </c>
      <c r="AD78" s="11"/>
      <c r="AE78" s="349" t="str">
        <f>AF78&amp;TM[[#This Row],[Insurer Code]]&amp;"; "&amp;AG78&amp;TM[[#This Row],[Reporting Year]]&amp;"; "&amp;AH78&amp;TM[[#This Row],[Insurance Category Code]]&amp;"; "&amp;AI78&amp;TM[[#This Row],[Large Provider Entity Code]]</f>
        <v xml:space="preserve">Insurer Code ; Reporting Year ; Insurance Category Code ; Large Provider Entity Code </v>
      </c>
      <c r="AF78" s="345" t="s">
        <v>207</v>
      </c>
      <c r="AG78" s="345" t="s">
        <v>208</v>
      </c>
      <c r="AH78" s="345" t="s">
        <v>209</v>
      </c>
      <c r="AI78" s="345" t="s">
        <v>210</v>
      </c>
      <c r="AJ78" s="345"/>
      <c r="AK78" s="345"/>
      <c r="AL78" s="345"/>
      <c r="AM78" s="11"/>
      <c r="AN78" s="11"/>
      <c r="AO78" s="11"/>
    </row>
    <row r="79" spans="1:41" x14ac:dyDescent="0.25">
      <c r="A79" s="311"/>
      <c r="B79" s="312"/>
      <c r="C79" s="312"/>
      <c r="D79" s="312"/>
      <c r="E79" s="328"/>
      <c r="F79" s="442"/>
      <c r="G79" s="314"/>
      <c r="H79" s="314"/>
      <c r="I79" s="314"/>
      <c r="J79" s="314"/>
      <c r="K79" s="314"/>
      <c r="L79" s="314"/>
      <c r="M79" s="314"/>
      <c r="N79" s="314"/>
      <c r="O79" s="314"/>
      <c r="P79" s="314"/>
      <c r="Q79" s="314"/>
      <c r="R79" s="442"/>
      <c r="S79" s="314"/>
      <c r="T79" s="314"/>
      <c r="U79" s="314"/>
      <c r="V79" s="315">
        <v>6</v>
      </c>
      <c r="W79" s="451">
        <f t="shared" si="7"/>
        <v>0</v>
      </c>
      <c r="X79" s="451">
        <f t="shared" si="8"/>
        <v>0</v>
      </c>
      <c r="Y79" s="451">
        <f t="shared" si="9"/>
        <v>0</v>
      </c>
      <c r="Z79" s="451">
        <f t="shared" si="10"/>
        <v>0</v>
      </c>
      <c r="AA79" s="451">
        <f t="shared" si="11"/>
        <v>0</v>
      </c>
      <c r="AB79" s="451" t="e">
        <f t="shared" si="12"/>
        <v>#DIV/0!</v>
      </c>
      <c r="AC79" s="452" t="e">
        <f t="shared" si="13"/>
        <v>#DIV/0!</v>
      </c>
      <c r="AD79" s="11"/>
      <c r="AE79" s="349" t="str">
        <f>AF79&amp;TM[[#This Row],[Insurer Code]]&amp;"; "&amp;AG79&amp;TM[[#This Row],[Reporting Year]]&amp;"; "&amp;AH79&amp;TM[[#This Row],[Insurance Category Code]]&amp;"; "&amp;AI79&amp;TM[[#This Row],[Large Provider Entity Code]]</f>
        <v xml:space="preserve">Insurer Code ; Reporting Year ; Insurance Category Code ; Large Provider Entity Code </v>
      </c>
      <c r="AF79" s="345" t="s">
        <v>207</v>
      </c>
      <c r="AG79" s="345" t="s">
        <v>208</v>
      </c>
      <c r="AH79" s="345" t="s">
        <v>209</v>
      </c>
      <c r="AI79" s="345" t="s">
        <v>210</v>
      </c>
      <c r="AJ79" s="345"/>
      <c r="AK79" s="345"/>
      <c r="AL79" s="345"/>
      <c r="AM79" s="11"/>
      <c r="AN79" s="11"/>
      <c r="AO79" s="11"/>
    </row>
    <row r="80" spans="1:41" x14ac:dyDescent="0.25">
      <c r="A80" s="311"/>
      <c r="B80" s="312"/>
      <c r="C80" s="312"/>
      <c r="D80" s="312"/>
      <c r="E80" s="328"/>
      <c r="F80" s="442"/>
      <c r="G80" s="314"/>
      <c r="H80" s="314"/>
      <c r="I80" s="314"/>
      <c r="J80" s="314"/>
      <c r="K80" s="314"/>
      <c r="L80" s="314"/>
      <c r="M80" s="314"/>
      <c r="N80" s="314"/>
      <c r="O80" s="314"/>
      <c r="P80" s="314"/>
      <c r="Q80" s="314"/>
      <c r="R80" s="442"/>
      <c r="S80" s="314"/>
      <c r="T80" s="314"/>
      <c r="U80" s="314"/>
      <c r="V80" s="315">
        <v>0</v>
      </c>
      <c r="W80" s="451">
        <f t="shared" si="7"/>
        <v>0</v>
      </c>
      <c r="X80" s="451">
        <f t="shared" si="8"/>
        <v>0</v>
      </c>
      <c r="Y80" s="451">
        <f t="shared" si="9"/>
        <v>0</v>
      </c>
      <c r="Z80" s="451">
        <f t="shared" si="10"/>
        <v>0</v>
      </c>
      <c r="AA80" s="451">
        <f t="shared" si="11"/>
        <v>0</v>
      </c>
      <c r="AB80" s="451" t="e">
        <f t="shared" si="12"/>
        <v>#DIV/0!</v>
      </c>
      <c r="AC80" s="452" t="e">
        <f t="shared" si="13"/>
        <v>#DIV/0!</v>
      </c>
      <c r="AD80" s="11"/>
      <c r="AE80" s="349" t="str">
        <f>AF80&amp;TM[[#This Row],[Insurer Code]]&amp;"; "&amp;AG80&amp;TM[[#This Row],[Reporting Year]]&amp;"; "&amp;AH80&amp;TM[[#This Row],[Insurance Category Code]]&amp;"; "&amp;AI80&amp;TM[[#This Row],[Large Provider Entity Code]]</f>
        <v xml:space="preserve">Insurer Code ; Reporting Year ; Insurance Category Code ; Large Provider Entity Code </v>
      </c>
      <c r="AF80" s="345" t="s">
        <v>207</v>
      </c>
      <c r="AG80" s="345" t="s">
        <v>208</v>
      </c>
      <c r="AH80" s="345" t="s">
        <v>209</v>
      </c>
      <c r="AI80" s="345" t="s">
        <v>210</v>
      </c>
      <c r="AJ80" s="345"/>
      <c r="AK80" s="345"/>
      <c r="AL80" s="345"/>
      <c r="AM80" s="11"/>
      <c r="AN80" s="11"/>
      <c r="AO80" s="11"/>
    </row>
    <row r="81" spans="1:41" x14ac:dyDescent="0.25">
      <c r="A81" s="311"/>
      <c r="B81" s="312"/>
      <c r="C81" s="312"/>
      <c r="D81" s="312"/>
      <c r="E81" s="313"/>
      <c r="F81" s="314"/>
      <c r="G81" s="314"/>
      <c r="H81" s="314"/>
      <c r="I81" s="314"/>
      <c r="J81" s="314"/>
      <c r="K81" s="314"/>
      <c r="L81" s="314"/>
      <c r="M81" s="314"/>
      <c r="N81" s="314"/>
      <c r="O81" s="314"/>
      <c r="P81" s="314"/>
      <c r="Q81" s="314"/>
      <c r="R81" s="442"/>
      <c r="S81" s="314"/>
      <c r="T81" s="314"/>
      <c r="U81" s="314"/>
      <c r="V81" s="315">
        <v>5</v>
      </c>
      <c r="W81" s="447">
        <f t="shared" si="7"/>
        <v>0</v>
      </c>
      <c r="X81" s="447">
        <f t="shared" si="8"/>
        <v>0</v>
      </c>
      <c r="Y81" s="447">
        <f t="shared" si="9"/>
        <v>0</v>
      </c>
      <c r="Z81" s="447">
        <f t="shared" si="10"/>
        <v>0</v>
      </c>
      <c r="AA81" s="447">
        <f t="shared" si="11"/>
        <v>0</v>
      </c>
      <c r="AB81" s="447" t="e">
        <f t="shared" si="12"/>
        <v>#DIV/0!</v>
      </c>
      <c r="AC81" s="448" t="e">
        <f t="shared" si="13"/>
        <v>#DIV/0!</v>
      </c>
      <c r="AD81" s="11"/>
      <c r="AE81" s="349" t="str">
        <f>AF81&amp;TM[[#This Row],[Insurer Code]]&amp;"; "&amp;AG81&amp;TM[[#This Row],[Reporting Year]]&amp;"; "&amp;AH81&amp;TM[[#This Row],[Insurance Category Code]]&amp;"; "&amp;AI81&amp;TM[[#This Row],[Large Provider Entity Code]]</f>
        <v xml:space="preserve">Insurer Code ; Reporting Year ; Insurance Category Code ; Large Provider Entity Code </v>
      </c>
      <c r="AF81" s="345" t="s">
        <v>207</v>
      </c>
      <c r="AG81" s="345" t="s">
        <v>208</v>
      </c>
      <c r="AH81" s="345" t="s">
        <v>209</v>
      </c>
      <c r="AI81" s="345" t="s">
        <v>210</v>
      </c>
      <c r="AJ81" s="345"/>
      <c r="AK81" s="345"/>
      <c r="AL81" s="345"/>
      <c r="AM81" s="11"/>
      <c r="AN81" s="11"/>
      <c r="AO81" s="11"/>
    </row>
    <row r="82" spans="1:41" x14ac:dyDescent="0.25">
      <c r="A82" s="311"/>
      <c r="B82" s="312"/>
      <c r="C82" s="312"/>
      <c r="D82" s="312"/>
      <c r="E82" s="313"/>
      <c r="F82" s="314"/>
      <c r="G82" s="314"/>
      <c r="H82" s="314"/>
      <c r="I82" s="314"/>
      <c r="J82" s="314"/>
      <c r="K82" s="314"/>
      <c r="L82" s="314"/>
      <c r="M82" s="314"/>
      <c r="N82" s="314"/>
      <c r="O82" s="314"/>
      <c r="P82" s="314"/>
      <c r="Q82" s="314"/>
      <c r="R82" s="442"/>
      <c r="S82" s="314"/>
      <c r="T82" s="314"/>
      <c r="U82" s="314"/>
      <c r="V82" s="315">
        <v>2</v>
      </c>
      <c r="W82" s="447">
        <f t="shared" si="7"/>
        <v>0</v>
      </c>
      <c r="X82" s="447">
        <f t="shared" si="8"/>
        <v>0</v>
      </c>
      <c r="Y82" s="447">
        <f t="shared" si="9"/>
        <v>0</v>
      </c>
      <c r="Z82" s="447">
        <f t="shared" si="10"/>
        <v>0</v>
      </c>
      <c r="AA82" s="447">
        <f t="shared" si="11"/>
        <v>0</v>
      </c>
      <c r="AB82" s="447" t="e">
        <f t="shared" si="12"/>
        <v>#DIV/0!</v>
      </c>
      <c r="AC82" s="448" t="e">
        <f t="shared" si="13"/>
        <v>#DIV/0!</v>
      </c>
      <c r="AD82" s="11"/>
      <c r="AE82" s="349" t="str">
        <f>AF82&amp;TM[[#This Row],[Insurer Code]]&amp;"; "&amp;AG82&amp;TM[[#This Row],[Reporting Year]]&amp;"; "&amp;AH82&amp;TM[[#This Row],[Insurance Category Code]]&amp;"; "&amp;AI82&amp;TM[[#This Row],[Large Provider Entity Code]]</f>
        <v xml:space="preserve">Insurer Code ; Reporting Year ; Insurance Category Code ; Large Provider Entity Code </v>
      </c>
      <c r="AF82" s="345" t="s">
        <v>207</v>
      </c>
      <c r="AG82" s="345" t="s">
        <v>208</v>
      </c>
      <c r="AH82" s="345" t="s">
        <v>209</v>
      </c>
      <c r="AI82" s="345" t="s">
        <v>210</v>
      </c>
      <c r="AJ82" s="345"/>
      <c r="AK82" s="345"/>
      <c r="AL82" s="345"/>
      <c r="AM82" s="11"/>
      <c r="AN82" s="11"/>
      <c r="AO82" s="11"/>
    </row>
    <row r="83" spans="1:41" x14ac:dyDescent="0.25">
      <c r="A83" s="311"/>
      <c r="B83" s="316"/>
      <c r="C83" s="316"/>
      <c r="D83" s="316"/>
      <c r="E83" s="317"/>
      <c r="F83" s="336"/>
      <c r="G83" s="336"/>
      <c r="H83" s="336"/>
      <c r="I83" s="336"/>
      <c r="J83" s="336"/>
      <c r="K83" s="336"/>
      <c r="L83" s="336"/>
      <c r="M83" s="336"/>
      <c r="N83" s="336"/>
      <c r="O83" s="336"/>
      <c r="P83" s="336"/>
      <c r="Q83" s="336"/>
      <c r="R83" s="443"/>
      <c r="S83" s="336"/>
      <c r="T83" s="336"/>
      <c r="U83" s="314"/>
      <c r="V83" s="318">
        <v>97</v>
      </c>
      <c r="W83" s="447">
        <f t="shared" si="7"/>
        <v>0</v>
      </c>
      <c r="X83" s="447">
        <f t="shared" si="8"/>
        <v>0</v>
      </c>
      <c r="Y83" s="447">
        <f t="shared" si="9"/>
        <v>0</v>
      </c>
      <c r="Z83" s="447">
        <f t="shared" si="10"/>
        <v>0</v>
      </c>
      <c r="AA83" s="447">
        <f t="shared" si="11"/>
        <v>0</v>
      </c>
      <c r="AB83" s="447" t="e">
        <f t="shared" si="12"/>
        <v>#DIV/0!</v>
      </c>
      <c r="AC83" s="448" t="e">
        <f t="shared" si="13"/>
        <v>#DIV/0!</v>
      </c>
      <c r="AD83" s="11"/>
      <c r="AE83" s="349" t="str">
        <f>AF83&amp;TM[[#This Row],[Insurer Code]]&amp;"; "&amp;AG83&amp;TM[[#This Row],[Reporting Year]]&amp;"; "&amp;AH83&amp;TM[[#This Row],[Insurance Category Code]]&amp;"; "&amp;AI83&amp;TM[[#This Row],[Large Provider Entity Code]]</f>
        <v xml:space="preserve">Insurer Code ; Reporting Year ; Insurance Category Code ; Large Provider Entity Code </v>
      </c>
      <c r="AF83" s="345" t="s">
        <v>207</v>
      </c>
      <c r="AG83" s="345" t="s">
        <v>208</v>
      </c>
      <c r="AH83" s="345" t="s">
        <v>209</v>
      </c>
      <c r="AI83" s="345" t="s">
        <v>210</v>
      </c>
      <c r="AJ83" s="345"/>
      <c r="AK83" s="345"/>
      <c r="AL83" s="345"/>
      <c r="AM83" s="11"/>
      <c r="AN83" s="11"/>
      <c r="AO83" s="11"/>
    </row>
    <row r="84" spans="1:41" x14ac:dyDescent="0.25">
      <c r="A84" s="311"/>
      <c r="B84" s="316"/>
      <c r="C84" s="316"/>
      <c r="D84" s="316"/>
      <c r="E84" s="317"/>
      <c r="F84" s="336"/>
      <c r="G84" s="336"/>
      <c r="H84" s="336"/>
      <c r="I84" s="336"/>
      <c r="J84" s="336"/>
      <c r="K84" s="336"/>
      <c r="L84" s="336"/>
      <c r="M84" s="336"/>
      <c r="N84" s="336"/>
      <c r="O84" s="336"/>
      <c r="P84" s="336"/>
      <c r="Q84" s="336"/>
      <c r="R84" s="443"/>
      <c r="S84" s="336"/>
      <c r="T84" s="336"/>
      <c r="U84" s="314"/>
      <c r="V84" s="318">
        <v>41</v>
      </c>
      <c r="W84" s="447">
        <f t="shared" si="7"/>
        <v>0</v>
      </c>
      <c r="X84" s="447">
        <f t="shared" si="8"/>
        <v>0</v>
      </c>
      <c r="Y84" s="447">
        <f t="shared" si="9"/>
        <v>0</v>
      </c>
      <c r="Z84" s="447">
        <f t="shared" si="10"/>
        <v>0</v>
      </c>
      <c r="AA84" s="447">
        <f t="shared" si="11"/>
        <v>0</v>
      </c>
      <c r="AB84" s="447" t="e">
        <f t="shared" si="12"/>
        <v>#DIV/0!</v>
      </c>
      <c r="AC84" s="448" t="e">
        <f t="shared" si="13"/>
        <v>#DIV/0!</v>
      </c>
      <c r="AD84" s="11"/>
      <c r="AE84" s="349" t="str">
        <f>AF84&amp;TM[[#This Row],[Insurer Code]]&amp;"; "&amp;AG84&amp;TM[[#This Row],[Reporting Year]]&amp;"; "&amp;AH84&amp;TM[[#This Row],[Insurance Category Code]]&amp;"; "&amp;AI84&amp;TM[[#This Row],[Large Provider Entity Code]]</f>
        <v xml:space="preserve">Insurer Code ; Reporting Year ; Insurance Category Code ; Large Provider Entity Code </v>
      </c>
      <c r="AF84" s="345" t="s">
        <v>207</v>
      </c>
      <c r="AG84" s="345" t="s">
        <v>208</v>
      </c>
      <c r="AH84" s="345" t="s">
        <v>209</v>
      </c>
      <c r="AI84" s="345" t="s">
        <v>210</v>
      </c>
      <c r="AJ84" s="345"/>
      <c r="AK84" s="345"/>
      <c r="AL84" s="345"/>
      <c r="AM84" s="11"/>
      <c r="AN84" s="11"/>
      <c r="AO84" s="11"/>
    </row>
    <row r="85" spans="1:41" x14ac:dyDescent="0.25">
      <c r="A85" s="311"/>
      <c r="B85" s="316"/>
      <c r="C85" s="316"/>
      <c r="D85" s="316"/>
      <c r="E85" s="317"/>
      <c r="F85" s="336"/>
      <c r="G85" s="336"/>
      <c r="H85" s="336"/>
      <c r="I85" s="336"/>
      <c r="J85" s="336"/>
      <c r="K85" s="336"/>
      <c r="L85" s="336"/>
      <c r="M85" s="336"/>
      <c r="N85" s="336"/>
      <c r="O85" s="336"/>
      <c r="P85" s="336"/>
      <c r="Q85" s="336"/>
      <c r="R85" s="443"/>
      <c r="S85" s="336"/>
      <c r="T85" s="336"/>
      <c r="U85" s="314"/>
      <c r="V85" s="318">
        <v>1</v>
      </c>
      <c r="W85" s="447">
        <f t="shared" si="7"/>
        <v>0</v>
      </c>
      <c r="X85" s="447">
        <f t="shared" si="8"/>
        <v>0</v>
      </c>
      <c r="Y85" s="447">
        <f t="shared" si="9"/>
        <v>0</v>
      </c>
      <c r="Z85" s="447">
        <f t="shared" si="10"/>
        <v>0</v>
      </c>
      <c r="AA85" s="447">
        <f t="shared" si="11"/>
        <v>0</v>
      </c>
      <c r="AB85" s="447" t="e">
        <f t="shared" si="12"/>
        <v>#DIV/0!</v>
      </c>
      <c r="AC85" s="448" t="e">
        <f t="shared" si="13"/>
        <v>#DIV/0!</v>
      </c>
      <c r="AD85" s="11"/>
      <c r="AE85" s="349" t="str">
        <f>AF85&amp;TM[[#This Row],[Insurer Code]]&amp;"; "&amp;AG85&amp;TM[[#This Row],[Reporting Year]]&amp;"; "&amp;AH85&amp;TM[[#This Row],[Insurance Category Code]]&amp;"; "&amp;AI85&amp;TM[[#This Row],[Large Provider Entity Code]]</f>
        <v xml:space="preserve">Insurer Code ; Reporting Year ; Insurance Category Code ; Large Provider Entity Code </v>
      </c>
      <c r="AF85" s="345" t="s">
        <v>207</v>
      </c>
      <c r="AG85" s="345" t="s">
        <v>208</v>
      </c>
      <c r="AH85" s="345" t="s">
        <v>209</v>
      </c>
      <c r="AI85" s="345" t="s">
        <v>210</v>
      </c>
      <c r="AJ85" s="345"/>
      <c r="AK85" s="345"/>
      <c r="AL85" s="345"/>
      <c r="AM85" s="11"/>
      <c r="AN85" s="11"/>
      <c r="AO85" s="11"/>
    </row>
    <row r="86" spans="1:41" x14ac:dyDescent="0.25">
      <c r="A86" s="311"/>
      <c r="B86" s="312"/>
      <c r="C86" s="312"/>
      <c r="D86" s="312"/>
      <c r="E86" s="313"/>
      <c r="F86" s="314"/>
      <c r="G86" s="314"/>
      <c r="H86" s="314"/>
      <c r="I86" s="314"/>
      <c r="J86" s="314"/>
      <c r="K86" s="314"/>
      <c r="L86" s="314"/>
      <c r="M86" s="314"/>
      <c r="N86" s="314"/>
      <c r="O86" s="314"/>
      <c r="P86" s="314"/>
      <c r="Q86" s="314"/>
      <c r="R86" s="442"/>
      <c r="S86" s="314"/>
      <c r="T86" s="314"/>
      <c r="U86" s="314"/>
      <c r="V86" s="315">
        <v>0</v>
      </c>
      <c r="W86" s="447">
        <f t="shared" si="7"/>
        <v>0</v>
      </c>
      <c r="X86" s="447">
        <f t="shared" si="8"/>
        <v>0</v>
      </c>
      <c r="Y86" s="447">
        <f t="shared" si="9"/>
        <v>0</v>
      </c>
      <c r="Z86" s="447">
        <f t="shared" si="10"/>
        <v>0</v>
      </c>
      <c r="AA86" s="447">
        <f t="shared" si="11"/>
        <v>0</v>
      </c>
      <c r="AB86" s="447" t="e">
        <f t="shared" si="12"/>
        <v>#DIV/0!</v>
      </c>
      <c r="AC86" s="448" t="e">
        <f t="shared" si="13"/>
        <v>#DIV/0!</v>
      </c>
      <c r="AD86" s="11"/>
      <c r="AE86" s="349" t="str">
        <f>AF86&amp;TM[[#This Row],[Insurer Code]]&amp;"; "&amp;AG86&amp;TM[[#This Row],[Reporting Year]]&amp;"; "&amp;AH86&amp;TM[[#This Row],[Insurance Category Code]]&amp;"; "&amp;AI86&amp;TM[[#This Row],[Large Provider Entity Code]]</f>
        <v xml:space="preserve">Insurer Code ; Reporting Year ; Insurance Category Code ; Large Provider Entity Code </v>
      </c>
      <c r="AF86" s="345" t="s">
        <v>207</v>
      </c>
      <c r="AG86" s="345" t="s">
        <v>208</v>
      </c>
      <c r="AH86" s="345" t="s">
        <v>209</v>
      </c>
      <c r="AI86" s="345" t="s">
        <v>210</v>
      </c>
      <c r="AJ86" s="345"/>
      <c r="AK86" s="345"/>
      <c r="AL86" s="345"/>
      <c r="AM86" s="11"/>
      <c r="AN86" s="11"/>
      <c r="AO86" s="11"/>
    </row>
    <row r="87" spans="1:41" x14ac:dyDescent="0.25">
      <c r="A87" s="311"/>
      <c r="B87" s="316"/>
      <c r="C87" s="316"/>
      <c r="D87" s="316"/>
      <c r="E87" s="317"/>
      <c r="F87" s="336"/>
      <c r="G87" s="336"/>
      <c r="H87" s="336"/>
      <c r="I87" s="336"/>
      <c r="J87" s="336"/>
      <c r="K87" s="336"/>
      <c r="L87" s="336"/>
      <c r="M87" s="336"/>
      <c r="N87" s="336"/>
      <c r="O87" s="336"/>
      <c r="P87" s="336"/>
      <c r="Q87" s="336"/>
      <c r="R87" s="443"/>
      <c r="S87" s="336"/>
      <c r="T87" s="336"/>
      <c r="U87" s="314"/>
      <c r="V87" s="318">
        <v>63</v>
      </c>
      <c r="W87" s="447">
        <f t="shared" si="7"/>
        <v>0</v>
      </c>
      <c r="X87" s="447">
        <f t="shared" si="8"/>
        <v>0</v>
      </c>
      <c r="Y87" s="447">
        <f t="shared" si="9"/>
        <v>0</v>
      </c>
      <c r="Z87" s="447">
        <f t="shared" si="10"/>
        <v>0</v>
      </c>
      <c r="AA87" s="447">
        <f t="shared" si="11"/>
        <v>0</v>
      </c>
      <c r="AB87" s="447" t="e">
        <f t="shared" si="12"/>
        <v>#DIV/0!</v>
      </c>
      <c r="AC87" s="448" t="e">
        <f t="shared" si="13"/>
        <v>#DIV/0!</v>
      </c>
      <c r="AD87" s="11"/>
      <c r="AE87" s="349" t="str">
        <f>AF87&amp;TM[[#This Row],[Insurer Code]]&amp;"; "&amp;AG87&amp;TM[[#This Row],[Reporting Year]]&amp;"; "&amp;AH87&amp;TM[[#This Row],[Insurance Category Code]]&amp;"; "&amp;AI87&amp;TM[[#This Row],[Large Provider Entity Code]]</f>
        <v xml:space="preserve">Insurer Code ; Reporting Year ; Insurance Category Code ; Large Provider Entity Code </v>
      </c>
      <c r="AF87" s="345" t="s">
        <v>207</v>
      </c>
      <c r="AG87" s="345" t="s">
        <v>208</v>
      </c>
      <c r="AH87" s="345" t="s">
        <v>209</v>
      </c>
      <c r="AI87" s="345" t="s">
        <v>210</v>
      </c>
      <c r="AJ87" s="345"/>
      <c r="AK87" s="345"/>
      <c r="AL87" s="345"/>
      <c r="AM87" s="11"/>
      <c r="AN87" s="11"/>
      <c r="AO87" s="11"/>
    </row>
    <row r="88" spans="1:41" x14ac:dyDescent="0.25">
      <c r="A88" s="311"/>
      <c r="B88" s="316"/>
      <c r="C88" s="316"/>
      <c r="D88" s="316"/>
      <c r="E88" s="317"/>
      <c r="F88" s="336"/>
      <c r="G88" s="336"/>
      <c r="H88" s="336"/>
      <c r="I88" s="336"/>
      <c r="J88" s="336"/>
      <c r="K88" s="336"/>
      <c r="L88" s="336"/>
      <c r="M88" s="336"/>
      <c r="N88" s="336"/>
      <c r="O88" s="336"/>
      <c r="P88" s="336"/>
      <c r="Q88" s="336"/>
      <c r="R88" s="443"/>
      <c r="S88" s="336"/>
      <c r="T88" s="336"/>
      <c r="U88" s="314"/>
      <c r="V88" s="318">
        <v>4</v>
      </c>
      <c r="W88" s="447">
        <f t="shared" si="7"/>
        <v>0</v>
      </c>
      <c r="X88" s="447">
        <f t="shared" si="8"/>
        <v>0</v>
      </c>
      <c r="Y88" s="447">
        <f t="shared" si="9"/>
        <v>0</v>
      </c>
      <c r="Z88" s="447">
        <f t="shared" si="10"/>
        <v>0</v>
      </c>
      <c r="AA88" s="447">
        <f t="shared" si="11"/>
        <v>0</v>
      </c>
      <c r="AB88" s="447" t="e">
        <f t="shared" si="12"/>
        <v>#DIV/0!</v>
      </c>
      <c r="AC88" s="448" t="e">
        <f t="shared" si="13"/>
        <v>#DIV/0!</v>
      </c>
      <c r="AD88" s="11"/>
      <c r="AE88" s="349" t="str">
        <f>AF88&amp;TM[[#This Row],[Insurer Code]]&amp;"; "&amp;AG88&amp;TM[[#This Row],[Reporting Year]]&amp;"; "&amp;AH88&amp;TM[[#This Row],[Insurance Category Code]]&amp;"; "&amp;AI88&amp;TM[[#This Row],[Large Provider Entity Code]]</f>
        <v xml:space="preserve">Insurer Code ; Reporting Year ; Insurance Category Code ; Large Provider Entity Code </v>
      </c>
      <c r="AF88" s="345" t="s">
        <v>207</v>
      </c>
      <c r="AG88" s="345" t="s">
        <v>208</v>
      </c>
      <c r="AH88" s="345" t="s">
        <v>209</v>
      </c>
      <c r="AI88" s="345" t="s">
        <v>210</v>
      </c>
      <c r="AJ88" s="345"/>
      <c r="AK88" s="345"/>
      <c r="AL88" s="345"/>
      <c r="AM88" s="11"/>
      <c r="AN88" s="11"/>
      <c r="AO88" s="11"/>
    </row>
    <row r="89" spans="1:41" x14ac:dyDescent="0.25">
      <c r="A89" s="311"/>
      <c r="B89" s="316"/>
      <c r="C89" s="316"/>
      <c r="D89" s="316"/>
      <c r="E89" s="317"/>
      <c r="F89" s="336"/>
      <c r="G89" s="336"/>
      <c r="H89" s="336"/>
      <c r="I89" s="336"/>
      <c r="J89" s="336"/>
      <c r="K89" s="336"/>
      <c r="L89" s="336"/>
      <c r="M89" s="336"/>
      <c r="N89" s="336"/>
      <c r="O89" s="336"/>
      <c r="P89" s="336"/>
      <c r="Q89" s="336"/>
      <c r="R89" s="443"/>
      <c r="S89" s="336"/>
      <c r="T89" s="336"/>
      <c r="U89" s="314"/>
      <c r="V89" s="318">
        <v>4</v>
      </c>
      <c r="W89" s="447">
        <f t="shared" si="7"/>
        <v>0</v>
      </c>
      <c r="X89" s="447">
        <f t="shared" si="8"/>
        <v>0</v>
      </c>
      <c r="Y89" s="447">
        <f t="shared" si="9"/>
        <v>0</v>
      </c>
      <c r="Z89" s="447">
        <f t="shared" si="10"/>
        <v>0</v>
      </c>
      <c r="AA89" s="447">
        <f t="shared" si="11"/>
        <v>0</v>
      </c>
      <c r="AB89" s="447" t="e">
        <f t="shared" si="12"/>
        <v>#DIV/0!</v>
      </c>
      <c r="AC89" s="448" t="e">
        <f t="shared" si="13"/>
        <v>#DIV/0!</v>
      </c>
      <c r="AD89" s="11"/>
      <c r="AE89" s="349" t="str">
        <f>AF89&amp;TM[[#This Row],[Insurer Code]]&amp;"; "&amp;AG89&amp;TM[[#This Row],[Reporting Year]]&amp;"; "&amp;AH89&amp;TM[[#This Row],[Insurance Category Code]]&amp;"; "&amp;AI89&amp;TM[[#This Row],[Large Provider Entity Code]]</f>
        <v xml:space="preserve">Insurer Code ; Reporting Year ; Insurance Category Code ; Large Provider Entity Code </v>
      </c>
      <c r="AF89" s="345" t="s">
        <v>207</v>
      </c>
      <c r="AG89" s="345" t="s">
        <v>208</v>
      </c>
      <c r="AH89" s="345" t="s">
        <v>209</v>
      </c>
      <c r="AI89" s="345" t="s">
        <v>210</v>
      </c>
      <c r="AJ89" s="345"/>
      <c r="AK89" s="345"/>
      <c r="AL89" s="345"/>
      <c r="AM89" s="11"/>
      <c r="AN89" s="11"/>
      <c r="AO89" s="11"/>
    </row>
    <row r="90" spans="1:41" x14ac:dyDescent="0.25">
      <c r="A90" s="311"/>
      <c r="B90" s="312"/>
      <c r="C90" s="312"/>
      <c r="D90" s="312"/>
      <c r="E90" s="313"/>
      <c r="F90" s="314"/>
      <c r="G90" s="314"/>
      <c r="H90" s="314"/>
      <c r="I90" s="314"/>
      <c r="J90" s="314"/>
      <c r="K90" s="314"/>
      <c r="L90" s="314"/>
      <c r="M90" s="314"/>
      <c r="N90" s="314"/>
      <c r="O90" s="314"/>
      <c r="P90" s="314"/>
      <c r="Q90" s="314"/>
      <c r="R90" s="442"/>
      <c r="S90" s="314"/>
      <c r="T90" s="314"/>
      <c r="U90" s="314"/>
      <c r="V90" s="315">
        <v>4</v>
      </c>
      <c r="W90" s="447">
        <f t="shared" si="7"/>
        <v>0</v>
      </c>
      <c r="X90" s="447">
        <f t="shared" si="8"/>
        <v>0</v>
      </c>
      <c r="Y90" s="447">
        <f t="shared" si="9"/>
        <v>0</v>
      </c>
      <c r="Z90" s="447">
        <f t="shared" si="10"/>
        <v>0</v>
      </c>
      <c r="AA90" s="447">
        <f t="shared" si="11"/>
        <v>0</v>
      </c>
      <c r="AB90" s="447" t="e">
        <f t="shared" si="12"/>
        <v>#DIV/0!</v>
      </c>
      <c r="AC90" s="448" t="e">
        <f t="shared" si="13"/>
        <v>#DIV/0!</v>
      </c>
      <c r="AD90" s="11"/>
      <c r="AE90" s="349" t="str">
        <f>AF90&amp;TM[[#This Row],[Insurer Code]]&amp;"; "&amp;AG90&amp;TM[[#This Row],[Reporting Year]]&amp;"; "&amp;AH90&amp;TM[[#This Row],[Insurance Category Code]]&amp;"; "&amp;AI90&amp;TM[[#This Row],[Large Provider Entity Code]]</f>
        <v xml:space="preserve">Insurer Code ; Reporting Year ; Insurance Category Code ; Large Provider Entity Code </v>
      </c>
      <c r="AF90" s="345" t="s">
        <v>207</v>
      </c>
      <c r="AG90" s="345" t="s">
        <v>208</v>
      </c>
      <c r="AH90" s="345" t="s">
        <v>209</v>
      </c>
      <c r="AI90" s="345" t="s">
        <v>210</v>
      </c>
      <c r="AJ90" s="345"/>
      <c r="AK90" s="345"/>
      <c r="AL90" s="345"/>
      <c r="AM90" s="11"/>
      <c r="AN90" s="11"/>
      <c r="AO90" s="11"/>
    </row>
    <row r="91" spans="1:41" x14ac:dyDescent="0.25">
      <c r="A91" s="311"/>
      <c r="B91" s="312"/>
      <c r="C91" s="312"/>
      <c r="D91" s="312"/>
      <c r="E91" s="313"/>
      <c r="F91" s="314"/>
      <c r="G91" s="314"/>
      <c r="H91" s="314"/>
      <c r="I91" s="314"/>
      <c r="J91" s="314"/>
      <c r="K91" s="314"/>
      <c r="L91" s="314"/>
      <c r="M91" s="314"/>
      <c r="N91" s="314"/>
      <c r="O91" s="314"/>
      <c r="P91" s="314"/>
      <c r="Q91" s="314"/>
      <c r="R91" s="442"/>
      <c r="S91" s="314"/>
      <c r="T91" s="314"/>
      <c r="U91" s="314"/>
      <c r="V91" s="315">
        <v>115</v>
      </c>
      <c r="W91" s="447">
        <f t="shared" si="7"/>
        <v>0</v>
      </c>
      <c r="X91" s="447">
        <f t="shared" si="8"/>
        <v>0</v>
      </c>
      <c r="Y91" s="447">
        <f t="shared" si="9"/>
        <v>0</v>
      </c>
      <c r="Z91" s="447">
        <f t="shared" si="10"/>
        <v>0</v>
      </c>
      <c r="AA91" s="447">
        <f t="shared" si="11"/>
        <v>0</v>
      </c>
      <c r="AB91" s="447" t="e">
        <f t="shared" si="12"/>
        <v>#DIV/0!</v>
      </c>
      <c r="AC91" s="448" t="e">
        <f t="shared" si="13"/>
        <v>#DIV/0!</v>
      </c>
      <c r="AD91" s="11"/>
      <c r="AE91" s="349" t="str">
        <f>AF91&amp;TM[[#This Row],[Insurer Code]]&amp;"; "&amp;AG91&amp;TM[[#This Row],[Reporting Year]]&amp;"; "&amp;AH91&amp;TM[[#This Row],[Insurance Category Code]]&amp;"; "&amp;AI91&amp;TM[[#This Row],[Large Provider Entity Code]]</f>
        <v xml:space="preserve">Insurer Code ; Reporting Year ; Insurance Category Code ; Large Provider Entity Code </v>
      </c>
      <c r="AF91" s="345" t="s">
        <v>207</v>
      </c>
      <c r="AG91" s="345" t="s">
        <v>208</v>
      </c>
      <c r="AH91" s="345" t="s">
        <v>209</v>
      </c>
      <c r="AI91" s="345" t="s">
        <v>210</v>
      </c>
      <c r="AJ91" s="345"/>
      <c r="AK91" s="345"/>
      <c r="AL91" s="345"/>
      <c r="AM91" s="11"/>
      <c r="AN91" s="11"/>
      <c r="AO91" s="11"/>
    </row>
    <row r="92" spans="1:41" x14ac:dyDescent="0.25">
      <c r="A92" s="311"/>
      <c r="B92" s="316"/>
      <c r="C92" s="316"/>
      <c r="D92" s="316"/>
      <c r="E92" s="317"/>
      <c r="F92" s="336"/>
      <c r="G92" s="336"/>
      <c r="H92" s="336"/>
      <c r="I92" s="336"/>
      <c r="J92" s="336"/>
      <c r="K92" s="336"/>
      <c r="L92" s="336"/>
      <c r="M92" s="336"/>
      <c r="N92" s="336"/>
      <c r="O92" s="336"/>
      <c r="P92" s="336"/>
      <c r="Q92" s="336"/>
      <c r="R92" s="443"/>
      <c r="S92" s="336"/>
      <c r="T92" s="336"/>
      <c r="U92" s="314"/>
      <c r="V92" s="318">
        <v>55</v>
      </c>
      <c r="W92" s="447">
        <f t="shared" si="7"/>
        <v>0</v>
      </c>
      <c r="X92" s="447">
        <f t="shared" si="8"/>
        <v>0</v>
      </c>
      <c r="Y92" s="447">
        <f t="shared" si="9"/>
        <v>0</v>
      </c>
      <c r="Z92" s="447">
        <f t="shared" si="10"/>
        <v>0</v>
      </c>
      <c r="AA92" s="447">
        <f t="shared" si="11"/>
        <v>0</v>
      </c>
      <c r="AB92" s="447" t="e">
        <f t="shared" si="12"/>
        <v>#DIV/0!</v>
      </c>
      <c r="AC92" s="448" t="e">
        <f t="shared" si="13"/>
        <v>#DIV/0!</v>
      </c>
      <c r="AD92" s="11"/>
      <c r="AE92" s="349" t="str">
        <f>AF92&amp;TM[[#This Row],[Insurer Code]]&amp;"; "&amp;AG92&amp;TM[[#This Row],[Reporting Year]]&amp;"; "&amp;AH92&amp;TM[[#This Row],[Insurance Category Code]]&amp;"; "&amp;AI92&amp;TM[[#This Row],[Large Provider Entity Code]]</f>
        <v xml:space="preserve">Insurer Code ; Reporting Year ; Insurance Category Code ; Large Provider Entity Code </v>
      </c>
      <c r="AF92" s="345" t="s">
        <v>207</v>
      </c>
      <c r="AG92" s="345" t="s">
        <v>208</v>
      </c>
      <c r="AH92" s="345" t="s">
        <v>209</v>
      </c>
      <c r="AI92" s="345" t="s">
        <v>210</v>
      </c>
      <c r="AJ92" s="345"/>
      <c r="AK92" s="345"/>
      <c r="AL92" s="345"/>
      <c r="AM92" s="11"/>
      <c r="AN92" s="11"/>
      <c r="AO92" s="11"/>
    </row>
    <row r="93" spans="1:41" x14ac:dyDescent="0.25">
      <c r="A93" s="311"/>
      <c r="B93" s="316"/>
      <c r="C93" s="316"/>
      <c r="D93" s="316"/>
      <c r="E93" s="317"/>
      <c r="F93" s="336"/>
      <c r="G93" s="336"/>
      <c r="H93" s="336"/>
      <c r="I93" s="336"/>
      <c r="J93" s="336"/>
      <c r="K93" s="336"/>
      <c r="L93" s="336"/>
      <c r="M93" s="336"/>
      <c r="N93" s="336"/>
      <c r="O93" s="336"/>
      <c r="P93" s="336"/>
      <c r="Q93" s="336"/>
      <c r="R93" s="443"/>
      <c r="S93" s="336"/>
      <c r="T93" s="336"/>
      <c r="U93" s="314"/>
      <c r="V93" s="318">
        <v>1</v>
      </c>
      <c r="W93" s="447">
        <f t="shared" si="7"/>
        <v>0</v>
      </c>
      <c r="X93" s="447">
        <f t="shared" si="8"/>
        <v>0</v>
      </c>
      <c r="Y93" s="447">
        <f t="shared" si="9"/>
        <v>0</v>
      </c>
      <c r="Z93" s="447">
        <f t="shared" si="10"/>
        <v>0</v>
      </c>
      <c r="AA93" s="447">
        <f t="shared" si="11"/>
        <v>0</v>
      </c>
      <c r="AB93" s="447" t="e">
        <f t="shared" si="12"/>
        <v>#DIV/0!</v>
      </c>
      <c r="AC93" s="448" t="e">
        <f t="shared" si="13"/>
        <v>#DIV/0!</v>
      </c>
      <c r="AD93" s="11"/>
      <c r="AE93" s="349" t="str">
        <f>AF93&amp;TM[[#This Row],[Insurer Code]]&amp;"; "&amp;AG93&amp;TM[[#This Row],[Reporting Year]]&amp;"; "&amp;AH93&amp;TM[[#This Row],[Insurance Category Code]]&amp;"; "&amp;AI93&amp;TM[[#This Row],[Large Provider Entity Code]]</f>
        <v xml:space="preserve">Insurer Code ; Reporting Year ; Insurance Category Code ; Large Provider Entity Code </v>
      </c>
      <c r="AF93" s="345" t="s">
        <v>207</v>
      </c>
      <c r="AG93" s="345" t="s">
        <v>208</v>
      </c>
      <c r="AH93" s="345" t="s">
        <v>209</v>
      </c>
      <c r="AI93" s="345" t="s">
        <v>210</v>
      </c>
      <c r="AJ93" s="345"/>
      <c r="AK93" s="345"/>
      <c r="AL93" s="345"/>
      <c r="AM93" s="11"/>
      <c r="AN93" s="11"/>
      <c r="AO93" s="11"/>
    </row>
    <row r="94" spans="1:41" x14ac:dyDescent="0.25">
      <c r="A94" s="311"/>
      <c r="B94" s="316"/>
      <c r="C94" s="316"/>
      <c r="D94" s="316"/>
      <c r="E94" s="317"/>
      <c r="F94" s="336"/>
      <c r="G94" s="336"/>
      <c r="H94" s="336"/>
      <c r="I94" s="336"/>
      <c r="J94" s="336"/>
      <c r="K94" s="336"/>
      <c r="L94" s="336"/>
      <c r="M94" s="336"/>
      <c r="N94" s="336"/>
      <c r="O94" s="336"/>
      <c r="P94" s="336"/>
      <c r="Q94" s="336"/>
      <c r="R94" s="443"/>
      <c r="S94" s="336"/>
      <c r="T94" s="336"/>
      <c r="U94" s="314"/>
      <c r="V94" s="318">
        <v>0</v>
      </c>
      <c r="W94" s="447">
        <f t="shared" si="7"/>
        <v>0</v>
      </c>
      <c r="X94" s="447">
        <f t="shared" si="8"/>
        <v>0</v>
      </c>
      <c r="Y94" s="447">
        <f t="shared" si="9"/>
        <v>0</v>
      </c>
      <c r="Z94" s="447">
        <f t="shared" si="10"/>
        <v>0</v>
      </c>
      <c r="AA94" s="447">
        <f t="shared" si="11"/>
        <v>0</v>
      </c>
      <c r="AB94" s="447" t="e">
        <f t="shared" si="12"/>
        <v>#DIV/0!</v>
      </c>
      <c r="AC94" s="448" t="e">
        <f t="shared" si="13"/>
        <v>#DIV/0!</v>
      </c>
      <c r="AD94" s="11"/>
      <c r="AE94" s="349" t="str">
        <f>AF94&amp;TM[[#This Row],[Insurer Code]]&amp;"; "&amp;AG94&amp;TM[[#This Row],[Reporting Year]]&amp;"; "&amp;AH94&amp;TM[[#This Row],[Insurance Category Code]]&amp;"; "&amp;AI94&amp;TM[[#This Row],[Large Provider Entity Code]]</f>
        <v xml:space="preserve">Insurer Code ; Reporting Year ; Insurance Category Code ; Large Provider Entity Code </v>
      </c>
      <c r="AF94" s="345" t="s">
        <v>207</v>
      </c>
      <c r="AG94" s="345" t="s">
        <v>208</v>
      </c>
      <c r="AH94" s="345" t="s">
        <v>209</v>
      </c>
      <c r="AI94" s="345" t="s">
        <v>210</v>
      </c>
      <c r="AJ94" s="345"/>
      <c r="AK94" s="345"/>
      <c r="AL94" s="345"/>
      <c r="AM94" s="11"/>
      <c r="AN94" s="11"/>
      <c r="AO94" s="11"/>
    </row>
    <row r="95" spans="1:41" x14ac:dyDescent="0.25">
      <c r="A95" s="311"/>
      <c r="B95" s="316"/>
      <c r="C95" s="316"/>
      <c r="D95" s="316"/>
      <c r="E95" s="317"/>
      <c r="F95" s="336"/>
      <c r="G95" s="336"/>
      <c r="H95" s="336"/>
      <c r="I95" s="336"/>
      <c r="J95" s="336"/>
      <c r="K95" s="336"/>
      <c r="L95" s="336"/>
      <c r="M95" s="336"/>
      <c r="N95" s="336"/>
      <c r="O95" s="336"/>
      <c r="P95" s="336"/>
      <c r="Q95" s="336"/>
      <c r="R95" s="443"/>
      <c r="S95" s="336"/>
      <c r="T95" s="336"/>
      <c r="U95" s="314"/>
      <c r="V95" s="318">
        <v>75</v>
      </c>
      <c r="W95" s="447">
        <f t="shared" si="7"/>
        <v>0</v>
      </c>
      <c r="X95" s="447">
        <f t="shared" si="8"/>
        <v>0</v>
      </c>
      <c r="Y95" s="447">
        <f t="shared" si="9"/>
        <v>0</v>
      </c>
      <c r="Z95" s="447">
        <f t="shared" si="10"/>
        <v>0</v>
      </c>
      <c r="AA95" s="447">
        <f t="shared" si="11"/>
        <v>0</v>
      </c>
      <c r="AB95" s="447" t="e">
        <f t="shared" si="12"/>
        <v>#DIV/0!</v>
      </c>
      <c r="AC95" s="448" t="e">
        <f t="shared" si="13"/>
        <v>#DIV/0!</v>
      </c>
      <c r="AD95" s="11"/>
      <c r="AE95" s="349" t="str">
        <f>AF95&amp;TM[[#This Row],[Insurer Code]]&amp;"; "&amp;AG95&amp;TM[[#This Row],[Reporting Year]]&amp;"; "&amp;AH95&amp;TM[[#This Row],[Insurance Category Code]]&amp;"; "&amp;AI95&amp;TM[[#This Row],[Large Provider Entity Code]]</f>
        <v xml:space="preserve">Insurer Code ; Reporting Year ; Insurance Category Code ; Large Provider Entity Code </v>
      </c>
      <c r="AF95" s="345" t="s">
        <v>207</v>
      </c>
      <c r="AG95" s="345" t="s">
        <v>208</v>
      </c>
      <c r="AH95" s="345" t="s">
        <v>209</v>
      </c>
      <c r="AI95" s="345" t="s">
        <v>210</v>
      </c>
      <c r="AJ95" s="345"/>
      <c r="AK95" s="345"/>
      <c r="AL95" s="345"/>
      <c r="AM95" s="11"/>
      <c r="AN95" s="11"/>
      <c r="AO95" s="11"/>
    </row>
    <row r="96" spans="1:41" x14ac:dyDescent="0.25">
      <c r="A96" s="311"/>
      <c r="B96" s="312"/>
      <c r="C96" s="312"/>
      <c r="D96" s="312"/>
      <c r="E96" s="328"/>
      <c r="F96" s="442"/>
      <c r="G96" s="314"/>
      <c r="H96" s="314"/>
      <c r="I96" s="314"/>
      <c r="J96" s="314"/>
      <c r="K96" s="314"/>
      <c r="L96" s="314"/>
      <c r="M96" s="314"/>
      <c r="N96" s="314"/>
      <c r="O96" s="314"/>
      <c r="P96" s="314"/>
      <c r="Q96" s="314"/>
      <c r="R96" s="442"/>
      <c r="S96" s="314"/>
      <c r="T96" s="314"/>
      <c r="U96" s="314"/>
      <c r="V96" s="315">
        <v>5</v>
      </c>
      <c r="W96" s="447">
        <f t="shared" si="7"/>
        <v>0</v>
      </c>
      <c r="X96" s="447">
        <f t="shared" si="8"/>
        <v>0</v>
      </c>
      <c r="Y96" s="447">
        <f t="shared" si="9"/>
        <v>0</v>
      </c>
      <c r="Z96" s="447">
        <f t="shared" si="10"/>
        <v>0</v>
      </c>
      <c r="AA96" s="447">
        <f t="shared" si="11"/>
        <v>0</v>
      </c>
      <c r="AB96" s="447" t="e">
        <f t="shared" si="12"/>
        <v>#DIV/0!</v>
      </c>
      <c r="AC96" s="448" t="e">
        <f t="shared" si="13"/>
        <v>#DIV/0!</v>
      </c>
      <c r="AD96" s="11"/>
      <c r="AE96" s="349" t="str">
        <f>AF96&amp;TM[[#This Row],[Insurer Code]]&amp;"; "&amp;AG96&amp;TM[[#This Row],[Reporting Year]]&amp;"; "&amp;AH96&amp;TM[[#This Row],[Insurance Category Code]]&amp;"; "&amp;AI96&amp;TM[[#This Row],[Large Provider Entity Code]]</f>
        <v xml:space="preserve">Insurer Code ; Reporting Year ; Insurance Category Code ; Large Provider Entity Code </v>
      </c>
      <c r="AF96" s="345" t="s">
        <v>207</v>
      </c>
      <c r="AG96" s="345" t="s">
        <v>208</v>
      </c>
      <c r="AH96" s="345" t="s">
        <v>209</v>
      </c>
      <c r="AI96" s="345" t="s">
        <v>210</v>
      </c>
      <c r="AJ96" s="345"/>
      <c r="AK96" s="345"/>
      <c r="AL96" s="345"/>
      <c r="AM96" s="11"/>
      <c r="AN96" s="11"/>
      <c r="AO96" s="11"/>
    </row>
    <row r="97" spans="1:41" x14ac:dyDescent="0.25">
      <c r="A97" s="311"/>
      <c r="B97" s="312"/>
      <c r="C97" s="312"/>
      <c r="D97" s="312"/>
      <c r="E97" s="328"/>
      <c r="F97" s="442"/>
      <c r="G97" s="314"/>
      <c r="H97" s="314"/>
      <c r="I97" s="314"/>
      <c r="J97" s="314"/>
      <c r="K97" s="314"/>
      <c r="L97" s="314"/>
      <c r="M97" s="314"/>
      <c r="N97" s="314"/>
      <c r="O97" s="314"/>
      <c r="P97" s="314"/>
      <c r="Q97" s="314"/>
      <c r="R97" s="442"/>
      <c r="S97" s="314"/>
      <c r="T97" s="314"/>
      <c r="U97" s="314"/>
      <c r="V97" s="315">
        <v>2</v>
      </c>
      <c r="W97" s="447">
        <f t="shared" si="7"/>
        <v>0</v>
      </c>
      <c r="X97" s="447">
        <f t="shared" si="8"/>
        <v>0</v>
      </c>
      <c r="Y97" s="447">
        <f t="shared" si="9"/>
        <v>0</v>
      </c>
      <c r="Z97" s="447">
        <f t="shared" si="10"/>
        <v>0</v>
      </c>
      <c r="AA97" s="447">
        <f t="shared" si="11"/>
        <v>0</v>
      </c>
      <c r="AB97" s="447" t="e">
        <f t="shared" si="12"/>
        <v>#DIV/0!</v>
      </c>
      <c r="AC97" s="448" t="e">
        <f t="shared" si="13"/>
        <v>#DIV/0!</v>
      </c>
      <c r="AD97" s="11"/>
      <c r="AE97" s="349" t="str">
        <f>AF97&amp;TM[[#This Row],[Insurer Code]]&amp;"; "&amp;AG97&amp;TM[[#This Row],[Reporting Year]]&amp;"; "&amp;AH97&amp;TM[[#This Row],[Insurance Category Code]]&amp;"; "&amp;AI97&amp;TM[[#This Row],[Large Provider Entity Code]]</f>
        <v xml:space="preserve">Insurer Code ; Reporting Year ; Insurance Category Code ; Large Provider Entity Code </v>
      </c>
      <c r="AF97" s="345" t="s">
        <v>207</v>
      </c>
      <c r="AG97" s="345" t="s">
        <v>208</v>
      </c>
      <c r="AH97" s="345" t="s">
        <v>209</v>
      </c>
      <c r="AI97" s="345" t="s">
        <v>210</v>
      </c>
      <c r="AJ97" s="345"/>
      <c r="AK97" s="345"/>
      <c r="AL97" s="345"/>
      <c r="AM97" s="11"/>
      <c r="AN97" s="11"/>
      <c r="AO97" s="11"/>
    </row>
    <row r="98" spans="1:41" x14ac:dyDescent="0.25">
      <c r="A98" s="311"/>
      <c r="B98" s="312"/>
      <c r="C98" s="312"/>
      <c r="D98" s="312"/>
      <c r="E98" s="328"/>
      <c r="F98" s="442"/>
      <c r="G98" s="314"/>
      <c r="H98" s="314"/>
      <c r="I98" s="314"/>
      <c r="J98" s="314"/>
      <c r="K98" s="314"/>
      <c r="L98" s="314"/>
      <c r="M98" s="314"/>
      <c r="N98" s="314"/>
      <c r="O98" s="314"/>
      <c r="P98" s="314"/>
      <c r="Q98" s="314"/>
      <c r="R98" s="442"/>
      <c r="S98" s="314"/>
      <c r="T98" s="314"/>
      <c r="U98" s="314"/>
      <c r="V98" s="315">
        <v>97</v>
      </c>
      <c r="W98" s="447">
        <f t="shared" si="7"/>
        <v>0</v>
      </c>
      <c r="X98" s="447">
        <f t="shared" si="8"/>
        <v>0</v>
      </c>
      <c r="Y98" s="447">
        <f t="shared" si="9"/>
        <v>0</v>
      </c>
      <c r="Z98" s="447">
        <f t="shared" si="10"/>
        <v>0</v>
      </c>
      <c r="AA98" s="447">
        <f t="shared" si="11"/>
        <v>0</v>
      </c>
      <c r="AB98" s="447" t="e">
        <f t="shared" si="12"/>
        <v>#DIV/0!</v>
      </c>
      <c r="AC98" s="448" t="e">
        <f t="shared" si="13"/>
        <v>#DIV/0!</v>
      </c>
      <c r="AD98" s="11"/>
      <c r="AE98" s="349" t="str">
        <f>AF98&amp;TM[[#This Row],[Insurer Code]]&amp;"; "&amp;AG98&amp;TM[[#This Row],[Reporting Year]]&amp;"; "&amp;AH98&amp;TM[[#This Row],[Insurance Category Code]]&amp;"; "&amp;AI98&amp;TM[[#This Row],[Large Provider Entity Code]]</f>
        <v xml:space="preserve">Insurer Code ; Reporting Year ; Insurance Category Code ; Large Provider Entity Code </v>
      </c>
      <c r="AF98" s="345" t="s">
        <v>207</v>
      </c>
      <c r="AG98" s="345" t="s">
        <v>208</v>
      </c>
      <c r="AH98" s="345" t="s">
        <v>209</v>
      </c>
      <c r="AI98" s="345" t="s">
        <v>210</v>
      </c>
      <c r="AJ98" s="345"/>
      <c r="AK98" s="345"/>
      <c r="AL98" s="345"/>
      <c r="AM98" s="11"/>
      <c r="AN98" s="11"/>
      <c r="AO98" s="11"/>
    </row>
    <row r="99" spans="1:41" x14ac:dyDescent="0.25">
      <c r="A99" s="311"/>
      <c r="B99" s="312"/>
      <c r="C99" s="312"/>
      <c r="D99" s="312"/>
      <c r="E99" s="328"/>
      <c r="F99" s="442"/>
      <c r="G99" s="314"/>
      <c r="H99" s="314"/>
      <c r="I99" s="314"/>
      <c r="J99" s="314"/>
      <c r="K99" s="314"/>
      <c r="L99" s="314"/>
      <c r="M99" s="314"/>
      <c r="N99" s="314"/>
      <c r="O99" s="314"/>
      <c r="P99" s="314"/>
      <c r="Q99" s="314"/>
      <c r="R99" s="442"/>
      <c r="S99" s="314"/>
      <c r="T99" s="314"/>
      <c r="U99" s="314"/>
      <c r="V99" s="315">
        <v>41</v>
      </c>
      <c r="W99" s="447">
        <f t="shared" si="7"/>
        <v>0</v>
      </c>
      <c r="X99" s="447">
        <f t="shared" si="8"/>
        <v>0</v>
      </c>
      <c r="Y99" s="447">
        <f t="shared" si="9"/>
        <v>0</v>
      </c>
      <c r="Z99" s="447">
        <f t="shared" si="10"/>
        <v>0</v>
      </c>
      <c r="AA99" s="447">
        <f t="shared" si="11"/>
        <v>0</v>
      </c>
      <c r="AB99" s="447" t="e">
        <f t="shared" si="12"/>
        <v>#DIV/0!</v>
      </c>
      <c r="AC99" s="448" t="e">
        <f t="shared" si="13"/>
        <v>#DIV/0!</v>
      </c>
      <c r="AD99" s="11"/>
      <c r="AE99" s="349" t="str">
        <f>AF99&amp;TM[[#This Row],[Insurer Code]]&amp;"; "&amp;AG99&amp;TM[[#This Row],[Reporting Year]]&amp;"; "&amp;AH99&amp;TM[[#This Row],[Insurance Category Code]]&amp;"; "&amp;AI99&amp;TM[[#This Row],[Large Provider Entity Code]]</f>
        <v xml:space="preserve">Insurer Code ; Reporting Year ; Insurance Category Code ; Large Provider Entity Code </v>
      </c>
      <c r="AF99" s="345" t="s">
        <v>207</v>
      </c>
      <c r="AG99" s="345" t="s">
        <v>208</v>
      </c>
      <c r="AH99" s="345" t="s">
        <v>209</v>
      </c>
      <c r="AI99" s="345" t="s">
        <v>210</v>
      </c>
      <c r="AJ99" s="345"/>
      <c r="AK99" s="345"/>
      <c r="AL99" s="345"/>
      <c r="AM99" s="11"/>
      <c r="AN99" s="11"/>
      <c r="AO99" s="11"/>
    </row>
    <row r="100" spans="1:41" x14ac:dyDescent="0.25">
      <c r="A100" s="311"/>
      <c r="B100" s="312"/>
      <c r="C100" s="312"/>
      <c r="D100" s="312"/>
      <c r="E100" s="328"/>
      <c r="F100" s="442"/>
      <c r="G100" s="314"/>
      <c r="H100" s="314"/>
      <c r="I100" s="314"/>
      <c r="J100" s="314"/>
      <c r="K100" s="314"/>
      <c r="L100" s="314"/>
      <c r="M100" s="314"/>
      <c r="N100" s="314"/>
      <c r="O100" s="314"/>
      <c r="P100" s="314"/>
      <c r="Q100" s="314"/>
      <c r="R100" s="442"/>
      <c r="S100" s="314"/>
      <c r="T100" s="314"/>
      <c r="U100" s="314"/>
      <c r="V100" s="315">
        <v>1</v>
      </c>
      <c r="W100" s="451">
        <f t="shared" si="7"/>
        <v>0</v>
      </c>
      <c r="X100" s="451">
        <f t="shared" si="8"/>
        <v>0</v>
      </c>
      <c r="Y100" s="451">
        <f t="shared" si="9"/>
        <v>0</v>
      </c>
      <c r="Z100" s="451">
        <f t="shared" si="10"/>
        <v>0</v>
      </c>
      <c r="AA100" s="451">
        <f t="shared" si="11"/>
        <v>0</v>
      </c>
      <c r="AB100" s="451" t="e">
        <f t="shared" si="12"/>
        <v>#DIV/0!</v>
      </c>
      <c r="AC100" s="452" t="e">
        <f t="shared" si="13"/>
        <v>#DIV/0!</v>
      </c>
      <c r="AD100" s="11"/>
      <c r="AE100" s="349" t="str">
        <f>AF100&amp;TM[[#This Row],[Insurer Code]]&amp;"; "&amp;AG100&amp;TM[[#This Row],[Reporting Year]]&amp;"; "&amp;AH100&amp;TM[[#This Row],[Insurance Category Code]]&amp;"; "&amp;AI100&amp;TM[[#This Row],[Large Provider Entity Code]]</f>
        <v xml:space="preserve">Insurer Code ; Reporting Year ; Insurance Category Code ; Large Provider Entity Code </v>
      </c>
      <c r="AF100" s="345" t="s">
        <v>207</v>
      </c>
      <c r="AG100" s="345" t="s">
        <v>208</v>
      </c>
      <c r="AH100" s="345" t="s">
        <v>209</v>
      </c>
      <c r="AI100" s="345" t="s">
        <v>210</v>
      </c>
      <c r="AJ100" s="345"/>
      <c r="AK100" s="345"/>
      <c r="AL100" s="345"/>
      <c r="AM100" s="11"/>
      <c r="AN100" s="11"/>
      <c r="AO100" s="11"/>
    </row>
    <row r="101" spans="1:41" x14ac:dyDescent="0.25">
      <c r="A101" s="311"/>
      <c r="B101" s="312"/>
      <c r="C101" s="312"/>
      <c r="D101" s="312"/>
      <c r="E101" s="328"/>
      <c r="F101" s="442"/>
      <c r="G101" s="314"/>
      <c r="H101" s="314"/>
      <c r="I101" s="314"/>
      <c r="J101" s="314"/>
      <c r="K101" s="314"/>
      <c r="L101" s="314"/>
      <c r="M101" s="314"/>
      <c r="N101" s="314"/>
      <c r="O101" s="314"/>
      <c r="P101" s="314"/>
      <c r="Q101" s="314"/>
      <c r="R101" s="442"/>
      <c r="S101" s="314"/>
      <c r="T101" s="314"/>
      <c r="U101" s="314"/>
      <c r="V101" s="315">
        <v>0</v>
      </c>
      <c r="W101" s="451">
        <f t="shared" si="7"/>
        <v>0</v>
      </c>
      <c r="X101" s="451">
        <f t="shared" si="8"/>
        <v>0</v>
      </c>
      <c r="Y101" s="451">
        <f t="shared" si="9"/>
        <v>0</v>
      </c>
      <c r="Z101" s="451">
        <f t="shared" si="10"/>
        <v>0</v>
      </c>
      <c r="AA101" s="451">
        <f t="shared" si="11"/>
        <v>0</v>
      </c>
      <c r="AB101" s="451" t="e">
        <f t="shared" si="12"/>
        <v>#DIV/0!</v>
      </c>
      <c r="AC101" s="452" t="e">
        <f t="shared" si="13"/>
        <v>#DIV/0!</v>
      </c>
      <c r="AD101" s="11"/>
      <c r="AE101" s="349" t="str">
        <f>AF101&amp;TM[[#This Row],[Insurer Code]]&amp;"; "&amp;AG101&amp;TM[[#This Row],[Reporting Year]]&amp;"; "&amp;AH101&amp;TM[[#This Row],[Insurance Category Code]]&amp;"; "&amp;AI101&amp;TM[[#This Row],[Large Provider Entity Code]]</f>
        <v xml:space="preserve">Insurer Code ; Reporting Year ; Insurance Category Code ; Large Provider Entity Code </v>
      </c>
      <c r="AF101" s="345" t="s">
        <v>207</v>
      </c>
      <c r="AG101" s="345" t="s">
        <v>208</v>
      </c>
      <c r="AH101" s="345" t="s">
        <v>209</v>
      </c>
      <c r="AI101" s="345" t="s">
        <v>210</v>
      </c>
      <c r="AJ101" s="345"/>
      <c r="AK101" s="345"/>
      <c r="AL101" s="345"/>
      <c r="AM101" s="11"/>
      <c r="AN101" s="11"/>
      <c r="AO101" s="11"/>
    </row>
    <row r="102" spans="1:41" x14ac:dyDescent="0.25">
      <c r="A102" s="311"/>
      <c r="B102" s="312"/>
      <c r="C102" s="312"/>
      <c r="D102" s="312"/>
      <c r="E102" s="328"/>
      <c r="F102" s="442"/>
      <c r="G102" s="314"/>
      <c r="H102" s="314"/>
      <c r="I102" s="314"/>
      <c r="J102" s="314"/>
      <c r="K102" s="314"/>
      <c r="L102" s="314"/>
      <c r="M102" s="314"/>
      <c r="N102" s="314"/>
      <c r="O102" s="314"/>
      <c r="P102" s="314"/>
      <c r="Q102" s="314"/>
      <c r="R102" s="442"/>
      <c r="S102" s="314"/>
      <c r="T102" s="314"/>
      <c r="U102" s="314"/>
      <c r="V102" s="315">
        <v>63</v>
      </c>
      <c r="W102" s="451">
        <f t="shared" si="7"/>
        <v>0</v>
      </c>
      <c r="X102" s="451">
        <f t="shared" si="8"/>
        <v>0</v>
      </c>
      <c r="Y102" s="451">
        <f t="shared" si="9"/>
        <v>0</v>
      </c>
      <c r="Z102" s="451">
        <f t="shared" si="10"/>
        <v>0</v>
      </c>
      <c r="AA102" s="451">
        <f t="shared" si="11"/>
        <v>0</v>
      </c>
      <c r="AB102" s="451" t="e">
        <f t="shared" si="12"/>
        <v>#DIV/0!</v>
      </c>
      <c r="AC102" s="452" t="e">
        <f t="shared" si="13"/>
        <v>#DIV/0!</v>
      </c>
      <c r="AD102" s="11"/>
      <c r="AE102" s="349" t="str">
        <f>AF102&amp;TM[[#This Row],[Insurer Code]]&amp;"; "&amp;AG102&amp;TM[[#This Row],[Reporting Year]]&amp;"; "&amp;AH102&amp;TM[[#This Row],[Insurance Category Code]]&amp;"; "&amp;AI102&amp;TM[[#This Row],[Large Provider Entity Code]]</f>
        <v xml:space="preserve">Insurer Code ; Reporting Year ; Insurance Category Code ; Large Provider Entity Code </v>
      </c>
      <c r="AF102" s="345" t="s">
        <v>207</v>
      </c>
      <c r="AG102" s="345" t="s">
        <v>208</v>
      </c>
      <c r="AH102" s="345" t="s">
        <v>209</v>
      </c>
      <c r="AI102" s="345" t="s">
        <v>210</v>
      </c>
      <c r="AJ102" s="345"/>
      <c r="AK102" s="345"/>
      <c r="AL102" s="345"/>
      <c r="AM102" s="11"/>
      <c r="AN102" s="11"/>
      <c r="AO102" s="11"/>
    </row>
    <row r="103" spans="1:41" x14ac:dyDescent="0.25">
      <c r="A103" s="311"/>
      <c r="B103" s="312"/>
      <c r="C103" s="312"/>
      <c r="D103" s="312"/>
      <c r="E103" s="328"/>
      <c r="F103" s="442"/>
      <c r="G103" s="314"/>
      <c r="H103" s="314"/>
      <c r="I103" s="314"/>
      <c r="J103" s="314"/>
      <c r="K103" s="314"/>
      <c r="L103" s="314"/>
      <c r="M103" s="314"/>
      <c r="N103" s="314"/>
      <c r="O103" s="314"/>
      <c r="P103" s="314"/>
      <c r="Q103" s="314"/>
      <c r="R103" s="442"/>
      <c r="S103" s="314"/>
      <c r="T103" s="314"/>
      <c r="U103" s="314"/>
      <c r="V103" s="315">
        <v>4</v>
      </c>
      <c r="W103" s="451">
        <f t="shared" si="7"/>
        <v>0</v>
      </c>
      <c r="X103" s="451">
        <f t="shared" si="8"/>
        <v>0</v>
      </c>
      <c r="Y103" s="451">
        <f t="shared" si="9"/>
        <v>0</v>
      </c>
      <c r="Z103" s="451">
        <f t="shared" si="10"/>
        <v>0</v>
      </c>
      <c r="AA103" s="451">
        <f t="shared" si="11"/>
        <v>0</v>
      </c>
      <c r="AB103" s="451" t="e">
        <f t="shared" si="12"/>
        <v>#DIV/0!</v>
      </c>
      <c r="AC103" s="452" t="e">
        <f t="shared" si="13"/>
        <v>#DIV/0!</v>
      </c>
      <c r="AD103" s="11"/>
      <c r="AE103" s="349" t="str">
        <f>AF103&amp;TM[[#This Row],[Insurer Code]]&amp;"; "&amp;AG103&amp;TM[[#This Row],[Reporting Year]]&amp;"; "&amp;AH103&amp;TM[[#This Row],[Insurance Category Code]]&amp;"; "&amp;AI103&amp;TM[[#This Row],[Large Provider Entity Code]]</f>
        <v xml:space="preserve">Insurer Code ; Reporting Year ; Insurance Category Code ; Large Provider Entity Code </v>
      </c>
      <c r="AF103" s="345" t="s">
        <v>207</v>
      </c>
      <c r="AG103" s="345" t="s">
        <v>208</v>
      </c>
      <c r="AH103" s="345" t="s">
        <v>209</v>
      </c>
      <c r="AI103" s="345" t="s">
        <v>210</v>
      </c>
      <c r="AJ103" s="345"/>
      <c r="AK103" s="345"/>
      <c r="AL103" s="345"/>
      <c r="AM103" s="11"/>
      <c r="AN103" s="11"/>
      <c r="AO103" s="11"/>
    </row>
    <row r="104" spans="1:41" x14ac:dyDescent="0.25">
      <c r="A104" s="311"/>
      <c r="B104" s="312"/>
      <c r="C104" s="312"/>
      <c r="D104" s="312"/>
      <c r="E104" s="313"/>
      <c r="F104" s="314"/>
      <c r="G104" s="314"/>
      <c r="H104" s="314"/>
      <c r="I104" s="314"/>
      <c r="J104" s="314"/>
      <c r="K104" s="314"/>
      <c r="L104" s="314"/>
      <c r="M104" s="314"/>
      <c r="N104" s="314"/>
      <c r="O104" s="314"/>
      <c r="P104" s="314"/>
      <c r="Q104" s="314"/>
      <c r="R104" s="442"/>
      <c r="S104" s="314"/>
      <c r="T104" s="314"/>
      <c r="U104" s="314"/>
      <c r="V104" s="315">
        <v>0</v>
      </c>
      <c r="W104" s="447">
        <f t="shared" si="7"/>
        <v>0</v>
      </c>
      <c r="X104" s="447">
        <f t="shared" si="8"/>
        <v>0</v>
      </c>
      <c r="Y104" s="447">
        <f t="shared" si="9"/>
        <v>0</v>
      </c>
      <c r="Z104" s="447">
        <f t="shared" si="10"/>
        <v>0</v>
      </c>
      <c r="AA104" s="447">
        <f t="shared" si="11"/>
        <v>0</v>
      </c>
      <c r="AB104" s="447" t="e">
        <f t="shared" si="12"/>
        <v>#DIV/0!</v>
      </c>
      <c r="AC104" s="448" t="e">
        <f t="shared" si="13"/>
        <v>#DIV/0!</v>
      </c>
      <c r="AD104" s="11"/>
      <c r="AE104" s="349" t="str">
        <f>AF104&amp;TM[[#This Row],[Insurer Code]]&amp;"; "&amp;AG104&amp;TM[[#This Row],[Reporting Year]]&amp;"; "&amp;AH104&amp;TM[[#This Row],[Insurance Category Code]]&amp;"; "&amp;AI104&amp;TM[[#This Row],[Large Provider Entity Code]]</f>
        <v xml:space="preserve">Insurer Code ; Reporting Year ; Insurance Category Code ; Large Provider Entity Code </v>
      </c>
      <c r="AF104" s="345" t="s">
        <v>207</v>
      </c>
      <c r="AG104" s="345" t="s">
        <v>208</v>
      </c>
      <c r="AH104" s="345" t="s">
        <v>209</v>
      </c>
      <c r="AI104" s="345" t="s">
        <v>210</v>
      </c>
      <c r="AJ104" s="345"/>
      <c r="AK104" s="345"/>
      <c r="AL104" s="345"/>
      <c r="AM104" s="11"/>
      <c r="AN104" s="11"/>
      <c r="AO104" s="11"/>
    </row>
    <row r="105" spans="1:41" x14ac:dyDescent="0.25">
      <c r="A105" s="311"/>
      <c r="B105" s="312"/>
      <c r="C105" s="312"/>
      <c r="D105" s="312"/>
      <c r="E105" s="313"/>
      <c r="F105" s="314"/>
      <c r="G105" s="314"/>
      <c r="H105" s="314"/>
      <c r="I105" s="314"/>
      <c r="J105" s="314"/>
      <c r="K105" s="314"/>
      <c r="L105" s="314"/>
      <c r="M105" s="314"/>
      <c r="N105" s="314"/>
      <c r="O105" s="314"/>
      <c r="P105" s="314"/>
      <c r="Q105" s="314"/>
      <c r="R105" s="442"/>
      <c r="S105" s="314"/>
      <c r="T105" s="314"/>
      <c r="U105" s="314"/>
      <c r="V105" s="315">
        <v>2</v>
      </c>
      <c r="W105" s="447">
        <f t="shared" si="7"/>
        <v>0</v>
      </c>
      <c r="X105" s="447">
        <f t="shared" si="8"/>
        <v>0</v>
      </c>
      <c r="Y105" s="447">
        <f t="shared" si="9"/>
        <v>0</v>
      </c>
      <c r="Z105" s="447">
        <f t="shared" si="10"/>
        <v>0</v>
      </c>
      <c r="AA105" s="447">
        <f t="shared" si="11"/>
        <v>0</v>
      </c>
      <c r="AB105" s="447" t="e">
        <f t="shared" si="12"/>
        <v>#DIV/0!</v>
      </c>
      <c r="AC105" s="448" t="e">
        <f t="shared" si="13"/>
        <v>#DIV/0!</v>
      </c>
      <c r="AD105" s="11"/>
      <c r="AE105" s="349" t="str">
        <f>AF105&amp;TM[[#This Row],[Insurer Code]]&amp;"; "&amp;AG105&amp;TM[[#This Row],[Reporting Year]]&amp;"; "&amp;AH105&amp;TM[[#This Row],[Insurance Category Code]]&amp;"; "&amp;AI105&amp;TM[[#This Row],[Large Provider Entity Code]]</f>
        <v xml:space="preserve">Insurer Code ; Reporting Year ; Insurance Category Code ; Large Provider Entity Code </v>
      </c>
      <c r="AF105" s="345" t="s">
        <v>207</v>
      </c>
      <c r="AG105" s="345" t="s">
        <v>208</v>
      </c>
      <c r="AH105" s="345" t="s">
        <v>209</v>
      </c>
      <c r="AI105" s="345" t="s">
        <v>210</v>
      </c>
      <c r="AJ105" s="345"/>
      <c r="AK105" s="345"/>
      <c r="AL105" s="345"/>
      <c r="AM105" s="11"/>
      <c r="AN105" s="11"/>
      <c r="AO105" s="11"/>
    </row>
    <row r="106" spans="1:41" x14ac:dyDescent="0.25">
      <c r="A106" s="311"/>
      <c r="B106" s="316"/>
      <c r="C106" s="316"/>
      <c r="D106" s="316"/>
      <c r="E106" s="319"/>
      <c r="F106" s="336"/>
      <c r="G106" s="336"/>
      <c r="H106" s="336"/>
      <c r="I106" s="336"/>
      <c r="J106" s="336"/>
      <c r="K106" s="336"/>
      <c r="L106" s="336"/>
      <c r="M106" s="336"/>
      <c r="N106" s="336"/>
      <c r="O106" s="336"/>
      <c r="P106" s="336"/>
      <c r="Q106" s="336"/>
      <c r="R106" s="443"/>
      <c r="S106" s="336"/>
      <c r="T106" s="336"/>
      <c r="U106" s="314"/>
      <c r="V106" s="318">
        <v>10</v>
      </c>
      <c r="W106" s="447">
        <f t="shared" si="7"/>
        <v>0</v>
      </c>
      <c r="X106" s="447">
        <f t="shared" si="8"/>
        <v>0</v>
      </c>
      <c r="Y106" s="447">
        <f t="shared" si="9"/>
        <v>0</v>
      </c>
      <c r="Z106" s="447">
        <f t="shared" si="10"/>
        <v>0</v>
      </c>
      <c r="AA106" s="447">
        <f t="shared" si="11"/>
        <v>0</v>
      </c>
      <c r="AB106" s="447" t="e">
        <f t="shared" si="12"/>
        <v>#DIV/0!</v>
      </c>
      <c r="AC106" s="448" t="e">
        <f t="shared" si="13"/>
        <v>#DIV/0!</v>
      </c>
      <c r="AD106" s="11"/>
      <c r="AE106" s="349" t="str">
        <f>AF106&amp;TM[[#This Row],[Insurer Code]]&amp;"; "&amp;AG106&amp;TM[[#This Row],[Reporting Year]]&amp;"; "&amp;AH106&amp;TM[[#This Row],[Insurance Category Code]]&amp;"; "&amp;AI106&amp;TM[[#This Row],[Large Provider Entity Code]]</f>
        <v xml:space="preserve">Insurer Code ; Reporting Year ; Insurance Category Code ; Large Provider Entity Code </v>
      </c>
      <c r="AF106" s="345" t="s">
        <v>207</v>
      </c>
      <c r="AG106" s="345" t="s">
        <v>208</v>
      </c>
      <c r="AH106" s="345" t="s">
        <v>209</v>
      </c>
      <c r="AI106" s="345" t="s">
        <v>210</v>
      </c>
      <c r="AJ106" s="345"/>
      <c r="AK106" s="345"/>
      <c r="AL106" s="345"/>
      <c r="AM106" s="11"/>
      <c r="AN106" s="11"/>
      <c r="AO106" s="11"/>
    </row>
    <row r="107" spans="1:41" x14ac:dyDescent="0.25">
      <c r="A107" s="311"/>
      <c r="B107" s="316"/>
      <c r="C107" s="316"/>
      <c r="D107" s="316"/>
      <c r="E107" s="319"/>
      <c r="F107" s="336"/>
      <c r="G107" s="336"/>
      <c r="H107" s="336"/>
      <c r="I107" s="336"/>
      <c r="J107" s="336"/>
      <c r="K107" s="336"/>
      <c r="L107" s="336"/>
      <c r="M107" s="336"/>
      <c r="N107" s="336"/>
      <c r="O107" s="336"/>
      <c r="P107" s="336"/>
      <c r="Q107" s="336"/>
      <c r="R107" s="474"/>
      <c r="S107" s="336"/>
      <c r="T107" s="336"/>
      <c r="U107" s="314"/>
      <c r="V107" s="475">
        <v>9</v>
      </c>
      <c r="W107" s="447">
        <f t="shared" si="7"/>
        <v>0</v>
      </c>
      <c r="X107" s="447">
        <f t="shared" si="8"/>
        <v>0</v>
      </c>
      <c r="Y107" s="447">
        <f t="shared" si="9"/>
        <v>0</v>
      </c>
      <c r="Z107" s="447">
        <f t="shared" si="10"/>
        <v>0</v>
      </c>
      <c r="AA107" s="447">
        <f t="shared" si="11"/>
        <v>0</v>
      </c>
      <c r="AB107" s="447" t="e">
        <f t="shared" si="12"/>
        <v>#DIV/0!</v>
      </c>
      <c r="AC107" s="448" t="e">
        <f t="shared" si="13"/>
        <v>#DIV/0!</v>
      </c>
      <c r="AD107" s="11"/>
      <c r="AE107" s="349" t="str">
        <f>AF107&amp;TM[[#This Row],[Insurer Code]]&amp;"; "&amp;AG107&amp;TM[[#This Row],[Reporting Year]]&amp;"; "&amp;AH107&amp;TM[[#This Row],[Insurance Category Code]]&amp;"; "&amp;AI107&amp;TM[[#This Row],[Large Provider Entity Code]]</f>
        <v xml:space="preserve">Insurer Code ; Reporting Year ; Insurance Category Code ; Large Provider Entity Code </v>
      </c>
      <c r="AF107" s="345" t="s">
        <v>207</v>
      </c>
      <c r="AG107" s="345" t="s">
        <v>208</v>
      </c>
      <c r="AH107" s="345" t="s">
        <v>209</v>
      </c>
      <c r="AI107" s="345" t="s">
        <v>210</v>
      </c>
      <c r="AJ107" s="345"/>
      <c r="AK107" s="345"/>
      <c r="AL107" s="345"/>
      <c r="AM107" s="11"/>
      <c r="AN107" s="11"/>
      <c r="AO107" s="11"/>
    </row>
    <row r="108" spans="1:41" x14ac:dyDescent="0.25">
      <c r="A108" s="311"/>
      <c r="B108" s="324"/>
      <c r="C108" s="324"/>
      <c r="D108" s="324"/>
      <c r="E108" s="327"/>
      <c r="F108" s="336"/>
      <c r="G108" s="336"/>
      <c r="H108" s="336"/>
      <c r="I108" s="336"/>
      <c r="J108" s="336"/>
      <c r="K108" s="336"/>
      <c r="L108" s="336"/>
      <c r="M108" s="336"/>
      <c r="N108" s="336"/>
      <c r="O108" s="336"/>
      <c r="P108" s="336"/>
      <c r="Q108" s="336"/>
      <c r="R108" s="446"/>
      <c r="S108" s="336"/>
      <c r="T108" s="336"/>
      <c r="U108" s="314"/>
      <c r="V108" s="326">
        <v>0</v>
      </c>
      <c r="W108" s="447">
        <f t="shared" si="7"/>
        <v>0</v>
      </c>
      <c r="X108" s="447">
        <f t="shared" si="8"/>
        <v>0</v>
      </c>
      <c r="Y108" s="447">
        <f t="shared" si="9"/>
        <v>0</v>
      </c>
      <c r="Z108" s="447">
        <f t="shared" si="10"/>
        <v>0</v>
      </c>
      <c r="AA108" s="447">
        <f t="shared" si="11"/>
        <v>0</v>
      </c>
      <c r="AB108" s="447" t="e">
        <f t="shared" si="12"/>
        <v>#DIV/0!</v>
      </c>
      <c r="AC108" s="448" t="e">
        <f t="shared" si="13"/>
        <v>#DIV/0!</v>
      </c>
      <c r="AD108" s="11"/>
      <c r="AE108" s="349" t="str">
        <f>AF108&amp;TM[[#This Row],[Insurer Code]]&amp;"; "&amp;AG108&amp;TM[[#This Row],[Reporting Year]]&amp;"; "&amp;AH108&amp;TM[[#This Row],[Insurance Category Code]]&amp;"; "&amp;AI108&amp;TM[[#This Row],[Large Provider Entity Code]]</f>
        <v xml:space="preserve">Insurer Code ; Reporting Year ; Insurance Category Code ; Large Provider Entity Code </v>
      </c>
      <c r="AF108" s="345" t="s">
        <v>207</v>
      </c>
      <c r="AG108" s="345" t="s">
        <v>208</v>
      </c>
      <c r="AH108" s="345" t="s">
        <v>209</v>
      </c>
      <c r="AI108" s="345" t="s">
        <v>210</v>
      </c>
      <c r="AJ108" s="345"/>
      <c r="AK108" s="345"/>
      <c r="AL108" s="345"/>
      <c r="AM108" s="11"/>
      <c r="AN108" s="11"/>
      <c r="AO108" s="11"/>
    </row>
    <row r="109" spans="1:41" x14ac:dyDescent="0.25">
      <c r="A109" s="311"/>
      <c r="B109" s="321"/>
      <c r="C109" s="321"/>
      <c r="D109" s="321"/>
      <c r="E109" s="322"/>
      <c r="F109" s="314"/>
      <c r="G109" s="314"/>
      <c r="H109" s="314"/>
      <c r="I109" s="314"/>
      <c r="J109" s="314"/>
      <c r="K109" s="314"/>
      <c r="L109" s="314"/>
      <c r="M109" s="314"/>
      <c r="N109" s="314"/>
      <c r="O109" s="314"/>
      <c r="P109" s="314"/>
      <c r="Q109" s="314"/>
      <c r="R109" s="445"/>
      <c r="S109" s="314"/>
      <c r="T109" s="314"/>
      <c r="U109" s="314"/>
      <c r="V109" s="323">
        <v>0</v>
      </c>
      <c r="W109" s="447">
        <f t="shared" si="7"/>
        <v>0</v>
      </c>
      <c r="X109" s="447">
        <f t="shared" si="8"/>
        <v>0</v>
      </c>
      <c r="Y109" s="447">
        <f t="shared" si="9"/>
        <v>0</v>
      </c>
      <c r="Z109" s="447">
        <f t="shared" si="10"/>
        <v>0</v>
      </c>
      <c r="AA109" s="447">
        <f t="shared" si="11"/>
        <v>0</v>
      </c>
      <c r="AB109" s="447" t="e">
        <f t="shared" si="12"/>
        <v>#DIV/0!</v>
      </c>
      <c r="AC109" s="448" t="e">
        <f t="shared" si="13"/>
        <v>#DIV/0!</v>
      </c>
      <c r="AD109" s="11"/>
      <c r="AE109" s="349" t="str">
        <f>AF109&amp;TM[[#This Row],[Insurer Code]]&amp;"; "&amp;AG109&amp;TM[[#This Row],[Reporting Year]]&amp;"; "&amp;AH109&amp;TM[[#This Row],[Insurance Category Code]]&amp;"; "&amp;AI109&amp;TM[[#This Row],[Large Provider Entity Code]]</f>
        <v xml:space="preserve">Insurer Code ; Reporting Year ; Insurance Category Code ; Large Provider Entity Code </v>
      </c>
      <c r="AF109" s="345" t="s">
        <v>207</v>
      </c>
      <c r="AG109" s="345" t="s">
        <v>208</v>
      </c>
      <c r="AH109" s="345" t="s">
        <v>209</v>
      </c>
      <c r="AI109" s="345" t="s">
        <v>210</v>
      </c>
      <c r="AJ109" s="345"/>
      <c r="AK109" s="345"/>
      <c r="AL109" s="345"/>
      <c r="AM109" s="11"/>
      <c r="AN109" s="11"/>
      <c r="AO109" s="11"/>
    </row>
    <row r="110" spans="1:41" ht="15.75" customHeight="1" x14ac:dyDescent="0.25">
      <c r="A110" s="311"/>
      <c r="B110" s="324"/>
      <c r="C110" s="324"/>
      <c r="D110" s="324"/>
      <c r="E110" s="327"/>
      <c r="F110" s="336"/>
      <c r="G110" s="336"/>
      <c r="H110" s="336"/>
      <c r="I110" s="336"/>
      <c r="J110" s="336"/>
      <c r="K110" s="336"/>
      <c r="L110" s="336"/>
      <c r="M110" s="336"/>
      <c r="N110" s="336"/>
      <c r="O110" s="336"/>
      <c r="P110" s="336"/>
      <c r="Q110" s="336"/>
      <c r="R110" s="446"/>
      <c r="S110" s="336"/>
      <c r="T110" s="336"/>
      <c r="U110" s="314"/>
      <c r="V110" s="326">
        <v>14</v>
      </c>
      <c r="W110" s="447">
        <f t="shared" si="7"/>
        <v>0</v>
      </c>
      <c r="X110" s="447">
        <f t="shared" si="8"/>
        <v>0</v>
      </c>
      <c r="Y110" s="447">
        <f t="shared" si="9"/>
        <v>0</v>
      </c>
      <c r="Z110" s="447">
        <f t="shared" si="10"/>
        <v>0</v>
      </c>
      <c r="AA110" s="447">
        <f t="shared" si="11"/>
        <v>0</v>
      </c>
      <c r="AB110" s="447" t="e">
        <f t="shared" si="12"/>
        <v>#DIV/0!</v>
      </c>
      <c r="AC110" s="448" t="e">
        <f t="shared" si="13"/>
        <v>#DIV/0!</v>
      </c>
      <c r="AD110" s="11"/>
      <c r="AE110" s="349" t="str">
        <f>AF110&amp;TM[[#This Row],[Insurer Code]]&amp;"; "&amp;AG110&amp;TM[[#This Row],[Reporting Year]]&amp;"; "&amp;AH110&amp;TM[[#This Row],[Insurance Category Code]]&amp;"; "&amp;AI110&amp;TM[[#This Row],[Large Provider Entity Code]]</f>
        <v xml:space="preserve">Insurer Code ; Reporting Year ; Insurance Category Code ; Large Provider Entity Code </v>
      </c>
      <c r="AF110" s="345" t="s">
        <v>207</v>
      </c>
      <c r="AG110" s="345" t="s">
        <v>208</v>
      </c>
      <c r="AH110" s="345" t="s">
        <v>209</v>
      </c>
      <c r="AI110" s="345" t="s">
        <v>210</v>
      </c>
      <c r="AJ110" s="345"/>
      <c r="AK110" s="345"/>
      <c r="AL110" s="345"/>
      <c r="AM110" s="11"/>
      <c r="AN110" s="11"/>
      <c r="AO110" s="11"/>
    </row>
    <row r="111" spans="1:41" x14ac:dyDescent="0.25">
      <c r="A111" s="311"/>
      <c r="B111" s="324"/>
      <c r="C111" s="324"/>
      <c r="D111" s="324"/>
      <c r="E111" s="327"/>
      <c r="F111" s="336"/>
      <c r="G111" s="336"/>
      <c r="H111" s="336"/>
      <c r="I111" s="336"/>
      <c r="J111" s="336"/>
      <c r="K111" s="336"/>
      <c r="L111" s="336"/>
      <c r="M111" s="336"/>
      <c r="N111" s="336"/>
      <c r="O111" s="336"/>
      <c r="P111" s="336"/>
      <c r="Q111" s="336"/>
      <c r="R111" s="446"/>
      <c r="S111" s="336"/>
      <c r="T111" s="336"/>
      <c r="U111" s="314"/>
      <c r="V111" s="326">
        <v>1</v>
      </c>
      <c r="W111" s="447">
        <f t="shared" si="7"/>
        <v>0</v>
      </c>
      <c r="X111" s="447">
        <f t="shared" si="8"/>
        <v>0</v>
      </c>
      <c r="Y111" s="447">
        <f t="shared" si="9"/>
        <v>0</v>
      </c>
      <c r="Z111" s="447">
        <f t="shared" si="10"/>
        <v>0</v>
      </c>
      <c r="AA111" s="447">
        <f t="shared" si="11"/>
        <v>0</v>
      </c>
      <c r="AB111" s="447" t="e">
        <f t="shared" si="12"/>
        <v>#DIV/0!</v>
      </c>
      <c r="AC111" s="448" t="e">
        <f t="shared" si="13"/>
        <v>#DIV/0!</v>
      </c>
      <c r="AD111" s="11"/>
      <c r="AE111" s="349" t="str">
        <f>AF111&amp;TM[[#This Row],[Insurer Code]]&amp;"; "&amp;AG111&amp;TM[[#This Row],[Reporting Year]]&amp;"; "&amp;AH111&amp;TM[[#This Row],[Insurance Category Code]]&amp;"; "&amp;AI111&amp;TM[[#This Row],[Large Provider Entity Code]]</f>
        <v xml:space="preserve">Insurer Code ; Reporting Year ; Insurance Category Code ; Large Provider Entity Code </v>
      </c>
      <c r="AF111" s="345" t="s">
        <v>207</v>
      </c>
      <c r="AG111" s="345" t="s">
        <v>208</v>
      </c>
      <c r="AH111" s="345" t="s">
        <v>209</v>
      </c>
      <c r="AI111" s="345" t="s">
        <v>210</v>
      </c>
      <c r="AJ111" s="345"/>
      <c r="AK111" s="345"/>
      <c r="AL111" s="345"/>
      <c r="AM111" s="11"/>
      <c r="AN111" s="11"/>
      <c r="AO111" s="11"/>
    </row>
    <row r="112" spans="1:41" x14ac:dyDescent="0.25">
      <c r="A112" s="311"/>
      <c r="B112" s="324"/>
      <c r="C112" s="324"/>
      <c r="D112" s="324"/>
      <c r="E112" s="327"/>
      <c r="F112" s="336"/>
      <c r="G112" s="336"/>
      <c r="H112" s="336"/>
      <c r="I112" s="336"/>
      <c r="J112" s="336"/>
      <c r="K112" s="336"/>
      <c r="L112" s="336"/>
      <c r="M112" s="336"/>
      <c r="N112" s="336"/>
      <c r="O112" s="336"/>
      <c r="P112" s="336"/>
      <c r="Q112" s="336"/>
      <c r="R112" s="446"/>
      <c r="S112" s="336"/>
      <c r="T112" s="336"/>
      <c r="U112" s="314"/>
      <c r="V112" s="326">
        <v>0</v>
      </c>
      <c r="W112" s="447">
        <f t="shared" si="7"/>
        <v>0</v>
      </c>
      <c r="X112" s="447">
        <f t="shared" si="8"/>
        <v>0</v>
      </c>
      <c r="Y112" s="447">
        <f t="shared" si="9"/>
        <v>0</v>
      </c>
      <c r="Z112" s="447">
        <f t="shared" si="10"/>
        <v>0</v>
      </c>
      <c r="AA112" s="447">
        <f t="shared" si="11"/>
        <v>0</v>
      </c>
      <c r="AB112" s="447" t="e">
        <f t="shared" si="12"/>
        <v>#DIV/0!</v>
      </c>
      <c r="AC112" s="448" t="e">
        <f t="shared" si="13"/>
        <v>#DIV/0!</v>
      </c>
      <c r="AD112" s="11"/>
      <c r="AE112" s="349" t="str">
        <f>AF112&amp;TM[[#This Row],[Insurer Code]]&amp;"; "&amp;AG112&amp;TM[[#This Row],[Reporting Year]]&amp;"; "&amp;AH112&amp;TM[[#This Row],[Insurance Category Code]]&amp;"; "&amp;AI112&amp;TM[[#This Row],[Large Provider Entity Code]]</f>
        <v xml:space="preserve">Insurer Code ; Reporting Year ; Insurance Category Code ; Large Provider Entity Code </v>
      </c>
      <c r="AF112" s="345" t="s">
        <v>207</v>
      </c>
      <c r="AG112" s="345" t="s">
        <v>208</v>
      </c>
      <c r="AH112" s="345" t="s">
        <v>209</v>
      </c>
      <c r="AI112" s="345" t="s">
        <v>210</v>
      </c>
      <c r="AJ112" s="345"/>
      <c r="AK112" s="345"/>
      <c r="AL112" s="345"/>
      <c r="AM112" s="11"/>
      <c r="AN112" s="11"/>
      <c r="AO112" s="11"/>
    </row>
    <row r="113" spans="1:41" x14ac:dyDescent="0.25">
      <c r="A113" s="311"/>
      <c r="B113" s="321"/>
      <c r="C113" s="321"/>
      <c r="D113" s="321"/>
      <c r="E113" s="322"/>
      <c r="F113" s="314"/>
      <c r="G113" s="314"/>
      <c r="H113" s="314"/>
      <c r="I113" s="314"/>
      <c r="J113" s="314"/>
      <c r="K113" s="314"/>
      <c r="L113" s="314"/>
      <c r="M113" s="314"/>
      <c r="N113" s="314"/>
      <c r="O113" s="314"/>
      <c r="P113" s="314"/>
      <c r="Q113" s="314"/>
      <c r="R113" s="445"/>
      <c r="S113" s="314"/>
      <c r="T113" s="314"/>
      <c r="U113" s="314"/>
      <c r="V113" s="323">
        <v>0</v>
      </c>
      <c r="W113" s="447">
        <f t="shared" si="7"/>
        <v>0</v>
      </c>
      <c r="X113" s="447">
        <f t="shared" si="8"/>
        <v>0</v>
      </c>
      <c r="Y113" s="447">
        <f t="shared" si="9"/>
        <v>0</v>
      </c>
      <c r="Z113" s="447">
        <f t="shared" si="10"/>
        <v>0</v>
      </c>
      <c r="AA113" s="447">
        <f t="shared" si="11"/>
        <v>0</v>
      </c>
      <c r="AB113" s="447" t="e">
        <f t="shared" si="12"/>
        <v>#DIV/0!</v>
      </c>
      <c r="AC113" s="448" t="e">
        <f t="shared" si="13"/>
        <v>#DIV/0!</v>
      </c>
      <c r="AD113" s="11"/>
      <c r="AE113" s="349" t="str">
        <f>AF113&amp;TM[[#This Row],[Insurer Code]]&amp;"; "&amp;AG113&amp;TM[[#This Row],[Reporting Year]]&amp;"; "&amp;AH113&amp;TM[[#This Row],[Insurance Category Code]]&amp;"; "&amp;AI113&amp;TM[[#This Row],[Large Provider Entity Code]]</f>
        <v xml:space="preserve">Insurer Code ; Reporting Year ; Insurance Category Code ; Large Provider Entity Code </v>
      </c>
      <c r="AF113" s="345" t="s">
        <v>207</v>
      </c>
      <c r="AG113" s="345" t="s">
        <v>208</v>
      </c>
      <c r="AH113" s="345" t="s">
        <v>209</v>
      </c>
      <c r="AI113" s="345" t="s">
        <v>210</v>
      </c>
      <c r="AJ113" s="345"/>
      <c r="AK113" s="345"/>
      <c r="AL113" s="345"/>
      <c r="AM113" s="11"/>
      <c r="AN113" s="11"/>
      <c r="AO113" s="11"/>
    </row>
    <row r="114" spans="1:41" x14ac:dyDescent="0.25">
      <c r="A114" s="311"/>
      <c r="B114" s="321"/>
      <c r="C114" s="321"/>
      <c r="D114" s="321"/>
      <c r="E114" s="322"/>
      <c r="F114" s="314"/>
      <c r="G114" s="314"/>
      <c r="H114" s="314"/>
      <c r="I114" s="314"/>
      <c r="J114" s="314"/>
      <c r="K114" s="314"/>
      <c r="L114" s="314"/>
      <c r="M114" s="314"/>
      <c r="N114" s="314"/>
      <c r="O114" s="314"/>
      <c r="P114" s="314"/>
      <c r="Q114" s="314"/>
      <c r="R114" s="445"/>
      <c r="S114" s="314"/>
      <c r="T114" s="314"/>
      <c r="U114" s="314"/>
      <c r="V114" s="323">
        <v>13</v>
      </c>
      <c r="W114" s="447">
        <f t="shared" si="7"/>
        <v>0</v>
      </c>
      <c r="X114" s="447">
        <f t="shared" si="8"/>
        <v>0</v>
      </c>
      <c r="Y114" s="447">
        <f t="shared" si="9"/>
        <v>0</v>
      </c>
      <c r="Z114" s="447">
        <f t="shared" si="10"/>
        <v>0</v>
      </c>
      <c r="AA114" s="447">
        <f t="shared" si="11"/>
        <v>0</v>
      </c>
      <c r="AB114" s="447" t="e">
        <f t="shared" si="12"/>
        <v>#DIV/0!</v>
      </c>
      <c r="AC114" s="448" t="e">
        <f t="shared" si="13"/>
        <v>#DIV/0!</v>
      </c>
      <c r="AD114" s="11"/>
      <c r="AE114" s="349" t="str">
        <f>AF114&amp;TM[[#This Row],[Insurer Code]]&amp;"; "&amp;AG114&amp;TM[[#This Row],[Reporting Year]]&amp;"; "&amp;AH114&amp;TM[[#This Row],[Insurance Category Code]]&amp;"; "&amp;AI114&amp;TM[[#This Row],[Large Provider Entity Code]]</f>
        <v xml:space="preserve">Insurer Code ; Reporting Year ; Insurance Category Code ; Large Provider Entity Code </v>
      </c>
      <c r="AF114" s="345" t="s">
        <v>207</v>
      </c>
      <c r="AG114" s="345" t="s">
        <v>208</v>
      </c>
      <c r="AH114" s="345" t="s">
        <v>209</v>
      </c>
      <c r="AI114" s="345" t="s">
        <v>210</v>
      </c>
      <c r="AJ114" s="345"/>
      <c r="AK114" s="345"/>
      <c r="AL114" s="345"/>
      <c r="AM114" s="11"/>
      <c r="AN114" s="11"/>
      <c r="AO114" s="11"/>
    </row>
    <row r="115" spans="1:41" x14ac:dyDescent="0.25">
      <c r="A115" s="311"/>
      <c r="B115" s="324"/>
      <c r="C115" s="324"/>
      <c r="D115" s="324"/>
      <c r="E115" s="327"/>
      <c r="F115" s="336"/>
      <c r="G115" s="336"/>
      <c r="H115" s="336"/>
      <c r="I115" s="336"/>
      <c r="J115" s="336"/>
      <c r="K115" s="336"/>
      <c r="L115" s="336"/>
      <c r="M115" s="336"/>
      <c r="N115" s="336"/>
      <c r="O115" s="336"/>
      <c r="P115" s="336"/>
      <c r="Q115" s="336"/>
      <c r="R115" s="446"/>
      <c r="S115" s="336"/>
      <c r="T115" s="336"/>
      <c r="U115" s="314"/>
      <c r="V115" s="326">
        <v>14</v>
      </c>
      <c r="W115" s="447">
        <f t="shared" si="7"/>
        <v>0</v>
      </c>
      <c r="X115" s="447">
        <f t="shared" si="8"/>
        <v>0</v>
      </c>
      <c r="Y115" s="447">
        <f t="shared" si="9"/>
        <v>0</v>
      </c>
      <c r="Z115" s="447">
        <f t="shared" si="10"/>
        <v>0</v>
      </c>
      <c r="AA115" s="447">
        <f t="shared" si="11"/>
        <v>0</v>
      </c>
      <c r="AB115" s="447" t="e">
        <f t="shared" si="12"/>
        <v>#DIV/0!</v>
      </c>
      <c r="AC115" s="448" t="e">
        <f t="shared" si="13"/>
        <v>#DIV/0!</v>
      </c>
      <c r="AD115" s="11"/>
      <c r="AE115" s="349" t="str">
        <f>AF115&amp;TM[[#This Row],[Insurer Code]]&amp;"; "&amp;AG115&amp;TM[[#This Row],[Reporting Year]]&amp;"; "&amp;AH115&amp;TM[[#This Row],[Insurance Category Code]]&amp;"; "&amp;AI115&amp;TM[[#This Row],[Large Provider Entity Code]]</f>
        <v xml:space="preserve">Insurer Code ; Reporting Year ; Insurance Category Code ; Large Provider Entity Code </v>
      </c>
      <c r="AF115" s="345" t="s">
        <v>207</v>
      </c>
      <c r="AG115" s="345" t="s">
        <v>208</v>
      </c>
      <c r="AH115" s="345" t="s">
        <v>209</v>
      </c>
      <c r="AI115" s="345" t="s">
        <v>210</v>
      </c>
      <c r="AJ115" s="345"/>
      <c r="AK115" s="345"/>
      <c r="AL115" s="345"/>
      <c r="AM115" s="11"/>
      <c r="AN115" s="11"/>
      <c r="AO115" s="11"/>
    </row>
    <row r="116" spans="1:41" x14ac:dyDescent="0.25">
      <c r="A116" s="311"/>
      <c r="B116" s="324"/>
      <c r="C116" s="324"/>
      <c r="D116" s="324"/>
      <c r="E116" s="327"/>
      <c r="F116" s="336"/>
      <c r="G116" s="336"/>
      <c r="H116" s="336"/>
      <c r="I116" s="336"/>
      <c r="J116" s="336"/>
      <c r="K116" s="336"/>
      <c r="L116" s="336"/>
      <c r="M116" s="336"/>
      <c r="N116" s="336"/>
      <c r="O116" s="336"/>
      <c r="P116" s="336"/>
      <c r="Q116" s="336"/>
      <c r="R116" s="446"/>
      <c r="S116" s="336"/>
      <c r="T116" s="336"/>
      <c r="U116" s="314"/>
      <c r="V116" s="326">
        <v>0</v>
      </c>
      <c r="W116" s="447">
        <f t="shared" si="7"/>
        <v>0</v>
      </c>
      <c r="X116" s="447">
        <f t="shared" si="8"/>
        <v>0</v>
      </c>
      <c r="Y116" s="447">
        <f t="shared" si="9"/>
        <v>0</v>
      </c>
      <c r="Z116" s="447">
        <f t="shared" si="10"/>
        <v>0</v>
      </c>
      <c r="AA116" s="447">
        <f t="shared" si="11"/>
        <v>0</v>
      </c>
      <c r="AB116" s="447" t="e">
        <f t="shared" si="12"/>
        <v>#DIV/0!</v>
      </c>
      <c r="AC116" s="448" t="e">
        <f t="shared" si="13"/>
        <v>#DIV/0!</v>
      </c>
      <c r="AD116" s="11"/>
      <c r="AE116" s="349" t="str">
        <f>AF116&amp;TM[[#This Row],[Insurer Code]]&amp;"; "&amp;AG116&amp;TM[[#This Row],[Reporting Year]]&amp;"; "&amp;AH116&amp;TM[[#This Row],[Insurance Category Code]]&amp;"; "&amp;AI116&amp;TM[[#This Row],[Large Provider Entity Code]]</f>
        <v xml:space="preserve">Insurer Code ; Reporting Year ; Insurance Category Code ; Large Provider Entity Code </v>
      </c>
      <c r="AF116" s="345" t="s">
        <v>207</v>
      </c>
      <c r="AG116" s="345" t="s">
        <v>208</v>
      </c>
      <c r="AH116" s="345" t="s">
        <v>209</v>
      </c>
      <c r="AI116" s="345" t="s">
        <v>210</v>
      </c>
      <c r="AJ116" s="345"/>
      <c r="AK116" s="345"/>
      <c r="AL116" s="345"/>
      <c r="AM116" s="11"/>
      <c r="AN116" s="11"/>
      <c r="AO116" s="11"/>
    </row>
    <row r="117" spans="1:41" x14ac:dyDescent="0.25">
      <c r="A117" s="311"/>
      <c r="B117" s="324"/>
      <c r="C117" s="324"/>
      <c r="D117" s="324"/>
      <c r="E117" s="325"/>
      <c r="F117" s="336"/>
      <c r="G117" s="336"/>
      <c r="H117" s="336"/>
      <c r="I117" s="336"/>
      <c r="J117" s="336"/>
      <c r="K117" s="336"/>
      <c r="L117" s="336"/>
      <c r="M117" s="336"/>
      <c r="N117" s="336"/>
      <c r="O117" s="336"/>
      <c r="P117" s="336"/>
      <c r="Q117" s="336"/>
      <c r="R117" s="446"/>
      <c r="S117" s="336"/>
      <c r="T117" s="336"/>
      <c r="U117" s="314"/>
      <c r="V117" s="326">
        <v>0</v>
      </c>
      <c r="W117" s="447">
        <f t="shared" si="7"/>
        <v>0</v>
      </c>
      <c r="X117" s="447">
        <f t="shared" si="8"/>
        <v>0</v>
      </c>
      <c r="Y117" s="447">
        <f t="shared" si="9"/>
        <v>0</v>
      </c>
      <c r="Z117" s="447">
        <f t="shared" si="10"/>
        <v>0</v>
      </c>
      <c r="AA117" s="447">
        <f t="shared" si="11"/>
        <v>0</v>
      </c>
      <c r="AB117" s="447" t="e">
        <f t="shared" si="12"/>
        <v>#DIV/0!</v>
      </c>
      <c r="AC117" s="448" t="e">
        <f t="shared" si="13"/>
        <v>#DIV/0!</v>
      </c>
      <c r="AD117" s="11"/>
      <c r="AE117" s="349" t="str">
        <f>AF117&amp;TM[[#This Row],[Insurer Code]]&amp;"; "&amp;AG117&amp;TM[[#This Row],[Reporting Year]]&amp;"; "&amp;AH117&amp;TM[[#This Row],[Insurance Category Code]]&amp;"; "&amp;AI117&amp;TM[[#This Row],[Large Provider Entity Code]]</f>
        <v xml:space="preserve">Insurer Code ; Reporting Year ; Insurance Category Code ; Large Provider Entity Code </v>
      </c>
      <c r="AF117" s="345" t="s">
        <v>207</v>
      </c>
      <c r="AG117" s="345" t="s">
        <v>208</v>
      </c>
      <c r="AH117" s="345" t="s">
        <v>209</v>
      </c>
      <c r="AI117" s="345" t="s">
        <v>210</v>
      </c>
      <c r="AJ117" s="345"/>
      <c r="AK117" s="345"/>
      <c r="AL117" s="345"/>
      <c r="AM117" s="11"/>
      <c r="AN117" s="11"/>
      <c r="AO117" s="11"/>
    </row>
    <row r="118" spans="1:41" x14ac:dyDescent="0.25">
      <c r="A118" s="311"/>
      <c r="B118" s="324"/>
      <c r="C118" s="324"/>
      <c r="D118" s="324"/>
      <c r="E118" s="327"/>
      <c r="F118" s="336"/>
      <c r="G118" s="336"/>
      <c r="H118" s="336"/>
      <c r="I118" s="336"/>
      <c r="J118" s="336"/>
      <c r="K118" s="336"/>
      <c r="L118" s="336"/>
      <c r="M118" s="336"/>
      <c r="N118" s="336"/>
      <c r="O118" s="336"/>
      <c r="P118" s="336"/>
      <c r="Q118" s="336"/>
      <c r="R118" s="446"/>
      <c r="S118" s="336"/>
      <c r="T118" s="336"/>
      <c r="U118" s="314"/>
      <c r="V118" s="326">
        <v>17</v>
      </c>
      <c r="W118" s="447">
        <f t="shared" si="7"/>
        <v>0</v>
      </c>
      <c r="X118" s="447">
        <f t="shared" si="8"/>
        <v>0</v>
      </c>
      <c r="Y118" s="447">
        <f t="shared" si="9"/>
        <v>0</v>
      </c>
      <c r="Z118" s="447">
        <f t="shared" si="10"/>
        <v>0</v>
      </c>
      <c r="AA118" s="447">
        <f t="shared" si="11"/>
        <v>0</v>
      </c>
      <c r="AB118" s="447" t="e">
        <f t="shared" si="12"/>
        <v>#DIV/0!</v>
      </c>
      <c r="AC118" s="448" t="e">
        <f t="shared" si="13"/>
        <v>#DIV/0!</v>
      </c>
      <c r="AD118" s="11"/>
      <c r="AE118" s="349" t="str">
        <f>AF118&amp;TM[[#This Row],[Insurer Code]]&amp;"; "&amp;AG118&amp;TM[[#This Row],[Reporting Year]]&amp;"; "&amp;AH118&amp;TM[[#This Row],[Insurance Category Code]]&amp;"; "&amp;AI118&amp;TM[[#This Row],[Large Provider Entity Code]]</f>
        <v xml:space="preserve">Insurer Code ; Reporting Year ; Insurance Category Code ; Large Provider Entity Code </v>
      </c>
      <c r="AF118" s="345" t="s">
        <v>207</v>
      </c>
      <c r="AG118" s="345" t="s">
        <v>208</v>
      </c>
      <c r="AH118" s="345" t="s">
        <v>209</v>
      </c>
      <c r="AI118" s="345" t="s">
        <v>210</v>
      </c>
      <c r="AJ118" s="345"/>
      <c r="AK118" s="345"/>
      <c r="AL118" s="345"/>
      <c r="AM118" s="11"/>
      <c r="AN118" s="11"/>
      <c r="AO118" s="11"/>
    </row>
    <row r="119" spans="1:41" x14ac:dyDescent="0.25">
      <c r="A119" s="311"/>
      <c r="B119" s="321"/>
      <c r="C119" s="321"/>
      <c r="D119" s="321"/>
      <c r="E119" s="470"/>
      <c r="F119" s="442"/>
      <c r="G119" s="314"/>
      <c r="H119" s="314"/>
      <c r="I119" s="314"/>
      <c r="J119" s="314"/>
      <c r="K119" s="314"/>
      <c r="L119" s="314"/>
      <c r="M119" s="314"/>
      <c r="N119" s="314"/>
      <c r="O119" s="314"/>
      <c r="P119" s="314"/>
      <c r="Q119" s="314"/>
      <c r="R119" s="445"/>
      <c r="S119" s="314"/>
      <c r="T119" s="314"/>
      <c r="U119" s="314"/>
      <c r="V119" s="323">
        <v>0</v>
      </c>
      <c r="W119" s="447">
        <f t="shared" si="7"/>
        <v>0</v>
      </c>
      <c r="X119" s="447">
        <f t="shared" si="8"/>
        <v>0</v>
      </c>
      <c r="Y119" s="447">
        <f t="shared" si="9"/>
        <v>0</v>
      </c>
      <c r="Z119" s="447">
        <f t="shared" si="10"/>
        <v>0</v>
      </c>
      <c r="AA119" s="447">
        <f t="shared" si="11"/>
        <v>0</v>
      </c>
      <c r="AB119" s="447" t="e">
        <f t="shared" si="12"/>
        <v>#DIV/0!</v>
      </c>
      <c r="AC119" s="448" t="e">
        <f t="shared" si="13"/>
        <v>#DIV/0!</v>
      </c>
      <c r="AD119" s="11"/>
      <c r="AE119" s="349" t="str">
        <f>AF119&amp;TM[[#This Row],[Insurer Code]]&amp;"; "&amp;AG119&amp;TM[[#This Row],[Reporting Year]]&amp;"; "&amp;AH119&amp;TM[[#This Row],[Insurance Category Code]]&amp;"; "&amp;AI119&amp;TM[[#This Row],[Large Provider Entity Code]]</f>
        <v xml:space="preserve">Insurer Code ; Reporting Year ; Insurance Category Code ; Large Provider Entity Code </v>
      </c>
      <c r="AF119" s="345" t="s">
        <v>207</v>
      </c>
      <c r="AG119" s="345" t="s">
        <v>208</v>
      </c>
      <c r="AH119" s="345" t="s">
        <v>209</v>
      </c>
      <c r="AI119" s="345" t="s">
        <v>210</v>
      </c>
      <c r="AJ119" s="345"/>
      <c r="AK119" s="345"/>
      <c r="AL119" s="345"/>
      <c r="AM119" s="11"/>
      <c r="AN119" s="11"/>
      <c r="AO119" s="11"/>
    </row>
    <row r="120" spans="1:41" x14ac:dyDescent="0.25">
      <c r="A120" s="311"/>
      <c r="B120" s="321"/>
      <c r="C120" s="321"/>
      <c r="D120" s="321"/>
      <c r="E120" s="470"/>
      <c r="F120" s="442"/>
      <c r="G120" s="314"/>
      <c r="H120" s="314"/>
      <c r="I120" s="314"/>
      <c r="J120" s="314"/>
      <c r="K120" s="314"/>
      <c r="L120" s="314"/>
      <c r="M120" s="314"/>
      <c r="N120" s="314"/>
      <c r="O120" s="314"/>
      <c r="P120" s="314"/>
      <c r="Q120" s="314"/>
      <c r="R120" s="445"/>
      <c r="S120" s="314"/>
      <c r="T120" s="314"/>
      <c r="U120" s="314"/>
      <c r="V120" s="323">
        <v>2</v>
      </c>
      <c r="W120" s="447">
        <f t="shared" si="7"/>
        <v>0</v>
      </c>
      <c r="X120" s="447">
        <f t="shared" si="8"/>
        <v>0</v>
      </c>
      <c r="Y120" s="447">
        <f t="shared" si="9"/>
        <v>0</v>
      </c>
      <c r="Z120" s="447">
        <f t="shared" si="10"/>
        <v>0</v>
      </c>
      <c r="AA120" s="447">
        <f t="shared" si="11"/>
        <v>0</v>
      </c>
      <c r="AB120" s="447" t="e">
        <f t="shared" si="12"/>
        <v>#DIV/0!</v>
      </c>
      <c r="AC120" s="448" t="e">
        <f t="shared" si="13"/>
        <v>#DIV/0!</v>
      </c>
      <c r="AD120" s="11"/>
      <c r="AE120" s="349" t="str">
        <f>AF120&amp;TM[[#This Row],[Insurer Code]]&amp;"; "&amp;AG120&amp;TM[[#This Row],[Reporting Year]]&amp;"; "&amp;AH120&amp;TM[[#This Row],[Insurance Category Code]]&amp;"; "&amp;AI120&amp;TM[[#This Row],[Large Provider Entity Code]]</f>
        <v xml:space="preserve">Insurer Code ; Reporting Year ; Insurance Category Code ; Large Provider Entity Code </v>
      </c>
      <c r="AF120" s="345" t="s">
        <v>207</v>
      </c>
      <c r="AG120" s="345" t="s">
        <v>208</v>
      </c>
      <c r="AH120" s="345" t="s">
        <v>209</v>
      </c>
      <c r="AI120" s="345" t="s">
        <v>210</v>
      </c>
      <c r="AJ120" s="345"/>
      <c r="AK120" s="345"/>
      <c r="AL120" s="345"/>
      <c r="AM120" s="11"/>
      <c r="AN120" s="11"/>
      <c r="AO120" s="11"/>
    </row>
    <row r="121" spans="1:41" x14ac:dyDescent="0.25">
      <c r="A121" s="311"/>
      <c r="B121" s="321"/>
      <c r="C121" s="321"/>
      <c r="D121" s="321"/>
      <c r="E121" s="470"/>
      <c r="F121" s="442"/>
      <c r="G121" s="314"/>
      <c r="H121" s="314"/>
      <c r="I121" s="314"/>
      <c r="J121" s="314"/>
      <c r="K121" s="314"/>
      <c r="L121" s="314"/>
      <c r="M121" s="314"/>
      <c r="N121" s="314"/>
      <c r="O121" s="314"/>
      <c r="P121" s="314"/>
      <c r="Q121" s="314"/>
      <c r="R121" s="445"/>
      <c r="S121" s="314"/>
      <c r="T121" s="314"/>
      <c r="U121" s="314"/>
      <c r="V121" s="323">
        <v>10</v>
      </c>
      <c r="W121" s="447">
        <f t="shared" si="7"/>
        <v>0</v>
      </c>
      <c r="X121" s="447">
        <f t="shared" si="8"/>
        <v>0</v>
      </c>
      <c r="Y121" s="447">
        <f t="shared" si="9"/>
        <v>0</v>
      </c>
      <c r="Z121" s="447">
        <f t="shared" si="10"/>
        <v>0</v>
      </c>
      <c r="AA121" s="447">
        <f t="shared" si="11"/>
        <v>0</v>
      </c>
      <c r="AB121" s="447" t="e">
        <f t="shared" si="12"/>
        <v>#DIV/0!</v>
      </c>
      <c r="AC121" s="448" t="e">
        <f t="shared" si="13"/>
        <v>#DIV/0!</v>
      </c>
      <c r="AD121" s="11"/>
      <c r="AE121" s="349" t="str">
        <f>AF121&amp;TM[[#This Row],[Insurer Code]]&amp;"; "&amp;AG121&amp;TM[[#This Row],[Reporting Year]]&amp;"; "&amp;AH121&amp;TM[[#This Row],[Insurance Category Code]]&amp;"; "&amp;AI121&amp;TM[[#This Row],[Large Provider Entity Code]]</f>
        <v xml:space="preserve">Insurer Code ; Reporting Year ; Insurance Category Code ; Large Provider Entity Code </v>
      </c>
      <c r="AF121" s="345" t="s">
        <v>207</v>
      </c>
      <c r="AG121" s="345" t="s">
        <v>208</v>
      </c>
      <c r="AH121" s="345" t="s">
        <v>209</v>
      </c>
      <c r="AI121" s="345" t="s">
        <v>210</v>
      </c>
      <c r="AJ121" s="345"/>
      <c r="AK121" s="345"/>
      <c r="AL121" s="345"/>
      <c r="AM121" s="11"/>
      <c r="AN121" s="11"/>
      <c r="AO121" s="11"/>
    </row>
    <row r="122" spans="1:41" x14ac:dyDescent="0.25">
      <c r="A122" s="311"/>
      <c r="B122" s="321"/>
      <c r="C122" s="321"/>
      <c r="D122" s="321"/>
      <c r="E122" s="470"/>
      <c r="F122" s="442"/>
      <c r="G122" s="314"/>
      <c r="H122" s="314"/>
      <c r="I122" s="314"/>
      <c r="J122" s="314"/>
      <c r="K122" s="314"/>
      <c r="L122" s="314"/>
      <c r="M122" s="314"/>
      <c r="N122" s="314"/>
      <c r="O122" s="314"/>
      <c r="P122" s="314"/>
      <c r="Q122" s="314"/>
      <c r="R122" s="445"/>
      <c r="S122" s="314"/>
      <c r="T122" s="314"/>
      <c r="U122" s="314"/>
      <c r="V122" s="323">
        <v>9</v>
      </c>
      <c r="W122" s="447">
        <f t="shared" si="7"/>
        <v>0</v>
      </c>
      <c r="X122" s="447">
        <f t="shared" si="8"/>
        <v>0</v>
      </c>
      <c r="Y122" s="447">
        <f t="shared" si="9"/>
        <v>0</v>
      </c>
      <c r="Z122" s="447">
        <f t="shared" si="10"/>
        <v>0</v>
      </c>
      <c r="AA122" s="447">
        <f t="shared" si="11"/>
        <v>0</v>
      </c>
      <c r="AB122" s="447" t="e">
        <f t="shared" si="12"/>
        <v>#DIV/0!</v>
      </c>
      <c r="AC122" s="448" t="e">
        <f t="shared" si="13"/>
        <v>#DIV/0!</v>
      </c>
      <c r="AD122" s="11"/>
      <c r="AE122" s="349" t="str">
        <f>AF122&amp;TM[[#This Row],[Insurer Code]]&amp;"; "&amp;AG122&amp;TM[[#This Row],[Reporting Year]]&amp;"; "&amp;AH122&amp;TM[[#This Row],[Insurance Category Code]]&amp;"; "&amp;AI122&amp;TM[[#This Row],[Large Provider Entity Code]]</f>
        <v xml:space="preserve">Insurer Code ; Reporting Year ; Insurance Category Code ; Large Provider Entity Code </v>
      </c>
      <c r="AF122" s="345" t="s">
        <v>207</v>
      </c>
      <c r="AG122" s="345" t="s">
        <v>208</v>
      </c>
      <c r="AH122" s="345" t="s">
        <v>209</v>
      </c>
      <c r="AI122" s="345" t="s">
        <v>210</v>
      </c>
      <c r="AJ122" s="345"/>
      <c r="AK122" s="345"/>
      <c r="AL122" s="345"/>
      <c r="AM122" s="11"/>
      <c r="AN122" s="11"/>
      <c r="AO122" s="11"/>
    </row>
    <row r="123" spans="1:41" x14ac:dyDescent="0.25">
      <c r="A123" s="311"/>
      <c r="B123" s="321"/>
      <c r="C123" s="321"/>
      <c r="D123" s="321"/>
      <c r="E123" s="470"/>
      <c r="F123" s="442"/>
      <c r="G123" s="314"/>
      <c r="H123" s="314"/>
      <c r="I123" s="314"/>
      <c r="J123" s="314"/>
      <c r="K123" s="314"/>
      <c r="L123" s="314"/>
      <c r="M123" s="314"/>
      <c r="N123" s="314"/>
      <c r="O123" s="314"/>
      <c r="P123" s="314"/>
      <c r="Q123" s="314"/>
      <c r="R123" s="445"/>
      <c r="S123" s="314"/>
      <c r="T123" s="314"/>
      <c r="U123" s="314"/>
      <c r="V123" s="323">
        <v>0</v>
      </c>
      <c r="W123" s="451">
        <f t="shared" si="7"/>
        <v>0</v>
      </c>
      <c r="X123" s="451">
        <f t="shared" si="8"/>
        <v>0</v>
      </c>
      <c r="Y123" s="451">
        <f t="shared" si="9"/>
        <v>0</v>
      </c>
      <c r="Z123" s="451">
        <f t="shared" si="10"/>
        <v>0</v>
      </c>
      <c r="AA123" s="451">
        <f t="shared" si="11"/>
        <v>0</v>
      </c>
      <c r="AB123" s="451" t="e">
        <f t="shared" si="12"/>
        <v>#DIV/0!</v>
      </c>
      <c r="AC123" s="452" t="e">
        <f t="shared" si="13"/>
        <v>#DIV/0!</v>
      </c>
      <c r="AD123" s="11"/>
      <c r="AE123" s="349" t="str">
        <f>AF123&amp;TM[[#This Row],[Insurer Code]]&amp;"; "&amp;AG123&amp;TM[[#This Row],[Reporting Year]]&amp;"; "&amp;AH123&amp;TM[[#This Row],[Insurance Category Code]]&amp;"; "&amp;AI123&amp;TM[[#This Row],[Large Provider Entity Code]]</f>
        <v xml:space="preserve">Insurer Code ; Reporting Year ; Insurance Category Code ; Large Provider Entity Code </v>
      </c>
      <c r="AF123" s="345" t="s">
        <v>207</v>
      </c>
      <c r="AG123" s="345" t="s">
        <v>208</v>
      </c>
      <c r="AH123" s="345" t="s">
        <v>209</v>
      </c>
      <c r="AI123" s="345" t="s">
        <v>210</v>
      </c>
      <c r="AJ123" s="345"/>
      <c r="AK123" s="345"/>
      <c r="AL123" s="345"/>
      <c r="AM123" s="11"/>
      <c r="AN123" s="11"/>
      <c r="AO123" s="11"/>
    </row>
    <row r="124" spans="1:41" x14ac:dyDescent="0.25">
      <c r="A124" s="311"/>
      <c r="B124" s="321"/>
      <c r="C124" s="321"/>
      <c r="D124" s="321"/>
      <c r="E124" s="470"/>
      <c r="F124" s="442"/>
      <c r="G124" s="314"/>
      <c r="H124" s="314"/>
      <c r="I124" s="314"/>
      <c r="J124" s="314"/>
      <c r="K124" s="314"/>
      <c r="L124" s="314"/>
      <c r="M124" s="314"/>
      <c r="N124" s="314"/>
      <c r="O124" s="314"/>
      <c r="P124" s="314"/>
      <c r="Q124" s="314"/>
      <c r="R124" s="445"/>
      <c r="S124" s="314"/>
      <c r="T124" s="314"/>
      <c r="U124" s="314"/>
      <c r="V124" s="323">
        <v>0</v>
      </c>
      <c r="W124" s="451">
        <f t="shared" si="7"/>
        <v>0</v>
      </c>
      <c r="X124" s="451">
        <f t="shared" si="8"/>
        <v>0</v>
      </c>
      <c r="Y124" s="451">
        <f t="shared" si="9"/>
        <v>0</v>
      </c>
      <c r="Z124" s="451">
        <f t="shared" si="10"/>
        <v>0</v>
      </c>
      <c r="AA124" s="451">
        <f t="shared" si="11"/>
        <v>0</v>
      </c>
      <c r="AB124" s="451" t="e">
        <f t="shared" si="12"/>
        <v>#DIV/0!</v>
      </c>
      <c r="AC124" s="452" t="e">
        <f t="shared" si="13"/>
        <v>#DIV/0!</v>
      </c>
      <c r="AD124" s="11"/>
      <c r="AE124" s="349" t="str">
        <f>AF124&amp;TM[[#This Row],[Insurer Code]]&amp;"; "&amp;AG124&amp;TM[[#This Row],[Reporting Year]]&amp;"; "&amp;AH124&amp;TM[[#This Row],[Insurance Category Code]]&amp;"; "&amp;AI124&amp;TM[[#This Row],[Large Provider Entity Code]]</f>
        <v xml:space="preserve">Insurer Code ; Reporting Year ; Insurance Category Code ; Large Provider Entity Code </v>
      </c>
      <c r="AF124" s="345" t="s">
        <v>207</v>
      </c>
      <c r="AG124" s="345" t="s">
        <v>208</v>
      </c>
      <c r="AH124" s="345" t="s">
        <v>209</v>
      </c>
      <c r="AI124" s="345" t="s">
        <v>210</v>
      </c>
      <c r="AJ124" s="345"/>
      <c r="AK124" s="345"/>
      <c r="AL124" s="345"/>
      <c r="AM124" s="11"/>
      <c r="AN124" s="11"/>
      <c r="AO124" s="11"/>
    </row>
    <row r="125" spans="1:41" x14ac:dyDescent="0.25">
      <c r="A125" s="311"/>
      <c r="B125" s="321"/>
      <c r="C125" s="321"/>
      <c r="D125" s="321"/>
      <c r="E125" s="470"/>
      <c r="F125" s="442"/>
      <c r="G125" s="314"/>
      <c r="H125" s="314"/>
      <c r="I125" s="314"/>
      <c r="J125" s="314"/>
      <c r="K125" s="314"/>
      <c r="L125" s="314"/>
      <c r="M125" s="314"/>
      <c r="N125" s="314"/>
      <c r="O125" s="314"/>
      <c r="P125" s="314"/>
      <c r="Q125" s="314"/>
      <c r="R125" s="445"/>
      <c r="S125" s="314"/>
      <c r="T125" s="314"/>
      <c r="U125" s="314"/>
      <c r="V125" s="323">
        <v>14</v>
      </c>
      <c r="W125" s="451">
        <f t="shared" si="7"/>
        <v>0</v>
      </c>
      <c r="X125" s="451">
        <f t="shared" si="8"/>
        <v>0</v>
      </c>
      <c r="Y125" s="451">
        <f t="shared" si="9"/>
        <v>0</v>
      </c>
      <c r="Z125" s="451">
        <f t="shared" si="10"/>
        <v>0</v>
      </c>
      <c r="AA125" s="451">
        <f t="shared" si="11"/>
        <v>0</v>
      </c>
      <c r="AB125" s="451" t="e">
        <f t="shared" si="12"/>
        <v>#DIV/0!</v>
      </c>
      <c r="AC125" s="452" t="e">
        <f t="shared" si="13"/>
        <v>#DIV/0!</v>
      </c>
      <c r="AD125" s="11"/>
      <c r="AE125" s="349" t="str">
        <f>AF125&amp;TM[[#This Row],[Insurer Code]]&amp;"; "&amp;AG125&amp;TM[[#This Row],[Reporting Year]]&amp;"; "&amp;AH125&amp;TM[[#This Row],[Insurance Category Code]]&amp;"; "&amp;AI125&amp;TM[[#This Row],[Large Provider Entity Code]]</f>
        <v xml:space="preserve">Insurer Code ; Reporting Year ; Insurance Category Code ; Large Provider Entity Code </v>
      </c>
      <c r="AF125" s="345" t="s">
        <v>207</v>
      </c>
      <c r="AG125" s="345" t="s">
        <v>208</v>
      </c>
      <c r="AH125" s="345" t="s">
        <v>209</v>
      </c>
      <c r="AI125" s="345" t="s">
        <v>210</v>
      </c>
      <c r="AJ125" s="345"/>
      <c r="AK125" s="345"/>
      <c r="AL125" s="345"/>
      <c r="AM125" s="11"/>
      <c r="AN125" s="11"/>
      <c r="AO125" s="11"/>
    </row>
    <row r="126" spans="1:41" x14ac:dyDescent="0.25">
      <c r="A126" s="311"/>
      <c r="B126" s="321"/>
      <c r="C126" s="321"/>
      <c r="D126" s="321"/>
      <c r="E126" s="470"/>
      <c r="F126" s="442"/>
      <c r="G126" s="314"/>
      <c r="H126" s="314"/>
      <c r="I126" s="314"/>
      <c r="J126" s="314"/>
      <c r="K126" s="314"/>
      <c r="L126" s="314"/>
      <c r="M126" s="314"/>
      <c r="N126" s="314"/>
      <c r="O126" s="314"/>
      <c r="P126" s="314"/>
      <c r="Q126" s="314"/>
      <c r="R126" s="445"/>
      <c r="S126" s="314"/>
      <c r="T126" s="314"/>
      <c r="U126" s="314"/>
      <c r="V126" s="323">
        <v>1</v>
      </c>
      <c r="W126" s="451">
        <f t="shared" si="7"/>
        <v>0</v>
      </c>
      <c r="X126" s="451">
        <f t="shared" si="8"/>
        <v>0</v>
      </c>
      <c r="Y126" s="451">
        <f t="shared" si="9"/>
        <v>0</v>
      </c>
      <c r="Z126" s="451">
        <f t="shared" si="10"/>
        <v>0</v>
      </c>
      <c r="AA126" s="451">
        <f t="shared" si="11"/>
        <v>0</v>
      </c>
      <c r="AB126" s="451" t="e">
        <f t="shared" si="12"/>
        <v>#DIV/0!</v>
      </c>
      <c r="AC126" s="452" t="e">
        <f t="shared" si="13"/>
        <v>#DIV/0!</v>
      </c>
      <c r="AD126" s="11"/>
      <c r="AE126" s="349" t="str">
        <f>AF126&amp;TM[[#This Row],[Insurer Code]]&amp;"; "&amp;AG126&amp;TM[[#This Row],[Reporting Year]]&amp;"; "&amp;AH126&amp;TM[[#This Row],[Insurance Category Code]]&amp;"; "&amp;AI126&amp;TM[[#This Row],[Large Provider Entity Code]]</f>
        <v xml:space="preserve">Insurer Code ; Reporting Year ; Insurance Category Code ; Large Provider Entity Code </v>
      </c>
      <c r="AF126" s="345" t="s">
        <v>207</v>
      </c>
      <c r="AG126" s="345" t="s">
        <v>208</v>
      </c>
      <c r="AH126" s="345" t="s">
        <v>209</v>
      </c>
      <c r="AI126" s="345" t="s">
        <v>210</v>
      </c>
      <c r="AJ126" s="345"/>
      <c r="AK126" s="345"/>
      <c r="AL126" s="345"/>
      <c r="AM126" s="11"/>
      <c r="AN126" s="11"/>
      <c r="AO126" s="11"/>
    </row>
    <row r="127" spans="1:41" x14ac:dyDescent="0.25">
      <c r="A127" s="311"/>
      <c r="B127" s="321"/>
      <c r="C127" s="321"/>
      <c r="D127" s="321"/>
      <c r="E127" s="322"/>
      <c r="F127" s="314"/>
      <c r="G127" s="314"/>
      <c r="H127" s="314"/>
      <c r="I127" s="314"/>
      <c r="J127" s="314"/>
      <c r="K127" s="314"/>
      <c r="L127" s="314"/>
      <c r="M127" s="314"/>
      <c r="N127" s="314"/>
      <c r="O127" s="314"/>
      <c r="P127" s="314"/>
      <c r="Q127" s="314"/>
      <c r="R127" s="445"/>
      <c r="S127" s="314"/>
      <c r="T127" s="314"/>
      <c r="U127" s="314"/>
      <c r="V127" s="323">
        <v>0</v>
      </c>
      <c r="W127" s="447">
        <f t="shared" si="7"/>
        <v>0</v>
      </c>
      <c r="X127" s="447">
        <f t="shared" si="8"/>
        <v>0</v>
      </c>
      <c r="Y127" s="447">
        <f t="shared" si="9"/>
        <v>0</v>
      </c>
      <c r="Z127" s="447">
        <f t="shared" si="10"/>
        <v>0</v>
      </c>
      <c r="AA127" s="447">
        <f t="shared" si="11"/>
        <v>0</v>
      </c>
      <c r="AB127" s="447" t="e">
        <f t="shared" si="12"/>
        <v>#DIV/0!</v>
      </c>
      <c r="AC127" s="448" t="e">
        <f t="shared" si="13"/>
        <v>#DIV/0!</v>
      </c>
      <c r="AD127" s="11"/>
      <c r="AE127" s="349" t="str">
        <f>AF127&amp;TM[[#This Row],[Insurer Code]]&amp;"; "&amp;AG127&amp;TM[[#This Row],[Reporting Year]]&amp;"; "&amp;AH127&amp;TM[[#This Row],[Insurance Category Code]]&amp;"; "&amp;AI127&amp;TM[[#This Row],[Large Provider Entity Code]]</f>
        <v xml:space="preserve">Insurer Code ; Reporting Year ; Insurance Category Code ; Large Provider Entity Code </v>
      </c>
      <c r="AF127" s="345" t="s">
        <v>207</v>
      </c>
      <c r="AG127" s="345" t="s">
        <v>208</v>
      </c>
      <c r="AH127" s="345" t="s">
        <v>209</v>
      </c>
      <c r="AI127" s="345" t="s">
        <v>210</v>
      </c>
      <c r="AJ127" s="345"/>
      <c r="AK127" s="345"/>
      <c r="AL127" s="345"/>
      <c r="AM127" s="11"/>
      <c r="AN127" s="11"/>
      <c r="AO127" s="11"/>
    </row>
    <row r="128" spans="1:41" x14ac:dyDescent="0.25">
      <c r="A128" s="311"/>
      <c r="B128" s="324"/>
      <c r="C128" s="324"/>
      <c r="D128" s="324"/>
      <c r="E128" s="327"/>
      <c r="F128" s="336"/>
      <c r="G128" s="336"/>
      <c r="H128" s="336"/>
      <c r="I128" s="336"/>
      <c r="J128" s="336"/>
      <c r="K128" s="336"/>
      <c r="L128" s="336"/>
      <c r="M128" s="336"/>
      <c r="N128" s="336"/>
      <c r="O128" s="336"/>
      <c r="P128" s="336"/>
      <c r="Q128" s="336"/>
      <c r="R128" s="446"/>
      <c r="S128" s="336"/>
      <c r="T128" s="336"/>
      <c r="U128" s="314"/>
      <c r="V128" s="326">
        <v>4</v>
      </c>
      <c r="W128" s="447">
        <f t="shared" si="7"/>
        <v>0</v>
      </c>
      <c r="X128" s="447">
        <f t="shared" si="8"/>
        <v>0</v>
      </c>
      <c r="Y128" s="447">
        <f t="shared" si="9"/>
        <v>0</v>
      </c>
      <c r="Z128" s="447">
        <f t="shared" si="10"/>
        <v>0</v>
      </c>
      <c r="AA128" s="447">
        <f t="shared" si="11"/>
        <v>0</v>
      </c>
      <c r="AB128" s="447" t="e">
        <f t="shared" si="12"/>
        <v>#DIV/0!</v>
      </c>
      <c r="AC128" s="448" t="e">
        <f t="shared" si="13"/>
        <v>#DIV/0!</v>
      </c>
      <c r="AD128" s="11"/>
      <c r="AE128" s="349" t="str">
        <f>AF128&amp;TM[[#This Row],[Insurer Code]]&amp;"; "&amp;AG128&amp;TM[[#This Row],[Reporting Year]]&amp;"; "&amp;AH128&amp;TM[[#This Row],[Insurance Category Code]]&amp;"; "&amp;AI128&amp;TM[[#This Row],[Large Provider Entity Code]]</f>
        <v xml:space="preserve">Insurer Code ; Reporting Year ; Insurance Category Code ; Large Provider Entity Code </v>
      </c>
      <c r="AF128" s="345" t="s">
        <v>207</v>
      </c>
      <c r="AG128" s="345" t="s">
        <v>208</v>
      </c>
      <c r="AH128" s="345" t="s">
        <v>209</v>
      </c>
      <c r="AI128" s="345" t="s">
        <v>210</v>
      </c>
      <c r="AJ128" s="345"/>
      <c r="AK128" s="345"/>
      <c r="AL128" s="345"/>
      <c r="AM128" s="11"/>
      <c r="AN128" s="11"/>
      <c r="AO128" s="11"/>
    </row>
    <row r="129" spans="1:41" x14ac:dyDescent="0.25">
      <c r="A129" s="311"/>
      <c r="B129" s="324"/>
      <c r="C129" s="324"/>
      <c r="D129" s="324"/>
      <c r="E129" s="327"/>
      <c r="F129" s="336"/>
      <c r="G129" s="336"/>
      <c r="H129" s="336"/>
      <c r="I129" s="336"/>
      <c r="J129" s="336"/>
      <c r="K129" s="336"/>
      <c r="L129" s="336"/>
      <c r="M129" s="336"/>
      <c r="N129" s="336"/>
      <c r="O129" s="336"/>
      <c r="P129" s="336"/>
      <c r="Q129" s="336"/>
      <c r="R129" s="446"/>
      <c r="S129" s="336"/>
      <c r="T129" s="336"/>
      <c r="U129" s="314"/>
      <c r="V129" s="326">
        <v>0</v>
      </c>
      <c r="W129" s="447">
        <f t="shared" si="7"/>
        <v>0</v>
      </c>
      <c r="X129" s="447">
        <f t="shared" si="8"/>
        <v>0</v>
      </c>
      <c r="Y129" s="447">
        <f t="shared" si="9"/>
        <v>0</v>
      </c>
      <c r="Z129" s="447">
        <f t="shared" si="10"/>
        <v>0</v>
      </c>
      <c r="AA129" s="447">
        <f t="shared" si="11"/>
        <v>0</v>
      </c>
      <c r="AB129" s="447" t="e">
        <f t="shared" si="12"/>
        <v>#DIV/0!</v>
      </c>
      <c r="AC129" s="448" t="e">
        <f t="shared" si="13"/>
        <v>#DIV/0!</v>
      </c>
      <c r="AD129" s="11"/>
      <c r="AE129" s="349" t="str">
        <f>AF129&amp;TM[[#This Row],[Insurer Code]]&amp;"; "&amp;AG129&amp;TM[[#This Row],[Reporting Year]]&amp;"; "&amp;AH129&amp;TM[[#This Row],[Insurance Category Code]]&amp;"; "&amp;AI129&amp;TM[[#This Row],[Large Provider Entity Code]]</f>
        <v xml:space="preserve">Insurer Code ; Reporting Year ; Insurance Category Code ; Large Provider Entity Code </v>
      </c>
      <c r="AF129" s="345" t="s">
        <v>207</v>
      </c>
      <c r="AG129" s="345" t="s">
        <v>208</v>
      </c>
      <c r="AH129" s="345" t="s">
        <v>209</v>
      </c>
      <c r="AI129" s="345" t="s">
        <v>210</v>
      </c>
      <c r="AJ129" s="345"/>
      <c r="AK129" s="345"/>
      <c r="AL129" s="345"/>
      <c r="AM129" s="11"/>
      <c r="AN129" s="11"/>
      <c r="AO129" s="11"/>
    </row>
    <row r="130" spans="1:41" x14ac:dyDescent="0.25">
      <c r="A130" s="311"/>
      <c r="B130" s="324"/>
      <c r="C130" s="324"/>
      <c r="D130" s="324"/>
      <c r="E130" s="327"/>
      <c r="F130" s="336"/>
      <c r="G130" s="336"/>
      <c r="H130" s="336"/>
      <c r="I130" s="336"/>
      <c r="J130" s="336"/>
      <c r="K130" s="336"/>
      <c r="L130" s="336"/>
      <c r="M130" s="336"/>
      <c r="N130" s="336"/>
      <c r="O130" s="336"/>
      <c r="P130" s="336"/>
      <c r="Q130" s="336"/>
      <c r="R130" s="446"/>
      <c r="S130" s="336"/>
      <c r="T130" s="336"/>
      <c r="U130" s="314"/>
      <c r="V130" s="326">
        <v>0</v>
      </c>
      <c r="W130" s="447">
        <f t="shared" si="7"/>
        <v>0</v>
      </c>
      <c r="X130" s="447">
        <f t="shared" si="8"/>
        <v>0</v>
      </c>
      <c r="Y130" s="447">
        <f t="shared" si="9"/>
        <v>0</v>
      </c>
      <c r="Z130" s="447">
        <f t="shared" si="10"/>
        <v>0</v>
      </c>
      <c r="AA130" s="447">
        <f t="shared" si="11"/>
        <v>0</v>
      </c>
      <c r="AB130" s="447" t="e">
        <f t="shared" si="12"/>
        <v>#DIV/0!</v>
      </c>
      <c r="AC130" s="448" t="e">
        <f t="shared" si="13"/>
        <v>#DIV/0!</v>
      </c>
      <c r="AD130" s="11"/>
      <c r="AE130" s="349" t="str">
        <f>AF130&amp;TM[[#This Row],[Insurer Code]]&amp;"; "&amp;AG130&amp;TM[[#This Row],[Reporting Year]]&amp;"; "&amp;AH130&amp;TM[[#This Row],[Insurance Category Code]]&amp;"; "&amp;AI130&amp;TM[[#This Row],[Large Provider Entity Code]]</f>
        <v xml:space="preserve">Insurer Code ; Reporting Year ; Insurance Category Code ; Large Provider Entity Code </v>
      </c>
      <c r="AF130" s="345" t="s">
        <v>207</v>
      </c>
      <c r="AG130" s="345" t="s">
        <v>208</v>
      </c>
      <c r="AH130" s="345" t="s">
        <v>209</v>
      </c>
      <c r="AI130" s="345" t="s">
        <v>210</v>
      </c>
      <c r="AJ130" s="345"/>
      <c r="AK130" s="345"/>
      <c r="AL130" s="345"/>
      <c r="AM130" s="11"/>
      <c r="AN130" s="11"/>
      <c r="AO130" s="11"/>
    </row>
    <row r="131" spans="1:41" x14ac:dyDescent="0.25">
      <c r="A131" s="311"/>
      <c r="B131" s="324"/>
      <c r="C131" s="324"/>
      <c r="D131" s="324"/>
      <c r="E131" s="325"/>
      <c r="F131" s="336"/>
      <c r="G131" s="336"/>
      <c r="H131" s="336"/>
      <c r="I131" s="336"/>
      <c r="J131" s="336"/>
      <c r="K131" s="336"/>
      <c r="L131" s="336"/>
      <c r="M131" s="336"/>
      <c r="N131" s="336"/>
      <c r="O131" s="336"/>
      <c r="P131" s="336"/>
      <c r="Q131" s="336"/>
      <c r="R131" s="446"/>
      <c r="S131" s="336"/>
      <c r="T131" s="336"/>
      <c r="U131" s="314"/>
      <c r="V131" s="326">
        <v>3</v>
      </c>
      <c r="W131" s="447">
        <f t="shared" si="7"/>
        <v>0</v>
      </c>
      <c r="X131" s="447">
        <f t="shared" si="8"/>
        <v>0</v>
      </c>
      <c r="Y131" s="447">
        <f t="shared" si="9"/>
        <v>0</v>
      </c>
      <c r="Z131" s="447">
        <f t="shared" si="10"/>
        <v>0</v>
      </c>
      <c r="AA131" s="447">
        <f t="shared" si="11"/>
        <v>0</v>
      </c>
      <c r="AB131" s="447" t="e">
        <f t="shared" si="12"/>
        <v>#DIV/0!</v>
      </c>
      <c r="AC131" s="448" t="e">
        <f t="shared" si="13"/>
        <v>#DIV/0!</v>
      </c>
      <c r="AD131" s="11"/>
      <c r="AE131" s="349" t="str">
        <f>AF131&amp;TM[[#This Row],[Insurer Code]]&amp;"; "&amp;AG131&amp;TM[[#This Row],[Reporting Year]]&amp;"; "&amp;AH131&amp;TM[[#This Row],[Insurance Category Code]]&amp;"; "&amp;AI131&amp;TM[[#This Row],[Large Provider Entity Code]]</f>
        <v xml:space="preserve">Insurer Code ; Reporting Year ; Insurance Category Code ; Large Provider Entity Code </v>
      </c>
      <c r="AF131" s="345" t="s">
        <v>207</v>
      </c>
      <c r="AG131" s="345" t="s">
        <v>208</v>
      </c>
      <c r="AH131" s="345" t="s">
        <v>209</v>
      </c>
      <c r="AI131" s="345" t="s">
        <v>210</v>
      </c>
      <c r="AJ131" s="345"/>
      <c r="AK131" s="345"/>
      <c r="AL131" s="345"/>
      <c r="AM131" s="11"/>
      <c r="AN131" s="11"/>
      <c r="AO131" s="11"/>
    </row>
    <row r="132" spans="1:41" x14ac:dyDescent="0.25">
      <c r="A132" s="311"/>
      <c r="B132" s="324"/>
      <c r="C132" s="324"/>
      <c r="D132" s="324"/>
      <c r="E132" s="325"/>
      <c r="F132" s="336"/>
      <c r="G132" s="336"/>
      <c r="H132" s="336"/>
      <c r="I132" s="336"/>
      <c r="J132" s="336"/>
      <c r="K132" s="336"/>
      <c r="L132" s="336"/>
      <c r="M132" s="336"/>
      <c r="N132" s="336"/>
      <c r="O132" s="336"/>
      <c r="P132" s="336"/>
      <c r="Q132" s="336"/>
      <c r="R132" s="446"/>
      <c r="S132" s="336"/>
      <c r="T132" s="336"/>
      <c r="U132" s="314"/>
      <c r="V132" s="326">
        <v>3</v>
      </c>
      <c r="W132" s="447">
        <f t="shared" si="7"/>
        <v>0</v>
      </c>
      <c r="X132" s="447">
        <f t="shared" si="8"/>
        <v>0</v>
      </c>
      <c r="Y132" s="447">
        <f t="shared" si="9"/>
        <v>0</v>
      </c>
      <c r="Z132" s="447">
        <f t="shared" si="10"/>
        <v>0</v>
      </c>
      <c r="AA132" s="447">
        <f t="shared" si="11"/>
        <v>0</v>
      </c>
      <c r="AB132" s="447" t="e">
        <f t="shared" si="12"/>
        <v>#DIV/0!</v>
      </c>
      <c r="AC132" s="448" t="e">
        <f t="shared" si="13"/>
        <v>#DIV/0!</v>
      </c>
      <c r="AD132" s="11"/>
      <c r="AE132" s="349" t="str">
        <f>AF132&amp;TM[[#This Row],[Insurer Code]]&amp;"; "&amp;AG132&amp;TM[[#This Row],[Reporting Year]]&amp;"; "&amp;AH132&amp;TM[[#This Row],[Insurance Category Code]]&amp;"; "&amp;AI132&amp;TM[[#This Row],[Large Provider Entity Code]]</f>
        <v xml:space="preserve">Insurer Code ; Reporting Year ; Insurance Category Code ; Large Provider Entity Code </v>
      </c>
      <c r="AF132" s="345" t="s">
        <v>207</v>
      </c>
      <c r="AG132" s="345" t="s">
        <v>208</v>
      </c>
      <c r="AH132" s="345" t="s">
        <v>209</v>
      </c>
      <c r="AI132" s="345" t="s">
        <v>210</v>
      </c>
      <c r="AJ132" s="345"/>
      <c r="AK132" s="345"/>
      <c r="AL132" s="345"/>
      <c r="AM132" s="11"/>
      <c r="AN132" s="11"/>
      <c r="AO132" s="11"/>
    </row>
    <row r="133" spans="1:41" x14ac:dyDescent="0.25">
      <c r="A133" s="311"/>
      <c r="B133" s="324"/>
      <c r="C133" s="324"/>
      <c r="D133" s="324"/>
      <c r="E133" s="325"/>
      <c r="F133" s="336"/>
      <c r="G133" s="336"/>
      <c r="H133" s="336"/>
      <c r="I133" s="336"/>
      <c r="J133" s="336"/>
      <c r="K133" s="336"/>
      <c r="L133" s="336"/>
      <c r="M133" s="336"/>
      <c r="N133" s="336"/>
      <c r="O133" s="336"/>
      <c r="P133" s="336"/>
      <c r="Q133" s="336"/>
      <c r="R133" s="446"/>
      <c r="S133" s="336"/>
      <c r="T133" s="336"/>
      <c r="U133" s="314"/>
      <c r="V133" s="326">
        <v>0</v>
      </c>
      <c r="W133" s="447">
        <f t="shared" si="7"/>
        <v>0</v>
      </c>
      <c r="X133" s="447">
        <f t="shared" si="8"/>
        <v>0</v>
      </c>
      <c r="Y133" s="447">
        <f t="shared" si="9"/>
        <v>0</v>
      </c>
      <c r="Z133" s="447">
        <f t="shared" si="10"/>
        <v>0</v>
      </c>
      <c r="AA133" s="447">
        <f t="shared" si="11"/>
        <v>0</v>
      </c>
      <c r="AB133" s="447" t="e">
        <f t="shared" si="12"/>
        <v>#DIV/0!</v>
      </c>
      <c r="AC133" s="448" t="e">
        <f t="shared" si="13"/>
        <v>#DIV/0!</v>
      </c>
      <c r="AD133" s="11"/>
      <c r="AE133" s="349" t="str">
        <f>AF133&amp;TM[[#This Row],[Insurer Code]]&amp;"; "&amp;AG133&amp;TM[[#This Row],[Reporting Year]]&amp;"; "&amp;AH133&amp;TM[[#This Row],[Insurance Category Code]]&amp;"; "&amp;AI133&amp;TM[[#This Row],[Large Provider Entity Code]]</f>
        <v xml:space="preserve">Insurer Code ; Reporting Year ; Insurance Category Code ; Large Provider Entity Code </v>
      </c>
      <c r="AF133" s="345" t="s">
        <v>207</v>
      </c>
      <c r="AG133" s="345" t="s">
        <v>208</v>
      </c>
      <c r="AH133" s="345" t="s">
        <v>209</v>
      </c>
      <c r="AI133" s="345" t="s">
        <v>210</v>
      </c>
      <c r="AJ133" s="345"/>
      <c r="AK133" s="345"/>
      <c r="AL133" s="345"/>
      <c r="AM133" s="11"/>
      <c r="AN133" s="11"/>
      <c r="AO133" s="11"/>
    </row>
    <row r="134" spans="1:41" x14ac:dyDescent="0.25">
      <c r="A134" s="311"/>
      <c r="B134" s="324"/>
      <c r="C134" s="324"/>
      <c r="D134" s="324"/>
      <c r="E134" s="327"/>
      <c r="F134" s="336"/>
      <c r="G134" s="336"/>
      <c r="H134" s="336"/>
      <c r="I134" s="336"/>
      <c r="J134" s="336"/>
      <c r="K134" s="336"/>
      <c r="L134" s="336"/>
      <c r="M134" s="336"/>
      <c r="N134" s="336"/>
      <c r="O134" s="336"/>
      <c r="P134" s="336"/>
      <c r="Q134" s="336"/>
      <c r="R134" s="446"/>
      <c r="S134" s="336"/>
      <c r="T134" s="336"/>
      <c r="U134" s="314"/>
      <c r="V134" s="326">
        <v>4</v>
      </c>
      <c r="W134" s="447">
        <f t="shared" si="7"/>
        <v>0</v>
      </c>
      <c r="X134" s="447">
        <f t="shared" si="8"/>
        <v>0</v>
      </c>
      <c r="Y134" s="447">
        <f t="shared" si="9"/>
        <v>0</v>
      </c>
      <c r="Z134" s="447">
        <f t="shared" si="10"/>
        <v>0</v>
      </c>
      <c r="AA134" s="447">
        <f t="shared" si="11"/>
        <v>0</v>
      </c>
      <c r="AB134" s="447" t="e">
        <f t="shared" si="12"/>
        <v>#DIV/0!</v>
      </c>
      <c r="AC134" s="448" t="e">
        <f t="shared" si="13"/>
        <v>#DIV/0!</v>
      </c>
      <c r="AD134" s="11"/>
      <c r="AE134" s="349" t="str">
        <f>AF134&amp;TM[[#This Row],[Insurer Code]]&amp;"; "&amp;AG134&amp;TM[[#This Row],[Reporting Year]]&amp;"; "&amp;AH134&amp;TM[[#This Row],[Insurance Category Code]]&amp;"; "&amp;AI134&amp;TM[[#This Row],[Large Provider Entity Code]]</f>
        <v xml:space="preserve">Insurer Code ; Reporting Year ; Insurance Category Code ; Large Provider Entity Code </v>
      </c>
      <c r="AF134" s="345" t="s">
        <v>207</v>
      </c>
      <c r="AG134" s="345" t="s">
        <v>208</v>
      </c>
      <c r="AH134" s="345" t="s">
        <v>209</v>
      </c>
      <c r="AI134" s="345" t="s">
        <v>210</v>
      </c>
      <c r="AJ134" s="345"/>
      <c r="AK134" s="345"/>
      <c r="AL134" s="345"/>
      <c r="AM134" s="11"/>
      <c r="AN134" s="11"/>
      <c r="AO134" s="11"/>
    </row>
    <row r="135" spans="1:41" x14ac:dyDescent="0.25">
      <c r="A135" s="311"/>
      <c r="B135" s="324"/>
      <c r="C135" s="324"/>
      <c r="D135" s="324"/>
      <c r="E135" s="325"/>
      <c r="F135" s="336"/>
      <c r="G135" s="336"/>
      <c r="H135" s="336"/>
      <c r="I135" s="336"/>
      <c r="J135" s="336"/>
      <c r="K135" s="336"/>
      <c r="L135" s="336"/>
      <c r="M135" s="336"/>
      <c r="N135" s="336"/>
      <c r="O135" s="336"/>
      <c r="P135" s="336"/>
      <c r="Q135" s="336"/>
      <c r="R135" s="446"/>
      <c r="S135" s="336"/>
      <c r="T135" s="336"/>
      <c r="U135" s="314"/>
      <c r="V135" s="326">
        <v>1</v>
      </c>
      <c r="W135" s="447">
        <f t="shared" si="7"/>
        <v>0</v>
      </c>
      <c r="X135" s="447">
        <f t="shared" si="8"/>
        <v>0</v>
      </c>
      <c r="Y135" s="447">
        <f t="shared" si="9"/>
        <v>0</v>
      </c>
      <c r="Z135" s="447">
        <f t="shared" si="10"/>
        <v>0</v>
      </c>
      <c r="AA135" s="447">
        <f t="shared" si="11"/>
        <v>0</v>
      </c>
      <c r="AB135" s="447" t="e">
        <f t="shared" si="12"/>
        <v>#DIV/0!</v>
      </c>
      <c r="AC135" s="448" t="e">
        <f t="shared" si="13"/>
        <v>#DIV/0!</v>
      </c>
      <c r="AD135" s="11"/>
      <c r="AE135" s="349" t="str">
        <f>AF135&amp;TM[[#This Row],[Insurer Code]]&amp;"; "&amp;AG135&amp;TM[[#This Row],[Reporting Year]]&amp;"; "&amp;AH135&amp;TM[[#This Row],[Insurance Category Code]]&amp;"; "&amp;AI135&amp;TM[[#This Row],[Large Provider Entity Code]]</f>
        <v xml:space="preserve">Insurer Code ; Reporting Year ; Insurance Category Code ; Large Provider Entity Code </v>
      </c>
      <c r="AF135" s="345" t="s">
        <v>207</v>
      </c>
      <c r="AG135" s="345" t="s">
        <v>208</v>
      </c>
      <c r="AH135" s="345" t="s">
        <v>209</v>
      </c>
      <c r="AI135" s="345" t="s">
        <v>210</v>
      </c>
      <c r="AJ135" s="345"/>
      <c r="AK135" s="345"/>
      <c r="AL135" s="345"/>
      <c r="AM135" s="11"/>
      <c r="AN135" s="11"/>
      <c r="AO135" s="11"/>
    </row>
    <row r="136" spans="1:41" x14ac:dyDescent="0.25">
      <c r="A136" s="311"/>
      <c r="B136" s="324"/>
      <c r="C136" s="324"/>
      <c r="D136" s="324"/>
      <c r="E136" s="325"/>
      <c r="F136" s="336"/>
      <c r="G136" s="336"/>
      <c r="H136" s="336"/>
      <c r="I136" s="336"/>
      <c r="J136" s="336"/>
      <c r="K136" s="336"/>
      <c r="L136" s="336"/>
      <c r="M136" s="336"/>
      <c r="N136" s="336"/>
      <c r="O136" s="336"/>
      <c r="P136" s="336"/>
      <c r="Q136" s="336"/>
      <c r="R136" s="446"/>
      <c r="S136" s="336"/>
      <c r="T136" s="336"/>
      <c r="U136" s="314"/>
      <c r="V136" s="326">
        <v>0</v>
      </c>
      <c r="W136" s="447">
        <f t="shared" si="7"/>
        <v>0</v>
      </c>
      <c r="X136" s="447">
        <f t="shared" si="8"/>
        <v>0</v>
      </c>
      <c r="Y136" s="447">
        <f t="shared" si="9"/>
        <v>0</v>
      </c>
      <c r="Z136" s="447">
        <f t="shared" si="10"/>
        <v>0</v>
      </c>
      <c r="AA136" s="447">
        <f t="shared" si="11"/>
        <v>0</v>
      </c>
      <c r="AB136" s="447" t="e">
        <f t="shared" si="12"/>
        <v>#DIV/0!</v>
      </c>
      <c r="AC136" s="448" t="e">
        <f t="shared" si="13"/>
        <v>#DIV/0!</v>
      </c>
      <c r="AD136" s="11"/>
      <c r="AE136" s="349" t="str">
        <f>AF136&amp;TM[[#This Row],[Insurer Code]]&amp;"; "&amp;AG136&amp;TM[[#This Row],[Reporting Year]]&amp;"; "&amp;AH136&amp;TM[[#This Row],[Insurance Category Code]]&amp;"; "&amp;AI136&amp;TM[[#This Row],[Large Provider Entity Code]]</f>
        <v xml:space="preserve">Insurer Code ; Reporting Year ; Insurance Category Code ; Large Provider Entity Code </v>
      </c>
      <c r="AF136" s="345" t="s">
        <v>207</v>
      </c>
      <c r="AG136" s="345" t="s">
        <v>208</v>
      </c>
      <c r="AH136" s="345" t="s">
        <v>209</v>
      </c>
      <c r="AI136" s="345" t="s">
        <v>210</v>
      </c>
      <c r="AJ136" s="345"/>
      <c r="AK136" s="345"/>
      <c r="AL136" s="345"/>
      <c r="AM136" s="11"/>
      <c r="AN136" s="11"/>
      <c r="AO136" s="11"/>
    </row>
    <row r="137" spans="1:41" x14ac:dyDescent="0.25">
      <c r="A137" s="311"/>
      <c r="B137" s="324"/>
      <c r="C137" s="324"/>
      <c r="D137" s="324"/>
      <c r="E137" s="327"/>
      <c r="F137" s="336"/>
      <c r="G137" s="336"/>
      <c r="H137" s="336"/>
      <c r="I137" s="336"/>
      <c r="J137" s="336"/>
      <c r="K137" s="336"/>
      <c r="L137" s="336"/>
      <c r="M137" s="336"/>
      <c r="N137" s="336"/>
      <c r="O137" s="336"/>
      <c r="P137" s="336"/>
      <c r="Q137" s="336"/>
      <c r="R137" s="446"/>
      <c r="S137" s="336"/>
      <c r="T137" s="336"/>
      <c r="U137" s="314"/>
      <c r="V137" s="326">
        <v>11</v>
      </c>
      <c r="W137" s="447">
        <f t="shared" si="7"/>
        <v>0</v>
      </c>
      <c r="X137" s="447">
        <f t="shared" si="8"/>
        <v>0</v>
      </c>
      <c r="Y137" s="447">
        <f t="shared" si="9"/>
        <v>0</v>
      </c>
      <c r="Z137" s="447">
        <f t="shared" si="10"/>
        <v>0</v>
      </c>
      <c r="AA137" s="447">
        <f t="shared" si="11"/>
        <v>0</v>
      </c>
      <c r="AB137" s="447" t="e">
        <f t="shared" si="12"/>
        <v>#DIV/0!</v>
      </c>
      <c r="AC137" s="448" t="e">
        <f t="shared" si="13"/>
        <v>#DIV/0!</v>
      </c>
      <c r="AD137" s="11"/>
      <c r="AE137" s="349" t="str">
        <f>AF137&amp;TM[[#This Row],[Insurer Code]]&amp;"; "&amp;AG137&amp;TM[[#This Row],[Reporting Year]]&amp;"; "&amp;AH137&amp;TM[[#This Row],[Insurance Category Code]]&amp;"; "&amp;AI137&amp;TM[[#This Row],[Large Provider Entity Code]]</f>
        <v xml:space="preserve">Insurer Code ; Reporting Year ; Insurance Category Code ; Large Provider Entity Code </v>
      </c>
      <c r="AF137" s="345" t="s">
        <v>207</v>
      </c>
      <c r="AG137" s="345" t="s">
        <v>208</v>
      </c>
      <c r="AH137" s="345" t="s">
        <v>209</v>
      </c>
      <c r="AI137" s="345" t="s">
        <v>210</v>
      </c>
      <c r="AJ137" s="345"/>
      <c r="AK137" s="345"/>
      <c r="AL137" s="345"/>
      <c r="AM137" s="11"/>
      <c r="AN137" s="11"/>
      <c r="AO137" s="11"/>
    </row>
    <row r="138" spans="1:41" x14ac:dyDescent="0.25">
      <c r="A138" s="311"/>
      <c r="B138" s="321"/>
      <c r="C138" s="321"/>
      <c r="D138" s="321"/>
      <c r="E138" s="470"/>
      <c r="F138" s="442"/>
      <c r="G138" s="314"/>
      <c r="H138" s="314"/>
      <c r="I138" s="314"/>
      <c r="J138" s="314"/>
      <c r="K138" s="314"/>
      <c r="L138" s="314"/>
      <c r="M138" s="314"/>
      <c r="N138" s="314"/>
      <c r="O138" s="314"/>
      <c r="P138" s="314"/>
      <c r="Q138" s="314"/>
      <c r="R138" s="445"/>
      <c r="S138" s="314"/>
      <c r="T138" s="314"/>
      <c r="U138" s="314"/>
      <c r="V138" s="323">
        <v>0</v>
      </c>
      <c r="W138" s="447">
        <f t="shared" si="7"/>
        <v>0</v>
      </c>
      <c r="X138" s="447">
        <f t="shared" si="8"/>
        <v>0</v>
      </c>
      <c r="Y138" s="447">
        <f t="shared" si="9"/>
        <v>0</v>
      </c>
      <c r="Z138" s="447">
        <f t="shared" si="10"/>
        <v>0</v>
      </c>
      <c r="AA138" s="447">
        <f t="shared" si="11"/>
        <v>0</v>
      </c>
      <c r="AB138" s="447" t="e">
        <f t="shared" si="12"/>
        <v>#DIV/0!</v>
      </c>
      <c r="AC138" s="448" t="e">
        <f t="shared" si="13"/>
        <v>#DIV/0!</v>
      </c>
      <c r="AD138" s="11"/>
      <c r="AE138" s="349" t="str">
        <f>AF138&amp;TM[[#This Row],[Insurer Code]]&amp;"; "&amp;AG138&amp;TM[[#This Row],[Reporting Year]]&amp;"; "&amp;AH138&amp;TM[[#This Row],[Insurance Category Code]]&amp;"; "&amp;AI138&amp;TM[[#This Row],[Large Provider Entity Code]]</f>
        <v xml:space="preserve">Insurer Code ; Reporting Year ; Insurance Category Code ; Large Provider Entity Code </v>
      </c>
      <c r="AF138" s="345" t="s">
        <v>207</v>
      </c>
      <c r="AG138" s="345" t="s">
        <v>208</v>
      </c>
      <c r="AH138" s="345" t="s">
        <v>209</v>
      </c>
      <c r="AI138" s="345" t="s">
        <v>210</v>
      </c>
      <c r="AJ138" s="345"/>
      <c r="AK138" s="345"/>
      <c r="AL138" s="345"/>
      <c r="AM138" s="11"/>
      <c r="AN138" s="11"/>
      <c r="AO138" s="11"/>
    </row>
    <row r="139" spans="1:41" x14ac:dyDescent="0.25">
      <c r="A139" s="311"/>
      <c r="B139" s="321"/>
      <c r="C139" s="321"/>
      <c r="D139" s="321"/>
      <c r="E139" s="470"/>
      <c r="F139" s="442"/>
      <c r="G139" s="314"/>
      <c r="H139" s="314"/>
      <c r="I139" s="314"/>
      <c r="J139" s="314"/>
      <c r="K139" s="314"/>
      <c r="L139" s="314"/>
      <c r="M139" s="314"/>
      <c r="N139" s="314"/>
      <c r="O139" s="314"/>
      <c r="P139" s="314"/>
      <c r="Q139" s="314"/>
      <c r="R139" s="445"/>
      <c r="S139" s="314"/>
      <c r="T139" s="314"/>
      <c r="U139" s="314"/>
      <c r="V139" s="323">
        <v>4</v>
      </c>
      <c r="W139" s="447">
        <f t="shared" si="7"/>
        <v>0</v>
      </c>
      <c r="X139" s="447">
        <f t="shared" si="8"/>
        <v>0</v>
      </c>
      <c r="Y139" s="447">
        <f t="shared" si="9"/>
        <v>0</v>
      </c>
      <c r="Z139" s="447">
        <f t="shared" si="10"/>
        <v>0</v>
      </c>
      <c r="AA139" s="447">
        <f t="shared" si="11"/>
        <v>0</v>
      </c>
      <c r="AB139" s="447" t="e">
        <f t="shared" si="12"/>
        <v>#DIV/0!</v>
      </c>
      <c r="AC139" s="448" t="e">
        <f t="shared" si="13"/>
        <v>#DIV/0!</v>
      </c>
      <c r="AD139" s="11"/>
      <c r="AE139" s="349" t="str">
        <f>AF139&amp;TM[[#This Row],[Insurer Code]]&amp;"; "&amp;AG139&amp;TM[[#This Row],[Reporting Year]]&amp;"; "&amp;AH139&amp;TM[[#This Row],[Insurance Category Code]]&amp;"; "&amp;AI139&amp;TM[[#This Row],[Large Provider Entity Code]]</f>
        <v xml:space="preserve">Insurer Code ; Reporting Year ; Insurance Category Code ; Large Provider Entity Code </v>
      </c>
      <c r="AF139" s="345" t="s">
        <v>207</v>
      </c>
      <c r="AG139" s="345" t="s">
        <v>208</v>
      </c>
      <c r="AH139" s="345" t="s">
        <v>209</v>
      </c>
      <c r="AI139" s="345" t="s">
        <v>210</v>
      </c>
      <c r="AJ139" s="345"/>
      <c r="AK139" s="345"/>
      <c r="AL139" s="345"/>
      <c r="AM139" s="11"/>
      <c r="AN139" s="11"/>
      <c r="AO139" s="11"/>
    </row>
    <row r="140" spans="1:41" x14ac:dyDescent="0.25">
      <c r="A140" s="311"/>
      <c r="B140" s="321"/>
      <c r="C140" s="321"/>
      <c r="D140" s="321"/>
      <c r="E140" s="470"/>
      <c r="F140" s="442"/>
      <c r="G140" s="314"/>
      <c r="H140" s="314"/>
      <c r="I140" s="314"/>
      <c r="J140" s="314"/>
      <c r="K140" s="314"/>
      <c r="L140" s="314"/>
      <c r="M140" s="314"/>
      <c r="N140" s="314"/>
      <c r="O140" s="314"/>
      <c r="P140" s="314"/>
      <c r="Q140" s="314"/>
      <c r="R140" s="445"/>
      <c r="S140" s="314"/>
      <c r="T140" s="314"/>
      <c r="U140" s="314"/>
      <c r="V140" s="323">
        <v>0</v>
      </c>
      <c r="W140" s="447">
        <f t="shared" ref="W140:W203" si="14">SUM(F140:M140)</f>
        <v>0</v>
      </c>
      <c r="X140" s="447">
        <f t="shared" ref="X140:X203" si="15">SUM(N140:S140)</f>
        <v>0</v>
      </c>
      <c r="Y140" s="447">
        <f t="shared" ref="Y140:Y203" si="16">W140+X140</f>
        <v>0</v>
      </c>
      <c r="Z140" s="447">
        <f t="shared" ref="Z140:Z203" si="17">W140-U140</f>
        <v>0</v>
      </c>
      <c r="AA140" s="447">
        <f t="shared" ref="AA140:AA203" si="18">Z140+X140</f>
        <v>0</v>
      </c>
      <c r="AB140" s="447" t="e">
        <f t="shared" ref="AB140:AB203" si="19">Y140/E140</f>
        <v>#DIV/0!</v>
      </c>
      <c r="AC140" s="448" t="e">
        <f t="shared" ref="AC140:AC203" si="20">AA140/E140</f>
        <v>#DIV/0!</v>
      </c>
      <c r="AD140" s="11"/>
      <c r="AE140" s="349" t="str">
        <f>AF140&amp;TM[[#This Row],[Insurer Code]]&amp;"; "&amp;AG140&amp;TM[[#This Row],[Reporting Year]]&amp;"; "&amp;AH140&amp;TM[[#This Row],[Insurance Category Code]]&amp;"; "&amp;AI140&amp;TM[[#This Row],[Large Provider Entity Code]]</f>
        <v xml:space="preserve">Insurer Code ; Reporting Year ; Insurance Category Code ; Large Provider Entity Code </v>
      </c>
      <c r="AF140" s="345" t="s">
        <v>207</v>
      </c>
      <c r="AG140" s="345" t="s">
        <v>208</v>
      </c>
      <c r="AH140" s="345" t="s">
        <v>209</v>
      </c>
      <c r="AI140" s="345" t="s">
        <v>210</v>
      </c>
      <c r="AJ140" s="345"/>
      <c r="AK140" s="345"/>
      <c r="AL140" s="345"/>
      <c r="AM140" s="11"/>
      <c r="AN140" s="11"/>
      <c r="AO140" s="11"/>
    </row>
    <row r="141" spans="1:41" x14ac:dyDescent="0.25">
      <c r="A141" s="311"/>
      <c r="B141" s="321"/>
      <c r="C141" s="321"/>
      <c r="D141" s="321"/>
      <c r="E141" s="470"/>
      <c r="F141" s="442"/>
      <c r="G141" s="314"/>
      <c r="H141" s="314"/>
      <c r="I141" s="314"/>
      <c r="J141" s="314"/>
      <c r="K141" s="314"/>
      <c r="L141" s="314"/>
      <c r="M141" s="314"/>
      <c r="N141" s="314"/>
      <c r="O141" s="314"/>
      <c r="P141" s="314"/>
      <c r="Q141" s="314"/>
      <c r="R141" s="445"/>
      <c r="S141" s="314"/>
      <c r="T141" s="314"/>
      <c r="U141" s="314"/>
      <c r="V141" s="323">
        <v>0</v>
      </c>
      <c r="W141" s="451">
        <f t="shared" si="14"/>
        <v>0</v>
      </c>
      <c r="X141" s="451">
        <f t="shared" si="15"/>
        <v>0</v>
      </c>
      <c r="Y141" s="451">
        <f t="shared" si="16"/>
        <v>0</v>
      </c>
      <c r="Z141" s="451">
        <f t="shared" si="17"/>
        <v>0</v>
      </c>
      <c r="AA141" s="451">
        <f t="shared" si="18"/>
        <v>0</v>
      </c>
      <c r="AB141" s="451" t="e">
        <f t="shared" si="19"/>
        <v>#DIV/0!</v>
      </c>
      <c r="AC141" s="452" t="e">
        <f t="shared" si="20"/>
        <v>#DIV/0!</v>
      </c>
      <c r="AD141" s="11"/>
      <c r="AE141" s="349" t="str">
        <f>AF141&amp;TM[[#This Row],[Insurer Code]]&amp;"; "&amp;AG141&amp;TM[[#This Row],[Reporting Year]]&amp;"; "&amp;AH141&amp;TM[[#This Row],[Insurance Category Code]]&amp;"; "&amp;AI141&amp;TM[[#This Row],[Large Provider Entity Code]]</f>
        <v xml:space="preserve">Insurer Code ; Reporting Year ; Insurance Category Code ; Large Provider Entity Code </v>
      </c>
      <c r="AF141" s="345" t="s">
        <v>207</v>
      </c>
      <c r="AG141" s="345" t="s">
        <v>208</v>
      </c>
      <c r="AH141" s="345" t="s">
        <v>209</v>
      </c>
      <c r="AI141" s="345" t="s">
        <v>210</v>
      </c>
      <c r="AJ141" s="345"/>
      <c r="AK141" s="345"/>
      <c r="AL141" s="345"/>
      <c r="AM141" s="11"/>
      <c r="AN141" s="11"/>
      <c r="AO141" s="11"/>
    </row>
    <row r="142" spans="1:41" x14ac:dyDescent="0.25">
      <c r="A142" s="311"/>
      <c r="B142" s="321"/>
      <c r="C142" s="321"/>
      <c r="D142" s="321"/>
      <c r="E142" s="470"/>
      <c r="F142" s="442"/>
      <c r="G142" s="314"/>
      <c r="H142" s="314"/>
      <c r="I142" s="314"/>
      <c r="J142" s="314"/>
      <c r="K142" s="314"/>
      <c r="L142" s="314"/>
      <c r="M142" s="314"/>
      <c r="N142" s="314"/>
      <c r="O142" s="314"/>
      <c r="P142" s="314"/>
      <c r="Q142" s="314"/>
      <c r="R142" s="445"/>
      <c r="S142" s="314"/>
      <c r="T142" s="314"/>
      <c r="U142" s="314"/>
      <c r="V142" s="323">
        <v>3</v>
      </c>
      <c r="W142" s="451">
        <f t="shared" si="14"/>
        <v>0</v>
      </c>
      <c r="X142" s="451">
        <f t="shared" si="15"/>
        <v>0</v>
      </c>
      <c r="Y142" s="451">
        <f t="shared" si="16"/>
        <v>0</v>
      </c>
      <c r="Z142" s="451">
        <f t="shared" si="17"/>
        <v>0</v>
      </c>
      <c r="AA142" s="451">
        <f t="shared" si="18"/>
        <v>0</v>
      </c>
      <c r="AB142" s="451" t="e">
        <f t="shared" si="19"/>
        <v>#DIV/0!</v>
      </c>
      <c r="AC142" s="452" t="e">
        <f t="shared" si="20"/>
        <v>#DIV/0!</v>
      </c>
      <c r="AD142" s="11"/>
      <c r="AE142" s="349" t="str">
        <f>AF142&amp;TM[[#This Row],[Insurer Code]]&amp;"; "&amp;AG142&amp;TM[[#This Row],[Reporting Year]]&amp;"; "&amp;AH142&amp;TM[[#This Row],[Insurance Category Code]]&amp;"; "&amp;AI142&amp;TM[[#This Row],[Large Provider Entity Code]]</f>
        <v xml:space="preserve">Insurer Code ; Reporting Year ; Insurance Category Code ; Large Provider Entity Code </v>
      </c>
      <c r="AF142" s="345" t="s">
        <v>207</v>
      </c>
      <c r="AG142" s="345" t="s">
        <v>208</v>
      </c>
      <c r="AH142" s="345" t="s">
        <v>209</v>
      </c>
      <c r="AI142" s="345" t="s">
        <v>210</v>
      </c>
      <c r="AJ142" s="345"/>
      <c r="AK142" s="345"/>
      <c r="AL142" s="345"/>
      <c r="AM142" s="11"/>
      <c r="AN142" s="11"/>
      <c r="AO142" s="11"/>
    </row>
    <row r="143" spans="1:41" x14ac:dyDescent="0.25">
      <c r="A143" s="311"/>
      <c r="B143" s="321"/>
      <c r="C143" s="321"/>
      <c r="D143" s="321"/>
      <c r="E143" s="470"/>
      <c r="F143" s="442"/>
      <c r="G143" s="314"/>
      <c r="H143" s="314"/>
      <c r="I143" s="314"/>
      <c r="J143" s="314"/>
      <c r="K143" s="314"/>
      <c r="L143" s="314"/>
      <c r="M143" s="314"/>
      <c r="N143" s="314"/>
      <c r="O143" s="314"/>
      <c r="P143" s="314"/>
      <c r="Q143" s="314"/>
      <c r="R143" s="445"/>
      <c r="S143" s="314"/>
      <c r="T143" s="314"/>
      <c r="U143" s="314"/>
      <c r="V143" s="323">
        <v>3</v>
      </c>
      <c r="W143" s="451">
        <f t="shared" si="14"/>
        <v>0</v>
      </c>
      <c r="X143" s="451">
        <f t="shared" si="15"/>
        <v>0</v>
      </c>
      <c r="Y143" s="451">
        <f t="shared" si="16"/>
        <v>0</v>
      </c>
      <c r="Z143" s="451">
        <f t="shared" si="17"/>
        <v>0</v>
      </c>
      <c r="AA143" s="451">
        <f t="shared" si="18"/>
        <v>0</v>
      </c>
      <c r="AB143" s="451" t="e">
        <f t="shared" si="19"/>
        <v>#DIV/0!</v>
      </c>
      <c r="AC143" s="452" t="e">
        <f t="shared" si="20"/>
        <v>#DIV/0!</v>
      </c>
      <c r="AD143" s="11"/>
      <c r="AE143" s="349" t="str">
        <f>AF143&amp;TM[[#This Row],[Insurer Code]]&amp;"; "&amp;AG143&amp;TM[[#This Row],[Reporting Year]]&amp;"; "&amp;AH143&amp;TM[[#This Row],[Insurance Category Code]]&amp;"; "&amp;AI143&amp;TM[[#This Row],[Large Provider Entity Code]]</f>
        <v xml:space="preserve">Insurer Code ; Reporting Year ; Insurance Category Code ; Large Provider Entity Code </v>
      </c>
      <c r="AF143" s="345" t="s">
        <v>207</v>
      </c>
      <c r="AG143" s="345" t="s">
        <v>208</v>
      </c>
      <c r="AH143" s="345" t="s">
        <v>209</v>
      </c>
      <c r="AI143" s="345" t="s">
        <v>210</v>
      </c>
      <c r="AJ143" s="345"/>
      <c r="AK143" s="345"/>
      <c r="AL143" s="345"/>
      <c r="AM143" s="11"/>
      <c r="AN143" s="11"/>
      <c r="AO143" s="11"/>
    </row>
    <row r="144" spans="1:41" x14ac:dyDescent="0.25">
      <c r="A144" s="311"/>
      <c r="B144" s="321"/>
      <c r="C144" s="321"/>
      <c r="D144" s="321"/>
      <c r="E144" s="322"/>
      <c r="F144" s="314"/>
      <c r="G144" s="314"/>
      <c r="H144" s="314"/>
      <c r="I144" s="314"/>
      <c r="J144" s="314"/>
      <c r="K144" s="314"/>
      <c r="L144" s="314"/>
      <c r="M144" s="314"/>
      <c r="N144" s="314"/>
      <c r="O144" s="314"/>
      <c r="P144" s="314"/>
      <c r="Q144" s="314"/>
      <c r="R144" s="445"/>
      <c r="S144" s="314"/>
      <c r="T144" s="314"/>
      <c r="U144" s="314"/>
      <c r="V144" s="323">
        <v>0</v>
      </c>
      <c r="W144" s="447">
        <f t="shared" si="14"/>
        <v>0</v>
      </c>
      <c r="X144" s="447">
        <f t="shared" si="15"/>
        <v>0</v>
      </c>
      <c r="Y144" s="447">
        <f t="shared" si="16"/>
        <v>0</v>
      </c>
      <c r="Z144" s="447">
        <f t="shared" si="17"/>
        <v>0</v>
      </c>
      <c r="AA144" s="447">
        <f t="shared" si="18"/>
        <v>0</v>
      </c>
      <c r="AB144" s="447" t="e">
        <f t="shared" si="19"/>
        <v>#DIV/0!</v>
      </c>
      <c r="AC144" s="448" t="e">
        <f t="shared" si="20"/>
        <v>#DIV/0!</v>
      </c>
      <c r="AD144" s="11"/>
      <c r="AE144" s="349" t="str">
        <f>AF144&amp;TM[[#This Row],[Insurer Code]]&amp;"; "&amp;AG144&amp;TM[[#This Row],[Reporting Year]]&amp;"; "&amp;AH144&amp;TM[[#This Row],[Insurance Category Code]]&amp;"; "&amp;AI144&amp;TM[[#This Row],[Large Provider Entity Code]]</f>
        <v xml:space="preserve">Insurer Code ; Reporting Year ; Insurance Category Code ; Large Provider Entity Code </v>
      </c>
      <c r="AF144" s="345" t="s">
        <v>207</v>
      </c>
      <c r="AG144" s="345" t="s">
        <v>208</v>
      </c>
      <c r="AH144" s="345" t="s">
        <v>209</v>
      </c>
      <c r="AI144" s="345" t="s">
        <v>210</v>
      </c>
      <c r="AJ144" s="345"/>
      <c r="AK144" s="345"/>
      <c r="AL144" s="345"/>
      <c r="AM144" s="11"/>
      <c r="AN144" s="11"/>
      <c r="AO144" s="11"/>
    </row>
    <row r="145" spans="1:41" x14ac:dyDescent="0.25">
      <c r="A145" s="311"/>
      <c r="B145" s="324"/>
      <c r="C145" s="324"/>
      <c r="D145" s="324"/>
      <c r="E145" s="327"/>
      <c r="F145" s="336"/>
      <c r="G145" s="336"/>
      <c r="H145" s="336"/>
      <c r="I145" s="336"/>
      <c r="J145" s="336"/>
      <c r="K145" s="336"/>
      <c r="L145" s="336"/>
      <c r="M145" s="336"/>
      <c r="N145" s="336"/>
      <c r="O145" s="336"/>
      <c r="P145" s="336"/>
      <c r="Q145" s="336"/>
      <c r="R145" s="446"/>
      <c r="S145" s="336"/>
      <c r="T145" s="336"/>
      <c r="U145" s="314"/>
      <c r="V145" s="326">
        <v>26</v>
      </c>
      <c r="W145" s="447">
        <f t="shared" si="14"/>
        <v>0</v>
      </c>
      <c r="X145" s="447">
        <f t="shared" si="15"/>
        <v>0</v>
      </c>
      <c r="Y145" s="447">
        <f t="shared" si="16"/>
        <v>0</v>
      </c>
      <c r="Z145" s="447">
        <f t="shared" si="17"/>
        <v>0</v>
      </c>
      <c r="AA145" s="447">
        <f t="shared" si="18"/>
        <v>0</v>
      </c>
      <c r="AB145" s="447" t="e">
        <f t="shared" si="19"/>
        <v>#DIV/0!</v>
      </c>
      <c r="AC145" s="448" t="e">
        <f t="shared" si="20"/>
        <v>#DIV/0!</v>
      </c>
      <c r="AD145" s="11"/>
      <c r="AE145" s="349" t="str">
        <f>AF145&amp;TM[[#This Row],[Insurer Code]]&amp;"; "&amp;AG145&amp;TM[[#This Row],[Reporting Year]]&amp;"; "&amp;AH145&amp;TM[[#This Row],[Insurance Category Code]]&amp;"; "&amp;AI145&amp;TM[[#This Row],[Large Provider Entity Code]]</f>
        <v xml:space="preserve">Insurer Code ; Reporting Year ; Insurance Category Code ; Large Provider Entity Code </v>
      </c>
      <c r="AF145" s="345" t="s">
        <v>207</v>
      </c>
      <c r="AG145" s="345" t="s">
        <v>208</v>
      </c>
      <c r="AH145" s="345" t="s">
        <v>209</v>
      </c>
      <c r="AI145" s="345" t="s">
        <v>210</v>
      </c>
      <c r="AJ145" s="345"/>
      <c r="AK145" s="345"/>
      <c r="AL145" s="345"/>
      <c r="AM145" s="11"/>
      <c r="AN145" s="11"/>
      <c r="AO145" s="11"/>
    </row>
    <row r="146" spans="1:41" x14ac:dyDescent="0.25">
      <c r="A146" s="311"/>
      <c r="B146" s="324"/>
      <c r="C146" s="324"/>
      <c r="D146" s="324"/>
      <c r="E146" s="327"/>
      <c r="F146" s="336"/>
      <c r="G146" s="336"/>
      <c r="H146" s="336"/>
      <c r="I146" s="336"/>
      <c r="J146" s="336"/>
      <c r="K146" s="336"/>
      <c r="L146" s="336"/>
      <c r="M146" s="336"/>
      <c r="N146" s="336"/>
      <c r="O146" s="336"/>
      <c r="P146" s="336"/>
      <c r="Q146" s="336"/>
      <c r="R146" s="446"/>
      <c r="S146" s="336"/>
      <c r="T146" s="336"/>
      <c r="U146" s="314"/>
      <c r="V146" s="326">
        <v>12</v>
      </c>
      <c r="W146" s="447">
        <f t="shared" si="14"/>
        <v>0</v>
      </c>
      <c r="X146" s="447">
        <f t="shared" si="15"/>
        <v>0</v>
      </c>
      <c r="Y146" s="447">
        <f t="shared" si="16"/>
        <v>0</v>
      </c>
      <c r="Z146" s="447">
        <f t="shared" si="17"/>
        <v>0</v>
      </c>
      <c r="AA146" s="447">
        <f t="shared" si="18"/>
        <v>0</v>
      </c>
      <c r="AB146" s="447" t="e">
        <f t="shared" si="19"/>
        <v>#DIV/0!</v>
      </c>
      <c r="AC146" s="448" t="e">
        <f t="shared" si="20"/>
        <v>#DIV/0!</v>
      </c>
      <c r="AD146" s="11"/>
      <c r="AE146" s="349" t="str">
        <f>AF146&amp;TM[[#This Row],[Insurer Code]]&amp;"; "&amp;AG146&amp;TM[[#This Row],[Reporting Year]]&amp;"; "&amp;AH146&amp;TM[[#This Row],[Insurance Category Code]]&amp;"; "&amp;AI146&amp;TM[[#This Row],[Large Provider Entity Code]]</f>
        <v xml:space="preserve">Insurer Code ; Reporting Year ; Insurance Category Code ; Large Provider Entity Code </v>
      </c>
      <c r="AF146" s="345" t="s">
        <v>207</v>
      </c>
      <c r="AG146" s="345" t="s">
        <v>208</v>
      </c>
      <c r="AH146" s="345" t="s">
        <v>209</v>
      </c>
      <c r="AI146" s="345" t="s">
        <v>210</v>
      </c>
      <c r="AJ146" s="345"/>
      <c r="AK146" s="345"/>
      <c r="AL146" s="345"/>
      <c r="AM146" s="11"/>
      <c r="AN146" s="11"/>
      <c r="AO146" s="11"/>
    </row>
    <row r="147" spans="1:41" x14ac:dyDescent="0.25">
      <c r="A147" s="311"/>
      <c r="B147" s="324"/>
      <c r="C147" s="324"/>
      <c r="D147" s="324"/>
      <c r="E147" s="327"/>
      <c r="F147" s="336"/>
      <c r="G147" s="336"/>
      <c r="H147" s="336"/>
      <c r="I147" s="336"/>
      <c r="J147" s="336"/>
      <c r="K147" s="336"/>
      <c r="L147" s="336"/>
      <c r="M147" s="336"/>
      <c r="N147" s="336"/>
      <c r="O147" s="336"/>
      <c r="P147" s="336"/>
      <c r="Q147" s="336"/>
      <c r="R147" s="446"/>
      <c r="S147" s="336"/>
      <c r="T147" s="336"/>
      <c r="U147" s="314"/>
      <c r="V147" s="326">
        <v>0</v>
      </c>
      <c r="W147" s="447">
        <f t="shared" si="14"/>
        <v>0</v>
      </c>
      <c r="X147" s="447">
        <f t="shared" si="15"/>
        <v>0</v>
      </c>
      <c r="Y147" s="447">
        <f t="shared" si="16"/>
        <v>0</v>
      </c>
      <c r="Z147" s="447">
        <f t="shared" si="17"/>
        <v>0</v>
      </c>
      <c r="AA147" s="447">
        <f t="shared" si="18"/>
        <v>0</v>
      </c>
      <c r="AB147" s="447" t="e">
        <f t="shared" si="19"/>
        <v>#DIV/0!</v>
      </c>
      <c r="AC147" s="448" t="e">
        <f t="shared" si="20"/>
        <v>#DIV/0!</v>
      </c>
      <c r="AD147" s="11"/>
      <c r="AE147" s="349" t="str">
        <f>AF147&amp;TM[[#This Row],[Insurer Code]]&amp;"; "&amp;AG147&amp;TM[[#This Row],[Reporting Year]]&amp;"; "&amp;AH147&amp;TM[[#This Row],[Insurance Category Code]]&amp;"; "&amp;AI147&amp;TM[[#This Row],[Large Provider Entity Code]]</f>
        <v xml:space="preserve">Insurer Code ; Reporting Year ; Insurance Category Code ; Large Provider Entity Code </v>
      </c>
      <c r="AF147" s="345" t="s">
        <v>207</v>
      </c>
      <c r="AG147" s="345" t="s">
        <v>208</v>
      </c>
      <c r="AH147" s="345" t="s">
        <v>209</v>
      </c>
      <c r="AI147" s="345" t="s">
        <v>210</v>
      </c>
      <c r="AJ147" s="345"/>
      <c r="AK147" s="345"/>
      <c r="AL147" s="345"/>
      <c r="AM147" s="11"/>
      <c r="AN147" s="11"/>
      <c r="AO147" s="11"/>
    </row>
    <row r="148" spans="1:41" x14ac:dyDescent="0.25">
      <c r="A148" s="311"/>
      <c r="B148" s="324"/>
      <c r="C148" s="324"/>
      <c r="D148" s="324"/>
      <c r="E148" s="325"/>
      <c r="F148" s="336"/>
      <c r="G148" s="336"/>
      <c r="H148" s="336"/>
      <c r="I148" s="336"/>
      <c r="J148" s="336"/>
      <c r="K148" s="336"/>
      <c r="L148" s="336"/>
      <c r="M148" s="336"/>
      <c r="N148" s="336"/>
      <c r="O148" s="336"/>
      <c r="P148" s="336"/>
      <c r="Q148" s="336"/>
      <c r="R148" s="446"/>
      <c r="S148" s="336"/>
      <c r="T148" s="336"/>
      <c r="U148" s="314"/>
      <c r="V148" s="326">
        <v>37</v>
      </c>
      <c r="W148" s="447">
        <f t="shared" si="14"/>
        <v>0</v>
      </c>
      <c r="X148" s="447">
        <f t="shared" si="15"/>
        <v>0</v>
      </c>
      <c r="Y148" s="447">
        <f t="shared" si="16"/>
        <v>0</v>
      </c>
      <c r="Z148" s="447">
        <f t="shared" si="17"/>
        <v>0</v>
      </c>
      <c r="AA148" s="447">
        <f t="shared" si="18"/>
        <v>0</v>
      </c>
      <c r="AB148" s="447" t="e">
        <f t="shared" si="19"/>
        <v>#DIV/0!</v>
      </c>
      <c r="AC148" s="448" t="e">
        <f t="shared" si="20"/>
        <v>#DIV/0!</v>
      </c>
      <c r="AD148" s="11"/>
      <c r="AE148" s="349" t="str">
        <f>AF148&amp;TM[[#This Row],[Insurer Code]]&amp;"; "&amp;AG148&amp;TM[[#This Row],[Reporting Year]]&amp;"; "&amp;AH148&amp;TM[[#This Row],[Insurance Category Code]]&amp;"; "&amp;AI148&amp;TM[[#This Row],[Large Provider Entity Code]]</f>
        <v xml:space="preserve">Insurer Code ; Reporting Year ; Insurance Category Code ; Large Provider Entity Code </v>
      </c>
      <c r="AF148" s="345" t="s">
        <v>207</v>
      </c>
      <c r="AG148" s="345" t="s">
        <v>208</v>
      </c>
      <c r="AH148" s="345" t="s">
        <v>209</v>
      </c>
      <c r="AI148" s="345" t="s">
        <v>210</v>
      </c>
      <c r="AJ148" s="345"/>
      <c r="AK148" s="345"/>
      <c r="AL148" s="345"/>
      <c r="AM148" s="11"/>
      <c r="AN148" s="11"/>
      <c r="AO148" s="11"/>
    </row>
    <row r="149" spans="1:41" x14ac:dyDescent="0.25">
      <c r="A149" s="311"/>
      <c r="B149" s="324"/>
      <c r="C149" s="324"/>
      <c r="D149" s="324"/>
      <c r="E149" s="325"/>
      <c r="F149" s="336"/>
      <c r="G149" s="336"/>
      <c r="H149" s="336"/>
      <c r="I149" s="336"/>
      <c r="J149" s="336"/>
      <c r="K149" s="336"/>
      <c r="L149" s="336"/>
      <c r="M149" s="336"/>
      <c r="N149" s="336"/>
      <c r="O149" s="336"/>
      <c r="P149" s="336"/>
      <c r="Q149" s="336"/>
      <c r="R149" s="446"/>
      <c r="S149" s="336"/>
      <c r="T149" s="336"/>
      <c r="U149" s="314"/>
      <c r="V149" s="326">
        <v>2</v>
      </c>
      <c r="W149" s="447">
        <f t="shared" si="14"/>
        <v>0</v>
      </c>
      <c r="X149" s="447">
        <f t="shared" si="15"/>
        <v>0</v>
      </c>
      <c r="Y149" s="447">
        <f t="shared" si="16"/>
        <v>0</v>
      </c>
      <c r="Z149" s="447">
        <f t="shared" si="17"/>
        <v>0</v>
      </c>
      <c r="AA149" s="447">
        <f t="shared" si="18"/>
        <v>0</v>
      </c>
      <c r="AB149" s="447" t="e">
        <f t="shared" si="19"/>
        <v>#DIV/0!</v>
      </c>
      <c r="AC149" s="448" t="e">
        <f t="shared" si="20"/>
        <v>#DIV/0!</v>
      </c>
      <c r="AD149" s="11"/>
      <c r="AE149" s="349" t="str">
        <f>AF149&amp;TM[[#This Row],[Insurer Code]]&amp;"; "&amp;AG149&amp;TM[[#This Row],[Reporting Year]]&amp;"; "&amp;AH149&amp;TM[[#This Row],[Insurance Category Code]]&amp;"; "&amp;AI149&amp;TM[[#This Row],[Large Provider Entity Code]]</f>
        <v xml:space="preserve">Insurer Code ; Reporting Year ; Insurance Category Code ; Large Provider Entity Code </v>
      </c>
      <c r="AF149" s="345" t="s">
        <v>207</v>
      </c>
      <c r="AG149" s="345" t="s">
        <v>208</v>
      </c>
      <c r="AH149" s="345" t="s">
        <v>209</v>
      </c>
      <c r="AI149" s="345" t="s">
        <v>210</v>
      </c>
      <c r="AJ149" s="345"/>
      <c r="AK149" s="345"/>
      <c r="AL149" s="345"/>
      <c r="AM149" s="11"/>
      <c r="AN149" s="11"/>
      <c r="AO149" s="11"/>
    </row>
    <row r="150" spans="1:41" x14ac:dyDescent="0.25">
      <c r="A150" s="311"/>
      <c r="B150" s="324"/>
      <c r="C150" s="324"/>
      <c r="D150" s="324"/>
      <c r="E150" s="325"/>
      <c r="F150" s="336"/>
      <c r="G150" s="336"/>
      <c r="H150" s="336"/>
      <c r="I150" s="336"/>
      <c r="J150" s="336"/>
      <c r="K150" s="336"/>
      <c r="L150" s="336"/>
      <c r="M150" s="336"/>
      <c r="N150" s="336"/>
      <c r="O150" s="336"/>
      <c r="P150" s="336"/>
      <c r="Q150" s="336"/>
      <c r="R150" s="446"/>
      <c r="S150" s="336"/>
      <c r="T150" s="336"/>
      <c r="U150" s="314"/>
      <c r="V150" s="326">
        <v>0</v>
      </c>
      <c r="W150" s="447">
        <f t="shared" si="14"/>
        <v>0</v>
      </c>
      <c r="X150" s="447">
        <f t="shared" si="15"/>
        <v>0</v>
      </c>
      <c r="Y150" s="447">
        <f t="shared" si="16"/>
        <v>0</v>
      </c>
      <c r="Z150" s="447">
        <f t="shared" si="17"/>
        <v>0</v>
      </c>
      <c r="AA150" s="447">
        <f t="shared" si="18"/>
        <v>0</v>
      </c>
      <c r="AB150" s="447" t="e">
        <f t="shared" si="19"/>
        <v>#DIV/0!</v>
      </c>
      <c r="AC150" s="448" t="e">
        <f t="shared" si="20"/>
        <v>#DIV/0!</v>
      </c>
      <c r="AD150" s="11"/>
      <c r="AE150" s="349" t="str">
        <f>AF150&amp;TM[[#This Row],[Insurer Code]]&amp;"; "&amp;AG150&amp;TM[[#This Row],[Reporting Year]]&amp;"; "&amp;AH150&amp;TM[[#This Row],[Insurance Category Code]]&amp;"; "&amp;AI150&amp;TM[[#This Row],[Large Provider Entity Code]]</f>
        <v xml:space="preserve">Insurer Code ; Reporting Year ; Insurance Category Code ; Large Provider Entity Code </v>
      </c>
      <c r="AF150" s="345" t="s">
        <v>207</v>
      </c>
      <c r="AG150" s="345" t="s">
        <v>208</v>
      </c>
      <c r="AH150" s="345" t="s">
        <v>209</v>
      </c>
      <c r="AI150" s="345" t="s">
        <v>210</v>
      </c>
      <c r="AJ150" s="345"/>
      <c r="AK150" s="345"/>
      <c r="AL150" s="345"/>
      <c r="AM150" s="11"/>
      <c r="AN150" s="11"/>
      <c r="AO150" s="11"/>
    </row>
    <row r="151" spans="1:41" x14ac:dyDescent="0.25">
      <c r="A151" s="311"/>
      <c r="B151" s="324"/>
      <c r="C151" s="324"/>
      <c r="D151" s="324"/>
      <c r="E151" s="325"/>
      <c r="F151" s="336"/>
      <c r="G151" s="336"/>
      <c r="H151" s="336"/>
      <c r="I151" s="336"/>
      <c r="J151" s="336"/>
      <c r="K151" s="336"/>
      <c r="L151" s="336"/>
      <c r="M151" s="336"/>
      <c r="N151" s="336"/>
      <c r="O151" s="336"/>
      <c r="P151" s="336"/>
      <c r="Q151" s="336"/>
      <c r="R151" s="446"/>
      <c r="S151" s="336"/>
      <c r="T151" s="336"/>
      <c r="U151" s="314"/>
      <c r="V151" s="326">
        <v>25</v>
      </c>
      <c r="W151" s="447">
        <f t="shared" si="14"/>
        <v>0</v>
      </c>
      <c r="X151" s="447">
        <f t="shared" si="15"/>
        <v>0</v>
      </c>
      <c r="Y151" s="447">
        <f t="shared" si="16"/>
        <v>0</v>
      </c>
      <c r="Z151" s="447">
        <f t="shared" si="17"/>
        <v>0</v>
      </c>
      <c r="AA151" s="447">
        <f t="shared" si="18"/>
        <v>0</v>
      </c>
      <c r="AB151" s="447" t="e">
        <f t="shared" si="19"/>
        <v>#DIV/0!</v>
      </c>
      <c r="AC151" s="448" t="e">
        <f t="shared" si="20"/>
        <v>#DIV/0!</v>
      </c>
      <c r="AD151" s="11"/>
      <c r="AE151" s="349" t="str">
        <f>AF151&amp;TM[[#This Row],[Insurer Code]]&amp;"; "&amp;AG151&amp;TM[[#This Row],[Reporting Year]]&amp;"; "&amp;AH151&amp;TM[[#This Row],[Insurance Category Code]]&amp;"; "&amp;AI151&amp;TM[[#This Row],[Large Provider Entity Code]]</f>
        <v xml:space="preserve">Insurer Code ; Reporting Year ; Insurance Category Code ; Large Provider Entity Code </v>
      </c>
      <c r="AF151" s="345" t="s">
        <v>207</v>
      </c>
      <c r="AG151" s="345" t="s">
        <v>208</v>
      </c>
      <c r="AH151" s="345" t="s">
        <v>209</v>
      </c>
      <c r="AI151" s="345" t="s">
        <v>210</v>
      </c>
      <c r="AJ151" s="345"/>
      <c r="AK151" s="345"/>
      <c r="AL151" s="345"/>
      <c r="AM151" s="11"/>
      <c r="AN151" s="11"/>
      <c r="AO151" s="11"/>
    </row>
    <row r="152" spans="1:41" x14ac:dyDescent="0.25">
      <c r="A152" s="311"/>
      <c r="B152" s="324"/>
      <c r="C152" s="324"/>
      <c r="D152" s="324"/>
      <c r="E152" s="325"/>
      <c r="F152" s="336"/>
      <c r="G152" s="336"/>
      <c r="H152" s="336"/>
      <c r="I152" s="336"/>
      <c r="J152" s="336"/>
      <c r="K152" s="336"/>
      <c r="L152" s="336"/>
      <c r="M152" s="336"/>
      <c r="N152" s="336"/>
      <c r="O152" s="336"/>
      <c r="P152" s="336"/>
      <c r="Q152" s="336"/>
      <c r="R152" s="446"/>
      <c r="S152" s="336"/>
      <c r="T152" s="336"/>
      <c r="U152" s="314"/>
      <c r="V152" s="326">
        <v>23</v>
      </c>
      <c r="W152" s="447">
        <f t="shared" si="14"/>
        <v>0</v>
      </c>
      <c r="X152" s="447">
        <f t="shared" si="15"/>
        <v>0</v>
      </c>
      <c r="Y152" s="447">
        <f t="shared" si="16"/>
        <v>0</v>
      </c>
      <c r="Z152" s="447">
        <f t="shared" si="17"/>
        <v>0</v>
      </c>
      <c r="AA152" s="447">
        <f t="shared" si="18"/>
        <v>0</v>
      </c>
      <c r="AB152" s="447" t="e">
        <f t="shared" si="19"/>
        <v>#DIV/0!</v>
      </c>
      <c r="AC152" s="448" t="e">
        <f t="shared" si="20"/>
        <v>#DIV/0!</v>
      </c>
      <c r="AD152" s="11"/>
      <c r="AE152" s="349" t="str">
        <f>AF152&amp;TM[[#This Row],[Insurer Code]]&amp;"; "&amp;AG152&amp;TM[[#This Row],[Reporting Year]]&amp;"; "&amp;AH152&amp;TM[[#This Row],[Insurance Category Code]]&amp;"; "&amp;AI152&amp;TM[[#This Row],[Large Provider Entity Code]]</f>
        <v xml:space="preserve">Insurer Code ; Reporting Year ; Insurance Category Code ; Large Provider Entity Code </v>
      </c>
      <c r="AF152" s="345" t="s">
        <v>207</v>
      </c>
      <c r="AG152" s="345" t="s">
        <v>208</v>
      </c>
      <c r="AH152" s="345" t="s">
        <v>209</v>
      </c>
      <c r="AI152" s="345" t="s">
        <v>210</v>
      </c>
      <c r="AJ152" s="345"/>
      <c r="AK152" s="345"/>
      <c r="AL152" s="345"/>
      <c r="AM152" s="11"/>
      <c r="AN152" s="11"/>
      <c r="AO152" s="11"/>
    </row>
    <row r="153" spans="1:41" x14ac:dyDescent="0.25">
      <c r="A153" s="311"/>
      <c r="B153" s="324"/>
      <c r="C153" s="324"/>
      <c r="D153" s="324"/>
      <c r="E153" s="327"/>
      <c r="F153" s="336"/>
      <c r="G153" s="336"/>
      <c r="H153" s="336"/>
      <c r="I153" s="336"/>
      <c r="J153" s="336"/>
      <c r="K153" s="336"/>
      <c r="L153" s="336"/>
      <c r="M153" s="336"/>
      <c r="N153" s="336"/>
      <c r="O153" s="336"/>
      <c r="P153" s="336"/>
      <c r="Q153" s="336"/>
      <c r="R153" s="446"/>
      <c r="S153" s="336"/>
      <c r="T153" s="336"/>
      <c r="U153" s="314"/>
      <c r="V153" s="326">
        <v>35</v>
      </c>
      <c r="W153" s="447">
        <f t="shared" si="14"/>
        <v>0</v>
      </c>
      <c r="X153" s="447">
        <f t="shared" si="15"/>
        <v>0</v>
      </c>
      <c r="Y153" s="447">
        <f t="shared" si="16"/>
        <v>0</v>
      </c>
      <c r="Z153" s="447">
        <f t="shared" si="17"/>
        <v>0</v>
      </c>
      <c r="AA153" s="447">
        <f t="shared" si="18"/>
        <v>0</v>
      </c>
      <c r="AB153" s="447" t="e">
        <f t="shared" si="19"/>
        <v>#DIV/0!</v>
      </c>
      <c r="AC153" s="448" t="e">
        <f t="shared" si="20"/>
        <v>#DIV/0!</v>
      </c>
      <c r="AD153" s="11"/>
      <c r="AE153" s="349" t="str">
        <f>AF153&amp;TM[[#This Row],[Insurer Code]]&amp;"; "&amp;AG153&amp;TM[[#This Row],[Reporting Year]]&amp;"; "&amp;AH153&amp;TM[[#This Row],[Insurance Category Code]]&amp;"; "&amp;AI153&amp;TM[[#This Row],[Large Provider Entity Code]]</f>
        <v xml:space="preserve">Insurer Code ; Reporting Year ; Insurance Category Code ; Large Provider Entity Code </v>
      </c>
      <c r="AF153" s="345" t="s">
        <v>207</v>
      </c>
      <c r="AG153" s="345" t="s">
        <v>208</v>
      </c>
      <c r="AH153" s="345" t="s">
        <v>209</v>
      </c>
      <c r="AI153" s="345" t="s">
        <v>210</v>
      </c>
      <c r="AJ153" s="345"/>
      <c r="AK153" s="345"/>
      <c r="AL153" s="345"/>
      <c r="AM153" s="11"/>
      <c r="AN153" s="11"/>
      <c r="AO153" s="11"/>
    </row>
    <row r="154" spans="1:41" x14ac:dyDescent="0.25">
      <c r="A154" s="311"/>
      <c r="B154" s="321"/>
      <c r="C154" s="321"/>
      <c r="D154" s="321"/>
      <c r="E154" s="470"/>
      <c r="F154" s="442"/>
      <c r="G154" s="314"/>
      <c r="H154" s="314"/>
      <c r="I154" s="314"/>
      <c r="J154" s="314"/>
      <c r="K154" s="314"/>
      <c r="L154" s="314"/>
      <c r="M154" s="314"/>
      <c r="N154" s="314"/>
      <c r="O154" s="314"/>
      <c r="P154" s="314"/>
      <c r="Q154" s="314"/>
      <c r="R154" s="445"/>
      <c r="S154" s="314"/>
      <c r="T154" s="314"/>
      <c r="U154" s="314"/>
      <c r="V154" s="323">
        <v>0</v>
      </c>
      <c r="W154" s="447">
        <f t="shared" si="14"/>
        <v>0</v>
      </c>
      <c r="X154" s="447">
        <f t="shared" si="15"/>
        <v>0</v>
      </c>
      <c r="Y154" s="447">
        <f t="shared" si="16"/>
        <v>0</v>
      </c>
      <c r="Z154" s="447">
        <f t="shared" si="17"/>
        <v>0</v>
      </c>
      <c r="AA154" s="447">
        <f t="shared" si="18"/>
        <v>0</v>
      </c>
      <c r="AB154" s="447" t="e">
        <f t="shared" si="19"/>
        <v>#DIV/0!</v>
      </c>
      <c r="AC154" s="448" t="e">
        <f t="shared" si="20"/>
        <v>#DIV/0!</v>
      </c>
      <c r="AD154" s="11"/>
      <c r="AE154" s="349" t="str">
        <f>AF154&amp;TM[[#This Row],[Insurer Code]]&amp;"; "&amp;AG154&amp;TM[[#This Row],[Reporting Year]]&amp;"; "&amp;AH154&amp;TM[[#This Row],[Insurance Category Code]]&amp;"; "&amp;AI154&amp;TM[[#This Row],[Large Provider Entity Code]]</f>
        <v xml:space="preserve">Insurer Code ; Reporting Year ; Insurance Category Code ; Large Provider Entity Code </v>
      </c>
      <c r="AF154" s="345" t="s">
        <v>207</v>
      </c>
      <c r="AG154" s="345" t="s">
        <v>208</v>
      </c>
      <c r="AH154" s="345" t="s">
        <v>209</v>
      </c>
      <c r="AI154" s="345" t="s">
        <v>210</v>
      </c>
      <c r="AJ154" s="345"/>
      <c r="AK154" s="345"/>
      <c r="AL154" s="345"/>
      <c r="AM154" s="11"/>
      <c r="AN154" s="11"/>
      <c r="AO154" s="11"/>
    </row>
    <row r="155" spans="1:41" x14ac:dyDescent="0.25">
      <c r="A155" s="311"/>
      <c r="B155" s="321"/>
      <c r="C155" s="321"/>
      <c r="D155" s="321"/>
      <c r="E155" s="470"/>
      <c r="F155" s="442"/>
      <c r="G155" s="314"/>
      <c r="H155" s="314"/>
      <c r="I155" s="314"/>
      <c r="J155" s="314"/>
      <c r="K155" s="314"/>
      <c r="L155" s="314"/>
      <c r="M155" s="314"/>
      <c r="N155" s="314"/>
      <c r="O155" s="314"/>
      <c r="P155" s="314"/>
      <c r="Q155" s="314"/>
      <c r="R155" s="445"/>
      <c r="S155" s="314"/>
      <c r="T155" s="314"/>
      <c r="U155" s="314"/>
      <c r="V155" s="323">
        <v>26</v>
      </c>
      <c r="W155" s="447">
        <f t="shared" si="14"/>
        <v>0</v>
      </c>
      <c r="X155" s="447">
        <f t="shared" si="15"/>
        <v>0</v>
      </c>
      <c r="Y155" s="447">
        <f t="shared" si="16"/>
        <v>0</v>
      </c>
      <c r="Z155" s="447">
        <f t="shared" si="17"/>
        <v>0</v>
      </c>
      <c r="AA155" s="447">
        <f t="shared" si="18"/>
        <v>0</v>
      </c>
      <c r="AB155" s="447" t="e">
        <f t="shared" si="19"/>
        <v>#DIV/0!</v>
      </c>
      <c r="AC155" s="448" t="e">
        <f t="shared" si="20"/>
        <v>#DIV/0!</v>
      </c>
      <c r="AD155" s="11"/>
      <c r="AE155" s="349" t="str">
        <f>AF155&amp;TM[[#This Row],[Insurer Code]]&amp;"; "&amp;AG155&amp;TM[[#This Row],[Reporting Year]]&amp;"; "&amp;AH155&amp;TM[[#This Row],[Insurance Category Code]]&amp;"; "&amp;AI155&amp;TM[[#This Row],[Large Provider Entity Code]]</f>
        <v xml:space="preserve">Insurer Code ; Reporting Year ; Insurance Category Code ; Large Provider Entity Code </v>
      </c>
      <c r="AF155" s="345" t="s">
        <v>207</v>
      </c>
      <c r="AG155" s="345" t="s">
        <v>208</v>
      </c>
      <c r="AH155" s="345" t="s">
        <v>209</v>
      </c>
      <c r="AI155" s="345" t="s">
        <v>210</v>
      </c>
      <c r="AJ155" s="345"/>
      <c r="AK155" s="345"/>
      <c r="AL155" s="345"/>
      <c r="AM155" s="11"/>
      <c r="AN155" s="11"/>
      <c r="AO155" s="11"/>
    </row>
    <row r="156" spans="1:41" x14ac:dyDescent="0.25">
      <c r="A156" s="311"/>
      <c r="B156" s="321"/>
      <c r="C156" s="321"/>
      <c r="D156" s="321"/>
      <c r="E156" s="470"/>
      <c r="F156" s="442"/>
      <c r="G156" s="314"/>
      <c r="H156" s="314"/>
      <c r="I156" s="314"/>
      <c r="J156" s="314"/>
      <c r="K156" s="314"/>
      <c r="L156" s="314"/>
      <c r="M156" s="314"/>
      <c r="N156" s="314"/>
      <c r="O156" s="314"/>
      <c r="P156" s="314"/>
      <c r="Q156" s="314"/>
      <c r="R156" s="445"/>
      <c r="S156" s="314"/>
      <c r="T156" s="314"/>
      <c r="U156" s="314"/>
      <c r="V156" s="323">
        <v>12</v>
      </c>
      <c r="W156" s="447">
        <f t="shared" si="14"/>
        <v>0</v>
      </c>
      <c r="X156" s="447">
        <f t="shared" si="15"/>
        <v>0</v>
      </c>
      <c r="Y156" s="447">
        <f t="shared" si="16"/>
        <v>0</v>
      </c>
      <c r="Z156" s="447">
        <f t="shared" si="17"/>
        <v>0</v>
      </c>
      <c r="AA156" s="447">
        <f t="shared" si="18"/>
        <v>0</v>
      </c>
      <c r="AB156" s="447" t="e">
        <f t="shared" si="19"/>
        <v>#DIV/0!</v>
      </c>
      <c r="AC156" s="448" t="e">
        <f t="shared" si="20"/>
        <v>#DIV/0!</v>
      </c>
      <c r="AD156" s="11"/>
      <c r="AE156" s="349" t="str">
        <f>AF156&amp;TM[[#This Row],[Insurer Code]]&amp;"; "&amp;AG156&amp;TM[[#This Row],[Reporting Year]]&amp;"; "&amp;AH156&amp;TM[[#This Row],[Insurance Category Code]]&amp;"; "&amp;AI156&amp;TM[[#This Row],[Large Provider Entity Code]]</f>
        <v xml:space="preserve">Insurer Code ; Reporting Year ; Insurance Category Code ; Large Provider Entity Code </v>
      </c>
      <c r="AF156" s="345" t="s">
        <v>207</v>
      </c>
      <c r="AG156" s="345" t="s">
        <v>208</v>
      </c>
      <c r="AH156" s="345" t="s">
        <v>209</v>
      </c>
      <c r="AI156" s="345" t="s">
        <v>210</v>
      </c>
      <c r="AJ156" s="345"/>
      <c r="AK156" s="345"/>
      <c r="AL156" s="345"/>
      <c r="AM156" s="11"/>
      <c r="AN156" s="11"/>
      <c r="AO156" s="11"/>
    </row>
    <row r="157" spans="1:41" x14ac:dyDescent="0.25">
      <c r="A157" s="311"/>
      <c r="B157" s="321"/>
      <c r="C157" s="321"/>
      <c r="D157" s="321"/>
      <c r="E157" s="470"/>
      <c r="F157" s="442"/>
      <c r="G157" s="314"/>
      <c r="H157" s="314"/>
      <c r="I157" s="314"/>
      <c r="J157" s="314"/>
      <c r="K157" s="314"/>
      <c r="L157" s="314"/>
      <c r="M157" s="314"/>
      <c r="N157" s="314"/>
      <c r="O157" s="314"/>
      <c r="P157" s="314"/>
      <c r="Q157" s="314"/>
      <c r="R157" s="445"/>
      <c r="S157" s="314"/>
      <c r="T157" s="314"/>
      <c r="U157" s="314"/>
      <c r="V157" s="323">
        <v>0</v>
      </c>
      <c r="W157" s="451">
        <f t="shared" si="14"/>
        <v>0</v>
      </c>
      <c r="X157" s="451">
        <f t="shared" si="15"/>
        <v>0</v>
      </c>
      <c r="Y157" s="451">
        <f t="shared" si="16"/>
        <v>0</v>
      </c>
      <c r="Z157" s="451">
        <f t="shared" si="17"/>
        <v>0</v>
      </c>
      <c r="AA157" s="451">
        <f t="shared" si="18"/>
        <v>0</v>
      </c>
      <c r="AB157" s="451" t="e">
        <f t="shared" si="19"/>
        <v>#DIV/0!</v>
      </c>
      <c r="AC157" s="452" t="e">
        <f t="shared" si="20"/>
        <v>#DIV/0!</v>
      </c>
      <c r="AD157" s="11"/>
      <c r="AE157" s="349" t="str">
        <f>AF157&amp;TM[[#This Row],[Insurer Code]]&amp;"; "&amp;AG157&amp;TM[[#This Row],[Reporting Year]]&amp;"; "&amp;AH157&amp;TM[[#This Row],[Insurance Category Code]]&amp;"; "&amp;AI157&amp;TM[[#This Row],[Large Provider Entity Code]]</f>
        <v xml:space="preserve">Insurer Code ; Reporting Year ; Insurance Category Code ; Large Provider Entity Code </v>
      </c>
      <c r="AF157" s="345" t="s">
        <v>207</v>
      </c>
      <c r="AG157" s="345" t="s">
        <v>208</v>
      </c>
      <c r="AH157" s="345" t="s">
        <v>209</v>
      </c>
      <c r="AI157" s="345" t="s">
        <v>210</v>
      </c>
      <c r="AJ157" s="345"/>
      <c r="AK157" s="345"/>
      <c r="AL157" s="345"/>
      <c r="AM157" s="11"/>
      <c r="AN157" s="11"/>
      <c r="AO157" s="11"/>
    </row>
    <row r="158" spans="1:41" x14ac:dyDescent="0.25">
      <c r="A158" s="311"/>
      <c r="B158" s="321"/>
      <c r="C158" s="321"/>
      <c r="D158" s="321"/>
      <c r="E158" s="470"/>
      <c r="F158" s="442"/>
      <c r="G158" s="314"/>
      <c r="H158" s="314"/>
      <c r="I158" s="314"/>
      <c r="J158" s="314"/>
      <c r="K158" s="314"/>
      <c r="L158" s="314"/>
      <c r="M158" s="314"/>
      <c r="N158" s="314"/>
      <c r="O158" s="314"/>
      <c r="P158" s="314"/>
      <c r="Q158" s="314"/>
      <c r="R158" s="445"/>
      <c r="S158" s="314"/>
      <c r="T158" s="314"/>
      <c r="U158" s="314"/>
      <c r="V158" s="323">
        <v>37</v>
      </c>
      <c r="W158" s="451">
        <f t="shared" si="14"/>
        <v>0</v>
      </c>
      <c r="X158" s="451">
        <f t="shared" si="15"/>
        <v>0</v>
      </c>
      <c r="Y158" s="451">
        <f t="shared" si="16"/>
        <v>0</v>
      </c>
      <c r="Z158" s="451">
        <f t="shared" si="17"/>
        <v>0</v>
      </c>
      <c r="AA158" s="451">
        <f t="shared" si="18"/>
        <v>0</v>
      </c>
      <c r="AB158" s="451" t="e">
        <f t="shared" si="19"/>
        <v>#DIV/0!</v>
      </c>
      <c r="AC158" s="452" t="e">
        <f t="shared" si="20"/>
        <v>#DIV/0!</v>
      </c>
      <c r="AD158" s="11"/>
      <c r="AE158" s="349" t="str">
        <f>AF158&amp;TM[[#This Row],[Insurer Code]]&amp;"; "&amp;AG158&amp;TM[[#This Row],[Reporting Year]]&amp;"; "&amp;AH158&amp;TM[[#This Row],[Insurance Category Code]]&amp;"; "&amp;AI158&amp;TM[[#This Row],[Large Provider Entity Code]]</f>
        <v xml:space="preserve">Insurer Code ; Reporting Year ; Insurance Category Code ; Large Provider Entity Code </v>
      </c>
      <c r="AF158" s="345" t="s">
        <v>207</v>
      </c>
      <c r="AG158" s="345" t="s">
        <v>208</v>
      </c>
      <c r="AH158" s="345" t="s">
        <v>209</v>
      </c>
      <c r="AI158" s="345" t="s">
        <v>210</v>
      </c>
      <c r="AJ158" s="345"/>
      <c r="AK158" s="345"/>
      <c r="AL158" s="345"/>
      <c r="AM158" s="11"/>
      <c r="AN158" s="11"/>
      <c r="AO158" s="11"/>
    </row>
    <row r="159" spans="1:41" x14ac:dyDescent="0.25">
      <c r="A159" s="311"/>
      <c r="B159" s="321"/>
      <c r="C159" s="321"/>
      <c r="D159" s="321"/>
      <c r="E159" s="470"/>
      <c r="F159" s="442"/>
      <c r="G159" s="314"/>
      <c r="H159" s="314"/>
      <c r="I159" s="314"/>
      <c r="J159" s="314"/>
      <c r="K159" s="314"/>
      <c r="L159" s="314"/>
      <c r="M159" s="314"/>
      <c r="N159" s="314"/>
      <c r="O159" s="314"/>
      <c r="P159" s="314"/>
      <c r="Q159" s="314"/>
      <c r="R159" s="445"/>
      <c r="S159" s="314"/>
      <c r="T159" s="314"/>
      <c r="U159" s="314"/>
      <c r="V159" s="323">
        <v>2</v>
      </c>
      <c r="W159" s="451">
        <f t="shared" si="14"/>
        <v>0</v>
      </c>
      <c r="X159" s="451">
        <f t="shared" si="15"/>
        <v>0</v>
      </c>
      <c r="Y159" s="451">
        <f t="shared" si="16"/>
        <v>0</v>
      </c>
      <c r="Z159" s="451">
        <f t="shared" si="17"/>
        <v>0</v>
      </c>
      <c r="AA159" s="451">
        <f t="shared" si="18"/>
        <v>0</v>
      </c>
      <c r="AB159" s="451" t="e">
        <f t="shared" si="19"/>
        <v>#DIV/0!</v>
      </c>
      <c r="AC159" s="452" t="e">
        <f t="shared" si="20"/>
        <v>#DIV/0!</v>
      </c>
      <c r="AD159" s="11"/>
      <c r="AE159" s="349" t="str">
        <f>AF159&amp;TM[[#This Row],[Insurer Code]]&amp;"; "&amp;AG159&amp;TM[[#This Row],[Reporting Year]]&amp;"; "&amp;AH159&amp;TM[[#This Row],[Insurance Category Code]]&amp;"; "&amp;AI159&amp;TM[[#This Row],[Large Provider Entity Code]]</f>
        <v xml:space="preserve">Insurer Code ; Reporting Year ; Insurance Category Code ; Large Provider Entity Code </v>
      </c>
      <c r="AF159" s="345" t="s">
        <v>207</v>
      </c>
      <c r="AG159" s="345" t="s">
        <v>208</v>
      </c>
      <c r="AH159" s="345" t="s">
        <v>209</v>
      </c>
      <c r="AI159" s="345" t="s">
        <v>210</v>
      </c>
      <c r="AJ159" s="345"/>
      <c r="AK159" s="345"/>
      <c r="AL159" s="345"/>
      <c r="AM159" s="11"/>
      <c r="AN159" s="11"/>
      <c r="AO159" s="11"/>
    </row>
    <row r="160" spans="1:41" x14ac:dyDescent="0.25">
      <c r="A160" s="311"/>
      <c r="B160" s="321"/>
      <c r="C160" s="321"/>
      <c r="D160" s="321"/>
      <c r="E160" s="322"/>
      <c r="F160" s="314"/>
      <c r="G160" s="314"/>
      <c r="H160" s="314"/>
      <c r="I160" s="314"/>
      <c r="J160" s="314"/>
      <c r="K160" s="314"/>
      <c r="L160" s="314"/>
      <c r="M160" s="314"/>
      <c r="N160" s="314"/>
      <c r="O160" s="314"/>
      <c r="P160" s="314"/>
      <c r="Q160" s="314"/>
      <c r="R160" s="445"/>
      <c r="S160" s="314"/>
      <c r="T160" s="314"/>
      <c r="U160" s="314"/>
      <c r="V160" s="323">
        <v>1</v>
      </c>
      <c r="W160" s="447">
        <f t="shared" si="14"/>
        <v>0</v>
      </c>
      <c r="X160" s="447">
        <f t="shared" si="15"/>
        <v>0</v>
      </c>
      <c r="Y160" s="447">
        <f t="shared" si="16"/>
        <v>0</v>
      </c>
      <c r="Z160" s="447">
        <f t="shared" si="17"/>
        <v>0</v>
      </c>
      <c r="AA160" s="447">
        <f t="shared" si="18"/>
        <v>0</v>
      </c>
      <c r="AB160" s="447" t="e">
        <f t="shared" si="19"/>
        <v>#DIV/0!</v>
      </c>
      <c r="AC160" s="448" t="e">
        <f t="shared" si="20"/>
        <v>#DIV/0!</v>
      </c>
      <c r="AD160" s="11"/>
      <c r="AE160" s="349" t="str">
        <f>AF160&amp;TM[[#This Row],[Insurer Code]]&amp;"; "&amp;AG160&amp;TM[[#This Row],[Reporting Year]]&amp;"; "&amp;AH160&amp;TM[[#This Row],[Insurance Category Code]]&amp;"; "&amp;AI160&amp;TM[[#This Row],[Large Provider Entity Code]]</f>
        <v xml:space="preserve">Insurer Code ; Reporting Year ; Insurance Category Code ; Large Provider Entity Code </v>
      </c>
      <c r="AF160" s="345" t="s">
        <v>207</v>
      </c>
      <c r="AG160" s="345" t="s">
        <v>208</v>
      </c>
      <c r="AH160" s="345" t="s">
        <v>209</v>
      </c>
      <c r="AI160" s="345" t="s">
        <v>210</v>
      </c>
      <c r="AJ160" s="345"/>
      <c r="AK160" s="345"/>
      <c r="AL160" s="345"/>
      <c r="AM160" s="11"/>
      <c r="AN160" s="11"/>
      <c r="AO160" s="11"/>
    </row>
    <row r="161" spans="1:41" x14ac:dyDescent="0.25">
      <c r="A161" s="311"/>
      <c r="B161" s="324"/>
      <c r="C161" s="324"/>
      <c r="D161" s="324"/>
      <c r="E161" s="325"/>
      <c r="F161" s="336"/>
      <c r="G161" s="336"/>
      <c r="H161" s="336"/>
      <c r="I161" s="336"/>
      <c r="J161" s="336"/>
      <c r="K161" s="336"/>
      <c r="L161" s="336"/>
      <c r="M161" s="336"/>
      <c r="N161" s="336"/>
      <c r="O161" s="336"/>
      <c r="P161" s="336"/>
      <c r="Q161" s="336"/>
      <c r="R161" s="446"/>
      <c r="S161" s="336"/>
      <c r="T161" s="336"/>
      <c r="U161" s="314"/>
      <c r="V161" s="326">
        <v>10</v>
      </c>
      <c r="W161" s="447">
        <f t="shared" si="14"/>
        <v>0</v>
      </c>
      <c r="X161" s="447">
        <f t="shared" si="15"/>
        <v>0</v>
      </c>
      <c r="Y161" s="447">
        <f t="shared" si="16"/>
        <v>0</v>
      </c>
      <c r="Z161" s="447">
        <f t="shared" si="17"/>
        <v>0</v>
      </c>
      <c r="AA161" s="447">
        <f t="shared" si="18"/>
        <v>0</v>
      </c>
      <c r="AB161" s="447" t="e">
        <f t="shared" si="19"/>
        <v>#DIV/0!</v>
      </c>
      <c r="AC161" s="448" t="e">
        <f t="shared" si="20"/>
        <v>#DIV/0!</v>
      </c>
      <c r="AD161" s="11"/>
      <c r="AE161" s="349" t="str">
        <f>AF161&amp;TM[[#This Row],[Insurer Code]]&amp;"; "&amp;AG161&amp;TM[[#This Row],[Reporting Year]]&amp;"; "&amp;AH161&amp;TM[[#This Row],[Insurance Category Code]]&amp;"; "&amp;AI161&amp;TM[[#This Row],[Large Provider Entity Code]]</f>
        <v xml:space="preserve">Insurer Code ; Reporting Year ; Insurance Category Code ; Large Provider Entity Code </v>
      </c>
      <c r="AF161" s="345" t="s">
        <v>207</v>
      </c>
      <c r="AG161" s="345" t="s">
        <v>208</v>
      </c>
      <c r="AH161" s="345" t="s">
        <v>209</v>
      </c>
      <c r="AI161" s="345" t="s">
        <v>210</v>
      </c>
      <c r="AJ161" s="345"/>
      <c r="AK161" s="345"/>
      <c r="AL161" s="345"/>
      <c r="AM161" s="11"/>
      <c r="AN161" s="11"/>
      <c r="AO161" s="11"/>
    </row>
    <row r="162" spans="1:41" x14ac:dyDescent="0.25">
      <c r="A162" s="311"/>
      <c r="B162" s="324"/>
      <c r="C162" s="324"/>
      <c r="D162" s="324"/>
      <c r="E162" s="325"/>
      <c r="F162" s="336"/>
      <c r="G162" s="336"/>
      <c r="H162" s="336"/>
      <c r="I162" s="336"/>
      <c r="J162" s="336"/>
      <c r="K162" s="336"/>
      <c r="L162" s="336"/>
      <c r="M162" s="336"/>
      <c r="N162" s="336"/>
      <c r="O162" s="336"/>
      <c r="P162" s="336"/>
      <c r="Q162" s="336"/>
      <c r="R162" s="446"/>
      <c r="S162" s="336"/>
      <c r="T162" s="336"/>
      <c r="U162" s="314"/>
      <c r="V162" s="326">
        <v>2</v>
      </c>
      <c r="W162" s="447">
        <f t="shared" si="14"/>
        <v>0</v>
      </c>
      <c r="X162" s="447">
        <f t="shared" si="15"/>
        <v>0</v>
      </c>
      <c r="Y162" s="447">
        <f t="shared" si="16"/>
        <v>0</v>
      </c>
      <c r="Z162" s="447">
        <f t="shared" si="17"/>
        <v>0</v>
      </c>
      <c r="AA162" s="447">
        <f t="shared" si="18"/>
        <v>0</v>
      </c>
      <c r="AB162" s="447" t="e">
        <f t="shared" si="19"/>
        <v>#DIV/0!</v>
      </c>
      <c r="AC162" s="448" t="e">
        <f t="shared" si="20"/>
        <v>#DIV/0!</v>
      </c>
      <c r="AD162" s="11"/>
      <c r="AE162" s="349" t="str">
        <f>AF162&amp;TM[[#This Row],[Insurer Code]]&amp;"; "&amp;AG162&amp;TM[[#This Row],[Reporting Year]]&amp;"; "&amp;AH162&amp;TM[[#This Row],[Insurance Category Code]]&amp;"; "&amp;AI162&amp;TM[[#This Row],[Large Provider Entity Code]]</f>
        <v xml:space="preserve">Insurer Code ; Reporting Year ; Insurance Category Code ; Large Provider Entity Code </v>
      </c>
      <c r="AF162" s="345" t="s">
        <v>207</v>
      </c>
      <c r="AG162" s="345" t="s">
        <v>208</v>
      </c>
      <c r="AH162" s="345" t="s">
        <v>209</v>
      </c>
      <c r="AI162" s="345" t="s">
        <v>210</v>
      </c>
      <c r="AJ162" s="345"/>
      <c r="AK162" s="345"/>
      <c r="AL162" s="345"/>
      <c r="AM162" s="11"/>
      <c r="AN162" s="11"/>
      <c r="AO162" s="11"/>
    </row>
    <row r="163" spans="1:41" x14ac:dyDescent="0.25">
      <c r="A163" s="311"/>
      <c r="B163" s="321"/>
      <c r="C163" s="321"/>
      <c r="D163" s="321"/>
      <c r="E163" s="322"/>
      <c r="F163" s="314"/>
      <c r="G163" s="314"/>
      <c r="H163" s="314"/>
      <c r="I163" s="314"/>
      <c r="J163" s="314"/>
      <c r="K163" s="314"/>
      <c r="L163" s="314"/>
      <c r="M163" s="314"/>
      <c r="N163" s="314"/>
      <c r="O163" s="314"/>
      <c r="P163" s="314"/>
      <c r="Q163" s="314"/>
      <c r="R163" s="445"/>
      <c r="S163" s="314"/>
      <c r="T163" s="314"/>
      <c r="U163" s="314"/>
      <c r="V163" s="323">
        <v>0</v>
      </c>
      <c r="W163" s="447">
        <f t="shared" si="14"/>
        <v>0</v>
      </c>
      <c r="X163" s="447">
        <f t="shared" si="15"/>
        <v>0</v>
      </c>
      <c r="Y163" s="447">
        <f t="shared" si="16"/>
        <v>0</v>
      </c>
      <c r="Z163" s="447">
        <f t="shared" si="17"/>
        <v>0</v>
      </c>
      <c r="AA163" s="447">
        <f t="shared" si="18"/>
        <v>0</v>
      </c>
      <c r="AB163" s="447" t="e">
        <f t="shared" si="19"/>
        <v>#DIV/0!</v>
      </c>
      <c r="AC163" s="448" t="e">
        <f t="shared" si="20"/>
        <v>#DIV/0!</v>
      </c>
      <c r="AD163" s="11"/>
      <c r="AE163" s="349" t="str">
        <f>AF163&amp;TM[[#This Row],[Insurer Code]]&amp;"; "&amp;AG163&amp;TM[[#This Row],[Reporting Year]]&amp;"; "&amp;AH163&amp;TM[[#This Row],[Insurance Category Code]]&amp;"; "&amp;AI163&amp;TM[[#This Row],[Large Provider Entity Code]]</f>
        <v xml:space="preserve">Insurer Code ; Reporting Year ; Insurance Category Code ; Large Provider Entity Code </v>
      </c>
      <c r="AF163" s="345" t="s">
        <v>207</v>
      </c>
      <c r="AG163" s="345" t="s">
        <v>208</v>
      </c>
      <c r="AH163" s="345" t="s">
        <v>209</v>
      </c>
      <c r="AI163" s="345" t="s">
        <v>210</v>
      </c>
      <c r="AJ163" s="345"/>
      <c r="AK163" s="345"/>
      <c r="AL163" s="345"/>
      <c r="AM163" s="11"/>
      <c r="AN163" s="11"/>
      <c r="AO163" s="11"/>
    </row>
    <row r="164" spans="1:41" x14ac:dyDescent="0.25">
      <c r="A164" s="311"/>
      <c r="B164" s="324"/>
      <c r="C164" s="324"/>
      <c r="D164" s="324"/>
      <c r="E164" s="327"/>
      <c r="F164" s="336"/>
      <c r="G164" s="336"/>
      <c r="H164" s="336"/>
      <c r="I164" s="336"/>
      <c r="J164" s="336"/>
      <c r="K164" s="336"/>
      <c r="L164" s="336"/>
      <c r="M164" s="336"/>
      <c r="N164" s="336"/>
      <c r="O164" s="336"/>
      <c r="P164" s="336"/>
      <c r="Q164" s="336"/>
      <c r="R164" s="446"/>
      <c r="S164" s="336"/>
      <c r="T164" s="336"/>
      <c r="U164" s="314"/>
      <c r="V164" s="326">
        <v>3</v>
      </c>
      <c r="W164" s="447">
        <f t="shared" si="14"/>
        <v>0</v>
      </c>
      <c r="X164" s="447">
        <f t="shared" si="15"/>
        <v>0</v>
      </c>
      <c r="Y164" s="447">
        <f t="shared" si="16"/>
        <v>0</v>
      </c>
      <c r="Z164" s="447">
        <f t="shared" si="17"/>
        <v>0</v>
      </c>
      <c r="AA164" s="447">
        <f t="shared" si="18"/>
        <v>0</v>
      </c>
      <c r="AB164" s="447" t="e">
        <f t="shared" si="19"/>
        <v>#DIV/0!</v>
      </c>
      <c r="AC164" s="448" t="e">
        <f t="shared" si="20"/>
        <v>#DIV/0!</v>
      </c>
      <c r="AD164" s="11"/>
      <c r="AE164" s="349" t="str">
        <f>AF164&amp;TM[[#This Row],[Insurer Code]]&amp;"; "&amp;AG164&amp;TM[[#This Row],[Reporting Year]]&amp;"; "&amp;AH164&amp;TM[[#This Row],[Insurance Category Code]]&amp;"; "&amp;AI164&amp;TM[[#This Row],[Large Provider Entity Code]]</f>
        <v xml:space="preserve">Insurer Code ; Reporting Year ; Insurance Category Code ; Large Provider Entity Code </v>
      </c>
      <c r="AF164" s="345" t="s">
        <v>207</v>
      </c>
      <c r="AG164" s="345" t="s">
        <v>208</v>
      </c>
      <c r="AH164" s="345" t="s">
        <v>209</v>
      </c>
      <c r="AI164" s="345" t="s">
        <v>210</v>
      </c>
      <c r="AJ164" s="345"/>
      <c r="AK164" s="345"/>
      <c r="AL164" s="345"/>
      <c r="AM164" s="11"/>
      <c r="AN164" s="11"/>
      <c r="AO164" s="11"/>
    </row>
    <row r="165" spans="1:41" x14ac:dyDescent="0.25">
      <c r="A165" s="311"/>
      <c r="B165" s="324"/>
      <c r="C165" s="324"/>
      <c r="D165" s="324"/>
      <c r="E165" s="327"/>
      <c r="F165" s="336"/>
      <c r="G165" s="336"/>
      <c r="H165" s="336"/>
      <c r="I165" s="336"/>
      <c r="J165" s="336"/>
      <c r="K165" s="336"/>
      <c r="L165" s="336"/>
      <c r="M165" s="336"/>
      <c r="N165" s="336"/>
      <c r="O165" s="336"/>
      <c r="P165" s="336"/>
      <c r="Q165" s="336"/>
      <c r="R165" s="446"/>
      <c r="S165" s="336"/>
      <c r="T165" s="336"/>
      <c r="U165" s="314"/>
      <c r="V165" s="326">
        <v>0</v>
      </c>
      <c r="W165" s="447">
        <f t="shared" si="14"/>
        <v>0</v>
      </c>
      <c r="X165" s="447">
        <f t="shared" si="15"/>
        <v>0</v>
      </c>
      <c r="Y165" s="447">
        <f t="shared" si="16"/>
        <v>0</v>
      </c>
      <c r="Z165" s="447">
        <f t="shared" si="17"/>
        <v>0</v>
      </c>
      <c r="AA165" s="447">
        <f t="shared" si="18"/>
        <v>0</v>
      </c>
      <c r="AB165" s="447" t="e">
        <f t="shared" si="19"/>
        <v>#DIV/0!</v>
      </c>
      <c r="AC165" s="448" t="e">
        <f t="shared" si="20"/>
        <v>#DIV/0!</v>
      </c>
      <c r="AD165" s="11"/>
      <c r="AE165" s="349" t="str">
        <f>AF165&amp;TM[[#This Row],[Insurer Code]]&amp;"; "&amp;AG165&amp;TM[[#This Row],[Reporting Year]]&amp;"; "&amp;AH165&amp;TM[[#This Row],[Insurance Category Code]]&amp;"; "&amp;AI165&amp;TM[[#This Row],[Large Provider Entity Code]]</f>
        <v xml:space="preserve">Insurer Code ; Reporting Year ; Insurance Category Code ; Large Provider Entity Code </v>
      </c>
      <c r="AF165" s="345" t="s">
        <v>207</v>
      </c>
      <c r="AG165" s="345" t="s">
        <v>208</v>
      </c>
      <c r="AH165" s="345" t="s">
        <v>209</v>
      </c>
      <c r="AI165" s="345" t="s">
        <v>210</v>
      </c>
      <c r="AJ165" s="345"/>
      <c r="AK165" s="345"/>
      <c r="AL165" s="345"/>
      <c r="AM165" s="11"/>
      <c r="AN165" s="11"/>
      <c r="AO165" s="11"/>
    </row>
    <row r="166" spans="1:41" x14ac:dyDescent="0.25">
      <c r="A166" s="311"/>
      <c r="B166" s="324"/>
      <c r="C166" s="324"/>
      <c r="D166" s="324"/>
      <c r="E166" s="327"/>
      <c r="F166" s="336"/>
      <c r="G166" s="336"/>
      <c r="H166" s="336"/>
      <c r="I166" s="336"/>
      <c r="J166" s="336"/>
      <c r="K166" s="336"/>
      <c r="L166" s="336"/>
      <c r="M166" s="336"/>
      <c r="N166" s="336"/>
      <c r="O166" s="336"/>
      <c r="P166" s="336"/>
      <c r="Q166" s="336"/>
      <c r="R166" s="446"/>
      <c r="S166" s="336"/>
      <c r="T166" s="336"/>
      <c r="U166" s="314"/>
      <c r="V166" s="326">
        <v>1</v>
      </c>
      <c r="W166" s="447">
        <f t="shared" si="14"/>
        <v>0</v>
      </c>
      <c r="X166" s="447">
        <f t="shared" si="15"/>
        <v>0</v>
      </c>
      <c r="Y166" s="447">
        <f t="shared" si="16"/>
        <v>0</v>
      </c>
      <c r="Z166" s="447">
        <f t="shared" si="17"/>
        <v>0</v>
      </c>
      <c r="AA166" s="447">
        <f t="shared" si="18"/>
        <v>0</v>
      </c>
      <c r="AB166" s="447" t="e">
        <f t="shared" si="19"/>
        <v>#DIV/0!</v>
      </c>
      <c r="AC166" s="448" t="e">
        <f t="shared" si="20"/>
        <v>#DIV/0!</v>
      </c>
      <c r="AD166" s="11"/>
      <c r="AE166" s="349" t="str">
        <f>AF166&amp;TM[[#This Row],[Insurer Code]]&amp;"; "&amp;AG166&amp;TM[[#This Row],[Reporting Year]]&amp;"; "&amp;AH166&amp;TM[[#This Row],[Insurance Category Code]]&amp;"; "&amp;AI166&amp;TM[[#This Row],[Large Provider Entity Code]]</f>
        <v xml:space="preserve">Insurer Code ; Reporting Year ; Insurance Category Code ; Large Provider Entity Code </v>
      </c>
      <c r="AF166" s="345" t="s">
        <v>207</v>
      </c>
      <c r="AG166" s="345" t="s">
        <v>208</v>
      </c>
      <c r="AH166" s="345" t="s">
        <v>209</v>
      </c>
      <c r="AI166" s="345" t="s">
        <v>210</v>
      </c>
      <c r="AJ166" s="345"/>
      <c r="AK166" s="345"/>
      <c r="AL166" s="345"/>
      <c r="AM166" s="11"/>
      <c r="AN166" s="11"/>
      <c r="AO166" s="11"/>
    </row>
    <row r="167" spans="1:41" x14ac:dyDescent="0.25">
      <c r="A167" s="311"/>
      <c r="B167" s="324"/>
      <c r="C167" s="324"/>
      <c r="D167" s="324"/>
      <c r="E167" s="327"/>
      <c r="F167" s="336"/>
      <c r="G167" s="336"/>
      <c r="H167" s="336"/>
      <c r="I167" s="336"/>
      <c r="J167" s="336"/>
      <c r="K167" s="336"/>
      <c r="L167" s="336"/>
      <c r="M167" s="336"/>
      <c r="N167" s="336"/>
      <c r="O167" s="336"/>
      <c r="P167" s="336"/>
      <c r="Q167" s="336"/>
      <c r="R167" s="446"/>
      <c r="S167" s="336"/>
      <c r="T167" s="336"/>
      <c r="U167" s="314"/>
      <c r="V167" s="326">
        <v>5</v>
      </c>
      <c r="W167" s="447">
        <f t="shared" si="14"/>
        <v>0</v>
      </c>
      <c r="X167" s="447">
        <f t="shared" si="15"/>
        <v>0</v>
      </c>
      <c r="Y167" s="447">
        <f t="shared" si="16"/>
        <v>0</v>
      </c>
      <c r="Z167" s="447">
        <f t="shared" si="17"/>
        <v>0</v>
      </c>
      <c r="AA167" s="447">
        <f t="shared" si="18"/>
        <v>0</v>
      </c>
      <c r="AB167" s="447" t="e">
        <f t="shared" si="19"/>
        <v>#DIV/0!</v>
      </c>
      <c r="AC167" s="448" t="e">
        <f t="shared" si="20"/>
        <v>#DIV/0!</v>
      </c>
      <c r="AD167" s="11"/>
      <c r="AE167" s="349" t="str">
        <f>AF167&amp;TM[[#This Row],[Insurer Code]]&amp;"; "&amp;AG167&amp;TM[[#This Row],[Reporting Year]]&amp;"; "&amp;AH167&amp;TM[[#This Row],[Insurance Category Code]]&amp;"; "&amp;AI167&amp;TM[[#This Row],[Large Provider Entity Code]]</f>
        <v xml:space="preserve">Insurer Code ; Reporting Year ; Insurance Category Code ; Large Provider Entity Code </v>
      </c>
      <c r="AF167" s="345" t="s">
        <v>207</v>
      </c>
      <c r="AG167" s="345" t="s">
        <v>208</v>
      </c>
      <c r="AH167" s="345" t="s">
        <v>209</v>
      </c>
      <c r="AI167" s="345" t="s">
        <v>210</v>
      </c>
      <c r="AJ167" s="345"/>
      <c r="AK167" s="345"/>
      <c r="AL167" s="345"/>
      <c r="AM167" s="11"/>
      <c r="AN167" s="11"/>
      <c r="AO167" s="11"/>
    </row>
    <row r="168" spans="1:41" x14ac:dyDescent="0.25">
      <c r="A168" s="311"/>
      <c r="B168" s="324"/>
      <c r="C168" s="324"/>
      <c r="D168" s="324"/>
      <c r="E168" s="327"/>
      <c r="F168" s="336"/>
      <c r="G168" s="336"/>
      <c r="H168" s="336"/>
      <c r="I168" s="336"/>
      <c r="J168" s="336"/>
      <c r="K168" s="336"/>
      <c r="L168" s="336"/>
      <c r="M168" s="336"/>
      <c r="N168" s="336"/>
      <c r="O168" s="336"/>
      <c r="P168" s="336"/>
      <c r="Q168" s="336"/>
      <c r="R168" s="446"/>
      <c r="S168" s="336"/>
      <c r="T168" s="336"/>
      <c r="U168" s="314"/>
      <c r="V168" s="326">
        <v>1</v>
      </c>
      <c r="W168" s="447">
        <f t="shared" si="14"/>
        <v>0</v>
      </c>
      <c r="X168" s="447">
        <f t="shared" si="15"/>
        <v>0</v>
      </c>
      <c r="Y168" s="447">
        <f t="shared" si="16"/>
        <v>0</v>
      </c>
      <c r="Z168" s="447">
        <f t="shared" si="17"/>
        <v>0</v>
      </c>
      <c r="AA168" s="447">
        <f t="shared" si="18"/>
        <v>0</v>
      </c>
      <c r="AB168" s="447" t="e">
        <f t="shared" si="19"/>
        <v>#DIV/0!</v>
      </c>
      <c r="AC168" s="448" t="e">
        <f t="shared" si="20"/>
        <v>#DIV/0!</v>
      </c>
      <c r="AD168" s="11"/>
      <c r="AE168" s="349" t="str">
        <f>AF168&amp;TM[[#This Row],[Insurer Code]]&amp;"; "&amp;AG168&amp;TM[[#This Row],[Reporting Year]]&amp;"; "&amp;AH168&amp;TM[[#This Row],[Insurance Category Code]]&amp;"; "&amp;AI168&amp;TM[[#This Row],[Large Provider Entity Code]]</f>
        <v xml:space="preserve">Insurer Code ; Reporting Year ; Insurance Category Code ; Large Provider Entity Code </v>
      </c>
      <c r="AF168" s="345" t="s">
        <v>207</v>
      </c>
      <c r="AG168" s="345" t="s">
        <v>208</v>
      </c>
      <c r="AH168" s="345" t="s">
        <v>209</v>
      </c>
      <c r="AI168" s="345" t="s">
        <v>210</v>
      </c>
      <c r="AJ168" s="345"/>
      <c r="AK168" s="345"/>
      <c r="AL168" s="345"/>
      <c r="AM168" s="11"/>
      <c r="AN168" s="11"/>
      <c r="AO168" s="11"/>
    </row>
    <row r="169" spans="1:41" x14ac:dyDescent="0.25">
      <c r="A169" s="311"/>
      <c r="B169" s="324"/>
      <c r="C169" s="324"/>
      <c r="D169" s="324"/>
      <c r="E169" s="325"/>
      <c r="F169" s="336"/>
      <c r="G169" s="336"/>
      <c r="H169" s="336"/>
      <c r="I169" s="336"/>
      <c r="J169" s="336"/>
      <c r="K169" s="336"/>
      <c r="L169" s="336"/>
      <c r="M169" s="336"/>
      <c r="N169" s="336"/>
      <c r="O169" s="336"/>
      <c r="P169" s="336"/>
      <c r="Q169" s="336"/>
      <c r="R169" s="446"/>
      <c r="S169" s="336"/>
      <c r="T169" s="336"/>
      <c r="U169" s="314"/>
      <c r="V169" s="326">
        <v>0</v>
      </c>
      <c r="W169" s="447">
        <f t="shared" si="14"/>
        <v>0</v>
      </c>
      <c r="X169" s="447">
        <f t="shared" si="15"/>
        <v>0</v>
      </c>
      <c r="Y169" s="447">
        <f t="shared" si="16"/>
        <v>0</v>
      </c>
      <c r="Z169" s="447">
        <f t="shared" si="17"/>
        <v>0</v>
      </c>
      <c r="AA169" s="447">
        <f t="shared" si="18"/>
        <v>0</v>
      </c>
      <c r="AB169" s="447" t="e">
        <f t="shared" si="19"/>
        <v>#DIV/0!</v>
      </c>
      <c r="AC169" s="448" t="e">
        <f t="shared" si="20"/>
        <v>#DIV/0!</v>
      </c>
      <c r="AD169" s="11"/>
      <c r="AE169" s="349" t="str">
        <f>AF169&amp;TM[[#This Row],[Insurer Code]]&amp;"; "&amp;AG169&amp;TM[[#This Row],[Reporting Year]]&amp;"; "&amp;AH169&amp;TM[[#This Row],[Insurance Category Code]]&amp;"; "&amp;AI169&amp;TM[[#This Row],[Large Provider Entity Code]]</f>
        <v xml:space="preserve">Insurer Code ; Reporting Year ; Insurance Category Code ; Large Provider Entity Code </v>
      </c>
      <c r="AF169" s="345" t="s">
        <v>207</v>
      </c>
      <c r="AG169" s="345" t="s">
        <v>208</v>
      </c>
      <c r="AH169" s="345" t="s">
        <v>209</v>
      </c>
      <c r="AI169" s="345" t="s">
        <v>210</v>
      </c>
      <c r="AJ169" s="345"/>
      <c r="AK169" s="345"/>
      <c r="AL169" s="345"/>
      <c r="AM169" s="11"/>
      <c r="AN169" s="11"/>
      <c r="AO169" s="11"/>
    </row>
    <row r="170" spans="1:41" x14ac:dyDescent="0.25">
      <c r="A170" s="311"/>
      <c r="B170" s="324"/>
      <c r="C170" s="324"/>
      <c r="D170" s="324"/>
      <c r="E170" s="325"/>
      <c r="F170" s="336"/>
      <c r="G170" s="336"/>
      <c r="H170" s="336"/>
      <c r="I170" s="336"/>
      <c r="J170" s="336"/>
      <c r="K170" s="336"/>
      <c r="L170" s="336"/>
      <c r="M170" s="336"/>
      <c r="N170" s="336"/>
      <c r="O170" s="336"/>
      <c r="P170" s="336"/>
      <c r="Q170" s="336"/>
      <c r="R170" s="446"/>
      <c r="S170" s="336"/>
      <c r="T170" s="336"/>
      <c r="U170" s="314"/>
      <c r="V170" s="326">
        <v>9</v>
      </c>
      <c r="W170" s="447">
        <f t="shared" si="14"/>
        <v>0</v>
      </c>
      <c r="X170" s="447">
        <f t="shared" si="15"/>
        <v>0</v>
      </c>
      <c r="Y170" s="447">
        <f t="shared" si="16"/>
        <v>0</v>
      </c>
      <c r="Z170" s="447">
        <f t="shared" si="17"/>
        <v>0</v>
      </c>
      <c r="AA170" s="447">
        <f t="shared" si="18"/>
        <v>0</v>
      </c>
      <c r="AB170" s="447" t="e">
        <f t="shared" si="19"/>
        <v>#DIV/0!</v>
      </c>
      <c r="AC170" s="448" t="e">
        <f t="shared" si="20"/>
        <v>#DIV/0!</v>
      </c>
      <c r="AD170" s="11"/>
      <c r="AE170" s="349" t="str">
        <f>AF170&amp;TM[[#This Row],[Insurer Code]]&amp;"; "&amp;AG170&amp;TM[[#This Row],[Reporting Year]]&amp;"; "&amp;AH170&amp;TM[[#This Row],[Insurance Category Code]]&amp;"; "&amp;AI170&amp;TM[[#This Row],[Large Provider Entity Code]]</f>
        <v xml:space="preserve">Insurer Code ; Reporting Year ; Insurance Category Code ; Large Provider Entity Code </v>
      </c>
      <c r="AF170" s="345" t="s">
        <v>207</v>
      </c>
      <c r="AG170" s="345" t="s">
        <v>208</v>
      </c>
      <c r="AH170" s="345" t="s">
        <v>209</v>
      </c>
      <c r="AI170" s="345" t="s">
        <v>210</v>
      </c>
      <c r="AJ170" s="345"/>
      <c r="AK170" s="345"/>
      <c r="AL170" s="345"/>
      <c r="AM170" s="11"/>
      <c r="AN170" s="11"/>
      <c r="AO170" s="11"/>
    </row>
    <row r="171" spans="1:41" x14ac:dyDescent="0.25">
      <c r="A171" s="311"/>
      <c r="B171" s="321"/>
      <c r="C171" s="321"/>
      <c r="D171" s="321"/>
      <c r="E171" s="470"/>
      <c r="F171" s="442"/>
      <c r="G171" s="314"/>
      <c r="H171" s="314"/>
      <c r="I171" s="314"/>
      <c r="J171" s="314"/>
      <c r="K171" s="314"/>
      <c r="L171" s="314"/>
      <c r="M171" s="314"/>
      <c r="N171" s="314"/>
      <c r="O171" s="314"/>
      <c r="P171" s="314"/>
      <c r="Q171" s="314"/>
      <c r="R171" s="445"/>
      <c r="S171" s="314"/>
      <c r="T171" s="314"/>
      <c r="U171" s="314"/>
      <c r="V171" s="323">
        <v>1</v>
      </c>
      <c r="W171" s="447">
        <f t="shared" si="14"/>
        <v>0</v>
      </c>
      <c r="X171" s="447">
        <f t="shared" si="15"/>
        <v>0</v>
      </c>
      <c r="Y171" s="447">
        <f t="shared" si="16"/>
        <v>0</v>
      </c>
      <c r="Z171" s="447">
        <f t="shared" si="17"/>
        <v>0</v>
      </c>
      <c r="AA171" s="447">
        <f t="shared" si="18"/>
        <v>0</v>
      </c>
      <c r="AB171" s="447" t="e">
        <f t="shared" si="19"/>
        <v>#DIV/0!</v>
      </c>
      <c r="AC171" s="448" t="e">
        <f t="shared" si="20"/>
        <v>#DIV/0!</v>
      </c>
      <c r="AD171" s="11"/>
      <c r="AE171" s="349" t="str">
        <f>AF171&amp;TM[[#This Row],[Insurer Code]]&amp;"; "&amp;AG171&amp;TM[[#This Row],[Reporting Year]]&amp;"; "&amp;AH171&amp;TM[[#This Row],[Insurance Category Code]]&amp;"; "&amp;AI171&amp;TM[[#This Row],[Large Provider Entity Code]]</f>
        <v xml:space="preserve">Insurer Code ; Reporting Year ; Insurance Category Code ; Large Provider Entity Code </v>
      </c>
      <c r="AF171" s="345" t="s">
        <v>207</v>
      </c>
      <c r="AG171" s="345" t="s">
        <v>208</v>
      </c>
      <c r="AH171" s="345" t="s">
        <v>209</v>
      </c>
      <c r="AI171" s="345" t="s">
        <v>210</v>
      </c>
      <c r="AJ171" s="345"/>
      <c r="AK171" s="345"/>
      <c r="AL171" s="345"/>
      <c r="AM171" s="11"/>
      <c r="AN171" s="11"/>
      <c r="AO171" s="11"/>
    </row>
    <row r="172" spans="1:41" x14ac:dyDescent="0.25">
      <c r="A172" s="311"/>
      <c r="B172" s="321"/>
      <c r="C172" s="321"/>
      <c r="D172" s="321"/>
      <c r="E172" s="470"/>
      <c r="F172" s="442"/>
      <c r="G172" s="314"/>
      <c r="H172" s="314"/>
      <c r="I172" s="314"/>
      <c r="J172" s="314"/>
      <c r="K172" s="314"/>
      <c r="L172" s="314"/>
      <c r="M172" s="314"/>
      <c r="N172" s="314"/>
      <c r="O172" s="314"/>
      <c r="P172" s="314"/>
      <c r="Q172" s="314"/>
      <c r="R172" s="445"/>
      <c r="S172" s="314"/>
      <c r="T172" s="314"/>
      <c r="U172" s="314"/>
      <c r="V172" s="323">
        <v>10</v>
      </c>
      <c r="W172" s="447">
        <f t="shared" si="14"/>
        <v>0</v>
      </c>
      <c r="X172" s="447">
        <f t="shared" si="15"/>
        <v>0</v>
      </c>
      <c r="Y172" s="447">
        <f t="shared" si="16"/>
        <v>0</v>
      </c>
      <c r="Z172" s="447">
        <f t="shared" si="17"/>
        <v>0</v>
      </c>
      <c r="AA172" s="447">
        <f t="shared" si="18"/>
        <v>0</v>
      </c>
      <c r="AB172" s="447" t="e">
        <f t="shared" si="19"/>
        <v>#DIV/0!</v>
      </c>
      <c r="AC172" s="448" t="e">
        <f t="shared" si="20"/>
        <v>#DIV/0!</v>
      </c>
      <c r="AD172" s="11"/>
      <c r="AE172" s="349" t="str">
        <f>AF172&amp;TM[[#This Row],[Insurer Code]]&amp;"; "&amp;AG172&amp;TM[[#This Row],[Reporting Year]]&amp;"; "&amp;AH172&amp;TM[[#This Row],[Insurance Category Code]]&amp;"; "&amp;AI172&amp;TM[[#This Row],[Large Provider Entity Code]]</f>
        <v xml:space="preserve">Insurer Code ; Reporting Year ; Insurance Category Code ; Large Provider Entity Code </v>
      </c>
      <c r="AF172" s="345" t="s">
        <v>207</v>
      </c>
      <c r="AG172" s="345" t="s">
        <v>208</v>
      </c>
      <c r="AH172" s="345" t="s">
        <v>209</v>
      </c>
      <c r="AI172" s="345" t="s">
        <v>210</v>
      </c>
      <c r="AJ172" s="345"/>
      <c r="AK172" s="345"/>
      <c r="AL172" s="345"/>
      <c r="AM172" s="11"/>
      <c r="AN172" s="11"/>
      <c r="AO172" s="11"/>
    </row>
    <row r="173" spans="1:41" x14ac:dyDescent="0.25">
      <c r="A173" s="311"/>
      <c r="B173" s="321"/>
      <c r="C173" s="321"/>
      <c r="D173" s="321"/>
      <c r="E173" s="470"/>
      <c r="F173" s="442"/>
      <c r="G173" s="314"/>
      <c r="H173" s="314"/>
      <c r="I173" s="314"/>
      <c r="J173" s="314"/>
      <c r="K173" s="314"/>
      <c r="L173" s="314"/>
      <c r="M173" s="314"/>
      <c r="N173" s="314"/>
      <c r="O173" s="314"/>
      <c r="P173" s="314"/>
      <c r="Q173" s="314"/>
      <c r="R173" s="445"/>
      <c r="S173" s="314"/>
      <c r="T173" s="314"/>
      <c r="U173" s="314"/>
      <c r="V173" s="323">
        <v>2</v>
      </c>
      <c r="W173" s="451">
        <f t="shared" si="14"/>
        <v>0</v>
      </c>
      <c r="X173" s="451">
        <f t="shared" si="15"/>
        <v>0</v>
      </c>
      <c r="Y173" s="451">
        <f t="shared" si="16"/>
        <v>0</v>
      </c>
      <c r="Z173" s="451">
        <f t="shared" si="17"/>
        <v>0</v>
      </c>
      <c r="AA173" s="451">
        <f t="shared" si="18"/>
        <v>0</v>
      </c>
      <c r="AB173" s="451" t="e">
        <f t="shared" si="19"/>
        <v>#DIV/0!</v>
      </c>
      <c r="AC173" s="452" t="e">
        <f t="shared" si="20"/>
        <v>#DIV/0!</v>
      </c>
      <c r="AD173" s="11"/>
      <c r="AE173" s="349" t="str">
        <f>AF173&amp;TM[[#This Row],[Insurer Code]]&amp;"; "&amp;AG173&amp;TM[[#This Row],[Reporting Year]]&amp;"; "&amp;AH173&amp;TM[[#This Row],[Insurance Category Code]]&amp;"; "&amp;AI173&amp;TM[[#This Row],[Large Provider Entity Code]]</f>
        <v xml:space="preserve">Insurer Code ; Reporting Year ; Insurance Category Code ; Large Provider Entity Code </v>
      </c>
      <c r="AF173" s="345" t="s">
        <v>207</v>
      </c>
      <c r="AG173" s="345" t="s">
        <v>208</v>
      </c>
      <c r="AH173" s="345" t="s">
        <v>209</v>
      </c>
      <c r="AI173" s="345" t="s">
        <v>210</v>
      </c>
      <c r="AJ173" s="345"/>
      <c r="AK173" s="345"/>
      <c r="AL173" s="345"/>
      <c r="AM173" s="11"/>
      <c r="AN173" s="11"/>
      <c r="AO173" s="11"/>
    </row>
    <row r="174" spans="1:41" x14ac:dyDescent="0.25">
      <c r="A174" s="311"/>
      <c r="B174" s="321"/>
      <c r="C174" s="321"/>
      <c r="D174" s="321"/>
      <c r="E174" s="470"/>
      <c r="F174" s="442"/>
      <c r="G174" s="314"/>
      <c r="H174" s="314"/>
      <c r="I174" s="314"/>
      <c r="J174" s="314"/>
      <c r="K174" s="314"/>
      <c r="L174" s="314"/>
      <c r="M174" s="314"/>
      <c r="N174" s="314"/>
      <c r="O174" s="314"/>
      <c r="P174" s="314"/>
      <c r="Q174" s="314"/>
      <c r="R174" s="445"/>
      <c r="S174" s="314"/>
      <c r="T174" s="314"/>
      <c r="U174" s="314"/>
      <c r="V174" s="323">
        <v>0</v>
      </c>
      <c r="W174" s="451">
        <f t="shared" si="14"/>
        <v>0</v>
      </c>
      <c r="X174" s="451">
        <f t="shared" si="15"/>
        <v>0</v>
      </c>
      <c r="Y174" s="451">
        <f t="shared" si="16"/>
        <v>0</v>
      </c>
      <c r="Z174" s="451">
        <f t="shared" si="17"/>
        <v>0</v>
      </c>
      <c r="AA174" s="451">
        <f t="shared" si="18"/>
        <v>0</v>
      </c>
      <c r="AB174" s="451" t="e">
        <f t="shared" si="19"/>
        <v>#DIV/0!</v>
      </c>
      <c r="AC174" s="452" t="e">
        <f t="shared" si="20"/>
        <v>#DIV/0!</v>
      </c>
      <c r="AD174" s="11"/>
      <c r="AE174" s="349" t="str">
        <f>AF174&amp;TM[[#This Row],[Insurer Code]]&amp;"; "&amp;AG174&amp;TM[[#This Row],[Reporting Year]]&amp;"; "&amp;AH174&amp;TM[[#This Row],[Insurance Category Code]]&amp;"; "&amp;AI174&amp;TM[[#This Row],[Large Provider Entity Code]]</f>
        <v xml:space="preserve">Insurer Code ; Reporting Year ; Insurance Category Code ; Large Provider Entity Code </v>
      </c>
      <c r="AF174" s="345" t="s">
        <v>207</v>
      </c>
      <c r="AG174" s="345" t="s">
        <v>208</v>
      </c>
      <c r="AH174" s="345" t="s">
        <v>209</v>
      </c>
      <c r="AI174" s="345" t="s">
        <v>210</v>
      </c>
      <c r="AJ174" s="345"/>
      <c r="AK174" s="345"/>
      <c r="AL174" s="345"/>
      <c r="AM174" s="11"/>
      <c r="AN174" s="11"/>
      <c r="AO174" s="11"/>
    </row>
    <row r="175" spans="1:41" x14ac:dyDescent="0.25">
      <c r="A175" s="311"/>
      <c r="B175" s="321"/>
      <c r="C175" s="321"/>
      <c r="D175" s="321"/>
      <c r="E175" s="470"/>
      <c r="F175" s="442"/>
      <c r="G175" s="314"/>
      <c r="H175" s="314"/>
      <c r="I175" s="314"/>
      <c r="J175" s="314"/>
      <c r="K175" s="314"/>
      <c r="L175" s="314"/>
      <c r="M175" s="314"/>
      <c r="N175" s="314"/>
      <c r="O175" s="314"/>
      <c r="P175" s="314"/>
      <c r="Q175" s="314"/>
      <c r="R175" s="445"/>
      <c r="S175" s="314"/>
      <c r="T175" s="314"/>
      <c r="U175" s="314"/>
      <c r="V175" s="323">
        <v>3</v>
      </c>
      <c r="W175" s="451">
        <f t="shared" si="14"/>
        <v>0</v>
      </c>
      <c r="X175" s="451">
        <f t="shared" si="15"/>
        <v>0</v>
      </c>
      <c r="Y175" s="451">
        <f t="shared" si="16"/>
        <v>0</v>
      </c>
      <c r="Z175" s="451">
        <f t="shared" si="17"/>
        <v>0</v>
      </c>
      <c r="AA175" s="451">
        <f t="shared" si="18"/>
        <v>0</v>
      </c>
      <c r="AB175" s="451" t="e">
        <f t="shared" si="19"/>
        <v>#DIV/0!</v>
      </c>
      <c r="AC175" s="452" t="e">
        <f t="shared" si="20"/>
        <v>#DIV/0!</v>
      </c>
      <c r="AD175" s="11"/>
      <c r="AE175" s="349" t="str">
        <f>AF175&amp;TM[[#This Row],[Insurer Code]]&amp;"; "&amp;AG175&amp;TM[[#This Row],[Reporting Year]]&amp;"; "&amp;AH175&amp;TM[[#This Row],[Insurance Category Code]]&amp;"; "&amp;AI175&amp;TM[[#This Row],[Large Provider Entity Code]]</f>
        <v xml:space="preserve">Insurer Code ; Reporting Year ; Insurance Category Code ; Large Provider Entity Code </v>
      </c>
      <c r="AF175" s="345" t="s">
        <v>207</v>
      </c>
      <c r="AG175" s="345" t="s">
        <v>208</v>
      </c>
      <c r="AH175" s="345" t="s">
        <v>209</v>
      </c>
      <c r="AI175" s="345" t="s">
        <v>210</v>
      </c>
      <c r="AJ175" s="345"/>
      <c r="AK175" s="345"/>
      <c r="AL175" s="345"/>
      <c r="AM175" s="11"/>
      <c r="AN175" s="11"/>
      <c r="AO175" s="11"/>
    </row>
    <row r="176" spans="1:41" x14ac:dyDescent="0.25">
      <c r="A176" s="311"/>
      <c r="B176" s="321"/>
      <c r="C176" s="321"/>
      <c r="D176" s="321"/>
      <c r="E176" s="470"/>
      <c r="F176" s="442"/>
      <c r="G176" s="314"/>
      <c r="H176" s="314"/>
      <c r="I176" s="314"/>
      <c r="J176" s="314"/>
      <c r="K176" s="314"/>
      <c r="L176" s="314"/>
      <c r="M176" s="314"/>
      <c r="N176" s="314"/>
      <c r="O176" s="314"/>
      <c r="P176" s="314"/>
      <c r="Q176" s="314"/>
      <c r="R176" s="445"/>
      <c r="S176" s="314"/>
      <c r="T176" s="314"/>
      <c r="U176" s="314"/>
      <c r="V176" s="323">
        <v>0</v>
      </c>
      <c r="W176" s="451">
        <f t="shared" si="14"/>
        <v>0</v>
      </c>
      <c r="X176" s="451">
        <f t="shared" si="15"/>
        <v>0</v>
      </c>
      <c r="Y176" s="451">
        <f t="shared" si="16"/>
        <v>0</v>
      </c>
      <c r="Z176" s="451">
        <f t="shared" si="17"/>
        <v>0</v>
      </c>
      <c r="AA176" s="451">
        <f t="shared" si="18"/>
        <v>0</v>
      </c>
      <c r="AB176" s="451" t="e">
        <f t="shared" si="19"/>
        <v>#DIV/0!</v>
      </c>
      <c r="AC176" s="452" t="e">
        <f t="shared" si="20"/>
        <v>#DIV/0!</v>
      </c>
      <c r="AD176" s="11"/>
      <c r="AE176" s="349" t="str">
        <f>AF176&amp;TM[[#This Row],[Insurer Code]]&amp;"; "&amp;AG176&amp;TM[[#This Row],[Reporting Year]]&amp;"; "&amp;AH176&amp;TM[[#This Row],[Insurance Category Code]]&amp;"; "&amp;AI176&amp;TM[[#This Row],[Large Provider Entity Code]]</f>
        <v xml:space="preserve">Insurer Code ; Reporting Year ; Insurance Category Code ; Large Provider Entity Code </v>
      </c>
      <c r="AF176" s="345" t="s">
        <v>207</v>
      </c>
      <c r="AG176" s="345" t="s">
        <v>208</v>
      </c>
      <c r="AH176" s="345" t="s">
        <v>209</v>
      </c>
      <c r="AI176" s="345" t="s">
        <v>210</v>
      </c>
      <c r="AJ176" s="345"/>
      <c r="AK176" s="345"/>
      <c r="AL176" s="345"/>
      <c r="AM176" s="11"/>
      <c r="AN176" s="11"/>
      <c r="AO176" s="11"/>
    </row>
    <row r="177" spans="1:41" x14ac:dyDescent="0.25">
      <c r="A177" s="311"/>
      <c r="B177" s="321"/>
      <c r="C177" s="321"/>
      <c r="D177" s="321"/>
      <c r="E177" s="322"/>
      <c r="F177" s="314"/>
      <c r="G177" s="314"/>
      <c r="H177" s="314"/>
      <c r="I177" s="314"/>
      <c r="J177" s="314"/>
      <c r="K177" s="314"/>
      <c r="L177" s="314"/>
      <c r="M177" s="314"/>
      <c r="N177" s="314"/>
      <c r="O177" s="314"/>
      <c r="P177" s="314"/>
      <c r="Q177" s="314"/>
      <c r="R177" s="445"/>
      <c r="S177" s="314"/>
      <c r="T177" s="314"/>
      <c r="U177" s="314"/>
      <c r="V177" s="323">
        <v>0</v>
      </c>
      <c r="W177" s="447">
        <f t="shared" si="14"/>
        <v>0</v>
      </c>
      <c r="X177" s="447">
        <f t="shared" si="15"/>
        <v>0</v>
      </c>
      <c r="Y177" s="447">
        <f t="shared" si="16"/>
        <v>0</v>
      </c>
      <c r="Z177" s="447">
        <f t="shared" si="17"/>
        <v>0</v>
      </c>
      <c r="AA177" s="447">
        <f t="shared" si="18"/>
        <v>0</v>
      </c>
      <c r="AB177" s="447" t="e">
        <f t="shared" si="19"/>
        <v>#DIV/0!</v>
      </c>
      <c r="AC177" s="448" t="e">
        <f t="shared" si="20"/>
        <v>#DIV/0!</v>
      </c>
      <c r="AD177" s="11"/>
      <c r="AE177" s="349" t="str">
        <f>AF177&amp;TM[[#This Row],[Insurer Code]]&amp;"; "&amp;AG177&amp;TM[[#This Row],[Reporting Year]]&amp;"; "&amp;AH177&amp;TM[[#This Row],[Insurance Category Code]]&amp;"; "&amp;AI177&amp;TM[[#This Row],[Large Provider Entity Code]]</f>
        <v xml:space="preserve">Insurer Code ; Reporting Year ; Insurance Category Code ; Large Provider Entity Code </v>
      </c>
      <c r="AF177" s="345" t="s">
        <v>207</v>
      </c>
      <c r="AG177" s="345" t="s">
        <v>208</v>
      </c>
      <c r="AH177" s="345" t="s">
        <v>209</v>
      </c>
      <c r="AI177" s="345" t="s">
        <v>210</v>
      </c>
      <c r="AJ177" s="345"/>
      <c r="AK177" s="345"/>
      <c r="AL177" s="345"/>
      <c r="AM177" s="11"/>
      <c r="AN177" s="11"/>
      <c r="AO177" s="11"/>
    </row>
    <row r="178" spans="1:41" x14ac:dyDescent="0.25">
      <c r="A178" s="311"/>
      <c r="B178" s="324"/>
      <c r="C178" s="324"/>
      <c r="D178" s="324"/>
      <c r="E178" s="327"/>
      <c r="F178" s="336"/>
      <c r="G178" s="336"/>
      <c r="H178" s="336"/>
      <c r="I178" s="336"/>
      <c r="J178" s="336"/>
      <c r="K178" s="336"/>
      <c r="L178" s="336"/>
      <c r="M178" s="336"/>
      <c r="N178" s="336"/>
      <c r="O178" s="336"/>
      <c r="P178" s="336"/>
      <c r="Q178" s="336"/>
      <c r="R178" s="446"/>
      <c r="S178" s="336"/>
      <c r="T178" s="336"/>
      <c r="U178" s="314"/>
      <c r="V178" s="326">
        <v>17</v>
      </c>
      <c r="W178" s="447">
        <f t="shared" si="14"/>
        <v>0</v>
      </c>
      <c r="X178" s="447">
        <f t="shared" si="15"/>
        <v>0</v>
      </c>
      <c r="Y178" s="447">
        <f t="shared" si="16"/>
        <v>0</v>
      </c>
      <c r="Z178" s="447">
        <f t="shared" si="17"/>
        <v>0</v>
      </c>
      <c r="AA178" s="447">
        <f t="shared" si="18"/>
        <v>0</v>
      </c>
      <c r="AB178" s="447" t="e">
        <f t="shared" si="19"/>
        <v>#DIV/0!</v>
      </c>
      <c r="AC178" s="448" t="e">
        <f t="shared" si="20"/>
        <v>#DIV/0!</v>
      </c>
      <c r="AD178" s="11"/>
      <c r="AE178" s="349" t="str">
        <f>AF178&amp;TM[[#This Row],[Insurer Code]]&amp;"; "&amp;AG178&amp;TM[[#This Row],[Reporting Year]]&amp;"; "&amp;AH178&amp;TM[[#This Row],[Insurance Category Code]]&amp;"; "&amp;AI178&amp;TM[[#This Row],[Large Provider Entity Code]]</f>
        <v xml:space="preserve">Insurer Code ; Reporting Year ; Insurance Category Code ; Large Provider Entity Code </v>
      </c>
      <c r="AF178" s="345" t="s">
        <v>207</v>
      </c>
      <c r="AG178" s="345" t="s">
        <v>208</v>
      </c>
      <c r="AH178" s="345" t="s">
        <v>209</v>
      </c>
      <c r="AI178" s="345" t="s">
        <v>210</v>
      </c>
      <c r="AJ178" s="345"/>
      <c r="AK178" s="345"/>
      <c r="AL178" s="345"/>
      <c r="AM178" s="11"/>
      <c r="AN178" s="11"/>
      <c r="AO178" s="11"/>
    </row>
    <row r="179" spans="1:41" x14ac:dyDescent="0.25">
      <c r="A179" s="311"/>
      <c r="B179" s="324"/>
      <c r="C179" s="324"/>
      <c r="D179" s="324"/>
      <c r="E179" s="327"/>
      <c r="F179" s="336"/>
      <c r="G179" s="336"/>
      <c r="H179" s="336"/>
      <c r="I179" s="336"/>
      <c r="J179" s="336"/>
      <c r="K179" s="336"/>
      <c r="L179" s="336"/>
      <c r="M179" s="336"/>
      <c r="N179" s="336"/>
      <c r="O179" s="336"/>
      <c r="P179" s="336"/>
      <c r="Q179" s="336"/>
      <c r="R179" s="446"/>
      <c r="S179" s="336"/>
      <c r="T179" s="336"/>
      <c r="U179" s="314"/>
      <c r="V179" s="326">
        <v>12</v>
      </c>
      <c r="W179" s="447">
        <f t="shared" si="14"/>
        <v>0</v>
      </c>
      <c r="X179" s="447">
        <f t="shared" si="15"/>
        <v>0</v>
      </c>
      <c r="Y179" s="447">
        <f t="shared" si="16"/>
        <v>0</v>
      </c>
      <c r="Z179" s="447">
        <f t="shared" si="17"/>
        <v>0</v>
      </c>
      <c r="AA179" s="447">
        <f t="shared" si="18"/>
        <v>0</v>
      </c>
      <c r="AB179" s="447" t="e">
        <f t="shared" si="19"/>
        <v>#DIV/0!</v>
      </c>
      <c r="AC179" s="448" t="e">
        <f t="shared" si="20"/>
        <v>#DIV/0!</v>
      </c>
      <c r="AD179" s="11"/>
      <c r="AE179" s="349" t="str">
        <f>AF179&amp;TM[[#This Row],[Insurer Code]]&amp;"; "&amp;AG179&amp;TM[[#This Row],[Reporting Year]]&amp;"; "&amp;AH179&amp;TM[[#This Row],[Insurance Category Code]]&amp;"; "&amp;AI179&amp;TM[[#This Row],[Large Provider Entity Code]]</f>
        <v xml:space="preserve">Insurer Code ; Reporting Year ; Insurance Category Code ; Large Provider Entity Code </v>
      </c>
      <c r="AF179" s="345" t="s">
        <v>207</v>
      </c>
      <c r="AG179" s="345" t="s">
        <v>208</v>
      </c>
      <c r="AH179" s="345" t="s">
        <v>209</v>
      </c>
      <c r="AI179" s="345" t="s">
        <v>210</v>
      </c>
      <c r="AJ179" s="345"/>
      <c r="AK179" s="345"/>
      <c r="AL179" s="345"/>
      <c r="AM179" s="11"/>
      <c r="AN179" s="11"/>
      <c r="AO179" s="11"/>
    </row>
    <row r="180" spans="1:41" x14ac:dyDescent="0.25">
      <c r="A180" s="311"/>
      <c r="B180" s="321"/>
      <c r="C180" s="321"/>
      <c r="D180" s="321"/>
      <c r="E180" s="322"/>
      <c r="F180" s="314"/>
      <c r="G180" s="314"/>
      <c r="H180" s="314"/>
      <c r="I180" s="314"/>
      <c r="J180" s="314"/>
      <c r="K180" s="314"/>
      <c r="L180" s="314"/>
      <c r="M180" s="314"/>
      <c r="N180" s="314"/>
      <c r="O180" s="314"/>
      <c r="P180" s="314"/>
      <c r="Q180" s="314"/>
      <c r="R180" s="445"/>
      <c r="S180" s="314"/>
      <c r="T180" s="314"/>
      <c r="U180" s="314"/>
      <c r="V180" s="323">
        <v>0</v>
      </c>
      <c r="W180" s="447">
        <f t="shared" si="14"/>
        <v>0</v>
      </c>
      <c r="X180" s="447">
        <f t="shared" si="15"/>
        <v>0</v>
      </c>
      <c r="Y180" s="447">
        <f t="shared" si="16"/>
        <v>0</v>
      </c>
      <c r="Z180" s="447">
        <f t="shared" si="17"/>
        <v>0</v>
      </c>
      <c r="AA180" s="447">
        <f t="shared" si="18"/>
        <v>0</v>
      </c>
      <c r="AB180" s="447" t="e">
        <f t="shared" si="19"/>
        <v>#DIV/0!</v>
      </c>
      <c r="AC180" s="448" t="e">
        <f t="shared" si="20"/>
        <v>#DIV/0!</v>
      </c>
      <c r="AD180" s="11"/>
      <c r="AE180" s="349" t="str">
        <f>AF180&amp;TM[[#This Row],[Insurer Code]]&amp;"; "&amp;AG180&amp;TM[[#This Row],[Reporting Year]]&amp;"; "&amp;AH180&amp;TM[[#This Row],[Insurance Category Code]]&amp;"; "&amp;AI180&amp;TM[[#This Row],[Large Provider Entity Code]]</f>
        <v xml:space="preserve">Insurer Code ; Reporting Year ; Insurance Category Code ; Large Provider Entity Code </v>
      </c>
      <c r="AF180" s="345" t="s">
        <v>207</v>
      </c>
      <c r="AG180" s="345" t="s">
        <v>208</v>
      </c>
      <c r="AH180" s="345" t="s">
        <v>209</v>
      </c>
      <c r="AI180" s="345" t="s">
        <v>210</v>
      </c>
      <c r="AJ180" s="345"/>
      <c r="AK180" s="345"/>
      <c r="AL180" s="345"/>
      <c r="AM180" s="11"/>
      <c r="AN180" s="11"/>
      <c r="AO180" s="11"/>
    </row>
    <row r="181" spans="1:41" x14ac:dyDescent="0.25">
      <c r="A181" s="311"/>
      <c r="B181" s="324"/>
      <c r="C181" s="324"/>
      <c r="D181" s="324"/>
      <c r="E181" s="327"/>
      <c r="F181" s="336"/>
      <c r="G181" s="336"/>
      <c r="H181" s="336"/>
      <c r="I181" s="336"/>
      <c r="J181" s="336"/>
      <c r="K181" s="336"/>
      <c r="L181" s="336"/>
      <c r="M181" s="336"/>
      <c r="N181" s="336"/>
      <c r="O181" s="336"/>
      <c r="P181" s="336"/>
      <c r="Q181" s="336"/>
      <c r="R181" s="446"/>
      <c r="S181" s="336"/>
      <c r="T181" s="336"/>
      <c r="U181" s="314"/>
      <c r="V181" s="326">
        <v>20</v>
      </c>
      <c r="W181" s="447">
        <f t="shared" si="14"/>
        <v>0</v>
      </c>
      <c r="X181" s="447">
        <f t="shared" si="15"/>
        <v>0</v>
      </c>
      <c r="Y181" s="447">
        <f t="shared" si="16"/>
        <v>0</v>
      </c>
      <c r="Z181" s="447">
        <f t="shared" si="17"/>
        <v>0</v>
      </c>
      <c r="AA181" s="447">
        <f t="shared" si="18"/>
        <v>0</v>
      </c>
      <c r="AB181" s="447" t="e">
        <f t="shared" si="19"/>
        <v>#DIV/0!</v>
      </c>
      <c r="AC181" s="448" t="e">
        <f t="shared" si="20"/>
        <v>#DIV/0!</v>
      </c>
      <c r="AD181" s="11"/>
      <c r="AE181" s="349" t="str">
        <f>AF181&amp;TM[[#This Row],[Insurer Code]]&amp;"; "&amp;AG181&amp;TM[[#This Row],[Reporting Year]]&amp;"; "&amp;AH181&amp;TM[[#This Row],[Insurance Category Code]]&amp;"; "&amp;AI181&amp;TM[[#This Row],[Large Provider Entity Code]]</f>
        <v xml:space="preserve">Insurer Code ; Reporting Year ; Insurance Category Code ; Large Provider Entity Code </v>
      </c>
      <c r="AF181" s="345" t="s">
        <v>207</v>
      </c>
      <c r="AG181" s="345" t="s">
        <v>208</v>
      </c>
      <c r="AH181" s="345" t="s">
        <v>209</v>
      </c>
      <c r="AI181" s="345" t="s">
        <v>210</v>
      </c>
      <c r="AJ181" s="345"/>
      <c r="AK181" s="345"/>
      <c r="AL181" s="345"/>
      <c r="AM181" s="11"/>
      <c r="AN181" s="11"/>
      <c r="AO181" s="11"/>
    </row>
    <row r="182" spans="1:41" x14ac:dyDescent="0.25">
      <c r="A182" s="311"/>
      <c r="B182" s="324"/>
      <c r="C182" s="324"/>
      <c r="D182" s="324"/>
      <c r="E182" s="327"/>
      <c r="F182" s="336"/>
      <c r="G182" s="336"/>
      <c r="H182" s="336"/>
      <c r="I182" s="336"/>
      <c r="J182" s="336"/>
      <c r="K182" s="336"/>
      <c r="L182" s="336"/>
      <c r="M182" s="336"/>
      <c r="N182" s="336"/>
      <c r="O182" s="336"/>
      <c r="P182" s="336"/>
      <c r="Q182" s="336"/>
      <c r="R182" s="446"/>
      <c r="S182" s="336"/>
      <c r="T182" s="336"/>
      <c r="U182" s="314"/>
      <c r="V182" s="326">
        <v>1</v>
      </c>
      <c r="W182" s="447">
        <f t="shared" si="14"/>
        <v>0</v>
      </c>
      <c r="X182" s="447">
        <f t="shared" si="15"/>
        <v>0</v>
      </c>
      <c r="Y182" s="447">
        <f t="shared" si="16"/>
        <v>0</v>
      </c>
      <c r="Z182" s="447">
        <f t="shared" si="17"/>
        <v>0</v>
      </c>
      <c r="AA182" s="447">
        <f t="shared" si="18"/>
        <v>0</v>
      </c>
      <c r="AB182" s="447" t="e">
        <f t="shared" si="19"/>
        <v>#DIV/0!</v>
      </c>
      <c r="AC182" s="448" t="e">
        <f t="shared" si="20"/>
        <v>#DIV/0!</v>
      </c>
      <c r="AD182" s="11"/>
      <c r="AE182" s="349" t="str">
        <f>AF182&amp;TM[[#This Row],[Insurer Code]]&amp;"; "&amp;AG182&amp;TM[[#This Row],[Reporting Year]]&amp;"; "&amp;AH182&amp;TM[[#This Row],[Insurance Category Code]]&amp;"; "&amp;AI182&amp;TM[[#This Row],[Large Provider Entity Code]]</f>
        <v xml:space="preserve">Insurer Code ; Reporting Year ; Insurance Category Code ; Large Provider Entity Code </v>
      </c>
      <c r="AF182" s="345" t="s">
        <v>207</v>
      </c>
      <c r="AG182" s="345" t="s">
        <v>208</v>
      </c>
      <c r="AH182" s="345" t="s">
        <v>209</v>
      </c>
      <c r="AI182" s="345" t="s">
        <v>210</v>
      </c>
      <c r="AJ182" s="345"/>
      <c r="AK182" s="345"/>
      <c r="AL182" s="345"/>
      <c r="AM182" s="11"/>
      <c r="AN182" s="11"/>
      <c r="AO182" s="11"/>
    </row>
    <row r="183" spans="1:41" x14ac:dyDescent="0.25">
      <c r="A183" s="311"/>
      <c r="B183" s="324"/>
      <c r="C183" s="324"/>
      <c r="D183" s="324"/>
      <c r="E183" s="327"/>
      <c r="F183" s="336"/>
      <c r="G183" s="336"/>
      <c r="H183" s="336"/>
      <c r="I183" s="336"/>
      <c r="J183" s="336"/>
      <c r="K183" s="336"/>
      <c r="L183" s="336"/>
      <c r="M183" s="336"/>
      <c r="N183" s="336"/>
      <c r="O183" s="336"/>
      <c r="P183" s="336"/>
      <c r="Q183" s="336"/>
      <c r="R183" s="446"/>
      <c r="S183" s="336"/>
      <c r="T183" s="336"/>
      <c r="U183" s="314"/>
      <c r="V183" s="326">
        <v>0</v>
      </c>
      <c r="W183" s="447">
        <f t="shared" si="14"/>
        <v>0</v>
      </c>
      <c r="X183" s="447">
        <f t="shared" si="15"/>
        <v>0</v>
      </c>
      <c r="Y183" s="447">
        <f t="shared" si="16"/>
        <v>0</v>
      </c>
      <c r="Z183" s="447">
        <f t="shared" si="17"/>
        <v>0</v>
      </c>
      <c r="AA183" s="447">
        <f t="shared" si="18"/>
        <v>0</v>
      </c>
      <c r="AB183" s="447" t="e">
        <f t="shared" si="19"/>
        <v>#DIV/0!</v>
      </c>
      <c r="AC183" s="448" t="e">
        <f t="shared" si="20"/>
        <v>#DIV/0!</v>
      </c>
      <c r="AD183" s="11"/>
      <c r="AE183" s="349" t="str">
        <f>AF183&amp;TM[[#This Row],[Insurer Code]]&amp;"; "&amp;AG183&amp;TM[[#This Row],[Reporting Year]]&amp;"; "&amp;AH183&amp;TM[[#This Row],[Insurance Category Code]]&amp;"; "&amp;AI183&amp;TM[[#This Row],[Large Provider Entity Code]]</f>
        <v xml:space="preserve">Insurer Code ; Reporting Year ; Insurance Category Code ; Large Provider Entity Code </v>
      </c>
      <c r="AF183" s="345" t="s">
        <v>207</v>
      </c>
      <c r="AG183" s="345" t="s">
        <v>208</v>
      </c>
      <c r="AH183" s="345" t="s">
        <v>209</v>
      </c>
      <c r="AI183" s="345" t="s">
        <v>210</v>
      </c>
      <c r="AJ183" s="345"/>
      <c r="AK183" s="345"/>
      <c r="AL183" s="345"/>
      <c r="AM183" s="11"/>
      <c r="AN183" s="11"/>
      <c r="AO183" s="11"/>
    </row>
    <row r="184" spans="1:41" x14ac:dyDescent="0.25">
      <c r="A184" s="311"/>
      <c r="B184" s="324"/>
      <c r="C184" s="324"/>
      <c r="D184" s="324"/>
      <c r="E184" s="325"/>
      <c r="F184" s="336"/>
      <c r="G184" s="336"/>
      <c r="H184" s="336"/>
      <c r="I184" s="336"/>
      <c r="J184" s="336"/>
      <c r="K184" s="336"/>
      <c r="L184" s="336"/>
      <c r="M184" s="336"/>
      <c r="N184" s="336"/>
      <c r="O184" s="336"/>
      <c r="P184" s="336"/>
      <c r="Q184" s="336"/>
      <c r="R184" s="446"/>
      <c r="S184" s="336"/>
      <c r="T184" s="336"/>
      <c r="U184" s="314"/>
      <c r="V184" s="326">
        <v>18</v>
      </c>
      <c r="W184" s="447">
        <f t="shared" si="14"/>
        <v>0</v>
      </c>
      <c r="X184" s="447">
        <f t="shared" si="15"/>
        <v>0</v>
      </c>
      <c r="Y184" s="447">
        <f t="shared" si="16"/>
        <v>0</v>
      </c>
      <c r="Z184" s="447">
        <f t="shared" si="17"/>
        <v>0</v>
      </c>
      <c r="AA184" s="447">
        <f t="shared" si="18"/>
        <v>0</v>
      </c>
      <c r="AB184" s="447" t="e">
        <f t="shared" si="19"/>
        <v>#DIV/0!</v>
      </c>
      <c r="AC184" s="448" t="e">
        <f t="shared" si="20"/>
        <v>#DIV/0!</v>
      </c>
      <c r="AD184" s="11"/>
      <c r="AE184" s="349" t="str">
        <f>AF184&amp;TM[[#This Row],[Insurer Code]]&amp;"; "&amp;AG184&amp;TM[[#This Row],[Reporting Year]]&amp;"; "&amp;AH184&amp;TM[[#This Row],[Insurance Category Code]]&amp;"; "&amp;AI184&amp;TM[[#This Row],[Large Provider Entity Code]]</f>
        <v xml:space="preserve">Insurer Code ; Reporting Year ; Insurance Category Code ; Large Provider Entity Code </v>
      </c>
      <c r="AF184" s="345" t="s">
        <v>207</v>
      </c>
      <c r="AG184" s="345" t="s">
        <v>208</v>
      </c>
      <c r="AH184" s="345" t="s">
        <v>209</v>
      </c>
      <c r="AI184" s="345" t="s">
        <v>210</v>
      </c>
      <c r="AJ184" s="345"/>
      <c r="AK184" s="345"/>
      <c r="AL184" s="345"/>
      <c r="AM184" s="11"/>
      <c r="AN184" s="11"/>
      <c r="AO184" s="11"/>
    </row>
    <row r="185" spans="1:41" x14ac:dyDescent="0.25">
      <c r="A185" s="311"/>
      <c r="B185" s="324"/>
      <c r="C185" s="324"/>
      <c r="D185" s="324"/>
      <c r="E185" s="325"/>
      <c r="F185" s="336"/>
      <c r="G185" s="336"/>
      <c r="H185" s="336"/>
      <c r="I185" s="336"/>
      <c r="J185" s="336"/>
      <c r="K185" s="336"/>
      <c r="L185" s="336"/>
      <c r="M185" s="336"/>
      <c r="N185" s="336"/>
      <c r="O185" s="336"/>
      <c r="P185" s="336"/>
      <c r="Q185" s="336"/>
      <c r="R185" s="446"/>
      <c r="S185" s="336"/>
      <c r="T185" s="336"/>
      <c r="U185" s="314"/>
      <c r="V185" s="326">
        <v>6</v>
      </c>
      <c r="W185" s="447">
        <f t="shared" si="14"/>
        <v>0</v>
      </c>
      <c r="X185" s="447">
        <f t="shared" si="15"/>
        <v>0</v>
      </c>
      <c r="Y185" s="447">
        <f t="shared" si="16"/>
        <v>0</v>
      </c>
      <c r="Z185" s="447">
        <f t="shared" si="17"/>
        <v>0</v>
      </c>
      <c r="AA185" s="447">
        <f t="shared" si="18"/>
        <v>0</v>
      </c>
      <c r="AB185" s="447" t="e">
        <f t="shared" si="19"/>
        <v>#DIV/0!</v>
      </c>
      <c r="AC185" s="448" t="e">
        <f t="shared" si="20"/>
        <v>#DIV/0!</v>
      </c>
      <c r="AD185" s="11"/>
      <c r="AE185" s="349" t="str">
        <f>AF185&amp;TM[[#This Row],[Insurer Code]]&amp;"; "&amp;AG185&amp;TM[[#This Row],[Reporting Year]]&amp;"; "&amp;AH185&amp;TM[[#This Row],[Insurance Category Code]]&amp;"; "&amp;AI185&amp;TM[[#This Row],[Large Provider Entity Code]]</f>
        <v xml:space="preserve">Insurer Code ; Reporting Year ; Insurance Category Code ; Large Provider Entity Code </v>
      </c>
      <c r="AF185" s="345" t="s">
        <v>207</v>
      </c>
      <c r="AG185" s="345" t="s">
        <v>208</v>
      </c>
      <c r="AH185" s="345" t="s">
        <v>209</v>
      </c>
      <c r="AI185" s="345" t="s">
        <v>210</v>
      </c>
      <c r="AJ185" s="345"/>
      <c r="AK185" s="345"/>
      <c r="AL185" s="345"/>
      <c r="AM185" s="11"/>
      <c r="AN185" s="11"/>
      <c r="AO185" s="11"/>
    </row>
    <row r="186" spans="1:41" x14ac:dyDescent="0.25">
      <c r="A186" s="311"/>
      <c r="B186" s="324"/>
      <c r="C186" s="324"/>
      <c r="D186" s="324"/>
      <c r="E186" s="327"/>
      <c r="F186" s="336"/>
      <c r="G186" s="336"/>
      <c r="H186" s="336"/>
      <c r="I186" s="336"/>
      <c r="J186" s="336"/>
      <c r="K186" s="336"/>
      <c r="L186" s="336"/>
      <c r="M186" s="336"/>
      <c r="N186" s="336"/>
      <c r="O186" s="336"/>
      <c r="P186" s="336"/>
      <c r="Q186" s="336"/>
      <c r="R186" s="446"/>
      <c r="S186" s="336"/>
      <c r="T186" s="336"/>
      <c r="U186" s="314"/>
      <c r="V186" s="326">
        <v>0</v>
      </c>
      <c r="W186" s="447">
        <f t="shared" si="14"/>
        <v>0</v>
      </c>
      <c r="X186" s="447">
        <f t="shared" si="15"/>
        <v>0</v>
      </c>
      <c r="Y186" s="447">
        <f t="shared" si="16"/>
        <v>0</v>
      </c>
      <c r="Z186" s="447">
        <f t="shared" si="17"/>
        <v>0</v>
      </c>
      <c r="AA186" s="447">
        <f t="shared" si="18"/>
        <v>0</v>
      </c>
      <c r="AB186" s="447" t="e">
        <f t="shared" si="19"/>
        <v>#DIV/0!</v>
      </c>
      <c r="AC186" s="448" t="e">
        <f t="shared" si="20"/>
        <v>#DIV/0!</v>
      </c>
      <c r="AD186" s="11"/>
      <c r="AE186" s="349" t="str">
        <f>AF186&amp;TM[[#This Row],[Insurer Code]]&amp;"; "&amp;AG186&amp;TM[[#This Row],[Reporting Year]]&amp;"; "&amp;AH186&amp;TM[[#This Row],[Insurance Category Code]]&amp;"; "&amp;AI186&amp;TM[[#This Row],[Large Provider Entity Code]]</f>
        <v xml:space="preserve">Insurer Code ; Reporting Year ; Insurance Category Code ; Large Provider Entity Code </v>
      </c>
      <c r="AF186" s="345" t="s">
        <v>207</v>
      </c>
      <c r="AG186" s="345" t="s">
        <v>208</v>
      </c>
      <c r="AH186" s="345" t="s">
        <v>209</v>
      </c>
      <c r="AI186" s="345" t="s">
        <v>210</v>
      </c>
      <c r="AJ186" s="345"/>
      <c r="AK186" s="345"/>
      <c r="AL186" s="345"/>
      <c r="AM186" s="11"/>
      <c r="AN186" s="11"/>
      <c r="AO186" s="11"/>
    </row>
    <row r="187" spans="1:41" x14ac:dyDescent="0.25">
      <c r="A187" s="311"/>
      <c r="B187" s="324"/>
      <c r="C187" s="324"/>
      <c r="D187" s="324"/>
      <c r="E187" s="327"/>
      <c r="F187" s="336"/>
      <c r="G187" s="336"/>
      <c r="H187" s="336"/>
      <c r="I187" s="336"/>
      <c r="J187" s="336"/>
      <c r="K187" s="336"/>
      <c r="L187" s="336"/>
      <c r="M187" s="336"/>
      <c r="N187" s="336"/>
      <c r="O187" s="336"/>
      <c r="P187" s="336"/>
      <c r="Q187" s="336"/>
      <c r="R187" s="446"/>
      <c r="S187" s="336"/>
      <c r="T187" s="336"/>
      <c r="U187" s="314"/>
      <c r="V187" s="326">
        <v>12</v>
      </c>
      <c r="W187" s="447">
        <f t="shared" si="14"/>
        <v>0</v>
      </c>
      <c r="X187" s="447">
        <f t="shared" si="15"/>
        <v>0</v>
      </c>
      <c r="Y187" s="447">
        <f t="shared" si="16"/>
        <v>0</v>
      </c>
      <c r="Z187" s="447">
        <f t="shared" si="17"/>
        <v>0</v>
      </c>
      <c r="AA187" s="447">
        <f t="shared" si="18"/>
        <v>0</v>
      </c>
      <c r="AB187" s="447" t="e">
        <f t="shared" si="19"/>
        <v>#DIV/0!</v>
      </c>
      <c r="AC187" s="448" t="e">
        <f t="shared" si="20"/>
        <v>#DIV/0!</v>
      </c>
      <c r="AD187" s="11"/>
      <c r="AE187" s="349" t="str">
        <f>AF187&amp;TM[[#This Row],[Insurer Code]]&amp;"; "&amp;AG187&amp;TM[[#This Row],[Reporting Year]]&amp;"; "&amp;AH187&amp;TM[[#This Row],[Insurance Category Code]]&amp;"; "&amp;AI187&amp;TM[[#This Row],[Large Provider Entity Code]]</f>
        <v xml:space="preserve">Insurer Code ; Reporting Year ; Insurance Category Code ; Large Provider Entity Code </v>
      </c>
      <c r="AF187" s="345" t="s">
        <v>207</v>
      </c>
      <c r="AG187" s="345" t="s">
        <v>208</v>
      </c>
      <c r="AH187" s="345" t="s">
        <v>209</v>
      </c>
      <c r="AI187" s="345" t="s">
        <v>210</v>
      </c>
      <c r="AJ187" s="345"/>
      <c r="AK187" s="345"/>
      <c r="AL187" s="345"/>
      <c r="AM187" s="11"/>
      <c r="AN187" s="11"/>
      <c r="AO187" s="11"/>
    </row>
    <row r="188" spans="1:41" x14ac:dyDescent="0.25">
      <c r="A188" s="311"/>
      <c r="B188" s="321"/>
      <c r="C188" s="321"/>
      <c r="D188" s="321"/>
      <c r="E188" s="470"/>
      <c r="F188" s="442"/>
      <c r="G188" s="314"/>
      <c r="H188" s="314"/>
      <c r="I188" s="314"/>
      <c r="J188" s="314"/>
      <c r="K188" s="314"/>
      <c r="L188" s="314"/>
      <c r="M188" s="314"/>
      <c r="N188" s="314"/>
      <c r="O188" s="314"/>
      <c r="P188" s="314"/>
      <c r="Q188" s="314"/>
      <c r="R188" s="445"/>
      <c r="S188" s="314"/>
      <c r="T188" s="314"/>
      <c r="U188" s="314"/>
      <c r="V188" s="323">
        <v>0</v>
      </c>
      <c r="W188" s="447">
        <f t="shared" si="14"/>
        <v>0</v>
      </c>
      <c r="X188" s="447">
        <f t="shared" si="15"/>
        <v>0</v>
      </c>
      <c r="Y188" s="447">
        <f t="shared" si="16"/>
        <v>0</v>
      </c>
      <c r="Z188" s="447">
        <f t="shared" si="17"/>
        <v>0</v>
      </c>
      <c r="AA188" s="447">
        <f t="shared" si="18"/>
        <v>0</v>
      </c>
      <c r="AB188" s="447" t="e">
        <f t="shared" si="19"/>
        <v>#DIV/0!</v>
      </c>
      <c r="AC188" s="448" t="e">
        <f t="shared" si="20"/>
        <v>#DIV/0!</v>
      </c>
      <c r="AD188" s="11"/>
      <c r="AE188" s="349" t="str">
        <f>AF188&amp;TM[[#This Row],[Insurer Code]]&amp;"; "&amp;AG188&amp;TM[[#This Row],[Reporting Year]]&amp;"; "&amp;AH188&amp;TM[[#This Row],[Insurance Category Code]]&amp;"; "&amp;AI188&amp;TM[[#This Row],[Large Provider Entity Code]]</f>
        <v xml:space="preserve">Insurer Code ; Reporting Year ; Insurance Category Code ; Large Provider Entity Code </v>
      </c>
      <c r="AF188" s="345" t="s">
        <v>207</v>
      </c>
      <c r="AG188" s="345" t="s">
        <v>208</v>
      </c>
      <c r="AH188" s="345" t="s">
        <v>209</v>
      </c>
      <c r="AI188" s="345" t="s">
        <v>210</v>
      </c>
      <c r="AJ188" s="345"/>
      <c r="AK188" s="345"/>
      <c r="AL188" s="345"/>
      <c r="AM188" s="11"/>
      <c r="AN188" s="11"/>
      <c r="AO188" s="11"/>
    </row>
    <row r="189" spans="1:41" x14ac:dyDescent="0.25">
      <c r="A189" s="311"/>
      <c r="B189" s="321"/>
      <c r="C189" s="321"/>
      <c r="D189" s="321"/>
      <c r="E189" s="470"/>
      <c r="F189" s="442"/>
      <c r="G189" s="314"/>
      <c r="H189" s="314"/>
      <c r="I189" s="314"/>
      <c r="J189" s="314"/>
      <c r="K189" s="314"/>
      <c r="L189" s="314"/>
      <c r="M189" s="314"/>
      <c r="N189" s="314"/>
      <c r="O189" s="314"/>
      <c r="P189" s="314"/>
      <c r="Q189" s="314"/>
      <c r="R189" s="445"/>
      <c r="S189" s="314"/>
      <c r="T189" s="314"/>
      <c r="U189" s="314"/>
      <c r="V189" s="323">
        <v>17</v>
      </c>
      <c r="W189" s="447">
        <f t="shared" si="14"/>
        <v>0</v>
      </c>
      <c r="X189" s="447">
        <f t="shared" si="15"/>
        <v>0</v>
      </c>
      <c r="Y189" s="447">
        <f t="shared" si="16"/>
        <v>0</v>
      </c>
      <c r="Z189" s="447">
        <f t="shared" si="17"/>
        <v>0</v>
      </c>
      <c r="AA189" s="447">
        <f t="shared" si="18"/>
        <v>0</v>
      </c>
      <c r="AB189" s="447" t="e">
        <f t="shared" si="19"/>
        <v>#DIV/0!</v>
      </c>
      <c r="AC189" s="448" t="e">
        <f t="shared" si="20"/>
        <v>#DIV/0!</v>
      </c>
      <c r="AD189" s="11"/>
      <c r="AE189" s="349" t="str">
        <f>AF189&amp;TM[[#This Row],[Insurer Code]]&amp;"; "&amp;AG189&amp;TM[[#This Row],[Reporting Year]]&amp;"; "&amp;AH189&amp;TM[[#This Row],[Insurance Category Code]]&amp;"; "&amp;AI189&amp;TM[[#This Row],[Large Provider Entity Code]]</f>
        <v xml:space="preserve">Insurer Code ; Reporting Year ; Insurance Category Code ; Large Provider Entity Code </v>
      </c>
      <c r="AF189" s="345" t="s">
        <v>207</v>
      </c>
      <c r="AG189" s="345" t="s">
        <v>208</v>
      </c>
      <c r="AH189" s="345" t="s">
        <v>209</v>
      </c>
      <c r="AI189" s="345" t="s">
        <v>210</v>
      </c>
      <c r="AJ189" s="345"/>
      <c r="AK189" s="345"/>
      <c r="AL189" s="345"/>
      <c r="AM189" s="11"/>
      <c r="AN189" s="11"/>
      <c r="AO189" s="11"/>
    </row>
    <row r="190" spans="1:41" x14ac:dyDescent="0.25">
      <c r="A190" s="311"/>
      <c r="B190" s="321"/>
      <c r="C190" s="321"/>
      <c r="D190" s="321"/>
      <c r="E190" s="470"/>
      <c r="F190" s="442"/>
      <c r="G190" s="314"/>
      <c r="H190" s="314"/>
      <c r="I190" s="314"/>
      <c r="J190" s="314"/>
      <c r="K190" s="314"/>
      <c r="L190" s="314"/>
      <c r="M190" s="314"/>
      <c r="N190" s="314"/>
      <c r="O190" s="314"/>
      <c r="P190" s="314"/>
      <c r="Q190" s="314"/>
      <c r="R190" s="445"/>
      <c r="S190" s="314"/>
      <c r="T190" s="314"/>
      <c r="U190" s="314"/>
      <c r="V190" s="323">
        <v>12</v>
      </c>
      <c r="W190" s="451">
        <f t="shared" si="14"/>
        <v>0</v>
      </c>
      <c r="X190" s="451">
        <f t="shared" si="15"/>
        <v>0</v>
      </c>
      <c r="Y190" s="451">
        <f t="shared" si="16"/>
        <v>0</v>
      </c>
      <c r="Z190" s="451">
        <f t="shared" si="17"/>
        <v>0</v>
      </c>
      <c r="AA190" s="451">
        <f t="shared" si="18"/>
        <v>0</v>
      </c>
      <c r="AB190" s="451" t="e">
        <f t="shared" si="19"/>
        <v>#DIV/0!</v>
      </c>
      <c r="AC190" s="452" t="e">
        <f t="shared" si="20"/>
        <v>#DIV/0!</v>
      </c>
      <c r="AD190" s="11"/>
      <c r="AE190" s="349" t="str">
        <f>AF190&amp;TM[[#This Row],[Insurer Code]]&amp;"; "&amp;AG190&amp;TM[[#This Row],[Reporting Year]]&amp;"; "&amp;AH190&amp;TM[[#This Row],[Insurance Category Code]]&amp;"; "&amp;AI190&amp;TM[[#This Row],[Large Provider Entity Code]]</f>
        <v xml:space="preserve">Insurer Code ; Reporting Year ; Insurance Category Code ; Large Provider Entity Code </v>
      </c>
      <c r="AF190" s="345" t="s">
        <v>207</v>
      </c>
      <c r="AG190" s="345" t="s">
        <v>208</v>
      </c>
      <c r="AH190" s="345" t="s">
        <v>209</v>
      </c>
      <c r="AI190" s="345" t="s">
        <v>210</v>
      </c>
      <c r="AJ190" s="345"/>
      <c r="AK190" s="345"/>
      <c r="AL190" s="345"/>
      <c r="AM190" s="11"/>
      <c r="AN190" s="11"/>
      <c r="AO190" s="11"/>
    </row>
    <row r="191" spans="1:41" x14ac:dyDescent="0.25">
      <c r="A191" s="311"/>
      <c r="B191" s="321"/>
      <c r="C191" s="321"/>
      <c r="D191" s="321"/>
      <c r="E191" s="470"/>
      <c r="F191" s="442"/>
      <c r="G191" s="314"/>
      <c r="H191" s="314"/>
      <c r="I191" s="314"/>
      <c r="J191" s="314"/>
      <c r="K191" s="314"/>
      <c r="L191" s="314"/>
      <c r="M191" s="314"/>
      <c r="N191" s="314"/>
      <c r="O191" s="314"/>
      <c r="P191" s="314"/>
      <c r="Q191" s="314"/>
      <c r="R191" s="445"/>
      <c r="S191" s="314"/>
      <c r="T191" s="314"/>
      <c r="U191" s="314"/>
      <c r="V191" s="323">
        <v>0</v>
      </c>
      <c r="W191" s="451">
        <f t="shared" si="14"/>
        <v>0</v>
      </c>
      <c r="X191" s="451">
        <f t="shared" si="15"/>
        <v>0</v>
      </c>
      <c r="Y191" s="451">
        <f t="shared" si="16"/>
        <v>0</v>
      </c>
      <c r="Z191" s="451">
        <f t="shared" si="17"/>
        <v>0</v>
      </c>
      <c r="AA191" s="451">
        <f t="shared" si="18"/>
        <v>0</v>
      </c>
      <c r="AB191" s="451" t="e">
        <f t="shared" si="19"/>
        <v>#DIV/0!</v>
      </c>
      <c r="AC191" s="452" t="e">
        <f t="shared" si="20"/>
        <v>#DIV/0!</v>
      </c>
      <c r="AD191" s="11"/>
      <c r="AE191" s="349" t="str">
        <f>AF191&amp;TM[[#This Row],[Insurer Code]]&amp;"; "&amp;AG191&amp;TM[[#This Row],[Reporting Year]]&amp;"; "&amp;AH191&amp;TM[[#This Row],[Insurance Category Code]]&amp;"; "&amp;AI191&amp;TM[[#This Row],[Large Provider Entity Code]]</f>
        <v xml:space="preserve">Insurer Code ; Reporting Year ; Insurance Category Code ; Large Provider Entity Code </v>
      </c>
      <c r="AF191" s="345" t="s">
        <v>207</v>
      </c>
      <c r="AG191" s="345" t="s">
        <v>208</v>
      </c>
      <c r="AH191" s="345" t="s">
        <v>209</v>
      </c>
      <c r="AI191" s="345" t="s">
        <v>210</v>
      </c>
      <c r="AJ191" s="345"/>
      <c r="AK191" s="345"/>
      <c r="AL191" s="345"/>
      <c r="AM191" s="11"/>
      <c r="AN191" s="11"/>
      <c r="AO191" s="11"/>
    </row>
    <row r="192" spans="1:41" x14ac:dyDescent="0.25">
      <c r="A192" s="311"/>
      <c r="B192" s="321"/>
      <c r="C192" s="321"/>
      <c r="D192" s="321"/>
      <c r="E192" s="470"/>
      <c r="F192" s="442"/>
      <c r="G192" s="314"/>
      <c r="H192" s="314"/>
      <c r="I192" s="314"/>
      <c r="J192" s="314"/>
      <c r="K192" s="314"/>
      <c r="L192" s="314"/>
      <c r="M192" s="314"/>
      <c r="N192" s="314"/>
      <c r="O192" s="314"/>
      <c r="P192" s="314"/>
      <c r="Q192" s="314"/>
      <c r="R192" s="445"/>
      <c r="S192" s="314"/>
      <c r="T192" s="314"/>
      <c r="U192" s="314"/>
      <c r="V192" s="323">
        <v>20</v>
      </c>
      <c r="W192" s="451">
        <f t="shared" si="14"/>
        <v>0</v>
      </c>
      <c r="X192" s="451">
        <f t="shared" si="15"/>
        <v>0</v>
      </c>
      <c r="Y192" s="451">
        <f t="shared" si="16"/>
        <v>0</v>
      </c>
      <c r="Z192" s="451">
        <f t="shared" si="17"/>
        <v>0</v>
      </c>
      <c r="AA192" s="451">
        <f t="shared" si="18"/>
        <v>0</v>
      </c>
      <c r="AB192" s="451" t="e">
        <f t="shared" si="19"/>
        <v>#DIV/0!</v>
      </c>
      <c r="AC192" s="452" t="e">
        <f t="shared" si="20"/>
        <v>#DIV/0!</v>
      </c>
      <c r="AD192" s="11"/>
      <c r="AE192" s="349" t="str">
        <f>AF192&amp;TM[[#This Row],[Insurer Code]]&amp;"; "&amp;AG192&amp;TM[[#This Row],[Reporting Year]]&amp;"; "&amp;AH192&amp;TM[[#This Row],[Insurance Category Code]]&amp;"; "&amp;AI192&amp;TM[[#This Row],[Large Provider Entity Code]]</f>
        <v xml:space="preserve">Insurer Code ; Reporting Year ; Insurance Category Code ; Large Provider Entity Code </v>
      </c>
      <c r="AF192" s="345" t="s">
        <v>207</v>
      </c>
      <c r="AG192" s="345" t="s">
        <v>208</v>
      </c>
      <c r="AH192" s="345" t="s">
        <v>209</v>
      </c>
      <c r="AI192" s="345" t="s">
        <v>210</v>
      </c>
      <c r="AJ192" s="345"/>
      <c r="AK192" s="345"/>
      <c r="AL192" s="345"/>
      <c r="AM192" s="11"/>
      <c r="AN192" s="11"/>
      <c r="AO192" s="11"/>
    </row>
    <row r="193" spans="1:41" x14ac:dyDescent="0.25">
      <c r="A193" s="311"/>
      <c r="B193" s="321"/>
      <c r="C193" s="321"/>
      <c r="D193" s="321"/>
      <c r="E193" s="470"/>
      <c r="F193" s="442"/>
      <c r="G193" s="314"/>
      <c r="H193" s="314"/>
      <c r="I193" s="314"/>
      <c r="J193" s="314"/>
      <c r="K193" s="314"/>
      <c r="L193" s="314"/>
      <c r="M193" s="314"/>
      <c r="N193" s="314"/>
      <c r="O193" s="314"/>
      <c r="P193" s="314"/>
      <c r="Q193" s="314"/>
      <c r="R193" s="445"/>
      <c r="S193" s="314"/>
      <c r="T193" s="314"/>
      <c r="U193" s="314"/>
      <c r="V193" s="323">
        <v>1</v>
      </c>
      <c r="W193" s="451">
        <f t="shared" si="14"/>
        <v>0</v>
      </c>
      <c r="X193" s="451">
        <f t="shared" si="15"/>
        <v>0</v>
      </c>
      <c r="Y193" s="451">
        <f t="shared" si="16"/>
        <v>0</v>
      </c>
      <c r="Z193" s="451">
        <f t="shared" si="17"/>
        <v>0</v>
      </c>
      <c r="AA193" s="451">
        <f t="shared" si="18"/>
        <v>0</v>
      </c>
      <c r="AB193" s="451" t="e">
        <f t="shared" si="19"/>
        <v>#DIV/0!</v>
      </c>
      <c r="AC193" s="452" t="e">
        <f t="shared" si="20"/>
        <v>#DIV/0!</v>
      </c>
      <c r="AD193" s="11"/>
      <c r="AE193" s="349" t="str">
        <f>AF193&amp;TM[[#This Row],[Insurer Code]]&amp;"; "&amp;AG193&amp;TM[[#This Row],[Reporting Year]]&amp;"; "&amp;AH193&amp;TM[[#This Row],[Insurance Category Code]]&amp;"; "&amp;AI193&amp;TM[[#This Row],[Large Provider Entity Code]]</f>
        <v xml:space="preserve">Insurer Code ; Reporting Year ; Insurance Category Code ; Large Provider Entity Code </v>
      </c>
      <c r="AF193" s="345" t="s">
        <v>207</v>
      </c>
      <c r="AG193" s="345" t="s">
        <v>208</v>
      </c>
      <c r="AH193" s="345" t="s">
        <v>209</v>
      </c>
      <c r="AI193" s="345" t="s">
        <v>210</v>
      </c>
      <c r="AJ193" s="345"/>
      <c r="AK193" s="345"/>
      <c r="AL193" s="345"/>
      <c r="AM193" s="11"/>
      <c r="AN193" s="11"/>
      <c r="AO193" s="11"/>
    </row>
    <row r="194" spans="1:41" x14ac:dyDescent="0.25">
      <c r="A194" s="311"/>
      <c r="B194" s="321"/>
      <c r="C194" s="321"/>
      <c r="D194" s="321"/>
      <c r="E194" s="322"/>
      <c r="F194" s="314"/>
      <c r="G194" s="314"/>
      <c r="H194" s="314"/>
      <c r="I194" s="314"/>
      <c r="J194" s="314"/>
      <c r="K194" s="314"/>
      <c r="L194" s="314"/>
      <c r="M194" s="314"/>
      <c r="N194" s="314"/>
      <c r="O194" s="314"/>
      <c r="P194" s="314"/>
      <c r="Q194" s="314"/>
      <c r="R194" s="445"/>
      <c r="S194" s="314"/>
      <c r="T194" s="314"/>
      <c r="U194" s="314"/>
      <c r="V194" s="323">
        <v>5</v>
      </c>
      <c r="W194" s="447">
        <f t="shared" si="14"/>
        <v>0</v>
      </c>
      <c r="X194" s="447">
        <f t="shared" si="15"/>
        <v>0</v>
      </c>
      <c r="Y194" s="447">
        <f t="shared" si="16"/>
        <v>0</v>
      </c>
      <c r="Z194" s="447">
        <f t="shared" si="17"/>
        <v>0</v>
      </c>
      <c r="AA194" s="447">
        <f t="shared" si="18"/>
        <v>0</v>
      </c>
      <c r="AB194" s="447" t="e">
        <f t="shared" si="19"/>
        <v>#DIV/0!</v>
      </c>
      <c r="AC194" s="448" t="e">
        <f t="shared" si="20"/>
        <v>#DIV/0!</v>
      </c>
      <c r="AD194" s="11"/>
      <c r="AE194" s="349" t="str">
        <f>AF194&amp;TM[[#This Row],[Insurer Code]]&amp;"; "&amp;AG194&amp;TM[[#This Row],[Reporting Year]]&amp;"; "&amp;AH194&amp;TM[[#This Row],[Insurance Category Code]]&amp;"; "&amp;AI194&amp;TM[[#This Row],[Large Provider Entity Code]]</f>
        <v xml:space="preserve">Insurer Code ; Reporting Year ; Insurance Category Code ; Large Provider Entity Code </v>
      </c>
      <c r="AF194" s="345" t="s">
        <v>207</v>
      </c>
      <c r="AG194" s="345" t="s">
        <v>208</v>
      </c>
      <c r="AH194" s="345" t="s">
        <v>209</v>
      </c>
      <c r="AI194" s="345" t="s">
        <v>210</v>
      </c>
      <c r="AJ194" s="345"/>
      <c r="AK194" s="345"/>
      <c r="AL194" s="345"/>
      <c r="AM194" s="11"/>
      <c r="AN194" s="11"/>
      <c r="AO194" s="11"/>
    </row>
    <row r="195" spans="1:41" x14ac:dyDescent="0.25">
      <c r="A195" s="311"/>
      <c r="B195" s="321"/>
      <c r="C195" s="321"/>
      <c r="D195" s="321"/>
      <c r="E195" s="322"/>
      <c r="F195" s="314"/>
      <c r="G195" s="314"/>
      <c r="H195" s="314"/>
      <c r="I195" s="314"/>
      <c r="J195" s="314"/>
      <c r="K195" s="314"/>
      <c r="L195" s="314"/>
      <c r="M195" s="314"/>
      <c r="N195" s="314"/>
      <c r="O195" s="314"/>
      <c r="P195" s="314"/>
      <c r="Q195" s="314"/>
      <c r="R195" s="445"/>
      <c r="S195" s="314"/>
      <c r="T195" s="314"/>
      <c r="U195" s="314"/>
      <c r="V195" s="323">
        <v>0</v>
      </c>
      <c r="W195" s="447">
        <f t="shared" si="14"/>
        <v>0</v>
      </c>
      <c r="X195" s="447">
        <f t="shared" si="15"/>
        <v>0</v>
      </c>
      <c r="Y195" s="447">
        <f t="shared" si="16"/>
        <v>0</v>
      </c>
      <c r="Z195" s="447">
        <f t="shared" si="17"/>
        <v>0</v>
      </c>
      <c r="AA195" s="447">
        <f t="shared" si="18"/>
        <v>0</v>
      </c>
      <c r="AB195" s="447" t="e">
        <f t="shared" si="19"/>
        <v>#DIV/0!</v>
      </c>
      <c r="AC195" s="448" t="e">
        <f t="shared" si="20"/>
        <v>#DIV/0!</v>
      </c>
      <c r="AD195" s="11"/>
      <c r="AE195" s="349" t="str">
        <f>AF195&amp;TM[[#This Row],[Insurer Code]]&amp;"; "&amp;AG195&amp;TM[[#This Row],[Reporting Year]]&amp;"; "&amp;AH195&amp;TM[[#This Row],[Insurance Category Code]]&amp;"; "&amp;AI195&amp;TM[[#This Row],[Large Provider Entity Code]]</f>
        <v xml:space="preserve">Insurer Code ; Reporting Year ; Insurance Category Code ; Large Provider Entity Code </v>
      </c>
      <c r="AF195" s="345" t="s">
        <v>207</v>
      </c>
      <c r="AG195" s="345" t="s">
        <v>208</v>
      </c>
      <c r="AH195" s="345" t="s">
        <v>209</v>
      </c>
      <c r="AI195" s="345" t="s">
        <v>210</v>
      </c>
      <c r="AJ195" s="345"/>
      <c r="AK195" s="345"/>
      <c r="AL195" s="345"/>
      <c r="AM195" s="11"/>
      <c r="AN195" s="11"/>
      <c r="AO195" s="11"/>
    </row>
    <row r="196" spans="1:41" x14ac:dyDescent="0.25">
      <c r="A196" s="311"/>
      <c r="B196" s="324"/>
      <c r="C196" s="324"/>
      <c r="D196" s="324"/>
      <c r="E196" s="327"/>
      <c r="F196" s="336"/>
      <c r="G196" s="336"/>
      <c r="H196" s="336"/>
      <c r="I196" s="336"/>
      <c r="J196" s="336"/>
      <c r="K196" s="336"/>
      <c r="L196" s="336"/>
      <c r="M196" s="336"/>
      <c r="N196" s="336"/>
      <c r="O196" s="336"/>
      <c r="P196" s="336"/>
      <c r="Q196" s="336"/>
      <c r="R196" s="446"/>
      <c r="S196" s="336"/>
      <c r="T196" s="336"/>
      <c r="U196" s="314"/>
      <c r="V196" s="326">
        <v>84</v>
      </c>
      <c r="W196" s="447">
        <f t="shared" si="14"/>
        <v>0</v>
      </c>
      <c r="X196" s="447">
        <f t="shared" si="15"/>
        <v>0</v>
      </c>
      <c r="Y196" s="447">
        <f t="shared" si="16"/>
        <v>0</v>
      </c>
      <c r="Z196" s="447">
        <f t="shared" si="17"/>
        <v>0</v>
      </c>
      <c r="AA196" s="447">
        <f t="shared" si="18"/>
        <v>0</v>
      </c>
      <c r="AB196" s="447" t="e">
        <f t="shared" si="19"/>
        <v>#DIV/0!</v>
      </c>
      <c r="AC196" s="448" t="e">
        <f t="shared" si="20"/>
        <v>#DIV/0!</v>
      </c>
      <c r="AD196" s="11"/>
      <c r="AE196" s="349" t="str">
        <f>AF196&amp;TM[[#This Row],[Insurer Code]]&amp;"; "&amp;AG196&amp;TM[[#This Row],[Reporting Year]]&amp;"; "&amp;AH196&amp;TM[[#This Row],[Insurance Category Code]]&amp;"; "&amp;AI196&amp;TM[[#This Row],[Large Provider Entity Code]]</f>
        <v xml:space="preserve">Insurer Code ; Reporting Year ; Insurance Category Code ; Large Provider Entity Code </v>
      </c>
      <c r="AF196" s="345" t="s">
        <v>207</v>
      </c>
      <c r="AG196" s="345" t="s">
        <v>208</v>
      </c>
      <c r="AH196" s="345" t="s">
        <v>209</v>
      </c>
      <c r="AI196" s="345" t="s">
        <v>210</v>
      </c>
      <c r="AJ196" s="345"/>
      <c r="AK196" s="345"/>
      <c r="AL196" s="345"/>
      <c r="AM196" s="11"/>
      <c r="AN196" s="11"/>
      <c r="AO196" s="11"/>
    </row>
    <row r="197" spans="1:41" x14ac:dyDescent="0.25">
      <c r="A197" s="311"/>
      <c r="B197" s="324"/>
      <c r="C197" s="324"/>
      <c r="D197" s="324"/>
      <c r="E197" s="327"/>
      <c r="F197" s="336"/>
      <c r="G197" s="336"/>
      <c r="H197" s="336"/>
      <c r="I197" s="336"/>
      <c r="J197" s="336"/>
      <c r="K197" s="336"/>
      <c r="L197" s="336"/>
      <c r="M197" s="336"/>
      <c r="N197" s="336"/>
      <c r="O197" s="336"/>
      <c r="P197" s="336"/>
      <c r="Q197" s="336"/>
      <c r="R197" s="446"/>
      <c r="S197" s="336"/>
      <c r="T197" s="336"/>
      <c r="U197" s="314"/>
      <c r="V197" s="326">
        <v>62</v>
      </c>
      <c r="W197" s="447">
        <f t="shared" si="14"/>
        <v>0</v>
      </c>
      <c r="X197" s="447">
        <f t="shared" si="15"/>
        <v>0</v>
      </c>
      <c r="Y197" s="447">
        <f t="shared" si="16"/>
        <v>0</v>
      </c>
      <c r="Z197" s="447">
        <f t="shared" si="17"/>
        <v>0</v>
      </c>
      <c r="AA197" s="447">
        <f t="shared" si="18"/>
        <v>0</v>
      </c>
      <c r="AB197" s="447" t="e">
        <f t="shared" si="19"/>
        <v>#DIV/0!</v>
      </c>
      <c r="AC197" s="448" t="e">
        <f t="shared" si="20"/>
        <v>#DIV/0!</v>
      </c>
      <c r="AD197" s="11"/>
      <c r="AE197" s="349" t="str">
        <f>AF197&amp;TM[[#This Row],[Insurer Code]]&amp;"; "&amp;AG197&amp;TM[[#This Row],[Reporting Year]]&amp;"; "&amp;AH197&amp;TM[[#This Row],[Insurance Category Code]]&amp;"; "&amp;AI197&amp;TM[[#This Row],[Large Provider Entity Code]]</f>
        <v xml:space="preserve">Insurer Code ; Reporting Year ; Insurance Category Code ; Large Provider Entity Code </v>
      </c>
      <c r="AF197" s="345" t="s">
        <v>207</v>
      </c>
      <c r="AG197" s="345" t="s">
        <v>208</v>
      </c>
      <c r="AH197" s="345" t="s">
        <v>209</v>
      </c>
      <c r="AI197" s="345" t="s">
        <v>210</v>
      </c>
      <c r="AJ197" s="345"/>
      <c r="AK197" s="345"/>
      <c r="AL197" s="345"/>
      <c r="AM197" s="11"/>
      <c r="AN197" s="11"/>
      <c r="AO197" s="11"/>
    </row>
    <row r="198" spans="1:41" x14ac:dyDescent="0.25">
      <c r="A198" s="311"/>
      <c r="B198" s="321"/>
      <c r="C198" s="321"/>
      <c r="D198" s="321"/>
      <c r="E198" s="322"/>
      <c r="F198" s="314"/>
      <c r="G198" s="314"/>
      <c r="H198" s="314"/>
      <c r="I198" s="314"/>
      <c r="J198" s="314"/>
      <c r="K198" s="314"/>
      <c r="L198" s="314"/>
      <c r="M198" s="314"/>
      <c r="N198" s="314"/>
      <c r="O198" s="314"/>
      <c r="P198" s="314"/>
      <c r="Q198" s="314"/>
      <c r="R198" s="445"/>
      <c r="S198" s="314"/>
      <c r="T198" s="314"/>
      <c r="U198" s="314"/>
      <c r="V198" s="323">
        <v>1</v>
      </c>
      <c r="W198" s="447">
        <f t="shared" si="14"/>
        <v>0</v>
      </c>
      <c r="X198" s="447">
        <f t="shared" si="15"/>
        <v>0</v>
      </c>
      <c r="Y198" s="447">
        <f t="shared" si="16"/>
        <v>0</v>
      </c>
      <c r="Z198" s="447">
        <f t="shared" si="17"/>
        <v>0</v>
      </c>
      <c r="AA198" s="447">
        <f t="shared" si="18"/>
        <v>0</v>
      </c>
      <c r="AB198" s="447" t="e">
        <f t="shared" si="19"/>
        <v>#DIV/0!</v>
      </c>
      <c r="AC198" s="448" t="e">
        <f t="shared" si="20"/>
        <v>#DIV/0!</v>
      </c>
      <c r="AD198" s="11"/>
      <c r="AE198" s="349" t="str">
        <f>AF198&amp;TM[[#This Row],[Insurer Code]]&amp;"; "&amp;AG198&amp;TM[[#This Row],[Reporting Year]]&amp;"; "&amp;AH198&amp;TM[[#This Row],[Insurance Category Code]]&amp;"; "&amp;AI198&amp;TM[[#This Row],[Large Provider Entity Code]]</f>
        <v xml:space="preserve">Insurer Code ; Reporting Year ; Insurance Category Code ; Large Provider Entity Code </v>
      </c>
      <c r="AF198" s="345" t="s">
        <v>207</v>
      </c>
      <c r="AG198" s="345" t="s">
        <v>208</v>
      </c>
      <c r="AH198" s="345" t="s">
        <v>209</v>
      </c>
      <c r="AI198" s="345" t="s">
        <v>210</v>
      </c>
      <c r="AJ198" s="345"/>
      <c r="AK198" s="345"/>
      <c r="AL198" s="345"/>
      <c r="AM198" s="11"/>
      <c r="AN198" s="11"/>
      <c r="AO198" s="11"/>
    </row>
    <row r="199" spans="1:41" x14ac:dyDescent="0.25">
      <c r="A199" s="311"/>
      <c r="B199" s="321"/>
      <c r="C199" s="321"/>
      <c r="D199" s="321"/>
      <c r="E199" s="322"/>
      <c r="F199" s="314"/>
      <c r="G199" s="314"/>
      <c r="H199" s="314"/>
      <c r="I199" s="314"/>
      <c r="J199" s="314"/>
      <c r="K199" s="314"/>
      <c r="L199" s="314"/>
      <c r="M199" s="314"/>
      <c r="N199" s="314"/>
      <c r="O199" s="314"/>
      <c r="P199" s="314"/>
      <c r="Q199" s="314"/>
      <c r="R199" s="445"/>
      <c r="S199" s="314"/>
      <c r="T199" s="314"/>
      <c r="U199" s="314"/>
      <c r="V199" s="323">
        <v>0</v>
      </c>
      <c r="W199" s="447">
        <f t="shared" si="14"/>
        <v>0</v>
      </c>
      <c r="X199" s="447">
        <f t="shared" si="15"/>
        <v>0</v>
      </c>
      <c r="Y199" s="447">
        <f t="shared" si="16"/>
        <v>0</v>
      </c>
      <c r="Z199" s="447">
        <f t="shared" si="17"/>
        <v>0</v>
      </c>
      <c r="AA199" s="447">
        <f t="shared" si="18"/>
        <v>0</v>
      </c>
      <c r="AB199" s="447" t="e">
        <f t="shared" si="19"/>
        <v>#DIV/0!</v>
      </c>
      <c r="AC199" s="448" t="e">
        <f t="shared" si="20"/>
        <v>#DIV/0!</v>
      </c>
      <c r="AD199" s="11"/>
      <c r="AE199" s="349" t="str">
        <f>AF199&amp;TM[[#This Row],[Insurer Code]]&amp;"; "&amp;AG199&amp;TM[[#This Row],[Reporting Year]]&amp;"; "&amp;AH199&amp;TM[[#This Row],[Insurance Category Code]]&amp;"; "&amp;AI199&amp;TM[[#This Row],[Large Provider Entity Code]]</f>
        <v xml:space="preserve">Insurer Code ; Reporting Year ; Insurance Category Code ; Large Provider Entity Code </v>
      </c>
      <c r="AF199" s="345" t="s">
        <v>207</v>
      </c>
      <c r="AG199" s="345" t="s">
        <v>208</v>
      </c>
      <c r="AH199" s="345" t="s">
        <v>209</v>
      </c>
      <c r="AI199" s="345" t="s">
        <v>210</v>
      </c>
      <c r="AJ199" s="345"/>
      <c r="AK199" s="345"/>
      <c r="AL199" s="345"/>
      <c r="AM199" s="11"/>
      <c r="AN199" s="11"/>
      <c r="AO199" s="11"/>
    </row>
    <row r="200" spans="1:41" x14ac:dyDescent="0.25">
      <c r="A200" s="311"/>
      <c r="B200" s="324"/>
      <c r="C200" s="324"/>
      <c r="D200" s="324"/>
      <c r="E200" s="327"/>
      <c r="F200" s="336"/>
      <c r="G200" s="336"/>
      <c r="H200" s="336"/>
      <c r="I200" s="336"/>
      <c r="J200" s="336"/>
      <c r="K200" s="336"/>
      <c r="L200" s="336"/>
      <c r="M200" s="336"/>
      <c r="N200" s="336"/>
      <c r="O200" s="336"/>
      <c r="P200" s="336"/>
      <c r="Q200" s="336"/>
      <c r="R200" s="446"/>
      <c r="S200" s="336"/>
      <c r="T200" s="336"/>
      <c r="U200" s="314"/>
      <c r="V200" s="326">
        <v>72</v>
      </c>
      <c r="W200" s="447">
        <f t="shared" si="14"/>
        <v>0</v>
      </c>
      <c r="X200" s="447">
        <f t="shared" si="15"/>
        <v>0</v>
      </c>
      <c r="Y200" s="447">
        <f t="shared" si="16"/>
        <v>0</v>
      </c>
      <c r="Z200" s="447">
        <f t="shared" si="17"/>
        <v>0</v>
      </c>
      <c r="AA200" s="447">
        <f t="shared" si="18"/>
        <v>0</v>
      </c>
      <c r="AB200" s="447" t="e">
        <f t="shared" si="19"/>
        <v>#DIV/0!</v>
      </c>
      <c r="AC200" s="448" t="e">
        <f t="shared" si="20"/>
        <v>#DIV/0!</v>
      </c>
      <c r="AD200" s="11"/>
      <c r="AE200" s="349" t="str">
        <f>AF200&amp;TM[[#This Row],[Insurer Code]]&amp;"; "&amp;AG200&amp;TM[[#This Row],[Reporting Year]]&amp;"; "&amp;AH200&amp;TM[[#This Row],[Insurance Category Code]]&amp;"; "&amp;AI200&amp;TM[[#This Row],[Large Provider Entity Code]]</f>
        <v xml:space="preserve">Insurer Code ; Reporting Year ; Insurance Category Code ; Large Provider Entity Code </v>
      </c>
      <c r="AF200" s="345" t="s">
        <v>207</v>
      </c>
      <c r="AG200" s="345" t="s">
        <v>208</v>
      </c>
      <c r="AH200" s="345" t="s">
        <v>209</v>
      </c>
      <c r="AI200" s="345" t="s">
        <v>210</v>
      </c>
      <c r="AJ200" s="345"/>
      <c r="AK200" s="345"/>
      <c r="AL200" s="345"/>
      <c r="AM200" s="11"/>
      <c r="AN200" s="11"/>
      <c r="AO200" s="11"/>
    </row>
    <row r="201" spans="1:41" x14ac:dyDescent="0.25">
      <c r="A201" s="311"/>
      <c r="B201" s="324"/>
      <c r="C201" s="324"/>
      <c r="D201" s="324"/>
      <c r="E201" s="327"/>
      <c r="F201" s="336"/>
      <c r="G201" s="336"/>
      <c r="H201" s="336"/>
      <c r="I201" s="336"/>
      <c r="J201" s="336"/>
      <c r="K201" s="336"/>
      <c r="L201" s="336"/>
      <c r="M201" s="336"/>
      <c r="N201" s="336"/>
      <c r="O201" s="336"/>
      <c r="P201" s="336"/>
      <c r="Q201" s="336"/>
      <c r="R201" s="446"/>
      <c r="S201" s="336"/>
      <c r="T201" s="336"/>
      <c r="U201" s="314"/>
      <c r="V201" s="326">
        <v>6</v>
      </c>
      <c r="W201" s="447">
        <f t="shared" si="14"/>
        <v>0</v>
      </c>
      <c r="X201" s="447">
        <f t="shared" si="15"/>
        <v>0</v>
      </c>
      <c r="Y201" s="447">
        <f t="shared" si="16"/>
        <v>0</v>
      </c>
      <c r="Z201" s="447">
        <f t="shared" si="17"/>
        <v>0</v>
      </c>
      <c r="AA201" s="447">
        <f t="shared" si="18"/>
        <v>0</v>
      </c>
      <c r="AB201" s="447" t="e">
        <f t="shared" si="19"/>
        <v>#DIV/0!</v>
      </c>
      <c r="AC201" s="448" t="e">
        <f t="shared" si="20"/>
        <v>#DIV/0!</v>
      </c>
      <c r="AD201" s="11"/>
      <c r="AE201" s="349" t="str">
        <f>AF201&amp;TM[[#This Row],[Insurer Code]]&amp;"; "&amp;AG201&amp;TM[[#This Row],[Reporting Year]]&amp;"; "&amp;AH201&amp;TM[[#This Row],[Insurance Category Code]]&amp;"; "&amp;AI201&amp;TM[[#This Row],[Large Provider Entity Code]]</f>
        <v xml:space="preserve">Insurer Code ; Reporting Year ; Insurance Category Code ; Large Provider Entity Code </v>
      </c>
      <c r="AF201" s="345" t="s">
        <v>207</v>
      </c>
      <c r="AG201" s="345" t="s">
        <v>208</v>
      </c>
      <c r="AH201" s="345" t="s">
        <v>209</v>
      </c>
      <c r="AI201" s="345" t="s">
        <v>210</v>
      </c>
      <c r="AJ201" s="345"/>
      <c r="AK201" s="345"/>
      <c r="AL201" s="345"/>
      <c r="AM201" s="11"/>
      <c r="AN201" s="11"/>
      <c r="AO201" s="11"/>
    </row>
    <row r="202" spans="1:41" x14ac:dyDescent="0.25">
      <c r="A202" s="311"/>
      <c r="B202" s="324"/>
      <c r="C202" s="324"/>
      <c r="D202" s="324"/>
      <c r="E202" s="327"/>
      <c r="F202" s="336"/>
      <c r="G202" s="336"/>
      <c r="H202" s="336"/>
      <c r="I202" s="336"/>
      <c r="J202" s="336"/>
      <c r="K202" s="336"/>
      <c r="L202" s="336"/>
      <c r="M202" s="336"/>
      <c r="N202" s="336"/>
      <c r="O202" s="336"/>
      <c r="P202" s="336"/>
      <c r="Q202" s="336"/>
      <c r="R202" s="446"/>
      <c r="S202" s="336"/>
      <c r="T202" s="336"/>
      <c r="U202" s="314"/>
      <c r="V202" s="326">
        <v>6</v>
      </c>
      <c r="W202" s="447">
        <f t="shared" si="14"/>
        <v>0</v>
      </c>
      <c r="X202" s="447">
        <f t="shared" si="15"/>
        <v>0</v>
      </c>
      <c r="Y202" s="447">
        <f t="shared" si="16"/>
        <v>0</v>
      </c>
      <c r="Z202" s="447">
        <f t="shared" si="17"/>
        <v>0</v>
      </c>
      <c r="AA202" s="447">
        <f t="shared" si="18"/>
        <v>0</v>
      </c>
      <c r="AB202" s="447" t="e">
        <f t="shared" si="19"/>
        <v>#DIV/0!</v>
      </c>
      <c r="AC202" s="448" t="e">
        <f t="shared" si="20"/>
        <v>#DIV/0!</v>
      </c>
      <c r="AD202" s="11"/>
      <c r="AE202" s="349" t="str">
        <f>AF202&amp;TM[[#This Row],[Insurer Code]]&amp;"; "&amp;AG202&amp;TM[[#This Row],[Reporting Year]]&amp;"; "&amp;AH202&amp;TM[[#This Row],[Insurance Category Code]]&amp;"; "&amp;AI202&amp;TM[[#This Row],[Large Provider Entity Code]]</f>
        <v xml:space="preserve">Insurer Code ; Reporting Year ; Insurance Category Code ; Large Provider Entity Code </v>
      </c>
      <c r="AF202" s="345" t="s">
        <v>207</v>
      </c>
      <c r="AG202" s="345" t="s">
        <v>208</v>
      </c>
      <c r="AH202" s="345" t="s">
        <v>209</v>
      </c>
      <c r="AI202" s="345" t="s">
        <v>210</v>
      </c>
      <c r="AJ202" s="345"/>
      <c r="AK202" s="345"/>
      <c r="AL202" s="345"/>
      <c r="AM202" s="11"/>
      <c r="AN202" s="11"/>
      <c r="AO202" s="11"/>
    </row>
    <row r="203" spans="1:41" x14ac:dyDescent="0.25">
      <c r="A203" s="311"/>
      <c r="B203" s="324"/>
      <c r="C203" s="324"/>
      <c r="D203" s="324"/>
      <c r="E203" s="325"/>
      <c r="F203" s="336"/>
      <c r="G203" s="336"/>
      <c r="H203" s="336"/>
      <c r="I203" s="336"/>
      <c r="J203" s="336"/>
      <c r="K203" s="336"/>
      <c r="L203" s="336"/>
      <c r="M203" s="336"/>
      <c r="N203" s="336"/>
      <c r="O203" s="336"/>
      <c r="P203" s="336"/>
      <c r="Q203" s="336"/>
      <c r="R203" s="446"/>
      <c r="S203" s="336"/>
      <c r="T203" s="336"/>
      <c r="U203" s="314"/>
      <c r="V203" s="326">
        <v>96</v>
      </c>
      <c r="W203" s="447">
        <f t="shared" si="14"/>
        <v>0</v>
      </c>
      <c r="X203" s="447">
        <f t="shared" si="15"/>
        <v>0</v>
      </c>
      <c r="Y203" s="447">
        <f t="shared" si="16"/>
        <v>0</v>
      </c>
      <c r="Z203" s="447">
        <f t="shared" si="17"/>
        <v>0</v>
      </c>
      <c r="AA203" s="447">
        <f t="shared" si="18"/>
        <v>0</v>
      </c>
      <c r="AB203" s="447" t="e">
        <f t="shared" si="19"/>
        <v>#DIV/0!</v>
      </c>
      <c r="AC203" s="448" t="e">
        <f t="shared" si="20"/>
        <v>#DIV/0!</v>
      </c>
      <c r="AD203" s="11"/>
      <c r="AE203" s="349" t="str">
        <f>AF203&amp;TM[[#This Row],[Insurer Code]]&amp;"; "&amp;AG203&amp;TM[[#This Row],[Reporting Year]]&amp;"; "&amp;AH203&amp;TM[[#This Row],[Insurance Category Code]]&amp;"; "&amp;AI203&amp;TM[[#This Row],[Large Provider Entity Code]]</f>
        <v xml:space="preserve">Insurer Code ; Reporting Year ; Insurance Category Code ; Large Provider Entity Code </v>
      </c>
      <c r="AF203" s="345" t="s">
        <v>207</v>
      </c>
      <c r="AG203" s="345" t="s">
        <v>208</v>
      </c>
      <c r="AH203" s="345" t="s">
        <v>209</v>
      </c>
      <c r="AI203" s="345" t="s">
        <v>210</v>
      </c>
      <c r="AJ203" s="345"/>
      <c r="AK203" s="345"/>
      <c r="AL203" s="345"/>
      <c r="AM203" s="11"/>
      <c r="AN203" s="11"/>
      <c r="AO203" s="11"/>
    </row>
    <row r="204" spans="1:41" x14ac:dyDescent="0.25">
      <c r="A204" s="311"/>
      <c r="B204" s="324"/>
      <c r="C204" s="324"/>
      <c r="D204" s="324"/>
      <c r="E204" s="325"/>
      <c r="F204" s="336"/>
      <c r="G204" s="336"/>
      <c r="H204" s="336"/>
      <c r="I204" s="336"/>
      <c r="J204" s="336"/>
      <c r="K204" s="336"/>
      <c r="L204" s="336"/>
      <c r="M204" s="336"/>
      <c r="N204" s="336"/>
      <c r="O204" s="336"/>
      <c r="P204" s="336"/>
      <c r="Q204" s="336"/>
      <c r="R204" s="446"/>
      <c r="S204" s="336"/>
      <c r="T204" s="336"/>
      <c r="U204" s="314"/>
      <c r="V204" s="326">
        <v>112</v>
      </c>
      <c r="W204" s="447">
        <f t="shared" ref="W204:W267" si="21">SUM(F204:M204)</f>
        <v>0</v>
      </c>
      <c r="X204" s="447">
        <f t="shared" ref="X204:X267" si="22">SUM(N204:S204)</f>
        <v>0</v>
      </c>
      <c r="Y204" s="447">
        <f t="shared" ref="Y204:Y267" si="23">W204+X204</f>
        <v>0</v>
      </c>
      <c r="Z204" s="447">
        <f t="shared" ref="Z204:Z267" si="24">W204-U204</f>
        <v>0</v>
      </c>
      <c r="AA204" s="447">
        <f t="shared" ref="AA204:AA267" si="25">Z204+X204</f>
        <v>0</v>
      </c>
      <c r="AB204" s="447" t="e">
        <f t="shared" ref="AB204:AB267" si="26">Y204/E204</f>
        <v>#DIV/0!</v>
      </c>
      <c r="AC204" s="448" t="e">
        <f t="shared" ref="AC204:AC267" si="27">AA204/E204</f>
        <v>#DIV/0!</v>
      </c>
      <c r="AD204" s="11"/>
      <c r="AE204" s="349" t="str">
        <f>AF204&amp;TM[[#This Row],[Insurer Code]]&amp;"; "&amp;AG204&amp;TM[[#This Row],[Reporting Year]]&amp;"; "&amp;AH204&amp;TM[[#This Row],[Insurance Category Code]]&amp;"; "&amp;AI204&amp;TM[[#This Row],[Large Provider Entity Code]]</f>
        <v xml:space="preserve">Insurer Code ; Reporting Year ; Insurance Category Code ; Large Provider Entity Code </v>
      </c>
      <c r="AF204" s="345" t="s">
        <v>207</v>
      </c>
      <c r="AG204" s="345" t="s">
        <v>208</v>
      </c>
      <c r="AH204" s="345" t="s">
        <v>209</v>
      </c>
      <c r="AI204" s="345" t="s">
        <v>210</v>
      </c>
      <c r="AJ204" s="345"/>
      <c r="AK204" s="345"/>
      <c r="AL204" s="345"/>
      <c r="AM204" s="11"/>
      <c r="AN204" s="11"/>
      <c r="AO204" s="11"/>
    </row>
    <row r="205" spans="1:41" x14ac:dyDescent="0.25">
      <c r="A205" s="311"/>
      <c r="B205" s="324"/>
      <c r="C205" s="324"/>
      <c r="D205" s="324"/>
      <c r="E205" s="325"/>
      <c r="F205" s="336"/>
      <c r="G205" s="336"/>
      <c r="H205" s="336"/>
      <c r="I205" s="336"/>
      <c r="J205" s="336"/>
      <c r="K205" s="336"/>
      <c r="L205" s="336"/>
      <c r="M205" s="336"/>
      <c r="N205" s="336"/>
      <c r="O205" s="336"/>
      <c r="P205" s="336"/>
      <c r="Q205" s="336"/>
      <c r="R205" s="446"/>
      <c r="S205" s="336"/>
      <c r="T205" s="336"/>
      <c r="U205" s="314"/>
      <c r="V205" s="326">
        <v>0</v>
      </c>
      <c r="W205" s="447">
        <f t="shared" si="21"/>
        <v>0</v>
      </c>
      <c r="X205" s="447">
        <f t="shared" si="22"/>
        <v>0</v>
      </c>
      <c r="Y205" s="447">
        <f t="shared" si="23"/>
        <v>0</v>
      </c>
      <c r="Z205" s="447">
        <f t="shared" si="24"/>
        <v>0</v>
      </c>
      <c r="AA205" s="447">
        <f t="shared" si="25"/>
        <v>0</v>
      </c>
      <c r="AB205" s="447" t="e">
        <f t="shared" si="26"/>
        <v>#DIV/0!</v>
      </c>
      <c r="AC205" s="448" t="e">
        <f t="shared" si="27"/>
        <v>#DIV/0!</v>
      </c>
      <c r="AD205" s="11"/>
      <c r="AE205" s="349" t="str">
        <f>AF205&amp;TM[[#This Row],[Insurer Code]]&amp;"; "&amp;AG205&amp;TM[[#This Row],[Reporting Year]]&amp;"; "&amp;AH205&amp;TM[[#This Row],[Insurance Category Code]]&amp;"; "&amp;AI205&amp;TM[[#This Row],[Large Provider Entity Code]]</f>
        <v xml:space="preserve">Insurer Code ; Reporting Year ; Insurance Category Code ; Large Provider Entity Code </v>
      </c>
      <c r="AF205" s="345" t="s">
        <v>207</v>
      </c>
      <c r="AG205" s="345" t="s">
        <v>208</v>
      </c>
      <c r="AH205" s="345" t="s">
        <v>209</v>
      </c>
      <c r="AI205" s="345" t="s">
        <v>210</v>
      </c>
      <c r="AJ205" s="345"/>
      <c r="AK205" s="345"/>
      <c r="AL205" s="345"/>
      <c r="AM205" s="11"/>
      <c r="AN205" s="11"/>
      <c r="AO205" s="11"/>
    </row>
    <row r="206" spans="1:41" x14ac:dyDescent="0.25">
      <c r="A206" s="311"/>
      <c r="B206" s="324"/>
      <c r="C206" s="324"/>
      <c r="D206" s="324"/>
      <c r="E206" s="325"/>
      <c r="F206" s="336"/>
      <c r="G206" s="336"/>
      <c r="H206" s="336"/>
      <c r="I206" s="336"/>
      <c r="J206" s="336"/>
      <c r="K206" s="336"/>
      <c r="L206" s="336"/>
      <c r="M206" s="336"/>
      <c r="N206" s="336"/>
      <c r="O206" s="336"/>
      <c r="P206" s="336"/>
      <c r="Q206" s="336"/>
      <c r="R206" s="446"/>
      <c r="S206" s="336"/>
      <c r="T206" s="336"/>
      <c r="U206" s="314"/>
      <c r="V206" s="326">
        <v>73</v>
      </c>
      <c r="W206" s="447">
        <f t="shared" si="21"/>
        <v>0</v>
      </c>
      <c r="X206" s="447">
        <f t="shared" si="22"/>
        <v>0</v>
      </c>
      <c r="Y206" s="447">
        <f t="shared" si="23"/>
        <v>0</v>
      </c>
      <c r="Z206" s="447">
        <f t="shared" si="24"/>
        <v>0</v>
      </c>
      <c r="AA206" s="447">
        <f t="shared" si="25"/>
        <v>0</v>
      </c>
      <c r="AB206" s="447" t="e">
        <f t="shared" si="26"/>
        <v>#DIV/0!</v>
      </c>
      <c r="AC206" s="448" t="e">
        <f t="shared" si="27"/>
        <v>#DIV/0!</v>
      </c>
      <c r="AD206" s="11"/>
      <c r="AE206" s="349" t="str">
        <f>AF206&amp;TM[[#This Row],[Insurer Code]]&amp;"; "&amp;AG206&amp;TM[[#This Row],[Reporting Year]]&amp;"; "&amp;AH206&amp;TM[[#This Row],[Insurance Category Code]]&amp;"; "&amp;AI206&amp;TM[[#This Row],[Large Provider Entity Code]]</f>
        <v xml:space="preserve">Insurer Code ; Reporting Year ; Insurance Category Code ; Large Provider Entity Code </v>
      </c>
      <c r="AF206" s="345" t="s">
        <v>207</v>
      </c>
      <c r="AG206" s="345" t="s">
        <v>208</v>
      </c>
      <c r="AH206" s="345" t="s">
        <v>209</v>
      </c>
      <c r="AI206" s="345" t="s">
        <v>210</v>
      </c>
      <c r="AJ206" s="345"/>
      <c r="AK206" s="345"/>
      <c r="AL206" s="345"/>
      <c r="AM206" s="11"/>
      <c r="AN206" s="11"/>
      <c r="AO206" s="11"/>
    </row>
    <row r="207" spans="1:41" x14ac:dyDescent="0.25">
      <c r="A207" s="311"/>
      <c r="B207" s="321"/>
      <c r="C207" s="321"/>
      <c r="D207" s="321"/>
      <c r="E207" s="470"/>
      <c r="F207" s="442"/>
      <c r="G207" s="314"/>
      <c r="H207" s="314"/>
      <c r="I207" s="314"/>
      <c r="J207" s="314"/>
      <c r="K207" s="314"/>
      <c r="L207" s="314"/>
      <c r="M207" s="314"/>
      <c r="N207" s="314"/>
      <c r="O207" s="314"/>
      <c r="P207" s="314"/>
      <c r="Q207" s="314"/>
      <c r="R207" s="445"/>
      <c r="S207" s="314"/>
      <c r="T207" s="314"/>
      <c r="U207" s="314"/>
      <c r="V207" s="323">
        <v>5</v>
      </c>
      <c r="W207" s="447">
        <f t="shared" si="21"/>
        <v>0</v>
      </c>
      <c r="X207" s="447">
        <f t="shared" si="22"/>
        <v>0</v>
      </c>
      <c r="Y207" s="447">
        <f t="shared" si="23"/>
        <v>0</v>
      </c>
      <c r="Z207" s="447">
        <f t="shared" si="24"/>
        <v>0</v>
      </c>
      <c r="AA207" s="447">
        <f t="shared" si="25"/>
        <v>0</v>
      </c>
      <c r="AB207" s="447" t="e">
        <f t="shared" si="26"/>
        <v>#DIV/0!</v>
      </c>
      <c r="AC207" s="448" t="e">
        <f t="shared" si="27"/>
        <v>#DIV/0!</v>
      </c>
      <c r="AD207" s="11"/>
      <c r="AE207" s="349" t="str">
        <f>AF207&amp;TM[[#This Row],[Insurer Code]]&amp;"; "&amp;AG207&amp;TM[[#This Row],[Reporting Year]]&amp;"; "&amp;AH207&amp;TM[[#This Row],[Insurance Category Code]]&amp;"; "&amp;AI207&amp;TM[[#This Row],[Large Provider Entity Code]]</f>
        <v xml:space="preserve">Insurer Code ; Reporting Year ; Insurance Category Code ; Large Provider Entity Code </v>
      </c>
      <c r="AF207" s="345" t="s">
        <v>207</v>
      </c>
      <c r="AG207" s="345" t="s">
        <v>208</v>
      </c>
      <c r="AH207" s="345" t="s">
        <v>209</v>
      </c>
      <c r="AI207" s="345" t="s">
        <v>210</v>
      </c>
      <c r="AJ207" s="345"/>
      <c r="AK207" s="345"/>
      <c r="AL207" s="345"/>
      <c r="AM207" s="11"/>
      <c r="AN207" s="11"/>
      <c r="AO207" s="11"/>
    </row>
    <row r="208" spans="1:41" x14ac:dyDescent="0.25">
      <c r="A208" s="311"/>
      <c r="B208" s="321"/>
      <c r="C208" s="321"/>
      <c r="D208" s="321"/>
      <c r="E208" s="470"/>
      <c r="F208" s="442"/>
      <c r="G208" s="314"/>
      <c r="H208" s="314"/>
      <c r="I208" s="314"/>
      <c r="J208" s="314"/>
      <c r="K208" s="314"/>
      <c r="L208" s="314"/>
      <c r="M208" s="314"/>
      <c r="N208" s="314"/>
      <c r="O208" s="314"/>
      <c r="P208" s="314"/>
      <c r="Q208" s="314"/>
      <c r="R208" s="445"/>
      <c r="S208" s="314"/>
      <c r="T208" s="314"/>
      <c r="U208" s="314"/>
      <c r="V208" s="323">
        <v>0</v>
      </c>
      <c r="W208" s="447">
        <f t="shared" si="21"/>
        <v>0</v>
      </c>
      <c r="X208" s="447">
        <f t="shared" si="22"/>
        <v>0</v>
      </c>
      <c r="Y208" s="447">
        <f t="shared" si="23"/>
        <v>0</v>
      </c>
      <c r="Z208" s="447">
        <f t="shared" si="24"/>
        <v>0</v>
      </c>
      <c r="AA208" s="447">
        <f t="shared" si="25"/>
        <v>0</v>
      </c>
      <c r="AB208" s="447" t="e">
        <f t="shared" si="26"/>
        <v>#DIV/0!</v>
      </c>
      <c r="AC208" s="448" t="e">
        <f t="shared" si="27"/>
        <v>#DIV/0!</v>
      </c>
      <c r="AD208" s="11"/>
      <c r="AE208" s="349" t="str">
        <f>AF208&amp;TM[[#This Row],[Insurer Code]]&amp;"; "&amp;AG208&amp;TM[[#This Row],[Reporting Year]]&amp;"; "&amp;AH208&amp;TM[[#This Row],[Insurance Category Code]]&amp;"; "&amp;AI208&amp;TM[[#This Row],[Large Provider Entity Code]]</f>
        <v xml:space="preserve">Insurer Code ; Reporting Year ; Insurance Category Code ; Large Provider Entity Code </v>
      </c>
      <c r="AF208" s="345" t="s">
        <v>207</v>
      </c>
      <c r="AG208" s="345" t="s">
        <v>208</v>
      </c>
      <c r="AH208" s="345" t="s">
        <v>209</v>
      </c>
      <c r="AI208" s="345" t="s">
        <v>210</v>
      </c>
      <c r="AJ208" s="345"/>
      <c r="AK208" s="345"/>
      <c r="AL208" s="345"/>
      <c r="AM208" s="11"/>
      <c r="AN208" s="11"/>
      <c r="AO208" s="11"/>
    </row>
    <row r="209" spans="1:41" x14ac:dyDescent="0.25">
      <c r="A209" s="311"/>
      <c r="B209" s="321"/>
      <c r="C209" s="321"/>
      <c r="D209" s="321"/>
      <c r="E209" s="470"/>
      <c r="F209" s="442"/>
      <c r="G209" s="314"/>
      <c r="H209" s="314"/>
      <c r="I209" s="314"/>
      <c r="J209" s="314"/>
      <c r="K209" s="314"/>
      <c r="L209" s="314"/>
      <c r="M209" s="314"/>
      <c r="N209" s="314"/>
      <c r="O209" s="314"/>
      <c r="P209" s="314"/>
      <c r="Q209" s="314"/>
      <c r="R209" s="445"/>
      <c r="S209" s="314"/>
      <c r="T209" s="314"/>
      <c r="U209" s="314"/>
      <c r="V209" s="323">
        <v>84</v>
      </c>
      <c r="W209" s="447">
        <f t="shared" si="21"/>
        <v>0</v>
      </c>
      <c r="X209" s="447">
        <f t="shared" si="22"/>
        <v>0</v>
      </c>
      <c r="Y209" s="447">
        <f t="shared" si="23"/>
        <v>0</v>
      </c>
      <c r="Z209" s="447">
        <f t="shared" si="24"/>
        <v>0</v>
      </c>
      <c r="AA209" s="447">
        <f t="shared" si="25"/>
        <v>0</v>
      </c>
      <c r="AB209" s="447" t="e">
        <f t="shared" si="26"/>
        <v>#DIV/0!</v>
      </c>
      <c r="AC209" s="448" t="e">
        <f t="shared" si="27"/>
        <v>#DIV/0!</v>
      </c>
      <c r="AD209" s="11"/>
      <c r="AE209" s="349" t="str">
        <f>AF209&amp;TM[[#This Row],[Insurer Code]]&amp;"; "&amp;AG209&amp;TM[[#This Row],[Reporting Year]]&amp;"; "&amp;AH209&amp;TM[[#This Row],[Insurance Category Code]]&amp;"; "&amp;AI209&amp;TM[[#This Row],[Large Provider Entity Code]]</f>
        <v xml:space="preserve">Insurer Code ; Reporting Year ; Insurance Category Code ; Large Provider Entity Code </v>
      </c>
      <c r="AF209" s="345" t="s">
        <v>207</v>
      </c>
      <c r="AG209" s="345" t="s">
        <v>208</v>
      </c>
      <c r="AH209" s="345" t="s">
        <v>209</v>
      </c>
      <c r="AI209" s="345" t="s">
        <v>210</v>
      </c>
      <c r="AJ209" s="345"/>
      <c r="AK209" s="345"/>
      <c r="AL209" s="345"/>
      <c r="AM209" s="11"/>
      <c r="AN209" s="11"/>
      <c r="AO209" s="11"/>
    </row>
    <row r="210" spans="1:41" x14ac:dyDescent="0.25">
      <c r="A210" s="311"/>
      <c r="B210" s="321"/>
      <c r="C210" s="321"/>
      <c r="D210" s="321"/>
      <c r="E210" s="470"/>
      <c r="F210" s="442"/>
      <c r="G210" s="314"/>
      <c r="H210" s="314"/>
      <c r="I210" s="314"/>
      <c r="J210" s="314"/>
      <c r="K210" s="314"/>
      <c r="L210" s="314"/>
      <c r="M210" s="314"/>
      <c r="N210" s="314"/>
      <c r="O210" s="314"/>
      <c r="P210" s="314"/>
      <c r="Q210" s="314"/>
      <c r="R210" s="445"/>
      <c r="S210" s="314"/>
      <c r="T210" s="314"/>
      <c r="U210" s="314"/>
      <c r="V210" s="323">
        <v>62</v>
      </c>
      <c r="W210" s="451">
        <f t="shared" si="21"/>
        <v>0</v>
      </c>
      <c r="X210" s="451">
        <f t="shared" si="22"/>
        <v>0</v>
      </c>
      <c r="Y210" s="451">
        <f t="shared" si="23"/>
        <v>0</v>
      </c>
      <c r="Z210" s="451">
        <f t="shared" si="24"/>
        <v>0</v>
      </c>
      <c r="AA210" s="451">
        <f t="shared" si="25"/>
        <v>0</v>
      </c>
      <c r="AB210" s="451" t="e">
        <f t="shared" si="26"/>
        <v>#DIV/0!</v>
      </c>
      <c r="AC210" s="452" t="e">
        <f t="shared" si="27"/>
        <v>#DIV/0!</v>
      </c>
      <c r="AD210" s="11"/>
      <c r="AE210" s="349" t="str">
        <f>AF210&amp;TM[[#This Row],[Insurer Code]]&amp;"; "&amp;AG210&amp;TM[[#This Row],[Reporting Year]]&amp;"; "&amp;AH210&amp;TM[[#This Row],[Insurance Category Code]]&amp;"; "&amp;AI210&amp;TM[[#This Row],[Large Provider Entity Code]]</f>
        <v xml:space="preserve">Insurer Code ; Reporting Year ; Insurance Category Code ; Large Provider Entity Code </v>
      </c>
      <c r="AF210" s="345" t="s">
        <v>207</v>
      </c>
      <c r="AG210" s="345" t="s">
        <v>208</v>
      </c>
      <c r="AH210" s="345" t="s">
        <v>209</v>
      </c>
      <c r="AI210" s="345" t="s">
        <v>210</v>
      </c>
      <c r="AJ210" s="345"/>
      <c r="AK210" s="345"/>
      <c r="AL210" s="345"/>
      <c r="AM210" s="11"/>
      <c r="AN210" s="11"/>
      <c r="AO210" s="11"/>
    </row>
    <row r="211" spans="1:41" x14ac:dyDescent="0.25">
      <c r="A211" s="311"/>
      <c r="B211" s="321"/>
      <c r="C211" s="321"/>
      <c r="D211" s="321"/>
      <c r="E211" s="470"/>
      <c r="F211" s="442"/>
      <c r="G211" s="314"/>
      <c r="H211" s="314"/>
      <c r="I211" s="314"/>
      <c r="J211" s="314"/>
      <c r="K211" s="314"/>
      <c r="L211" s="314"/>
      <c r="M211" s="314"/>
      <c r="N211" s="314"/>
      <c r="O211" s="314"/>
      <c r="P211" s="314"/>
      <c r="Q211" s="314"/>
      <c r="R211" s="445"/>
      <c r="S211" s="314"/>
      <c r="T211" s="314"/>
      <c r="U211" s="314"/>
      <c r="V211" s="323">
        <v>1</v>
      </c>
      <c r="W211" s="451">
        <f t="shared" si="21"/>
        <v>0</v>
      </c>
      <c r="X211" s="451">
        <f t="shared" si="22"/>
        <v>0</v>
      </c>
      <c r="Y211" s="451">
        <f t="shared" si="23"/>
        <v>0</v>
      </c>
      <c r="Z211" s="451">
        <f t="shared" si="24"/>
        <v>0</v>
      </c>
      <c r="AA211" s="451">
        <f t="shared" si="25"/>
        <v>0</v>
      </c>
      <c r="AB211" s="451" t="e">
        <f t="shared" si="26"/>
        <v>#DIV/0!</v>
      </c>
      <c r="AC211" s="452" t="e">
        <f t="shared" si="27"/>
        <v>#DIV/0!</v>
      </c>
      <c r="AD211" s="11"/>
      <c r="AE211" s="349" t="str">
        <f>AF211&amp;TM[[#This Row],[Insurer Code]]&amp;"; "&amp;AG211&amp;TM[[#This Row],[Reporting Year]]&amp;"; "&amp;AH211&amp;TM[[#This Row],[Insurance Category Code]]&amp;"; "&amp;AI211&amp;TM[[#This Row],[Large Provider Entity Code]]</f>
        <v xml:space="preserve">Insurer Code ; Reporting Year ; Insurance Category Code ; Large Provider Entity Code </v>
      </c>
      <c r="AF211" s="345" t="s">
        <v>207</v>
      </c>
      <c r="AG211" s="345" t="s">
        <v>208</v>
      </c>
      <c r="AH211" s="345" t="s">
        <v>209</v>
      </c>
      <c r="AI211" s="345" t="s">
        <v>210</v>
      </c>
      <c r="AJ211" s="345"/>
      <c r="AK211" s="345"/>
      <c r="AL211" s="345"/>
      <c r="AM211" s="11"/>
      <c r="AN211" s="11"/>
      <c r="AO211" s="11"/>
    </row>
    <row r="212" spans="1:41" x14ac:dyDescent="0.25">
      <c r="A212" s="311"/>
      <c r="B212" s="321"/>
      <c r="C212" s="321"/>
      <c r="D212" s="321"/>
      <c r="E212" s="470"/>
      <c r="F212" s="442"/>
      <c r="G212" s="314"/>
      <c r="H212" s="314"/>
      <c r="I212" s="314"/>
      <c r="J212" s="314"/>
      <c r="K212" s="314"/>
      <c r="L212" s="314"/>
      <c r="M212" s="314"/>
      <c r="N212" s="314"/>
      <c r="O212" s="314"/>
      <c r="P212" s="314"/>
      <c r="Q212" s="314"/>
      <c r="R212" s="445"/>
      <c r="S212" s="314"/>
      <c r="T212" s="314"/>
      <c r="U212" s="314"/>
      <c r="V212" s="323">
        <v>0</v>
      </c>
      <c r="W212" s="451">
        <f t="shared" si="21"/>
        <v>0</v>
      </c>
      <c r="X212" s="451">
        <f t="shared" si="22"/>
        <v>0</v>
      </c>
      <c r="Y212" s="451">
        <f t="shared" si="23"/>
        <v>0</v>
      </c>
      <c r="Z212" s="451">
        <f t="shared" si="24"/>
        <v>0</v>
      </c>
      <c r="AA212" s="451">
        <f t="shared" si="25"/>
        <v>0</v>
      </c>
      <c r="AB212" s="451" t="e">
        <f t="shared" si="26"/>
        <v>#DIV/0!</v>
      </c>
      <c r="AC212" s="452" t="e">
        <f t="shared" si="27"/>
        <v>#DIV/0!</v>
      </c>
      <c r="AD212" s="11"/>
      <c r="AE212" s="349" t="str">
        <f>AF212&amp;TM[[#This Row],[Insurer Code]]&amp;"; "&amp;AG212&amp;TM[[#This Row],[Reporting Year]]&amp;"; "&amp;AH212&amp;TM[[#This Row],[Insurance Category Code]]&amp;"; "&amp;AI212&amp;TM[[#This Row],[Large Provider Entity Code]]</f>
        <v xml:space="preserve">Insurer Code ; Reporting Year ; Insurance Category Code ; Large Provider Entity Code </v>
      </c>
      <c r="AF212" s="345" t="s">
        <v>207</v>
      </c>
      <c r="AG212" s="345" t="s">
        <v>208</v>
      </c>
      <c r="AH212" s="345" t="s">
        <v>209</v>
      </c>
      <c r="AI212" s="345" t="s">
        <v>210</v>
      </c>
      <c r="AJ212" s="345"/>
      <c r="AK212" s="345"/>
      <c r="AL212" s="345"/>
      <c r="AM212" s="11"/>
      <c r="AN212" s="11"/>
      <c r="AO212" s="11"/>
    </row>
    <row r="213" spans="1:41" x14ac:dyDescent="0.25">
      <c r="A213" s="311"/>
      <c r="B213" s="321"/>
      <c r="C213" s="321"/>
      <c r="D213" s="321"/>
      <c r="E213" s="470"/>
      <c r="F213" s="442"/>
      <c r="G213" s="314"/>
      <c r="H213" s="314"/>
      <c r="I213" s="314"/>
      <c r="J213" s="314"/>
      <c r="K213" s="314"/>
      <c r="L213" s="314"/>
      <c r="M213" s="314"/>
      <c r="N213" s="314"/>
      <c r="O213" s="314"/>
      <c r="P213" s="314"/>
      <c r="Q213" s="314"/>
      <c r="R213" s="445"/>
      <c r="S213" s="314"/>
      <c r="T213" s="314"/>
      <c r="U213" s="314"/>
      <c r="V213" s="323">
        <v>72</v>
      </c>
      <c r="W213" s="451">
        <f t="shared" si="21"/>
        <v>0</v>
      </c>
      <c r="X213" s="451">
        <f t="shared" si="22"/>
        <v>0</v>
      </c>
      <c r="Y213" s="451">
        <f t="shared" si="23"/>
        <v>0</v>
      </c>
      <c r="Z213" s="451">
        <f t="shared" si="24"/>
        <v>0</v>
      </c>
      <c r="AA213" s="451">
        <f t="shared" si="25"/>
        <v>0</v>
      </c>
      <c r="AB213" s="451" t="e">
        <f t="shared" si="26"/>
        <v>#DIV/0!</v>
      </c>
      <c r="AC213" s="452" t="e">
        <f t="shared" si="27"/>
        <v>#DIV/0!</v>
      </c>
      <c r="AD213" s="11"/>
      <c r="AE213" s="349" t="str">
        <f>AF213&amp;TM[[#This Row],[Insurer Code]]&amp;"; "&amp;AG213&amp;TM[[#This Row],[Reporting Year]]&amp;"; "&amp;AH213&amp;TM[[#This Row],[Insurance Category Code]]&amp;"; "&amp;AI213&amp;TM[[#This Row],[Large Provider Entity Code]]</f>
        <v xml:space="preserve">Insurer Code ; Reporting Year ; Insurance Category Code ; Large Provider Entity Code </v>
      </c>
      <c r="AF213" s="345" t="s">
        <v>207</v>
      </c>
      <c r="AG213" s="345" t="s">
        <v>208</v>
      </c>
      <c r="AH213" s="345" t="s">
        <v>209</v>
      </c>
      <c r="AI213" s="345" t="s">
        <v>210</v>
      </c>
      <c r="AJ213" s="345"/>
      <c r="AK213" s="345"/>
      <c r="AL213" s="345"/>
      <c r="AM213" s="11"/>
      <c r="AN213" s="11"/>
      <c r="AO213" s="11"/>
    </row>
    <row r="214" spans="1:41" x14ac:dyDescent="0.25">
      <c r="A214" s="311"/>
      <c r="B214" s="321"/>
      <c r="C214" s="321"/>
      <c r="D214" s="321"/>
      <c r="E214" s="470"/>
      <c r="F214" s="442"/>
      <c r="G214" s="314"/>
      <c r="H214" s="314"/>
      <c r="I214" s="314"/>
      <c r="J214" s="314"/>
      <c r="K214" s="314"/>
      <c r="L214" s="314"/>
      <c r="M214" s="314"/>
      <c r="N214" s="314"/>
      <c r="O214" s="314"/>
      <c r="P214" s="314"/>
      <c r="Q214" s="314"/>
      <c r="R214" s="445"/>
      <c r="S214" s="314"/>
      <c r="T214" s="314"/>
      <c r="U214" s="314"/>
      <c r="V214" s="323">
        <v>6</v>
      </c>
      <c r="W214" s="451">
        <f t="shared" si="21"/>
        <v>0</v>
      </c>
      <c r="X214" s="451">
        <f t="shared" si="22"/>
        <v>0</v>
      </c>
      <c r="Y214" s="451">
        <f t="shared" si="23"/>
        <v>0</v>
      </c>
      <c r="Z214" s="451">
        <f t="shared" si="24"/>
        <v>0</v>
      </c>
      <c r="AA214" s="451">
        <f t="shared" si="25"/>
        <v>0</v>
      </c>
      <c r="AB214" s="451" t="e">
        <f t="shared" si="26"/>
        <v>#DIV/0!</v>
      </c>
      <c r="AC214" s="452" t="e">
        <f t="shared" si="27"/>
        <v>#DIV/0!</v>
      </c>
      <c r="AD214" s="11"/>
      <c r="AE214" s="349" t="str">
        <f>AF214&amp;TM[[#This Row],[Insurer Code]]&amp;"; "&amp;AG214&amp;TM[[#This Row],[Reporting Year]]&amp;"; "&amp;AH214&amp;TM[[#This Row],[Insurance Category Code]]&amp;"; "&amp;AI214&amp;TM[[#This Row],[Large Provider Entity Code]]</f>
        <v xml:space="preserve">Insurer Code ; Reporting Year ; Insurance Category Code ; Large Provider Entity Code </v>
      </c>
      <c r="AF214" s="345" t="s">
        <v>207</v>
      </c>
      <c r="AG214" s="345" t="s">
        <v>208</v>
      </c>
      <c r="AH214" s="345" t="s">
        <v>209</v>
      </c>
      <c r="AI214" s="345" t="s">
        <v>210</v>
      </c>
      <c r="AJ214" s="345"/>
      <c r="AK214" s="345"/>
      <c r="AL214" s="345"/>
      <c r="AM214" s="11"/>
      <c r="AN214" s="11"/>
      <c r="AO214" s="11"/>
    </row>
    <row r="215" spans="1:41" x14ac:dyDescent="0.25">
      <c r="A215" s="311"/>
      <c r="B215" s="321"/>
      <c r="C215" s="321"/>
      <c r="D215" s="321"/>
      <c r="E215" s="322"/>
      <c r="F215" s="314"/>
      <c r="G215" s="314"/>
      <c r="H215" s="314"/>
      <c r="I215" s="314"/>
      <c r="J215" s="314"/>
      <c r="K215" s="314"/>
      <c r="L215" s="314"/>
      <c r="M215" s="314"/>
      <c r="N215" s="314"/>
      <c r="O215" s="314"/>
      <c r="P215" s="314"/>
      <c r="Q215" s="314"/>
      <c r="R215" s="445"/>
      <c r="S215" s="314"/>
      <c r="T215" s="314"/>
      <c r="U215" s="314"/>
      <c r="V215" s="323">
        <v>0</v>
      </c>
      <c r="W215" s="447">
        <f t="shared" si="21"/>
        <v>0</v>
      </c>
      <c r="X215" s="447">
        <f t="shared" si="22"/>
        <v>0</v>
      </c>
      <c r="Y215" s="447">
        <f t="shared" si="23"/>
        <v>0</v>
      </c>
      <c r="Z215" s="447">
        <f t="shared" si="24"/>
        <v>0</v>
      </c>
      <c r="AA215" s="447">
        <f t="shared" si="25"/>
        <v>0</v>
      </c>
      <c r="AB215" s="447" t="e">
        <f t="shared" si="26"/>
        <v>#DIV/0!</v>
      </c>
      <c r="AC215" s="448" t="e">
        <f t="shared" si="27"/>
        <v>#DIV/0!</v>
      </c>
      <c r="AD215" s="11"/>
      <c r="AE215" s="349" t="str">
        <f>AF215&amp;TM[[#This Row],[Insurer Code]]&amp;"; "&amp;AG215&amp;TM[[#This Row],[Reporting Year]]&amp;"; "&amp;AH215&amp;TM[[#This Row],[Insurance Category Code]]&amp;"; "&amp;AI215&amp;TM[[#This Row],[Large Provider Entity Code]]</f>
        <v xml:space="preserve">Insurer Code ; Reporting Year ; Insurance Category Code ; Large Provider Entity Code </v>
      </c>
      <c r="AF215" s="345" t="s">
        <v>207</v>
      </c>
      <c r="AG215" s="345" t="s">
        <v>208</v>
      </c>
      <c r="AH215" s="345" t="s">
        <v>209</v>
      </c>
      <c r="AI215" s="345" t="s">
        <v>210</v>
      </c>
      <c r="AJ215" s="345"/>
      <c r="AK215" s="345"/>
      <c r="AL215" s="345"/>
      <c r="AM215" s="11"/>
      <c r="AN215" s="11"/>
      <c r="AO215" s="11"/>
    </row>
    <row r="216" spans="1:41" x14ac:dyDescent="0.25">
      <c r="A216" s="311"/>
      <c r="B216" s="324"/>
      <c r="C216" s="324"/>
      <c r="D216" s="324"/>
      <c r="E216" s="327"/>
      <c r="F216" s="336"/>
      <c r="G216" s="336"/>
      <c r="H216" s="336"/>
      <c r="I216" s="336"/>
      <c r="J216" s="336"/>
      <c r="K216" s="336"/>
      <c r="L216" s="336"/>
      <c r="M216" s="336"/>
      <c r="N216" s="336"/>
      <c r="O216" s="336"/>
      <c r="P216" s="336"/>
      <c r="Q216" s="336"/>
      <c r="R216" s="446"/>
      <c r="S216" s="336"/>
      <c r="T216" s="336"/>
      <c r="U216" s="314"/>
      <c r="V216" s="326">
        <v>16</v>
      </c>
      <c r="W216" s="447">
        <f t="shared" si="21"/>
        <v>0</v>
      </c>
      <c r="X216" s="447">
        <f t="shared" si="22"/>
        <v>0</v>
      </c>
      <c r="Y216" s="447">
        <f t="shared" si="23"/>
        <v>0</v>
      </c>
      <c r="Z216" s="447">
        <f t="shared" si="24"/>
        <v>0</v>
      </c>
      <c r="AA216" s="447">
        <f t="shared" si="25"/>
        <v>0</v>
      </c>
      <c r="AB216" s="447" t="e">
        <f t="shared" si="26"/>
        <v>#DIV/0!</v>
      </c>
      <c r="AC216" s="448" t="e">
        <f t="shared" si="27"/>
        <v>#DIV/0!</v>
      </c>
      <c r="AD216" s="11"/>
      <c r="AE216" s="349" t="str">
        <f>AF216&amp;TM[[#This Row],[Insurer Code]]&amp;"; "&amp;AG216&amp;TM[[#This Row],[Reporting Year]]&amp;"; "&amp;AH216&amp;TM[[#This Row],[Insurance Category Code]]&amp;"; "&amp;AI216&amp;TM[[#This Row],[Large Provider Entity Code]]</f>
        <v xml:space="preserve">Insurer Code ; Reporting Year ; Insurance Category Code ; Large Provider Entity Code </v>
      </c>
      <c r="AF216" s="345" t="s">
        <v>207</v>
      </c>
      <c r="AG216" s="345" t="s">
        <v>208</v>
      </c>
      <c r="AH216" s="345" t="s">
        <v>209</v>
      </c>
      <c r="AI216" s="345" t="s">
        <v>210</v>
      </c>
      <c r="AJ216" s="345"/>
      <c r="AK216" s="345"/>
      <c r="AL216" s="345"/>
      <c r="AM216" s="11"/>
      <c r="AN216" s="11"/>
      <c r="AO216" s="11"/>
    </row>
    <row r="217" spans="1:41" x14ac:dyDescent="0.25">
      <c r="A217" s="311"/>
      <c r="B217" s="324"/>
      <c r="C217" s="324"/>
      <c r="D217" s="324"/>
      <c r="E217" s="327"/>
      <c r="F217" s="336"/>
      <c r="G217" s="336"/>
      <c r="H217" s="336"/>
      <c r="I217" s="336"/>
      <c r="J217" s="336"/>
      <c r="K217" s="336"/>
      <c r="L217" s="336"/>
      <c r="M217" s="336"/>
      <c r="N217" s="336"/>
      <c r="O217" s="336"/>
      <c r="P217" s="336"/>
      <c r="Q217" s="336"/>
      <c r="R217" s="446"/>
      <c r="S217" s="336"/>
      <c r="T217" s="336"/>
      <c r="U217" s="314"/>
      <c r="V217" s="326">
        <v>5</v>
      </c>
      <c r="W217" s="447">
        <f t="shared" si="21"/>
        <v>0</v>
      </c>
      <c r="X217" s="447">
        <f t="shared" si="22"/>
        <v>0</v>
      </c>
      <c r="Y217" s="447">
        <f t="shared" si="23"/>
        <v>0</v>
      </c>
      <c r="Z217" s="447">
        <f t="shared" si="24"/>
        <v>0</v>
      </c>
      <c r="AA217" s="447">
        <f t="shared" si="25"/>
        <v>0</v>
      </c>
      <c r="AB217" s="447" t="e">
        <f t="shared" si="26"/>
        <v>#DIV/0!</v>
      </c>
      <c r="AC217" s="448" t="e">
        <f t="shared" si="27"/>
        <v>#DIV/0!</v>
      </c>
      <c r="AD217" s="11"/>
      <c r="AE217" s="349" t="str">
        <f>AF217&amp;TM[[#This Row],[Insurer Code]]&amp;"; "&amp;AG217&amp;TM[[#This Row],[Reporting Year]]&amp;"; "&amp;AH217&amp;TM[[#This Row],[Insurance Category Code]]&amp;"; "&amp;AI217&amp;TM[[#This Row],[Large Provider Entity Code]]</f>
        <v xml:space="preserve">Insurer Code ; Reporting Year ; Insurance Category Code ; Large Provider Entity Code </v>
      </c>
      <c r="AF217" s="345" t="s">
        <v>207</v>
      </c>
      <c r="AG217" s="345" t="s">
        <v>208</v>
      </c>
      <c r="AH217" s="345" t="s">
        <v>209</v>
      </c>
      <c r="AI217" s="345" t="s">
        <v>210</v>
      </c>
      <c r="AJ217" s="345"/>
      <c r="AK217" s="345"/>
      <c r="AL217" s="345"/>
      <c r="AM217" s="11"/>
      <c r="AN217" s="11"/>
      <c r="AO217" s="11"/>
    </row>
    <row r="218" spans="1:41" x14ac:dyDescent="0.25">
      <c r="A218" s="311"/>
      <c r="B218" s="321"/>
      <c r="C218" s="321"/>
      <c r="D218" s="321"/>
      <c r="E218" s="322"/>
      <c r="F218" s="314"/>
      <c r="G218" s="314"/>
      <c r="H218" s="314"/>
      <c r="I218" s="314"/>
      <c r="J218" s="314"/>
      <c r="K218" s="314"/>
      <c r="L218" s="314"/>
      <c r="M218" s="314"/>
      <c r="N218" s="314"/>
      <c r="O218" s="314"/>
      <c r="P218" s="314"/>
      <c r="Q218" s="314"/>
      <c r="R218" s="445"/>
      <c r="S218" s="314"/>
      <c r="T218" s="314"/>
      <c r="U218" s="314"/>
      <c r="V218" s="323">
        <v>0</v>
      </c>
      <c r="W218" s="447">
        <f t="shared" si="21"/>
        <v>0</v>
      </c>
      <c r="X218" s="447">
        <f t="shared" si="22"/>
        <v>0</v>
      </c>
      <c r="Y218" s="447">
        <f t="shared" si="23"/>
        <v>0</v>
      </c>
      <c r="Z218" s="447">
        <f t="shared" si="24"/>
        <v>0</v>
      </c>
      <c r="AA218" s="447">
        <f t="shared" si="25"/>
        <v>0</v>
      </c>
      <c r="AB218" s="447" t="e">
        <f t="shared" si="26"/>
        <v>#DIV/0!</v>
      </c>
      <c r="AC218" s="448" t="e">
        <f t="shared" si="27"/>
        <v>#DIV/0!</v>
      </c>
      <c r="AD218" s="11"/>
      <c r="AE218" s="349" t="str">
        <f>AF218&amp;TM[[#This Row],[Insurer Code]]&amp;"; "&amp;AG218&amp;TM[[#This Row],[Reporting Year]]&amp;"; "&amp;AH218&amp;TM[[#This Row],[Insurance Category Code]]&amp;"; "&amp;AI218&amp;TM[[#This Row],[Large Provider Entity Code]]</f>
        <v xml:space="preserve">Insurer Code ; Reporting Year ; Insurance Category Code ; Large Provider Entity Code </v>
      </c>
      <c r="AF218" s="345" t="s">
        <v>207</v>
      </c>
      <c r="AG218" s="345" t="s">
        <v>208</v>
      </c>
      <c r="AH218" s="345" t="s">
        <v>209</v>
      </c>
      <c r="AI218" s="345" t="s">
        <v>210</v>
      </c>
      <c r="AJ218" s="345"/>
      <c r="AK218" s="345"/>
      <c r="AL218" s="345"/>
      <c r="AM218" s="11"/>
      <c r="AN218" s="11"/>
      <c r="AO218" s="11"/>
    </row>
    <row r="219" spans="1:41" x14ac:dyDescent="0.25">
      <c r="A219" s="311"/>
      <c r="B219" s="324"/>
      <c r="C219" s="324"/>
      <c r="D219" s="324"/>
      <c r="E219" s="325"/>
      <c r="F219" s="336"/>
      <c r="G219" s="336"/>
      <c r="H219" s="336"/>
      <c r="I219" s="336"/>
      <c r="J219" s="336"/>
      <c r="K219" s="336"/>
      <c r="L219" s="336"/>
      <c r="M219" s="336"/>
      <c r="N219" s="336"/>
      <c r="O219" s="336"/>
      <c r="P219" s="336"/>
      <c r="Q219" s="336"/>
      <c r="R219" s="446"/>
      <c r="S219" s="336"/>
      <c r="T219" s="336"/>
      <c r="U219" s="314"/>
      <c r="V219" s="326">
        <v>7</v>
      </c>
      <c r="W219" s="447">
        <f t="shared" si="21"/>
        <v>0</v>
      </c>
      <c r="X219" s="447">
        <f t="shared" si="22"/>
        <v>0</v>
      </c>
      <c r="Y219" s="447">
        <f t="shared" si="23"/>
        <v>0</v>
      </c>
      <c r="Z219" s="447">
        <f t="shared" si="24"/>
        <v>0</v>
      </c>
      <c r="AA219" s="447">
        <f t="shared" si="25"/>
        <v>0</v>
      </c>
      <c r="AB219" s="447" t="e">
        <f t="shared" si="26"/>
        <v>#DIV/0!</v>
      </c>
      <c r="AC219" s="448" t="e">
        <f t="shared" si="27"/>
        <v>#DIV/0!</v>
      </c>
      <c r="AD219" s="11"/>
      <c r="AE219" s="349" t="str">
        <f>AF219&amp;TM[[#This Row],[Insurer Code]]&amp;"; "&amp;AG219&amp;TM[[#This Row],[Reporting Year]]&amp;"; "&amp;AH219&amp;TM[[#This Row],[Insurance Category Code]]&amp;"; "&amp;AI219&amp;TM[[#This Row],[Large Provider Entity Code]]</f>
        <v xml:space="preserve">Insurer Code ; Reporting Year ; Insurance Category Code ; Large Provider Entity Code </v>
      </c>
      <c r="AF219" s="345" t="s">
        <v>207</v>
      </c>
      <c r="AG219" s="345" t="s">
        <v>208</v>
      </c>
      <c r="AH219" s="345" t="s">
        <v>209</v>
      </c>
      <c r="AI219" s="345" t="s">
        <v>210</v>
      </c>
      <c r="AJ219" s="345"/>
      <c r="AK219" s="345"/>
      <c r="AL219" s="345"/>
      <c r="AM219" s="11"/>
      <c r="AN219" s="11"/>
      <c r="AO219" s="11"/>
    </row>
    <row r="220" spans="1:41" x14ac:dyDescent="0.25">
      <c r="A220" s="311"/>
      <c r="B220" s="324"/>
      <c r="C220" s="324"/>
      <c r="D220" s="324"/>
      <c r="E220" s="325"/>
      <c r="F220" s="336"/>
      <c r="G220" s="336"/>
      <c r="H220" s="336"/>
      <c r="I220" s="336"/>
      <c r="J220" s="336"/>
      <c r="K220" s="336"/>
      <c r="L220" s="336"/>
      <c r="M220" s="336"/>
      <c r="N220" s="336"/>
      <c r="O220" s="336"/>
      <c r="P220" s="336"/>
      <c r="Q220" s="336"/>
      <c r="R220" s="446"/>
      <c r="S220" s="336"/>
      <c r="T220" s="336"/>
      <c r="U220" s="314"/>
      <c r="V220" s="326">
        <v>0</v>
      </c>
      <c r="W220" s="447">
        <f t="shared" si="21"/>
        <v>0</v>
      </c>
      <c r="X220" s="447">
        <f t="shared" si="22"/>
        <v>0</v>
      </c>
      <c r="Y220" s="447">
        <f t="shared" si="23"/>
        <v>0</v>
      </c>
      <c r="Z220" s="447">
        <f t="shared" si="24"/>
        <v>0</v>
      </c>
      <c r="AA220" s="447">
        <f t="shared" si="25"/>
        <v>0</v>
      </c>
      <c r="AB220" s="447" t="e">
        <f t="shared" si="26"/>
        <v>#DIV/0!</v>
      </c>
      <c r="AC220" s="448" t="e">
        <f t="shared" si="27"/>
        <v>#DIV/0!</v>
      </c>
      <c r="AD220" s="11"/>
      <c r="AE220" s="349" t="str">
        <f>AF220&amp;TM[[#This Row],[Insurer Code]]&amp;"; "&amp;AG220&amp;TM[[#This Row],[Reporting Year]]&amp;"; "&amp;AH220&amp;TM[[#This Row],[Insurance Category Code]]&amp;"; "&amp;AI220&amp;TM[[#This Row],[Large Provider Entity Code]]</f>
        <v xml:space="preserve">Insurer Code ; Reporting Year ; Insurance Category Code ; Large Provider Entity Code </v>
      </c>
      <c r="AF220" s="345" t="s">
        <v>207</v>
      </c>
      <c r="AG220" s="345" t="s">
        <v>208</v>
      </c>
      <c r="AH220" s="345" t="s">
        <v>209</v>
      </c>
      <c r="AI220" s="345" t="s">
        <v>210</v>
      </c>
      <c r="AJ220" s="345"/>
      <c r="AK220" s="345"/>
      <c r="AL220" s="345"/>
      <c r="AM220" s="11"/>
      <c r="AN220" s="11"/>
      <c r="AO220" s="11"/>
    </row>
    <row r="221" spans="1:41" x14ac:dyDescent="0.25">
      <c r="A221" s="311"/>
      <c r="B221" s="324"/>
      <c r="C221" s="324"/>
      <c r="D221" s="324"/>
      <c r="E221" s="325"/>
      <c r="F221" s="336"/>
      <c r="G221" s="336"/>
      <c r="H221" s="336"/>
      <c r="I221" s="336"/>
      <c r="J221" s="336"/>
      <c r="K221" s="336"/>
      <c r="L221" s="336"/>
      <c r="M221" s="336"/>
      <c r="N221" s="336"/>
      <c r="O221" s="336"/>
      <c r="P221" s="336"/>
      <c r="Q221" s="336"/>
      <c r="R221" s="446"/>
      <c r="S221" s="336"/>
      <c r="T221" s="336"/>
      <c r="U221" s="314"/>
      <c r="V221" s="326">
        <v>1</v>
      </c>
      <c r="W221" s="447">
        <f t="shared" si="21"/>
        <v>0</v>
      </c>
      <c r="X221" s="447">
        <f t="shared" si="22"/>
        <v>0</v>
      </c>
      <c r="Y221" s="447">
        <f t="shared" si="23"/>
        <v>0</v>
      </c>
      <c r="Z221" s="447">
        <f t="shared" si="24"/>
        <v>0</v>
      </c>
      <c r="AA221" s="447">
        <f t="shared" si="25"/>
        <v>0</v>
      </c>
      <c r="AB221" s="447" t="e">
        <f t="shared" si="26"/>
        <v>#DIV/0!</v>
      </c>
      <c r="AC221" s="448" t="e">
        <f t="shared" si="27"/>
        <v>#DIV/0!</v>
      </c>
      <c r="AD221" s="11"/>
      <c r="AE221" s="349" t="str">
        <f>AF221&amp;TM[[#This Row],[Insurer Code]]&amp;"; "&amp;AG221&amp;TM[[#This Row],[Reporting Year]]&amp;"; "&amp;AH221&amp;TM[[#This Row],[Insurance Category Code]]&amp;"; "&amp;AI221&amp;TM[[#This Row],[Large Provider Entity Code]]</f>
        <v xml:space="preserve">Insurer Code ; Reporting Year ; Insurance Category Code ; Large Provider Entity Code </v>
      </c>
      <c r="AF221" s="345" t="s">
        <v>207</v>
      </c>
      <c r="AG221" s="345" t="s">
        <v>208</v>
      </c>
      <c r="AH221" s="345" t="s">
        <v>209</v>
      </c>
      <c r="AI221" s="345" t="s">
        <v>210</v>
      </c>
      <c r="AJ221" s="345"/>
      <c r="AK221" s="345"/>
      <c r="AL221" s="345"/>
      <c r="AM221" s="11"/>
      <c r="AN221" s="11"/>
      <c r="AO221" s="11"/>
    </row>
    <row r="222" spans="1:41" x14ac:dyDescent="0.25">
      <c r="A222" s="311"/>
      <c r="B222" s="324"/>
      <c r="C222" s="324"/>
      <c r="D222" s="324"/>
      <c r="E222" s="327"/>
      <c r="F222" s="336"/>
      <c r="G222" s="336"/>
      <c r="H222" s="336"/>
      <c r="I222" s="336"/>
      <c r="J222" s="336"/>
      <c r="K222" s="336"/>
      <c r="L222" s="336"/>
      <c r="M222" s="336"/>
      <c r="N222" s="336"/>
      <c r="O222" s="336"/>
      <c r="P222" s="336"/>
      <c r="Q222" s="336"/>
      <c r="R222" s="446"/>
      <c r="S222" s="336"/>
      <c r="T222" s="336"/>
      <c r="U222" s="314"/>
      <c r="V222" s="326">
        <v>17</v>
      </c>
      <c r="W222" s="447">
        <f t="shared" si="21"/>
        <v>0</v>
      </c>
      <c r="X222" s="447">
        <f t="shared" si="22"/>
        <v>0</v>
      </c>
      <c r="Y222" s="447">
        <f t="shared" si="23"/>
        <v>0</v>
      </c>
      <c r="Z222" s="447">
        <f t="shared" si="24"/>
        <v>0</v>
      </c>
      <c r="AA222" s="447">
        <f t="shared" si="25"/>
        <v>0</v>
      </c>
      <c r="AB222" s="447" t="e">
        <f t="shared" si="26"/>
        <v>#DIV/0!</v>
      </c>
      <c r="AC222" s="448" t="e">
        <f t="shared" si="27"/>
        <v>#DIV/0!</v>
      </c>
      <c r="AD222" s="11"/>
      <c r="AE222" s="349" t="str">
        <f>AF222&amp;TM[[#This Row],[Insurer Code]]&amp;"; "&amp;AG222&amp;TM[[#This Row],[Reporting Year]]&amp;"; "&amp;AH222&amp;TM[[#This Row],[Insurance Category Code]]&amp;"; "&amp;AI222&amp;TM[[#This Row],[Large Provider Entity Code]]</f>
        <v xml:space="preserve">Insurer Code ; Reporting Year ; Insurance Category Code ; Large Provider Entity Code </v>
      </c>
      <c r="AF222" s="345" t="s">
        <v>207</v>
      </c>
      <c r="AG222" s="345" t="s">
        <v>208</v>
      </c>
      <c r="AH222" s="345" t="s">
        <v>209</v>
      </c>
      <c r="AI222" s="345" t="s">
        <v>210</v>
      </c>
      <c r="AJ222" s="345"/>
      <c r="AK222" s="345"/>
      <c r="AL222" s="345"/>
      <c r="AM222" s="11"/>
      <c r="AN222" s="11"/>
      <c r="AO222" s="11"/>
    </row>
    <row r="223" spans="1:41" x14ac:dyDescent="0.25">
      <c r="A223" s="311"/>
      <c r="B223" s="324"/>
      <c r="C223" s="324"/>
      <c r="D223" s="324"/>
      <c r="E223" s="327"/>
      <c r="F223" s="336"/>
      <c r="G223" s="336"/>
      <c r="H223" s="336"/>
      <c r="I223" s="336"/>
      <c r="J223" s="336"/>
      <c r="K223" s="336"/>
      <c r="L223" s="336"/>
      <c r="M223" s="336"/>
      <c r="N223" s="336"/>
      <c r="O223" s="336"/>
      <c r="P223" s="336"/>
      <c r="Q223" s="336"/>
      <c r="R223" s="446"/>
      <c r="S223" s="336"/>
      <c r="T223" s="336"/>
      <c r="U223" s="314"/>
      <c r="V223" s="326">
        <v>12</v>
      </c>
      <c r="W223" s="447">
        <f t="shared" si="21"/>
        <v>0</v>
      </c>
      <c r="X223" s="447">
        <f t="shared" si="22"/>
        <v>0</v>
      </c>
      <c r="Y223" s="447">
        <f t="shared" si="23"/>
        <v>0</v>
      </c>
      <c r="Z223" s="447">
        <f t="shared" si="24"/>
        <v>0</v>
      </c>
      <c r="AA223" s="447">
        <f t="shared" si="25"/>
        <v>0</v>
      </c>
      <c r="AB223" s="447" t="e">
        <f t="shared" si="26"/>
        <v>#DIV/0!</v>
      </c>
      <c r="AC223" s="448" t="e">
        <f t="shared" si="27"/>
        <v>#DIV/0!</v>
      </c>
      <c r="AD223" s="11"/>
      <c r="AE223" s="349" t="str">
        <f>AF223&amp;TM[[#This Row],[Insurer Code]]&amp;"; "&amp;AG223&amp;TM[[#This Row],[Reporting Year]]&amp;"; "&amp;AH223&amp;TM[[#This Row],[Insurance Category Code]]&amp;"; "&amp;AI223&amp;TM[[#This Row],[Large Provider Entity Code]]</f>
        <v xml:space="preserve">Insurer Code ; Reporting Year ; Insurance Category Code ; Large Provider Entity Code </v>
      </c>
      <c r="AF223" s="345" t="s">
        <v>207</v>
      </c>
      <c r="AG223" s="345" t="s">
        <v>208</v>
      </c>
      <c r="AH223" s="345" t="s">
        <v>209</v>
      </c>
      <c r="AI223" s="345" t="s">
        <v>210</v>
      </c>
      <c r="AJ223" s="345"/>
      <c r="AK223" s="345"/>
      <c r="AL223" s="345"/>
      <c r="AM223" s="11"/>
      <c r="AN223" s="11"/>
      <c r="AO223" s="11"/>
    </row>
    <row r="224" spans="1:41" x14ac:dyDescent="0.25">
      <c r="A224" s="311"/>
      <c r="B224" s="324"/>
      <c r="C224" s="324"/>
      <c r="D224" s="324"/>
      <c r="E224" s="327"/>
      <c r="F224" s="336"/>
      <c r="G224" s="336"/>
      <c r="H224" s="336"/>
      <c r="I224" s="336"/>
      <c r="J224" s="336"/>
      <c r="K224" s="336"/>
      <c r="L224" s="336"/>
      <c r="M224" s="336"/>
      <c r="N224" s="336"/>
      <c r="O224" s="336"/>
      <c r="P224" s="336"/>
      <c r="Q224" s="336"/>
      <c r="R224" s="446"/>
      <c r="S224" s="336"/>
      <c r="T224" s="336"/>
      <c r="U224" s="314"/>
      <c r="V224" s="326">
        <v>0</v>
      </c>
      <c r="W224" s="447">
        <f t="shared" si="21"/>
        <v>0</v>
      </c>
      <c r="X224" s="447">
        <f t="shared" si="22"/>
        <v>0</v>
      </c>
      <c r="Y224" s="447">
        <f t="shared" si="23"/>
        <v>0</v>
      </c>
      <c r="Z224" s="447">
        <f t="shared" si="24"/>
        <v>0</v>
      </c>
      <c r="AA224" s="447">
        <f t="shared" si="25"/>
        <v>0</v>
      </c>
      <c r="AB224" s="447" t="e">
        <f t="shared" si="26"/>
        <v>#DIV/0!</v>
      </c>
      <c r="AC224" s="448" t="e">
        <f t="shared" si="27"/>
        <v>#DIV/0!</v>
      </c>
      <c r="AD224" s="11"/>
      <c r="AE224" s="349" t="str">
        <f>AF224&amp;TM[[#This Row],[Insurer Code]]&amp;"; "&amp;AG224&amp;TM[[#This Row],[Reporting Year]]&amp;"; "&amp;AH224&amp;TM[[#This Row],[Insurance Category Code]]&amp;"; "&amp;AI224&amp;TM[[#This Row],[Large Provider Entity Code]]</f>
        <v xml:space="preserve">Insurer Code ; Reporting Year ; Insurance Category Code ; Large Provider Entity Code </v>
      </c>
      <c r="AF224" s="345" t="s">
        <v>207</v>
      </c>
      <c r="AG224" s="345" t="s">
        <v>208</v>
      </c>
      <c r="AH224" s="345" t="s">
        <v>209</v>
      </c>
      <c r="AI224" s="345" t="s">
        <v>210</v>
      </c>
      <c r="AJ224" s="345"/>
      <c r="AK224" s="345"/>
      <c r="AL224" s="345"/>
      <c r="AM224" s="11"/>
      <c r="AN224" s="11"/>
      <c r="AO224" s="11"/>
    </row>
    <row r="225" spans="1:41" x14ac:dyDescent="0.25">
      <c r="A225" s="311"/>
      <c r="B225" s="324"/>
      <c r="C225" s="324"/>
      <c r="D225" s="324"/>
      <c r="E225" s="327"/>
      <c r="F225" s="336"/>
      <c r="G225" s="336"/>
      <c r="H225" s="336"/>
      <c r="I225" s="336"/>
      <c r="J225" s="336"/>
      <c r="K225" s="336"/>
      <c r="L225" s="336"/>
      <c r="M225" s="336"/>
      <c r="N225" s="336"/>
      <c r="O225" s="336"/>
      <c r="P225" s="336"/>
      <c r="Q225" s="336"/>
      <c r="R225" s="446"/>
      <c r="S225" s="336"/>
      <c r="T225" s="336"/>
      <c r="U225" s="314"/>
      <c r="V225" s="326">
        <v>11</v>
      </c>
      <c r="W225" s="447">
        <f t="shared" si="21"/>
        <v>0</v>
      </c>
      <c r="X225" s="447">
        <f t="shared" si="22"/>
        <v>0</v>
      </c>
      <c r="Y225" s="447">
        <f t="shared" si="23"/>
        <v>0</v>
      </c>
      <c r="Z225" s="447">
        <f t="shared" si="24"/>
        <v>0</v>
      </c>
      <c r="AA225" s="447">
        <f t="shared" si="25"/>
        <v>0</v>
      </c>
      <c r="AB225" s="447" t="e">
        <f t="shared" si="26"/>
        <v>#DIV/0!</v>
      </c>
      <c r="AC225" s="448" t="e">
        <f t="shared" si="27"/>
        <v>#DIV/0!</v>
      </c>
      <c r="AD225" s="11"/>
      <c r="AE225" s="349" t="str">
        <f>AF225&amp;TM[[#This Row],[Insurer Code]]&amp;"; "&amp;AG225&amp;TM[[#This Row],[Reporting Year]]&amp;"; "&amp;AH225&amp;TM[[#This Row],[Insurance Category Code]]&amp;"; "&amp;AI225&amp;TM[[#This Row],[Large Provider Entity Code]]</f>
        <v xml:space="preserve">Insurer Code ; Reporting Year ; Insurance Category Code ; Large Provider Entity Code </v>
      </c>
      <c r="AF225" s="345" t="s">
        <v>207</v>
      </c>
      <c r="AG225" s="345" t="s">
        <v>208</v>
      </c>
      <c r="AH225" s="345" t="s">
        <v>209</v>
      </c>
      <c r="AI225" s="345" t="s">
        <v>210</v>
      </c>
      <c r="AJ225" s="345"/>
      <c r="AK225" s="345"/>
      <c r="AL225" s="345"/>
      <c r="AM225" s="11"/>
      <c r="AN225" s="11"/>
      <c r="AO225" s="11"/>
    </row>
    <row r="226" spans="1:41" x14ac:dyDescent="0.25">
      <c r="A226" s="311"/>
      <c r="B226" s="321"/>
      <c r="C226" s="321"/>
      <c r="D226" s="321"/>
      <c r="E226" s="470"/>
      <c r="F226" s="442"/>
      <c r="G226" s="314"/>
      <c r="H226" s="314"/>
      <c r="I226" s="314"/>
      <c r="J226" s="314"/>
      <c r="K226" s="314"/>
      <c r="L226" s="314"/>
      <c r="M226" s="314"/>
      <c r="N226" s="314"/>
      <c r="O226" s="314"/>
      <c r="P226" s="314"/>
      <c r="Q226" s="314"/>
      <c r="R226" s="445"/>
      <c r="S226" s="314"/>
      <c r="T226" s="314"/>
      <c r="U226" s="314"/>
      <c r="V226" s="323">
        <v>0</v>
      </c>
      <c r="W226" s="447">
        <f t="shared" si="21"/>
        <v>0</v>
      </c>
      <c r="X226" s="447">
        <f t="shared" si="22"/>
        <v>0</v>
      </c>
      <c r="Y226" s="447">
        <f t="shared" si="23"/>
        <v>0</v>
      </c>
      <c r="Z226" s="447">
        <f t="shared" si="24"/>
        <v>0</v>
      </c>
      <c r="AA226" s="447">
        <f t="shared" si="25"/>
        <v>0</v>
      </c>
      <c r="AB226" s="447" t="e">
        <f t="shared" si="26"/>
        <v>#DIV/0!</v>
      </c>
      <c r="AC226" s="448" t="e">
        <f t="shared" si="27"/>
        <v>#DIV/0!</v>
      </c>
      <c r="AD226" s="11"/>
      <c r="AE226" s="349" t="str">
        <f>AF226&amp;TM[[#This Row],[Insurer Code]]&amp;"; "&amp;AG226&amp;TM[[#This Row],[Reporting Year]]&amp;"; "&amp;AH226&amp;TM[[#This Row],[Insurance Category Code]]&amp;"; "&amp;AI226&amp;TM[[#This Row],[Large Provider Entity Code]]</f>
        <v xml:space="preserve">Insurer Code ; Reporting Year ; Insurance Category Code ; Large Provider Entity Code </v>
      </c>
      <c r="AF226" s="345" t="s">
        <v>207</v>
      </c>
      <c r="AG226" s="345" t="s">
        <v>208</v>
      </c>
      <c r="AH226" s="345" t="s">
        <v>209</v>
      </c>
      <c r="AI226" s="345" t="s">
        <v>210</v>
      </c>
      <c r="AJ226" s="345"/>
      <c r="AK226" s="345"/>
      <c r="AL226" s="345"/>
      <c r="AM226" s="11"/>
      <c r="AN226" s="11"/>
      <c r="AO226" s="11"/>
    </row>
    <row r="227" spans="1:41" x14ac:dyDescent="0.25">
      <c r="A227" s="311"/>
      <c r="B227" s="321"/>
      <c r="C227" s="321"/>
      <c r="D227" s="321"/>
      <c r="E227" s="470"/>
      <c r="F227" s="442"/>
      <c r="G227" s="314"/>
      <c r="H227" s="314"/>
      <c r="I227" s="314"/>
      <c r="J227" s="314"/>
      <c r="K227" s="314"/>
      <c r="L227" s="314"/>
      <c r="M227" s="314"/>
      <c r="N227" s="314"/>
      <c r="O227" s="314"/>
      <c r="P227" s="314"/>
      <c r="Q227" s="314"/>
      <c r="R227" s="445"/>
      <c r="S227" s="314"/>
      <c r="T227" s="314"/>
      <c r="U227" s="314"/>
      <c r="V227" s="323">
        <v>16</v>
      </c>
      <c r="W227" s="447">
        <f t="shared" si="21"/>
        <v>0</v>
      </c>
      <c r="X227" s="447">
        <f t="shared" si="22"/>
        <v>0</v>
      </c>
      <c r="Y227" s="447">
        <f t="shared" si="23"/>
        <v>0</v>
      </c>
      <c r="Z227" s="447">
        <f t="shared" si="24"/>
        <v>0</v>
      </c>
      <c r="AA227" s="447">
        <f t="shared" si="25"/>
        <v>0</v>
      </c>
      <c r="AB227" s="447" t="e">
        <f t="shared" si="26"/>
        <v>#DIV/0!</v>
      </c>
      <c r="AC227" s="448" t="e">
        <f t="shared" si="27"/>
        <v>#DIV/0!</v>
      </c>
      <c r="AD227" s="11"/>
      <c r="AE227" s="349" t="str">
        <f>AF227&amp;TM[[#This Row],[Insurer Code]]&amp;"; "&amp;AG227&amp;TM[[#This Row],[Reporting Year]]&amp;"; "&amp;AH227&amp;TM[[#This Row],[Insurance Category Code]]&amp;"; "&amp;AI227&amp;TM[[#This Row],[Large Provider Entity Code]]</f>
        <v xml:space="preserve">Insurer Code ; Reporting Year ; Insurance Category Code ; Large Provider Entity Code </v>
      </c>
      <c r="AF227" s="345" t="s">
        <v>207</v>
      </c>
      <c r="AG227" s="345" t="s">
        <v>208</v>
      </c>
      <c r="AH227" s="345" t="s">
        <v>209</v>
      </c>
      <c r="AI227" s="345" t="s">
        <v>210</v>
      </c>
      <c r="AJ227" s="345"/>
      <c r="AK227" s="345"/>
      <c r="AL227" s="345"/>
      <c r="AM227" s="11"/>
      <c r="AN227" s="11"/>
      <c r="AO227" s="11"/>
    </row>
    <row r="228" spans="1:41" x14ac:dyDescent="0.25">
      <c r="A228" s="311"/>
      <c r="B228" s="321"/>
      <c r="C228" s="321"/>
      <c r="D228" s="321"/>
      <c r="E228" s="470"/>
      <c r="F228" s="442"/>
      <c r="G228" s="314"/>
      <c r="H228" s="314"/>
      <c r="I228" s="314"/>
      <c r="J228" s="314"/>
      <c r="K228" s="314"/>
      <c r="L228" s="314"/>
      <c r="M228" s="314"/>
      <c r="N228" s="314"/>
      <c r="O228" s="314"/>
      <c r="P228" s="314"/>
      <c r="Q228" s="314"/>
      <c r="R228" s="445"/>
      <c r="S228" s="314"/>
      <c r="T228" s="314"/>
      <c r="U228" s="314"/>
      <c r="V228" s="323">
        <v>5</v>
      </c>
      <c r="W228" s="451">
        <f t="shared" si="21"/>
        <v>0</v>
      </c>
      <c r="X228" s="451">
        <f t="shared" si="22"/>
        <v>0</v>
      </c>
      <c r="Y228" s="451">
        <f t="shared" si="23"/>
        <v>0</v>
      </c>
      <c r="Z228" s="451">
        <f t="shared" si="24"/>
        <v>0</v>
      </c>
      <c r="AA228" s="451">
        <f t="shared" si="25"/>
        <v>0</v>
      </c>
      <c r="AB228" s="451" t="e">
        <f t="shared" si="26"/>
        <v>#DIV/0!</v>
      </c>
      <c r="AC228" s="452" t="e">
        <f t="shared" si="27"/>
        <v>#DIV/0!</v>
      </c>
      <c r="AD228" s="11"/>
      <c r="AE228" s="349" t="str">
        <f>AF228&amp;TM[[#This Row],[Insurer Code]]&amp;"; "&amp;AG228&amp;TM[[#This Row],[Reporting Year]]&amp;"; "&amp;AH228&amp;TM[[#This Row],[Insurance Category Code]]&amp;"; "&amp;AI228&amp;TM[[#This Row],[Large Provider Entity Code]]</f>
        <v xml:space="preserve">Insurer Code ; Reporting Year ; Insurance Category Code ; Large Provider Entity Code </v>
      </c>
      <c r="AF228" s="345" t="s">
        <v>207</v>
      </c>
      <c r="AG228" s="345" t="s">
        <v>208</v>
      </c>
      <c r="AH228" s="345" t="s">
        <v>209</v>
      </c>
      <c r="AI228" s="345" t="s">
        <v>210</v>
      </c>
      <c r="AJ228" s="345"/>
      <c r="AK228" s="345"/>
      <c r="AL228" s="345"/>
      <c r="AM228" s="11"/>
      <c r="AN228" s="11"/>
      <c r="AO228" s="11"/>
    </row>
    <row r="229" spans="1:41" x14ac:dyDescent="0.25">
      <c r="A229" s="311"/>
      <c r="B229" s="321"/>
      <c r="C229" s="321"/>
      <c r="D229" s="321"/>
      <c r="E229" s="470"/>
      <c r="F229" s="442"/>
      <c r="G229" s="314"/>
      <c r="H229" s="314"/>
      <c r="I229" s="314"/>
      <c r="J229" s="314"/>
      <c r="K229" s="314"/>
      <c r="L229" s="314"/>
      <c r="M229" s="314"/>
      <c r="N229" s="314"/>
      <c r="O229" s="314"/>
      <c r="P229" s="314"/>
      <c r="Q229" s="314"/>
      <c r="R229" s="445"/>
      <c r="S229" s="314"/>
      <c r="T229" s="314"/>
      <c r="U229" s="314"/>
      <c r="V229" s="323">
        <v>0</v>
      </c>
      <c r="W229" s="451">
        <f t="shared" si="21"/>
        <v>0</v>
      </c>
      <c r="X229" s="451">
        <f t="shared" si="22"/>
        <v>0</v>
      </c>
      <c r="Y229" s="451">
        <f t="shared" si="23"/>
        <v>0</v>
      </c>
      <c r="Z229" s="451">
        <f t="shared" si="24"/>
        <v>0</v>
      </c>
      <c r="AA229" s="451">
        <f t="shared" si="25"/>
        <v>0</v>
      </c>
      <c r="AB229" s="451" t="e">
        <f t="shared" si="26"/>
        <v>#DIV/0!</v>
      </c>
      <c r="AC229" s="452" t="e">
        <f t="shared" si="27"/>
        <v>#DIV/0!</v>
      </c>
      <c r="AD229" s="11"/>
      <c r="AE229" s="349" t="str">
        <f>AF229&amp;TM[[#This Row],[Insurer Code]]&amp;"; "&amp;AG229&amp;TM[[#This Row],[Reporting Year]]&amp;"; "&amp;AH229&amp;TM[[#This Row],[Insurance Category Code]]&amp;"; "&amp;AI229&amp;TM[[#This Row],[Large Provider Entity Code]]</f>
        <v xml:space="preserve">Insurer Code ; Reporting Year ; Insurance Category Code ; Large Provider Entity Code </v>
      </c>
      <c r="AF229" s="345" t="s">
        <v>207</v>
      </c>
      <c r="AG229" s="345" t="s">
        <v>208</v>
      </c>
      <c r="AH229" s="345" t="s">
        <v>209</v>
      </c>
      <c r="AI229" s="345" t="s">
        <v>210</v>
      </c>
      <c r="AJ229" s="345"/>
      <c r="AK229" s="345"/>
      <c r="AL229" s="345"/>
      <c r="AM229" s="11"/>
      <c r="AN229" s="11"/>
      <c r="AO229" s="11"/>
    </row>
    <row r="230" spans="1:41" x14ac:dyDescent="0.25">
      <c r="A230" s="311"/>
      <c r="B230" s="321"/>
      <c r="C230" s="321"/>
      <c r="D230" s="321"/>
      <c r="E230" s="470"/>
      <c r="F230" s="442"/>
      <c r="G230" s="314"/>
      <c r="H230" s="314"/>
      <c r="I230" s="314"/>
      <c r="J230" s="314"/>
      <c r="K230" s="314"/>
      <c r="L230" s="314"/>
      <c r="M230" s="314"/>
      <c r="N230" s="314"/>
      <c r="O230" s="314"/>
      <c r="P230" s="314"/>
      <c r="Q230" s="314"/>
      <c r="R230" s="445"/>
      <c r="S230" s="314"/>
      <c r="T230" s="314"/>
      <c r="U230" s="314"/>
      <c r="V230" s="323">
        <v>7</v>
      </c>
      <c r="W230" s="451">
        <f t="shared" si="21"/>
        <v>0</v>
      </c>
      <c r="X230" s="451">
        <f t="shared" si="22"/>
        <v>0</v>
      </c>
      <c r="Y230" s="451">
        <f t="shared" si="23"/>
        <v>0</v>
      </c>
      <c r="Z230" s="451">
        <f t="shared" si="24"/>
        <v>0</v>
      </c>
      <c r="AA230" s="451">
        <f t="shared" si="25"/>
        <v>0</v>
      </c>
      <c r="AB230" s="451" t="e">
        <f t="shared" si="26"/>
        <v>#DIV/0!</v>
      </c>
      <c r="AC230" s="452" t="e">
        <f t="shared" si="27"/>
        <v>#DIV/0!</v>
      </c>
      <c r="AD230" s="11"/>
      <c r="AE230" s="349" t="str">
        <f>AF230&amp;TM[[#This Row],[Insurer Code]]&amp;"; "&amp;AG230&amp;TM[[#This Row],[Reporting Year]]&amp;"; "&amp;AH230&amp;TM[[#This Row],[Insurance Category Code]]&amp;"; "&amp;AI230&amp;TM[[#This Row],[Large Provider Entity Code]]</f>
        <v xml:space="preserve">Insurer Code ; Reporting Year ; Insurance Category Code ; Large Provider Entity Code </v>
      </c>
      <c r="AF230" s="345" t="s">
        <v>207</v>
      </c>
      <c r="AG230" s="345" t="s">
        <v>208</v>
      </c>
      <c r="AH230" s="345" t="s">
        <v>209</v>
      </c>
      <c r="AI230" s="345" t="s">
        <v>210</v>
      </c>
      <c r="AJ230" s="345"/>
      <c r="AK230" s="345"/>
      <c r="AL230" s="345"/>
      <c r="AM230" s="11"/>
      <c r="AN230" s="11"/>
      <c r="AO230" s="11"/>
    </row>
    <row r="231" spans="1:41" x14ac:dyDescent="0.25">
      <c r="A231" s="311"/>
      <c r="B231" s="321"/>
      <c r="C231" s="321"/>
      <c r="D231" s="321"/>
      <c r="E231" s="470"/>
      <c r="F231" s="442"/>
      <c r="G231" s="314"/>
      <c r="H231" s="314"/>
      <c r="I231" s="314"/>
      <c r="J231" s="314"/>
      <c r="K231" s="314"/>
      <c r="L231" s="314"/>
      <c r="M231" s="314"/>
      <c r="N231" s="314"/>
      <c r="O231" s="314"/>
      <c r="P231" s="314"/>
      <c r="Q231" s="314"/>
      <c r="R231" s="445"/>
      <c r="S231" s="314"/>
      <c r="T231" s="314"/>
      <c r="U231" s="314"/>
      <c r="V231" s="323">
        <v>0</v>
      </c>
      <c r="W231" s="451">
        <f t="shared" si="21"/>
        <v>0</v>
      </c>
      <c r="X231" s="451">
        <f t="shared" si="22"/>
        <v>0</v>
      </c>
      <c r="Y231" s="451">
        <f t="shared" si="23"/>
        <v>0</v>
      </c>
      <c r="Z231" s="451">
        <f t="shared" si="24"/>
        <v>0</v>
      </c>
      <c r="AA231" s="451">
        <f t="shared" si="25"/>
        <v>0</v>
      </c>
      <c r="AB231" s="451" t="e">
        <f t="shared" si="26"/>
        <v>#DIV/0!</v>
      </c>
      <c r="AC231" s="452" t="e">
        <f t="shared" si="27"/>
        <v>#DIV/0!</v>
      </c>
      <c r="AD231" s="11"/>
      <c r="AE231" s="349" t="str">
        <f>AF231&amp;TM[[#This Row],[Insurer Code]]&amp;"; "&amp;AG231&amp;TM[[#This Row],[Reporting Year]]&amp;"; "&amp;AH231&amp;TM[[#This Row],[Insurance Category Code]]&amp;"; "&amp;AI231&amp;TM[[#This Row],[Large Provider Entity Code]]</f>
        <v xml:space="preserve">Insurer Code ; Reporting Year ; Insurance Category Code ; Large Provider Entity Code </v>
      </c>
      <c r="AF231" s="345" t="s">
        <v>207</v>
      </c>
      <c r="AG231" s="345" t="s">
        <v>208</v>
      </c>
      <c r="AH231" s="345" t="s">
        <v>209</v>
      </c>
      <c r="AI231" s="345" t="s">
        <v>210</v>
      </c>
      <c r="AJ231" s="345"/>
      <c r="AK231" s="345"/>
      <c r="AL231" s="345"/>
      <c r="AM231" s="11"/>
      <c r="AN231" s="11"/>
      <c r="AO231" s="11"/>
    </row>
    <row r="232" spans="1:41" x14ac:dyDescent="0.25">
      <c r="A232" s="311"/>
      <c r="B232" s="321"/>
      <c r="C232" s="321"/>
      <c r="D232" s="321"/>
      <c r="E232" s="322"/>
      <c r="F232" s="314"/>
      <c r="G232" s="314"/>
      <c r="H232" s="314"/>
      <c r="I232" s="314"/>
      <c r="J232" s="314"/>
      <c r="K232" s="314"/>
      <c r="L232" s="314"/>
      <c r="M232" s="314"/>
      <c r="N232" s="314"/>
      <c r="O232" s="314"/>
      <c r="P232" s="314"/>
      <c r="Q232" s="314"/>
      <c r="R232" s="445"/>
      <c r="S232" s="314"/>
      <c r="T232" s="314"/>
      <c r="U232" s="314"/>
      <c r="V232" s="323">
        <v>0</v>
      </c>
      <c r="W232" s="447">
        <f t="shared" si="21"/>
        <v>0</v>
      </c>
      <c r="X232" s="447">
        <f t="shared" si="22"/>
        <v>0</v>
      </c>
      <c r="Y232" s="447">
        <f t="shared" si="23"/>
        <v>0</v>
      </c>
      <c r="Z232" s="447">
        <f t="shared" si="24"/>
        <v>0</v>
      </c>
      <c r="AA232" s="447">
        <f t="shared" si="25"/>
        <v>0</v>
      </c>
      <c r="AB232" s="447" t="e">
        <f t="shared" si="26"/>
        <v>#DIV/0!</v>
      </c>
      <c r="AC232" s="448" t="e">
        <f t="shared" si="27"/>
        <v>#DIV/0!</v>
      </c>
      <c r="AD232" s="11"/>
      <c r="AE232" s="349" t="str">
        <f>AF232&amp;TM[[#This Row],[Insurer Code]]&amp;"; "&amp;AG232&amp;TM[[#This Row],[Reporting Year]]&amp;"; "&amp;AH232&amp;TM[[#This Row],[Insurance Category Code]]&amp;"; "&amp;AI232&amp;TM[[#This Row],[Large Provider Entity Code]]</f>
        <v xml:space="preserve">Insurer Code ; Reporting Year ; Insurance Category Code ; Large Provider Entity Code </v>
      </c>
      <c r="AF232" s="345" t="s">
        <v>207</v>
      </c>
      <c r="AG232" s="345" t="s">
        <v>208</v>
      </c>
      <c r="AH232" s="345" t="s">
        <v>209</v>
      </c>
      <c r="AI232" s="345" t="s">
        <v>210</v>
      </c>
      <c r="AJ232" s="345"/>
      <c r="AK232" s="345"/>
      <c r="AL232" s="345"/>
      <c r="AM232" s="11"/>
      <c r="AN232" s="11"/>
      <c r="AO232" s="11"/>
    </row>
    <row r="233" spans="1:41" x14ac:dyDescent="0.25">
      <c r="A233" s="311"/>
      <c r="B233" s="321"/>
      <c r="C233" s="321"/>
      <c r="D233" s="321"/>
      <c r="E233" s="322"/>
      <c r="F233" s="314"/>
      <c r="G233" s="314"/>
      <c r="H233" s="314"/>
      <c r="I233" s="314"/>
      <c r="J233" s="314"/>
      <c r="K233" s="314"/>
      <c r="L233" s="314"/>
      <c r="M233" s="314"/>
      <c r="N233" s="314"/>
      <c r="O233" s="314"/>
      <c r="P233" s="314"/>
      <c r="Q233" s="314"/>
      <c r="R233" s="445"/>
      <c r="S233" s="314"/>
      <c r="T233" s="314"/>
      <c r="U233" s="314"/>
      <c r="V233" s="323">
        <v>4</v>
      </c>
      <c r="W233" s="447">
        <f t="shared" si="21"/>
        <v>0</v>
      </c>
      <c r="X233" s="447">
        <f t="shared" si="22"/>
        <v>0</v>
      </c>
      <c r="Y233" s="447">
        <f t="shared" si="23"/>
        <v>0</v>
      </c>
      <c r="Z233" s="447">
        <f t="shared" si="24"/>
        <v>0</v>
      </c>
      <c r="AA233" s="447">
        <f t="shared" si="25"/>
        <v>0</v>
      </c>
      <c r="AB233" s="447" t="e">
        <f t="shared" si="26"/>
        <v>#DIV/0!</v>
      </c>
      <c r="AC233" s="448" t="e">
        <f t="shared" si="27"/>
        <v>#DIV/0!</v>
      </c>
      <c r="AD233" s="11"/>
      <c r="AE233" s="349" t="str">
        <f>AF233&amp;TM[[#This Row],[Insurer Code]]&amp;"; "&amp;AG233&amp;TM[[#This Row],[Reporting Year]]&amp;"; "&amp;AH233&amp;TM[[#This Row],[Insurance Category Code]]&amp;"; "&amp;AI233&amp;TM[[#This Row],[Large Provider Entity Code]]</f>
        <v xml:space="preserve">Insurer Code ; Reporting Year ; Insurance Category Code ; Large Provider Entity Code </v>
      </c>
      <c r="AF233" s="345" t="s">
        <v>207</v>
      </c>
      <c r="AG233" s="345" t="s">
        <v>208</v>
      </c>
      <c r="AH233" s="345" t="s">
        <v>209</v>
      </c>
      <c r="AI233" s="345" t="s">
        <v>210</v>
      </c>
      <c r="AJ233" s="345"/>
      <c r="AK233" s="345"/>
      <c r="AL233" s="345"/>
      <c r="AM233" s="11"/>
      <c r="AN233" s="11"/>
      <c r="AO233" s="11"/>
    </row>
    <row r="234" spans="1:41" x14ac:dyDescent="0.25">
      <c r="A234" s="311"/>
      <c r="B234" s="324"/>
      <c r="C234" s="324"/>
      <c r="D234" s="324"/>
      <c r="E234" s="325"/>
      <c r="F234" s="336"/>
      <c r="G234" s="336"/>
      <c r="H234" s="336"/>
      <c r="I234" s="336"/>
      <c r="J234" s="336"/>
      <c r="K234" s="336"/>
      <c r="L234" s="336"/>
      <c r="M234" s="336"/>
      <c r="N234" s="336"/>
      <c r="O234" s="336"/>
      <c r="P234" s="336"/>
      <c r="Q234" s="336"/>
      <c r="R234" s="446"/>
      <c r="S234" s="336"/>
      <c r="T234" s="336"/>
      <c r="U234" s="314"/>
      <c r="V234" s="326">
        <v>9</v>
      </c>
      <c r="W234" s="447">
        <f t="shared" si="21"/>
        <v>0</v>
      </c>
      <c r="X234" s="447">
        <f t="shared" si="22"/>
        <v>0</v>
      </c>
      <c r="Y234" s="447">
        <f t="shared" si="23"/>
        <v>0</v>
      </c>
      <c r="Z234" s="447">
        <f t="shared" si="24"/>
        <v>0</v>
      </c>
      <c r="AA234" s="447">
        <f t="shared" si="25"/>
        <v>0</v>
      </c>
      <c r="AB234" s="447" t="e">
        <f t="shared" si="26"/>
        <v>#DIV/0!</v>
      </c>
      <c r="AC234" s="448" t="e">
        <f t="shared" si="27"/>
        <v>#DIV/0!</v>
      </c>
      <c r="AD234" s="11"/>
      <c r="AE234" s="349" t="str">
        <f>AF234&amp;TM[[#This Row],[Insurer Code]]&amp;"; "&amp;AG234&amp;TM[[#This Row],[Reporting Year]]&amp;"; "&amp;AH234&amp;TM[[#This Row],[Insurance Category Code]]&amp;"; "&amp;AI234&amp;TM[[#This Row],[Large Provider Entity Code]]</f>
        <v xml:space="preserve">Insurer Code ; Reporting Year ; Insurance Category Code ; Large Provider Entity Code </v>
      </c>
      <c r="AF234" s="345" t="s">
        <v>207</v>
      </c>
      <c r="AG234" s="345" t="s">
        <v>208</v>
      </c>
      <c r="AH234" s="345" t="s">
        <v>209</v>
      </c>
      <c r="AI234" s="345" t="s">
        <v>210</v>
      </c>
      <c r="AJ234" s="345"/>
      <c r="AK234" s="345"/>
      <c r="AL234" s="345"/>
      <c r="AM234" s="11"/>
      <c r="AN234" s="11"/>
      <c r="AO234" s="11"/>
    </row>
    <row r="235" spans="1:41" x14ac:dyDescent="0.25">
      <c r="A235" s="311"/>
      <c r="B235" s="324"/>
      <c r="C235" s="324"/>
      <c r="D235" s="324"/>
      <c r="E235" s="325"/>
      <c r="F235" s="336"/>
      <c r="G235" s="336"/>
      <c r="H235" s="336"/>
      <c r="I235" s="336"/>
      <c r="J235" s="336"/>
      <c r="K235" s="336"/>
      <c r="L235" s="336"/>
      <c r="M235" s="336"/>
      <c r="N235" s="336"/>
      <c r="O235" s="336"/>
      <c r="P235" s="336"/>
      <c r="Q235" s="336"/>
      <c r="R235" s="446"/>
      <c r="S235" s="336"/>
      <c r="T235" s="336"/>
      <c r="U235" s="314"/>
      <c r="V235" s="326">
        <v>3</v>
      </c>
      <c r="W235" s="447">
        <f t="shared" si="21"/>
        <v>0</v>
      </c>
      <c r="X235" s="447">
        <f t="shared" si="22"/>
        <v>0</v>
      </c>
      <c r="Y235" s="447">
        <f t="shared" si="23"/>
        <v>0</v>
      </c>
      <c r="Z235" s="447">
        <f t="shared" si="24"/>
        <v>0</v>
      </c>
      <c r="AA235" s="447">
        <f t="shared" si="25"/>
        <v>0</v>
      </c>
      <c r="AB235" s="447" t="e">
        <f t="shared" si="26"/>
        <v>#DIV/0!</v>
      </c>
      <c r="AC235" s="448" t="e">
        <f t="shared" si="27"/>
        <v>#DIV/0!</v>
      </c>
      <c r="AD235" s="11"/>
      <c r="AE235" s="349" t="str">
        <f>AF235&amp;TM[[#This Row],[Insurer Code]]&amp;"; "&amp;AG235&amp;TM[[#This Row],[Reporting Year]]&amp;"; "&amp;AH235&amp;TM[[#This Row],[Insurance Category Code]]&amp;"; "&amp;AI235&amp;TM[[#This Row],[Large Provider Entity Code]]</f>
        <v xml:space="preserve">Insurer Code ; Reporting Year ; Insurance Category Code ; Large Provider Entity Code </v>
      </c>
      <c r="AF235" s="345" t="s">
        <v>207</v>
      </c>
      <c r="AG235" s="345" t="s">
        <v>208</v>
      </c>
      <c r="AH235" s="345" t="s">
        <v>209</v>
      </c>
      <c r="AI235" s="345" t="s">
        <v>210</v>
      </c>
      <c r="AJ235" s="345"/>
      <c r="AK235" s="345"/>
      <c r="AL235" s="345"/>
      <c r="AM235" s="11"/>
      <c r="AN235" s="11"/>
      <c r="AO235" s="11"/>
    </row>
    <row r="236" spans="1:41" x14ac:dyDescent="0.25">
      <c r="A236" s="311"/>
      <c r="B236" s="321"/>
      <c r="C236" s="321"/>
      <c r="D236" s="321"/>
      <c r="E236" s="322"/>
      <c r="F236" s="314"/>
      <c r="G236" s="314"/>
      <c r="H236" s="314"/>
      <c r="I236" s="314"/>
      <c r="J236" s="314"/>
      <c r="K236" s="314"/>
      <c r="L236" s="314"/>
      <c r="M236" s="314"/>
      <c r="N236" s="314"/>
      <c r="O236" s="314"/>
      <c r="P236" s="314"/>
      <c r="Q236" s="314"/>
      <c r="R236" s="445"/>
      <c r="S236" s="314"/>
      <c r="T236" s="314"/>
      <c r="U236" s="314"/>
      <c r="V236" s="323">
        <v>0</v>
      </c>
      <c r="W236" s="447">
        <f t="shared" si="21"/>
        <v>0</v>
      </c>
      <c r="X236" s="447">
        <f t="shared" si="22"/>
        <v>0</v>
      </c>
      <c r="Y236" s="447">
        <f t="shared" si="23"/>
        <v>0</v>
      </c>
      <c r="Z236" s="447">
        <f t="shared" si="24"/>
        <v>0</v>
      </c>
      <c r="AA236" s="447">
        <f t="shared" si="25"/>
        <v>0</v>
      </c>
      <c r="AB236" s="447" t="e">
        <f t="shared" si="26"/>
        <v>#DIV/0!</v>
      </c>
      <c r="AC236" s="448" t="e">
        <f t="shared" si="27"/>
        <v>#DIV/0!</v>
      </c>
      <c r="AD236" s="11"/>
      <c r="AE236" s="349" t="str">
        <f>AF236&amp;TM[[#This Row],[Insurer Code]]&amp;"; "&amp;AG236&amp;TM[[#This Row],[Reporting Year]]&amp;"; "&amp;AH236&amp;TM[[#This Row],[Insurance Category Code]]&amp;"; "&amp;AI236&amp;TM[[#This Row],[Large Provider Entity Code]]</f>
        <v xml:space="preserve">Insurer Code ; Reporting Year ; Insurance Category Code ; Large Provider Entity Code </v>
      </c>
      <c r="AF236" s="345" t="s">
        <v>207</v>
      </c>
      <c r="AG236" s="345" t="s">
        <v>208</v>
      </c>
      <c r="AH236" s="345" t="s">
        <v>209</v>
      </c>
      <c r="AI236" s="345" t="s">
        <v>210</v>
      </c>
      <c r="AJ236" s="345"/>
      <c r="AK236" s="345"/>
      <c r="AL236" s="345"/>
      <c r="AM236" s="11"/>
      <c r="AN236" s="11"/>
      <c r="AO236" s="11"/>
    </row>
    <row r="237" spans="1:41" x14ac:dyDescent="0.25">
      <c r="A237" s="311"/>
      <c r="B237" s="321"/>
      <c r="C237" s="321"/>
      <c r="D237" s="321"/>
      <c r="E237" s="322"/>
      <c r="F237" s="314"/>
      <c r="G237" s="314"/>
      <c r="H237" s="314"/>
      <c r="I237" s="314"/>
      <c r="J237" s="314"/>
      <c r="K237" s="314"/>
      <c r="L237" s="314"/>
      <c r="M237" s="314"/>
      <c r="N237" s="314"/>
      <c r="O237" s="314"/>
      <c r="P237" s="314"/>
      <c r="Q237" s="314"/>
      <c r="R237" s="445"/>
      <c r="S237" s="314"/>
      <c r="T237" s="314"/>
      <c r="U237" s="314"/>
      <c r="V237" s="323">
        <v>0</v>
      </c>
      <c r="W237" s="447">
        <f t="shared" si="21"/>
        <v>0</v>
      </c>
      <c r="X237" s="447">
        <f t="shared" si="22"/>
        <v>0</v>
      </c>
      <c r="Y237" s="447">
        <f t="shared" si="23"/>
        <v>0</v>
      </c>
      <c r="Z237" s="447">
        <f t="shared" si="24"/>
        <v>0</v>
      </c>
      <c r="AA237" s="447">
        <f t="shared" si="25"/>
        <v>0</v>
      </c>
      <c r="AB237" s="447" t="e">
        <f t="shared" si="26"/>
        <v>#DIV/0!</v>
      </c>
      <c r="AC237" s="448" t="e">
        <f t="shared" si="27"/>
        <v>#DIV/0!</v>
      </c>
      <c r="AD237" s="11"/>
      <c r="AE237" s="349" t="str">
        <f>AF237&amp;TM[[#This Row],[Insurer Code]]&amp;"; "&amp;AG237&amp;TM[[#This Row],[Reporting Year]]&amp;"; "&amp;AH237&amp;TM[[#This Row],[Insurance Category Code]]&amp;"; "&amp;AI237&amp;TM[[#This Row],[Large Provider Entity Code]]</f>
        <v xml:space="preserve">Insurer Code ; Reporting Year ; Insurance Category Code ; Large Provider Entity Code </v>
      </c>
      <c r="AF237" s="345" t="s">
        <v>207</v>
      </c>
      <c r="AG237" s="345" t="s">
        <v>208</v>
      </c>
      <c r="AH237" s="345" t="s">
        <v>209</v>
      </c>
      <c r="AI237" s="345" t="s">
        <v>210</v>
      </c>
      <c r="AJ237" s="345"/>
      <c r="AK237" s="345"/>
      <c r="AL237" s="345"/>
      <c r="AM237" s="11"/>
      <c r="AN237" s="11"/>
      <c r="AO237" s="11"/>
    </row>
    <row r="238" spans="1:41" x14ac:dyDescent="0.25">
      <c r="A238" s="311"/>
      <c r="B238" s="324"/>
      <c r="C238" s="324"/>
      <c r="D238" s="324"/>
      <c r="E238" s="327"/>
      <c r="F238" s="336"/>
      <c r="G238" s="336"/>
      <c r="H238" s="336"/>
      <c r="I238" s="336"/>
      <c r="J238" s="336"/>
      <c r="K238" s="336"/>
      <c r="L238" s="336"/>
      <c r="M238" s="336"/>
      <c r="N238" s="336"/>
      <c r="O238" s="336"/>
      <c r="P238" s="336"/>
      <c r="Q238" s="336"/>
      <c r="R238" s="446"/>
      <c r="S238" s="336"/>
      <c r="T238" s="336"/>
      <c r="U238" s="314"/>
      <c r="V238" s="326">
        <v>13</v>
      </c>
      <c r="W238" s="447">
        <f t="shared" si="21"/>
        <v>0</v>
      </c>
      <c r="X238" s="447">
        <f t="shared" si="22"/>
        <v>0</v>
      </c>
      <c r="Y238" s="447">
        <f t="shared" si="23"/>
        <v>0</v>
      </c>
      <c r="Z238" s="447">
        <f t="shared" si="24"/>
        <v>0</v>
      </c>
      <c r="AA238" s="447">
        <f t="shared" si="25"/>
        <v>0</v>
      </c>
      <c r="AB238" s="447" t="e">
        <f t="shared" si="26"/>
        <v>#DIV/0!</v>
      </c>
      <c r="AC238" s="448" t="e">
        <f t="shared" si="27"/>
        <v>#DIV/0!</v>
      </c>
      <c r="AD238" s="11"/>
      <c r="AE238" s="349" t="str">
        <f>AF238&amp;TM[[#This Row],[Insurer Code]]&amp;"; "&amp;AG238&amp;TM[[#This Row],[Reporting Year]]&amp;"; "&amp;AH238&amp;TM[[#This Row],[Insurance Category Code]]&amp;"; "&amp;AI238&amp;TM[[#This Row],[Large Provider Entity Code]]</f>
        <v xml:space="preserve">Insurer Code ; Reporting Year ; Insurance Category Code ; Large Provider Entity Code </v>
      </c>
      <c r="AF238" s="345" t="s">
        <v>207</v>
      </c>
      <c r="AG238" s="345" t="s">
        <v>208</v>
      </c>
      <c r="AH238" s="345" t="s">
        <v>209</v>
      </c>
      <c r="AI238" s="345" t="s">
        <v>210</v>
      </c>
      <c r="AJ238" s="345"/>
      <c r="AK238" s="345"/>
      <c r="AL238" s="345"/>
      <c r="AM238" s="11"/>
      <c r="AN238" s="11"/>
      <c r="AO238" s="11"/>
    </row>
    <row r="239" spans="1:41" x14ac:dyDescent="0.25">
      <c r="A239" s="311"/>
      <c r="B239" s="324"/>
      <c r="C239" s="324"/>
      <c r="D239" s="324"/>
      <c r="E239" s="327"/>
      <c r="F239" s="336"/>
      <c r="G239" s="336"/>
      <c r="H239" s="336"/>
      <c r="I239" s="336"/>
      <c r="J239" s="336"/>
      <c r="K239" s="336"/>
      <c r="L239" s="336"/>
      <c r="M239" s="336"/>
      <c r="N239" s="336"/>
      <c r="O239" s="336"/>
      <c r="P239" s="336"/>
      <c r="Q239" s="336"/>
      <c r="R239" s="446"/>
      <c r="S239" s="336"/>
      <c r="T239" s="336"/>
      <c r="U239" s="314"/>
      <c r="V239" s="326">
        <v>0</v>
      </c>
      <c r="W239" s="447">
        <f t="shared" si="21"/>
        <v>0</v>
      </c>
      <c r="X239" s="447">
        <f t="shared" si="22"/>
        <v>0</v>
      </c>
      <c r="Y239" s="447">
        <f t="shared" si="23"/>
        <v>0</v>
      </c>
      <c r="Z239" s="447">
        <f t="shared" si="24"/>
        <v>0</v>
      </c>
      <c r="AA239" s="447">
        <f t="shared" si="25"/>
        <v>0</v>
      </c>
      <c r="AB239" s="447" t="e">
        <f t="shared" si="26"/>
        <v>#DIV/0!</v>
      </c>
      <c r="AC239" s="448" t="e">
        <f t="shared" si="27"/>
        <v>#DIV/0!</v>
      </c>
      <c r="AD239" s="11"/>
      <c r="AE239" s="349" t="str">
        <f>AF239&amp;TM[[#This Row],[Insurer Code]]&amp;"; "&amp;AG239&amp;TM[[#This Row],[Reporting Year]]&amp;"; "&amp;AH239&amp;TM[[#This Row],[Insurance Category Code]]&amp;"; "&amp;AI239&amp;TM[[#This Row],[Large Provider Entity Code]]</f>
        <v xml:space="preserve">Insurer Code ; Reporting Year ; Insurance Category Code ; Large Provider Entity Code </v>
      </c>
      <c r="AF239" s="345" t="s">
        <v>207</v>
      </c>
      <c r="AG239" s="345" t="s">
        <v>208</v>
      </c>
      <c r="AH239" s="345" t="s">
        <v>209</v>
      </c>
      <c r="AI239" s="345" t="s">
        <v>210</v>
      </c>
      <c r="AJ239" s="345"/>
      <c r="AK239" s="345"/>
      <c r="AL239" s="345"/>
      <c r="AM239" s="11"/>
      <c r="AN239" s="11"/>
      <c r="AO239" s="11"/>
    </row>
    <row r="240" spans="1:41" x14ac:dyDescent="0.25">
      <c r="A240" s="311"/>
      <c r="B240" s="324"/>
      <c r="C240" s="324"/>
      <c r="D240" s="324"/>
      <c r="E240" s="327"/>
      <c r="F240" s="336"/>
      <c r="G240" s="336"/>
      <c r="H240" s="336"/>
      <c r="I240" s="336"/>
      <c r="J240" s="336"/>
      <c r="K240" s="336"/>
      <c r="L240" s="336"/>
      <c r="M240" s="336"/>
      <c r="N240" s="336"/>
      <c r="O240" s="336"/>
      <c r="P240" s="336"/>
      <c r="Q240" s="336"/>
      <c r="R240" s="446"/>
      <c r="S240" s="336"/>
      <c r="T240" s="336"/>
      <c r="U240" s="314"/>
      <c r="V240" s="326">
        <v>0</v>
      </c>
      <c r="W240" s="447">
        <f t="shared" si="21"/>
        <v>0</v>
      </c>
      <c r="X240" s="447">
        <f t="shared" si="22"/>
        <v>0</v>
      </c>
      <c r="Y240" s="447">
        <f t="shared" si="23"/>
        <v>0</v>
      </c>
      <c r="Z240" s="447">
        <f t="shared" si="24"/>
        <v>0</v>
      </c>
      <c r="AA240" s="447">
        <f t="shared" si="25"/>
        <v>0</v>
      </c>
      <c r="AB240" s="447" t="e">
        <f t="shared" si="26"/>
        <v>#DIV/0!</v>
      </c>
      <c r="AC240" s="448" t="e">
        <f t="shared" si="27"/>
        <v>#DIV/0!</v>
      </c>
      <c r="AD240" s="11"/>
      <c r="AE240" s="349" t="str">
        <f>AF240&amp;TM[[#This Row],[Insurer Code]]&amp;"; "&amp;AG240&amp;TM[[#This Row],[Reporting Year]]&amp;"; "&amp;AH240&amp;TM[[#This Row],[Insurance Category Code]]&amp;"; "&amp;AI240&amp;TM[[#This Row],[Large Provider Entity Code]]</f>
        <v xml:space="preserve">Insurer Code ; Reporting Year ; Insurance Category Code ; Large Provider Entity Code </v>
      </c>
      <c r="AF240" s="345" t="s">
        <v>207</v>
      </c>
      <c r="AG240" s="345" t="s">
        <v>208</v>
      </c>
      <c r="AH240" s="345" t="s">
        <v>209</v>
      </c>
      <c r="AI240" s="345" t="s">
        <v>210</v>
      </c>
      <c r="AJ240" s="345"/>
      <c r="AK240" s="345"/>
      <c r="AL240" s="345"/>
      <c r="AM240" s="11"/>
      <c r="AN240" s="11"/>
      <c r="AO240" s="11"/>
    </row>
    <row r="241" spans="1:41" x14ac:dyDescent="0.25">
      <c r="A241" s="311"/>
      <c r="B241" s="321"/>
      <c r="C241" s="321"/>
      <c r="D241" s="321"/>
      <c r="E241" s="322"/>
      <c r="F241" s="314"/>
      <c r="G241" s="314"/>
      <c r="H241" s="314"/>
      <c r="I241" s="314"/>
      <c r="J241" s="314"/>
      <c r="K241" s="314"/>
      <c r="L241" s="314"/>
      <c r="M241" s="314"/>
      <c r="N241" s="314"/>
      <c r="O241" s="314"/>
      <c r="P241" s="314"/>
      <c r="Q241" s="314"/>
      <c r="R241" s="445"/>
      <c r="S241" s="314"/>
      <c r="T241" s="314"/>
      <c r="U241" s="314"/>
      <c r="V241" s="323">
        <v>4</v>
      </c>
      <c r="W241" s="447">
        <f t="shared" si="21"/>
        <v>0</v>
      </c>
      <c r="X241" s="447">
        <f t="shared" si="22"/>
        <v>0</v>
      </c>
      <c r="Y241" s="447">
        <f t="shared" si="23"/>
        <v>0</v>
      </c>
      <c r="Z241" s="447">
        <f t="shared" si="24"/>
        <v>0</v>
      </c>
      <c r="AA241" s="447">
        <f t="shared" si="25"/>
        <v>0</v>
      </c>
      <c r="AB241" s="447" t="e">
        <f t="shared" si="26"/>
        <v>#DIV/0!</v>
      </c>
      <c r="AC241" s="448" t="e">
        <f t="shared" si="27"/>
        <v>#DIV/0!</v>
      </c>
      <c r="AD241" s="11"/>
      <c r="AE241" s="349" t="str">
        <f>AF241&amp;TM[[#This Row],[Insurer Code]]&amp;"; "&amp;AG241&amp;TM[[#This Row],[Reporting Year]]&amp;"; "&amp;AH241&amp;TM[[#This Row],[Insurance Category Code]]&amp;"; "&amp;AI241&amp;TM[[#This Row],[Large Provider Entity Code]]</f>
        <v xml:space="preserve">Insurer Code ; Reporting Year ; Insurance Category Code ; Large Provider Entity Code </v>
      </c>
      <c r="AF241" s="345" t="s">
        <v>207</v>
      </c>
      <c r="AG241" s="345" t="s">
        <v>208</v>
      </c>
      <c r="AH241" s="345" t="s">
        <v>209</v>
      </c>
      <c r="AI241" s="345" t="s">
        <v>210</v>
      </c>
      <c r="AJ241" s="345"/>
      <c r="AK241" s="345"/>
      <c r="AL241" s="345"/>
      <c r="AM241" s="11"/>
      <c r="AN241" s="11"/>
      <c r="AO241" s="11"/>
    </row>
    <row r="242" spans="1:41" x14ac:dyDescent="0.25">
      <c r="A242" s="311"/>
      <c r="B242" s="324"/>
      <c r="C242" s="324"/>
      <c r="D242" s="324"/>
      <c r="E242" s="327"/>
      <c r="F242" s="336"/>
      <c r="G242" s="336"/>
      <c r="H242" s="336"/>
      <c r="I242" s="336"/>
      <c r="J242" s="336"/>
      <c r="K242" s="336"/>
      <c r="L242" s="336"/>
      <c r="M242" s="336"/>
      <c r="N242" s="336"/>
      <c r="O242" s="336"/>
      <c r="P242" s="336"/>
      <c r="Q242" s="336"/>
      <c r="R242" s="446"/>
      <c r="S242" s="336"/>
      <c r="T242" s="336"/>
      <c r="U242" s="314"/>
      <c r="V242" s="326">
        <v>6</v>
      </c>
      <c r="W242" s="447">
        <f t="shared" si="21"/>
        <v>0</v>
      </c>
      <c r="X242" s="447">
        <f t="shared" si="22"/>
        <v>0</v>
      </c>
      <c r="Y242" s="447">
        <f t="shared" si="23"/>
        <v>0</v>
      </c>
      <c r="Z242" s="447">
        <f t="shared" si="24"/>
        <v>0</v>
      </c>
      <c r="AA242" s="447">
        <f t="shared" si="25"/>
        <v>0</v>
      </c>
      <c r="AB242" s="447" t="e">
        <f t="shared" si="26"/>
        <v>#DIV/0!</v>
      </c>
      <c r="AC242" s="448" t="e">
        <f t="shared" si="27"/>
        <v>#DIV/0!</v>
      </c>
      <c r="AD242" s="11"/>
      <c r="AE242" s="349" t="str">
        <f>AF242&amp;TM[[#This Row],[Insurer Code]]&amp;"; "&amp;AG242&amp;TM[[#This Row],[Reporting Year]]&amp;"; "&amp;AH242&amp;TM[[#This Row],[Insurance Category Code]]&amp;"; "&amp;AI242&amp;TM[[#This Row],[Large Provider Entity Code]]</f>
        <v xml:space="preserve">Insurer Code ; Reporting Year ; Insurance Category Code ; Large Provider Entity Code </v>
      </c>
      <c r="AF242" s="345" t="s">
        <v>207</v>
      </c>
      <c r="AG242" s="345" t="s">
        <v>208</v>
      </c>
      <c r="AH242" s="345" t="s">
        <v>209</v>
      </c>
      <c r="AI242" s="345" t="s">
        <v>210</v>
      </c>
      <c r="AJ242" s="345"/>
      <c r="AK242" s="345"/>
      <c r="AL242" s="345"/>
      <c r="AM242" s="11"/>
      <c r="AN242" s="11"/>
      <c r="AO242" s="11"/>
    </row>
    <row r="243" spans="1:41" x14ac:dyDescent="0.25">
      <c r="A243" s="311"/>
      <c r="B243" s="324"/>
      <c r="C243" s="324"/>
      <c r="D243" s="324"/>
      <c r="E243" s="325"/>
      <c r="F243" s="336"/>
      <c r="G243" s="336"/>
      <c r="H243" s="336"/>
      <c r="I243" s="336"/>
      <c r="J243" s="336"/>
      <c r="K243" s="336"/>
      <c r="L243" s="336"/>
      <c r="M243" s="336"/>
      <c r="N243" s="336"/>
      <c r="O243" s="336"/>
      <c r="P243" s="336"/>
      <c r="Q243" s="336"/>
      <c r="R243" s="446"/>
      <c r="S243" s="336"/>
      <c r="T243" s="336"/>
      <c r="U243" s="314"/>
      <c r="V243" s="326">
        <v>15</v>
      </c>
      <c r="W243" s="447">
        <f t="shared" si="21"/>
        <v>0</v>
      </c>
      <c r="X243" s="447">
        <f t="shared" si="22"/>
        <v>0</v>
      </c>
      <c r="Y243" s="447">
        <f t="shared" si="23"/>
        <v>0</v>
      </c>
      <c r="Z243" s="447">
        <f t="shared" si="24"/>
        <v>0</v>
      </c>
      <c r="AA243" s="447">
        <f t="shared" si="25"/>
        <v>0</v>
      </c>
      <c r="AB243" s="447" t="e">
        <f t="shared" si="26"/>
        <v>#DIV/0!</v>
      </c>
      <c r="AC243" s="448" t="e">
        <f t="shared" si="27"/>
        <v>#DIV/0!</v>
      </c>
      <c r="AD243" s="11"/>
      <c r="AE243" s="349" t="str">
        <f>AF243&amp;TM[[#This Row],[Insurer Code]]&amp;"; "&amp;AG243&amp;TM[[#This Row],[Reporting Year]]&amp;"; "&amp;AH243&amp;TM[[#This Row],[Insurance Category Code]]&amp;"; "&amp;AI243&amp;TM[[#This Row],[Large Provider Entity Code]]</f>
        <v xml:space="preserve">Insurer Code ; Reporting Year ; Insurance Category Code ; Large Provider Entity Code </v>
      </c>
      <c r="AF243" s="345" t="s">
        <v>207</v>
      </c>
      <c r="AG243" s="345" t="s">
        <v>208</v>
      </c>
      <c r="AH243" s="345" t="s">
        <v>209</v>
      </c>
      <c r="AI243" s="345" t="s">
        <v>210</v>
      </c>
      <c r="AJ243" s="345"/>
      <c r="AK243" s="345"/>
      <c r="AL243" s="345"/>
      <c r="AM243" s="11"/>
      <c r="AN243" s="11"/>
      <c r="AO243" s="11"/>
    </row>
    <row r="244" spans="1:41" x14ac:dyDescent="0.25">
      <c r="A244" s="311"/>
      <c r="B244" s="324"/>
      <c r="C244" s="324"/>
      <c r="D244" s="324"/>
      <c r="E244" s="325"/>
      <c r="F244" s="336"/>
      <c r="G244" s="336"/>
      <c r="H244" s="336"/>
      <c r="I244" s="336"/>
      <c r="J244" s="336"/>
      <c r="K244" s="336"/>
      <c r="L244" s="336"/>
      <c r="M244" s="336"/>
      <c r="N244" s="336"/>
      <c r="O244" s="336"/>
      <c r="P244" s="336"/>
      <c r="Q244" s="336"/>
      <c r="R244" s="446"/>
      <c r="S244" s="336"/>
      <c r="T244" s="336"/>
      <c r="U244" s="314"/>
      <c r="V244" s="326">
        <v>0</v>
      </c>
      <c r="W244" s="447">
        <f t="shared" si="21"/>
        <v>0</v>
      </c>
      <c r="X244" s="447">
        <f t="shared" si="22"/>
        <v>0</v>
      </c>
      <c r="Y244" s="447">
        <f t="shared" si="23"/>
        <v>0</v>
      </c>
      <c r="Z244" s="447">
        <f t="shared" si="24"/>
        <v>0</v>
      </c>
      <c r="AA244" s="447">
        <f t="shared" si="25"/>
        <v>0</v>
      </c>
      <c r="AB244" s="447" t="e">
        <f t="shared" si="26"/>
        <v>#DIV/0!</v>
      </c>
      <c r="AC244" s="448" t="e">
        <f t="shared" si="27"/>
        <v>#DIV/0!</v>
      </c>
      <c r="AD244" s="11"/>
      <c r="AE244" s="349" t="str">
        <f>AF244&amp;TM[[#This Row],[Insurer Code]]&amp;"; "&amp;AG244&amp;TM[[#This Row],[Reporting Year]]&amp;"; "&amp;AH244&amp;TM[[#This Row],[Insurance Category Code]]&amp;"; "&amp;AI244&amp;TM[[#This Row],[Large Provider Entity Code]]</f>
        <v xml:space="preserve">Insurer Code ; Reporting Year ; Insurance Category Code ; Large Provider Entity Code </v>
      </c>
      <c r="AF244" s="345" t="s">
        <v>207</v>
      </c>
      <c r="AG244" s="345" t="s">
        <v>208</v>
      </c>
      <c r="AH244" s="345" t="s">
        <v>209</v>
      </c>
      <c r="AI244" s="345" t="s">
        <v>210</v>
      </c>
      <c r="AJ244" s="345"/>
      <c r="AK244" s="345"/>
      <c r="AL244" s="345"/>
      <c r="AM244" s="11"/>
      <c r="AN244" s="11"/>
      <c r="AO244" s="11"/>
    </row>
    <row r="245" spans="1:41" x14ac:dyDescent="0.25">
      <c r="A245" s="311"/>
      <c r="B245" s="324"/>
      <c r="C245" s="324"/>
      <c r="D245" s="324"/>
      <c r="E245" s="327"/>
      <c r="F245" s="336"/>
      <c r="G245" s="336"/>
      <c r="H245" s="336"/>
      <c r="I245" s="336"/>
      <c r="J245" s="336"/>
      <c r="K245" s="336"/>
      <c r="L245" s="336"/>
      <c r="M245" s="336"/>
      <c r="N245" s="336"/>
      <c r="O245" s="336"/>
      <c r="P245" s="336"/>
      <c r="Q245" s="336"/>
      <c r="R245" s="446"/>
      <c r="S245" s="336"/>
      <c r="T245" s="336"/>
      <c r="U245" s="314"/>
      <c r="V245" s="326">
        <v>0</v>
      </c>
      <c r="W245" s="447">
        <f t="shared" si="21"/>
        <v>0</v>
      </c>
      <c r="X245" s="447">
        <f t="shared" si="22"/>
        <v>0</v>
      </c>
      <c r="Y245" s="447">
        <f t="shared" si="23"/>
        <v>0</v>
      </c>
      <c r="Z245" s="447">
        <f t="shared" si="24"/>
        <v>0</v>
      </c>
      <c r="AA245" s="447">
        <f t="shared" si="25"/>
        <v>0</v>
      </c>
      <c r="AB245" s="447" t="e">
        <f t="shared" si="26"/>
        <v>#DIV/0!</v>
      </c>
      <c r="AC245" s="448" t="e">
        <f t="shared" si="27"/>
        <v>#DIV/0!</v>
      </c>
      <c r="AD245" s="11"/>
      <c r="AE245" s="349" t="str">
        <f>AF245&amp;TM[[#This Row],[Insurer Code]]&amp;"; "&amp;AG245&amp;TM[[#This Row],[Reporting Year]]&amp;"; "&amp;AH245&amp;TM[[#This Row],[Insurance Category Code]]&amp;"; "&amp;AI245&amp;TM[[#This Row],[Large Provider Entity Code]]</f>
        <v xml:space="preserve">Insurer Code ; Reporting Year ; Insurance Category Code ; Large Provider Entity Code </v>
      </c>
      <c r="AF245" s="345" t="s">
        <v>207</v>
      </c>
      <c r="AG245" s="345" t="s">
        <v>208</v>
      </c>
      <c r="AH245" s="345" t="s">
        <v>209</v>
      </c>
      <c r="AI245" s="345" t="s">
        <v>210</v>
      </c>
      <c r="AJ245" s="345"/>
      <c r="AK245" s="345"/>
      <c r="AL245" s="345"/>
      <c r="AM245" s="11"/>
      <c r="AN245" s="11"/>
      <c r="AO245" s="11"/>
    </row>
    <row r="246" spans="1:41" x14ac:dyDescent="0.25">
      <c r="A246" s="311"/>
      <c r="B246" s="324"/>
      <c r="C246" s="324"/>
      <c r="D246" s="324"/>
      <c r="E246" s="325"/>
      <c r="F246" s="336"/>
      <c r="G246" s="336"/>
      <c r="H246" s="336"/>
      <c r="I246" s="336"/>
      <c r="J246" s="336"/>
      <c r="K246" s="336"/>
      <c r="L246" s="336"/>
      <c r="M246" s="336"/>
      <c r="N246" s="336"/>
      <c r="O246" s="336"/>
      <c r="P246" s="336"/>
      <c r="Q246" s="336"/>
      <c r="R246" s="446"/>
      <c r="S246" s="336"/>
      <c r="T246" s="336"/>
      <c r="U246" s="314"/>
      <c r="V246" s="326">
        <v>8</v>
      </c>
      <c r="W246" s="447">
        <f t="shared" si="21"/>
        <v>0</v>
      </c>
      <c r="X246" s="447">
        <f t="shared" si="22"/>
        <v>0</v>
      </c>
      <c r="Y246" s="447">
        <f t="shared" si="23"/>
        <v>0</v>
      </c>
      <c r="Z246" s="447">
        <f t="shared" si="24"/>
        <v>0</v>
      </c>
      <c r="AA246" s="447">
        <f t="shared" si="25"/>
        <v>0</v>
      </c>
      <c r="AB246" s="447" t="e">
        <f t="shared" si="26"/>
        <v>#DIV/0!</v>
      </c>
      <c r="AC246" s="448" t="e">
        <f t="shared" si="27"/>
        <v>#DIV/0!</v>
      </c>
      <c r="AD246" s="11"/>
      <c r="AE246" s="349" t="str">
        <f>AF246&amp;TM[[#This Row],[Insurer Code]]&amp;"; "&amp;AG246&amp;TM[[#This Row],[Reporting Year]]&amp;"; "&amp;AH246&amp;TM[[#This Row],[Insurance Category Code]]&amp;"; "&amp;AI246&amp;TM[[#This Row],[Large Provider Entity Code]]</f>
        <v xml:space="preserve">Insurer Code ; Reporting Year ; Insurance Category Code ; Large Provider Entity Code </v>
      </c>
      <c r="AF246" s="345" t="s">
        <v>207</v>
      </c>
      <c r="AG246" s="345" t="s">
        <v>208</v>
      </c>
      <c r="AH246" s="345" t="s">
        <v>209</v>
      </c>
      <c r="AI246" s="345" t="s">
        <v>210</v>
      </c>
      <c r="AJ246" s="345"/>
      <c r="AK246" s="345"/>
      <c r="AL246" s="345"/>
      <c r="AM246" s="11"/>
      <c r="AN246" s="11"/>
      <c r="AO246" s="11"/>
    </row>
    <row r="247" spans="1:41" x14ac:dyDescent="0.25">
      <c r="A247" s="311"/>
      <c r="B247" s="321"/>
      <c r="C247" s="321"/>
      <c r="D247" s="321"/>
      <c r="E247" s="470"/>
      <c r="F247" s="442"/>
      <c r="G247" s="314"/>
      <c r="H247" s="314"/>
      <c r="I247" s="314"/>
      <c r="J247" s="314"/>
      <c r="K247" s="314"/>
      <c r="L247" s="314"/>
      <c r="M247" s="314"/>
      <c r="N247" s="314"/>
      <c r="O247" s="314"/>
      <c r="P247" s="314"/>
      <c r="Q247" s="314"/>
      <c r="R247" s="445"/>
      <c r="S247" s="314"/>
      <c r="T247" s="314"/>
      <c r="U247" s="314"/>
      <c r="V247" s="323">
        <v>0</v>
      </c>
      <c r="W247" s="447">
        <f t="shared" si="21"/>
        <v>0</v>
      </c>
      <c r="X247" s="447">
        <f t="shared" si="22"/>
        <v>0</v>
      </c>
      <c r="Y247" s="447">
        <f t="shared" si="23"/>
        <v>0</v>
      </c>
      <c r="Z247" s="447">
        <f t="shared" si="24"/>
        <v>0</v>
      </c>
      <c r="AA247" s="447">
        <f t="shared" si="25"/>
        <v>0</v>
      </c>
      <c r="AB247" s="447" t="e">
        <f t="shared" si="26"/>
        <v>#DIV/0!</v>
      </c>
      <c r="AC247" s="448" t="e">
        <f t="shared" si="27"/>
        <v>#DIV/0!</v>
      </c>
      <c r="AD247" s="11"/>
      <c r="AE247" s="349" t="str">
        <f>AF247&amp;TM[[#This Row],[Insurer Code]]&amp;"; "&amp;AG247&amp;TM[[#This Row],[Reporting Year]]&amp;"; "&amp;AH247&amp;TM[[#This Row],[Insurance Category Code]]&amp;"; "&amp;AI247&amp;TM[[#This Row],[Large Provider Entity Code]]</f>
        <v xml:space="preserve">Insurer Code ; Reporting Year ; Insurance Category Code ; Large Provider Entity Code </v>
      </c>
      <c r="AF247" s="345" t="s">
        <v>207</v>
      </c>
      <c r="AG247" s="345" t="s">
        <v>208</v>
      </c>
      <c r="AH247" s="345" t="s">
        <v>209</v>
      </c>
      <c r="AI247" s="345" t="s">
        <v>210</v>
      </c>
      <c r="AJ247" s="345"/>
      <c r="AK247" s="345"/>
      <c r="AL247" s="345"/>
      <c r="AM247" s="11"/>
      <c r="AN247" s="11"/>
      <c r="AO247" s="11"/>
    </row>
    <row r="248" spans="1:41" x14ac:dyDescent="0.25">
      <c r="A248" s="311"/>
      <c r="B248" s="321"/>
      <c r="C248" s="321"/>
      <c r="D248" s="321"/>
      <c r="E248" s="470"/>
      <c r="F248" s="442"/>
      <c r="G248" s="314"/>
      <c r="H248" s="314"/>
      <c r="I248" s="314"/>
      <c r="J248" s="314"/>
      <c r="K248" s="314"/>
      <c r="L248" s="314"/>
      <c r="M248" s="314"/>
      <c r="N248" s="314"/>
      <c r="O248" s="314"/>
      <c r="P248" s="314"/>
      <c r="Q248" s="314"/>
      <c r="R248" s="445"/>
      <c r="S248" s="314"/>
      <c r="T248" s="314"/>
      <c r="U248" s="314"/>
      <c r="V248" s="323">
        <v>4</v>
      </c>
      <c r="W248" s="447">
        <f t="shared" si="21"/>
        <v>0</v>
      </c>
      <c r="X248" s="447">
        <f t="shared" si="22"/>
        <v>0</v>
      </c>
      <c r="Y248" s="447">
        <f t="shared" si="23"/>
        <v>0</v>
      </c>
      <c r="Z248" s="447">
        <f t="shared" si="24"/>
        <v>0</v>
      </c>
      <c r="AA248" s="447">
        <f t="shared" si="25"/>
        <v>0</v>
      </c>
      <c r="AB248" s="447" t="e">
        <f t="shared" si="26"/>
        <v>#DIV/0!</v>
      </c>
      <c r="AC248" s="448" t="e">
        <f t="shared" si="27"/>
        <v>#DIV/0!</v>
      </c>
      <c r="AD248" s="11"/>
      <c r="AE248" s="349" t="str">
        <f>AF248&amp;TM[[#This Row],[Insurer Code]]&amp;"; "&amp;AG248&amp;TM[[#This Row],[Reporting Year]]&amp;"; "&amp;AH248&amp;TM[[#This Row],[Insurance Category Code]]&amp;"; "&amp;AI248&amp;TM[[#This Row],[Large Provider Entity Code]]</f>
        <v xml:space="preserve">Insurer Code ; Reporting Year ; Insurance Category Code ; Large Provider Entity Code </v>
      </c>
      <c r="AF248" s="345" t="s">
        <v>207</v>
      </c>
      <c r="AG248" s="345" t="s">
        <v>208</v>
      </c>
      <c r="AH248" s="345" t="s">
        <v>209</v>
      </c>
      <c r="AI248" s="345" t="s">
        <v>210</v>
      </c>
      <c r="AJ248" s="345"/>
      <c r="AK248" s="345"/>
      <c r="AL248" s="345"/>
      <c r="AM248" s="11"/>
      <c r="AN248" s="11"/>
      <c r="AO248" s="11"/>
    </row>
    <row r="249" spans="1:41" x14ac:dyDescent="0.25">
      <c r="A249" s="311"/>
      <c r="B249" s="321"/>
      <c r="C249" s="321"/>
      <c r="D249" s="321"/>
      <c r="E249" s="470"/>
      <c r="F249" s="442"/>
      <c r="G249" s="314"/>
      <c r="H249" s="314"/>
      <c r="I249" s="314"/>
      <c r="J249" s="314"/>
      <c r="K249" s="314"/>
      <c r="L249" s="314"/>
      <c r="M249" s="314"/>
      <c r="N249" s="314"/>
      <c r="O249" s="314"/>
      <c r="P249" s="314"/>
      <c r="Q249" s="314"/>
      <c r="R249" s="445"/>
      <c r="S249" s="314"/>
      <c r="T249" s="314"/>
      <c r="U249" s="314"/>
      <c r="V249" s="323">
        <v>9</v>
      </c>
      <c r="W249" s="447">
        <f t="shared" si="21"/>
        <v>0</v>
      </c>
      <c r="X249" s="447">
        <f t="shared" si="22"/>
        <v>0</v>
      </c>
      <c r="Y249" s="447">
        <f t="shared" si="23"/>
        <v>0</v>
      </c>
      <c r="Z249" s="447">
        <f t="shared" si="24"/>
        <v>0</v>
      </c>
      <c r="AA249" s="447">
        <f t="shared" si="25"/>
        <v>0</v>
      </c>
      <c r="AB249" s="447" t="e">
        <f t="shared" si="26"/>
        <v>#DIV/0!</v>
      </c>
      <c r="AC249" s="448" t="e">
        <f t="shared" si="27"/>
        <v>#DIV/0!</v>
      </c>
      <c r="AD249" s="11"/>
      <c r="AE249" s="349" t="str">
        <f>AF249&amp;TM[[#This Row],[Insurer Code]]&amp;"; "&amp;AG249&amp;TM[[#This Row],[Reporting Year]]&amp;"; "&amp;AH249&amp;TM[[#This Row],[Insurance Category Code]]&amp;"; "&amp;AI249&amp;TM[[#This Row],[Large Provider Entity Code]]</f>
        <v xml:space="preserve">Insurer Code ; Reporting Year ; Insurance Category Code ; Large Provider Entity Code </v>
      </c>
      <c r="AF249" s="345" t="s">
        <v>207</v>
      </c>
      <c r="AG249" s="345" t="s">
        <v>208</v>
      </c>
      <c r="AH249" s="345" t="s">
        <v>209</v>
      </c>
      <c r="AI249" s="345" t="s">
        <v>210</v>
      </c>
      <c r="AJ249" s="345"/>
      <c r="AK249" s="345"/>
      <c r="AL249" s="345"/>
      <c r="AM249" s="11"/>
      <c r="AN249" s="11"/>
      <c r="AO249" s="11"/>
    </row>
    <row r="250" spans="1:41" x14ac:dyDescent="0.25">
      <c r="A250" s="311"/>
      <c r="B250" s="321"/>
      <c r="C250" s="321"/>
      <c r="D250" s="321"/>
      <c r="E250" s="470"/>
      <c r="F250" s="442"/>
      <c r="G250" s="314"/>
      <c r="H250" s="314"/>
      <c r="I250" s="314"/>
      <c r="J250" s="314"/>
      <c r="K250" s="314"/>
      <c r="L250" s="314"/>
      <c r="M250" s="314"/>
      <c r="N250" s="314"/>
      <c r="O250" s="314"/>
      <c r="P250" s="314"/>
      <c r="Q250" s="314"/>
      <c r="R250" s="445"/>
      <c r="S250" s="314"/>
      <c r="T250" s="314"/>
      <c r="U250" s="314"/>
      <c r="V250" s="323">
        <v>3</v>
      </c>
      <c r="W250" s="451">
        <f t="shared" si="21"/>
        <v>0</v>
      </c>
      <c r="X250" s="451">
        <f t="shared" si="22"/>
        <v>0</v>
      </c>
      <c r="Y250" s="451">
        <f t="shared" si="23"/>
        <v>0</v>
      </c>
      <c r="Z250" s="451">
        <f t="shared" si="24"/>
        <v>0</v>
      </c>
      <c r="AA250" s="451">
        <f t="shared" si="25"/>
        <v>0</v>
      </c>
      <c r="AB250" s="451" t="e">
        <f t="shared" si="26"/>
        <v>#DIV/0!</v>
      </c>
      <c r="AC250" s="452" t="e">
        <f t="shared" si="27"/>
        <v>#DIV/0!</v>
      </c>
      <c r="AD250" s="11"/>
      <c r="AE250" s="349" t="str">
        <f>AF250&amp;TM[[#This Row],[Insurer Code]]&amp;"; "&amp;AG250&amp;TM[[#This Row],[Reporting Year]]&amp;"; "&amp;AH250&amp;TM[[#This Row],[Insurance Category Code]]&amp;"; "&amp;AI250&amp;TM[[#This Row],[Large Provider Entity Code]]</f>
        <v xml:space="preserve">Insurer Code ; Reporting Year ; Insurance Category Code ; Large Provider Entity Code </v>
      </c>
      <c r="AF250" s="345" t="s">
        <v>207</v>
      </c>
      <c r="AG250" s="345" t="s">
        <v>208</v>
      </c>
      <c r="AH250" s="345" t="s">
        <v>209</v>
      </c>
      <c r="AI250" s="345" t="s">
        <v>210</v>
      </c>
      <c r="AJ250" s="345"/>
      <c r="AK250" s="345"/>
      <c r="AL250" s="345"/>
      <c r="AM250" s="11"/>
      <c r="AN250" s="11"/>
      <c r="AO250" s="11"/>
    </row>
    <row r="251" spans="1:41" x14ac:dyDescent="0.25">
      <c r="A251" s="311"/>
      <c r="B251" s="321"/>
      <c r="C251" s="321"/>
      <c r="D251" s="321"/>
      <c r="E251" s="470"/>
      <c r="F251" s="442"/>
      <c r="G251" s="314"/>
      <c r="H251" s="314"/>
      <c r="I251" s="314"/>
      <c r="J251" s="314"/>
      <c r="K251" s="314"/>
      <c r="L251" s="314"/>
      <c r="M251" s="314"/>
      <c r="N251" s="314"/>
      <c r="O251" s="314"/>
      <c r="P251" s="314"/>
      <c r="Q251" s="314"/>
      <c r="R251" s="445"/>
      <c r="S251" s="314"/>
      <c r="T251" s="314"/>
      <c r="U251" s="314"/>
      <c r="V251" s="323">
        <v>0</v>
      </c>
      <c r="W251" s="451">
        <f t="shared" si="21"/>
        <v>0</v>
      </c>
      <c r="X251" s="451">
        <f t="shared" si="22"/>
        <v>0</v>
      </c>
      <c r="Y251" s="451">
        <f t="shared" si="23"/>
        <v>0</v>
      </c>
      <c r="Z251" s="451">
        <f t="shared" si="24"/>
        <v>0</v>
      </c>
      <c r="AA251" s="451">
        <f t="shared" si="25"/>
        <v>0</v>
      </c>
      <c r="AB251" s="451" t="e">
        <f t="shared" si="26"/>
        <v>#DIV/0!</v>
      </c>
      <c r="AC251" s="452" t="e">
        <f t="shared" si="27"/>
        <v>#DIV/0!</v>
      </c>
      <c r="AD251" s="11"/>
      <c r="AE251" s="349" t="str">
        <f>AF251&amp;TM[[#This Row],[Insurer Code]]&amp;"; "&amp;AG251&amp;TM[[#This Row],[Reporting Year]]&amp;"; "&amp;AH251&amp;TM[[#This Row],[Insurance Category Code]]&amp;"; "&amp;AI251&amp;TM[[#This Row],[Large Provider Entity Code]]</f>
        <v xml:space="preserve">Insurer Code ; Reporting Year ; Insurance Category Code ; Large Provider Entity Code </v>
      </c>
      <c r="AF251" s="345" t="s">
        <v>207</v>
      </c>
      <c r="AG251" s="345" t="s">
        <v>208</v>
      </c>
      <c r="AH251" s="345" t="s">
        <v>209</v>
      </c>
      <c r="AI251" s="345" t="s">
        <v>210</v>
      </c>
      <c r="AJ251" s="345"/>
      <c r="AK251" s="345"/>
      <c r="AL251" s="345"/>
      <c r="AM251" s="11"/>
      <c r="AN251" s="11"/>
      <c r="AO251" s="11"/>
    </row>
    <row r="252" spans="1:41" x14ac:dyDescent="0.25">
      <c r="A252" s="311"/>
      <c r="B252" s="312"/>
      <c r="C252" s="312"/>
      <c r="D252" s="312"/>
      <c r="E252" s="328"/>
      <c r="F252" s="442"/>
      <c r="G252" s="314"/>
      <c r="H252" s="314"/>
      <c r="I252" s="314"/>
      <c r="J252" s="314"/>
      <c r="K252" s="314"/>
      <c r="L252" s="314"/>
      <c r="M252" s="314"/>
      <c r="N252" s="314"/>
      <c r="O252" s="314"/>
      <c r="P252" s="314"/>
      <c r="Q252" s="314"/>
      <c r="R252" s="442"/>
      <c r="S252" s="314"/>
      <c r="T252" s="314"/>
      <c r="U252" s="314"/>
      <c r="V252" s="315">
        <v>0</v>
      </c>
      <c r="W252" s="451">
        <f t="shared" si="21"/>
        <v>0</v>
      </c>
      <c r="X252" s="451">
        <f t="shared" si="22"/>
        <v>0</v>
      </c>
      <c r="Y252" s="451">
        <f t="shared" si="23"/>
        <v>0</v>
      </c>
      <c r="Z252" s="451">
        <f t="shared" si="24"/>
        <v>0</v>
      </c>
      <c r="AA252" s="451">
        <f t="shared" si="25"/>
        <v>0</v>
      </c>
      <c r="AB252" s="451" t="e">
        <f t="shared" si="26"/>
        <v>#DIV/0!</v>
      </c>
      <c r="AC252" s="452" t="e">
        <f t="shared" si="27"/>
        <v>#DIV/0!</v>
      </c>
      <c r="AD252" s="11"/>
      <c r="AE252" s="349" t="str">
        <f>AF252&amp;TM[[#This Row],[Insurer Code]]&amp;"; "&amp;AG252&amp;TM[[#This Row],[Reporting Year]]&amp;"; "&amp;AH252&amp;TM[[#This Row],[Insurance Category Code]]&amp;"; "&amp;AI252&amp;TM[[#This Row],[Large Provider Entity Code]]</f>
        <v xml:space="preserve">Insurer Code ; Reporting Year ; Insurance Category Code ; Large Provider Entity Code </v>
      </c>
      <c r="AF252" s="345" t="s">
        <v>207</v>
      </c>
      <c r="AG252" s="345" t="s">
        <v>208</v>
      </c>
      <c r="AH252" s="345" t="s">
        <v>209</v>
      </c>
      <c r="AI252" s="345" t="s">
        <v>210</v>
      </c>
      <c r="AJ252" s="345"/>
      <c r="AK252" s="345"/>
      <c r="AL252" s="345"/>
      <c r="AM252" s="11"/>
      <c r="AN252" s="11"/>
      <c r="AO252" s="11"/>
    </row>
    <row r="253" spans="1:41" x14ac:dyDescent="0.25">
      <c r="A253" s="311"/>
      <c r="B253" s="312"/>
      <c r="C253" s="312"/>
      <c r="D253" s="312"/>
      <c r="E253" s="328"/>
      <c r="F253" s="442"/>
      <c r="G253" s="314"/>
      <c r="H253" s="314"/>
      <c r="I253" s="314"/>
      <c r="J253" s="314"/>
      <c r="K253" s="314"/>
      <c r="L253" s="314"/>
      <c r="M253" s="314"/>
      <c r="N253" s="314"/>
      <c r="O253" s="314"/>
      <c r="P253" s="314"/>
      <c r="Q253" s="314"/>
      <c r="R253" s="442"/>
      <c r="S253" s="314"/>
      <c r="T253" s="314"/>
      <c r="U253" s="314"/>
      <c r="V253" s="315">
        <v>13</v>
      </c>
      <c r="W253" s="451">
        <f t="shared" si="21"/>
        <v>0</v>
      </c>
      <c r="X253" s="451">
        <f t="shared" si="22"/>
        <v>0</v>
      </c>
      <c r="Y253" s="451">
        <f t="shared" si="23"/>
        <v>0</v>
      </c>
      <c r="Z253" s="451">
        <f t="shared" si="24"/>
        <v>0</v>
      </c>
      <c r="AA253" s="451">
        <f t="shared" si="25"/>
        <v>0</v>
      </c>
      <c r="AB253" s="451" t="e">
        <f t="shared" si="26"/>
        <v>#DIV/0!</v>
      </c>
      <c r="AC253" s="452" t="e">
        <f t="shared" si="27"/>
        <v>#DIV/0!</v>
      </c>
      <c r="AD253" s="11"/>
      <c r="AE253" s="349" t="str">
        <f>AF253&amp;TM[[#This Row],[Insurer Code]]&amp;"; "&amp;AG253&amp;TM[[#This Row],[Reporting Year]]&amp;"; "&amp;AH253&amp;TM[[#This Row],[Insurance Category Code]]&amp;"; "&amp;AI253&amp;TM[[#This Row],[Large Provider Entity Code]]</f>
        <v xml:space="preserve">Insurer Code ; Reporting Year ; Insurance Category Code ; Large Provider Entity Code </v>
      </c>
      <c r="AF253" s="345" t="s">
        <v>207</v>
      </c>
      <c r="AG253" s="345" t="s">
        <v>208</v>
      </c>
      <c r="AH253" s="345" t="s">
        <v>209</v>
      </c>
      <c r="AI253" s="345" t="s">
        <v>210</v>
      </c>
      <c r="AJ253" s="345"/>
      <c r="AK253" s="345"/>
      <c r="AL253" s="345"/>
      <c r="AM253" s="11"/>
      <c r="AN253" s="11"/>
      <c r="AO253" s="11"/>
    </row>
    <row r="254" spans="1:41" x14ac:dyDescent="0.25">
      <c r="A254" s="311"/>
      <c r="B254" s="312"/>
      <c r="C254" s="312"/>
      <c r="D254" s="312"/>
      <c r="E254" s="328"/>
      <c r="F254" s="442"/>
      <c r="G254" s="314"/>
      <c r="H254" s="314"/>
      <c r="I254" s="314"/>
      <c r="J254" s="314"/>
      <c r="K254" s="314"/>
      <c r="L254" s="314"/>
      <c r="M254" s="314"/>
      <c r="N254" s="314"/>
      <c r="O254" s="314"/>
      <c r="P254" s="314"/>
      <c r="Q254" s="314"/>
      <c r="R254" s="442"/>
      <c r="S254" s="314"/>
      <c r="T254" s="314"/>
      <c r="U254" s="314"/>
      <c r="V254" s="315">
        <v>0</v>
      </c>
      <c r="W254" s="451">
        <f t="shared" si="21"/>
        <v>0</v>
      </c>
      <c r="X254" s="451">
        <f t="shared" si="22"/>
        <v>0</v>
      </c>
      <c r="Y254" s="451">
        <f t="shared" si="23"/>
        <v>0</v>
      </c>
      <c r="Z254" s="451">
        <f t="shared" si="24"/>
        <v>0</v>
      </c>
      <c r="AA254" s="451">
        <f t="shared" si="25"/>
        <v>0</v>
      </c>
      <c r="AB254" s="451" t="e">
        <f t="shared" si="26"/>
        <v>#DIV/0!</v>
      </c>
      <c r="AC254" s="452" t="e">
        <f t="shared" si="27"/>
        <v>#DIV/0!</v>
      </c>
      <c r="AD254" s="11"/>
      <c r="AE254" s="349" t="str">
        <f>AF254&amp;TM[[#This Row],[Insurer Code]]&amp;"; "&amp;AG254&amp;TM[[#This Row],[Reporting Year]]&amp;"; "&amp;AH254&amp;TM[[#This Row],[Insurance Category Code]]&amp;"; "&amp;AI254&amp;TM[[#This Row],[Large Provider Entity Code]]</f>
        <v xml:space="preserve">Insurer Code ; Reporting Year ; Insurance Category Code ; Large Provider Entity Code </v>
      </c>
      <c r="AF254" s="345" t="s">
        <v>207</v>
      </c>
      <c r="AG254" s="345" t="s">
        <v>208</v>
      </c>
      <c r="AH254" s="345" t="s">
        <v>209</v>
      </c>
      <c r="AI254" s="345" t="s">
        <v>210</v>
      </c>
      <c r="AJ254" s="345"/>
      <c r="AK254" s="345"/>
      <c r="AL254" s="345"/>
      <c r="AM254" s="11"/>
      <c r="AN254" s="11"/>
      <c r="AO254" s="11"/>
    </row>
    <row r="255" spans="1:41" x14ac:dyDescent="0.25">
      <c r="A255" s="311"/>
      <c r="B255" s="312"/>
      <c r="C255" s="312"/>
      <c r="D255" s="312"/>
      <c r="E255" s="313"/>
      <c r="F255" s="314"/>
      <c r="G255" s="314"/>
      <c r="H255" s="314"/>
      <c r="I255" s="314"/>
      <c r="J255" s="314"/>
      <c r="K255" s="314"/>
      <c r="L255" s="314"/>
      <c r="M255" s="314"/>
      <c r="N255" s="314"/>
      <c r="O255" s="314"/>
      <c r="P255" s="314"/>
      <c r="Q255" s="314"/>
      <c r="R255" s="442"/>
      <c r="S255" s="314"/>
      <c r="T255" s="314"/>
      <c r="U255" s="314"/>
      <c r="V255" s="315">
        <v>0</v>
      </c>
      <c r="W255" s="447">
        <f t="shared" si="21"/>
        <v>0</v>
      </c>
      <c r="X255" s="447">
        <f t="shared" si="22"/>
        <v>0</v>
      </c>
      <c r="Y255" s="447">
        <f t="shared" si="23"/>
        <v>0</v>
      </c>
      <c r="Z255" s="447">
        <f t="shared" si="24"/>
        <v>0</v>
      </c>
      <c r="AA255" s="447">
        <f t="shared" si="25"/>
        <v>0</v>
      </c>
      <c r="AB255" s="447" t="e">
        <f t="shared" si="26"/>
        <v>#DIV/0!</v>
      </c>
      <c r="AC255" s="448" t="e">
        <f t="shared" si="27"/>
        <v>#DIV/0!</v>
      </c>
      <c r="AD255" s="11"/>
      <c r="AE255" s="349" t="str">
        <f>AF255&amp;TM[[#This Row],[Insurer Code]]&amp;"; "&amp;AG255&amp;TM[[#This Row],[Reporting Year]]&amp;"; "&amp;AH255&amp;TM[[#This Row],[Insurance Category Code]]&amp;"; "&amp;AI255&amp;TM[[#This Row],[Large Provider Entity Code]]</f>
        <v xml:space="preserve">Insurer Code ; Reporting Year ; Insurance Category Code ; Large Provider Entity Code </v>
      </c>
      <c r="AF255" s="345" t="s">
        <v>207</v>
      </c>
      <c r="AG255" s="345" t="s">
        <v>208</v>
      </c>
      <c r="AH255" s="345" t="s">
        <v>209</v>
      </c>
      <c r="AI255" s="345" t="s">
        <v>210</v>
      </c>
      <c r="AJ255" s="345"/>
      <c r="AK255" s="345"/>
      <c r="AL255" s="345"/>
      <c r="AM255" s="11"/>
      <c r="AN255" s="11"/>
      <c r="AO255" s="11"/>
    </row>
    <row r="256" spans="1:41" x14ac:dyDescent="0.25">
      <c r="A256" s="311"/>
      <c r="B256" s="312"/>
      <c r="C256" s="312"/>
      <c r="D256" s="312"/>
      <c r="E256" s="313"/>
      <c r="F256" s="314"/>
      <c r="G256" s="314"/>
      <c r="H256" s="314"/>
      <c r="I256" s="314"/>
      <c r="J256" s="314"/>
      <c r="K256" s="314"/>
      <c r="L256" s="314"/>
      <c r="M256" s="314"/>
      <c r="N256" s="314"/>
      <c r="O256" s="314"/>
      <c r="P256" s="314"/>
      <c r="Q256" s="314"/>
      <c r="R256" s="442"/>
      <c r="S256" s="314"/>
      <c r="T256" s="314"/>
      <c r="U256" s="314"/>
      <c r="V256" s="315">
        <v>4</v>
      </c>
      <c r="W256" s="447">
        <f t="shared" si="21"/>
        <v>0</v>
      </c>
      <c r="X256" s="447">
        <f t="shared" si="22"/>
        <v>0</v>
      </c>
      <c r="Y256" s="447">
        <f t="shared" si="23"/>
        <v>0</v>
      </c>
      <c r="Z256" s="447">
        <f t="shared" si="24"/>
        <v>0</v>
      </c>
      <c r="AA256" s="447">
        <f t="shared" si="25"/>
        <v>0</v>
      </c>
      <c r="AB256" s="447" t="e">
        <f t="shared" si="26"/>
        <v>#DIV/0!</v>
      </c>
      <c r="AC256" s="448" t="e">
        <f t="shared" si="27"/>
        <v>#DIV/0!</v>
      </c>
      <c r="AD256" s="11"/>
      <c r="AE256" s="349" t="str">
        <f>AF256&amp;TM[[#This Row],[Insurer Code]]&amp;"; "&amp;AG256&amp;TM[[#This Row],[Reporting Year]]&amp;"; "&amp;AH256&amp;TM[[#This Row],[Insurance Category Code]]&amp;"; "&amp;AI256&amp;TM[[#This Row],[Large Provider Entity Code]]</f>
        <v xml:space="preserve">Insurer Code ; Reporting Year ; Insurance Category Code ; Large Provider Entity Code </v>
      </c>
      <c r="AF256" s="345" t="s">
        <v>207</v>
      </c>
      <c r="AG256" s="345" t="s">
        <v>208</v>
      </c>
      <c r="AH256" s="345" t="s">
        <v>209</v>
      </c>
      <c r="AI256" s="345" t="s">
        <v>210</v>
      </c>
      <c r="AJ256" s="345"/>
      <c r="AK256" s="345"/>
      <c r="AL256" s="345"/>
      <c r="AM256" s="11"/>
      <c r="AN256" s="11"/>
      <c r="AO256" s="11"/>
    </row>
    <row r="257" spans="1:41" x14ac:dyDescent="0.25">
      <c r="A257" s="311"/>
      <c r="B257" s="316"/>
      <c r="C257" s="316"/>
      <c r="D257" s="316"/>
      <c r="E257" s="319"/>
      <c r="F257" s="336"/>
      <c r="G257" s="336"/>
      <c r="H257" s="336"/>
      <c r="I257" s="336"/>
      <c r="J257" s="336"/>
      <c r="K257" s="336"/>
      <c r="L257" s="336"/>
      <c r="M257" s="336"/>
      <c r="N257" s="336"/>
      <c r="O257" s="336"/>
      <c r="P257" s="336"/>
      <c r="Q257" s="336"/>
      <c r="R257" s="443"/>
      <c r="S257" s="336"/>
      <c r="T257" s="336"/>
      <c r="U257" s="314"/>
      <c r="V257" s="318">
        <v>7</v>
      </c>
      <c r="W257" s="447">
        <f t="shared" si="21"/>
        <v>0</v>
      </c>
      <c r="X257" s="447">
        <f t="shared" si="22"/>
        <v>0</v>
      </c>
      <c r="Y257" s="447">
        <f t="shared" si="23"/>
        <v>0</v>
      </c>
      <c r="Z257" s="447">
        <f t="shared" si="24"/>
        <v>0</v>
      </c>
      <c r="AA257" s="447">
        <f t="shared" si="25"/>
        <v>0</v>
      </c>
      <c r="AB257" s="447" t="e">
        <f t="shared" si="26"/>
        <v>#DIV/0!</v>
      </c>
      <c r="AC257" s="448" t="e">
        <f t="shared" si="27"/>
        <v>#DIV/0!</v>
      </c>
      <c r="AD257" s="11"/>
      <c r="AE257" s="349" t="str">
        <f>AF257&amp;TM[[#This Row],[Insurer Code]]&amp;"; "&amp;AG257&amp;TM[[#This Row],[Reporting Year]]&amp;"; "&amp;AH257&amp;TM[[#This Row],[Insurance Category Code]]&amp;"; "&amp;AI257&amp;TM[[#This Row],[Large Provider Entity Code]]</f>
        <v xml:space="preserve">Insurer Code ; Reporting Year ; Insurance Category Code ; Large Provider Entity Code </v>
      </c>
      <c r="AF257" s="345" t="s">
        <v>207</v>
      </c>
      <c r="AG257" s="345" t="s">
        <v>208</v>
      </c>
      <c r="AH257" s="345" t="s">
        <v>209</v>
      </c>
      <c r="AI257" s="345" t="s">
        <v>210</v>
      </c>
      <c r="AJ257" s="345"/>
      <c r="AK257" s="345"/>
      <c r="AL257" s="345"/>
      <c r="AM257" s="11"/>
      <c r="AN257" s="11"/>
      <c r="AO257" s="11"/>
    </row>
    <row r="258" spans="1:41" x14ac:dyDescent="0.25">
      <c r="A258" s="311"/>
      <c r="B258" s="316"/>
      <c r="C258" s="316"/>
      <c r="D258" s="316"/>
      <c r="E258" s="319"/>
      <c r="F258" s="336"/>
      <c r="G258" s="336"/>
      <c r="H258" s="336"/>
      <c r="I258" s="336"/>
      <c r="J258" s="336"/>
      <c r="K258" s="336"/>
      <c r="L258" s="336"/>
      <c r="M258" s="336"/>
      <c r="N258" s="336"/>
      <c r="O258" s="336"/>
      <c r="P258" s="336"/>
      <c r="Q258" s="336"/>
      <c r="R258" s="443"/>
      <c r="S258" s="336"/>
      <c r="T258" s="336"/>
      <c r="U258" s="314"/>
      <c r="V258" s="318">
        <v>2</v>
      </c>
      <c r="W258" s="447">
        <f t="shared" si="21"/>
        <v>0</v>
      </c>
      <c r="X258" s="447">
        <f t="shared" si="22"/>
        <v>0</v>
      </c>
      <c r="Y258" s="447">
        <f t="shared" si="23"/>
        <v>0</v>
      </c>
      <c r="Z258" s="447">
        <f t="shared" si="24"/>
        <v>0</v>
      </c>
      <c r="AA258" s="447">
        <f t="shared" si="25"/>
        <v>0</v>
      </c>
      <c r="AB258" s="447" t="e">
        <f t="shared" si="26"/>
        <v>#DIV/0!</v>
      </c>
      <c r="AC258" s="448" t="e">
        <f t="shared" si="27"/>
        <v>#DIV/0!</v>
      </c>
      <c r="AD258" s="11"/>
      <c r="AE258" s="349" t="str">
        <f>AF258&amp;TM[[#This Row],[Insurer Code]]&amp;"; "&amp;AG258&amp;TM[[#This Row],[Reporting Year]]&amp;"; "&amp;AH258&amp;TM[[#This Row],[Insurance Category Code]]&amp;"; "&amp;AI258&amp;TM[[#This Row],[Large Provider Entity Code]]</f>
        <v xml:space="preserve">Insurer Code ; Reporting Year ; Insurance Category Code ; Large Provider Entity Code </v>
      </c>
      <c r="AF258" s="345" t="s">
        <v>207</v>
      </c>
      <c r="AG258" s="345" t="s">
        <v>208</v>
      </c>
      <c r="AH258" s="345" t="s">
        <v>209</v>
      </c>
      <c r="AI258" s="345" t="s">
        <v>210</v>
      </c>
      <c r="AJ258" s="345"/>
      <c r="AK258" s="345"/>
      <c r="AL258" s="345"/>
      <c r="AM258" s="11"/>
      <c r="AN258" s="11"/>
      <c r="AO258" s="11"/>
    </row>
    <row r="259" spans="1:41" x14ac:dyDescent="0.25">
      <c r="A259" s="311"/>
      <c r="B259" s="312"/>
      <c r="C259" s="312"/>
      <c r="D259" s="312"/>
      <c r="E259" s="313"/>
      <c r="F259" s="314"/>
      <c r="G259" s="314"/>
      <c r="H259" s="314"/>
      <c r="I259" s="314"/>
      <c r="J259" s="314"/>
      <c r="K259" s="314"/>
      <c r="L259" s="314"/>
      <c r="M259" s="314"/>
      <c r="N259" s="314"/>
      <c r="O259" s="314"/>
      <c r="P259" s="314"/>
      <c r="Q259" s="314"/>
      <c r="R259" s="442"/>
      <c r="S259" s="314"/>
      <c r="T259" s="314"/>
      <c r="U259" s="314"/>
      <c r="V259" s="315">
        <v>0</v>
      </c>
      <c r="W259" s="447">
        <f t="shared" si="21"/>
        <v>0</v>
      </c>
      <c r="X259" s="447">
        <f t="shared" si="22"/>
        <v>0</v>
      </c>
      <c r="Y259" s="447">
        <f t="shared" si="23"/>
        <v>0</v>
      </c>
      <c r="Z259" s="447">
        <f t="shared" si="24"/>
        <v>0</v>
      </c>
      <c r="AA259" s="447">
        <f t="shared" si="25"/>
        <v>0</v>
      </c>
      <c r="AB259" s="447" t="e">
        <f t="shared" si="26"/>
        <v>#DIV/0!</v>
      </c>
      <c r="AC259" s="448" t="e">
        <f t="shared" si="27"/>
        <v>#DIV/0!</v>
      </c>
      <c r="AD259" s="11"/>
      <c r="AE259" s="349" t="str">
        <f>AF259&amp;TM[[#This Row],[Insurer Code]]&amp;"; "&amp;AG259&amp;TM[[#This Row],[Reporting Year]]&amp;"; "&amp;AH259&amp;TM[[#This Row],[Insurance Category Code]]&amp;"; "&amp;AI259&amp;TM[[#This Row],[Large Provider Entity Code]]</f>
        <v xml:space="preserve">Insurer Code ; Reporting Year ; Insurance Category Code ; Large Provider Entity Code </v>
      </c>
      <c r="AF259" s="345" t="s">
        <v>207</v>
      </c>
      <c r="AG259" s="345" t="s">
        <v>208</v>
      </c>
      <c r="AH259" s="345" t="s">
        <v>209</v>
      </c>
      <c r="AI259" s="345" t="s">
        <v>210</v>
      </c>
      <c r="AJ259" s="345"/>
      <c r="AK259" s="345"/>
      <c r="AL259" s="345"/>
      <c r="AM259" s="11"/>
      <c r="AN259" s="11"/>
      <c r="AO259" s="11"/>
    </row>
    <row r="260" spans="1:41" x14ac:dyDescent="0.25">
      <c r="A260" s="311"/>
      <c r="B260" s="316"/>
      <c r="C260" s="316"/>
      <c r="D260" s="316"/>
      <c r="E260" s="317"/>
      <c r="F260" s="336"/>
      <c r="G260" s="336"/>
      <c r="H260" s="336"/>
      <c r="I260" s="336"/>
      <c r="J260" s="336"/>
      <c r="K260" s="336"/>
      <c r="L260" s="336"/>
      <c r="M260" s="336"/>
      <c r="N260" s="336"/>
      <c r="O260" s="336"/>
      <c r="P260" s="336"/>
      <c r="Q260" s="336"/>
      <c r="R260" s="443"/>
      <c r="S260" s="336"/>
      <c r="T260" s="336"/>
      <c r="U260" s="314"/>
      <c r="V260" s="318">
        <v>0</v>
      </c>
      <c r="W260" s="447">
        <f t="shared" si="21"/>
        <v>0</v>
      </c>
      <c r="X260" s="447">
        <f t="shared" si="22"/>
        <v>0</v>
      </c>
      <c r="Y260" s="447">
        <f t="shared" si="23"/>
        <v>0</v>
      </c>
      <c r="Z260" s="447">
        <f t="shared" si="24"/>
        <v>0</v>
      </c>
      <c r="AA260" s="447">
        <f t="shared" si="25"/>
        <v>0</v>
      </c>
      <c r="AB260" s="447" t="e">
        <f t="shared" si="26"/>
        <v>#DIV/0!</v>
      </c>
      <c r="AC260" s="448" t="e">
        <f t="shared" si="27"/>
        <v>#DIV/0!</v>
      </c>
      <c r="AD260" s="11"/>
      <c r="AE260" s="349" t="str">
        <f>AF260&amp;TM[[#This Row],[Insurer Code]]&amp;"; "&amp;AG260&amp;TM[[#This Row],[Reporting Year]]&amp;"; "&amp;AH260&amp;TM[[#This Row],[Insurance Category Code]]&amp;"; "&amp;AI260&amp;TM[[#This Row],[Large Provider Entity Code]]</f>
        <v xml:space="preserve">Insurer Code ; Reporting Year ; Insurance Category Code ; Large Provider Entity Code </v>
      </c>
      <c r="AF260" s="345" t="s">
        <v>207</v>
      </c>
      <c r="AG260" s="345" t="s">
        <v>208</v>
      </c>
      <c r="AH260" s="345" t="s">
        <v>209</v>
      </c>
      <c r="AI260" s="345" t="s">
        <v>210</v>
      </c>
      <c r="AJ260" s="345"/>
      <c r="AK260" s="345"/>
      <c r="AL260" s="345"/>
      <c r="AM260" s="11"/>
      <c r="AN260" s="11"/>
      <c r="AO260" s="11"/>
    </row>
    <row r="261" spans="1:41" x14ac:dyDescent="0.25">
      <c r="A261" s="311"/>
      <c r="B261" s="316"/>
      <c r="C261" s="316"/>
      <c r="D261" s="316"/>
      <c r="E261" s="317"/>
      <c r="F261" s="336"/>
      <c r="G261" s="336"/>
      <c r="H261" s="336"/>
      <c r="I261" s="336"/>
      <c r="J261" s="336"/>
      <c r="K261" s="336"/>
      <c r="L261" s="336"/>
      <c r="M261" s="336"/>
      <c r="N261" s="336"/>
      <c r="O261" s="336"/>
      <c r="P261" s="336"/>
      <c r="Q261" s="336"/>
      <c r="R261" s="443"/>
      <c r="S261" s="336"/>
      <c r="T261" s="336"/>
      <c r="U261" s="314"/>
      <c r="V261" s="318">
        <v>12</v>
      </c>
      <c r="W261" s="447">
        <f t="shared" si="21"/>
        <v>0</v>
      </c>
      <c r="X261" s="447">
        <f t="shared" si="22"/>
        <v>0</v>
      </c>
      <c r="Y261" s="447">
        <f t="shared" si="23"/>
        <v>0</v>
      </c>
      <c r="Z261" s="447">
        <f t="shared" si="24"/>
        <v>0</v>
      </c>
      <c r="AA261" s="447">
        <f t="shared" si="25"/>
        <v>0</v>
      </c>
      <c r="AB261" s="447" t="e">
        <f t="shared" si="26"/>
        <v>#DIV/0!</v>
      </c>
      <c r="AC261" s="448" t="e">
        <f t="shared" si="27"/>
        <v>#DIV/0!</v>
      </c>
      <c r="AD261" s="11"/>
      <c r="AE261" s="349" t="str">
        <f>AF261&amp;TM[[#This Row],[Insurer Code]]&amp;"; "&amp;AG261&amp;TM[[#This Row],[Reporting Year]]&amp;"; "&amp;AH261&amp;TM[[#This Row],[Insurance Category Code]]&amp;"; "&amp;AI261&amp;TM[[#This Row],[Large Provider Entity Code]]</f>
        <v xml:space="preserve">Insurer Code ; Reporting Year ; Insurance Category Code ; Large Provider Entity Code </v>
      </c>
      <c r="AF261" s="345" t="s">
        <v>207</v>
      </c>
      <c r="AG261" s="345" t="s">
        <v>208</v>
      </c>
      <c r="AH261" s="345" t="s">
        <v>209</v>
      </c>
      <c r="AI261" s="345" t="s">
        <v>210</v>
      </c>
      <c r="AJ261" s="345"/>
      <c r="AK261" s="345"/>
      <c r="AL261" s="345"/>
      <c r="AM261" s="11"/>
      <c r="AN261" s="11"/>
      <c r="AO261" s="11"/>
    </row>
    <row r="262" spans="1:41" x14ac:dyDescent="0.25">
      <c r="A262" s="311"/>
      <c r="B262" s="316"/>
      <c r="C262" s="316"/>
      <c r="D262" s="316"/>
      <c r="E262" s="317"/>
      <c r="F262" s="336"/>
      <c r="G262" s="336"/>
      <c r="H262" s="336"/>
      <c r="I262" s="336"/>
      <c r="J262" s="336"/>
      <c r="K262" s="336"/>
      <c r="L262" s="336"/>
      <c r="M262" s="336"/>
      <c r="N262" s="336"/>
      <c r="O262" s="336"/>
      <c r="P262" s="336"/>
      <c r="Q262" s="336"/>
      <c r="R262" s="443"/>
      <c r="S262" s="336"/>
      <c r="T262" s="336"/>
      <c r="U262" s="314"/>
      <c r="V262" s="318">
        <v>1</v>
      </c>
      <c r="W262" s="447">
        <f t="shared" si="21"/>
        <v>0</v>
      </c>
      <c r="X262" s="447">
        <f t="shared" si="22"/>
        <v>0</v>
      </c>
      <c r="Y262" s="447">
        <f t="shared" si="23"/>
        <v>0</v>
      </c>
      <c r="Z262" s="447">
        <f t="shared" si="24"/>
        <v>0</v>
      </c>
      <c r="AA262" s="447">
        <f t="shared" si="25"/>
        <v>0</v>
      </c>
      <c r="AB262" s="447" t="e">
        <f t="shared" si="26"/>
        <v>#DIV/0!</v>
      </c>
      <c r="AC262" s="448" t="e">
        <f t="shared" si="27"/>
        <v>#DIV/0!</v>
      </c>
      <c r="AD262" s="11"/>
      <c r="AE262" s="349" t="str">
        <f>AF262&amp;TM[[#This Row],[Insurer Code]]&amp;"; "&amp;AG262&amp;TM[[#This Row],[Reporting Year]]&amp;"; "&amp;AH262&amp;TM[[#This Row],[Insurance Category Code]]&amp;"; "&amp;AI262&amp;TM[[#This Row],[Large Provider Entity Code]]</f>
        <v xml:space="preserve">Insurer Code ; Reporting Year ; Insurance Category Code ; Large Provider Entity Code </v>
      </c>
      <c r="AF262" s="345" t="s">
        <v>207</v>
      </c>
      <c r="AG262" s="345" t="s">
        <v>208</v>
      </c>
      <c r="AH262" s="345" t="s">
        <v>209</v>
      </c>
      <c r="AI262" s="345" t="s">
        <v>210</v>
      </c>
      <c r="AJ262" s="345"/>
      <c r="AK262" s="345"/>
      <c r="AL262" s="345"/>
      <c r="AM262" s="11"/>
      <c r="AN262" s="11"/>
      <c r="AO262" s="11"/>
    </row>
    <row r="263" spans="1:41" x14ac:dyDescent="0.25">
      <c r="A263" s="311"/>
      <c r="B263" s="312"/>
      <c r="C263" s="312"/>
      <c r="D263" s="312"/>
      <c r="E263" s="328"/>
      <c r="F263" s="442"/>
      <c r="G263" s="314"/>
      <c r="H263" s="314"/>
      <c r="I263" s="314"/>
      <c r="J263" s="314"/>
      <c r="K263" s="314"/>
      <c r="L263" s="314"/>
      <c r="M263" s="314"/>
      <c r="N263" s="314"/>
      <c r="O263" s="314"/>
      <c r="P263" s="314"/>
      <c r="Q263" s="314"/>
      <c r="R263" s="442"/>
      <c r="S263" s="314"/>
      <c r="T263" s="314"/>
      <c r="U263" s="314"/>
      <c r="V263" s="315">
        <v>0</v>
      </c>
      <c r="W263" s="447">
        <f t="shared" si="21"/>
        <v>0</v>
      </c>
      <c r="X263" s="447">
        <f t="shared" si="22"/>
        <v>0</v>
      </c>
      <c r="Y263" s="447">
        <f t="shared" si="23"/>
        <v>0</v>
      </c>
      <c r="Z263" s="447">
        <f t="shared" si="24"/>
        <v>0</v>
      </c>
      <c r="AA263" s="447">
        <f t="shared" si="25"/>
        <v>0</v>
      </c>
      <c r="AB263" s="447" t="e">
        <f t="shared" si="26"/>
        <v>#DIV/0!</v>
      </c>
      <c r="AC263" s="448" t="e">
        <f t="shared" si="27"/>
        <v>#DIV/0!</v>
      </c>
      <c r="AD263" s="11"/>
      <c r="AE263" s="349" t="str">
        <f>AF263&amp;TM[[#This Row],[Insurer Code]]&amp;"; "&amp;AG263&amp;TM[[#This Row],[Reporting Year]]&amp;"; "&amp;AH263&amp;TM[[#This Row],[Insurance Category Code]]&amp;"; "&amp;AI263&amp;TM[[#This Row],[Large Provider Entity Code]]</f>
        <v xml:space="preserve">Insurer Code ; Reporting Year ; Insurance Category Code ; Large Provider Entity Code </v>
      </c>
      <c r="AF263" s="345" t="s">
        <v>207</v>
      </c>
      <c r="AG263" s="345" t="s">
        <v>208</v>
      </c>
      <c r="AH263" s="345" t="s">
        <v>209</v>
      </c>
      <c r="AI263" s="345" t="s">
        <v>210</v>
      </c>
      <c r="AJ263" s="345"/>
      <c r="AK263" s="345"/>
      <c r="AL263" s="345"/>
      <c r="AM263" s="11"/>
      <c r="AN263" s="11"/>
      <c r="AO263" s="11"/>
    </row>
    <row r="264" spans="1:41" x14ac:dyDescent="0.25">
      <c r="A264" s="311"/>
      <c r="B264" s="312"/>
      <c r="C264" s="312"/>
      <c r="D264" s="312"/>
      <c r="E264" s="328"/>
      <c r="F264" s="442"/>
      <c r="G264" s="314"/>
      <c r="H264" s="314"/>
      <c r="I264" s="314"/>
      <c r="J264" s="314"/>
      <c r="K264" s="314"/>
      <c r="L264" s="314"/>
      <c r="M264" s="314"/>
      <c r="N264" s="314"/>
      <c r="O264" s="314"/>
      <c r="P264" s="314"/>
      <c r="Q264" s="314"/>
      <c r="R264" s="442"/>
      <c r="S264" s="314"/>
      <c r="T264" s="314"/>
      <c r="U264" s="314"/>
      <c r="V264" s="315">
        <v>4</v>
      </c>
      <c r="W264" s="447">
        <f t="shared" si="21"/>
        <v>0</v>
      </c>
      <c r="X264" s="447">
        <f t="shared" si="22"/>
        <v>0</v>
      </c>
      <c r="Y264" s="447">
        <f t="shared" si="23"/>
        <v>0</v>
      </c>
      <c r="Z264" s="447">
        <f t="shared" si="24"/>
        <v>0</v>
      </c>
      <c r="AA264" s="447">
        <f t="shared" si="25"/>
        <v>0</v>
      </c>
      <c r="AB264" s="447" t="e">
        <f t="shared" si="26"/>
        <v>#DIV/0!</v>
      </c>
      <c r="AC264" s="448" t="e">
        <f t="shared" si="27"/>
        <v>#DIV/0!</v>
      </c>
      <c r="AD264" s="11"/>
      <c r="AE264" s="349" t="str">
        <f>AF264&amp;TM[[#This Row],[Insurer Code]]&amp;"; "&amp;AG264&amp;TM[[#This Row],[Reporting Year]]&amp;"; "&amp;AH264&amp;TM[[#This Row],[Insurance Category Code]]&amp;"; "&amp;AI264&amp;TM[[#This Row],[Large Provider Entity Code]]</f>
        <v xml:space="preserve">Insurer Code ; Reporting Year ; Insurance Category Code ; Large Provider Entity Code </v>
      </c>
      <c r="AF264" s="345" t="s">
        <v>207</v>
      </c>
      <c r="AG264" s="345" t="s">
        <v>208</v>
      </c>
      <c r="AH264" s="345" t="s">
        <v>209</v>
      </c>
      <c r="AI264" s="345" t="s">
        <v>210</v>
      </c>
      <c r="AJ264" s="345"/>
      <c r="AK264" s="345"/>
      <c r="AL264" s="345"/>
      <c r="AM264" s="11"/>
      <c r="AN264" s="11"/>
      <c r="AO264" s="11"/>
    </row>
    <row r="265" spans="1:41" x14ac:dyDescent="0.25">
      <c r="A265" s="311"/>
      <c r="B265" s="312"/>
      <c r="C265" s="312"/>
      <c r="D265" s="312"/>
      <c r="E265" s="328"/>
      <c r="F265" s="442"/>
      <c r="G265" s="314"/>
      <c r="H265" s="314"/>
      <c r="I265" s="314"/>
      <c r="J265" s="314"/>
      <c r="K265" s="314"/>
      <c r="L265" s="314"/>
      <c r="M265" s="314"/>
      <c r="N265" s="314"/>
      <c r="O265" s="314"/>
      <c r="P265" s="314"/>
      <c r="Q265" s="314"/>
      <c r="R265" s="442"/>
      <c r="S265" s="314"/>
      <c r="T265" s="314"/>
      <c r="U265" s="314"/>
      <c r="V265" s="315">
        <v>7</v>
      </c>
      <c r="W265" s="447">
        <f t="shared" si="21"/>
        <v>0</v>
      </c>
      <c r="X265" s="447">
        <f t="shared" si="22"/>
        <v>0</v>
      </c>
      <c r="Y265" s="447">
        <f t="shared" si="23"/>
        <v>0</v>
      </c>
      <c r="Z265" s="447">
        <f t="shared" si="24"/>
        <v>0</v>
      </c>
      <c r="AA265" s="447">
        <f t="shared" si="25"/>
        <v>0</v>
      </c>
      <c r="AB265" s="447" t="e">
        <f t="shared" si="26"/>
        <v>#DIV/0!</v>
      </c>
      <c r="AC265" s="448" t="e">
        <f t="shared" si="27"/>
        <v>#DIV/0!</v>
      </c>
      <c r="AD265" s="11"/>
      <c r="AE265" s="349" t="str">
        <f>AF265&amp;TM[[#This Row],[Insurer Code]]&amp;"; "&amp;AG265&amp;TM[[#This Row],[Reporting Year]]&amp;"; "&amp;AH265&amp;TM[[#This Row],[Insurance Category Code]]&amp;"; "&amp;AI265&amp;TM[[#This Row],[Large Provider Entity Code]]</f>
        <v xml:space="preserve">Insurer Code ; Reporting Year ; Insurance Category Code ; Large Provider Entity Code </v>
      </c>
      <c r="AF265" s="345" t="s">
        <v>207</v>
      </c>
      <c r="AG265" s="345" t="s">
        <v>208</v>
      </c>
      <c r="AH265" s="345" t="s">
        <v>209</v>
      </c>
      <c r="AI265" s="345" t="s">
        <v>210</v>
      </c>
      <c r="AJ265" s="345"/>
      <c r="AK265" s="345"/>
      <c r="AL265" s="345"/>
      <c r="AM265" s="11"/>
      <c r="AN265" s="11"/>
      <c r="AO265" s="11"/>
    </row>
    <row r="266" spans="1:41" x14ac:dyDescent="0.25">
      <c r="A266" s="311"/>
      <c r="B266" s="312"/>
      <c r="C266" s="312"/>
      <c r="D266" s="312"/>
      <c r="E266" s="328"/>
      <c r="F266" s="442"/>
      <c r="G266" s="314"/>
      <c r="H266" s="314"/>
      <c r="I266" s="314"/>
      <c r="J266" s="314"/>
      <c r="K266" s="314"/>
      <c r="L266" s="314"/>
      <c r="M266" s="314"/>
      <c r="N266" s="314"/>
      <c r="O266" s="314"/>
      <c r="P266" s="314"/>
      <c r="Q266" s="314"/>
      <c r="R266" s="442"/>
      <c r="S266" s="314"/>
      <c r="T266" s="314"/>
      <c r="U266" s="314"/>
      <c r="V266" s="315">
        <v>2</v>
      </c>
      <c r="W266" s="451">
        <f t="shared" si="21"/>
        <v>0</v>
      </c>
      <c r="X266" s="451">
        <f t="shared" si="22"/>
        <v>0</v>
      </c>
      <c r="Y266" s="451">
        <f t="shared" si="23"/>
        <v>0</v>
      </c>
      <c r="Z266" s="451">
        <f t="shared" si="24"/>
        <v>0</v>
      </c>
      <c r="AA266" s="451">
        <f t="shared" si="25"/>
        <v>0</v>
      </c>
      <c r="AB266" s="451" t="e">
        <f t="shared" si="26"/>
        <v>#DIV/0!</v>
      </c>
      <c r="AC266" s="452" t="e">
        <f t="shared" si="27"/>
        <v>#DIV/0!</v>
      </c>
      <c r="AD266" s="11"/>
      <c r="AE266" s="349" t="str">
        <f>AF266&amp;TM[[#This Row],[Insurer Code]]&amp;"; "&amp;AG266&amp;TM[[#This Row],[Reporting Year]]&amp;"; "&amp;AH266&amp;TM[[#This Row],[Insurance Category Code]]&amp;"; "&amp;AI266&amp;TM[[#This Row],[Large Provider Entity Code]]</f>
        <v xml:space="preserve">Insurer Code ; Reporting Year ; Insurance Category Code ; Large Provider Entity Code </v>
      </c>
      <c r="AF266" s="345" t="s">
        <v>207</v>
      </c>
      <c r="AG266" s="345" t="s">
        <v>208</v>
      </c>
      <c r="AH266" s="345" t="s">
        <v>209</v>
      </c>
      <c r="AI266" s="345" t="s">
        <v>210</v>
      </c>
      <c r="AJ266" s="345"/>
      <c r="AK266" s="345"/>
      <c r="AL266" s="345"/>
      <c r="AM266" s="11"/>
      <c r="AN266" s="11"/>
      <c r="AO266" s="11"/>
    </row>
    <row r="267" spans="1:41" x14ac:dyDescent="0.25">
      <c r="A267" s="311"/>
      <c r="B267" s="312"/>
      <c r="C267" s="312"/>
      <c r="D267" s="312"/>
      <c r="E267" s="328"/>
      <c r="F267" s="442"/>
      <c r="G267" s="314"/>
      <c r="H267" s="314"/>
      <c r="I267" s="314"/>
      <c r="J267" s="314"/>
      <c r="K267" s="314"/>
      <c r="L267" s="314"/>
      <c r="M267" s="314"/>
      <c r="N267" s="314"/>
      <c r="O267" s="314"/>
      <c r="P267" s="314"/>
      <c r="Q267" s="314"/>
      <c r="R267" s="442"/>
      <c r="S267" s="314"/>
      <c r="T267" s="314"/>
      <c r="U267" s="314"/>
      <c r="V267" s="315">
        <v>0</v>
      </c>
      <c r="W267" s="451">
        <f t="shared" si="21"/>
        <v>0</v>
      </c>
      <c r="X267" s="451">
        <f t="shared" si="22"/>
        <v>0</v>
      </c>
      <c r="Y267" s="451">
        <f t="shared" si="23"/>
        <v>0</v>
      </c>
      <c r="Z267" s="451">
        <f t="shared" si="24"/>
        <v>0</v>
      </c>
      <c r="AA267" s="451">
        <f t="shared" si="25"/>
        <v>0</v>
      </c>
      <c r="AB267" s="451" t="e">
        <f t="shared" si="26"/>
        <v>#DIV/0!</v>
      </c>
      <c r="AC267" s="452" t="e">
        <f t="shared" si="27"/>
        <v>#DIV/0!</v>
      </c>
      <c r="AD267" s="11"/>
      <c r="AE267" s="349" t="str">
        <f>AF267&amp;TM[[#This Row],[Insurer Code]]&amp;"; "&amp;AG267&amp;TM[[#This Row],[Reporting Year]]&amp;"; "&amp;AH267&amp;TM[[#This Row],[Insurance Category Code]]&amp;"; "&amp;AI267&amp;TM[[#This Row],[Large Provider Entity Code]]</f>
        <v xml:space="preserve">Insurer Code ; Reporting Year ; Insurance Category Code ; Large Provider Entity Code </v>
      </c>
      <c r="AF267" s="345" t="s">
        <v>207</v>
      </c>
      <c r="AG267" s="345" t="s">
        <v>208</v>
      </c>
      <c r="AH267" s="345" t="s">
        <v>209</v>
      </c>
      <c r="AI267" s="345" t="s">
        <v>210</v>
      </c>
      <c r="AJ267" s="345"/>
      <c r="AK267" s="345"/>
      <c r="AL267" s="345"/>
      <c r="AM267" s="11"/>
      <c r="AN267" s="11"/>
      <c r="AO267" s="11"/>
    </row>
    <row r="268" spans="1:41" x14ac:dyDescent="0.25">
      <c r="A268" s="311"/>
      <c r="B268" s="312"/>
      <c r="C268" s="312"/>
      <c r="D268" s="312"/>
      <c r="E268" s="328"/>
      <c r="F268" s="442"/>
      <c r="G268" s="314"/>
      <c r="H268" s="314"/>
      <c r="I268" s="314"/>
      <c r="J268" s="314"/>
      <c r="K268" s="314"/>
      <c r="L268" s="314"/>
      <c r="M268" s="314"/>
      <c r="N268" s="314"/>
      <c r="O268" s="314"/>
      <c r="P268" s="314"/>
      <c r="Q268" s="314"/>
      <c r="R268" s="442"/>
      <c r="S268" s="314"/>
      <c r="T268" s="314"/>
      <c r="U268" s="314"/>
      <c r="V268" s="315">
        <v>0</v>
      </c>
      <c r="W268" s="451">
        <f t="shared" ref="W268:W331" si="28">SUM(F268:M268)</f>
        <v>0</v>
      </c>
      <c r="X268" s="451">
        <f t="shared" ref="X268:X331" si="29">SUM(N268:S268)</f>
        <v>0</v>
      </c>
      <c r="Y268" s="451">
        <f t="shared" ref="Y268:Y331" si="30">W268+X268</f>
        <v>0</v>
      </c>
      <c r="Z268" s="451">
        <f t="shared" ref="Z268:Z331" si="31">W268-U268</f>
        <v>0</v>
      </c>
      <c r="AA268" s="451">
        <f t="shared" ref="AA268:AA331" si="32">Z268+X268</f>
        <v>0</v>
      </c>
      <c r="AB268" s="451" t="e">
        <f t="shared" ref="AB268:AB331" si="33">Y268/E268</f>
        <v>#DIV/0!</v>
      </c>
      <c r="AC268" s="452" t="e">
        <f t="shared" ref="AC268:AC331" si="34">AA268/E268</f>
        <v>#DIV/0!</v>
      </c>
      <c r="AD268" s="11"/>
      <c r="AE268" s="349" t="str">
        <f>AF268&amp;TM[[#This Row],[Insurer Code]]&amp;"; "&amp;AG268&amp;TM[[#This Row],[Reporting Year]]&amp;"; "&amp;AH268&amp;TM[[#This Row],[Insurance Category Code]]&amp;"; "&amp;AI268&amp;TM[[#This Row],[Large Provider Entity Code]]</f>
        <v xml:space="preserve">Insurer Code ; Reporting Year ; Insurance Category Code ; Large Provider Entity Code </v>
      </c>
      <c r="AF268" s="345" t="s">
        <v>207</v>
      </c>
      <c r="AG268" s="345" t="s">
        <v>208</v>
      </c>
      <c r="AH268" s="345" t="s">
        <v>209</v>
      </c>
      <c r="AI268" s="345" t="s">
        <v>210</v>
      </c>
      <c r="AJ268" s="345"/>
      <c r="AK268" s="345"/>
      <c r="AL268" s="345"/>
      <c r="AM268" s="11"/>
      <c r="AN268" s="11"/>
      <c r="AO268" s="11"/>
    </row>
    <row r="269" spans="1:41" x14ac:dyDescent="0.25">
      <c r="A269" s="311"/>
      <c r="B269" s="312"/>
      <c r="C269" s="312"/>
      <c r="D269" s="312"/>
      <c r="E269" s="328"/>
      <c r="F269" s="442"/>
      <c r="G269" s="314"/>
      <c r="H269" s="314"/>
      <c r="I269" s="314"/>
      <c r="J269" s="314"/>
      <c r="K269" s="314"/>
      <c r="L269" s="314"/>
      <c r="M269" s="314"/>
      <c r="N269" s="314"/>
      <c r="O269" s="314"/>
      <c r="P269" s="314"/>
      <c r="Q269" s="314"/>
      <c r="R269" s="442"/>
      <c r="S269" s="314"/>
      <c r="T269" s="314"/>
      <c r="U269" s="314"/>
      <c r="V269" s="315">
        <v>12</v>
      </c>
      <c r="W269" s="451">
        <f t="shared" si="28"/>
        <v>0</v>
      </c>
      <c r="X269" s="451">
        <f t="shared" si="29"/>
        <v>0</v>
      </c>
      <c r="Y269" s="451">
        <f t="shared" si="30"/>
        <v>0</v>
      </c>
      <c r="Z269" s="451">
        <f t="shared" si="31"/>
        <v>0</v>
      </c>
      <c r="AA269" s="451">
        <f t="shared" si="32"/>
        <v>0</v>
      </c>
      <c r="AB269" s="451" t="e">
        <f t="shared" si="33"/>
        <v>#DIV/0!</v>
      </c>
      <c r="AC269" s="452" t="e">
        <f t="shared" si="34"/>
        <v>#DIV/0!</v>
      </c>
      <c r="AD269" s="11"/>
      <c r="AE269" s="349" t="str">
        <f>AF269&amp;TM[[#This Row],[Insurer Code]]&amp;"; "&amp;AG269&amp;TM[[#This Row],[Reporting Year]]&amp;"; "&amp;AH269&amp;TM[[#This Row],[Insurance Category Code]]&amp;"; "&amp;AI269&amp;TM[[#This Row],[Large Provider Entity Code]]</f>
        <v xml:space="preserve">Insurer Code ; Reporting Year ; Insurance Category Code ; Large Provider Entity Code </v>
      </c>
      <c r="AF269" s="345" t="s">
        <v>207</v>
      </c>
      <c r="AG269" s="345" t="s">
        <v>208</v>
      </c>
      <c r="AH269" s="345" t="s">
        <v>209</v>
      </c>
      <c r="AI269" s="345" t="s">
        <v>210</v>
      </c>
      <c r="AJ269" s="345"/>
      <c r="AK269" s="345"/>
      <c r="AL269" s="345"/>
      <c r="AM269" s="11"/>
      <c r="AN269" s="11"/>
      <c r="AO269" s="11"/>
    </row>
    <row r="270" spans="1:41" x14ac:dyDescent="0.25">
      <c r="A270" s="311"/>
      <c r="B270" s="312"/>
      <c r="C270" s="312"/>
      <c r="D270" s="312"/>
      <c r="E270" s="328"/>
      <c r="F270" s="442"/>
      <c r="G270" s="314"/>
      <c r="H270" s="314"/>
      <c r="I270" s="314"/>
      <c r="J270" s="314"/>
      <c r="K270" s="314"/>
      <c r="L270" s="314"/>
      <c r="M270" s="314"/>
      <c r="N270" s="314"/>
      <c r="O270" s="314"/>
      <c r="P270" s="314"/>
      <c r="Q270" s="314"/>
      <c r="R270" s="442"/>
      <c r="S270" s="314"/>
      <c r="T270" s="314"/>
      <c r="U270" s="314"/>
      <c r="V270" s="315">
        <v>1</v>
      </c>
      <c r="W270" s="451">
        <f t="shared" si="28"/>
        <v>0</v>
      </c>
      <c r="X270" s="451">
        <f t="shared" si="29"/>
        <v>0</v>
      </c>
      <c r="Y270" s="451">
        <f t="shared" si="30"/>
        <v>0</v>
      </c>
      <c r="Z270" s="451">
        <f t="shared" si="31"/>
        <v>0</v>
      </c>
      <c r="AA270" s="451">
        <f t="shared" si="32"/>
        <v>0</v>
      </c>
      <c r="AB270" s="451" t="e">
        <f t="shared" si="33"/>
        <v>#DIV/0!</v>
      </c>
      <c r="AC270" s="452" t="e">
        <f t="shared" si="34"/>
        <v>#DIV/0!</v>
      </c>
      <c r="AD270" s="11"/>
      <c r="AE270" s="349" t="str">
        <f>AF270&amp;TM[[#This Row],[Insurer Code]]&amp;"; "&amp;AG270&amp;TM[[#This Row],[Reporting Year]]&amp;"; "&amp;AH270&amp;TM[[#This Row],[Insurance Category Code]]&amp;"; "&amp;AI270&amp;TM[[#This Row],[Large Provider Entity Code]]</f>
        <v xml:space="preserve">Insurer Code ; Reporting Year ; Insurance Category Code ; Large Provider Entity Code </v>
      </c>
      <c r="AF270" s="345" t="s">
        <v>207</v>
      </c>
      <c r="AG270" s="345" t="s">
        <v>208</v>
      </c>
      <c r="AH270" s="345" t="s">
        <v>209</v>
      </c>
      <c r="AI270" s="345" t="s">
        <v>210</v>
      </c>
      <c r="AJ270" s="345"/>
      <c r="AK270" s="345"/>
      <c r="AL270" s="345"/>
      <c r="AM270" s="11"/>
      <c r="AN270" s="11"/>
      <c r="AO270" s="11"/>
    </row>
    <row r="271" spans="1:41" x14ac:dyDescent="0.25">
      <c r="A271" s="311"/>
      <c r="B271" s="312"/>
      <c r="C271" s="312"/>
      <c r="D271" s="312"/>
      <c r="E271" s="313"/>
      <c r="F271" s="314"/>
      <c r="G271" s="314"/>
      <c r="H271" s="314"/>
      <c r="I271" s="314"/>
      <c r="J271" s="314"/>
      <c r="K271" s="314"/>
      <c r="L271" s="314"/>
      <c r="M271" s="314"/>
      <c r="N271" s="314"/>
      <c r="O271" s="314"/>
      <c r="P271" s="314"/>
      <c r="Q271" s="314"/>
      <c r="R271" s="442"/>
      <c r="S271" s="314"/>
      <c r="T271" s="314"/>
      <c r="U271" s="314"/>
      <c r="V271" s="315">
        <v>0</v>
      </c>
      <c r="W271" s="447">
        <f t="shared" si="28"/>
        <v>0</v>
      </c>
      <c r="X271" s="447">
        <f t="shared" si="29"/>
        <v>0</v>
      </c>
      <c r="Y271" s="447">
        <f t="shared" si="30"/>
        <v>0</v>
      </c>
      <c r="Z271" s="447">
        <f t="shared" si="31"/>
        <v>0</v>
      </c>
      <c r="AA271" s="447">
        <f t="shared" si="32"/>
        <v>0</v>
      </c>
      <c r="AB271" s="447" t="e">
        <f t="shared" si="33"/>
        <v>#DIV/0!</v>
      </c>
      <c r="AC271" s="448" t="e">
        <f t="shared" si="34"/>
        <v>#DIV/0!</v>
      </c>
      <c r="AD271" s="11"/>
      <c r="AE271" s="349" t="str">
        <f>AF271&amp;TM[[#This Row],[Insurer Code]]&amp;"; "&amp;AG271&amp;TM[[#This Row],[Reporting Year]]&amp;"; "&amp;AH271&amp;TM[[#This Row],[Insurance Category Code]]&amp;"; "&amp;AI271&amp;TM[[#This Row],[Large Provider Entity Code]]</f>
        <v xml:space="preserve">Insurer Code ; Reporting Year ; Insurance Category Code ; Large Provider Entity Code </v>
      </c>
      <c r="AF271" s="345" t="s">
        <v>207</v>
      </c>
      <c r="AG271" s="345" t="s">
        <v>208</v>
      </c>
      <c r="AH271" s="345" t="s">
        <v>209</v>
      </c>
      <c r="AI271" s="345" t="s">
        <v>210</v>
      </c>
      <c r="AJ271" s="345"/>
      <c r="AK271" s="345"/>
      <c r="AL271" s="345"/>
      <c r="AM271" s="11"/>
      <c r="AN271" s="11"/>
      <c r="AO271" s="11"/>
    </row>
    <row r="272" spans="1:41" x14ac:dyDescent="0.25">
      <c r="A272" s="311"/>
      <c r="B272" s="316"/>
      <c r="C272" s="316"/>
      <c r="D272" s="312"/>
      <c r="E272" s="317"/>
      <c r="F272" s="336"/>
      <c r="G272" s="336"/>
      <c r="H272" s="336"/>
      <c r="I272" s="336"/>
      <c r="J272" s="336"/>
      <c r="K272" s="336"/>
      <c r="L272" s="336"/>
      <c r="M272" s="336"/>
      <c r="N272" s="336"/>
      <c r="O272" s="336"/>
      <c r="P272" s="336"/>
      <c r="Q272" s="336"/>
      <c r="R272" s="443"/>
      <c r="S272" s="336"/>
      <c r="T272" s="336"/>
      <c r="U272" s="314"/>
      <c r="V272" s="318">
        <v>2</v>
      </c>
      <c r="W272" s="447">
        <f t="shared" si="28"/>
        <v>0</v>
      </c>
      <c r="X272" s="447">
        <f t="shared" si="29"/>
        <v>0</v>
      </c>
      <c r="Y272" s="447">
        <f t="shared" si="30"/>
        <v>0</v>
      </c>
      <c r="Z272" s="447">
        <f t="shared" si="31"/>
        <v>0</v>
      </c>
      <c r="AA272" s="447">
        <f t="shared" si="32"/>
        <v>0</v>
      </c>
      <c r="AB272" s="447" t="e">
        <f t="shared" si="33"/>
        <v>#DIV/0!</v>
      </c>
      <c r="AC272" s="448" t="e">
        <f t="shared" si="34"/>
        <v>#DIV/0!</v>
      </c>
      <c r="AD272" s="11"/>
      <c r="AE272" s="349" t="str">
        <f>AF272&amp;TM[[#This Row],[Insurer Code]]&amp;"; "&amp;AG272&amp;TM[[#This Row],[Reporting Year]]&amp;"; "&amp;AH272&amp;TM[[#This Row],[Insurance Category Code]]&amp;"; "&amp;AI272&amp;TM[[#This Row],[Large Provider Entity Code]]</f>
        <v xml:space="preserve">Insurer Code ; Reporting Year ; Insurance Category Code ; Large Provider Entity Code </v>
      </c>
      <c r="AF272" s="345" t="s">
        <v>207</v>
      </c>
      <c r="AG272" s="345" t="s">
        <v>208</v>
      </c>
      <c r="AH272" s="345" t="s">
        <v>209</v>
      </c>
      <c r="AI272" s="345" t="s">
        <v>210</v>
      </c>
      <c r="AJ272" s="345"/>
      <c r="AK272" s="345"/>
      <c r="AL272" s="345"/>
      <c r="AM272" s="11"/>
      <c r="AN272" s="11"/>
      <c r="AO272" s="11"/>
    </row>
    <row r="273" spans="1:41" x14ac:dyDescent="0.25">
      <c r="A273" s="311"/>
      <c r="B273" s="316"/>
      <c r="C273" s="316"/>
      <c r="D273" s="312"/>
      <c r="E273" s="317"/>
      <c r="F273" s="336"/>
      <c r="G273" s="336"/>
      <c r="H273" s="336"/>
      <c r="I273" s="336"/>
      <c r="J273" s="336"/>
      <c r="K273" s="336"/>
      <c r="L273" s="336"/>
      <c r="M273" s="336"/>
      <c r="N273" s="336"/>
      <c r="O273" s="336"/>
      <c r="P273" s="336"/>
      <c r="Q273" s="336"/>
      <c r="R273" s="443"/>
      <c r="S273" s="336"/>
      <c r="T273" s="336"/>
      <c r="U273" s="314"/>
      <c r="V273" s="318">
        <v>1</v>
      </c>
      <c r="W273" s="447">
        <f t="shared" si="28"/>
        <v>0</v>
      </c>
      <c r="X273" s="447">
        <f t="shared" si="29"/>
        <v>0</v>
      </c>
      <c r="Y273" s="447">
        <f t="shared" si="30"/>
        <v>0</v>
      </c>
      <c r="Z273" s="447">
        <f t="shared" si="31"/>
        <v>0</v>
      </c>
      <c r="AA273" s="447">
        <f t="shared" si="32"/>
        <v>0</v>
      </c>
      <c r="AB273" s="447" t="e">
        <f t="shared" si="33"/>
        <v>#DIV/0!</v>
      </c>
      <c r="AC273" s="448" t="e">
        <f t="shared" si="34"/>
        <v>#DIV/0!</v>
      </c>
      <c r="AD273" s="11"/>
      <c r="AE273" s="349" t="str">
        <f>AF273&amp;TM[[#This Row],[Insurer Code]]&amp;"; "&amp;AG273&amp;TM[[#This Row],[Reporting Year]]&amp;"; "&amp;AH273&amp;TM[[#This Row],[Insurance Category Code]]&amp;"; "&amp;AI273&amp;TM[[#This Row],[Large Provider Entity Code]]</f>
        <v xml:space="preserve">Insurer Code ; Reporting Year ; Insurance Category Code ; Large Provider Entity Code </v>
      </c>
      <c r="AF273" s="345" t="s">
        <v>207</v>
      </c>
      <c r="AG273" s="345" t="s">
        <v>208</v>
      </c>
      <c r="AH273" s="345" t="s">
        <v>209</v>
      </c>
      <c r="AI273" s="345" t="s">
        <v>210</v>
      </c>
      <c r="AJ273" s="345"/>
      <c r="AK273" s="345"/>
      <c r="AL273" s="345"/>
      <c r="AM273" s="11"/>
      <c r="AN273" s="11"/>
      <c r="AO273" s="11"/>
    </row>
    <row r="274" spans="1:41" x14ac:dyDescent="0.25">
      <c r="A274" s="311"/>
      <c r="B274" s="312"/>
      <c r="C274" s="312"/>
      <c r="D274" s="312"/>
      <c r="E274" s="313"/>
      <c r="F274" s="314"/>
      <c r="G274" s="314"/>
      <c r="H274" s="314"/>
      <c r="I274" s="314"/>
      <c r="J274" s="314"/>
      <c r="K274" s="314"/>
      <c r="L274" s="314"/>
      <c r="M274" s="314"/>
      <c r="N274" s="314"/>
      <c r="O274" s="314"/>
      <c r="P274" s="314"/>
      <c r="Q274" s="314"/>
      <c r="R274" s="442"/>
      <c r="S274" s="314"/>
      <c r="T274" s="314"/>
      <c r="U274" s="314"/>
      <c r="V274" s="315">
        <v>0</v>
      </c>
      <c r="W274" s="447">
        <f t="shared" si="28"/>
        <v>0</v>
      </c>
      <c r="X274" s="447">
        <f t="shared" si="29"/>
        <v>0</v>
      </c>
      <c r="Y274" s="447">
        <f t="shared" si="30"/>
        <v>0</v>
      </c>
      <c r="Z274" s="447">
        <f t="shared" si="31"/>
        <v>0</v>
      </c>
      <c r="AA274" s="447">
        <f t="shared" si="32"/>
        <v>0</v>
      </c>
      <c r="AB274" s="447" t="e">
        <f t="shared" si="33"/>
        <v>#DIV/0!</v>
      </c>
      <c r="AC274" s="448" t="e">
        <f t="shared" si="34"/>
        <v>#DIV/0!</v>
      </c>
      <c r="AD274" s="11"/>
      <c r="AE274" s="349" t="str">
        <f>AF274&amp;TM[[#This Row],[Insurer Code]]&amp;"; "&amp;AG274&amp;TM[[#This Row],[Reporting Year]]&amp;"; "&amp;AH274&amp;TM[[#This Row],[Insurance Category Code]]&amp;"; "&amp;AI274&amp;TM[[#This Row],[Large Provider Entity Code]]</f>
        <v xml:space="preserve">Insurer Code ; Reporting Year ; Insurance Category Code ; Large Provider Entity Code </v>
      </c>
      <c r="AF274" s="345" t="s">
        <v>207</v>
      </c>
      <c r="AG274" s="345" t="s">
        <v>208</v>
      </c>
      <c r="AH274" s="345" t="s">
        <v>209</v>
      </c>
      <c r="AI274" s="345" t="s">
        <v>210</v>
      </c>
      <c r="AJ274" s="345"/>
      <c r="AK274" s="345"/>
      <c r="AL274" s="345"/>
      <c r="AM274" s="11"/>
      <c r="AN274" s="11"/>
      <c r="AO274" s="11"/>
    </row>
    <row r="275" spans="1:41" x14ac:dyDescent="0.25">
      <c r="A275" s="311"/>
      <c r="B275" s="316"/>
      <c r="C275" s="316"/>
      <c r="D275" s="312"/>
      <c r="E275" s="319"/>
      <c r="F275" s="336"/>
      <c r="G275" s="336"/>
      <c r="H275" s="336"/>
      <c r="I275" s="336"/>
      <c r="J275" s="336"/>
      <c r="K275" s="336"/>
      <c r="L275" s="336"/>
      <c r="M275" s="336"/>
      <c r="N275" s="336"/>
      <c r="O275" s="336"/>
      <c r="P275" s="336"/>
      <c r="Q275" s="336"/>
      <c r="R275" s="443"/>
      <c r="S275" s="336"/>
      <c r="T275" s="336"/>
      <c r="U275" s="314"/>
      <c r="V275" s="318">
        <v>9</v>
      </c>
      <c r="W275" s="447">
        <f t="shared" si="28"/>
        <v>0</v>
      </c>
      <c r="X275" s="447">
        <f t="shared" si="29"/>
        <v>0</v>
      </c>
      <c r="Y275" s="447">
        <f t="shared" si="30"/>
        <v>0</v>
      </c>
      <c r="Z275" s="447">
        <f t="shared" si="31"/>
        <v>0</v>
      </c>
      <c r="AA275" s="447">
        <f t="shared" si="32"/>
        <v>0</v>
      </c>
      <c r="AB275" s="447" t="e">
        <f t="shared" si="33"/>
        <v>#DIV/0!</v>
      </c>
      <c r="AC275" s="448" t="e">
        <f t="shared" si="34"/>
        <v>#DIV/0!</v>
      </c>
      <c r="AD275" s="11"/>
      <c r="AE275" s="349" t="str">
        <f>AF275&amp;TM[[#This Row],[Insurer Code]]&amp;"; "&amp;AG275&amp;TM[[#This Row],[Reporting Year]]&amp;"; "&amp;AH275&amp;TM[[#This Row],[Insurance Category Code]]&amp;"; "&amp;AI275&amp;TM[[#This Row],[Large Provider Entity Code]]</f>
        <v xml:space="preserve">Insurer Code ; Reporting Year ; Insurance Category Code ; Large Provider Entity Code </v>
      </c>
      <c r="AF275" s="345" t="s">
        <v>207</v>
      </c>
      <c r="AG275" s="345" t="s">
        <v>208</v>
      </c>
      <c r="AH275" s="345" t="s">
        <v>209</v>
      </c>
      <c r="AI275" s="345" t="s">
        <v>210</v>
      </c>
      <c r="AJ275" s="345"/>
      <c r="AK275" s="345"/>
      <c r="AL275" s="345"/>
      <c r="AM275" s="11"/>
      <c r="AN275" s="11"/>
      <c r="AO275" s="11"/>
    </row>
    <row r="276" spans="1:41" x14ac:dyDescent="0.25">
      <c r="A276" s="311"/>
      <c r="B276" s="316"/>
      <c r="C276" s="316"/>
      <c r="D276" s="312"/>
      <c r="E276" s="319"/>
      <c r="F276" s="336"/>
      <c r="G276" s="336"/>
      <c r="H276" s="336"/>
      <c r="I276" s="336"/>
      <c r="J276" s="336"/>
      <c r="K276" s="336"/>
      <c r="L276" s="336"/>
      <c r="M276" s="336"/>
      <c r="N276" s="336"/>
      <c r="O276" s="336"/>
      <c r="P276" s="336"/>
      <c r="Q276" s="336"/>
      <c r="R276" s="443"/>
      <c r="S276" s="336"/>
      <c r="T276" s="336"/>
      <c r="U276" s="314"/>
      <c r="V276" s="318">
        <v>0</v>
      </c>
      <c r="W276" s="447">
        <f t="shared" si="28"/>
        <v>0</v>
      </c>
      <c r="X276" s="447">
        <f t="shared" si="29"/>
        <v>0</v>
      </c>
      <c r="Y276" s="447">
        <f t="shared" si="30"/>
        <v>0</v>
      </c>
      <c r="Z276" s="447">
        <f t="shared" si="31"/>
        <v>0</v>
      </c>
      <c r="AA276" s="447">
        <f t="shared" si="32"/>
        <v>0</v>
      </c>
      <c r="AB276" s="447" t="e">
        <f t="shared" si="33"/>
        <v>#DIV/0!</v>
      </c>
      <c r="AC276" s="448" t="e">
        <f t="shared" si="34"/>
        <v>#DIV/0!</v>
      </c>
      <c r="AD276" s="11"/>
      <c r="AE276" s="349" t="str">
        <f>AF276&amp;TM[[#This Row],[Insurer Code]]&amp;"; "&amp;AG276&amp;TM[[#This Row],[Reporting Year]]&amp;"; "&amp;AH276&amp;TM[[#This Row],[Insurance Category Code]]&amp;"; "&amp;AI276&amp;TM[[#This Row],[Large Provider Entity Code]]</f>
        <v xml:space="preserve">Insurer Code ; Reporting Year ; Insurance Category Code ; Large Provider Entity Code </v>
      </c>
      <c r="AF276" s="345" t="s">
        <v>207</v>
      </c>
      <c r="AG276" s="345" t="s">
        <v>208</v>
      </c>
      <c r="AH276" s="345" t="s">
        <v>209</v>
      </c>
      <c r="AI276" s="345" t="s">
        <v>210</v>
      </c>
      <c r="AJ276" s="345"/>
      <c r="AK276" s="345"/>
      <c r="AL276" s="345"/>
      <c r="AM276" s="11"/>
      <c r="AN276" s="11"/>
      <c r="AO276" s="11"/>
    </row>
    <row r="277" spans="1:41" x14ac:dyDescent="0.25">
      <c r="A277" s="311"/>
      <c r="B277" s="316"/>
      <c r="C277" s="316"/>
      <c r="D277" s="312"/>
      <c r="E277" s="317"/>
      <c r="F277" s="336"/>
      <c r="G277" s="336"/>
      <c r="H277" s="336"/>
      <c r="I277" s="336"/>
      <c r="J277" s="336"/>
      <c r="K277" s="336"/>
      <c r="L277" s="336"/>
      <c r="M277" s="336"/>
      <c r="N277" s="336"/>
      <c r="O277" s="336"/>
      <c r="P277" s="336"/>
      <c r="Q277" s="336"/>
      <c r="R277" s="443"/>
      <c r="S277" s="336"/>
      <c r="T277" s="336"/>
      <c r="U277" s="314"/>
      <c r="V277" s="318">
        <v>0</v>
      </c>
      <c r="W277" s="447">
        <f t="shared" si="28"/>
        <v>0</v>
      </c>
      <c r="X277" s="447">
        <f t="shared" si="29"/>
        <v>0</v>
      </c>
      <c r="Y277" s="447">
        <f t="shared" si="30"/>
        <v>0</v>
      </c>
      <c r="Z277" s="447">
        <f t="shared" si="31"/>
        <v>0</v>
      </c>
      <c r="AA277" s="447">
        <f t="shared" si="32"/>
        <v>0</v>
      </c>
      <c r="AB277" s="447" t="e">
        <f t="shared" si="33"/>
        <v>#DIV/0!</v>
      </c>
      <c r="AC277" s="448" t="e">
        <f t="shared" si="34"/>
        <v>#DIV/0!</v>
      </c>
      <c r="AD277" s="11"/>
      <c r="AE277" s="349" t="str">
        <f>AF277&amp;TM[[#This Row],[Insurer Code]]&amp;"; "&amp;AG277&amp;TM[[#This Row],[Reporting Year]]&amp;"; "&amp;AH277&amp;TM[[#This Row],[Insurance Category Code]]&amp;"; "&amp;AI277&amp;TM[[#This Row],[Large Provider Entity Code]]</f>
        <v xml:space="preserve">Insurer Code ; Reporting Year ; Insurance Category Code ; Large Provider Entity Code </v>
      </c>
      <c r="AF277" s="345" t="s">
        <v>207</v>
      </c>
      <c r="AG277" s="345" t="s">
        <v>208</v>
      </c>
      <c r="AH277" s="345" t="s">
        <v>209</v>
      </c>
      <c r="AI277" s="345" t="s">
        <v>210</v>
      </c>
      <c r="AJ277" s="345"/>
      <c r="AK277" s="345"/>
      <c r="AL277" s="345"/>
      <c r="AM277" s="11"/>
      <c r="AN277" s="11"/>
      <c r="AO277" s="11"/>
    </row>
    <row r="278" spans="1:41" x14ac:dyDescent="0.25">
      <c r="A278" s="311"/>
      <c r="B278" s="316"/>
      <c r="C278" s="316"/>
      <c r="D278" s="312"/>
      <c r="E278" s="319"/>
      <c r="F278" s="336"/>
      <c r="G278" s="336"/>
      <c r="H278" s="336"/>
      <c r="I278" s="336"/>
      <c r="J278" s="336"/>
      <c r="K278" s="336"/>
      <c r="L278" s="336"/>
      <c r="M278" s="336"/>
      <c r="N278" s="336"/>
      <c r="O278" s="336"/>
      <c r="P278" s="336"/>
      <c r="Q278" s="336"/>
      <c r="R278" s="443"/>
      <c r="S278" s="336"/>
      <c r="T278" s="336"/>
      <c r="U278" s="314"/>
      <c r="V278" s="318">
        <v>4</v>
      </c>
      <c r="W278" s="447">
        <f t="shared" si="28"/>
        <v>0</v>
      </c>
      <c r="X278" s="447">
        <f t="shared" si="29"/>
        <v>0</v>
      </c>
      <c r="Y278" s="447">
        <f t="shared" si="30"/>
        <v>0</v>
      </c>
      <c r="Z278" s="447">
        <f t="shared" si="31"/>
        <v>0</v>
      </c>
      <c r="AA278" s="447">
        <f t="shared" si="32"/>
        <v>0</v>
      </c>
      <c r="AB278" s="447" t="e">
        <f t="shared" si="33"/>
        <v>#DIV/0!</v>
      </c>
      <c r="AC278" s="448" t="e">
        <f t="shared" si="34"/>
        <v>#DIV/0!</v>
      </c>
      <c r="AD278" s="11"/>
      <c r="AE278" s="349" t="str">
        <f>AF278&amp;TM[[#This Row],[Insurer Code]]&amp;"; "&amp;AG278&amp;TM[[#This Row],[Reporting Year]]&amp;"; "&amp;AH278&amp;TM[[#This Row],[Insurance Category Code]]&amp;"; "&amp;AI278&amp;TM[[#This Row],[Large Provider Entity Code]]</f>
        <v xml:space="preserve">Insurer Code ; Reporting Year ; Insurance Category Code ; Large Provider Entity Code </v>
      </c>
      <c r="AF278" s="345" t="s">
        <v>207</v>
      </c>
      <c r="AG278" s="345" t="s">
        <v>208</v>
      </c>
      <c r="AH278" s="345" t="s">
        <v>209</v>
      </c>
      <c r="AI278" s="345" t="s">
        <v>210</v>
      </c>
      <c r="AJ278" s="345"/>
      <c r="AK278" s="345"/>
      <c r="AL278" s="345"/>
      <c r="AM278" s="11"/>
      <c r="AN278" s="11"/>
      <c r="AO278" s="11"/>
    </row>
    <row r="279" spans="1:41" x14ac:dyDescent="0.25">
      <c r="A279" s="311"/>
      <c r="B279" s="316"/>
      <c r="C279" s="316"/>
      <c r="D279" s="312"/>
      <c r="E279" s="319"/>
      <c r="F279" s="336"/>
      <c r="G279" s="336"/>
      <c r="H279" s="336"/>
      <c r="I279" s="336"/>
      <c r="J279" s="336"/>
      <c r="K279" s="336"/>
      <c r="L279" s="336"/>
      <c r="M279" s="336"/>
      <c r="N279" s="336"/>
      <c r="O279" s="336"/>
      <c r="P279" s="336"/>
      <c r="Q279" s="336"/>
      <c r="R279" s="443"/>
      <c r="S279" s="336"/>
      <c r="T279" s="336"/>
      <c r="U279" s="314"/>
      <c r="V279" s="318">
        <v>4</v>
      </c>
      <c r="W279" s="447">
        <f t="shared" si="28"/>
        <v>0</v>
      </c>
      <c r="X279" s="447">
        <f t="shared" si="29"/>
        <v>0</v>
      </c>
      <c r="Y279" s="447">
        <f t="shared" si="30"/>
        <v>0</v>
      </c>
      <c r="Z279" s="447">
        <f t="shared" si="31"/>
        <v>0</v>
      </c>
      <c r="AA279" s="447">
        <f t="shared" si="32"/>
        <v>0</v>
      </c>
      <c r="AB279" s="447" t="e">
        <f t="shared" si="33"/>
        <v>#DIV/0!</v>
      </c>
      <c r="AC279" s="448" t="e">
        <f t="shared" si="34"/>
        <v>#DIV/0!</v>
      </c>
      <c r="AD279" s="11"/>
      <c r="AE279" s="349" t="str">
        <f>AF279&amp;TM[[#This Row],[Insurer Code]]&amp;"; "&amp;AG279&amp;TM[[#This Row],[Reporting Year]]&amp;"; "&amp;AH279&amp;TM[[#This Row],[Insurance Category Code]]&amp;"; "&amp;AI279&amp;TM[[#This Row],[Large Provider Entity Code]]</f>
        <v xml:space="preserve">Insurer Code ; Reporting Year ; Insurance Category Code ; Large Provider Entity Code </v>
      </c>
      <c r="AF279" s="345" t="s">
        <v>207</v>
      </c>
      <c r="AG279" s="345" t="s">
        <v>208</v>
      </c>
      <c r="AH279" s="345" t="s">
        <v>209</v>
      </c>
      <c r="AI279" s="345" t="s">
        <v>210</v>
      </c>
      <c r="AJ279" s="345"/>
      <c r="AK279" s="345"/>
      <c r="AL279" s="345"/>
      <c r="AM279" s="11"/>
      <c r="AN279" s="11"/>
      <c r="AO279" s="11"/>
    </row>
    <row r="280" spans="1:41" x14ac:dyDescent="0.25">
      <c r="A280" s="311"/>
      <c r="B280" s="316"/>
      <c r="C280" s="316"/>
      <c r="D280" s="312"/>
      <c r="E280" s="317"/>
      <c r="F280" s="336"/>
      <c r="G280" s="336"/>
      <c r="H280" s="336"/>
      <c r="I280" s="336"/>
      <c r="J280" s="336"/>
      <c r="K280" s="336"/>
      <c r="L280" s="336"/>
      <c r="M280" s="336"/>
      <c r="N280" s="336"/>
      <c r="O280" s="336"/>
      <c r="P280" s="336"/>
      <c r="Q280" s="336"/>
      <c r="R280" s="443"/>
      <c r="S280" s="336"/>
      <c r="T280" s="336"/>
      <c r="U280" s="314"/>
      <c r="V280" s="318">
        <v>0</v>
      </c>
      <c r="W280" s="447">
        <f t="shared" si="28"/>
        <v>0</v>
      </c>
      <c r="X280" s="447">
        <f t="shared" si="29"/>
        <v>0</v>
      </c>
      <c r="Y280" s="447">
        <f t="shared" si="30"/>
        <v>0</v>
      </c>
      <c r="Z280" s="447">
        <f t="shared" si="31"/>
        <v>0</v>
      </c>
      <c r="AA280" s="447">
        <f t="shared" si="32"/>
        <v>0</v>
      </c>
      <c r="AB280" s="447" t="e">
        <f t="shared" si="33"/>
        <v>#DIV/0!</v>
      </c>
      <c r="AC280" s="448" t="e">
        <f t="shared" si="34"/>
        <v>#DIV/0!</v>
      </c>
      <c r="AD280" s="11"/>
      <c r="AE280" s="349" t="str">
        <f>AF280&amp;TM[[#This Row],[Insurer Code]]&amp;"; "&amp;AG280&amp;TM[[#This Row],[Reporting Year]]&amp;"; "&amp;AH280&amp;TM[[#This Row],[Insurance Category Code]]&amp;"; "&amp;AI280&amp;TM[[#This Row],[Large Provider Entity Code]]</f>
        <v xml:space="preserve">Insurer Code ; Reporting Year ; Insurance Category Code ; Large Provider Entity Code </v>
      </c>
      <c r="AF280" s="345" t="s">
        <v>207</v>
      </c>
      <c r="AG280" s="345" t="s">
        <v>208</v>
      </c>
      <c r="AH280" s="345" t="s">
        <v>209</v>
      </c>
      <c r="AI280" s="345" t="s">
        <v>210</v>
      </c>
      <c r="AJ280" s="345"/>
      <c r="AK280" s="345"/>
      <c r="AL280" s="345"/>
      <c r="AM280" s="11"/>
      <c r="AN280" s="11"/>
      <c r="AO280" s="11"/>
    </row>
    <row r="281" spans="1:41" x14ac:dyDescent="0.25">
      <c r="A281" s="311"/>
      <c r="B281" s="316"/>
      <c r="C281" s="316"/>
      <c r="D281" s="312"/>
      <c r="E281" s="319"/>
      <c r="F281" s="336"/>
      <c r="G281" s="336"/>
      <c r="H281" s="336"/>
      <c r="I281" s="336"/>
      <c r="J281" s="336"/>
      <c r="K281" s="336"/>
      <c r="L281" s="336"/>
      <c r="M281" s="336"/>
      <c r="N281" s="336"/>
      <c r="O281" s="336"/>
      <c r="P281" s="336"/>
      <c r="Q281" s="336"/>
      <c r="R281" s="443"/>
      <c r="S281" s="336"/>
      <c r="T281" s="336"/>
      <c r="U281" s="314"/>
      <c r="V281" s="318">
        <v>7</v>
      </c>
      <c r="W281" s="447">
        <f t="shared" si="28"/>
        <v>0</v>
      </c>
      <c r="X281" s="447">
        <f t="shared" si="29"/>
        <v>0</v>
      </c>
      <c r="Y281" s="447">
        <f t="shared" si="30"/>
        <v>0</v>
      </c>
      <c r="Z281" s="447">
        <f t="shared" si="31"/>
        <v>0</v>
      </c>
      <c r="AA281" s="447">
        <f t="shared" si="32"/>
        <v>0</v>
      </c>
      <c r="AB281" s="447" t="e">
        <f t="shared" si="33"/>
        <v>#DIV/0!</v>
      </c>
      <c r="AC281" s="448" t="e">
        <f t="shared" si="34"/>
        <v>#DIV/0!</v>
      </c>
      <c r="AD281" s="11"/>
      <c r="AE281" s="349" t="str">
        <f>AF281&amp;TM[[#This Row],[Insurer Code]]&amp;"; "&amp;AG281&amp;TM[[#This Row],[Reporting Year]]&amp;"; "&amp;AH281&amp;TM[[#This Row],[Insurance Category Code]]&amp;"; "&amp;AI281&amp;TM[[#This Row],[Large Provider Entity Code]]</f>
        <v xml:space="preserve">Insurer Code ; Reporting Year ; Insurance Category Code ; Large Provider Entity Code </v>
      </c>
      <c r="AF281" s="345" t="s">
        <v>207</v>
      </c>
      <c r="AG281" s="345" t="s">
        <v>208</v>
      </c>
      <c r="AH281" s="345" t="s">
        <v>209</v>
      </c>
      <c r="AI281" s="345" t="s">
        <v>210</v>
      </c>
      <c r="AJ281" s="345"/>
      <c r="AK281" s="345"/>
      <c r="AL281" s="345"/>
      <c r="AM281" s="11"/>
      <c r="AN281" s="11"/>
      <c r="AO281" s="11"/>
    </row>
    <row r="282" spans="1:41" x14ac:dyDescent="0.25">
      <c r="A282" s="311"/>
      <c r="B282" s="312"/>
      <c r="C282" s="312"/>
      <c r="D282" s="312"/>
      <c r="E282" s="328"/>
      <c r="F282" s="442"/>
      <c r="G282" s="314"/>
      <c r="H282" s="314"/>
      <c r="I282" s="314"/>
      <c r="J282" s="314"/>
      <c r="K282" s="314"/>
      <c r="L282" s="314"/>
      <c r="M282" s="314"/>
      <c r="N282" s="314"/>
      <c r="O282" s="314"/>
      <c r="P282" s="314"/>
      <c r="Q282" s="314"/>
      <c r="R282" s="442"/>
      <c r="S282" s="314"/>
      <c r="T282" s="314"/>
      <c r="U282" s="314"/>
      <c r="V282" s="315">
        <v>0</v>
      </c>
      <c r="W282" s="447">
        <f t="shared" si="28"/>
        <v>0</v>
      </c>
      <c r="X282" s="447">
        <f t="shared" si="29"/>
        <v>0</v>
      </c>
      <c r="Y282" s="447">
        <f t="shared" si="30"/>
        <v>0</v>
      </c>
      <c r="Z282" s="447">
        <f t="shared" si="31"/>
        <v>0</v>
      </c>
      <c r="AA282" s="447">
        <f t="shared" si="32"/>
        <v>0</v>
      </c>
      <c r="AB282" s="447" t="e">
        <f t="shared" si="33"/>
        <v>#DIV/0!</v>
      </c>
      <c r="AC282" s="448" t="e">
        <f t="shared" si="34"/>
        <v>#DIV/0!</v>
      </c>
      <c r="AD282" s="11"/>
      <c r="AE282" s="349" t="str">
        <f>AF282&amp;TM[[#This Row],[Insurer Code]]&amp;"; "&amp;AG282&amp;TM[[#This Row],[Reporting Year]]&amp;"; "&amp;AH282&amp;TM[[#This Row],[Insurance Category Code]]&amp;"; "&amp;AI282&amp;TM[[#This Row],[Large Provider Entity Code]]</f>
        <v xml:space="preserve">Insurer Code ; Reporting Year ; Insurance Category Code ; Large Provider Entity Code </v>
      </c>
      <c r="AF282" s="345" t="s">
        <v>207</v>
      </c>
      <c r="AG282" s="345" t="s">
        <v>208</v>
      </c>
      <c r="AH282" s="345" t="s">
        <v>209</v>
      </c>
      <c r="AI282" s="345" t="s">
        <v>210</v>
      </c>
      <c r="AJ282" s="345"/>
      <c r="AK282" s="345"/>
      <c r="AL282" s="345"/>
      <c r="AM282" s="11"/>
      <c r="AN282" s="11"/>
      <c r="AO282" s="11"/>
    </row>
    <row r="283" spans="1:41" x14ac:dyDescent="0.25">
      <c r="A283" s="311"/>
      <c r="B283" s="312"/>
      <c r="C283" s="312"/>
      <c r="D283" s="312"/>
      <c r="E283" s="328"/>
      <c r="F283" s="442"/>
      <c r="G283" s="314"/>
      <c r="H283" s="314"/>
      <c r="I283" s="314"/>
      <c r="J283" s="314"/>
      <c r="K283" s="314"/>
      <c r="L283" s="314"/>
      <c r="M283" s="314"/>
      <c r="N283" s="314"/>
      <c r="O283" s="314"/>
      <c r="P283" s="314"/>
      <c r="Q283" s="314"/>
      <c r="R283" s="442"/>
      <c r="S283" s="314"/>
      <c r="T283" s="314"/>
      <c r="U283" s="314"/>
      <c r="V283" s="315">
        <v>2</v>
      </c>
      <c r="W283" s="447">
        <f t="shared" si="28"/>
        <v>0</v>
      </c>
      <c r="X283" s="447">
        <f t="shared" si="29"/>
        <v>0</v>
      </c>
      <c r="Y283" s="447">
        <f t="shared" si="30"/>
        <v>0</v>
      </c>
      <c r="Z283" s="447">
        <f t="shared" si="31"/>
        <v>0</v>
      </c>
      <c r="AA283" s="447">
        <f t="shared" si="32"/>
        <v>0</v>
      </c>
      <c r="AB283" s="447" t="e">
        <f t="shared" si="33"/>
        <v>#DIV/0!</v>
      </c>
      <c r="AC283" s="448" t="e">
        <f t="shared" si="34"/>
        <v>#DIV/0!</v>
      </c>
      <c r="AD283" s="11"/>
      <c r="AE283" s="349" t="str">
        <f>AF283&amp;TM[[#This Row],[Insurer Code]]&amp;"; "&amp;AG283&amp;TM[[#This Row],[Reporting Year]]&amp;"; "&amp;AH283&amp;TM[[#This Row],[Insurance Category Code]]&amp;"; "&amp;AI283&amp;TM[[#This Row],[Large Provider Entity Code]]</f>
        <v xml:space="preserve">Insurer Code ; Reporting Year ; Insurance Category Code ; Large Provider Entity Code </v>
      </c>
      <c r="AF283" s="345" t="s">
        <v>207</v>
      </c>
      <c r="AG283" s="345" t="s">
        <v>208</v>
      </c>
      <c r="AH283" s="345" t="s">
        <v>209</v>
      </c>
      <c r="AI283" s="345" t="s">
        <v>210</v>
      </c>
      <c r="AJ283" s="345"/>
      <c r="AK283" s="345"/>
      <c r="AL283" s="345"/>
      <c r="AM283" s="11"/>
      <c r="AN283" s="11"/>
      <c r="AO283" s="11"/>
    </row>
    <row r="284" spans="1:41" x14ac:dyDescent="0.25">
      <c r="A284" s="311"/>
      <c r="B284" s="312"/>
      <c r="C284" s="312"/>
      <c r="D284" s="312"/>
      <c r="E284" s="328"/>
      <c r="F284" s="442"/>
      <c r="G284" s="314"/>
      <c r="H284" s="314"/>
      <c r="I284" s="314"/>
      <c r="J284" s="314"/>
      <c r="K284" s="314"/>
      <c r="L284" s="314"/>
      <c r="M284" s="314"/>
      <c r="N284" s="314"/>
      <c r="O284" s="314"/>
      <c r="P284" s="314"/>
      <c r="Q284" s="314"/>
      <c r="R284" s="442"/>
      <c r="S284" s="314"/>
      <c r="T284" s="314"/>
      <c r="U284" s="314"/>
      <c r="V284" s="315">
        <v>1</v>
      </c>
      <c r="W284" s="451">
        <f t="shared" si="28"/>
        <v>0</v>
      </c>
      <c r="X284" s="451">
        <f t="shared" si="29"/>
        <v>0</v>
      </c>
      <c r="Y284" s="451">
        <f t="shared" si="30"/>
        <v>0</v>
      </c>
      <c r="Z284" s="451">
        <f t="shared" si="31"/>
        <v>0</v>
      </c>
      <c r="AA284" s="451">
        <f t="shared" si="32"/>
        <v>0</v>
      </c>
      <c r="AB284" s="451" t="e">
        <f t="shared" si="33"/>
        <v>#DIV/0!</v>
      </c>
      <c r="AC284" s="452" t="e">
        <f t="shared" si="34"/>
        <v>#DIV/0!</v>
      </c>
      <c r="AD284" s="11"/>
      <c r="AE284" s="349" t="str">
        <f>AF284&amp;TM[[#This Row],[Insurer Code]]&amp;"; "&amp;AG284&amp;TM[[#This Row],[Reporting Year]]&amp;"; "&amp;AH284&amp;TM[[#This Row],[Insurance Category Code]]&amp;"; "&amp;AI284&amp;TM[[#This Row],[Large Provider Entity Code]]</f>
        <v xml:space="preserve">Insurer Code ; Reporting Year ; Insurance Category Code ; Large Provider Entity Code </v>
      </c>
      <c r="AF284" s="345" t="s">
        <v>207</v>
      </c>
      <c r="AG284" s="345" t="s">
        <v>208</v>
      </c>
      <c r="AH284" s="345" t="s">
        <v>209</v>
      </c>
      <c r="AI284" s="345" t="s">
        <v>210</v>
      </c>
      <c r="AJ284" s="345"/>
      <c r="AK284" s="345"/>
      <c r="AL284" s="345"/>
      <c r="AM284" s="11"/>
      <c r="AN284" s="11"/>
      <c r="AO284" s="11"/>
    </row>
    <row r="285" spans="1:41" x14ac:dyDescent="0.25">
      <c r="A285" s="311"/>
      <c r="B285" s="312"/>
      <c r="C285" s="312"/>
      <c r="D285" s="312"/>
      <c r="E285" s="328"/>
      <c r="F285" s="442"/>
      <c r="G285" s="314"/>
      <c r="H285" s="314"/>
      <c r="I285" s="314"/>
      <c r="J285" s="314"/>
      <c r="K285" s="314"/>
      <c r="L285" s="314"/>
      <c r="M285" s="314"/>
      <c r="N285" s="314"/>
      <c r="O285" s="314"/>
      <c r="P285" s="314"/>
      <c r="Q285" s="314"/>
      <c r="R285" s="442"/>
      <c r="S285" s="314"/>
      <c r="T285" s="314"/>
      <c r="U285" s="314"/>
      <c r="V285" s="315">
        <v>0</v>
      </c>
      <c r="W285" s="451">
        <f t="shared" si="28"/>
        <v>0</v>
      </c>
      <c r="X285" s="451">
        <f t="shared" si="29"/>
        <v>0</v>
      </c>
      <c r="Y285" s="451">
        <f t="shared" si="30"/>
        <v>0</v>
      </c>
      <c r="Z285" s="451">
        <f t="shared" si="31"/>
        <v>0</v>
      </c>
      <c r="AA285" s="451">
        <f t="shared" si="32"/>
        <v>0</v>
      </c>
      <c r="AB285" s="451" t="e">
        <f t="shared" si="33"/>
        <v>#DIV/0!</v>
      </c>
      <c r="AC285" s="452" t="e">
        <f t="shared" si="34"/>
        <v>#DIV/0!</v>
      </c>
      <c r="AD285" s="11"/>
      <c r="AE285" s="349" t="str">
        <f>AF285&amp;TM[[#This Row],[Insurer Code]]&amp;"; "&amp;AG285&amp;TM[[#This Row],[Reporting Year]]&amp;"; "&amp;AH285&amp;TM[[#This Row],[Insurance Category Code]]&amp;"; "&amp;AI285&amp;TM[[#This Row],[Large Provider Entity Code]]</f>
        <v xml:space="preserve">Insurer Code ; Reporting Year ; Insurance Category Code ; Large Provider Entity Code </v>
      </c>
      <c r="AF285" s="345" t="s">
        <v>207</v>
      </c>
      <c r="AG285" s="345" t="s">
        <v>208</v>
      </c>
      <c r="AH285" s="345" t="s">
        <v>209</v>
      </c>
      <c r="AI285" s="345" t="s">
        <v>210</v>
      </c>
      <c r="AJ285" s="345"/>
      <c r="AK285" s="345"/>
      <c r="AL285" s="345"/>
      <c r="AM285" s="11"/>
      <c r="AN285" s="11"/>
      <c r="AO285" s="11"/>
    </row>
    <row r="286" spans="1:41" x14ac:dyDescent="0.25">
      <c r="A286" s="311"/>
      <c r="B286" s="312"/>
      <c r="C286" s="312"/>
      <c r="D286" s="312"/>
      <c r="E286" s="328"/>
      <c r="F286" s="442"/>
      <c r="G286" s="314"/>
      <c r="H286" s="314"/>
      <c r="I286" s="314"/>
      <c r="J286" s="314"/>
      <c r="K286" s="314"/>
      <c r="L286" s="314"/>
      <c r="M286" s="314"/>
      <c r="N286" s="314"/>
      <c r="O286" s="314"/>
      <c r="P286" s="314"/>
      <c r="Q286" s="314"/>
      <c r="R286" s="442"/>
      <c r="S286" s="314"/>
      <c r="T286" s="314"/>
      <c r="U286" s="314"/>
      <c r="V286" s="315">
        <v>9</v>
      </c>
      <c r="W286" s="451">
        <f t="shared" si="28"/>
        <v>0</v>
      </c>
      <c r="X286" s="451">
        <f t="shared" si="29"/>
        <v>0</v>
      </c>
      <c r="Y286" s="451">
        <f t="shared" si="30"/>
        <v>0</v>
      </c>
      <c r="Z286" s="451">
        <f t="shared" si="31"/>
        <v>0</v>
      </c>
      <c r="AA286" s="451">
        <f t="shared" si="32"/>
        <v>0</v>
      </c>
      <c r="AB286" s="451" t="e">
        <f t="shared" si="33"/>
        <v>#DIV/0!</v>
      </c>
      <c r="AC286" s="452" t="e">
        <f t="shared" si="34"/>
        <v>#DIV/0!</v>
      </c>
      <c r="AD286" s="11"/>
      <c r="AE286" s="349" t="str">
        <f>AF286&amp;TM[[#This Row],[Insurer Code]]&amp;"; "&amp;AG286&amp;TM[[#This Row],[Reporting Year]]&amp;"; "&amp;AH286&amp;TM[[#This Row],[Insurance Category Code]]&amp;"; "&amp;AI286&amp;TM[[#This Row],[Large Provider Entity Code]]</f>
        <v xml:space="preserve">Insurer Code ; Reporting Year ; Insurance Category Code ; Large Provider Entity Code </v>
      </c>
      <c r="AF286" s="345" t="s">
        <v>207</v>
      </c>
      <c r="AG286" s="345" t="s">
        <v>208</v>
      </c>
      <c r="AH286" s="345" t="s">
        <v>209</v>
      </c>
      <c r="AI286" s="345" t="s">
        <v>210</v>
      </c>
      <c r="AJ286" s="345"/>
      <c r="AK286" s="345"/>
      <c r="AL286" s="345"/>
      <c r="AM286" s="11"/>
      <c r="AN286" s="11"/>
      <c r="AO286" s="11"/>
    </row>
    <row r="287" spans="1:41" x14ac:dyDescent="0.25">
      <c r="A287" s="311"/>
      <c r="B287" s="312"/>
      <c r="C287" s="312"/>
      <c r="D287" s="312"/>
      <c r="E287" s="328"/>
      <c r="F287" s="442"/>
      <c r="G287" s="314"/>
      <c r="H287" s="314"/>
      <c r="I287" s="314"/>
      <c r="J287" s="314"/>
      <c r="K287" s="314"/>
      <c r="L287" s="314"/>
      <c r="M287" s="314"/>
      <c r="N287" s="314"/>
      <c r="O287" s="314"/>
      <c r="P287" s="314"/>
      <c r="Q287" s="314"/>
      <c r="R287" s="442"/>
      <c r="S287" s="314"/>
      <c r="T287" s="314"/>
      <c r="U287" s="314"/>
      <c r="V287" s="315">
        <v>0</v>
      </c>
      <c r="W287" s="451">
        <f t="shared" si="28"/>
        <v>0</v>
      </c>
      <c r="X287" s="451">
        <f t="shared" si="29"/>
        <v>0</v>
      </c>
      <c r="Y287" s="451">
        <f t="shared" si="30"/>
        <v>0</v>
      </c>
      <c r="Z287" s="451">
        <f t="shared" si="31"/>
        <v>0</v>
      </c>
      <c r="AA287" s="451">
        <f t="shared" si="32"/>
        <v>0</v>
      </c>
      <c r="AB287" s="451" t="e">
        <f t="shared" si="33"/>
        <v>#DIV/0!</v>
      </c>
      <c r="AC287" s="452" t="e">
        <f t="shared" si="34"/>
        <v>#DIV/0!</v>
      </c>
      <c r="AD287" s="11"/>
      <c r="AE287" s="349" t="str">
        <f>AF287&amp;TM[[#This Row],[Insurer Code]]&amp;"; "&amp;AG287&amp;TM[[#This Row],[Reporting Year]]&amp;"; "&amp;AH287&amp;TM[[#This Row],[Insurance Category Code]]&amp;"; "&amp;AI287&amp;TM[[#This Row],[Large Provider Entity Code]]</f>
        <v xml:space="preserve">Insurer Code ; Reporting Year ; Insurance Category Code ; Large Provider Entity Code </v>
      </c>
      <c r="AF287" s="345" t="s">
        <v>207</v>
      </c>
      <c r="AG287" s="345" t="s">
        <v>208</v>
      </c>
      <c r="AH287" s="345" t="s">
        <v>209</v>
      </c>
      <c r="AI287" s="345" t="s">
        <v>210</v>
      </c>
      <c r="AJ287" s="345"/>
      <c r="AK287" s="345"/>
      <c r="AL287" s="345"/>
      <c r="AM287" s="11"/>
      <c r="AN287" s="11"/>
      <c r="AO287" s="11"/>
    </row>
    <row r="288" spans="1:41" x14ac:dyDescent="0.25">
      <c r="A288" s="311"/>
      <c r="B288" s="312"/>
      <c r="C288" s="312"/>
      <c r="D288" s="312"/>
      <c r="E288" s="313"/>
      <c r="F288" s="314"/>
      <c r="G288" s="314"/>
      <c r="H288" s="314"/>
      <c r="I288" s="314"/>
      <c r="J288" s="314"/>
      <c r="K288" s="314"/>
      <c r="L288" s="314"/>
      <c r="M288" s="314"/>
      <c r="N288" s="314"/>
      <c r="O288" s="314"/>
      <c r="P288" s="314"/>
      <c r="Q288" s="314"/>
      <c r="R288" s="442"/>
      <c r="S288" s="314"/>
      <c r="T288" s="314"/>
      <c r="U288" s="314"/>
      <c r="V288" s="315">
        <v>0</v>
      </c>
      <c r="W288" s="447">
        <f t="shared" si="28"/>
        <v>0</v>
      </c>
      <c r="X288" s="447">
        <f t="shared" si="29"/>
        <v>0</v>
      </c>
      <c r="Y288" s="447">
        <f t="shared" si="30"/>
        <v>0</v>
      </c>
      <c r="Z288" s="447">
        <f t="shared" si="31"/>
        <v>0</v>
      </c>
      <c r="AA288" s="447">
        <f t="shared" si="32"/>
        <v>0</v>
      </c>
      <c r="AB288" s="447" t="e">
        <f t="shared" si="33"/>
        <v>#DIV/0!</v>
      </c>
      <c r="AC288" s="448" t="e">
        <f t="shared" si="34"/>
        <v>#DIV/0!</v>
      </c>
      <c r="AD288" s="11"/>
      <c r="AE288" s="349" t="str">
        <f>AF288&amp;TM[[#This Row],[Insurer Code]]&amp;"; "&amp;AG288&amp;TM[[#This Row],[Reporting Year]]&amp;"; "&amp;AH288&amp;TM[[#This Row],[Insurance Category Code]]&amp;"; "&amp;AI288&amp;TM[[#This Row],[Large Provider Entity Code]]</f>
        <v xml:space="preserve">Insurer Code ; Reporting Year ; Insurance Category Code ; Large Provider Entity Code </v>
      </c>
      <c r="AF288" s="345" t="s">
        <v>207</v>
      </c>
      <c r="AG288" s="345" t="s">
        <v>208</v>
      </c>
      <c r="AH288" s="345" t="s">
        <v>209</v>
      </c>
      <c r="AI288" s="345" t="s">
        <v>210</v>
      </c>
      <c r="AJ288" s="345"/>
      <c r="AK288" s="345"/>
      <c r="AL288" s="345"/>
      <c r="AM288" s="11"/>
      <c r="AN288" s="11"/>
      <c r="AO288" s="11"/>
    </row>
    <row r="289" spans="1:41" x14ac:dyDescent="0.25">
      <c r="A289" s="311"/>
      <c r="B289" s="312"/>
      <c r="C289" s="312"/>
      <c r="D289" s="312"/>
      <c r="E289" s="313"/>
      <c r="F289" s="314"/>
      <c r="G289" s="314"/>
      <c r="H289" s="314"/>
      <c r="I289" s="314"/>
      <c r="J289" s="314"/>
      <c r="K289" s="314"/>
      <c r="L289" s="314"/>
      <c r="M289" s="314"/>
      <c r="N289" s="314"/>
      <c r="O289" s="314"/>
      <c r="P289" s="314"/>
      <c r="Q289" s="314"/>
      <c r="R289" s="442"/>
      <c r="S289" s="314"/>
      <c r="T289" s="314"/>
      <c r="U289" s="314"/>
      <c r="V289" s="315">
        <v>25</v>
      </c>
      <c r="W289" s="447">
        <f t="shared" si="28"/>
        <v>0</v>
      </c>
      <c r="X289" s="447">
        <f t="shared" si="29"/>
        <v>0</v>
      </c>
      <c r="Y289" s="447">
        <f t="shared" si="30"/>
        <v>0</v>
      </c>
      <c r="Z289" s="447">
        <f t="shared" si="31"/>
        <v>0</v>
      </c>
      <c r="AA289" s="447">
        <f t="shared" si="32"/>
        <v>0</v>
      </c>
      <c r="AB289" s="447" t="e">
        <f t="shared" si="33"/>
        <v>#DIV/0!</v>
      </c>
      <c r="AC289" s="448" t="e">
        <f t="shared" si="34"/>
        <v>#DIV/0!</v>
      </c>
      <c r="AD289" s="11"/>
      <c r="AE289" s="349" t="str">
        <f>AF289&amp;TM[[#This Row],[Insurer Code]]&amp;"; "&amp;AG289&amp;TM[[#This Row],[Reporting Year]]&amp;"; "&amp;AH289&amp;TM[[#This Row],[Insurance Category Code]]&amp;"; "&amp;AI289&amp;TM[[#This Row],[Large Provider Entity Code]]</f>
        <v xml:space="preserve">Insurer Code ; Reporting Year ; Insurance Category Code ; Large Provider Entity Code </v>
      </c>
      <c r="AF289" s="345" t="s">
        <v>207</v>
      </c>
      <c r="AG289" s="345" t="s">
        <v>208</v>
      </c>
      <c r="AH289" s="345" t="s">
        <v>209</v>
      </c>
      <c r="AI289" s="345" t="s">
        <v>210</v>
      </c>
      <c r="AJ289" s="345"/>
      <c r="AK289" s="345"/>
      <c r="AL289" s="345"/>
      <c r="AM289" s="11"/>
      <c r="AN289" s="11"/>
      <c r="AO289" s="11"/>
    </row>
    <row r="290" spans="1:41" x14ac:dyDescent="0.25">
      <c r="A290" s="311"/>
      <c r="B290" s="316"/>
      <c r="C290" s="316"/>
      <c r="D290" s="312"/>
      <c r="E290" s="319"/>
      <c r="F290" s="336"/>
      <c r="G290" s="336"/>
      <c r="H290" s="336"/>
      <c r="I290" s="336"/>
      <c r="J290" s="336"/>
      <c r="K290" s="336"/>
      <c r="L290" s="336"/>
      <c r="M290" s="336"/>
      <c r="N290" s="336"/>
      <c r="O290" s="336"/>
      <c r="P290" s="336"/>
      <c r="Q290" s="336"/>
      <c r="R290" s="443"/>
      <c r="S290" s="336"/>
      <c r="T290" s="336"/>
      <c r="U290" s="314"/>
      <c r="V290" s="318">
        <v>9</v>
      </c>
      <c r="W290" s="447">
        <f t="shared" si="28"/>
        <v>0</v>
      </c>
      <c r="X290" s="447">
        <f t="shared" si="29"/>
        <v>0</v>
      </c>
      <c r="Y290" s="447">
        <f t="shared" si="30"/>
        <v>0</v>
      </c>
      <c r="Z290" s="447">
        <f t="shared" si="31"/>
        <v>0</v>
      </c>
      <c r="AA290" s="447">
        <f t="shared" si="32"/>
        <v>0</v>
      </c>
      <c r="AB290" s="447" t="e">
        <f t="shared" si="33"/>
        <v>#DIV/0!</v>
      </c>
      <c r="AC290" s="448" t="e">
        <f t="shared" si="34"/>
        <v>#DIV/0!</v>
      </c>
      <c r="AD290" s="11"/>
      <c r="AE290" s="349" t="str">
        <f>AF290&amp;TM[[#This Row],[Insurer Code]]&amp;"; "&amp;AG290&amp;TM[[#This Row],[Reporting Year]]&amp;"; "&amp;AH290&amp;TM[[#This Row],[Insurance Category Code]]&amp;"; "&amp;AI290&amp;TM[[#This Row],[Large Provider Entity Code]]</f>
        <v xml:space="preserve">Insurer Code ; Reporting Year ; Insurance Category Code ; Large Provider Entity Code </v>
      </c>
      <c r="AF290" s="345" t="s">
        <v>207</v>
      </c>
      <c r="AG290" s="345" t="s">
        <v>208</v>
      </c>
      <c r="AH290" s="345" t="s">
        <v>209</v>
      </c>
      <c r="AI290" s="345" t="s">
        <v>210</v>
      </c>
      <c r="AJ290" s="345"/>
      <c r="AK290" s="345"/>
      <c r="AL290" s="345"/>
      <c r="AM290" s="11"/>
      <c r="AN290" s="11"/>
      <c r="AO290" s="11"/>
    </row>
    <row r="291" spans="1:41" x14ac:dyDescent="0.25">
      <c r="A291" s="311"/>
      <c r="B291" s="469"/>
      <c r="C291" s="469"/>
      <c r="D291" s="312"/>
      <c r="E291" s="472"/>
      <c r="F291" s="473"/>
      <c r="G291" s="473"/>
      <c r="H291" s="473"/>
      <c r="I291" s="473"/>
      <c r="J291" s="473"/>
      <c r="K291" s="473"/>
      <c r="L291" s="473"/>
      <c r="M291" s="473"/>
      <c r="N291" s="473"/>
      <c r="O291" s="473"/>
      <c r="P291" s="473"/>
      <c r="Q291" s="473"/>
      <c r="R291" s="474"/>
      <c r="S291" s="473"/>
      <c r="T291" s="473"/>
      <c r="U291" s="314"/>
      <c r="V291" s="475">
        <v>5</v>
      </c>
      <c r="W291" s="447">
        <f t="shared" si="28"/>
        <v>0</v>
      </c>
      <c r="X291" s="447">
        <f t="shared" si="29"/>
        <v>0</v>
      </c>
      <c r="Y291" s="447">
        <f t="shared" si="30"/>
        <v>0</v>
      </c>
      <c r="Z291" s="447">
        <f t="shared" si="31"/>
        <v>0</v>
      </c>
      <c r="AA291" s="447">
        <f t="shared" si="32"/>
        <v>0</v>
      </c>
      <c r="AB291" s="447" t="e">
        <f t="shared" si="33"/>
        <v>#DIV/0!</v>
      </c>
      <c r="AC291" s="448" t="e">
        <f t="shared" si="34"/>
        <v>#DIV/0!</v>
      </c>
      <c r="AD291" s="11"/>
      <c r="AE291" s="349" t="str">
        <f>AF291&amp;TM[[#This Row],[Insurer Code]]&amp;"; "&amp;AG291&amp;TM[[#This Row],[Reporting Year]]&amp;"; "&amp;AH291&amp;TM[[#This Row],[Insurance Category Code]]&amp;"; "&amp;AI291&amp;TM[[#This Row],[Large Provider Entity Code]]</f>
        <v xml:space="preserve">Insurer Code ; Reporting Year ; Insurance Category Code ; Large Provider Entity Code </v>
      </c>
      <c r="AF291" s="345" t="s">
        <v>207</v>
      </c>
      <c r="AG291" s="345" t="s">
        <v>208</v>
      </c>
      <c r="AH291" s="345" t="s">
        <v>209</v>
      </c>
      <c r="AI291" s="345" t="s">
        <v>210</v>
      </c>
      <c r="AJ291" s="345"/>
      <c r="AK291" s="345"/>
      <c r="AL291" s="345"/>
      <c r="AM291" s="11"/>
      <c r="AN291" s="11"/>
      <c r="AO291" s="11"/>
    </row>
    <row r="292" spans="1:41" x14ac:dyDescent="0.25">
      <c r="A292" s="311"/>
      <c r="B292" s="329"/>
      <c r="C292" s="329"/>
      <c r="D292" s="312"/>
      <c r="E292" s="341"/>
      <c r="F292" s="331"/>
      <c r="G292" s="331"/>
      <c r="H292" s="331"/>
      <c r="I292" s="331"/>
      <c r="J292" s="331"/>
      <c r="K292" s="331"/>
      <c r="L292" s="331"/>
      <c r="M292" s="331"/>
      <c r="N292" s="331"/>
      <c r="O292" s="331"/>
      <c r="P292" s="331"/>
      <c r="Q292" s="331"/>
      <c r="R292" s="444"/>
      <c r="S292" s="331"/>
      <c r="T292" s="331"/>
      <c r="U292" s="314"/>
      <c r="V292" s="320">
        <v>0</v>
      </c>
      <c r="W292" s="447">
        <f t="shared" si="28"/>
        <v>0</v>
      </c>
      <c r="X292" s="447">
        <f t="shared" si="29"/>
        <v>0</v>
      </c>
      <c r="Y292" s="447">
        <f t="shared" si="30"/>
        <v>0</v>
      </c>
      <c r="Z292" s="447">
        <f t="shared" si="31"/>
        <v>0</v>
      </c>
      <c r="AA292" s="447">
        <f t="shared" si="32"/>
        <v>0</v>
      </c>
      <c r="AB292" s="447" t="e">
        <f t="shared" si="33"/>
        <v>#DIV/0!</v>
      </c>
      <c r="AC292" s="448" t="e">
        <f t="shared" si="34"/>
        <v>#DIV/0!</v>
      </c>
      <c r="AD292" s="11"/>
      <c r="AE292" s="349" t="str">
        <f>AF292&amp;TM[[#This Row],[Insurer Code]]&amp;"; "&amp;AG292&amp;TM[[#This Row],[Reporting Year]]&amp;"; "&amp;AH292&amp;TM[[#This Row],[Insurance Category Code]]&amp;"; "&amp;AI292&amp;TM[[#This Row],[Large Provider Entity Code]]</f>
        <v xml:space="preserve">Insurer Code ; Reporting Year ; Insurance Category Code ; Large Provider Entity Code </v>
      </c>
      <c r="AF292" s="345" t="s">
        <v>207</v>
      </c>
      <c r="AG292" s="345" t="s">
        <v>208</v>
      </c>
      <c r="AH292" s="345" t="s">
        <v>209</v>
      </c>
      <c r="AI292" s="345" t="s">
        <v>210</v>
      </c>
      <c r="AJ292" s="345"/>
      <c r="AK292" s="345"/>
      <c r="AL292" s="345"/>
      <c r="AM292" s="11"/>
      <c r="AN292" s="11"/>
      <c r="AO292" s="11"/>
    </row>
    <row r="293" spans="1:41" x14ac:dyDescent="0.25">
      <c r="A293" s="311"/>
      <c r="B293" s="469"/>
      <c r="C293" s="469"/>
      <c r="D293" s="312"/>
      <c r="E293" s="472"/>
      <c r="F293" s="473"/>
      <c r="G293" s="473"/>
      <c r="H293" s="473"/>
      <c r="I293" s="473"/>
      <c r="J293" s="473"/>
      <c r="K293" s="473"/>
      <c r="L293" s="473"/>
      <c r="M293" s="473"/>
      <c r="N293" s="473"/>
      <c r="O293" s="473"/>
      <c r="P293" s="473"/>
      <c r="Q293" s="473"/>
      <c r="R293" s="474"/>
      <c r="S293" s="473"/>
      <c r="T293" s="473"/>
      <c r="U293" s="314"/>
      <c r="V293" s="475">
        <v>0</v>
      </c>
      <c r="W293" s="447">
        <f t="shared" si="28"/>
        <v>0</v>
      </c>
      <c r="X293" s="447">
        <f t="shared" si="29"/>
        <v>0</v>
      </c>
      <c r="Y293" s="447">
        <f t="shared" si="30"/>
        <v>0</v>
      </c>
      <c r="Z293" s="447">
        <f t="shared" si="31"/>
        <v>0</v>
      </c>
      <c r="AA293" s="447">
        <f t="shared" si="32"/>
        <v>0</v>
      </c>
      <c r="AB293" s="447" t="e">
        <f t="shared" si="33"/>
        <v>#DIV/0!</v>
      </c>
      <c r="AC293" s="448" t="e">
        <f t="shared" si="34"/>
        <v>#DIV/0!</v>
      </c>
      <c r="AD293" s="11"/>
      <c r="AE293" s="349" t="str">
        <f>AF293&amp;TM[[#This Row],[Insurer Code]]&amp;"; "&amp;AG293&amp;TM[[#This Row],[Reporting Year]]&amp;"; "&amp;AH293&amp;TM[[#This Row],[Insurance Category Code]]&amp;"; "&amp;AI293&amp;TM[[#This Row],[Large Provider Entity Code]]</f>
        <v xml:space="preserve">Insurer Code ; Reporting Year ; Insurance Category Code ; Large Provider Entity Code </v>
      </c>
      <c r="AF293" s="345" t="s">
        <v>207</v>
      </c>
      <c r="AG293" s="345" t="s">
        <v>208</v>
      </c>
      <c r="AH293" s="345" t="s">
        <v>209</v>
      </c>
      <c r="AI293" s="345" t="s">
        <v>210</v>
      </c>
      <c r="AJ293" s="345"/>
      <c r="AK293" s="345"/>
      <c r="AL293" s="345"/>
      <c r="AM293" s="11"/>
      <c r="AN293" s="11"/>
      <c r="AO293" s="11"/>
    </row>
    <row r="294" spans="1:41" x14ac:dyDescent="0.25">
      <c r="A294" s="311"/>
      <c r="B294" s="469"/>
      <c r="C294" s="469"/>
      <c r="D294" s="312"/>
      <c r="E294" s="471"/>
      <c r="F294" s="473"/>
      <c r="G294" s="473"/>
      <c r="H294" s="473"/>
      <c r="I294" s="473"/>
      <c r="J294" s="473"/>
      <c r="K294" s="473"/>
      <c r="L294" s="473"/>
      <c r="M294" s="473"/>
      <c r="N294" s="473"/>
      <c r="O294" s="473"/>
      <c r="P294" s="473"/>
      <c r="Q294" s="473"/>
      <c r="R294" s="474"/>
      <c r="S294" s="473"/>
      <c r="T294" s="473"/>
      <c r="U294" s="314"/>
      <c r="V294" s="475">
        <v>7</v>
      </c>
      <c r="W294" s="447">
        <f t="shared" si="28"/>
        <v>0</v>
      </c>
      <c r="X294" s="447">
        <f t="shared" si="29"/>
        <v>0</v>
      </c>
      <c r="Y294" s="447">
        <f t="shared" si="30"/>
        <v>0</v>
      </c>
      <c r="Z294" s="447">
        <f t="shared" si="31"/>
        <v>0</v>
      </c>
      <c r="AA294" s="447">
        <f t="shared" si="32"/>
        <v>0</v>
      </c>
      <c r="AB294" s="447" t="e">
        <f t="shared" si="33"/>
        <v>#DIV/0!</v>
      </c>
      <c r="AC294" s="448" t="e">
        <f t="shared" si="34"/>
        <v>#DIV/0!</v>
      </c>
      <c r="AD294" s="11"/>
      <c r="AE294" s="349" t="str">
        <f>AF294&amp;TM[[#This Row],[Insurer Code]]&amp;"; "&amp;AG294&amp;TM[[#This Row],[Reporting Year]]&amp;"; "&amp;AH294&amp;TM[[#This Row],[Insurance Category Code]]&amp;"; "&amp;AI294&amp;TM[[#This Row],[Large Provider Entity Code]]</f>
        <v xml:space="preserve">Insurer Code ; Reporting Year ; Insurance Category Code ; Large Provider Entity Code </v>
      </c>
      <c r="AF294" s="345" t="s">
        <v>207</v>
      </c>
      <c r="AG294" s="345" t="s">
        <v>208</v>
      </c>
      <c r="AH294" s="345" t="s">
        <v>209</v>
      </c>
      <c r="AI294" s="345" t="s">
        <v>210</v>
      </c>
      <c r="AJ294" s="345"/>
      <c r="AK294" s="345"/>
      <c r="AL294" s="345"/>
      <c r="AM294" s="11"/>
      <c r="AN294" s="11"/>
      <c r="AO294" s="11"/>
    </row>
    <row r="295" spans="1:41" x14ac:dyDescent="0.25">
      <c r="A295" s="311"/>
      <c r="B295" s="469"/>
      <c r="C295" s="469"/>
      <c r="D295" s="312"/>
      <c r="E295" s="471"/>
      <c r="F295" s="473"/>
      <c r="G295" s="473"/>
      <c r="H295" s="473"/>
      <c r="I295" s="473"/>
      <c r="J295" s="473"/>
      <c r="K295" s="473"/>
      <c r="L295" s="473"/>
      <c r="M295" s="473"/>
      <c r="N295" s="473"/>
      <c r="O295" s="473"/>
      <c r="P295" s="473"/>
      <c r="Q295" s="473"/>
      <c r="R295" s="474"/>
      <c r="S295" s="473"/>
      <c r="T295" s="473"/>
      <c r="U295" s="314"/>
      <c r="V295" s="475">
        <v>0</v>
      </c>
      <c r="W295" s="447">
        <f t="shared" si="28"/>
        <v>0</v>
      </c>
      <c r="X295" s="447">
        <f t="shared" si="29"/>
        <v>0</v>
      </c>
      <c r="Y295" s="447">
        <f t="shared" si="30"/>
        <v>0</v>
      </c>
      <c r="Z295" s="447">
        <f t="shared" si="31"/>
        <v>0</v>
      </c>
      <c r="AA295" s="447">
        <f t="shared" si="32"/>
        <v>0</v>
      </c>
      <c r="AB295" s="447" t="e">
        <f t="shared" si="33"/>
        <v>#DIV/0!</v>
      </c>
      <c r="AC295" s="448" t="e">
        <f t="shared" si="34"/>
        <v>#DIV/0!</v>
      </c>
      <c r="AD295" s="11"/>
      <c r="AE295" s="349" t="str">
        <f>AF295&amp;TM[[#This Row],[Insurer Code]]&amp;"; "&amp;AG295&amp;TM[[#This Row],[Reporting Year]]&amp;"; "&amp;AH295&amp;TM[[#This Row],[Insurance Category Code]]&amp;"; "&amp;AI295&amp;TM[[#This Row],[Large Provider Entity Code]]</f>
        <v xml:space="preserve">Insurer Code ; Reporting Year ; Insurance Category Code ; Large Provider Entity Code </v>
      </c>
      <c r="AF295" s="345" t="s">
        <v>207</v>
      </c>
      <c r="AG295" s="345" t="s">
        <v>208</v>
      </c>
      <c r="AH295" s="345" t="s">
        <v>209</v>
      </c>
      <c r="AI295" s="345" t="s">
        <v>210</v>
      </c>
      <c r="AJ295" s="345"/>
      <c r="AK295" s="345"/>
      <c r="AL295" s="345"/>
      <c r="AM295" s="11"/>
      <c r="AN295" s="11"/>
      <c r="AO295" s="11"/>
    </row>
    <row r="296" spans="1:41" x14ac:dyDescent="0.25">
      <c r="A296" s="311"/>
      <c r="B296" s="469"/>
      <c r="C296" s="469"/>
      <c r="D296" s="312"/>
      <c r="E296" s="472"/>
      <c r="F296" s="473"/>
      <c r="G296" s="473"/>
      <c r="H296" s="473"/>
      <c r="I296" s="473"/>
      <c r="J296" s="473"/>
      <c r="K296" s="473"/>
      <c r="L296" s="473"/>
      <c r="M296" s="473"/>
      <c r="N296" s="473"/>
      <c r="O296" s="473"/>
      <c r="P296" s="473"/>
      <c r="Q296" s="473"/>
      <c r="R296" s="474"/>
      <c r="S296" s="473"/>
      <c r="T296" s="473"/>
      <c r="U296" s="314"/>
      <c r="V296" s="475">
        <v>1</v>
      </c>
      <c r="W296" s="447">
        <f t="shared" si="28"/>
        <v>0</v>
      </c>
      <c r="X296" s="447">
        <f t="shared" si="29"/>
        <v>0</v>
      </c>
      <c r="Y296" s="447">
        <f t="shared" si="30"/>
        <v>0</v>
      </c>
      <c r="Z296" s="447">
        <f t="shared" si="31"/>
        <v>0</v>
      </c>
      <c r="AA296" s="447">
        <f t="shared" si="32"/>
        <v>0</v>
      </c>
      <c r="AB296" s="447" t="e">
        <f t="shared" si="33"/>
        <v>#DIV/0!</v>
      </c>
      <c r="AC296" s="448" t="e">
        <f t="shared" si="34"/>
        <v>#DIV/0!</v>
      </c>
      <c r="AD296" s="11"/>
      <c r="AE296" s="349" t="str">
        <f>AF296&amp;TM[[#This Row],[Insurer Code]]&amp;"; "&amp;AG296&amp;TM[[#This Row],[Reporting Year]]&amp;"; "&amp;AH296&amp;TM[[#This Row],[Insurance Category Code]]&amp;"; "&amp;AI296&amp;TM[[#This Row],[Large Provider Entity Code]]</f>
        <v xml:space="preserve">Insurer Code ; Reporting Year ; Insurance Category Code ; Large Provider Entity Code </v>
      </c>
      <c r="AF296" s="345" t="s">
        <v>207</v>
      </c>
      <c r="AG296" s="345" t="s">
        <v>208</v>
      </c>
      <c r="AH296" s="345" t="s">
        <v>209</v>
      </c>
      <c r="AI296" s="345" t="s">
        <v>210</v>
      </c>
      <c r="AJ296" s="345"/>
      <c r="AK296" s="345"/>
      <c r="AL296" s="345"/>
      <c r="AM296" s="11"/>
      <c r="AN296" s="11"/>
      <c r="AO296" s="11"/>
    </row>
    <row r="297" spans="1:41" x14ac:dyDescent="0.25">
      <c r="A297" s="311"/>
      <c r="B297" s="329"/>
      <c r="C297" s="329"/>
      <c r="D297" s="312"/>
      <c r="E297" s="341"/>
      <c r="F297" s="331"/>
      <c r="G297" s="331"/>
      <c r="H297" s="331"/>
      <c r="I297" s="331"/>
      <c r="J297" s="331"/>
      <c r="K297" s="331"/>
      <c r="L297" s="331"/>
      <c r="M297" s="331"/>
      <c r="N297" s="331"/>
      <c r="O297" s="331"/>
      <c r="P297" s="331"/>
      <c r="Q297" s="331"/>
      <c r="R297" s="444"/>
      <c r="S297" s="331"/>
      <c r="T297" s="331"/>
      <c r="U297" s="314"/>
      <c r="V297" s="320">
        <v>11</v>
      </c>
      <c r="W297" s="447">
        <f t="shared" si="28"/>
        <v>0</v>
      </c>
      <c r="X297" s="447">
        <f t="shared" si="29"/>
        <v>0</v>
      </c>
      <c r="Y297" s="447">
        <f t="shared" si="30"/>
        <v>0</v>
      </c>
      <c r="Z297" s="447">
        <f t="shared" si="31"/>
        <v>0</v>
      </c>
      <c r="AA297" s="447">
        <f t="shared" si="32"/>
        <v>0</v>
      </c>
      <c r="AB297" s="447" t="e">
        <f t="shared" si="33"/>
        <v>#DIV/0!</v>
      </c>
      <c r="AC297" s="448" t="e">
        <f t="shared" si="34"/>
        <v>#DIV/0!</v>
      </c>
      <c r="AD297" s="11"/>
      <c r="AE297" s="349" t="str">
        <f>AF297&amp;TM[[#This Row],[Insurer Code]]&amp;"; "&amp;AG297&amp;TM[[#This Row],[Reporting Year]]&amp;"; "&amp;AH297&amp;TM[[#This Row],[Insurance Category Code]]&amp;"; "&amp;AI297&amp;TM[[#This Row],[Large Provider Entity Code]]</f>
        <v xml:space="preserve">Insurer Code ; Reporting Year ; Insurance Category Code ; Large Provider Entity Code </v>
      </c>
      <c r="AF297" s="345" t="s">
        <v>207</v>
      </c>
      <c r="AG297" s="345" t="s">
        <v>208</v>
      </c>
      <c r="AH297" s="345" t="s">
        <v>209</v>
      </c>
      <c r="AI297" s="345" t="s">
        <v>210</v>
      </c>
      <c r="AJ297" s="345"/>
      <c r="AK297" s="345"/>
      <c r="AL297" s="345"/>
      <c r="AM297" s="11"/>
      <c r="AN297" s="11"/>
      <c r="AO297" s="11"/>
    </row>
    <row r="298" spans="1:41" x14ac:dyDescent="0.25">
      <c r="A298" s="311"/>
      <c r="B298" s="469"/>
      <c r="C298" s="469"/>
      <c r="D298" s="312"/>
      <c r="E298" s="471"/>
      <c r="F298" s="473"/>
      <c r="G298" s="473"/>
      <c r="H298" s="473"/>
      <c r="I298" s="473"/>
      <c r="J298" s="473"/>
      <c r="K298" s="473"/>
      <c r="L298" s="473"/>
      <c r="M298" s="473"/>
      <c r="N298" s="473"/>
      <c r="O298" s="473"/>
      <c r="P298" s="473"/>
      <c r="Q298" s="473"/>
      <c r="R298" s="474"/>
      <c r="S298" s="473"/>
      <c r="T298" s="473"/>
      <c r="U298" s="314"/>
      <c r="V298" s="475">
        <v>8</v>
      </c>
      <c r="W298" s="447">
        <f t="shared" si="28"/>
        <v>0</v>
      </c>
      <c r="X298" s="447">
        <f t="shared" si="29"/>
        <v>0</v>
      </c>
      <c r="Y298" s="447">
        <f t="shared" si="30"/>
        <v>0</v>
      </c>
      <c r="Z298" s="447">
        <f t="shared" si="31"/>
        <v>0</v>
      </c>
      <c r="AA298" s="447">
        <f t="shared" si="32"/>
        <v>0</v>
      </c>
      <c r="AB298" s="447" t="e">
        <f t="shared" si="33"/>
        <v>#DIV/0!</v>
      </c>
      <c r="AC298" s="448" t="e">
        <f t="shared" si="34"/>
        <v>#DIV/0!</v>
      </c>
      <c r="AD298" s="11"/>
      <c r="AE298" s="349" t="str">
        <f>AF298&amp;TM[[#This Row],[Insurer Code]]&amp;"; "&amp;AG298&amp;TM[[#This Row],[Reporting Year]]&amp;"; "&amp;AH298&amp;TM[[#This Row],[Insurance Category Code]]&amp;"; "&amp;AI298&amp;TM[[#This Row],[Large Provider Entity Code]]</f>
        <v xml:space="preserve">Insurer Code ; Reporting Year ; Insurance Category Code ; Large Provider Entity Code </v>
      </c>
      <c r="AF298" s="345" t="s">
        <v>207</v>
      </c>
      <c r="AG298" s="345" t="s">
        <v>208</v>
      </c>
      <c r="AH298" s="345" t="s">
        <v>209</v>
      </c>
      <c r="AI298" s="345" t="s">
        <v>210</v>
      </c>
      <c r="AJ298" s="345"/>
      <c r="AK298" s="345"/>
      <c r="AL298" s="345"/>
      <c r="AM298" s="11"/>
      <c r="AN298" s="11"/>
      <c r="AO298" s="11"/>
    </row>
    <row r="299" spans="1:41" x14ac:dyDescent="0.25">
      <c r="A299" s="311"/>
      <c r="B299" s="469"/>
      <c r="C299" s="469"/>
      <c r="D299" s="312"/>
      <c r="E299" s="471"/>
      <c r="F299" s="473"/>
      <c r="G299" s="473"/>
      <c r="H299" s="473"/>
      <c r="I299" s="473"/>
      <c r="J299" s="473"/>
      <c r="K299" s="473"/>
      <c r="L299" s="473"/>
      <c r="M299" s="473"/>
      <c r="N299" s="473"/>
      <c r="O299" s="473"/>
      <c r="P299" s="473"/>
      <c r="Q299" s="473"/>
      <c r="R299" s="474"/>
      <c r="S299" s="473"/>
      <c r="T299" s="473"/>
      <c r="U299" s="314"/>
      <c r="V299" s="475">
        <v>18</v>
      </c>
      <c r="W299" s="447">
        <f t="shared" si="28"/>
        <v>0</v>
      </c>
      <c r="X299" s="447">
        <f t="shared" si="29"/>
        <v>0</v>
      </c>
      <c r="Y299" s="447">
        <f t="shared" si="30"/>
        <v>0</v>
      </c>
      <c r="Z299" s="447">
        <f t="shared" si="31"/>
        <v>0</v>
      </c>
      <c r="AA299" s="447">
        <f t="shared" si="32"/>
        <v>0</v>
      </c>
      <c r="AB299" s="447" t="e">
        <f t="shared" si="33"/>
        <v>#DIV/0!</v>
      </c>
      <c r="AC299" s="448" t="e">
        <f t="shared" si="34"/>
        <v>#DIV/0!</v>
      </c>
      <c r="AD299" s="11"/>
      <c r="AE299" s="349" t="str">
        <f>AF299&amp;TM[[#This Row],[Insurer Code]]&amp;"; "&amp;AG299&amp;TM[[#This Row],[Reporting Year]]&amp;"; "&amp;AH299&amp;TM[[#This Row],[Insurance Category Code]]&amp;"; "&amp;AI299&amp;TM[[#This Row],[Large Provider Entity Code]]</f>
        <v xml:space="preserve">Insurer Code ; Reporting Year ; Insurance Category Code ; Large Provider Entity Code </v>
      </c>
      <c r="AF299" s="345" t="s">
        <v>207</v>
      </c>
      <c r="AG299" s="345" t="s">
        <v>208</v>
      </c>
      <c r="AH299" s="345" t="s">
        <v>209</v>
      </c>
      <c r="AI299" s="345" t="s">
        <v>210</v>
      </c>
      <c r="AJ299" s="345"/>
      <c r="AK299" s="345"/>
      <c r="AL299" s="345"/>
      <c r="AM299" s="11"/>
      <c r="AN299" s="11"/>
      <c r="AO299" s="11"/>
    </row>
    <row r="300" spans="1:41" x14ac:dyDescent="0.25">
      <c r="A300" s="311"/>
      <c r="B300" s="469"/>
      <c r="C300" s="469"/>
      <c r="D300" s="312"/>
      <c r="E300" s="472"/>
      <c r="F300" s="473"/>
      <c r="G300" s="473"/>
      <c r="H300" s="473"/>
      <c r="I300" s="473"/>
      <c r="J300" s="473"/>
      <c r="K300" s="473"/>
      <c r="L300" s="473"/>
      <c r="M300" s="473"/>
      <c r="N300" s="473"/>
      <c r="O300" s="473"/>
      <c r="P300" s="473"/>
      <c r="Q300" s="473"/>
      <c r="R300" s="474"/>
      <c r="S300" s="473"/>
      <c r="T300" s="473"/>
      <c r="U300" s="314"/>
      <c r="V300" s="475">
        <v>1</v>
      </c>
      <c r="W300" s="447">
        <f t="shared" si="28"/>
        <v>0</v>
      </c>
      <c r="X300" s="447">
        <f t="shared" si="29"/>
        <v>0</v>
      </c>
      <c r="Y300" s="447">
        <f t="shared" si="30"/>
        <v>0</v>
      </c>
      <c r="Z300" s="447">
        <f t="shared" si="31"/>
        <v>0</v>
      </c>
      <c r="AA300" s="447">
        <f t="shared" si="32"/>
        <v>0</v>
      </c>
      <c r="AB300" s="447" t="e">
        <f t="shared" si="33"/>
        <v>#DIV/0!</v>
      </c>
      <c r="AC300" s="448" t="e">
        <f t="shared" si="34"/>
        <v>#DIV/0!</v>
      </c>
      <c r="AD300" s="11"/>
      <c r="AE300" s="349" t="str">
        <f>AF300&amp;TM[[#This Row],[Insurer Code]]&amp;"; "&amp;AG300&amp;TM[[#This Row],[Reporting Year]]&amp;"; "&amp;AH300&amp;TM[[#This Row],[Insurance Category Code]]&amp;"; "&amp;AI300&amp;TM[[#This Row],[Large Provider Entity Code]]</f>
        <v xml:space="preserve">Insurer Code ; Reporting Year ; Insurance Category Code ; Large Provider Entity Code </v>
      </c>
      <c r="AF300" s="345" t="s">
        <v>207</v>
      </c>
      <c r="AG300" s="345" t="s">
        <v>208</v>
      </c>
      <c r="AH300" s="345" t="s">
        <v>209</v>
      </c>
      <c r="AI300" s="345" t="s">
        <v>210</v>
      </c>
      <c r="AJ300" s="345"/>
      <c r="AK300" s="345"/>
      <c r="AL300" s="345"/>
      <c r="AM300" s="11"/>
      <c r="AN300" s="11"/>
      <c r="AO300" s="11"/>
    </row>
    <row r="301" spans="1:41" x14ac:dyDescent="0.25">
      <c r="A301" s="311"/>
      <c r="B301" s="469"/>
      <c r="C301" s="469"/>
      <c r="D301" s="312"/>
      <c r="E301" s="471"/>
      <c r="F301" s="473"/>
      <c r="G301" s="473"/>
      <c r="H301" s="473"/>
      <c r="I301" s="473"/>
      <c r="J301" s="473"/>
      <c r="K301" s="473"/>
      <c r="L301" s="473"/>
      <c r="M301" s="473"/>
      <c r="N301" s="473"/>
      <c r="O301" s="473"/>
      <c r="P301" s="473"/>
      <c r="Q301" s="473"/>
      <c r="R301" s="474"/>
      <c r="S301" s="473"/>
      <c r="T301" s="473"/>
      <c r="U301" s="314"/>
      <c r="V301" s="475">
        <v>0</v>
      </c>
      <c r="W301" s="447">
        <f t="shared" si="28"/>
        <v>0</v>
      </c>
      <c r="X301" s="447">
        <f t="shared" si="29"/>
        <v>0</v>
      </c>
      <c r="Y301" s="447">
        <f t="shared" si="30"/>
        <v>0</v>
      </c>
      <c r="Z301" s="447">
        <f t="shared" si="31"/>
        <v>0</v>
      </c>
      <c r="AA301" s="447">
        <f t="shared" si="32"/>
        <v>0</v>
      </c>
      <c r="AB301" s="447" t="e">
        <f t="shared" si="33"/>
        <v>#DIV/0!</v>
      </c>
      <c r="AC301" s="448" t="e">
        <f t="shared" si="34"/>
        <v>#DIV/0!</v>
      </c>
      <c r="AD301" s="11"/>
      <c r="AE301" s="349" t="str">
        <f>AF301&amp;TM[[#This Row],[Insurer Code]]&amp;"; "&amp;AG301&amp;TM[[#This Row],[Reporting Year]]&amp;"; "&amp;AH301&amp;TM[[#This Row],[Insurance Category Code]]&amp;"; "&amp;AI301&amp;TM[[#This Row],[Large Provider Entity Code]]</f>
        <v xml:space="preserve">Insurer Code ; Reporting Year ; Insurance Category Code ; Large Provider Entity Code </v>
      </c>
      <c r="AF301" s="345" t="s">
        <v>207</v>
      </c>
      <c r="AG301" s="345" t="s">
        <v>208</v>
      </c>
      <c r="AH301" s="345" t="s">
        <v>209</v>
      </c>
      <c r="AI301" s="345" t="s">
        <v>210</v>
      </c>
      <c r="AJ301" s="345"/>
      <c r="AK301" s="345"/>
      <c r="AL301" s="345"/>
      <c r="AM301" s="11"/>
      <c r="AN301" s="11"/>
      <c r="AO301" s="11"/>
    </row>
    <row r="302" spans="1:41" x14ac:dyDescent="0.25">
      <c r="A302" s="311"/>
      <c r="B302" s="469"/>
      <c r="C302" s="469"/>
      <c r="D302" s="312"/>
      <c r="E302" s="471"/>
      <c r="F302" s="473"/>
      <c r="G302" s="473"/>
      <c r="H302" s="473"/>
      <c r="I302" s="473"/>
      <c r="J302" s="473"/>
      <c r="K302" s="473"/>
      <c r="L302" s="473"/>
      <c r="M302" s="473"/>
      <c r="N302" s="473"/>
      <c r="O302" s="473"/>
      <c r="P302" s="473"/>
      <c r="Q302" s="473"/>
      <c r="R302" s="474"/>
      <c r="S302" s="473"/>
      <c r="T302" s="473"/>
      <c r="U302" s="314"/>
      <c r="V302" s="475">
        <v>15</v>
      </c>
      <c r="W302" s="447">
        <f t="shared" si="28"/>
        <v>0</v>
      </c>
      <c r="X302" s="447">
        <f t="shared" si="29"/>
        <v>0</v>
      </c>
      <c r="Y302" s="447">
        <f t="shared" si="30"/>
        <v>0</v>
      </c>
      <c r="Z302" s="447">
        <f t="shared" si="31"/>
        <v>0</v>
      </c>
      <c r="AA302" s="447">
        <f t="shared" si="32"/>
        <v>0</v>
      </c>
      <c r="AB302" s="447" t="e">
        <f t="shared" si="33"/>
        <v>#DIV/0!</v>
      </c>
      <c r="AC302" s="448" t="e">
        <f t="shared" si="34"/>
        <v>#DIV/0!</v>
      </c>
      <c r="AD302" s="11"/>
      <c r="AE302" s="349" t="str">
        <f>AF302&amp;TM[[#This Row],[Insurer Code]]&amp;"; "&amp;AG302&amp;TM[[#This Row],[Reporting Year]]&amp;"; "&amp;AH302&amp;TM[[#This Row],[Insurance Category Code]]&amp;"; "&amp;AI302&amp;TM[[#This Row],[Large Provider Entity Code]]</f>
        <v xml:space="preserve">Insurer Code ; Reporting Year ; Insurance Category Code ; Large Provider Entity Code </v>
      </c>
      <c r="AF302" s="345" t="s">
        <v>207</v>
      </c>
      <c r="AG302" s="345" t="s">
        <v>208</v>
      </c>
      <c r="AH302" s="345" t="s">
        <v>209</v>
      </c>
      <c r="AI302" s="345" t="s">
        <v>210</v>
      </c>
      <c r="AJ302" s="345"/>
      <c r="AK302" s="345"/>
      <c r="AL302" s="345"/>
      <c r="AM302" s="11"/>
      <c r="AN302" s="11"/>
      <c r="AO302" s="11"/>
    </row>
    <row r="303" spans="1:41" x14ac:dyDescent="0.25">
      <c r="A303" s="311"/>
      <c r="B303" s="329"/>
      <c r="C303" s="329"/>
      <c r="D303" s="312"/>
      <c r="E303" s="330"/>
      <c r="F303" s="444"/>
      <c r="G303" s="331"/>
      <c r="H303" s="331"/>
      <c r="I303" s="331"/>
      <c r="J303" s="331"/>
      <c r="K303" s="331"/>
      <c r="L303" s="331"/>
      <c r="M303" s="331"/>
      <c r="N303" s="331"/>
      <c r="O303" s="331"/>
      <c r="P303" s="331"/>
      <c r="Q303" s="331"/>
      <c r="R303" s="444"/>
      <c r="S303" s="331"/>
      <c r="T303" s="331"/>
      <c r="U303" s="314"/>
      <c r="V303" s="320">
        <v>0</v>
      </c>
      <c r="W303" s="447">
        <f t="shared" si="28"/>
        <v>0</v>
      </c>
      <c r="X303" s="447">
        <f t="shared" si="29"/>
        <v>0</v>
      </c>
      <c r="Y303" s="447">
        <f t="shared" si="30"/>
        <v>0</v>
      </c>
      <c r="Z303" s="447">
        <f t="shared" si="31"/>
        <v>0</v>
      </c>
      <c r="AA303" s="447">
        <f t="shared" si="32"/>
        <v>0</v>
      </c>
      <c r="AB303" s="447" t="e">
        <f t="shared" si="33"/>
        <v>#DIV/0!</v>
      </c>
      <c r="AC303" s="448" t="e">
        <f t="shared" si="34"/>
        <v>#DIV/0!</v>
      </c>
      <c r="AD303" s="11"/>
      <c r="AE303" s="349" t="str">
        <f>AF303&amp;TM[[#This Row],[Insurer Code]]&amp;"; "&amp;AG303&amp;TM[[#This Row],[Reporting Year]]&amp;"; "&amp;AH303&amp;TM[[#This Row],[Insurance Category Code]]&amp;"; "&amp;AI303&amp;TM[[#This Row],[Large Provider Entity Code]]</f>
        <v xml:space="preserve">Insurer Code ; Reporting Year ; Insurance Category Code ; Large Provider Entity Code </v>
      </c>
      <c r="AF303" s="345" t="s">
        <v>207</v>
      </c>
      <c r="AG303" s="345" t="s">
        <v>208</v>
      </c>
      <c r="AH303" s="345" t="s">
        <v>209</v>
      </c>
      <c r="AI303" s="345" t="s">
        <v>210</v>
      </c>
      <c r="AJ303" s="345"/>
      <c r="AK303" s="345"/>
      <c r="AL303" s="345"/>
      <c r="AM303" s="11"/>
      <c r="AN303" s="11"/>
      <c r="AO303" s="11"/>
    </row>
    <row r="304" spans="1:41" x14ac:dyDescent="0.25">
      <c r="A304" s="311"/>
      <c r="B304" s="329"/>
      <c r="C304" s="329"/>
      <c r="D304" s="312"/>
      <c r="E304" s="330"/>
      <c r="F304" s="444"/>
      <c r="G304" s="331"/>
      <c r="H304" s="331"/>
      <c r="I304" s="331"/>
      <c r="J304" s="331"/>
      <c r="K304" s="331"/>
      <c r="L304" s="331"/>
      <c r="M304" s="331"/>
      <c r="N304" s="331"/>
      <c r="O304" s="331"/>
      <c r="P304" s="331"/>
      <c r="Q304" s="331"/>
      <c r="R304" s="444"/>
      <c r="S304" s="331"/>
      <c r="T304" s="331"/>
      <c r="U304" s="314"/>
      <c r="V304" s="320">
        <v>25</v>
      </c>
      <c r="W304" s="447">
        <f t="shared" si="28"/>
        <v>0</v>
      </c>
      <c r="X304" s="447">
        <f t="shared" si="29"/>
        <v>0</v>
      </c>
      <c r="Y304" s="447">
        <f t="shared" si="30"/>
        <v>0</v>
      </c>
      <c r="Z304" s="447">
        <f t="shared" si="31"/>
        <v>0</v>
      </c>
      <c r="AA304" s="447">
        <f t="shared" si="32"/>
        <v>0</v>
      </c>
      <c r="AB304" s="447" t="e">
        <f t="shared" si="33"/>
        <v>#DIV/0!</v>
      </c>
      <c r="AC304" s="448" t="e">
        <f t="shared" si="34"/>
        <v>#DIV/0!</v>
      </c>
      <c r="AD304" s="11"/>
      <c r="AE304" s="349" t="str">
        <f>AF304&amp;TM[[#This Row],[Insurer Code]]&amp;"; "&amp;AG304&amp;TM[[#This Row],[Reporting Year]]&amp;"; "&amp;AH304&amp;TM[[#This Row],[Insurance Category Code]]&amp;"; "&amp;AI304&amp;TM[[#This Row],[Large Provider Entity Code]]</f>
        <v xml:space="preserve">Insurer Code ; Reporting Year ; Insurance Category Code ; Large Provider Entity Code </v>
      </c>
      <c r="AF304" s="345" t="s">
        <v>207</v>
      </c>
      <c r="AG304" s="345" t="s">
        <v>208</v>
      </c>
      <c r="AH304" s="345" t="s">
        <v>209</v>
      </c>
      <c r="AI304" s="345" t="s">
        <v>210</v>
      </c>
      <c r="AJ304" s="345"/>
      <c r="AK304" s="345"/>
      <c r="AL304" s="345"/>
      <c r="AM304" s="11"/>
      <c r="AN304" s="11"/>
      <c r="AO304" s="11"/>
    </row>
    <row r="305" spans="1:41" x14ac:dyDescent="0.25">
      <c r="A305" s="311"/>
      <c r="B305" s="329"/>
      <c r="C305" s="329"/>
      <c r="D305" s="312"/>
      <c r="E305" s="330"/>
      <c r="F305" s="444"/>
      <c r="G305" s="331"/>
      <c r="H305" s="331"/>
      <c r="I305" s="331"/>
      <c r="J305" s="331"/>
      <c r="K305" s="331"/>
      <c r="L305" s="331"/>
      <c r="M305" s="331"/>
      <c r="N305" s="331"/>
      <c r="O305" s="331"/>
      <c r="P305" s="331"/>
      <c r="Q305" s="331"/>
      <c r="R305" s="444"/>
      <c r="S305" s="331"/>
      <c r="T305" s="331"/>
      <c r="U305" s="314"/>
      <c r="V305" s="320">
        <v>9</v>
      </c>
      <c r="W305" s="447">
        <f t="shared" si="28"/>
        <v>0</v>
      </c>
      <c r="X305" s="447">
        <f t="shared" si="29"/>
        <v>0</v>
      </c>
      <c r="Y305" s="447">
        <f t="shared" si="30"/>
        <v>0</v>
      </c>
      <c r="Z305" s="447">
        <f t="shared" si="31"/>
        <v>0</v>
      </c>
      <c r="AA305" s="447">
        <f t="shared" si="32"/>
        <v>0</v>
      </c>
      <c r="AB305" s="447" t="e">
        <f t="shared" si="33"/>
        <v>#DIV/0!</v>
      </c>
      <c r="AC305" s="448" t="e">
        <f t="shared" si="34"/>
        <v>#DIV/0!</v>
      </c>
      <c r="AD305" s="11"/>
      <c r="AE305" s="349" t="str">
        <f>AF305&amp;TM[[#This Row],[Insurer Code]]&amp;"; "&amp;AG305&amp;TM[[#This Row],[Reporting Year]]&amp;"; "&amp;AH305&amp;TM[[#This Row],[Insurance Category Code]]&amp;"; "&amp;AI305&amp;TM[[#This Row],[Large Provider Entity Code]]</f>
        <v xml:space="preserve">Insurer Code ; Reporting Year ; Insurance Category Code ; Large Provider Entity Code </v>
      </c>
      <c r="AF305" s="345" t="s">
        <v>207</v>
      </c>
      <c r="AG305" s="345" t="s">
        <v>208</v>
      </c>
      <c r="AH305" s="345" t="s">
        <v>209</v>
      </c>
      <c r="AI305" s="345" t="s">
        <v>210</v>
      </c>
      <c r="AJ305" s="345"/>
      <c r="AK305" s="345"/>
      <c r="AL305" s="345"/>
      <c r="AM305" s="11"/>
      <c r="AN305" s="11"/>
      <c r="AO305" s="11"/>
    </row>
    <row r="306" spans="1:41" x14ac:dyDescent="0.25">
      <c r="A306" s="311"/>
      <c r="B306" s="329"/>
      <c r="C306" s="329"/>
      <c r="D306" s="312"/>
      <c r="E306" s="330"/>
      <c r="F306" s="444"/>
      <c r="G306" s="331"/>
      <c r="H306" s="331"/>
      <c r="I306" s="331"/>
      <c r="J306" s="331"/>
      <c r="K306" s="331"/>
      <c r="L306" s="331"/>
      <c r="M306" s="331"/>
      <c r="N306" s="331"/>
      <c r="O306" s="331"/>
      <c r="P306" s="331"/>
      <c r="Q306" s="331"/>
      <c r="R306" s="444"/>
      <c r="S306" s="331"/>
      <c r="T306" s="331"/>
      <c r="U306" s="314"/>
      <c r="V306" s="320">
        <v>5</v>
      </c>
      <c r="W306" s="451">
        <f t="shared" si="28"/>
        <v>0</v>
      </c>
      <c r="X306" s="451">
        <f t="shared" si="29"/>
        <v>0</v>
      </c>
      <c r="Y306" s="451">
        <f t="shared" si="30"/>
        <v>0</v>
      </c>
      <c r="Z306" s="451">
        <f t="shared" si="31"/>
        <v>0</v>
      </c>
      <c r="AA306" s="451">
        <f t="shared" si="32"/>
        <v>0</v>
      </c>
      <c r="AB306" s="451" t="e">
        <f t="shared" si="33"/>
        <v>#DIV/0!</v>
      </c>
      <c r="AC306" s="452" t="e">
        <f t="shared" si="34"/>
        <v>#DIV/0!</v>
      </c>
      <c r="AD306" s="11"/>
      <c r="AE306" s="349" t="str">
        <f>AF306&amp;TM[[#This Row],[Insurer Code]]&amp;"; "&amp;AG306&amp;TM[[#This Row],[Reporting Year]]&amp;"; "&amp;AH306&amp;TM[[#This Row],[Insurance Category Code]]&amp;"; "&amp;AI306&amp;TM[[#This Row],[Large Provider Entity Code]]</f>
        <v xml:space="preserve">Insurer Code ; Reporting Year ; Insurance Category Code ; Large Provider Entity Code </v>
      </c>
      <c r="AF306" s="345" t="s">
        <v>207</v>
      </c>
      <c r="AG306" s="345" t="s">
        <v>208</v>
      </c>
      <c r="AH306" s="345" t="s">
        <v>209</v>
      </c>
      <c r="AI306" s="345" t="s">
        <v>210</v>
      </c>
      <c r="AJ306" s="345"/>
      <c r="AK306" s="345"/>
      <c r="AL306" s="345"/>
      <c r="AM306" s="11"/>
      <c r="AN306" s="11"/>
      <c r="AO306" s="11"/>
    </row>
    <row r="307" spans="1:41" x14ac:dyDescent="0.25">
      <c r="A307" s="311"/>
      <c r="B307" s="329"/>
      <c r="C307" s="329"/>
      <c r="D307" s="312"/>
      <c r="E307" s="330"/>
      <c r="F307" s="444"/>
      <c r="G307" s="331"/>
      <c r="H307" s="331"/>
      <c r="I307" s="331"/>
      <c r="J307" s="331"/>
      <c r="K307" s="331"/>
      <c r="L307" s="331"/>
      <c r="M307" s="331"/>
      <c r="N307" s="331"/>
      <c r="O307" s="331"/>
      <c r="P307" s="331"/>
      <c r="Q307" s="331"/>
      <c r="R307" s="444"/>
      <c r="S307" s="331"/>
      <c r="T307" s="331"/>
      <c r="U307" s="314"/>
      <c r="V307" s="320">
        <v>0</v>
      </c>
      <c r="W307" s="451">
        <f t="shared" si="28"/>
        <v>0</v>
      </c>
      <c r="X307" s="451">
        <f t="shared" si="29"/>
        <v>0</v>
      </c>
      <c r="Y307" s="451">
        <f t="shared" si="30"/>
        <v>0</v>
      </c>
      <c r="Z307" s="451">
        <f t="shared" si="31"/>
        <v>0</v>
      </c>
      <c r="AA307" s="451">
        <f t="shared" si="32"/>
        <v>0</v>
      </c>
      <c r="AB307" s="451" t="e">
        <f t="shared" si="33"/>
        <v>#DIV/0!</v>
      </c>
      <c r="AC307" s="452" t="e">
        <f t="shared" si="34"/>
        <v>#DIV/0!</v>
      </c>
      <c r="AD307" s="11"/>
      <c r="AE307" s="349" t="str">
        <f>AF307&amp;TM[[#This Row],[Insurer Code]]&amp;"; "&amp;AG307&amp;TM[[#This Row],[Reporting Year]]&amp;"; "&amp;AH307&amp;TM[[#This Row],[Insurance Category Code]]&amp;"; "&amp;AI307&amp;TM[[#This Row],[Large Provider Entity Code]]</f>
        <v xml:space="preserve">Insurer Code ; Reporting Year ; Insurance Category Code ; Large Provider Entity Code </v>
      </c>
      <c r="AF307" s="345" t="s">
        <v>207</v>
      </c>
      <c r="AG307" s="345" t="s">
        <v>208</v>
      </c>
      <c r="AH307" s="345" t="s">
        <v>209</v>
      </c>
      <c r="AI307" s="345" t="s">
        <v>210</v>
      </c>
      <c r="AJ307" s="345"/>
      <c r="AK307" s="345"/>
      <c r="AL307" s="345"/>
      <c r="AM307" s="11"/>
      <c r="AN307" s="11"/>
      <c r="AO307" s="11"/>
    </row>
    <row r="308" spans="1:41" x14ac:dyDescent="0.25">
      <c r="A308" s="311"/>
      <c r="B308" s="329"/>
      <c r="C308" s="329"/>
      <c r="D308" s="312"/>
      <c r="E308" s="330"/>
      <c r="F308" s="444"/>
      <c r="G308" s="331"/>
      <c r="H308" s="331"/>
      <c r="I308" s="331"/>
      <c r="J308" s="331"/>
      <c r="K308" s="331"/>
      <c r="L308" s="331"/>
      <c r="M308" s="331"/>
      <c r="N308" s="331"/>
      <c r="O308" s="331"/>
      <c r="P308" s="331"/>
      <c r="Q308" s="331"/>
      <c r="R308" s="444"/>
      <c r="S308" s="331"/>
      <c r="T308" s="331"/>
      <c r="U308" s="314"/>
      <c r="V308" s="320">
        <v>0</v>
      </c>
      <c r="W308" s="451">
        <f t="shared" si="28"/>
        <v>0</v>
      </c>
      <c r="X308" s="451">
        <f t="shared" si="29"/>
        <v>0</v>
      </c>
      <c r="Y308" s="451">
        <f t="shared" si="30"/>
        <v>0</v>
      </c>
      <c r="Z308" s="451">
        <f t="shared" si="31"/>
        <v>0</v>
      </c>
      <c r="AA308" s="451">
        <f t="shared" si="32"/>
        <v>0</v>
      </c>
      <c r="AB308" s="451" t="e">
        <f t="shared" si="33"/>
        <v>#DIV/0!</v>
      </c>
      <c r="AC308" s="452" t="e">
        <f t="shared" si="34"/>
        <v>#DIV/0!</v>
      </c>
      <c r="AD308" s="11"/>
      <c r="AE308" s="349" t="str">
        <f>AF308&amp;TM[[#This Row],[Insurer Code]]&amp;"; "&amp;AG308&amp;TM[[#This Row],[Reporting Year]]&amp;"; "&amp;AH308&amp;TM[[#This Row],[Insurance Category Code]]&amp;"; "&amp;AI308&amp;TM[[#This Row],[Large Provider Entity Code]]</f>
        <v xml:space="preserve">Insurer Code ; Reporting Year ; Insurance Category Code ; Large Provider Entity Code </v>
      </c>
      <c r="AF308" s="345" t="s">
        <v>207</v>
      </c>
      <c r="AG308" s="345" t="s">
        <v>208</v>
      </c>
      <c r="AH308" s="345" t="s">
        <v>209</v>
      </c>
      <c r="AI308" s="345" t="s">
        <v>210</v>
      </c>
      <c r="AJ308" s="345"/>
      <c r="AK308" s="345"/>
      <c r="AL308" s="345"/>
      <c r="AM308" s="11"/>
      <c r="AN308" s="11"/>
      <c r="AO308" s="11"/>
    </row>
    <row r="309" spans="1:41" x14ac:dyDescent="0.25">
      <c r="A309" s="311"/>
      <c r="B309" s="329"/>
      <c r="C309" s="329"/>
      <c r="D309" s="312"/>
      <c r="E309" s="330"/>
      <c r="F309" s="444"/>
      <c r="G309" s="331"/>
      <c r="H309" s="331"/>
      <c r="I309" s="331"/>
      <c r="J309" s="331"/>
      <c r="K309" s="331"/>
      <c r="L309" s="331"/>
      <c r="M309" s="331"/>
      <c r="N309" s="331"/>
      <c r="O309" s="331"/>
      <c r="P309" s="331"/>
      <c r="Q309" s="331"/>
      <c r="R309" s="444"/>
      <c r="S309" s="331"/>
      <c r="T309" s="331"/>
      <c r="U309" s="314"/>
      <c r="V309" s="320">
        <v>7</v>
      </c>
      <c r="W309" s="451">
        <f t="shared" si="28"/>
        <v>0</v>
      </c>
      <c r="X309" s="451">
        <f t="shared" si="29"/>
        <v>0</v>
      </c>
      <c r="Y309" s="451">
        <f t="shared" si="30"/>
        <v>0</v>
      </c>
      <c r="Z309" s="451">
        <f t="shared" si="31"/>
        <v>0</v>
      </c>
      <c r="AA309" s="451">
        <f t="shared" si="32"/>
        <v>0</v>
      </c>
      <c r="AB309" s="451" t="e">
        <f t="shared" si="33"/>
        <v>#DIV/0!</v>
      </c>
      <c r="AC309" s="452" t="e">
        <f t="shared" si="34"/>
        <v>#DIV/0!</v>
      </c>
      <c r="AD309" s="11"/>
      <c r="AE309" s="349" t="str">
        <f>AF309&amp;TM[[#This Row],[Insurer Code]]&amp;"; "&amp;AG309&amp;TM[[#This Row],[Reporting Year]]&amp;"; "&amp;AH309&amp;TM[[#This Row],[Insurance Category Code]]&amp;"; "&amp;AI309&amp;TM[[#This Row],[Large Provider Entity Code]]</f>
        <v xml:space="preserve">Insurer Code ; Reporting Year ; Insurance Category Code ; Large Provider Entity Code </v>
      </c>
      <c r="AF309" s="345" t="s">
        <v>207</v>
      </c>
      <c r="AG309" s="345" t="s">
        <v>208</v>
      </c>
      <c r="AH309" s="345" t="s">
        <v>209</v>
      </c>
      <c r="AI309" s="345" t="s">
        <v>210</v>
      </c>
      <c r="AJ309" s="345"/>
      <c r="AK309" s="345"/>
      <c r="AL309" s="345"/>
      <c r="AM309" s="11"/>
      <c r="AN309" s="11"/>
      <c r="AO309" s="11"/>
    </row>
    <row r="310" spans="1:41" x14ac:dyDescent="0.25">
      <c r="A310" s="311"/>
      <c r="B310" s="329"/>
      <c r="C310" s="329"/>
      <c r="D310" s="312"/>
      <c r="E310" s="330"/>
      <c r="F310" s="444"/>
      <c r="G310" s="331"/>
      <c r="H310" s="331"/>
      <c r="I310" s="331"/>
      <c r="J310" s="331"/>
      <c r="K310" s="331"/>
      <c r="L310" s="331"/>
      <c r="M310" s="331"/>
      <c r="N310" s="331"/>
      <c r="O310" s="331"/>
      <c r="P310" s="331"/>
      <c r="Q310" s="331"/>
      <c r="R310" s="444"/>
      <c r="S310" s="331"/>
      <c r="T310" s="331"/>
      <c r="U310" s="314"/>
      <c r="V310" s="320">
        <v>0</v>
      </c>
      <c r="W310" s="451">
        <f t="shared" si="28"/>
        <v>0</v>
      </c>
      <c r="X310" s="451">
        <f t="shared" si="29"/>
        <v>0</v>
      </c>
      <c r="Y310" s="451">
        <f t="shared" si="30"/>
        <v>0</v>
      </c>
      <c r="Z310" s="451">
        <f t="shared" si="31"/>
        <v>0</v>
      </c>
      <c r="AA310" s="451">
        <f t="shared" si="32"/>
        <v>0</v>
      </c>
      <c r="AB310" s="451" t="e">
        <f t="shared" si="33"/>
        <v>#DIV/0!</v>
      </c>
      <c r="AC310" s="452" t="e">
        <f t="shared" si="34"/>
        <v>#DIV/0!</v>
      </c>
      <c r="AD310" s="11"/>
      <c r="AE310" s="349" t="str">
        <f>AF310&amp;TM[[#This Row],[Insurer Code]]&amp;"; "&amp;AG310&amp;TM[[#This Row],[Reporting Year]]&amp;"; "&amp;AH310&amp;TM[[#This Row],[Insurance Category Code]]&amp;"; "&amp;AI310&amp;TM[[#This Row],[Large Provider Entity Code]]</f>
        <v xml:space="preserve">Insurer Code ; Reporting Year ; Insurance Category Code ; Large Provider Entity Code </v>
      </c>
      <c r="AF310" s="345" t="s">
        <v>207</v>
      </c>
      <c r="AG310" s="345" t="s">
        <v>208</v>
      </c>
      <c r="AH310" s="345" t="s">
        <v>209</v>
      </c>
      <c r="AI310" s="345" t="s">
        <v>210</v>
      </c>
      <c r="AJ310" s="345"/>
      <c r="AK310" s="345"/>
      <c r="AL310" s="345"/>
      <c r="AM310" s="11"/>
      <c r="AN310" s="11"/>
      <c r="AO310" s="11"/>
    </row>
    <row r="311" spans="1:41" x14ac:dyDescent="0.25">
      <c r="A311" s="311"/>
      <c r="B311" s="329"/>
      <c r="C311" s="329"/>
      <c r="D311" s="329"/>
      <c r="E311" s="341"/>
      <c r="F311" s="331"/>
      <c r="G311" s="331"/>
      <c r="H311" s="331"/>
      <c r="I311" s="331"/>
      <c r="J311" s="331"/>
      <c r="K311" s="331"/>
      <c r="L311" s="331"/>
      <c r="M311" s="331"/>
      <c r="N311" s="331"/>
      <c r="O311" s="331"/>
      <c r="P311" s="331"/>
      <c r="Q311" s="331"/>
      <c r="R311" s="444"/>
      <c r="S311" s="331"/>
      <c r="T311" s="331"/>
      <c r="U311" s="314"/>
      <c r="V311" s="320">
        <v>5</v>
      </c>
      <c r="W311" s="447">
        <f t="shared" si="28"/>
        <v>0</v>
      </c>
      <c r="X311" s="447">
        <f t="shared" si="29"/>
        <v>0</v>
      </c>
      <c r="Y311" s="447">
        <f t="shared" si="30"/>
        <v>0</v>
      </c>
      <c r="Z311" s="447">
        <f t="shared" si="31"/>
        <v>0</v>
      </c>
      <c r="AA311" s="447">
        <f t="shared" si="32"/>
        <v>0</v>
      </c>
      <c r="AB311" s="447" t="e">
        <f t="shared" si="33"/>
        <v>#DIV/0!</v>
      </c>
      <c r="AC311" s="448" t="e">
        <f t="shared" si="34"/>
        <v>#DIV/0!</v>
      </c>
      <c r="AD311" s="11"/>
      <c r="AE311" s="349" t="str">
        <f>AF311&amp;TM[[#This Row],[Insurer Code]]&amp;"; "&amp;AG311&amp;TM[[#This Row],[Reporting Year]]&amp;"; "&amp;AH311&amp;TM[[#This Row],[Insurance Category Code]]&amp;"; "&amp;AI311&amp;TM[[#This Row],[Large Provider Entity Code]]</f>
        <v xml:space="preserve">Insurer Code ; Reporting Year ; Insurance Category Code ; Large Provider Entity Code </v>
      </c>
      <c r="AF311" s="345" t="s">
        <v>207</v>
      </c>
      <c r="AG311" s="345" t="s">
        <v>208</v>
      </c>
      <c r="AH311" s="345" t="s">
        <v>209</v>
      </c>
      <c r="AI311" s="345" t="s">
        <v>210</v>
      </c>
      <c r="AJ311" s="345"/>
      <c r="AK311" s="345"/>
      <c r="AL311" s="345"/>
      <c r="AM311" s="11"/>
      <c r="AN311" s="11"/>
      <c r="AO311" s="11"/>
    </row>
    <row r="312" spans="1:41" x14ac:dyDescent="0.25">
      <c r="A312" s="311"/>
      <c r="B312" s="329"/>
      <c r="C312" s="329"/>
      <c r="D312" s="329"/>
      <c r="E312" s="341"/>
      <c r="F312" s="331"/>
      <c r="G312" s="331"/>
      <c r="H312" s="331"/>
      <c r="I312" s="331"/>
      <c r="J312" s="331"/>
      <c r="K312" s="331"/>
      <c r="L312" s="331"/>
      <c r="M312" s="331"/>
      <c r="N312" s="331"/>
      <c r="O312" s="331"/>
      <c r="P312" s="331"/>
      <c r="Q312" s="331"/>
      <c r="R312" s="444"/>
      <c r="S312" s="331"/>
      <c r="T312" s="331"/>
      <c r="U312" s="314"/>
      <c r="V312" s="320">
        <v>0</v>
      </c>
      <c r="W312" s="447">
        <f t="shared" si="28"/>
        <v>0</v>
      </c>
      <c r="X312" s="447">
        <f t="shared" si="29"/>
        <v>0</v>
      </c>
      <c r="Y312" s="447">
        <f t="shared" si="30"/>
        <v>0</v>
      </c>
      <c r="Z312" s="447">
        <f t="shared" si="31"/>
        <v>0</v>
      </c>
      <c r="AA312" s="447">
        <f t="shared" si="32"/>
        <v>0</v>
      </c>
      <c r="AB312" s="447" t="e">
        <f t="shared" si="33"/>
        <v>#DIV/0!</v>
      </c>
      <c r="AC312" s="448" t="e">
        <f t="shared" si="34"/>
        <v>#DIV/0!</v>
      </c>
      <c r="AD312" s="11"/>
      <c r="AE312" s="349" t="str">
        <f>AF312&amp;TM[[#This Row],[Insurer Code]]&amp;"; "&amp;AG312&amp;TM[[#This Row],[Reporting Year]]&amp;"; "&amp;AH312&amp;TM[[#This Row],[Insurance Category Code]]&amp;"; "&amp;AI312&amp;TM[[#This Row],[Large Provider Entity Code]]</f>
        <v xml:space="preserve">Insurer Code ; Reporting Year ; Insurance Category Code ; Large Provider Entity Code </v>
      </c>
      <c r="AF312" s="345" t="s">
        <v>207</v>
      </c>
      <c r="AG312" s="345" t="s">
        <v>208</v>
      </c>
      <c r="AH312" s="345" t="s">
        <v>209</v>
      </c>
      <c r="AI312" s="345" t="s">
        <v>210</v>
      </c>
      <c r="AJ312" s="345"/>
      <c r="AK312" s="345"/>
      <c r="AL312" s="345"/>
      <c r="AM312" s="11"/>
      <c r="AN312" s="11"/>
      <c r="AO312" s="11"/>
    </row>
    <row r="313" spans="1:41" x14ac:dyDescent="0.25">
      <c r="A313" s="311"/>
      <c r="B313" s="469"/>
      <c r="C313" s="469"/>
      <c r="D313" s="469"/>
      <c r="E313" s="471"/>
      <c r="F313" s="473"/>
      <c r="G313" s="473"/>
      <c r="H313" s="473"/>
      <c r="I313" s="473"/>
      <c r="J313" s="473"/>
      <c r="K313" s="473"/>
      <c r="L313" s="473"/>
      <c r="M313" s="473"/>
      <c r="N313" s="473"/>
      <c r="O313" s="473"/>
      <c r="P313" s="473"/>
      <c r="Q313" s="473"/>
      <c r="R313" s="474"/>
      <c r="S313" s="473"/>
      <c r="T313" s="473"/>
      <c r="U313" s="314"/>
      <c r="V313" s="475">
        <v>45</v>
      </c>
      <c r="W313" s="447">
        <f t="shared" si="28"/>
        <v>0</v>
      </c>
      <c r="X313" s="447">
        <f t="shared" si="29"/>
        <v>0</v>
      </c>
      <c r="Y313" s="447">
        <f t="shared" si="30"/>
        <v>0</v>
      </c>
      <c r="Z313" s="447">
        <f t="shared" si="31"/>
        <v>0</v>
      </c>
      <c r="AA313" s="447">
        <f t="shared" si="32"/>
        <v>0</v>
      </c>
      <c r="AB313" s="447" t="e">
        <f t="shared" si="33"/>
        <v>#DIV/0!</v>
      </c>
      <c r="AC313" s="448" t="e">
        <f t="shared" si="34"/>
        <v>#DIV/0!</v>
      </c>
      <c r="AD313" s="11"/>
      <c r="AE313" s="349" t="str">
        <f>AF313&amp;TM[[#This Row],[Insurer Code]]&amp;"; "&amp;AG313&amp;TM[[#This Row],[Reporting Year]]&amp;"; "&amp;AH313&amp;TM[[#This Row],[Insurance Category Code]]&amp;"; "&amp;AI313&amp;TM[[#This Row],[Large Provider Entity Code]]</f>
        <v xml:space="preserve">Insurer Code ; Reporting Year ; Insurance Category Code ; Large Provider Entity Code </v>
      </c>
      <c r="AF313" s="345" t="s">
        <v>207</v>
      </c>
      <c r="AG313" s="345" t="s">
        <v>208</v>
      </c>
      <c r="AH313" s="345" t="s">
        <v>209</v>
      </c>
      <c r="AI313" s="345" t="s">
        <v>210</v>
      </c>
      <c r="AJ313" s="345"/>
      <c r="AK313" s="345"/>
      <c r="AL313" s="345"/>
      <c r="AM313" s="11"/>
      <c r="AN313" s="11"/>
      <c r="AO313" s="11"/>
    </row>
    <row r="314" spans="1:41" x14ac:dyDescent="0.25">
      <c r="A314" s="311"/>
      <c r="B314" s="469"/>
      <c r="C314" s="469"/>
      <c r="D314" s="469"/>
      <c r="E314" s="471"/>
      <c r="F314" s="473"/>
      <c r="G314" s="473"/>
      <c r="H314" s="473"/>
      <c r="I314" s="473"/>
      <c r="J314" s="473"/>
      <c r="K314" s="473"/>
      <c r="L314" s="473"/>
      <c r="M314" s="473"/>
      <c r="N314" s="473"/>
      <c r="O314" s="473"/>
      <c r="P314" s="473"/>
      <c r="Q314" s="473"/>
      <c r="R314" s="474"/>
      <c r="S314" s="473"/>
      <c r="T314" s="473"/>
      <c r="U314" s="314"/>
      <c r="V314" s="475">
        <v>21</v>
      </c>
      <c r="W314" s="447">
        <f t="shared" si="28"/>
        <v>0</v>
      </c>
      <c r="X314" s="447">
        <f t="shared" si="29"/>
        <v>0</v>
      </c>
      <c r="Y314" s="447">
        <f t="shared" si="30"/>
        <v>0</v>
      </c>
      <c r="Z314" s="447">
        <f t="shared" si="31"/>
        <v>0</v>
      </c>
      <c r="AA314" s="447">
        <f t="shared" si="32"/>
        <v>0</v>
      </c>
      <c r="AB314" s="447" t="e">
        <f t="shared" si="33"/>
        <v>#DIV/0!</v>
      </c>
      <c r="AC314" s="448" t="e">
        <f t="shared" si="34"/>
        <v>#DIV/0!</v>
      </c>
      <c r="AD314" s="11"/>
      <c r="AE314" s="349" t="str">
        <f>AF314&amp;TM[[#This Row],[Insurer Code]]&amp;"; "&amp;AG314&amp;TM[[#This Row],[Reporting Year]]&amp;"; "&amp;AH314&amp;TM[[#This Row],[Insurance Category Code]]&amp;"; "&amp;AI314&amp;TM[[#This Row],[Large Provider Entity Code]]</f>
        <v xml:space="preserve">Insurer Code ; Reporting Year ; Insurance Category Code ; Large Provider Entity Code </v>
      </c>
      <c r="AF314" s="345" t="s">
        <v>207</v>
      </c>
      <c r="AG314" s="345" t="s">
        <v>208</v>
      </c>
      <c r="AH314" s="345" t="s">
        <v>209</v>
      </c>
      <c r="AI314" s="345" t="s">
        <v>210</v>
      </c>
      <c r="AJ314" s="345"/>
      <c r="AK314" s="345"/>
      <c r="AL314" s="345"/>
      <c r="AM314" s="11"/>
      <c r="AN314" s="11"/>
      <c r="AO314" s="11"/>
    </row>
    <row r="315" spans="1:41" x14ac:dyDescent="0.25">
      <c r="A315" s="311"/>
      <c r="B315" s="329"/>
      <c r="C315" s="329"/>
      <c r="D315" s="329"/>
      <c r="E315" s="341"/>
      <c r="F315" s="331"/>
      <c r="G315" s="331"/>
      <c r="H315" s="331"/>
      <c r="I315" s="331"/>
      <c r="J315" s="331"/>
      <c r="K315" s="331"/>
      <c r="L315" s="331"/>
      <c r="M315" s="331"/>
      <c r="N315" s="331"/>
      <c r="O315" s="331"/>
      <c r="P315" s="331"/>
      <c r="Q315" s="331"/>
      <c r="R315" s="444"/>
      <c r="S315" s="331"/>
      <c r="T315" s="331"/>
      <c r="U315" s="314"/>
      <c r="V315" s="320">
        <v>0</v>
      </c>
      <c r="W315" s="447">
        <f t="shared" si="28"/>
        <v>0</v>
      </c>
      <c r="X315" s="447">
        <f t="shared" si="29"/>
        <v>0</v>
      </c>
      <c r="Y315" s="447">
        <f t="shared" si="30"/>
        <v>0</v>
      </c>
      <c r="Z315" s="447">
        <f t="shared" si="31"/>
        <v>0</v>
      </c>
      <c r="AA315" s="447">
        <f t="shared" si="32"/>
        <v>0</v>
      </c>
      <c r="AB315" s="447" t="e">
        <f t="shared" si="33"/>
        <v>#DIV/0!</v>
      </c>
      <c r="AC315" s="448" t="e">
        <f t="shared" si="34"/>
        <v>#DIV/0!</v>
      </c>
      <c r="AD315" s="11"/>
      <c r="AE315" s="349" t="str">
        <f>AF315&amp;TM[[#This Row],[Insurer Code]]&amp;"; "&amp;AG315&amp;TM[[#This Row],[Reporting Year]]&amp;"; "&amp;AH315&amp;TM[[#This Row],[Insurance Category Code]]&amp;"; "&amp;AI315&amp;TM[[#This Row],[Large Provider Entity Code]]</f>
        <v xml:space="preserve">Insurer Code ; Reporting Year ; Insurance Category Code ; Large Provider Entity Code </v>
      </c>
      <c r="AF315" s="345" t="s">
        <v>207</v>
      </c>
      <c r="AG315" s="345" t="s">
        <v>208</v>
      </c>
      <c r="AH315" s="345" t="s">
        <v>209</v>
      </c>
      <c r="AI315" s="345" t="s">
        <v>210</v>
      </c>
      <c r="AJ315" s="345"/>
      <c r="AK315" s="345"/>
      <c r="AL315" s="345"/>
      <c r="AM315" s="11"/>
      <c r="AN315" s="11"/>
      <c r="AO315" s="11"/>
    </row>
    <row r="316" spans="1:41" x14ac:dyDescent="0.25">
      <c r="A316" s="311"/>
      <c r="B316" s="469"/>
      <c r="C316" s="469"/>
      <c r="D316" s="469"/>
      <c r="E316" s="471"/>
      <c r="F316" s="473"/>
      <c r="G316" s="473"/>
      <c r="H316" s="473"/>
      <c r="I316" s="473"/>
      <c r="J316" s="473"/>
      <c r="K316" s="473"/>
      <c r="L316" s="473"/>
      <c r="M316" s="473"/>
      <c r="N316" s="473"/>
      <c r="O316" s="473"/>
      <c r="P316" s="473"/>
      <c r="Q316" s="473"/>
      <c r="R316" s="474"/>
      <c r="S316" s="473"/>
      <c r="T316" s="473"/>
      <c r="U316" s="314"/>
      <c r="V316" s="475">
        <v>0</v>
      </c>
      <c r="W316" s="447">
        <f t="shared" si="28"/>
        <v>0</v>
      </c>
      <c r="X316" s="447">
        <f t="shared" si="29"/>
        <v>0</v>
      </c>
      <c r="Y316" s="447">
        <f t="shared" si="30"/>
        <v>0</v>
      </c>
      <c r="Z316" s="447">
        <f t="shared" si="31"/>
        <v>0</v>
      </c>
      <c r="AA316" s="447">
        <f t="shared" si="32"/>
        <v>0</v>
      </c>
      <c r="AB316" s="447" t="e">
        <f t="shared" si="33"/>
        <v>#DIV/0!</v>
      </c>
      <c r="AC316" s="448" t="e">
        <f t="shared" si="34"/>
        <v>#DIV/0!</v>
      </c>
      <c r="AD316" s="11"/>
      <c r="AE316" s="349" t="str">
        <f>AF316&amp;TM[[#This Row],[Insurer Code]]&amp;"; "&amp;AG316&amp;TM[[#This Row],[Reporting Year]]&amp;"; "&amp;AH316&amp;TM[[#This Row],[Insurance Category Code]]&amp;"; "&amp;AI316&amp;TM[[#This Row],[Large Provider Entity Code]]</f>
        <v xml:space="preserve">Insurer Code ; Reporting Year ; Insurance Category Code ; Large Provider Entity Code </v>
      </c>
      <c r="AF316" s="345" t="s">
        <v>207</v>
      </c>
      <c r="AG316" s="345" t="s">
        <v>208</v>
      </c>
      <c r="AH316" s="345" t="s">
        <v>209</v>
      </c>
      <c r="AI316" s="345" t="s">
        <v>210</v>
      </c>
      <c r="AJ316" s="345"/>
      <c r="AK316" s="345"/>
      <c r="AL316" s="345"/>
      <c r="AM316" s="11"/>
      <c r="AN316" s="11"/>
      <c r="AO316" s="11"/>
    </row>
    <row r="317" spans="1:41" x14ac:dyDescent="0.25">
      <c r="A317" s="311"/>
      <c r="B317" s="469"/>
      <c r="C317" s="469"/>
      <c r="D317" s="469"/>
      <c r="E317" s="472"/>
      <c r="F317" s="473"/>
      <c r="G317" s="473"/>
      <c r="H317" s="473"/>
      <c r="I317" s="473"/>
      <c r="J317" s="473"/>
      <c r="K317" s="473"/>
      <c r="L317" s="473"/>
      <c r="M317" s="473"/>
      <c r="N317" s="473"/>
      <c r="O317" s="473"/>
      <c r="P317" s="473"/>
      <c r="Q317" s="473"/>
      <c r="R317" s="474"/>
      <c r="S317" s="473"/>
      <c r="T317" s="473"/>
      <c r="U317" s="314"/>
      <c r="V317" s="475">
        <v>35</v>
      </c>
      <c r="W317" s="447">
        <f t="shared" si="28"/>
        <v>0</v>
      </c>
      <c r="X317" s="447">
        <f t="shared" si="29"/>
        <v>0</v>
      </c>
      <c r="Y317" s="447">
        <f t="shared" si="30"/>
        <v>0</v>
      </c>
      <c r="Z317" s="447">
        <f t="shared" si="31"/>
        <v>0</v>
      </c>
      <c r="AA317" s="447">
        <f t="shared" si="32"/>
        <v>0</v>
      </c>
      <c r="AB317" s="447" t="e">
        <f t="shared" si="33"/>
        <v>#DIV/0!</v>
      </c>
      <c r="AC317" s="448" t="e">
        <f t="shared" si="34"/>
        <v>#DIV/0!</v>
      </c>
      <c r="AD317" s="11"/>
      <c r="AE317" s="349" t="str">
        <f>AF317&amp;TM[[#This Row],[Insurer Code]]&amp;"; "&amp;AG317&amp;TM[[#This Row],[Reporting Year]]&amp;"; "&amp;AH317&amp;TM[[#This Row],[Insurance Category Code]]&amp;"; "&amp;AI317&amp;TM[[#This Row],[Large Provider Entity Code]]</f>
        <v xml:space="preserve">Insurer Code ; Reporting Year ; Insurance Category Code ; Large Provider Entity Code </v>
      </c>
      <c r="AF317" s="345" t="s">
        <v>207</v>
      </c>
      <c r="AG317" s="345" t="s">
        <v>208</v>
      </c>
      <c r="AH317" s="345" t="s">
        <v>209</v>
      </c>
      <c r="AI317" s="345" t="s">
        <v>210</v>
      </c>
      <c r="AJ317" s="345"/>
      <c r="AK317" s="345"/>
      <c r="AL317" s="345"/>
      <c r="AM317" s="11"/>
      <c r="AN317" s="11"/>
      <c r="AO317" s="11"/>
    </row>
    <row r="318" spans="1:41" x14ac:dyDescent="0.25">
      <c r="A318" s="311"/>
      <c r="B318" s="469"/>
      <c r="C318" s="469"/>
      <c r="D318" s="469"/>
      <c r="E318" s="472"/>
      <c r="F318" s="473"/>
      <c r="G318" s="473"/>
      <c r="H318" s="473"/>
      <c r="I318" s="473"/>
      <c r="J318" s="473"/>
      <c r="K318" s="473"/>
      <c r="L318" s="473"/>
      <c r="M318" s="473"/>
      <c r="N318" s="473"/>
      <c r="O318" s="473"/>
      <c r="P318" s="473"/>
      <c r="Q318" s="473"/>
      <c r="R318" s="474"/>
      <c r="S318" s="473"/>
      <c r="T318" s="473"/>
      <c r="U318" s="314"/>
      <c r="V318" s="475">
        <v>7</v>
      </c>
      <c r="W318" s="447">
        <f t="shared" si="28"/>
        <v>0</v>
      </c>
      <c r="X318" s="447">
        <f t="shared" si="29"/>
        <v>0</v>
      </c>
      <c r="Y318" s="447">
        <f t="shared" si="30"/>
        <v>0</v>
      </c>
      <c r="Z318" s="447">
        <f t="shared" si="31"/>
        <v>0</v>
      </c>
      <c r="AA318" s="447">
        <f t="shared" si="32"/>
        <v>0</v>
      </c>
      <c r="AB318" s="447" t="e">
        <f t="shared" si="33"/>
        <v>#DIV/0!</v>
      </c>
      <c r="AC318" s="448" t="e">
        <f t="shared" si="34"/>
        <v>#DIV/0!</v>
      </c>
      <c r="AD318" s="11"/>
      <c r="AE318" s="349" t="str">
        <f>AF318&amp;TM[[#This Row],[Insurer Code]]&amp;"; "&amp;AG318&amp;TM[[#This Row],[Reporting Year]]&amp;"; "&amp;AH318&amp;TM[[#This Row],[Insurance Category Code]]&amp;"; "&amp;AI318&amp;TM[[#This Row],[Large Provider Entity Code]]</f>
        <v xml:space="preserve">Insurer Code ; Reporting Year ; Insurance Category Code ; Large Provider Entity Code </v>
      </c>
      <c r="AF318" s="345" t="s">
        <v>207</v>
      </c>
      <c r="AG318" s="345" t="s">
        <v>208</v>
      </c>
      <c r="AH318" s="345" t="s">
        <v>209</v>
      </c>
      <c r="AI318" s="345" t="s">
        <v>210</v>
      </c>
      <c r="AJ318" s="345"/>
      <c r="AK318" s="345"/>
      <c r="AL318" s="345"/>
      <c r="AM318" s="11"/>
      <c r="AN318" s="11"/>
      <c r="AO318" s="11"/>
    </row>
    <row r="319" spans="1:41" x14ac:dyDescent="0.25">
      <c r="A319" s="311"/>
      <c r="B319" s="329"/>
      <c r="C319" s="329"/>
      <c r="D319" s="329"/>
      <c r="E319" s="341"/>
      <c r="F319" s="331"/>
      <c r="G319" s="331"/>
      <c r="H319" s="331"/>
      <c r="I319" s="331"/>
      <c r="J319" s="331"/>
      <c r="K319" s="331"/>
      <c r="L319" s="331"/>
      <c r="M319" s="331"/>
      <c r="N319" s="331"/>
      <c r="O319" s="331"/>
      <c r="P319" s="331"/>
      <c r="Q319" s="331"/>
      <c r="R319" s="444"/>
      <c r="S319" s="331"/>
      <c r="T319" s="331"/>
      <c r="U319" s="314"/>
      <c r="V319" s="320">
        <v>1</v>
      </c>
      <c r="W319" s="447">
        <f t="shared" si="28"/>
        <v>0</v>
      </c>
      <c r="X319" s="447">
        <f t="shared" si="29"/>
        <v>0</v>
      </c>
      <c r="Y319" s="447">
        <f t="shared" si="30"/>
        <v>0</v>
      </c>
      <c r="Z319" s="447">
        <f t="shared" si="31"/>
        <v>0</v>
      </c>
      <c r="AA319" s="447">
        <f t="shared" si="32"/>
        <v>0</v>
      </c>
      <c r="AB319" s="447" t="e">
        <f t="shared" si="33"/>
        <v>#DIV/0!</v>
      </c>
      <c r="AC319" s="448" t="e">
        <f t="shared" si="34"/>
        <v>#DIV/0!</v>
      </c>
      <c r="AD319" s="11"/>
      <c r="AE319" s="349" t="str">
        <f>AF319&amp;TM[[#This Row],[Insurer Code]]&amp;"; "&amp;AG319&amp;TM[[#This Row],[Reporting Year]]&amp;"; "&amp;AH319&amp;TM[[#This Row],[Insurance Category Code]]&amp;"; "&amp;AI319&amp;TM[[#This Row],[Large Provider Entity Code]]</f>
        <v xml:space="preserve">Insurer Code ; Reporting Year ; Insurance Category Code ; Large Provider Entity Code </v>
      </c>
      <c r="AF319" s="345" t="s">
        <v>207</v>
      </c>
      <c r="AG319" s="345" t="s">
        <v>208</v>
      </c>
      <c r="AH319" s="345" t="s">
        <v>209</v>
      </c>
      <c r="AI319" s="345" t="s">
        <v>210</v>
      </c>
      <c r="AJ319" s="345"/>
      <c r="AK319" s="345"/>
      <c r="AL319" s="345"/>
      <c r="AM319" s="11"/>
      <c r="AN319" s="11"/>
      <c r="AO319" s="11"/>
    </row>
    <row r="320" spans="1:41" x14ac:dyDescent="0.25">
      <c r="A320" s="311"/>
      <c r="B320" s="469"/>
      <c r="C320" s="469"/>
      <c r="D320" s="469"/>
      <c r="E320" s="472"/>
      <c r="F320" s="473"/>
      <c r="G320" s="473"/>
      <c r="H320" s="473"/>
      <c r="I320" s="473"/>
      <c r="J320" s="473"/>
      <c r="K320" s="473"/>
      <c r="L320" s="473"/>
      <c r="M320" s="473"/>
      <c r="N320" s="473"/>
      <c r="O320" s="473"/>
      <c r="P320" s="473"/>
      <c r="Q320" s="473"/>
      <c r="R320" s="474"/>
      <c r="S320" s="473"/>
      <c r="T320" s="473"/>
      <c r="U320" s="314"/>
      <c r="V320" s="475">
        <v>44</v>
      </c>
      <c r="W320" s="447">
        <f t="shared" si="28"/>
        <v>0</v>
      </c>
      <c r="X320" s="447">
        <f t="shared" si="29"/>
        <v>0</v>
      </c>
      <c r="Y320" s="447">
        <f t="shared" si="30"/>
        <v>0</v>
      </c>
      <c r="Z320" s="447">
        <f t="shared" si="31"/>
        <v>0</v>
      </c>
      <c r="AA320" s="447">
        <f t="shared" si="32"/>
        <v>0</v>
      </c>
      <c r="AB320" s="447" t="e">
        <f t="shared" si="33"/>
        <v>#DIV/0!</v>
      </c>
      <c r="AC320" s="448" t="e">
        <f t="shared" si="34"/>
        <v>#DIV/0!</v>
      </c>
      <c r="AD320" s="11"/>
      <c r="AE320" s="349" t="str">
        <f>AF320&amp;TM[[#This Row],[Insurer Code]]&amp;"; "&amp;AG320&amp;TM[[#This Row],[Reporting Year]]&amp;"; "&amp;AH320&amp;TM[[#This Row],[Insurance Category Code]]&amp;"; "&amp;AI320&amp;TM[[#This Row],[Large Provider Entity Code]]</f>
        <v xml:space="preserve">Insurer Code ; Reporting Year ; Insurance Category Code ; Large Provider Entity Code </v>
      </c>
      <c r="AF320" s="345" t="s">
        <v>207</v>
      </c>
      <c r="AG320" s="345" t="s">
        <v>208</v>
      </c>
      <c r="AH320" s="345" t="s">
        <v>209</v>
      </c>
      <c r="AI320" s="345" t="s">
        <v>210</v>
      </c>
      <c r="AJ320" s="345"/>
      <c r="AK320" s="345"/>
      <c r="AL320" s="345"/>
      <c r="AM320" s="11"/>
      <c r="AN320" s="11"/>
      <c r="AO320" s="11"/>
    </row>
    <row r="321" spans="1:41" x14ac:dyDescent="0.25">
      <c r="A321" s="311"/>
      <c r="B321" s="469"/>
      <c r="C321" s="469"/>
      <c r="D321" s="469"/>
      <c r="E321" s="471"/>
      <c r="F321" s="473"/>
      <c r="G321" s="473"/>
      <c r="H321" s="473"/>
      <c r="I321" s="473"/>
      <c r="J321" s="473"/>
      <c r="K321" s="473"/>
      <c r="L321" s="473"/>
      <c r="M321" s="473"/>
      <c r="N321" s="473"/>
      <c r="O321" s="473"/>
      <c r="P321" s="473"/>
      <c r="Q321" s="473"/>
      <c r="R321" s="474"/>
      <c r="S321" s="473"/>
      <c r="T321" s="473"/>
      <c r="U321" s="314"/>
      <c r="V321" s="475">
        <v>29</v>
      </c>
      <c r="W321" s="447">
        <f t="shared" si="28"/>
        <v>0</v>
      </c>
      <c r="X321" s="447">
        <f t="shared" si="29"/>
        <v>0</v>
      </c>
      <c r="Y321" s="447">
        <f t="shared" si="30"/>
        <v>0</v>
      </c>
      <c r="Z321" s="447">
        <f t="shared" si="31"/>
        <v>0</v>
      </c>
      <c r="AA321" s="447">
        <f t="shared" si="32"/>
        <v>0</v>
      </c>
      <c r="AB321" s="447" t="e">
        <f t="shared" si="33"/>
        <v>#DIV/0!</v>
      </c>
      <c r="AC321" s="448" t="e">
        <f t="shared" si="34"/>
        <v>#DIV/0!</v>
      </c>
      <c r="AD321" s="11"/>
      <c r="AE321" s="349" t="str">
        <f>AF321&amp;TM[[#This Row],[Insurer Code]]&amp;"; "&amp;AG321&amp;TM[[#This Row],[Reporting Year]]&amp;"; "&amp;AH321&amp;TM[[#This Row],[Insurance Category Code]]&amp;"; "&amp;AI321&amp;TM[[#This Row],[Large Provider Entity Code]]</f>
        <v xml:space="preserve">Insurer Code ; Reporting Year ; Insurance Category Code ; Large Provider Entity Code </v>
      </c>
      <c r="AF321" s="345" t="s">
        <v>207</v>
      </c>
      <c r="AG321" s="345" t="s">
        <v>208</v>
      </c>
      <c r="AH321" s="345" t="s">
        <v>209</v>
      </c>
      <c r="AI321" s="345" t="s">
        <v>210</v>
      </c>
      <c r="AJ321" s="345"/>
      <c r="AK321" s="345"/>
      <c r="AL321" s="345"/>
      <c r="AM321" s="11"/>
      <c r="AN321" s="11"/>
      <c r="AO321" s="11"/>
    </row>
    <row r="322" spans="1:41" x14ac:dyDescent="0.25">
      <c r="A322" s="311"/>
      <c r="B322" s="469"/>
      <c r="C322" s="469"/>
      <c r="D322" s="469"/>
      <c r="E322" s="472"/>
      <c r="F322" s="473"/>
      <c r="G322" s="473"/>
      <c r="H322" s="473"/>
      <c r="I322" s="473"/>
      <c r="J322" s="473"/>
      <c r="K322" s="473"/>
      <c r="L322" s="473"/>
      <c r="M322" s="473"/>
      <c r="N322" s="473"/>
      <c r="O322" s="473"/>
      <c r="P322" s="473"/>
      <c r="Q322" s="473"/>
      <c r="R322" s="474"/>
      <c r="S322" s="473"/>
      <c r="T322" s="473"/>
      <c r="U322" s="314"/>
      <c r="V322" s="475">
        <v>0</v>
      </c>
      <c r="W322" s="447">
        <f t="shared" si="28"/>
        <v>0</v>
      </c>
      <c r="X322" s="447">
        <f t="shared" si="29"/>
        <v>0</v>
      </c>
      <c r="Y322" s="447">
        <f t="shared" si="30"/>
        <v>0</v>
      </c>
      <c r="Z322" s="447">
        <f t="shared" si="31"/>
        <v>0</v>
      </c>
      <c r="AA322" s="447">
        <f t="shared" si="32"/>
        <v>0</v>
      </c>
      <c r="AB322" s="447" t="e">
        <f t="shared" si="33"/>
        <v>#DIV/0!</v>
      </c>
      <c r="AC322" s="448" t="e">
        <f t="shared" si="34"/>
        <v>#DIV/0!</v>
      </c>
      <c r="AD322" s="11"/>
      <c r="AE322" s="349" t="str">
        <f>AF322&amp;TM[[#This Row],[Insurer Code]]&amp;"; "&amp;AG322&amp;TM[[#This Row],[Reporting Year]]&amp;"; "&amp;AH322&amp;TM[[#This Row],[Insurance Category Code]]&amp;"; "&amp;AI322&amp;TM[[#This Row],[Large Provider Entity Code]]</f>
        <v xml:space="preserve">Insurer Code ; Reporting Year ; Insurance Category Code ; Large Provider Entity Code </v>
      </c>
      <c r="AF322" s="345" t="s">
        <v>207</v>
      </c>
      <c r="AG322" s="345" t="s">
        <v>208</v>
      </c>
      <c r="AH322" s="345" t="s">
        <v>209</v>
      </c>
      <c r="AI322" s="345" t="s">
        <v>210</v>
      </c>
      <c r="AJ322" s="345"/>
      <c r="AK322" s="345"/>
      <c r="AL322" s="345"/>
      <c r="AM322" s="11"/>
      <c r="AN322" s="11"/>
      <c r="AO322" s="11"/>
    </row>
    <row r="323" spans="1:41" x14ac:dyDescent="0.25">
      <c r="A323" s="311"/>
      <c r="B323" s="469"/>
      <c r="C323" s="469"/>
      <c r="D323" s="469"/>
      <c r="E323" s="471"/>
      <c r="F323" s="473"/>
      <c r="G323" s="473"/>
      <c r="H323" s="473"/>
      <c r="I323" s="473"/>
      <c r="J323" s="473"/>
      <c r="K323" s="473"/>
      <c r="L323" s="473"/>
      <c r="M323" s="473"/>
      <c r="N323" s="473"/>
      <c r="O323" s="473"/>
      <c r="P323" s="473"/>
      <c r="Q323" s="473"/>
      <c r="R323" s="474"/>
      <c r="S323" s="473"/>
      <c r="T323" s="473"/>
      <c r="U323" s="314"/>
      <c r="V323" s="475">
        <v>36</v>
      </c>
      <c r="W323" s="447">
        <f t="shared" si="28"/>
        <v>0</v>
      </c>
      <c r="X323" s="447">
        <f t="shared" si="29"/>
        <v>0</v>
      </c>
      <c r="Y323" s="447">
        <f t="shared" si="30"/>
        <v>0</v>
      </c>
      <c r="Z323" s="447">
        <f t="shared" si="31"/>
        <v>0</v>
      </c>
      <c r="AA323" s="447">
        <f t="shared" si="32"/>
        <v>0</v>
      </c>
      <c r="AB323" s="447" t="e">
        <f t="shared" si="33"/>
        <v>#DIV/0!</v>
      </c>
      <c r="AC323" s="448" t="e">
        <f t="shared" si="34"/>
        <v>#DIV/0!</v>
      </c>
      <c r="AD323" s="11"/>
      <c r="AE323" s="349" t="str">
        <f>AF323&amp;TM[[#This Row],[Insurer Code]]&amp;"; "&amp;AG323&amp;TM[[#This Row],[Reporting Year]]&amp;"; "&amp;AH323&amp;TM[[#This Row],[Insurance Category Code]]&amp;"; "&amp;AI323&amp;TM[[#This Row],[Large Provider Entity Code]]</f>
        <v xml:space="preserve">Insurer Code ; Reporting Year ; Insurance Category Code ; Large Provider Entity Code </v>
      </c>
      <c r="AF323" s="345" t="s">
        <v>207</v>
      </c>
      <c r="AG323" s="345" t="s">
        <v>208</v>
      </c>
      <c r="AH323" s="345" t="s">
        <v>209</v>
      </c>
      <c r="AI323" s="345" t="s">
        <v>210</v>
      </c>
      <c r="AJ323" s="345"/>
      <c r="AK323" s="345"/>
      <c r="AL323" s="345"/>
      <c r="AM323" s="11"/>
      <c r="AN323" s="11"/>
      <c r="AO323" s="11"/>
    </row>
    <row r="324" spans="1:41" x14ac:dyDescent="0.25">
      <c r="A324" s="311"/>
      <c r="B324" s="329"/>
      <c r="C324" s="329"/>
      <c r="D324" s="329"/>
      <c r="E324" s="330"/>
      <c r="F324" s="444"/>
      <c r="G324" s="331"/>
      <c r="H324" s="331"/>
      <c r="I324" s="331"/>
      <c r="J324" s="331"/>
      <c r="K324" s="331"/>
      <c r="L324" s="331"/>
      <c r="M324" s="331"/>
      <c r="N324" s="331"/>
      <c r="O324" s="331"/>
      <c r="P324" s="331"/>
      <c r="Q324" s="331"/>
      <c r="R324" s="444"/>
      <c r="S324" s="331"/>
      <c r="T324" s="331"/>
      <c r="U324" s="314"/>
      <c r="V324" s="320">
        <v>5</v>
      </c>
      <c r="W324" s="447">
        <f t="shared" si="28"/>
        <v>0</v>
      </c>
      <c r="X324" s="447">
        <f t="shared" si="29"/>
        <v>0</v>
      </c>
      <c r="Y324" s="447">
        <f t="shared" si="30"/>
        <v>0</v>
      </c>
      <c r="Z324" s="447">
        <f t="shared" si="31"/>
        <v>0</v>
      </c>
      <c r="AA324" s="447">
        <f t="shared" si="32"/>
        <v>0</v>
      </c>
      <c r="AB324" s="447" t="e">
        <f t="shared" si="33"/>
        <v>#DIV/0!</v>
      </c>
      <c r="AC324" s="448" t="e">
        <f t="shared" si="34"/>
        <v>#DIV/0!</v>
      </c>
      <c r="AD324" s="11"/>
      <c r="AE324" s="349" t="str">
        <f>AF324&amp;TM[[#This Row],[Insurer Code]]&amp;"; "&amp;AG324&amp;TM[[#This Row],[Reporting Year]]&amp;"; "&amp;AH324&amp;TM[[#This Row],[Insurance Category Code]]&amp;"; "&amp;AI324&amp;TM[[#This Row],[Large Provider Entity Code]]</f>
        <v xml:space="preserve">Insurer Code ; Reporting Year ; Insurance Category Code ; Large Provider Entity Code </v>
      </c>
      <c r="AF324" s="345" t="s">
        <v>207</v>
      </c>
      <c r="AG324" s="345" t="s">
        <v>208</v>
      </c>
      <c r="AH324" s="345" t="s">
        <v>209</v>
      </c>
      <c r="AI324" s="345" t="s">
        <v>210</v>
      </c>
      <c r="AJ324" s="345"/>
      <c r="AK324" s="345"/>
      <c r="AL324" s="345"/>
      <c r="AM324" s="11"/>
      <c r="AN324" s="11"/>
      <c r="AO324" s="11"/>
    </row>
    <row r="325" spans="1:41" x14ac:dyDescent="0.25">
      <c r="A325" s="311"/>
      <c r="B325" s="329"/>
      <c r="C325" s="329"/>
      <c r="D325" s="329"/>
      <c r="E325" s="330"/>
      <c r="F325" s="444"/>
      <c r="G325" s="331"/>
      <c r="H325" s="331"/>
      <c r="I325" s="331"/>
      <c r="J325" s="331"/>
      <c r="K325" s="331"/>
      <c r="L325" s="331"/>
      <c r="M325" s="331"/>
      <c r="N325" s="331"/>
      <c r="O325" s="331"/>
      <c r="P325" s="331"/>
      <c r="Q325" s="331"/>
      <c r="R325" s="444"/>
      <c r="S325" s="331"/>
      <c r="T325" s="331"/>
      <c r="U325" s="314"/>
      <c r="V325" s="320">
        <v>0</v>
      </c>
      <c r="W325" s="447">
        <f t="shared" si="28"/>
        <v>0</v>
      </c>
      <c r="X325" s="447">
        <f t="shared" si="29"/>
        <v>0</v>
      </c>
      <c r="Y325" s="447">
        <f t="shared" si="30"/>
        <v>0</v>
      </c>
      <c r="Z325" s="447">
        <f t="shared" si="31"/>
        <v>0</v>
      </c>
      <c r="AA325" s="447">
        <f t="shared" si="32"/>
        <v>0</v>
      </c>
      <c r="AB325" s="447" t="e">
        <f t="shared" si="33"/>
        <v>#DIV/0!</v>
      </c>
      <c r="AC325" s="448" t="e">
        <f t="shared" si="34"/>
        <v>#DIV/0!</v>
      </c>
      <c r="AD325" s="11"/>
      <c r="AE325" s="349" t="str">
        <f>AF325&amp;TM[[#This Row],[Insurer Code]]&amp;"; "&amp;AG325&amp;TM[[#This Row],[Reporting Year]]&amp;"; "&amp;AH325&amp;TM[[#This Row],[Insurance Category Code]]&amp;"; "&amp;AI325&amp;TM[[#This Row],[Large Provider Entity Code]]</f>
        <v xml:space="preserve">Insurer Code ; Reporting Year ; Insurance Category Code ; Large Provider Entity Code </v>
      </c>
      <c r="AF325" s="345" t="s">
        <v>207</v>
      </c>
      <c r="AG325" s="345" t="s">
        <v>208</v>
      </c>
      <c r="AH325" s="345" t="s">
        <v>209</v>
      </c>
      <c r="AI325" s="345" t="s">
        <v>210</v>
      </c>
      <c r="AJ325" s="345"/>
      <c r="AK325" s="345"/>
      <c r="AL325" s="345"/>
      <c r="AM325" s="11"/>
      <c r="AN325" s="11"/>
      <c r="AO325" s="11"/>
    </row>
    <row r="326" spans="1:41" x14ac:dyDescent="0.25">
      <c r="A326" s="311"/>
      <c r="B326" s="329"/>
      <c r="C326" s="329"/>
      <c r="D326" s="329"/>
      <c r="E326" s="330"/>
      <c r="F326" s="444"/>
      <c r="G326" s="331"/>
      <c r="H326" s="331"/>
      <c r="I326" s="331"/>
      <c r="J326" s="331"/>
      <c r="K326" s="331"/>
      <c r="L326" s="331"/>
      <c r="M326" s="331"/>
      <c r="N326" s="331"/>
      <c r="O326" s="331"/>
      <c r="P326" s="331"/>
      <c r="Q326" s="331"/>
      <c r="R326" s="444"/>
      <c r="S326" s="331"/>
      <c r="T326" s="331"/>
      <c r="U326" s="314"/>
      <c r="V326" s="320">
        <v>45</v>
      </c>
      <c r="W326" s="447">
        <f t="shared" si="28"/>
        <v>0</v>
      </c>
      <c r="X326" s="447">
        <f t="shared" si="29"/>
        <v>0</v>
      </c>
      <c r="Y326" s="447">
        <f t="shared" si="30"/>
        <v>0</v>
      </c>
      <c r="Z326" s="447">
        <f t="shared" si="31"/>
        <v>0</v>
      </c>
      <c r="AA326" s="447">
        <f t="shared" si="32"/>
        <v>0</v>
      </c>
      <c r="AB326" s="447" t="e">
        <f t="shared" si="33"/>
        <v>#DIV/0!</v>
      </c>
      <c r="AC326" s="448" t="e">
        <f t="shared" si="34"/>
        <v>#DIV/0!</v>
      </c>
      <c r="AD326" s="11"/>
      <c r="AE326" s="349" t="str">
        <f>AF326&amp;TM[[#This Row],[Insurer Code]]&amp;"; "&amp;AG326&amp;TM[[#This Row],[Reporting Year]]&amp;"; "&amp;AH326&amp;TM[[#This Row],[Insurance Category Code]]&amp;"; "&amp;AI326&amp;TM[[#This Row],[Large Provider Entity Code]]</f>
        <v xml:space="preserve">Insurer Code ; Reporting Year ; Insurance Category Code ; Large Provider Entity Code </v>
      </c>
      <c r="AF326" s="345" t="s">
        <v>207</v>
      </c>
      <c r="AG326" s="345" t="s">
        <v>208</v>
      </c>
      <c r="AH326" s="345" t="s">
        <v>209</v>
      </c>
      <c r="AI326" s="345" t="s">
        <v>210</v>
      </c>
      <c r="AJ326" s="345"/>
      <c r="AK326" s="345"/>
      <c r="AL326" s="345"/>
      <c r="AM326" s="11"/>
      <c r="AN326" s="11"/>
      <c r="AO326" s="11"/>
    </row>
    <row r="327" spans="1:41" x14ac:dyDescent="0.25">
      <c r="A327" s="311"/>
      <c r="B327" s="329"/>
      <c r="C327" s="329"/>
      <c r="D327" s="329"/>
      <c r="E327" s="330"/>
      <c r="F327" s="444"/>
      <c r="G327" s="331"/>
      <c r="H327" s="331"/>
      <c r="I327" s="331"/>
      <c r="J327" s="331"/>
      <c r="K327" s="331"/>
      <c r="L327" s="331"/>
      <c r="M327" s="331"/>
      <c r="N327" s="331"/>
      <c r="O327" s="331"/>
      <c r="P327" s="331"/>
      <c r="Q327" s="331"/>
      <c r="R327" s="444"/>
      <c r="S327" s="331"/>
      <c r="T327" s="331"/>
      <c r="U327" s="314"/>
      <c r="V327" s="320">
        <v>21</v>
      </c>
      <c r="W327" s="451">
        <f t="shared" si="28"/>
        <v>0</v>
      </c>
      <c r="X327" s="451">
        <f t="shared" si="29"/>
        <v>0</v>
      </c>
      <c r="Y327" s="451">
        <f t="shared" si="30"/>
        <v>0</v>
      </c>
      <c r="Z327" s="451">
        <f t="shared" si="31"/>
        <v>0</v>
      </c>
      <c r="AA327" s="451">
        <f t="shared" si="32"/>
        <v>0</v>
      </c>
      <c r="AB327" s="451" t="e">
        <f t="shared" si="33"/>
        <v>#DIV/0!</v>
      </c>
      <c r="AC327" s="452" t="e">
        <f t="shared" si="34"/>
        <v>#DIV/0!</v>
      </c>
      <c r="AD327" s="11"/>
      <c r="AE327" s="349" t="str">
        <f>AF327&amp;TM[[#This Row],[Insurer Code]]&amp;"; "&amp;AG327&amp;TM[[#This Row],[Reporting Year]]&amp;"; "&amp;AH327&amp;TM[[#This Row],[Insurance Category Code]]&amp;"; "&amp;AI327&amp;TM[[#This Row],[Large Provider Entity Code]]</f>
        <v xml:space="preserve">Insurer Code ; Reporting Year ; Insurance Category Code ; Large Provider Entity Code </v>
      </c>
      <c r="AF327" s="345" t="s">
        <v>207</v>
      </c>
      <c r="AG327" s="345" t="s">
        <v>208</v>
      </c>
      <c r="AH327" s="345" t="s">
        <v>209</v>
      </c>
      <c r="AI327" s="345" t="s">
        <v>210</v>
      </c>
      <c r="AJ327" s="345"/>
      <c r="AK327" s="345"/>
      <c r="AL327" s="345"/>
      <c r="AM327" s="11"/>
      <c r="AN327" s="11"/>
      <c r="AO327" s="11"/>
    </row>
    <row r="328" spans="1:41" x14ac:dyDescent="0.25">
      <c r="A328" s="311"/>
      <c r="B328" s="329"/>
      <c r="C328" s="329"/>
      <c r="D328" s="329"/>
      <c r="E328" s="330"/>
      <c r="F328" s="444"/>
      <c r="G328" s="331"/>
      <c r="H328" s="331"/>
      <c r="I328" s="331"/>
      <c r="J328" s="331"/>
      <c r="K328" s="331"/>
      <c r="L328" s="331"/>
      <c r="M328" s="331"/>
      <c r="N328" s="331"/>
      <c r="O328" s="331"/>
      <c r="P328" s="331"/>
      <c r="Q328" s="331"/>
      <c r="R328" s="444"/>
      <c r="S328" s="331"/>
      <c r="T328" s="331"/>
      <c r="U328" s="314"/>
      <c r="V328" s="320">
        <v>0</v>
      </c>
      <c r="W328" s="451">
        <f t="shared" si="28"/>
        <v>0</v>
      </c>
      <c r="X328" s="451">
        <f t="shared" si="29"/>
        <v>0</v>
      </c>
      <c r="Y328" s="451">
        <f t="shared" si="30"/>
        <v>0</v>
      </c>
      <c r="Z328" s="451">
        <f t="shared" si="31"/>
        <v>0</v>
      </c>
      <c r="AA328" s="451">
        <f t="shared" si="32"/>
        <v>0</v>
      </c>
      <c r="AB328" s="451" t="e">
        <f t="shared" si="33"/>
        <v>#DIV/0!</v>
      </c>
      <c r="AC328" s="452" t="e">
        <f t="shared" si="34"/>
        <v>#DIV/0!</v>
      </c>
      <c r="AD328" s="11"/>
      <c r="AE328" s="349" t="str">
        <f>AF328&amp;TM[[#This Row],[Insurer Code]]&amp;"; "&amp;AG328&amp;TM[[#This Row],[Reporting Year]]&amp;"; "&amp;AH328&amp;TM[[#This Row],[Insurance Category Code]]&amp;"; "&amp;AI328&amp;TM[[#This Row],[Large Provider Entity Code]]</f>
        <v xml:space="preserve">Insurer Code ; Reporting Year ; Insurance Category Code ; Large Provider Entity Code </v>
      </c>
      <c r="AF328" s="345" t="s">
        <v>207</v>
      </c>
      <c r="AG328" s="345" t="s">
        <v>208</v>
      </c>
      <c r="AH328" s="345" t="s">
        <v>209</v>
      </c>
      <c r="AI328" s="345" t="s">
        <v>210</v>
      </c>
      <c r="AJ328" s="345"/>
      <c r="AK328" s="345"/>
      <c r="AL328" s="345"/>
      <c r="AM328" s="11"/>
      <c r="AN328" s="11"/>
      <c r="AO328" s="11"/>
    </row>
    <row r="329" spans="1:41" x14ac:dyDescent="0.25">
      <c r="A329" s="311"/>
      <c r="B329" s="329"/>
      <c r="C329" s="329"/>
      <c r="D329" s="329"/>
      <c r="E329" s="330"/>
      <c r="F329" s="444"/>
      <c r="G329" s="331"/>
      <c r="H329" s="331"/>
      <c r="I329" s="331"/>
      <c r="J329" s="331"/>
      <c r="K329" s="331"/>
      <c r="L329" s="331"/>
      <c r="M329" s="331"/>
      <c r="N329" s="331"/>
      <c r="O329" s="331"/>
      <c r="P329" s="331"/>
      <c r="Q329" s="331"/>
      <c r="R329" s="444"/>
      <c r="S329" s="331"/>
      <c r="T329" s="331"/>
      <c r="U329" s="314"/>
      <c r="V329" s="320">
        <v>0</v>
      </c>
      <c r="W329" s="451">
        <f t="shared" si="28"/>
        <v>0</v>
      </c>
      <c r="X329" s="451">
        <f t="shared" si="29"/>
        <v>0</v>
      </c>
      <c r="Y329" s="451">
        <f t="shared" si="30"/>
        <v>0</v>
      </c>
      <c r="Z329" s="451">
        <f t="shared" si="31"/>
        <v>0</v>
      </c>
      <c r="AA329" s="451">
        <f t="shared" si="32"/>
        <v>0</v>
      </c>
      <c r="AB329" s="451" t="e">
        <f t="shared" si="33"/>
        <v>#DIV/0!</v>
      </c>
      <c r="AC329" s="452" t="e">
        <f t="shared" si="34"/>
        <v>#DIV/0!</v>
      </c>
      <c r="AD329" s="11"/>
      <c r="AE329" s="349" t="str">
        <f>AF329&amp;TM[[#This Row],[Insurer Code]]&amp;"; "&amp;AG329&amp;TM[[#This Row],[Reporting Year]]&amp;"; "&amp;AH329&amp;TM[[#This Row],[Insurance Category Code]]&amp;"; "&amp;AI329&amp;TM[[#This Row],[Large Provider Entity Code]]</f>
        <v xml:space="preserve">Insurer Code ; Reporting Year ; Insurance Category Code ; Large Provider Entity Code </v>
      </c>
      <c r="AF329" s="345" t="s">
        <v>207</v>
      </c>
      <c r="AG329" s="345" t="s">
        <v>208</v>
      </c>
      <c r="AH329" s="345" t="s">
        <v>209</v>
      </c>
      <c r="AI329" s="345" t="s">
        <v>210</v>
      </c>
      <c r="AJ329" s="345"/>
      <c r="AK329" s="345"/>
      <c r="AL329" s="345"/>
      <c r="AM329" s="11"/>
      <c r="AN329" s="11"/>
      <c r="AO329" s="11"/>
    </row>
    <row r="330" spans="1:41" x14ac:dyDescent="0.25">
      <c r="A330" s="311"/>
      <c r="B330" s="329"/>
      <c r="C330" s="329"/>
      <c r="D330" s="329"/>
      <c r="E330" s="330"/>
      <c r="F330" s="444"/>
      <c r="G330" s="331"/>
      <c r="H330" s="331"/>
      <c r="I330" s="331"/>
      <c r="J330" s="331"/>
      <c r="K330" s="331"/>
      <c r="L330" s="331"/>
      <c r="M330" s="331"/>
      <c r="N330" s="331"/>
      <c r="O330" s="331"/>
      <c r="P330" s="331"/>
      <c r="Q330" s="331"/>
      <c r="R330" s="444"/>
      <c r="S330" s="331"/>
      <c r="T330" s="331"/>
      <c r="U330" s="314"/>
      <c r="V330" s="320">
        <v>35</v>
      </c>
      <c r="W330" s="451">
        <f t="shared" si="28"/>
        <v>0</v>
      </c>
      <c r="X330" s="451">
        <f t="shared" si="29"/>
        <v>0</v>
      </c>
      <c r="Y330" s="451">
        <f t="shared" si="30"/>
        <v>0</v>
      </c>
      <c r="Z330" s="451">
        <f t="shared" si="31"/>
        <v>0</v>
      </c>
      <c r="AA330" s="451">
        <f t="shared" si="32"/>
        <v>0</v>
      </c>
      <c r="AB330" s="451" t="e">
        <f t="shared" si="33"/>
        <v>#DIV/0!</v>
      </c>
      <c r="AC330" s="452" t="e">
        <f t="shared" si="34"/>
        <v>#DIV/0!</v>
      </c>
      <c r="AD330" s="11"/>
      <c r="AE330" s="349" t="str">
        <f>AF330&amp;TM[[#This Row],[Insurer Code]]&amp;"; "&amp;AG330&amp;TM[[#This Row],[Reporting Year]]&amp;"; "&amp;AH330&amp;TM[[#This Row],[Insurance Category Code]]&amp;"; "&amp;AI330&amp;TM[[#This Row],[Large Provider Entity Code]]</f>
        <v xml:space="preserve">Insurer Code ; Reporting Year ; Insurance Category Code ; Large Provider Entity Code </v>
      </c>
      <c r="AF330" s="345" t="s">
        <v>207</v>
      </c>
      <c r="AG330" s="345" t="s">
        <v>208</v>
      </c>
      <c r="AH330" s="345" t="s">
        <v>209</v>
      </c>
      <c r="AI330" s="345" t="s">
        <v>210</v>
      </c>
      <c r="AJ330" s="345"/>
      <c r="AK330" s="345"/>
      <c r="AL330" s="345"/>
      <c r="AM330" s="11"/>
      <c r="AN330" s="11"/>
      <c r="AO330" s="11"/>
    </row>
    <row r="331" spans="1:41" x14ac:dyDescent="0.25">
      <c r="A331" s="311"/>
      <c r="B331" s="329"/>
      <c r="C331" s="329"/>
      <c r="D331" s="329"/>
      <c r="E331" s="330"/>
      <c r="F331" s="444"/>
      <c r="G331" s="331"/>
      <c r="H331" s="331"/>
      <c r="I331" s="331"/>
      <c r="J331" s="331"/>
      <c r="K331" s="331"/>
      <c r="L331" s="331"/>
      <c r="M331" s="331"/>
      <c r="N331" s="331"/>
      <c r="O331" s="331"/>
      <c r="P331" s="331"/>
      <c r="Q331" s="331"/>
      <c r="R331" s="444"/>
      <c r="S331" s="331"/>
      <c r="T331" s="331"/>
      <c r="U331" s="314"/>
      <c r="V331" s="320">
        <v>7</v>
      </c>
      <c r="W331" s="451">
        <f t="shared" si="28"/>
        <v>0</v>
      </c>
      <c r="X331" s="451">
        <f t="shared" si="29"/>
        <v>0</v>
      </c>
      <c r="Y331" s="451">
        <f t="shared" si="30"/>
        <v>0</v>
      </c>
      <c r="Z331" s="451">
        <f t="shared" si="31"/>
        <v>0</v>
      </c>
      <c r="AA331" s="451">
        <f t="shared" si="32"/>
        <v>0</v>
      </c>
      <c r="AB331" s="451" t="e">
        <f t="shared" si="33"/>
        <v>#DIV/0!</v>
      </c>
      <c r="AC331" s="452" t="e">
        <f t="shared" si="34"/>
        <v>#DIV/0!</v>
      </c>
      <c r="AD331" s="11"/>
      <c r="AE331" s="349" t="str">
        <f>AF331&amp;TM[[#This Row],[Insurer Code]]&amp;"; "&amp;AG331&amp;TM[[#This Row],[Reporting Year]]&amp;"; "&amp;AH331&amp;TM[[#This Row],[Insurance Category Code]]&amp;"; "&amp;AI331&amp;TM[[#This Row],[Large Provider Entity Code]]</f>
        <v xml:space="preserve">Insurer Code ; Reporting Year ; Insurance Category Code ; Large Provider Entity Code </v>
      </c>
      <c r="AF331" s="345" t="s">
        <v>207</v>
      </c>
      <c r="AG331" s="345" t="s">
        <v>208</v>
      </c>
      <c r="AH331" s="345" t="s">
        <v>209</v>
      </c>
      <c r="AI331" s="345" t="s">
        <v>210</v>
      </c>
      <c r="AJ331" s="345"/>
      <c r="AK331" s="345"/>
      <c r="AL331" s="345"/>
      <c r="AM331" s="11"/>
      <c r="AN331" s="11"/>
      <c r="AO331" s="11"/>
    </row>
    <row r="332" spans="1:41" x14ac:dyDescent="0.25">
      <c r="A332" s="311"/>
      <c r="B332" s="312"/>
      <c r="C332" s="312"/>
      <c r="D332" s="312"/>
      <c r="E332" s="313"/>
      <c r="F332" s="314"/>
      <c r="G332" s="314"/>
      <c r="H332" s="314"/>
      <c r="I332" s="314"/>
      <c r="J332" s="314"/>
      <c r="K332" s="314"/>
      <c r="L332" s="314"/>
      <c r="M332" s="314"/>
      <c r="N332" s="314"/>
      <c r="O332" s="314"/>
      <c r="P332" s="314"/>
      <c r="Q332" s="314"/>
      <c r="R332" s="442"/>
      <c r="S332" s="314"/>
      <c r="T332" s="314"/>
      <c r="U332" s="314"/>
      <c r="V332" s="315">
        <v>0</v>
      </c>
      <c r="W332" s="447">
        <f t="shared" ref="W332:W395" si="35">SUM(F332:M332)</f>
        <v>0</v>
      </c>
      <c r="X332" s="447">
        <f t="shared" ref="X332:X395" si="36">SUM(N332:S332)</f>
        <v>0</v>
      </c>
      <c r="Y332" s="447">
        <f t="shared" ref="Y332:Y395" si="37">W332+X332</f>
        <v>0</v>
      </c>
      <c r="Z332" s="447">
        <f t="shared" ref="Z332:Z395" si="38">W332-U332</f>
        <v>0</v>
      </c>
      <c r="AA332" s="447">
        <f t="shared" ref="AA332:AA395" si="39">Z332+X332</f>
        <v>0</v>
      </c>
      <c r="AB332" s="447" t="e">
        <f t="shared" ref="AB332:AB395" si="40">Y332/E332</f>
        <v>#DIV/0!</v>
      </c>
      <c r="AC332" s="448" t="e">
        <f t="shared" ref="AC332:AC395" si="41">AA332/E332</f>
        <v>#DIV/0!</v>
      </c>
      <c r="AD332" s="11"/>
      <c r="AE332" s="349" t="str">
        <f>AF332&amp;TM[[#This Row],[Insurer Code]]&amp;"; "&amp;AG332&amp;TM[[#This Row],[Reporting Year]]&amp;"; "&amp;AH332&amp;TM[[#This Row],[Insurance Category Code]]&amp;"; "&amp;AI332&amp;TM[[#This Row],[Large Provider Entity Code]]</f>
        <v xml:space="preserve">Insurer Code ; Reporting Year ; Insurance Category Code ; Large Provider Entity Code </v>
      </c>
      <c r="AF332" s="345" t="s">
        <v>207</v>
      </c>
      <c r="AG332" s="345" t="s">
        <v>208</v>
      </c>
      <c r="AH332" s="345" t="s">
        <v>209</v>
      </c>
      <c r="AI332" s="345" t="s">
        <v>210</v>
      </c>
      <c r="AJ332" s="345"/>
      <c r="AK332" s="345"/>
      <c r="AL332" s="345"/>
      <c r="AM332" s="11"/>
      <c r="AN332" s="11"/>
      <c r="AO332" s="11"/>
    </row>
    <row r="333" spans="1:41" x14ac:dyDescent="0.25">
      <c r="A333" s="311"/>
      <c r="B333" s="312"/>
      <c r="C333" s="312"/>
      <c r="D333" s="312"/>
      <c r="E333" s="313"/>
      <c r="F333" s="314"/>
      <c r="G333" s="314"/>
      <c r="H333" s="314"/>
      <c r="I333" s="314"/>
      <c r="J333" s="314"/>
      <c r="K333" s="314"/>
      <c r="L333" s="314"/>
      <c r="M333" s="314"/>
      <c r="N333" s="314"/>
      <c r="O333" s="314"/>
      <c r="P333" s="314"/>
      <c r="Q333" s="314"/>
      <c r="R333" s="442"/>
      <c r="S333" s="314"/>
      <c r="T333" s="314"/>
      <c r="U333" s="314"/>
      <c r="V333" s="315">
        <v>0</v>
      </c>
      <c r="W333" s="447">
        <f t="shared" si="35"/>
        <v>0</v>
      </c>
      <c r="X333" s="447">
        <f t="shared" si="36"/>
        <v>0</v>
      </c>
      <c r="Y333" s="447">
        <f t="shared" si="37"/>
        <v>0</v>
      </c>
      <c r="Z333" s="447">
        <f t="shared" si="38"/>
        <v>0</v>
      </c>
      <c r="AA333" s="447">
        <f t="shared" si="39"/>
        <v>0</v>
      </c>
      <c r="AB333" s="447" t="e">
        <f t="shared" si="40"/>
        <v>#DIV/0!</v>
      </c>
      <c r="AC333" s="448" t="e">
        <f t="shared" si="41"/>
        <v>#DIV/0!</v>
      </c>
      <c r="AD333" s="11"/>
      <c r="AE333" s="349" t="str">
        <f>AF333&amp;TM[[#This Row],[Insurer Code]]&amp;"; "&amp;AG333&amp;TM[[#This Row],[Reporting Year]]&amp;"; "&amp;AH333&amp;TM[[#This Row],[Insurance Category Code]]&amp;"; "&amp;AI333&amp;TM[[#This Row],[Large Provider Entity Code]]</f>
        <v xml:space="preserve">Insurer Code ; Reporting Year ; Insurance Category Code ; Large Provider Entity Code </v>
      </c>
      <c r="AF333" s="345" t="s">
        <v>207</v>
      </c>
      <c r="AG333" s="345" t="s">
        <v>208</v>
      </c>
      <c r="AH333" s="345" t="s">
        <v>209</v>
      </c>
      <c r="AI333" s="345" t="s">
        <v>210</v>
      </c>
      <c r="AJ333" s="345"/>
      <c r="AK333" s="345"/>
      <c r="AL333" s="345"/>
      <c r="AM333" s="11"/>
      <c r="AN333" s="11"/>
      <c r="AO333" s="11"/>
    </row>
    <row r="334" spans="1:41" x14ac:dyDescent="0.25">
      <c r="A334" s="311"/>
      <c r="B334" s="316"/>
      <c r="C334" s="316"/>
      <c r="D334" s="316"/>
      <c r="E334" s="319"/>
      <c r="F334" s="336"/>
      <c r="G334" s="336"/>
      <c r="H334" s="336"/>
      <c r="I334" s="336"/>
      <c r="J334" s="336"/>
      <c r="K334" s="336"/>
      <c r="L334" s="336"/>
      <c r="M334" s="336"/>
      <c r="N334" s="336"/>
      <c r="O334" s="336"/>
      <c r="P334" s="336"/>
      <c r="Q334" s="336"/>
      <c r="R334" s="443"/>
      <c r="S334" s="336"/>
      <c r="T334" s="336"/>
      <c r="U334" s="314"/>
      <c r="V334" s="318">
        <v>4</v>
      </c>
      <c r="W334" s="447">
        <f t="shared" si="35"/>
        <v>0</v>
      </c>
      <c r="X334" s="447">
        <f t="shared" si="36"/>
        <v>0</v>
      </c>
      <c r="Y334" s="447">
        <f t="shared" si="37"/>
        <v>0</v>
      </c>
      <c r="Z334" s="447">
        <f t="shared" si="38"/>
        <v>0</v>
      </c>
      <c r="AA334" s="447">
        <f t="shared" si="39"/>
        <v>0</v>
      </c>
      <c r="AB334" s="447" t="e">
        <f t="shared" si="40"/>
        <v>#DIV/0!</v>
      </c>
      <c r="AC334" s="448" t="e">
        <f t="shared" si="41"/>
        <v>#DIV/0!</v>
      </c>
      <c r="AD334" s="11"/>
      <c r="AE334" s="349" t="str">
        <f>AF334&amp;TM[[#This Row],[Insurer Code]]&amp;"; "&amp;AG334&amp;TM[[#This Row],[Reporting Year]]&amp;"; "&amp;AH334&amp;TM[[#This Row],[Insurance Category Code]]&amp;"; "&amp;AI334&amp;TM[[#This Row],[Large Provider Entity Code]]</f>
        <v xml:space="preserve">Insurer Code ; Reporting Year ; Insurance Category Code ; Large Provider Entity Code </v>
      </c>
      <c r="AF334" s="345" t="s">
        <v>207</v>
      </c>
      <c r="AG334" s="345" t="s">
        <v>208</v>
      </c>
      <c r="AH334" s="345" t="s">
        <v>209</v>
      </c>
      <c r="AI334" s="345" t="s">
        <v>210</v>
      </c>
      <c r="AJ334" s="345"/>
      <c r="AK334" s="345"/>
      <c r="AL334" s="345"/>
      <c r="AM334" s="11"/>
      <c r="AN334" s="11"/>
      <c r="AO334" s="11"/>
    </row>
    <row r="335" spans="1:41" x14ac:dyDescent="0.25">
      <c r="A335" s="311"/>
      <c r="B335" s="316"/>
      <c r="C335" s="316"/>
      <c r="D335" s="316"/>
      <c r="E335" s="319"/>
      <c r="F335" s="336"/>
      <c r="G335" s="336"/>
      <c r="H335" s="336"/>
      <c r="I335" s="336"/>
      <c r="J335" s="336"/>
      <c r="K335" s="336"/>
      <c r="L335" s="336"/>
      <c r="M335" s="336"/>
      <c r="N335" s="336"/>
      <c r="O335" s="336"/>
      <c r="P335" s="336"/>
      <c r="Q335" s="336"/>
      <c r="R335" s="443"/>
      <c r="S335" s="336"/>
      <c r="T335" s="336"/>
      <c r="U335" s="314"/>
      <c r="V335" s="318">
        <v>3</v>
      </c>
      <c r="W335" s="447">
        <f t="shared" si="35"/>
        <v>0</v>
      </c>
      <c r="X335" s="447">
        <f t="shared" si="36"/>
        <v>0</v>
      </c>
      <c r="Y335" s="447">
        <f t="shared" si="37"/>
        <v>0</v>
      </c>
      <c r="Z335" s="447">
        <f t="shared" si="38"/>
        <v>0</v>
      </c>
      <c r="AA335" s="447">
        <f t="shared" si="39"/>
        <v>0</v>
      </c>
      <c r="AB335" s="447" t="e">
        <f t="shared" si="40"/>
        <v>#DIV/0!</v>
      </c>
      <c r="AC335" s="448" t="e">
        <f t="shared" si="41"/>
        <v>#DIV/0!</v>
      </c>
      <c r="AD335" s="11"/>
      <c r="AE335" s="349" t="str">
        <f>AF335&amp;TM[[#This Row],[Insurer Code]]&amp;"; "&amp;AG335&amp;TM[[#This Row],[Reporting Year]]&amp;"; "&amp;AH335&amp;TM[[#This Row],[Insurance Category Code]]&amp;"; "&amp;AI335&amp;TM[[#This Row],[Large Provider Entity Code]]</f>
        <v xml:space="preserve">Insurer Code ; Reporting Year ; Insurance Category Code ; Large Provider Entity Code </v>
      </c>
      <c r="AF335" s="345" t="s">
        <v>207</v>
      </c>
      <c r="AG335" s="345" t="s">
        <v>208</v>
      </c>
      <c r="AH335" s="345" t="s">
        <v>209</v>
      </c>
      <c r="AI335" s="345" t="s">
        <v>210</v>
      </c>
      <c r="AJ335" s="345"/>
      <c r="AK335" s="345"/>
      <c r="AL335" s="345"/>
      <c r="AM335" s="11"/>
      <c r="AN335" s="11"/>
      <c r="AO335" s="11"/>
    </row>
    <row r="336" spans="1:41" x14ac:dyDescent="0.25">
      <c r="A336" s="311"/>
      <c r="B336" s="312"/>
      <c r="C336" s="312"/>
      <c r="D336" s="312"/>
      <c r="E336" s="313"/>
      <c r="F336" s="314"/>
      <c r="G336" s="314"/>
      <c r="H336" s="314"/>
      <c r="I336" s="314"/>
      <c r="J336" s="314"/>
      <c r="K336" s="314"/>
      <c r="L336" s="314"/>
      <c r="M336" s="314"/>
      <c r="N336" s="314"/>
      <c r="O336" s="314"/>
      <c r="P336" s="314"/>
      <c r="Q336" s="314"/>
      <c r="R336" s="442"/>
      <c r="S336" s="314"/>
      <c r="T336" s="314"/>
      <c r="U336" s="314"/>
      <c r="V336" s="315">
        <v>0</v>
      </c>
      <c r="W336" s="447">
        <f t="shared" si="35"/>
        <v>0</v>
      </c>
      <c r="X336" s="447">
        <f t="shared" si="36"/>
        <v>0</v>
      </c>
      <c r="Y336" s="447">
        <f t="shared" si="37"/>
        <v>0</v>
      </c>
      <c r="Z336" s="447">
        <f t="shared" si="38"/>
        <v>0</v>
      </c>
      <c r="AA336" s="447">
        <f t="shared" si="39"/>
        <v>0</v>
      </c>
      <c r="AB336" s="447" t="e">
        <f t="shared" si="40"/>
        <v>#DIV/0!</v>
      </c>
      <c r="AC336" s="448" t="e">
        <f t="shared" si="41"/>
        <v>#DIV/0!</v>
      </c>
      <c r="AD336" s="11"/>
      <c r="AE336" s="349" t="str">
        <f>AF336&amp;TM[[#This Row],[Insurer Code]]&amp;"; "&amp;AG336&amp;TM[[#This Row],[Reporting Year]]&amp;"; "&amp;AH336&amp;TM[[#This Row],[Insurance Category Code]]&amp;"; "&amp;AI336&amp;TM[[#This Row],[Large Provider Entity Code]]</f>
        <v xml:space="preserve">Insurer Code ; Reporting Year ; Insurance Category Code ; Large Provider Entity Code </v>
      </c>
      <c r="AF336" s="345" t="s">
        <v>207</v>
      </c>
      <c r="AG336" s="345" t="s">
        <v>208</v>
      </c>
      <c r="AH336" s="345" t="s">
        <v>209</v>
      </c>
      <c r="AI336" s="345" t="s">
        <v>210</v>
      </c>
      <c r="AJ336" s="345"/>
      <c r="AK336" s="345"/>
      <c r="AL336" s="345"/>
      <c r="AM336" s="11"/>
      <c r="AN336" s="11"/>
      <c r="AO336" s="11"/>
    </row>
    <row r="337" spans="1:41" x14ac:dyDescent="0.25">
      <c r="A337" s="311"/>
      <c r="B337" s="316"/>
      <c r="C337" s="316"/>
      <c r="D337" s="316"/>
      <c r="E337" s="319"/>
      <c r="F337" s="336"/>
      <c r="G337" s="336"/>
      <c r="H337" s="336"/>
      <c r="I337" s="336"/>
      <c r="J337" s="336"/>
      <c r="K337" s="336"/>
      <c r="L337" s="336"/>
      <c r="M337" s="336"/>
      <c r="N337" s="336"/>
      <c r="O337" s="336"/>
      <c r="P337" s="336"/>
      <c r="Q337" s="336"/>
      <c r="R337" s="443"/>
      <c r="S337" s="336"/>
      <c r="T337" s="336"/>
      <c r="U337" s="314"/>
      <c r="V337" s="318">
        <v>0</v>
      </c>
      <c r="W337" s="447">
        <f t="shared" si="35"/>
        <v>0</v>
      </c>
      <c r="X337" s="447">
        <f t="shared" si="36"/>
        <v>0</v>
      </c>
      <c r="Y337" s="447">
        <f t="shared" si="37"/>
        <v>0</v>
      </c>
      <c r="Z337" s="447">
        <f t="shared" si="38"/>
        <v>0</v>
      </c>
      <c r="AA337" s="447">
        <f t="shared" si="39"/>
        <v>0</v>
      </c>
      <c r="AB337" s="447" t="e">
        <f t="shared" si="40"/>
        <v>#DIV/0!</v>
      </c>
      <c r="AC337" s="448" t="e">
        <f t="shared" si="41"/>
        <v>#DIV/0!</v>
      </c>
      <c r="AD337" s="11"/>
      <c r="AE337" s="349" t="str">
        <f>AF337&amp;TM[[#This Row],[Insurer Code]]&amp;"; "&amp;AG337&amp;TM[[#This Row],[Reporting Year]]&amp;"; "&amp;AH337&amp;TM[[#This Row],[Insurance Category Code]]&amp;"; "&amp;AI337&amp;TM[[#This Row],[Large Provider Entity Code]]</f>
        <v xml:space="preserve">Insurer Code ; Reporting Year ; Insurance Category Code ; Large Provider Entity Code </v>
      </c>
      <c r="AF337" s="345" t="s">
        <v>207</v>
      </c>
      <c r="AG337" s="345" t="s">
        <v>208</v>
      </c>
      <c r="AH337" s="345" t="s">
        <v>209</v>
      </c>
      <c r="AI337" s="345" t="s">
        <v>210</v>
      </c>
      <c r="AJ337" s="345"/>
      <c r="AK337" s="345"/>
      <c r="AL337" s="345"/>
      <c r="AM337" s="11"/>
      <c r="AN337" s="11"/>
      <c r="AO337" s="11"/>
    </row>
    <row r="338" spans="1:41" x14ac:dyDescent="0.25">
      <c r="A338" s="311"/>
      <c r="B338" s="316"/>
      <c r="C338" s="316"/>
      <c r="D338" s="316"/>
      <c r="E338" s="317"/>
      <c r="F338" s="336"/>
      <c r="G338" s="336"/>
      <c r="H338" s="336"/>
      <c r="I338" s="336"/>
      <c r="J338" s="336"/>
      <c r="K338" s="336"/>
      <c r="L338" s="336"/>
      <c r="M338" s="336"/>
      <c r="N338" s="336"/>
      <c r="O338" s="336"/>
      <c r="P338" s="336"/>
      <c r="Q338" s="336"/>
      <c r="R338" s="443"/>
      <c r="S338" s="336"/>
      <c r="T338" s="336"/>
      <c r="U338" s="314"/>
      <c r="V338" s="318">
        <v>6</v>
      </c>
      <c r="W338" s="447">
        <f t="shared" si="35"/>
        <v>0</v>
      </c>
      <c r="X338" s="447">
        <f t="shared" si="36"/>
        <v>0</v>
      </c>
      <c r="Y338" s="447">
        <f t="shared" si="37"/>
        <v>0</v>
      </c>
      <c r="Z338" s="447">
        <f t="shared" si="38"/>
        <v>0</v>
      </c>
      <c r="AA338" s="447">
        <f t="shared" si="39"/>
        <v>0</v>
      </c>
      <c r="AB338" s="447" t="e">
        <f t="shared" si="40"/>
        <v>#DIV/0!</v>
      </c>
      <c r="AC338" s="448" t="e">
        <f t="shared" si="41"/>
        <v>#DIV/0!</v>
      </c>
      <c r="AD338" s="11"/>
      <c r="AE338" s="349" t="str">
        <f>AF338&amp;TM[[#This Row],[Insurer Code]]&amp;"; "&amp;AG338&amp;TM[[#This Row],[Reporting Year]]&amp;"; "&amp;AH338&amp;TM[[#This Row],[Insurance Category Code]]&amp;"; "&amp;AI338&amp;TM[[#This Row],[Large Provider Entity Code]]</f>
        <v xml:space="preserve">Insurer Code ; Reporting Year ; Insurance Category Code ; Large Provider Entity Code </v>
      </c>
      <c r="AF338" s="345" t="s">
        <v>207</v>
      </c>
      <c r="AG338" s="345" t="s">
        <v>208</v>
      </c>
      <c r="AH338" s="345" t="s">
        <v>209</v>
      </c>
      <c r="AI338" s="345" t="s">
        <v>210</v>
      </c>
      <c r="AJ338" s="345"/>
      <c r="AK338" s="345"/>
      <c r="AL338" s="345"/>
      <c r="AM338" s="11"/>
      <c r="AN338" s="11"/>
      <c r="AO338" s="11"/>
    </row>
    <row r="339" spans="1:41" x14ac:dyDescent="0.25">
      <c r="A339" s="311"/>
      <c r="B339" s="316"/>
      <c r="C339" s="316"/>
      <c r="D339" s="316"/>
      <c r="E339" s="317"/>
      <c r="F339" s="336"/>
      <c r="G339" s="336"/>
      <c r="H339" s="336"/>
      <c r="I339" s="336"/>
      <c r="J339" s="336"/>
      <c r="K339" s="336"/>
      <c r="L339" s="336"/>
      <c r="M339" s="336"/>
      <c r="N339" s="336"/>
      <c r="O339" s="336"/>
      <c r="P339" s="336"/>
      <c r="Q339" s="336"/>
      <c r="R339" s="443"/>
      <c r="S339" s="336"/>
      <c r="T339" s="336"/>
      <c r="U339" s="314"/>
      <c r="V339" s="318">
        <v>0</v>
      </c>
      <c r="W339" s="447">
        <f t="shared" si="35"/>
        <v>0</v>
      </c>
      <c r="X339" s="447">
        <f t="shared" si="36"/>
        <v>0</v>
      </c>
      <c r="Y339" s="447">
        <f t="shared" si="37"/>
        <v>0</v>
      </c>
      <c r="Z339" s="447">
        <f t="shared" si="38"/>
        <v>0</v>
      </c>
      <c r="AA339" s="447">
        <f t="shared" si="39"/>
        <v>0</v>
      </c>
      <c r="AB339" s="447" t="e">
        <f t="shared" si="40"/>
        <v>#DIV/0!</v>
      </c>
      <c r="AC339" s="448" t="e">
        <f t="shared" si="41"/>
        <v>#DIV/0!</v>
      </c>
      <c r="AE339" s="349" t="str">
        <f>AF339&amp;TM[[#This Row],[Insurer Code]]&amp;"; "&amp;AG339&amp;TM[[#This Row],[Reporting Year]]&amp;"; "&amp;AH339&amp;TM[[#This Row],[Insurance Category Code]]&amp;"; "&amp;AI339&amp;TM[[#This Row],[Large Provider Entity Code]]</f>
        <v xml:space="preserve">Insurer Code ; Reporting Year ; Insurance Category Code ; Large Provider Entity Code </v>
      </c>
      <c r="AF339" s="345" t="s">
        <v>207</v>
      </c>
      <c r="AG339" s="345" t="s">
        <v>208</v>
      </c>
      <c r="AH339" s="345" t="s">
        <v>209</v>
      </c>
      <c r="AI339" s="345" t="s">
        <v>210</v>
      </c>
      <c r="AJ339" s="345"/>
      <c r="AK339" s="345"/>
      <c r="AL339" s="345"/>
      <c r="AM339" s="11"/>
      <c r="AN339" s="11"/>
      <c r="AO339" s="11"/>
    </row>
    <row r="340" spans="1:41" x14ac:dyDescent="0.25">
      <c r="A340" s="311"/>
      <c r="B340" s="312"/>
      <c r="C340" s="312"/>
      <c r="D340" s="312"/>
      <c r="E340" s="313"/>
      <c r="F340" s="314"/>
      <c r="G340" s="314"/>
      <c r="H340" s="314"/>
      <c r="I340" s="314"/>
      <c r="J340" s="314"/>
      <c r="K340" s="314"/>
      <c r="L340" s="314"/>
      <c r="M340" s="314"/>
      <c r="N340" s="314"/>
      <c r="O340" s="314"/>
      <c r="P340" s="314"/>
      <c r="Q340" s="314"/>
      <c r="R340" s="442"/>
      <c r="S340" s="314"/>
      <c r="T340" s="314"/>
      <c r="U340" s="314"/>
      <c r="V340" s="315">
        <v>1</v>
      </c>
      <c r="W340" s="447">
        <f t="shared" si="35"/>
        <v>0</v>
      </c>
      <c r="X340" s="447">
        <f t="shared" si="36"/>
        <v>0</v>
      </c>
      <c r="Y340" s="447">
        <f t="shared" si="37"/>
        <v>0</v>
      </c>
      <c r="Z340" s="447">
        <f t="shared" si="38"/>
        <v>0</v>
      </c>
      <c r="AA340" s="447">
        <f t="shared" si="39"/>
        <v>0</v>
      </c>
      <c r="AB340" s="447" t="e">
        <f t="shared" si="40"/>
        <v>#DIV/0!</v>
      </c>
      <c r="AC340" s="448" t="e">
        <f t="shared" si="41"/>
        <v>#DIV/0!</v>
      </c>
      <c r="AE340" s="349" t="str">
        <f>AF340&amp;TM[[#This Row],[Insurer Code]]&amp;"; "&amp;AG340&amp;TM[[#This Row],[Reporting Year]]&amp;"; "&amp;AH340&amp;TM[[#This Row],[Insurance Category Code]]&amp;"; "&amp;AI340&amp;TM[[#This Row],[Large Provider Entity Code]]</f>
        <v xml:space="preserve">Insurer Code ; Reporting Year ; Insurance Category Code ; Large Provider Entity Code </v>
      </c>
      <c r="AF340" s="345" t="s">
        <v>207</v>
      </c>
      <c r="AG340" s="345" t="s">
        <v>208</v>
      </c>
      <c r="AH340" s="345" t="s">
        <v>209</v>
      </c>
      <c r="AI340" s="345" t="s">
        <v>210</v>
      </c>
      <c r="AJ340" s="345"/>
      <c r="AK340" s="345"/>
      <c r="AL340" s="345"/>
      <c r="AM340" s="11"/>
      <c r="AN340" s="11"/>
      <c r="AO340" s="11"/>
    </row>
    <row r="341" spans="1:41" x14ac:dyDescent="0.25">
      <c r="A341" s="311"/>
      <c r="B341" s="312"/>
      <c r="C341" s="312"/>
      <c r="D341" s="312"/>
      <c r="E341" s="313"/>
      <c r="F341" s="314"/>
      <c r="G341" s="314"/>
      <c r="H341" s="314"/>
      <c r="I341" s="314"/>
      <c r="J341" s="314"/>
      <c r="K341" s="314"/>
      <c r="L341" s="314"/>
      <c r="M341" s="314"/>
      <c r="N341" s="314"/>
      <c r="O341" s="314"/>
      <c r="P341" s="314"/>
      <c r="Q341" s="314"/>
      <c r="R341" s="442"/>
      <c r="S341" s="314"/>
      <c r="T341" s="314"/>
      <c r="U341" s="314"/>
      <c r="V341" s="315">
        <v>1</v>
      </c>
      <c r="W341" s="447">
        <f t="shared" si="35"/>
        <v>0</v>
      </c>
      <c r="X341" s="447">
        <f t="shared" si="36"/>
        <v>0</v>
      </c>
      <c r="Y341" s="447">
        <f t="shared" si="37"/>
        <v>0</v>
      </c>
      <c r="Z341" s="447">
        <f t="shared" si="38"/>
        <v>0</v>
      </c>
      <c r="AA341" s="447">
        <f t="shared" si="39"/>
        <v>0</v>
      </c>
      <c r="AB341" s="447" t="e">
        <f t="shared" si="40"/>
        <v>#DIV/0!</v>
      </c>
      <c r="AC341" s="448" t="e">
        <f t="shared" si="41"/>
        <v>#DIV/0!</v>
      </c>
      <c r="AE341" s="349" t="str">
        <f>AF341&amp;TM[[#This Row],[Insurer Code]]&amp;"; "&amp;AG341&amp;TM[[#This Row],[Reporting Year]]&amp;"; "&amp;AH341&amp;TM[[#This Row],[Insurance Category Code]]&amp;"; "&amp;AI341&amp;TM[[#This Row],[Large Provider Entity Code]]</f>
        <v xml:space="preserve">Insurer Code ; Reporting Year ; Insurance Category Code ; Large Provider Entity Code </v>
      </c>
      <c r="AF341" s="345" t="s">
        <v>207</v>
      </c>
      <c r="AG341" s="345" t="s">
        <v>208</v>
      </c>
      <c r="AH341" s="345" t="s">
        <v>209</v>
      </c>
      <c r="AI341" s="345" t="s">
        <v>210</v>
      </c>
      <c r="AJ341" s="345"/>
      <c r="AK341" s="345"/>
      <c r="AL341" s="345"/>
      <c r="AM341" s="11"/>
      <c r="AN341" s="11"/>
      <c r="AO341" s="11"/>
    </row>
    <row r="342" spans="1:41" x14ac:dyDescent="0.25">
      <c r="A342" s="311"/>
      <c r="B342" s="316"/>
      <c r="C342" s="316"/>
      <c r="D342" s="316"/>
      <c r="E342" s="317"/>
      <c r="F342" s="336"/>
      <c r="G342" s="336"/>
      <c r="H342" s="336"/>
      <c r="I342" s="336"/>
      <c r="J342" s="336"/>
      <c r="K342" s="336"/>
      <c r="L342" s="336"/>
      <c r="M342" s="336"/>
      <c r="N342" s="336"/>
      <c r="O342" s="336"/>
      <c r="P342" s="336"/>
      <c r="Q342" s="336"/>
      <c r="R342" s="443"/>
      <c r="S342" s="336"/>
      <c r="T342" s="336"/>
      <c r="U342" s="314"/>
      <c r="V342" s="318">
        <v>6</v>
      </c>
      <c r="W342" s="447">
        <f t="shared" si="35"/>
        <v>0</v>
      </c>
      <c r="X342" s="447">
        <f t="shared" si="36"/>
        <v>0</v>
      </c>
      <c r="Y342" s="447">
        <f t="shared" si="37"/>
        <v>0</v>
      </c>
      <c r="Z342" s="447">
        <f t="shared" si="38"/>
        <v>0</v>
      </c>
      <c r="AA342" s="447">
        <f t="shared" si="39"/>
        <v>0</v>
      </c>
      <c r="AB342" s="447" t="e">
        <f t="shared" si="40"/>
        <v>#DIV/0!</v>
      </c>
      <c r="AC342" s="448" t="e">
        <f t="shared" si="41"/>
        <v>#DIV/0!</v>
      </c>
      <c r="AE342" s="349" t="str">
        <f>AF342&amp;TM[[#This Row],[Insurer Code]]&amp;"; "&amp;AG342&amp;TM[[#This Row],[Reporting Year]]&amp;"; "&amp;AH342&amp;TM[[#This Row],[Insurance Category Code]]&amp;"; "&amp;AI342&amp;TM[[#This Row],[Large Provider Entity Code]]</f>
        <v xml:space="preserve">Insurer Code ; Reporting Year ; Insurance Category Code ; Large Provider Entity Code </v>
      </c>
      <c r="AF342" s="345" t="s">
        <v>207</v>
      </c>
      <c r="AG342" s="345" t="s">
        <v>208</v>
      </c>
      <c r="AH342" s="345" t="s">
        <v>209</v>
      </c>
      <c r="AI342" s="345" t="s">
        <v>210</v>
      </c>
      <c r="AJ342" s="345"/>
      <c r="AK342" s="345"/>
      <c r="AL342" s="345"/>
      <c r="AM342" s="11"/>
      <c r="AN342" s="11"/>
      <c r="AO342" s="11"/>
    </row>
    <row r="343" spans="1:41" x14ac:dyDescent="0.25">
      <c r="A343" s="311"/>
      <c r="B343" s="316"/>
      <c r="C343" s="316"/>
      <c r="D343" s="316"/>
      <c r="E343" s="319"/>
      <c r="F343" s="336"/>
      <c r="G343" s="336"/>
      <c r="H343" s="336"/>
      <c r="I343" s="336"/>
      <c r="J343" s="336"/>
      <c r="K343" s="336"/>
      <c r="L343" s="336"/>
      <c r="M343" s="336"/>
      <c r="N343" s="336"/>
      <c r="O343" s="336"/>
      <c r="P343" s="336"/>
      <c r="Q343" s="336"/>
      <c r="R343" s="443"/>
      <c r="S343" s="336"/>
      <c r="T343" s="336"/>
      <c r="U343" s="314"/>
      <c r="V343" s="318">
        <v>1</v>
      </c>
      <c r="W343" s="447">
        <f t="shared" si="35"/>
        <v>0</v>
      </c>
      <c r="X343" s="447">
        <f t="shared" si="36"/>
        <v>0</v>
      </c>
      <c r="Y343" s="447">
        <f t="shared" si="37"/>
        <v>0</v>
      </c>
      <c r="Z343" s="447">
        <f t="shared" si="38"/>
        <v>0</v>
      </c>
      <c r="AA343" s="447">
        <f t="shared" si="39"/>
        <v>0</v>
      </c>
      <c r="AB343" s="447" t="e">
        <f t="shared" si="40"/>
        <v>#DIV/0!</v>
      </c>
      <c r="AC343" s="448" t="e">
        <f t="shared" si="41"/>
        <v>#DIV/0!</v>
      </c>
      <c r="AE343" s="349" t="str">
        <f>AF343&amp;TM[[#This Row],[Insurer Code]]&amp;"; "&amp;AG343&amp;TM[[#This Row],[Reporting Year]]&amp;"; "&amp;AH343&amp;TM[[#This Row],[Insurance Category Code]]&amp;"; "&amp;AI343&amp;TM[[#This Row],[Large Provider Entity Code]]</f>
        <v xml:space="preserve">Insurer Code ; Reporting Year ; Insurance Category Code ; Large Provider Entity Code </v>
      </c>
      <c r="AF343" s="345" t="s">
        <v>207</v>
      </c>
      <c r="AG343" s="345" t="s">
        <v>208</v>
      </c>
      <c r="AH343" s="345" t="s">
        <v>209</v>
      </c>
      <c r="AI343" s="345" t="s">
        <v>210</v>
      </c>
      <c r="AJ343" s="345"/>
      <c r="AK343" s="345"/>
      <c r="AL343" s="345"/>
      <c r="AM343" s="11"/>
      <c r="AN343" s="11"/>
      <c r="AO343" s="11"/>
    </row>
    <row r="344" spans="1:41" x14ac:dyDescent="0.25">
      <c r="A344" s="311"/>
      <c r="B344" s="316"/>
      <c r="C344" s="316"/>
      <c r="D344" s="316"/>
      <c r="E344" s="319"/>
      <c r="F344" s="336"/>
      <c r="G344" s="336"/>
      <c r="H344" s="336"/>
      <c r="I344" s="336"/>
      <c r="J344" s="336"/>
      <c r="K344" s="336"/>
      <c r="L344" s="336"/>
      <c r="M344" s="336"/>
      <c r="N344" s="336"/>
      <c r="O344" s="336"/>
      <c r="P344" s="336"/>
      <c r="Q344" s="336"/>
      <c r="R344" s="443"/>
      <c r="S344" s="336"/>
      <c r="T344" s="336"/>
      <c r="U344" s="314"/>
      <c r="V344" s="318">
        <v>0</v>
      </c>
      <c r="W344" s="447">
        <f t="shared" si="35"/>
        <v>0</v>
      </c>
      <c r="X344" s="447">
        <f t="shared" si="36"/>
        <v>0</v>
      </c>
      <c r="Y344" s="447">
        <f t="shared" si="37"/>
        <v>0</v>
      </c>
      <c r="Z344" s="447">
        <f t="shared" si="38"/>
        <v>0</v>
      </c>
      <c r="AA344" s="447">
        <f t="shared" si="39"/>
        <v>0</v>
      </c>
      <c r="AB344" s="447" t="e">
        <f t="shared" si="40"/>
        <v>#DIV/0!</v>
      </c>
      <c r="AC344" s="448" t="e">
        <f t="shared" si="41"/>
        <v>#DIV/0!</v>
      </c>
      <c r="AE344" s="349" t="str">
        <f>AF344&amp;TM[[#This Row],[Insurer Code]]&amp;"; "&amp;AG344&amp;TM[[#This Row],[Reporting Year]]&amp;"; "&amp;AH344&amp;TM[[#This Row],[Insurance Category Code]]&amp;"; "&amp;AI344&amp;TM[[#This Row],[Large Provider Entity Code]]</f>
        <v xml:space="preserve">Insurer Code ; Reporting Year ; Insurance Category Code ; Large Provider Entity Code </v>
      </c>
      <c r="AF344" s="345" t="s">
        <v>207</v>
      </c>
      <c r="AG344" s="345" t="s">
        <v>208</v>
      </c>
      <c r="AH344" s="345" t="s">
        <v>209</v>
      </c>
      <c r="AI344" s="345" t="s">
        <v>210</v>
      </c>
      <c r="AJ344" s="345"/>
      <c r="AK344" s="345"/>
      <c r="AL344" s="345"/>
      <c r="AM344" s="11"/>
      <c r="AN344" s="11"/>
      <c r="AO344" s="11"/>
    </row>
    <row r="345" spans="1:41" x14ac:dyDescent="0.25">
      <c r="A345" s="311"/>
      <c r="B345" s="316"/>
      <c r="C345" s="316"/>
      <c r="D345" s="316"/>
      <c r="E345" s="319"/>
      <c r="F345" s="336"/>
      <c r="G345" s="336"/>
      <c r="H345" s="336"/>
      <c r="I345" s="336"/>
      <c r="J345" s="336"/>
      <c r="K345" s="336"/>
      <c r="L345" s="336"/>
      <c r="M345" s="336"/>
      <c r="N345" s="336"/>
      <c r="O345" s="336"/>
      <c r="P345" s="336"/>
      <c r="Q345" s="336"/>
      <c r="R345" s="443"/>
      <c r="S345" s="336"/>
      <c r="T345" s="336"/>
      <c r="U345" s="314"/>
      <c r="V345" s="318">
        <v>0</v>
      </c>
      <c r="W345" s="447">
        <f t="shared" si="35"/>
        <v>0</v>
      </c>
      <c r="X345" s="447">
        <f t="shared" si="36"/>
        <v>0</v>
      </c>
      <c r="Y345" s="447">
        <f t="shared" si="37"/>
        <v>0</v>
      </c>
      <c r="Z345" s="447">
        <f t="shared" si="38"/>
        <v>0</v>
      </c>
      <c r="AA345" s="447">
        <f t="shared" si="39"/>
        <v>0</v>
      </c>
      <c r="AB345" s="447" t="e">
        <f t="shared" si="40"/>
        <v>#DIV/0!</v>
      </c>
      <c r="AC345" s="448" t="e">
        <f t="shared" si="41"/>
        <v>#DIV/0!</v>
      </c>
      <c r="AE345" s="349" t="str">
        <f>AF345&amp;TM[[#This Row],[Insurer Code]]&amp;"; "&amp;AG345&amp;TM[[#This Row],[Reporting Year]]&amp;"; "&amp;AH345&amp;TM[[#This Row],[Insurance Category Code]]&amp;"; "&amp;AI345&amp;TM[[#This Row],[Large Provider Entity Code]]</f>
        <v xml:space="preserve">Insurer Code ; Reporting Year ; Insurance Category Code ; Large Provider Entity Code </v>
      </c>
      <c r="AF345" s="345" t="s">
        <v>207</v>
      </c>
      <c r="AG345" s="345" t="s">
        <v>208</v>
      </c>
      <c r="AH345" s="345" t="s">
        <v>209</v>
      </c>
      <c r="AI345" s="345" t="s">
        <v>210</v>
      </c>
      <c r="AJ345" s="345"/>
      <c r="AK345" s="345"/>
      <c r="AL345" s="345"/>
      <c r="AM345" s="11"/>
      <c r="AN345" s="11"/>
      <c r="AO345" s="11"/>
    </row>
    <row r="346" spans="1:41" x14ac:dyDescent="0.25">
      <c r="A346" s="311"/>
      <c r="B346" s="316"/>
      <c r="C346" s="316"/>
      <c r="D346" s="316"/>
      <c r="E346" s="319"/>
      <c r="F346" s="336"/>
      <c r="G346" s="336"/>
      <c r="H346" s="336"/>
      <c r="I346" s="336"/>
      <c r="J346" s="336"/>
      <c r="K346" s="336"/>
      <c r="L346" s="336"/>
      <c r="M346" s="336"/>
      <c r="N346" s="336"/>
      <c r="O346" s="336"/>
      <c r="P346" s="336"/>
      <c r="Q346" s="336"/>
      <c r="R346" s="443"/>
      <c r="S346" s="336"/>
      <c r="T346" s="336"/>
      <c r="U346" s="314"/>
      <c r="V346" s="318">
        <v>7</v>
      </c>
      <c r="W346" s="447">
        <f t="shared" si="35"/>
        <v>0</v>
      </c>
      <c r="X346" s="447">
        <f t="shared" si="36"/>
        <v>0</v>
      </c>
      <c r="Y346" s="447">
        <f t="shared" si="37"/>
        <v>0</v>
      </c>
      <c r="Z346" s="447">
        <f t="shared" si="38"/>
        <v>0</v>
      </c>
      <c r="AA346" s="447">
        <f t="shared" si="39"/>
        <v>0</v>
      </c>
      <c r="AB346" s="447" t="e">
        <f t="shared" si="40"/>
        <v>#DIV/0!</v>
      </c>
      <c r="AC346" s="448" t="e">
        <f t="shared" si="41"/>
        <v>#DIV/0!</v>
      </c>
      <c r="AE346" s="349" t="str">
        <f>AF346&amp;TM[[#This Row],[Insurer Code]]&amp;"; "&amp;AG346&amp;TM[[#This Row],[Reporting Year]]&amp;"; "&amp;AH346&amp;TM[[#This Row],[Insurance Category Code]]&amp;"; "&amp;AI346&amp;TM[[#This Row],[Large Provider Entity Code]]</f>
        <v xml:space="preserve">Insurer Code ; Reporting Year ; Insurance Category Code ; Large Provider Entity Code </v>
      </c>
      <c r="AF346" s="345" t="s">
        <v>207</v>
      </c>
      <c r="AG346" s="345" t="s">
        <v>208</v>
      </c>
      <c r="AH346" s="345" t="s">
        <v>209</v>
      </c>
      <c r="AI346" s="345" t="s">
        <v>210</v>
      </c>
      <c r="AJ346" s="345"/>
      <c r="AK346" s="345"/>
      <c r="AL346" s="345"/>
      <c r="AM346" s="11"/>
      <c r="AN346" s="11"/>
      <c r="AO346" s="11"/>
    </row>
    <row r="347" spans="1:41" x14ac:dyDescent="0.25">
      <c r="A347" s="311"/>
      <c r="B347" s="312"/>
      <c r="C347" s="312"/>
      <c r="D347" s="312"/>
      <c r="E347" s="328"/>
      <c r="F347" s="442"/>
      <c r="G347" s="314"/>
      <c r="H347" s="314"/>
      <c r="I347" s="314"/>
      <c r="J347" s="314"/>
      <c r="K347" s="314"/>
      <c r="L347" s="314"/>
      <c r="M347" s="314"/>
      <c r="N347" s="314"/>
      <c r="O347" s="314"/>
      <c r="P347" s="314"/>
      <c r="Q347" s="314"/>
      <c r="R347" s="442"/>
      <c r="S347" s="314"/>
      <c r="T347" s="314"/>
      <c r="U347" s="314"/>
      <c r="V347" s="315">
        <v>0</v>
      </c>
      <c r="W347" s="447">
        <f t="shared" si="35"/>
        <v>0</v>
      </c>
      <c r="X347" s="447">
        <f t="shared" si="36"/>
        <v>0</v>
      </c>
      <c r="Y347" s="447">
        <f t="shared" si="37"/>
        <v>0</v>
      </c>
      <c r="Z347" s="447">
        <f t="shared" si="38"/>
        <v>0</v>
      </c>
      <c r="AA347" s="447">
        <f t="shared" si="39"/>
        <v>0</v>
      </c>
      <c r="AB347" s="447" t="e">
        <f t="shared" si="40"/>
        <v>#DIV/0!</v>
      </c>
      <c r="AC347" s="448" t="e">
        <f t="shared" si="41"/>
        <v>#DIV/0!</v>
      </c>
      <c r="AE347" s="349" t="str">
        <f>AF347&amp;TM[[#This Row],[Insurer Code]]&amp;"; "&amp;AG347&amp;TM[[#This Row],[Reporting Year]]&amp;"; "&amp;AH347&amp;TM[[#This Row],[Insurance Category Code]]&amp;"; "&amp;AI347&amp;TM[[#This Row],[Large Provider Entity Code]]</f>
        <v xml:space="preserve">Insurer Code ; Reporting Year ; Insurance Category Code ; Large Provider Entity Code </v>
      </c>
      <c r="AF347" s="345" t="s">
        <v>207</v>
      </c>
      <c r="AG347" s="345" t="s">
        <v>208</v>
      </c>
      <c r="AH347" s="345" t="s">
        <v>209</v>
      </c>
      <c r="AI347" s="345" t="s">
        <v>210</v>
      </c>
      <c r="AJ347" s="345"/>
      <c r="AK347" s="345"/>
      <c r="AL347" s="345"/>
      <c r="AM347" s="11"/>
      <c r="AN347" s="11"/>
      <c r="AO347" s="11"/>
    </row>
    <row r="348" spans="1:41" x14ac:dyDescent="0.25">
      <c r="A348" s="311"/>
      <c r="B348" s="312"/>
      <c r="C348" s="312"/>
      <c r="D348" s="312"/>
      <c r="E348" s="328"/>
      <c r="F348" s="442"/>
      <c r="G348" s="314"/>
      <c r="H348" s="314"/>
      <c r="I348" s="314"/>
      <c r="J348" s="314"/>
      <c r="K348" s="314"/>
      <c r="L348" s="314"/>
      <c r="M348" s="314"/>
      <c r="N348" s="314"/>
      <c r="O348" s="314"/>
      <c r="P348" s="314"/>
      <c r="Q348" s="314"/>
      <c r="R348" s="442"/>
      <c r="S348" s="314"/>
      <c r="T348" s="314"/>
      <c r="U348" s="314"/>
      <c r="V348" s="315">
        <v>0</v>
      </c>
      <c r="W348" s="447">
        <f t="shared" si="35"/>
        <v>0</v>
      </c>
      <c r="X348" s="447">
        <f t="shared" si="36"/>
        <v>0</v>
      </c>
      <c r="Y348" s="447">
        <f t="shared" si="37"/>
        <v>0</v>
      </c>
      <c r="Z348" s="447">
        <f t="shared" si="38"/>
        <v>0</v>
      </c>
      <c r="AA348" s="447">
        <f t="shared" si="39"/>
        <v>0</v>
      </c>
      <c r="AB348" s="447" t="e">
        <f t="shared" si="40"/>
        <v>#DIV/0!</v>
      </c>
      <c r="AC348" s="448" t="e">
        <f t="shared" si="41"/>
        <v>#DIV/0!</v>
      </c>
      <c r="AE348" s="349" t="str">
        <f>AF348&amp;TM[[#This Row],[Insurer Code]]&amp;"; "&amp;AG348&amp;TM[[#This Row],[Reporting Year]]&amp;"; "&amp;AH348&amp;TM[[#This Row],[Insurance Category Code]]&amp;"; "&amp;AI348&amp;TM[[#This Row],[Large Provider Entity Code]]</f>
        <v xml:space="preserve">Insurer Code ; Reporting Year ; Insurance Category Code ; Large Provider Entity Code </v>
      </c>
      <c r="AF348" s="345" t="s">
        <v>207</v>
      </c>
      <c r="AG348" s="345" t="s">
        <v>208</v>
      </c>
      <c r="AH348" s="345" t="s">
        <v>209</v>
      </c>
      <c r="AI348" s="345" t="s">
        <v>210</v>
      </c>
      <c r="AJ348" s="345"/>
      <c r="AK348" s="345"/>
      <c r="AL348" s="345"/>
      <c r="AM348" s="11"/>
      <c r="AN348" s="11"/>
      <c r="AO348" s="11"/>
    </row>
    <row r="349" spans="1:41" x14ac:dyDescent="0.25">
      <c r="A349" s="311"/>
      <c r="B349" s="312"/>
      <c r="C349" s="312"/>
      <c r="D349" s="312"/>
      <c r="E349" s="328"/>
      <c r="F349" s="442"/>
      <c r="G349" s="314"/>
      <c r="H349" s="314"/>
      <c r="I349" s="314"/>
      <c r="J349" s="314"/>
      <c r="K349" s="314"/>
      <c r="L349" s="314"/>
      <c r="M349" s="314"/>
      <c r="N349" s="314"/>
      <c r="O349" s="314"/>
      <c r="P349" s="314"/>
      <c r="Q349" s="314"/>
      <c r="R349" s="442"/>
      <c r="S349" s="314"/>
      <c r="T349" s="314"/>
      <c r="U349" s="314"/>
      <c r="V349" s="315">
        <v>4</v>
      </c>
      <c r="W349" s="447">
        <f t="shared" si="35"/>
        <v>0</v>
      </c>
      <c r="X349" s="447">
        <f t="shared" si="36"/>
        <v>0</v>
      </c>
      <c r="Y349" s="447">
        <f t="shared" si="37"/>
        <v>0</v>
      </c>
      <c r="Z349" s="447">
        <f t="shared" si="38"/>
        <v>0</v>
      </c>
      <c r="AA349" s="447">
        <f t="shared" si="39"/>
        <v>0</v>
      </c>
      <c r="AB349" s="447" t="e">
        <f t="shared" si="40"/>
        <v>#DIV/0!</v>
      </c>
      <c r="AC349" s="448" t="e">
        <f t="shared" si="41"/>
        <v>#DIV/0!</v>
      </c>
      <c r="AE349" s="349" t="str">
        <f>AF349&amp;TM[[#This Row],[Insurer Code]]&amp;"; "&amp;AG349&amp;TM[[#This Row],[Reporting Year]]&amp;"; "&amp;AH349&amp;TM[[#This Row],[Insurance Category Code]]&amp;"; "&amp;AI349&amp;TM[[#This Row],[Large Provider Entity Code]]</f>
        <v xml:space="preserve">Insurer Code ; Reporting Year ; Insurance Category Code ; Large Provider Entity Code </v>
      </c>
      <c r="AF349" s="345" t="s">
        <v>207</v>
      </c>
      <c r="AG349" s="345" t="s">
        <v>208</v>
      </c>
      <c r="AH349" s="345" t="s">
        <v>209</v>
      </c>
      <c r="AI349" s="345" t="s">
        <v>210</v>
      </c>
      <c r="AJ349" s="345"/>
      <c r="AK349" s="345"/>
      <c r="AL349" s="345"/>
      <c r="AM349" s="11"/>
      <c r="AN349" s="11"/>
      <c r="AO349" s="11"/>
    </row>
    <row r="350" spans="1:41" x14ac:dyDescent="0.25">
      <c r="A350" s="311"/>
      <c r="B350" s="312"/>
      <c r="C350" s="312"/>
      <c r="D350" s="312"/>
      <c r="E350" s="328"/>
      <c r="F350" s="442"/>
      <c r="G350" s="314"/>
      <c r="H350" s="314"/>
      <c r="I350" s="314"/>
      <c r="J350" s="314"/>
      <c r="K350" s="314"/>
      <c r="L350" s="314"/>
      <c r="M350" s="314"/>
      <c r="N350" s="314"/>
      <c r="O350" s="314"/>
      <c r="P350" s="314"/>
      <c r="Q350" s="314"/>
      <c r="R350" s="442"/>
      <c r="S350" s="314"/>
      <c r="T350" s="314"/>
      <c r="U350" s="314"/>
      <c r="V350" s="315">
        <v>3</v>
      </c>
      <c r="W350" s="451">
        <f t="shared" si="35"/>
        <v>0</v>
      </c>
      <c r="X350" s="451">
        <f t="shared" si="36"/>
        <v>0</v>
      </c>
      <c r="Y350" s="451">
        <f t="shared" si="37"/>
        <v>0</v>
      </c>
      <c r="Z350" s="451">
        <f t="shared" si="38"/>
        <v>0</v>
      </c>
      <c r="AA350" s="451">
        <f t="shared" si="39"/>
        <v>0</v>
      </c>
      <c r="AB350" s="451" t="e">
        <f t="shared" si="40"/>
        <v>#DIV/0!</v>
      </c>
      <c r="AC350" s="452" t="e">
        <f t="shared" si="41"/>
        <v>#DIV/0!</v>
      </c>
      <c r="AE350" s="349" t="str">
        <f>AF350&amp;TM[[#This Row],[Insurer Code]]&amp;"; "&amp;AG350&amp;TM[[#This Row],[Reporting Year]]&amp;"; "&amp;AH350&amp;TM[[#This Row],[Insurance Category Code]]&amp;"; "&amp;AI350&amp;TM[[#This Row],[Large Provider Entity Code]]</f>
        <v xml:space="preserve">Insurer Code ; Reporting Year ; Insurance Category Code ; Large Provider Entity Code </v>
      </c>
      <c r="AF350" s="345" t="s">
        <v>207</v>
      </c>
      <c r="AG350" s="345" t="s">
        <v>208</v>
      </c>
      <c r="AH350" s="345" t="s">
        <v>209</v>
      </c>
      <c r="AI350" s="345" t="s">
        <v>210</v>
      </c>
      <c r="AJ350" s="345"/>
      <c r="AK350" s="345"/>
      <c r="AL350" s="345"/>
      <c r="AM350" s="11"/>
      <c r="AN350" s="11"/>
      <c r="AO350" s="11"/>
    </row>
    <row r="351" spans="1:41" x14ac:dyDescent="0.25">
      <c r="A351" s="311"/>
      <c r="B351" s="312"/>
      <c r="C351" s="312"/>
      <c r="D351" s="312"/>
      <c r="E351" s="328"/>
      <c r="F351" s="442"/>
      <c r="G351" s="314"/>
      <c r="H351" s="314"/>
      <c r="I351" s="314"/>
      <c r="J351" s="314"/>
      <c r="K351" s="314"/>
      <c r="L351" s="314"/>
      <c r="M351" s="314"/>
      <c r="N351" s="314"/>
      <c r="O351" s="314"/>
      <c r="P351" s="314"/>
      <c r="Q351" s="314"/>
      <c r="R351" s="442"/>
      <c r="S351" s="314"/>
      <c r="T351" s="314"/>
      <c r="U351" s="314"/>
      <c r="V351" s="315">
        <v>0</v>
      </c>
      <c r="W351" s="451">
        <f t="shared" si="35"/>
        <v>0</v>
      </c>
      <c r="X351" s="451">
        <f t="shared" si="36"/>
        <v>0</v>
      </c>
      <c r="Y351" s="451">
        <f t="shared" si="37"/>
        <v>0</v>
      </c>
      <c r="Z351" s="451">
        <f t="shared" si="38"/>
        <v>0</v>
      </c>
      <c r="AA351" s="451">
        <f t="shared" si="39"/>
        <v>0</v>
      </c>
      <c r="AB351" s="451" t="e">
        <f t="shared" si="40"/>
        <v>#DIV/0!</v>
      </c>
      <c r="AC351" s="452" t="e">
        <f t="shared" si="41"/>
        <v>#DIV/0!</v>
      </c>
      <c r="AE351" s="349" t="str">
        <f>AF351&amp;TM[[#This Row],[Insurer Code]]&amp;"; "&amp;AG351&amp;TM[[#This Row],[Reporting Year]]&amp;"; "&amp;AH351&amp;TM[[#This Row],[Insurance Category Code]]&amp;"; "&amp;AI351&amp;TM[[#This Row],[Large Provider Entity Code]]</f>
        <v xml:space="preserve">Insurer Code ; Reporting Year ; Insurance Category Code ; Large Provider Entity Code </v>
      </c>
      <c r="AF351" s="345" t="s">
        <v>207</v>
      </c>
      <c r="AG351" s="345" t="s">
        <v>208</v>
      </c>
      <c r="AH351" s="345" t="s">
        <v>209</v>
      </c>
      <c r="AI351" s="345" t="s">
        <v>210</v>
      </c>
      <c r="AJ351" s="345"/>
      <c r="AK351" s="345"/>
      <c r="AL351" s="345"/>
      <c r="AM351" s="11"/>
      <c r="AN351" s="11"/>
      <c r="AO351" s="11"/>
    </row>
    <row r="352" spans="1:41" x14ac:dyDescent="0.25">
      <c r="A352" s="311"/>
      <c r="B352" s="312"/>
      <c r="C352" s="312"/>
      <c r="D352" s="312"/>
      <c r="E352" s="328"/>
      <c r="F352" s="442"/>
      <c r="G352" s="314"/>
      <c r="H352" s="314"/>
      <c r="I352" s="314"/>
      <c r="J352" s="314"/>
      <c r="K352" s="314"/>
      <c r="L352" s="314"/>
      <c r="M352" s="314"/>
      <c r="N352" s="314"/>
      <c r="O352" s="314"/>
      <c r="P352" s="314"/>
      <c r="Q352" s="314"/>
      <c r="R352" s="442"/>
      <c r="S352" s="314"/>
      <c r="T352" s="314"/>
      <c r="U352" s="314"/>
      <c r="V352" s="315">
        <v>0</v>
      </c>
      <c r="W352" s="451">
        <f t="shared" si="35"/>
        <v>0</v>
      </c>
      <c r="X352" s="451">
        <f t="shared" si="36"/>
        <v>0</v>
      </c>
      <c r="Y352" s="451">
        <f t="shared" si="37"/>
        <v>0</v>
      </c>
      <c r="Z352" s="451">
        <f t="shared" si="38"/>
        <v>0</v>
      </c>
      <c r="AA352" s="451">
        <f t="shared" si="39"/>
        <v>0</v>
      </c>
      <c r="AB352" s="451" t="e">
        <f t="shared" si="40"/>
        <v>#DIV/0!</v>
      </c>
      <c r="AC352" s="452" t="e">
        <f t="shared" si="41"/>
        <v>#DIV/0!</v>
      </c>
      <c r="AE352" s="349" t="str">
        <f>AF352&amp;TM[[#This Row],[Insurer Code]]&amp;"; "&amp;AG352&amp;TM[[#This Row],[Reporting Year]]&amp;"; "&amp;AH352&amp;TM[[#This Row],[Insurance Category Code]]&amp;"; "&amp;AI352&amp;TM[[#This Row],[Large Provider Entity Code]]</f>
        <v xml:space="preserve">Insurer Code ; Reporting Year ; Insurance Category Code ; Large Provider Entity Code </v>
      </c>
      <c r="AF352" s="345" t="s">
        <v>207</v>
      </c>
      <c r="AG352" s="345" t="s">
        <v>208</v>
      </c>
      <c r="AH352" s="345" t="s">
        <v>209</v>
      </c>
      <c r="AI352" s="345" t="s">
        <v>210</v>
      </c>
      <c r="AJ352" s="345"/>
      <c r="AK352" s="345"/>
      <c r="AL352" s="345"/>
      <c r="AM352" s="11"/>
      <c r="AN352" s="11"/>
      <c r="AO352" s="11"/>
    </row>
    <row r="353" spans="1:41" x14ac:dyDescent="0.25">
      <c r="A353" s="311"/>
      <c r="B353" s="312"/>
      <c r="C353" s="312"/>
      <c r="D353" s="312"/>
      <c r="E353" s="328"/>
      <c r="F353" s="442"/>
      <c r="G353" s="314"/>
      <c r="H353" s="314"/>
      <c r="I353" s="314"/>
      <c r="J353" s="314"/>
      <c r="K353" s="314"/>
      <c r="L353" s="314"/>
      <c r="M353" s="314"/>
      <c r="N353" s="314"/>
      <c r="O353" s="314"/>
      <c r="P353" s="314"/>
      <c r="Q353" s="314"/>
      <c r="R353" s="442"/>
      <c r="S353" s="314"/>
      <c r="T353" s="314"/>
      <c r="U353" s="314"/>
      <c r="V353" s="315">
        <v>6</v>
      </c>
      <c r="W353" s="451">
        <f t="shared" si="35"/>
        <v>0</v>
      </c>
      <c r="X353" s="451">
        <f t="shared" si="36"/>
        <v>0</v>
      </c>
      <c r="Y353" s="451">
        <f t="shared" si="37"/>
        <v>0</v>
      </c>
      <c r="Z353" s="451">
        <f t="shared" si="38"/>
        <v>0</v>
      </c>
      <c r="AA353" s="451">
        <f t="shared" si="39"/>
        <v>0</v>
      </c>
      <c r="AB353" s="451" t="e">
        <f t="shared" si="40"/>
        <v>#DIV/0!</v>
      </c>
      <c r="AC353" s="452" t="e">
        <f t="shared" si="41"/>
        <v>#DIV/0!</v>
      </c>
      <c r="AE353" s="349" t="str">
        <f>AF353&amp;TM[[#This Row],[Insurer Code]]&amp;"; "&amp;AG353&amp;TM[[#This Row],[Reporting Year]]&amp;"; "&amp;AH353&amp;TM[[#This Row],[Insurance Category Code]]&amp;"; "&amp;AI353&amp;TM[[#This Row],[Large Provider Entity Code]]</f>
        <v xml:space="preserve">Insurer Code ; Reporting Year ; Insurance Category Code ; Large Provider Entity Code </v>
      </c>
      <c r="AF353" s="345" t="s">
        <v>207</v>
      </c>
      <c r="AG353" s="345" t="s">
        <v>208</v>
      </c>
      <c r="AH353" s="345" t="s">
        <v>209</v>
      </c>
      <c r="AI353" s="345" t="s">
        <v>210</v>
      </c>
      <c r="AJ353" s="345"/>
      <c r="AK353" s="345"/>
      <c r="AL353" s="345"/>
      <c r="AM353" s="11"/>
      <c r="AN353" s="11"/>
      <c r="AO353" s="11"/>
    </row>
    <row r="354" spans="1:41" x14ac:dyDescent="0.25">
      <c r="A354" s="311"/>
      <c r="B354" s="312"/>
      <c r="C354" s="312"/>
      <c r="D354" s="312"/>
      <c r="E354" s="328"/>
      <c r="F354" s="442"/>
      <c r="G354" s="314"/>
      <c r="H354" s="314"/>
      <c r="I354" s="314"/>
      <c r="J354" s="314"/>
      <c r="K354" s="314"/>
      <c r="L354" s="314"/>
      <c r="M354" s="314"/>
      <c r="N354" s="314"/>
      <c r="O354" s="314"/>
      <c r="P354" s="314"/>
      <c r="Q354" s="314"/>
      <c r="R354" s="442"/>
      <c r="S354" s="314"/>
      <c r="T354" s="314"/>
      <c r="U354" s="314"/>
      <c r="V354" s="315">
        <v>0</v>
      </c>
      <c r="W354" s="451">
        <f t="shared" si="35"/>
        <v>0</v>
      </c>
      <c r="X354" s="451">
        <f t="shared" si="36"/>
        <v>0</v>
      </c>
      <c r="Y354" s="451">
        <f t="shared" si="37"/>
        <v>0</v>
      </c>
      <c r="Z354" s="451">
        <f t="shared" si="38"/>
        <v>0</v>
      </c>
      <c r="AA354" s="451">
        <f t="shared" si="39"/>
        <v>0</v>
      </c>
      <c r="AB354" s="451" t="e">
        <f t="shared" si="40"/>
        <v>#DIV/0!</v>
      </c>
      <c r="AC354" s="452" t="e">
        <f t="shared" si="41"/>
        <v>#DIV/0!</v>
      </c>
      <c r="AE354" s="349" t="str">
        <f>AF354&amp;TM[[#This Row],[Insurer Code]]&amp;"; "&amp;AG354&amp;TM[[#This Row],[Reporting Year]]&amp;"; "&amp;AH354&amp;TM[[#This Row],[Insurance Category Code]]&amp;"; "&amp;AI354&amp;TM[[#This Row],[Large Provider Entity Code]]</f>
        <v xml:space="preserve">Insurer Code ; Reporting Year ; Insurance Category Code ; Large Provider Entity Code </v>
      </c>
      <c r="AF354" s="345" t="s">
        <v>207</v>
      </c>
      <c r="AG354" s="345" t="s">
        <v>208</v>
      </c>
      <c r="AH354" s="345" t="s">
        <v>209</v>
      </c>
      <c r="AI354" s="345" t="s">
        <v>210</v>
      </c>
      <c r="AJ354" s="345"/>
      <c r="AK354" s="345"/>
      <c r="AL354" s="345"/>
      <c r="AM354" s="11"/>
      <c r="AN354" s="11"/>
      <c r="AO354" s="11"/>
    </row>
    <row r="355" spans="1:41" x14ac:dyDescent="0.25">
      <c r="A355" s="311"/>
      <c r="B355" s="312"/>
      <c r="C355" s="312"/>
      <c r="D355" s="312"/>
      <c r="E355" s="313"/>
      <c r="F355" s="314"/>
      <c r="G355" s="314"/>
      <c r="H355" s="314"/>
      <c r="I355" s="314"/>
      <c r="J355" s="314"/>
      <c r="K355" s="314"/>
      <c r="L355" s="314"/>
      <c r="M355" s="314"/>
      <c r="N355" s="314"/>
      <c r="O355" s="314"/>
      <c r="P355" s="314"/>
      <c r="Q355" s="314"/>
      <c r="R355" s="442"/>
      <c r="S355" s="314"/>
      <c r="T355" s="314"/>
      <c r="U355" s="314"/>
      <c r="V355" s="315">
        <v>0</v>
      </c>
      <c r="W355" s="447">
        <f t="shared" si="35"/>
        <v>0</v>
      </c>
      <c r="X355" s="447">
        <f t="shared" si="36"/>
        <v>0</v>
      </c>
      <c r="Y355" s="447">
        <f t="shared" si="37"/>
        <v>0</v>
      </c>
      <c r="Z355" s="447">
        <f t="shared" si="38"/>
        <v>0</v>
      </c>
      <c r="AA355" s="447">
        <f t="shared" si="39"/>
        <v>0</v>
      </c>
      <c r="AB355" s="447" t="e">
        <f t="shared" si="40"/>
        <v>#DIV/0!</v>
      </c>
      <c r="AC355" s="448" t="e">
        <f t="shared" si="41"/>
        <v>#DIV/0!</v>
      </c>
      <c r="AE355" s="349" t="str">
        <f>AF355&amp;TM[[#This Row],[Insurer Code]]&amp;"; "&amp;AG355&amp;TM[[#This Row],[Reporting Year]]&amp;"; "&amp;AH355&amp;TM[[#This Row],[Insurance Category Code]]&amp;"; "&amp;AI355&amp;TM[[#This Row],[Large Provider Entity Code]]</f>
        <v xml:space="preserve">Insurer Code ; Reporting Year ; Insurance Category Code ; Large Provider Entity Code </v>
      </c>
      <c r="AF355" s="345" t="s">
        <v>207</v>
      </c>
      <c r="AG355" s="345" t="s">
        <v>208</v>
      </c>
      <c r="AH355" s="345" t="s">
        <v>209</v>
      </c>
      <c r="AI355" s="345" t="s">
        <v>210</v>
      </c>
      <c r="AJ355" s="345"/>
      <c r="AK355" s="345"/>
      <c r="AL355" s="345"/>
      <c r="AM355" s="11"/>
      <c r="AN355" s="11"/>
      <c r="AO355" s="11"/>
    </row>
    <row r="356" spans="1:41" x14ac:dyDescent="0.25">
      <c r="A356" s="311"/>
      <c r="B356" s="316"/>
      <c r="C356" s="316"/>
      <c r="D356" s="312"/>
      <c r="E356" s="317"/>
      <c r="F356" s="336"/>
      <c r="G356" s="336"/>
      <c r="H356" s="336"/>
      <c r="I356" s="336"/>
      <c r="J356" s="336"/>
      <c r="K356" s="336"/>
      <c r="L356" s="336"/>
      <c r="M356" s="336"/>
      <c r="N356" s="336"/>
      <c r="O356" s="336"/>
      <c r="P356" s="336"/>
      <c r="Q356" s="336"/>
      <c r="R356" s="443"/>
      <c r="S356" s="336"/>
      <c r="T356" s="336"/>
      <c r="U356" s="314"/>
      <c r="V356" s="318">
        <v>31</v>
      </c>
      <c r="W356" s="447">
        <f t="shared" si="35"/>
        <v>0</v>
      </c>
      <c r="X356" s="447">
        <f t="shared" si="36"/>
        <v>0</v>
      </c>
      <c r="Y356" s="447">
        <f t="shared" si="37"/>
        <v>0</v>
      </c>
      <c r="Z356" s="447">
        <f t="shared" si="38"/>
        <v>0</v>
      </c>
      <c r="AA356" s="447">
        <f t="shared" si="39"/>
        <v>0</v>
      </c>
      <c r="AB356" s="447" t="e">
        <f t="shared" si="40"/>
        <v>#DIV/0!</v>
      </c>
      <c r="AC356" s="448" t="e">
        <f t="shared" si="41"/>
        <v>#DIV/0!</v>
      </c>
      <c r="AE356" s="349" t="str">
        <f>AF356&amp;TM[[#This Row],[Insurer Code]]&amp;"; "&amp;AG356&amp;TM[[#This Row],[Reporting Year]]&amp;"; "&amp;AH356&amp;TM[[#This Row],[Insurance Category Code]]&amp;"; "&amp;AI356&amp;TM[[#This Row],[Large Provider Entity Code]]</f>
        <v xml:space="preserve">Insurer Code ; Reporting Year ; Insurance Category Code ; Large Provider Entity Code </v>
      </c>
      <c r="AF356" s="345" t="s">
        <v>207</v>
      </c>
      <c r="AG356" s="345" t="s">
        <v>208</v>
      </c>
      <c r="AH356" s="345" t="s">
        <v>209</v>
      </c>
      <c r="AI356" s="345" t="s">
        <v>210</v>
      </c>
      <c r="AJ356" s="345"/>
      <c r="AK356" s="345"/>
      <c r="AL356" s="345"/>
      <c r="AM356" s="11"/>
      <c r="AN356" s="11"/>
      <c r="AO356" s="11"/>
    </row>
    <row r="357" spans="1:41" x14ac:dyDescent="0.25">
      <c r="A357" s="311"/>
      <c r="B357" s="316"/>
      <c r="C357" s="316"/>
      <c r="D357" s="312"/>
      <c r="E357" s="317"/>
      <c r="F357" s="336"/>
      <c r="G357" s="336"/>
      <c r="H357" s="336"/>
      <c r="I357" s="336"/>
      <c r="J357" s="336"/>
      <c r="K357" s="336"/>
      <c r="L357" s="336"/>
      <c r="M357" s="336"/>
      <c r="N357" s="336"/>
      <c r="O357" s="336"/>
      <c r="P357" s="336"/>
      <c r="Q357" s="336"/>
      <c r="R357" s="443"/>
      <c r="S357" s="336"/>
      <c r="T357" s="336"/>
      <c r="U357" s="314"/>
      <c r="V357" s="318">
        <v>10</v>
      </c>
      <c r="W357" s="447">
        <f t="shared" si="35"/>
        <v>0</v>
      </c>
      <c r="X357" s="447">
        <f t="shared" si="36"/>
        <v>0</v>
      </c>
      <c r="Y357" s="447">
        <f t="shared" si="37"/>
        <v>0</v>
      </c>
      <c r="Z357" s="447">
        <f t="shared" si="38"/>
        <v>0</v>
      </c>
      <c r="AA357" s="447">
        <f t="shared" si="39"/>
        <v>0</v>
      </c>
      <c r="AB357" s="447" t="e">
        <f t="shared" si="40"/>
        <v>#DIV/0!</v>
      </c>
      <c r="AC357" s="448" t="e">
        <f t="shared" si="41"/>
        <v>#DIV/0!</v>
      </c>
      <c r="AE357" s="349" t="str">
        <f>AF357&amp;TM[[#This Row],[Insurer Code]]&amp;"; "&amp;AG357&amp;TM[[#This Row],[Reporting Year]]&amp;"; "&amp;AH357&amp;TM[[#This Row],[Insurance Category Code]]&amp;"; "&amp;AI357&amp;TM[[#This Row],[Large Provider Entity Code]]</f>
        <v xml:space="preserve">Insurer Code ; Reporting Year ; Insurance Category Code ; Large Provider Entity Code </v>
      </c>
      <c r="AF357" s="345" t="s">
        <v>207</v>
      </c>
      <c r="AG357" s="345" t="s">
        <v>208</v>
      </c>
      <c r="AH357" s="345" t="s">
        <v>209</v>
      </c>
      <c r="AI357" s="345" t="s">
        <v>210</v>
      </c>
      <c r="AJ357" s="345"/>
      <c r="AK357" s="345"/>
      <c r="AL357" s="345"/>
      <c r="AM357" s="11"/>
      <c r="AN357" s="11"/>
      <c r="AO357" s="11"/>
    </row>
    <row r="358" spans="1:41" x14ac:dyDescent="0.25">
      <c r="A358" s="311"/>
      <c r="B358" s="312"/>
      <c r="C358" s="312"/>
      <c r="D358" s="312"/>
      <c r="E358" s="313"/>
      <c r="F358" s="314"/>
      <c r="G358" s="314"/>
      <c r="H358" s="314"/>
      <c r="I358" s="314"/>
      <c r="J358" s="314"/>
      <c r="K358" s="314"/>
      <c r="L358" s="314"/>
      <c r="M358" s="314"/>
      <c r="N358" s="314"/>
      <c r="O358" s="314"/>
      <c r="P358" s="314"/>
      <c r="Q358" s="314"/>
      <c r="R358" s="442"/>
      <c r="S358" s="314"/>
      <c r="T358" s="314"/>
      <c r="U358" s="314"/>
      <c r="V358" s="315">
        <v>0</v>
      </c>
      <c r="W358" s="447">
        <f t="shared" si="35"/>
        <v>0</v>
      </c>
      <c r="X358" s="447">
        <f t="shared" si="36"/>
        <v>0</v>
      </c>
      <c r="Y358" s="447">
        <f t="shared" si="37"/>
        <v>0</v>
      </c>
      <c r="Z358" s="447">
        <f t="shared" si="38"/>
        <v>0</v>
      </c>
      <c r="AA358" s="447">
        <f t="shared" si="39"/>
        <v>0</v>
      </c>
      <c r="AB358" s="447" t="e">
        <f t="shared" si="40"/>
        <v>#DIV/0!</v>
      </c>
      <c r="AC358" s="448" t="e">
        <f t="shared" si="41"/>
        <v>#DIV/0!</v>
      </c>
      <c r="AE358" s="349" t="str">
        <f>AF358&amp;TM[[#This Row],[Insurer Code]]&amp;"; "&amp;AG358&amp;TM[[#This Row],[Reporting Year]]&amp;"; "&amp;AH358&amp;TM[[#This Row],[Insurance Category Code]]&amp;"; "&amp;AI358&amp;TM[[#This Row],[Large Provider Entity Code]]</f>
        <v xml:space="preserve">Insurer Code ; Reporting Year ; Insurance Category Code ; Large Provider Entity Code </v>
      </c>
      <c r="AF358" s="345" t="s">
        <v>207</v>
      </c>
      <c r="AG358" s="345" t="s">
        <v>208</v>
      </c>
      <c r="AH358" s="345" t="s">
        <v>209</v>
      </c>
      <c r="AI358" s="345" t="s">
        <v>210</v>
      </c>
      <c r="AJ358" s="345"/>
      <c r="AK358" s="345"/>
      <c r="AL358" s="345"/>
      <c r="AM358" s="11"/>
      <c r="AN358" s="11"/>
      <c r="AO358" s="11"/>
    </row>
    <row r="359" spans="1:41" x14ac:dyDescent="0.25">
      <c r="A359" s="311"/>
      <c r="B359" s="316"/>
      <c r="C359" s="316"/>
      <c r="D359" s="312"/>
      <c r="E359" s="319"/>
      <c r="F359" s="336"/>
      <c r="G359" s="336"/>
      <c r="H359" s="336"/>
      <c r="I359" s="336"/>
      <c r="J359" s="336"/>
      <c r="K359" s="336"/>
      <c r="L359" s="336"/>
      <c r="M359" s="336"/>
      <c r="N359" s="336"/>
      <c r="O359" s="336"/>
      <c r="P359" s="336"/>
      <c r="Q359" s="336"/>
      <c r="R359" s="443"/>
      <c r="S359" s="336"/>
      <c r="T359" s="336"/>
      <c r="U359" s="314"/>
      <c r="V359" s="318">
        <v>22</v>
      </c>
      <c r="W359" s="447">
        <f t="shared" si="35"/>
        <v>0</v>
      </c>
      <c r="X359" s="447">
        <f t="shared" si="36"/>
        <v>0</v>
      </c>
      <c r="Y359" s="447">
        <f t="shared" si="37"/>
        <v>0</v>
      </c>
      <c r="Z359" s="447">
        <f t="shared" si="38"/>
        <v>0</v>
      </c>
      <c r="AA359" s="447">
        <f t="shared" si="39"/>
        <v>0</v>
      </c>
      <c r="AB359" s="447" t="e">
        <f t="shared" si="40"/>
        <v>#DIV/0!</v>
      </c>
      <c r="AC359" s="448" t="e">
        <f t="shared" si="41"/>
        <v>#DIV/0!</v>
      </c>
      <c r="AE359" s="349" t="str">
        <f>AF359&amp;TM[[#This Row],[Insurer Code]]&amp;"; "&amp;AG359&amp;TM[[#This Row],[Reporting Year]]&amp;"; "&amp;AH359&amp;TM[[#This Row],[Insurance Category Code]]&amp;"; "&amp;AI359&amp;TM[[#This Row],[Large Provider Entity Code]]</f>
        <v xml:space="preserve">Insurer Code ; Reporting Year ; Insurance Category Code ; Large Provider Entity Code </v>
      </c>
      <c r="AF359" s="345" t="s">
        <v>207</v>
      </c>
      <c r="AG359" s="345" t="s">
        <v>208</v>
      </c>
      <c r="AH359" s="345" t="s">
        <v>209</v>
      </c>
      <c r="AI359" s="345" t="s">
        <v>210</v>
      </c>
      <c r="AJ359" s="345"/>
      <c r="AK359" s="345"/>
      <c r="AL359" s="345"/>
      <c r="AM359" s="11"/>
      <c r="AN359" s="11"/>
      <c r="AO359" s="11"/>
    </row>
    <row r="360" spans="1:41" x14ac:dyDescent="0.25">
      <c r="A360" s="311"/>
      <c r="B360" s="316"/>
      <c r="C360" s="316"/>
      <c r="D360" s="312"/>
      <c r="E360" s="319"/>
      <c r="F360" s="336"/>
      <c r="G360" s="336"/>
      <c r="H360" s="336"/>
      <c r="I360" s="336"/>
      <c r="J360" s="336"/>
      <c r="K360" s="336"/>
      <c r="L360" s="336"/>
      <c r="M360" s="336"/>
      <c r="N360" s="336"/>
      <c r="O360" s="336"/>
      <c r="P360" s="336"/>
      <c r="Q360" s="336"/>
      <c r="R360" s="443"/>
      <c r="S360" s="336"/>
      <c r="T360" s="336"/>
      <c r="U360" s="314"/>
      <c r="V360" s="318">
        <v>1</v>
      </c>
      <c r="W360" s="447">
        <f t="shared" si="35"/>
        <v>0</v>
      </c>
      <c r="X360" s="447">
        <f t="shared" si="36"/>
        <v>0</v>
      </c>
      <c r="Y360" s="447">
        <f t="shared" si="37"/>
        <v>0</v>
      </c>
      <c r="Z360" s="447">
        <f t="shared" si="38"/>
        <v>0</v>
      </c>
      <c r="AA360" s="447">
        <f t="shared" si="39"/>
        <v>0</v>
      </c>
      <c r="AB360" s="447" t="e">
        <f t="shared" si="40"/>
        <v>#DIV/0!</v>
      </c>
      <c r="AC360" s="448" t="e">
        <f t="shared" si="41"/>
        <v>#DIV/0!</v>
      </c>
      <c r="AE360" s="349" t="str">
        <f>AF360&amp;TM[[#This Row],[Insurer Code]]&amp;"; "&amp;AG360&amp;TM[[#This Row],[Reporting Year]]&amp;"; "&amp;AH360&amp;TM[[#This Row],[Insurance Category Code]]&amp;"; "&amp;AI360&amp;TM[[#This Row],[Large Provider Entity Code]]</f>
        <v xml:space="preserve">Insurer Code ; Reporting Year ; Insurance Category Code ; Large Provider Entity Code </v>
      </c>
      <c r="AF360" s="345" t="s">
        <v>207</v>
      </c>
      <c r="AG360" s="345" t="s">
        <v>208</v>
      </c>
      <c r="AH360" s="345" t="s">
        <v>209</v>
      </c>
      <c r="AI360" s="345" t="s">
        <v>210</v>
      </c>
      <c r="AJ360" s="345"/>
      <c r="AK360" s="345"/>
      <c r="AL360" s="345"/>
      <c r="AM360" s="11"/>
      <c r="AN360" s="11"/>
      <c r="AO360" s="11"/>
    </row>
    <row r="361" spans="1:41" x14ac:dyDescent="0.25">
      <c r="A361" s="311"/>
      <c r="B361" s="312"/>
      <c r="C361" s="312"/>
      <c r="D361" s="312"/>
      <c r="E361" s="313"/>
      <c r="F361" s="314"/>
      <c r="G361" s="314"/>
      <c r="H361" s="314"/>
      <c r="I361" s="314"/>
      <c r="J361" s="314"/>
      <c r="K361" s="314"/>
      <c r="L361" s="314"/>
      <c r="M361" s="314"/>
      <c r="N361" s="314"/>
      <c r="O361" s="314"/>
      <c r="P361" s="314"/>
      <c r="Q361" s="314"/>
      <c r="R361" s="442"/>
      <c r="S361" s="314"/>
      <c r="T361" s="314"/>
      <c r="U361" s="314"/>
      <c r="V361" s="315">
        <v>1</v>
      </c>
      <c r="W361" s="447">
        <f t="shared" si="35"/>
        <v>0</v>
      </c>
      <c r="X361" s="447">
        <f t="shared" si="36"/>
        <v>0</v>
      </c>
      <c r="Y361" s="447">
        <f t="shared" si="37"/>
        <v>0</v>
      </c>
      <c r="Z361" s="447">
        <f t="shared" si="38"/>
        <v>0</v>
      </c>
      <c r="AA361" s="447">
        <f t="shared" si="39"/>
        <v>0</v>
      </c>
      <c r="AB361" s="447" t="e">
        <f t="shared" si="40"/>
        <v>#DIV/0!</v>
      </c>
      <c r="AC361" s="448" t="e">
        <f t="shared" si="41"/>
        <v>#DIV/0!</v>
      </c>
      <c r="AE361" s="349" t="str">
        <f>AF361&amp;TM[[#This Row],[Insurer Code]]&amp;"; "&amp;AG361&amp;TM[[#This Row],[Reporting Year]]&amp;"; "&amp;AH361&amp;TM[[#This Row],[Insurance Category Code]]&amp;"; "&amp;AI361&amp;TM[[#This Row],[Large Provider Entity Code]]</f>
        <v xml:space="preserve">Insurer Code ; Reporting Year ; Insurance Category Code ; Large Provider Entity Code </v>
      </c>
      <c r="AF361" s="345" t="s">
        <v>207</v>
      </c>
      <c r="AG361" s="345" t="s">
        <v>208</v>
      </c>
      <c r="AH361" s="345" t="s">
        <v>209</v>
      </c>
      <c r="AI361" s="345" t="s">
        <v>210</v>
      </c>
      <c r="AJ361" s="345"/>
      <c r="AK361" s="345"/>
      <c r="AL361" s="345"/>
      <c r="AM361" s="11"/>
      <c r="AN361" s="11"/>
      <c r="AO361" s="11"/>
    </row>
    <row r="362" spans="1:41" x14ac:dyDescent="0.25">
      <c r="A362" s="311"/>
      <c r="B362" s="316"/>
      <c r="C362" s="316"/>
      <c r="D362" s="312"/>
      <c r="E362" s="319"/>
      <c r="F362" s="336"/>
      <c r="G362" s="336"/>
      <c r="H362" s="336"/>
      <c r="I362" s="336"/>
      <c r="J362" s="336"/>
      <c r="K362" s="336"/>
      <c r="L362" s="336"/>
      <c r="M362" s="336"/>
      <c r="N362" s="336"/>
      <c r="O362" s="336"/>
      <c r="P362" s="336"/>
      <c r="Q362" s="336"/>
      <c r="R362" s="443"/>
      <c r="S362" s="336"/>
      <c r="T362" s="336"/>
      <c r="U362" s="314"/>
      <c r="V362" s="318">
        <v>47</v>
      </c>
      <c r="W362" s="447">
        <f t="shared" si="35"/>
        <v>0</v>
      </c>
      <c r="X362" s="447">
        <f t="shared" si="36"/>
        <v>0</v>
      </c>
      <c r="Y362" s="447">
        <f t="shared" si="37"/>
        <v>0</v>
      </c>
      <c r="Z362" s="447">
        <f t="shared" si="38"/>
        <v>0</v>
      </c>
      <c r="AA362" s="447">
        <f t="shared" si="39"/>
        <v>0</v>
      </c>
      <c r="AB362" s="447" t="e">
        <f t="shared" si="40"/>
        <v>#DIV/0!</v>
      </c>
      <c r="AC362" s="448" t="e">
        <f t="shared" si="41"/>
        <v>#DIV/0!</v>
      </c>
      <c r="AE362" s="349" t="str">
        <f>AF362&amp;TM[[#This Row],[Insurer Code]]&amp;"; "&amp;AG362&amp;TM[[#This Row],[Reporting Year]]&amp;"; "&amp;AH362&amp;TM[[#This Row],[Insurance Category Code]]&amp;"; "&amp;AI362&amp;TM[[#This Row],[Large Provider Entity Code]]</f>
        <v xml:space="preserve">Insurer Code ; Reporting Year ; Insurance Category Code ; Large Provider Entity Code </v>
      </c>
      <c r="AF362" s="345" t="s">
        <v>207</v>
      </c>
      <c r="AG362" s="345" t="s">
        <v>208</v>
      </c>
      <c r="AH362" s="345" t="s">
        <v>209</v>
      </c>
      <c r="AI362" s="345" t="s">
        <v>210</v>
      </c>
      <c r="AJ362" s="345"/>
      <c r="AK362" s="345"/>
      <c r="AL362" s="345"/>
      <c r="AM362" s="11"/>
      <c r="AN362" s="11"/>
      <c r="AO362" s="11"/>
    </row>
    <row r="363" spans="1:41" x14ac:dyDescent="0.25">
      <c r="A363" s="311"/>
      <c r="B363" s="316"/>
      <c r="C363" s="316"/>
      <c r="D363" s="312"/>
      <c r="E363" s="319"/>
      <c r="F363" s="336"/>
      <c r="G363" s="336"/>
      <c r="H363" s="336"/>
      <c r="I363" s="336"/>
      <c r="J363" s="336"/>
      <c r="K363" s="336"/>
      <c r="L363" s="336"/>
      <c r="M363" s="336"/>
      <c r="N363" s="336"/>
      <c r="O363" s="336"/>
      <c r="P363" s="336"/>
      <c r="Q363" s="336"/>
      <c r="R363" s="443"/>
      <c r="S363" s="336"/>
      <c r="T363" s="336"/>
      <c r="U363" s="314"/>
      <c r="V363" s="318">
        <v>19</v>
      </c>
      <c r="W363" s="447">
        <f t="shared" si="35"/>
        <v>0</v>
      </c>
      <c r="X363" s="447">
        <f t="shared" si="36"/>
        <v>0</v>
      </c>
      <c r="Y363" s="447">
        <f t="shared" si="37"/>
        <v>0</v>
      </c>
      <c r="Z363" s="447">
        <f t="shared" si="38"/>
        <v>0</v>
      </c>
      <c r="AA363" s="447">
        <f t="shared" si="39"/>
        <v>0</v>
      </c>
      <c r="AB363" s="447" t="e">
        <f t="shared" si="40"/>
        <v>#DIV/0!</v>
      </c>
      <c r="AC363" s="448" t="e">
        <f t="shared" si="41"/>
        <v>#DIV/0!</v>
      </c>
      <c r="AE363" s="349" t="str">
        <f>AF363&amp;TM[[#This Row],[Insurer Code]]&amp;"; "&amp;AG363&amp;TM[[#This Row],[Reporting Year]]&amp;"; "&amp;AH363&amp;TM[[#This Row],[Insurance Category Code]]&amp;"; "&amp;AI363&amp;TM[[#This Row],[Large Provider Entity Code]]</f>
        <v xml:space="preserve">Insurer Code ; Reporting Year ; Insurance Category Code ; Large Provider Entity Code </v>
      </c>
      <c r="AF363" s="345" t="s">
        <v>207</v>
      </c>
      <c r="AG363" s="345" t="s">
        <v>208</v>
      </c>
      <c r="AH363" s="345" t="s">
        <v>209</v>
      </c>
      <c r="AI363" s="345" t="s">
        <v>210</v>
      </c>
      <c r="AJ363" s="345"/>
      <c r="AK363" s="345"/>
      <c r="AL363" s="345"/>
      <c r="AM363" s="11"/>
      <c r="AN363" s="11"/>
      <c r="AO363" s="11"/>
    </row>
    <row r="364" spans="1:41" x14ac:dyDescent="0.25">
      <c r="A364" s="311"/>
      <c r="B364" s="316"/>
      <c r="C364" s="316"/>
      <c r="D364" s="312"/>
      <c r="E364" s="317"/>
      <c r="F364" s="336"/>
      <c r="G364" s="336"/>
      <c r="H364" s="336"/>
      <c r="I364" s="336"/>
      <c r="J364" s="336"/>
      <c r="K364" s="336"/>
      <c r="L364" s="336"/>
      <c r="M364" s="336"/>
      <c r="N364" s="336"/>
      <c r="O364" s="336"/>
      <c r="P364" s="336"/>
      <c r="Q364" s="336"/>
      <c r="R364" s="443"/>
      <c r="S364" s="336"/>
      <c r="T364" s="336"/>
      <c r="U364" s="314"/>
      <c r="V364" s="318">
        <v>0</v>
      </c>
      <c r="W364" s="447">
        <f t="shared" si="35"/>
        <v>0</v>
      </c>
      <c r="X364" s="447">
        <f t="shared" si="36"/>
        <v>0</v>
      </c>
      <c r="Y364" s="447">
        <f t="shared" si="37"/>
        <v>0</v>
      </c>
      <c r="Z364" s="447">
        <f t="shared" si="38"/>
        <v>0</v>
      </c>
      <c r="AA364" s="447">
        <f t="shared" si="39"/>
        <v>0</v>
      </c>
      <c r="AB364" s="447" t="e">
        <f t="shared" si="40"/>
        <v>#DIV/0!</v>
      </c>
      <c r="AC364" s="448" t="e">
        <f t="shared" si="41"/>
        <v>#DIV/0!</v>
      </c>
      <c r="AE364" s="349" t="str">
        <f>AF364&amp;TM[[#This Row],[Insurer Code]]&amp;"; "&amp;AG364&amp;TM[[#This Row],[Reporting Year]]&amp;"; "&amp;AH364&amp;TM[[#This Row],[Insurance Category Code]]&amp;"; "&amp;AI364&amp;TM[[#This Row],[Large Provider Entity Code]]</f>
        <v xml:space="preserve">Insurer Code ; Reporting Year ; Insurance Category Code ; Large Provider Entity Code </v>
      </c>
      <c r="AF364" s="345" t="s">
        <v>207</v>
      </c>
      <c r="AG364" s="345" t="s">
        <v>208</v>
      </c>
      <c r="AH364" s="345" t="s">
        <v>209</v>
      </c>
      <c r="AI364" s="345" t="s">
        <v>210</v>
      </c>
      <c r="AJ364" s="345"/>
      <c r="AK364" s="345"/>
      <c r="AL364" s="345"/>
      <c r="AM364" s="11"/>
      <c r="AN364" s="11"/>
      <c r="AO364" s="11"/>
    </row>
    <row r="365" spans="1:41" x14ac:dyDescent="0.25">
      <c r="A365" s="311"/>
      <c r="B365" s="316"/>
      <c r="C365" s="316"/>
      <c r="D365" s="312"/>
      <c r="E365" s="317"/>
      <c r="F365" s="336"/>
      <c r="G365" s="336"/>
      <c r="H365" s="336"/>
      <c r="I365" s="336"/>
      <c r="J365" s="336"/>
      <c r="K365" s="336"/>
      <c r="L365" s="336"/>
      <c r="M365" s="336"/>
      <c r="N365" s="336"/>
      <c r="O365" s="336"/>
      <c r="P365" s="336"/>
      <c r="Q365" s="336"/>
      <c r="R365" s="443"/>
      <c r="S365" s="336"/>
      <c r="T365" s="336"/>
      <c r="U365" s="314"/>
      <c r="V365" s="318">
        <v>27</v>
      </c>
      <c r="W365" s="447">
        <f t="shared" si="35"/>
        <v>0</v>
      </c>
      <c r="X365" s="447">
        <f t="shared" si="36"/>
        <v>0</v>
      </c>
      <c r="Y365" s="447">
        <f t="shared" si="37"/>
        <v>0</v>
      </c>
      <c r="Z365" s="447">
        <f t="shared" si="38"/>
        <v>0</v>
      </c>
      <c r="AA365" s="447">
        <f t="shared" si="39"/>
        <v>0</v>
      </c>
      <c r="AB365" s="447" t="e">
        <f t="shared" si="40"/>
        <v>#DIV/0!</v>
      </c>
      <c r="AC365" s="448" t="e">
        <f t="shared" si="41"/>
        <v>#DIV/0!</v>
      </c>
      <c r="AE365" s="349" t="str">
        <f>AF365&amp;TM[[#This Row],[Insurer Code]]&amp;"; "&amp;AG365&amp;TM[[#This Row],[Reporting Year]]&amp;"; "&amp;AH365&amp;TM[[#This Row],[Insurance Category Code]]&amp;"; "&amp;AI365&amp;TM[[#This Row],[Large Provider Entity Code]]</f>
        <v xml:space="preserve">Insurer Code ; Reporting Year ; Insurance Category Code ; Large Provider Entity Code </v>
      </c>
      <c r="AF365" s="345" t="s">
        <v>207</v>
      </c>
      <c r="AG365" s="345" t="s">
        <v>208</v>
      </c>
      <c r="AH365" s="345" t="s">
        <v>209</v>
      </c>
      <c r="AI365" s="345" t="s">
        <v>210</v>
      </c>
      <c r="AJ365" s="345"/>
      <c r="AK365" s="345"/>
      <c r="AL365" s="345"/>
      <c r="AM365" s="11"/>
      <c r="AN365" s="11"/>
      <c r="AO365" s="11"/>
    </row>
    <row r="366" spans="1:41" x14ac:dyDescent="0.25">
      <c r="A366" s="311"/>
      <c r="B366" s="312"/>
      <c r="C366" s="312"/>
      <c r="D366" s="312"/>
      <c r="E366" s="328"/>
      <c r="F366" s="442"/>
      <c r="G366" s="314"/>
      <c r="H366" s="314"/>
      <c r="I366" s="314"/>
      <c r="J366" s="314"/>
      <c r="K366" s="314"/>
      <c r="L366" s="314"/>
      <c r="M366" s="314"/>
      <c r="N366" s="314"/>
      <c r="O366" s="314"/>
      <c r="P366" s="314"/>
      <c r="Q366" s="314"/>
      <c r="R366" s="442"/>
      <c r="S366" s="314"/>
      <c r="T366" s="314"/>
      <c r="U366" s="314"/>
      <c r="V366" s="315">
        <v>0</v>
      </c>
      <c r="W366" s="447">
        <f t="shared" si="35"/>
        <v>0</v>
      </c>
      <c r="X366" s="447">
        <f t="shared" si="36"/>
        <v>0</v>
      </c>
      <c r="Y366" s="447">
        <f t="shared" si="37"/>
        <v>0</v>
      </c>
      <c r="Z366" s="447">
        <f t="shared" si="38"/>
        <v>0</v>
      </c>
      <c r="AA366" s="447">
        <f t="shared" si="39"/>
        <v>0</v>
      </c>
      <c r="AB366" s="447" t="e">
        <f t="shared" si="40"/>
        <v>#DIV/0!</v>
      </c>
      <c r="AC366" s="448" t="e">
        <f t="shared" si="41"/>
        <v>#DIV/0!</v>
      </c>
      <c r="AE366" s="349" t="str">
        <f>AF366&amp;TM[[#This Row],[Insurer Code]]&amp;"; "&amp;AG366&amp;TM[[#This Row],[Reporting Year]]&amp;"; "&amp;AH366&amp;TM[[#This Row],[Insurance Category Code]]&amp;"; "&amp;AI366&amp;TM[[#This Row],[Large Provider Entity Code]]</f>
        <v xml:space="preserve">Insurer Code ; Reporting Year ; Insurance Category Code ; Large Provider Entity Code </v>
      </c>
      <c r="AF366" s="345" t="s">
        <v>207</v>
      </c>
      <c r="AG366" s="345" t="s">
        <v>208</v>
      </c>
      <c r="AH366" s="345" t="s">
        <v>209</v>
      </c>
      <c r="AI366" s="345" t="s">
        <v>210</v>
      </c>
      <c r="AJ366" s="345"/>
      <c r="AK366" s="345"/>
      <c r="AL366" s="345"/>
      <c r="AM366" s="11"/>
      <c r="AN366" s="11"/>
      <c r="AO366" s="11"/>
    </row>
    <row r="367" spans="1:41" x14ac:dyDescent="0.25">
      <c r="A367" s="311"/>
      <c r="B367" s="312"/>
      <c r="C367" s="312"/>
      <c r="D367" s="312"/>
      <c r="E367" s="328"/>
      <c r="F367" s="442"/>
      <c r="G367" s="314"/>
      <c r="H367" s="314"/>
      <c r="I367" s="314"/>
      <c r="J367" s="314"/>
      <c r="K367" s="314"/>
      <c r="L367" s="314"/>
      <c r="M367" s="314"/>
      <c r="N367" s="314"/>
      <c r="O367" s="314"/>
      <c r="P367" s="314"/>
      <c r="Q367" s="314"/>
      <c r="R367" s="442"/>
      <c r="S367" s="314"/>
      <c r="T367" s="314"/>
      <c r="U367" s="314"/>
      <c r="V367" s="315">
        <v>31</v>
      </c>
      <c r="W367" s="447">
        <f t="shared" si="35"/>
        <v>0</v>
      </c>
      <c r="X367" s="447">
        <f t="shared" si="36"/>
        <v>0</v>
      </c>
      <c r="Y367" s="447">
        <f t="shared" si="37"/>
        <v>0</v>
      </c>
      <c r="Z367" s="447">
        <f t="shared" si="38"/>
        <v>0</v>
      </c>
      <c r="AA367" s="447">
        <f t="shared" si="39"/>
        <v>0</v>
      </c>
      <c r="AB367" s="447" t="e">
        <f t="shared" si="40"/>
        <v>#DIV/0!</v>
      </c>
      <c r="AC367" s="448" t="e">
        <f t="shared" si="41"/>
        <v>#DIV/0!</v>
      </c>
      <c r="AE367" s="349" t="str">
        <f>AF367&amp;TM[[#This Row],[Insurer Code]]&amp;"; "&amp;AG367&amp;TM[[#This Row],[Reporting Year]]&amp;"; "&amp;AH367&amp;TM[[#This Row],[Insurance Category Code]]&amp;"; "&amp;AI367&amp;TM[[#This Row],[Large Provider Entity Code]]</f>
        <v xml:space="preserve">Insurer Code ; Reporting Year ; Insurance Category Code ; Large Provider Entity Code </v>
      </c>
      <c r="AF367" s="345" t="s">
        <v>207</v>
      </c>
      <c r="AG367" s="345" t="s">
        <v>208</v>
      </c>
      <c r="AH367" s="345" t="s">
        <v>209</v>
      </c>
      <c r="AI367" s="345" t="s">
        <v>210</v>
      </c>
      <c r="AJ367" s="345"/>
      <c r="AK367" s="345"/>
      <c r="AL367" s="345"/>
      <c r="AM367" s="11"/>
      <c r="AN367" s="11"/>
      <c r="AO367" s="11"/>
    </row>
    <row r="368" spans="1:41" x14ac:dyDescent="0.25">
      <c r="A368" s="311"/>
      <c r="B368" s="312"/>
      <c r="C368" s="312"/>
      <c r="D368" s="312"/>
      <c r="E368" s="328"/>
      <c r="F368" s="442"/>
      <c r="G368" s="314"/>
      <c r="H368" s="314"/>
      <c r="I368" s="314"/>
      <c r="J368" s="314"/>
      <c r="K368" s="314"/>
      <c r="L368" s="314"/>
      <c r="M368" s="314"/>
      <c r="N368" s="314"/>
      <c r="O368" s="314"/>
      <c r="P368" s="314"/>
      <c r="Q368" s="314"/>
      <c r="R368" s="442"/>
      <c r="S368" s="314"/>
      <c r="T368" s="314"/>
      <c r="U368" s="314"/>
      <c r="V368" s="315">
        <v>10</v>
      </c>
      <c r="W368" s="451">
        <f t="shared" si="35"/>
        <v>0</v>
      </c>
      <c r="X368" s="451">
        <f t="shared" si="36"/>
        <v>0</v>
      </c>
      <c r="Y368" s="451">
        <f t="shared" si="37"/>
        <v>0</v>
      </c>
      <c r="Z368" s="451">
        <f t="shared" si="38"/>
        <v>0</v>
      </c>
      <c r="AA368" s="451">
        <f t="shared" si="39"/>
        <v>0</v>
      </c>
      <c r="AB368" s="451" t="e">
        <f t="shared" si="40"/>
        <v>#DIV/0!</v>
      </c>
      <c r="AC368" s="452" t="e">
        <f t="shared" si="41"/>
        <v>#DIV/0!</v>
      </c>
      <c r="AE368" s="349" t="str">
        <f>AF368&amp;TM[[#This Row],[Insurer Code]]&amp;"; "&amp;AG368&amp;TM[[#This Row],[Reporting Year]]&amp;"; "&amp;AH368&amp;TM[[#This Row],[Insurance Category Code]]&amp;"; "&amp;AI368&amp;TM[[#This Row],[Large Provider Entity Code]]</f>
        <v xml:space="preserve">Insurer Code ; Reporting Year ; Insurance Category Code ; Large Provider Entity Code </v>
      </c>
      <c r="AF368" s="345" t="s">
        <v>207</v>
      </c>
      <c r="AG368" s="345" t="s">
        <v>208</v>
      </c>
      <c r="AH368" s="345" t="s">
        <v>209</v>
      </c>
      <c r="AI368" s="345" t="s">
        <v>210</v>
      </c>
      <c r="AJ368" s="345"/>
      <c r="AK368" s="345"/>
      <c r="AL368" s="345"/>
      <c r="AM368" s="11"/>
      <c r="AN368" s="11"/>
      <c r="AO368" s="11"/>
    </row>
    <row r="369" spans="1:41" x14ac:dyDescent="0.25">
      <c r="A369" s="311"/>
      <c r="B369" s="312"/>
      <c r="C369" s="312"/>
      <c r="D369" s="312"/>
      <c r="E369" s="328"/>
      <c r="F369" s="442"/>
      <c r="G369" s="314"/>
      <c r="H369" s="314"/>
      <c r="I369" s="314"/>
      <c r="J369" s="314"/>
      <c r="K369" s="314"/>
      <c r="L369" s="314"/>
      <c r="M369" s="314"/>
      <c r="N369" s="314"/>
      <c r="O369" s="314"/>
      <c r="P369" s="314"/>
      <c r="Q369" s="314"/>
      <c r="R369" s="442"/>
      <c r="S369" s="314"/>
      <c r="T369" s="314"/>
      <c r="U369" s="314"/>
      <c r="V369" s="315">
        <v>0</v>
      </c>
      <c r="W369" s="451">
        <f t="shared" si="35"/>
        <v>0</v>
      </c>
      <c r="X369" s="451">
        <f t="shared" si="36"/>
        <v>0</v>
      </c>
      <c r="Y369" s="451">
        <f t="shared" si="37"/>
        <v>0</v>
      </c>
      <c r="Z369" s="451">
        <f t="shared" si="38"/>
        <v>0</v>
      </c>
      <c r="AA369" s="451">
        <f t="shared" si="39"/>
        <v>0</v>
      </c>
      <c r="AB369" s="451" t="e">
        <f t="shared" si="40"/>
        <v>#DIV/0!</v>
      </c>
      <c r="AC369" s="452" t="e">
        <f t="shared" si="41"/>
        <v>#DIV/0!</v>
      </c>
      <c r="AE369" s="349" t="str">
        <f>AF369&amp;TM[[#This Row],[Insurer Code]]&amp;"; "&amp;AG369&amp;TM[[#This Row],[Reporting Year]]&amp;"; "&amp;AH369&amp;TM[[#This Row],[Insurance Category Code]]&amp;"; "&amp;AI369&amp;TM[[#This Row],[Large Provider Entity Code]]</f>
        <v xml:space="preserve">Insurer Code ; Reporting Year ; Insurance Category Code ; Large Provider Entity Code </v>
      </c>
      <c r="AF369" s="345" t="s">
        <v>207</v>
      </c>
      <c r="AG369" s="345" t="s">
        <v>208</v>
      </c>
      <c r="AH369" s="345" t="s">
        <v>209</v>
      </c>
      <c r="AI369" s="345" t="s">
        <v>210</v>
      </c>
      <c r="AJ369" s="345"/>
      <c r="AK369" s="345"/>
      <c r="AL369" s="345"/>
      <c r="AM369" s="11"/>
      <c r="AN369" s="11"/>
      <c r="AO369" s="11"/>
    </row>
    <row r="370" spans="1:41" x14ac:dyDescent="0.25">
      <c r="A370" s="311"/>
      <c r="B370" s="312"/>
      <c r="C370" s="312"/>
      <c r="D370" s="312"/>
      <c r="E370" s="328"/>
      <c r="F370" s="442"/>
      <c r="G370" s="314"/>
      <c r="H370" s="314"/>
      <c r="I370" s="314"/>
      <c r="J370" s="314"/>
      <c r="K370" s="314"/>
      <c r="L370" s="314"/>
      <c r="M370" s="314"/>
      <c r="N370" s="314"/>
      <c r="O370" s="314"/>
      <c r="P370" s="314"/>
      <c r="Q370" s="314"/>
      <c r="R370" s="442"/>
      <c r="S370" s="314"/>
      <c r="T370" s="314"/>
      <c r="U370" s="314"/>
      <c r="V370" s="315">
        <v>22</v>
      </c>
      <c r="W370" s="451">
        <f t="shared" si="35"/>
        <v>0</v>
      </c>
      <c r="X370" s="451">
        <f t="shared" si="36"/>
        <v>0</v>
      </c>
      <c r="Y370" s="451">
        <f t="shared" si="37"/>
        <v>0</v>
      </c>
      <c r="Z370" s="451">
        <f t="shared" si="38"/>
        <v>0</v>
      </c>
      <c r="AA370" s="451">
        <f t="shared" si="39"/>
        <v>0</v>
      </c>
      <c r="AB370" s="451" t="e">
        <f t="shared" si="40"/>
        <v>#DIV/0!</v>
      </c>
      <c r="AC370" s="452" t="e">
        <f t="shared" si="41"/>
        <v>#DIV/0!</v>
      </c>
      <c r="AE370" s="349" t="str">
        <f>AF370&amp;TM[[#This Row],[Insurer Code]]&amp;"; "&amp;AG370&amp;TM[[#This Row],[Reporting Year]]&amp;"; "&amp;AH370&amp;TM[[#This Row],[Insurance Category Code]]&amp;"; "&amp;AI370&amp;TM[[#This Row],[Large Provider Entity Code]]</f>
        <v xml:space="preserve">Insurer Code ; Reporting Year ; Insurance Category Code ; Large Provider Entity Code </v>
      </c>
      <c r="AF370" s="345" t="s">
        <v>207</v>
      </c>
      <c r="AG370" s="345" t="s">
        <v>208</v>
      </c>
      <c r="AH370" s="345" t="s">
        <v>209</v>
      </c>
      <c r="AI370" s="345" t="s">
        <v>210</v>
      </c>
      <c r="AJ370" s="345"/>
      <c r="AK370" s="345"/>
      <c r="AL370" s="345"/>
      <c r="AM370" s="11"/>
      <c r="AN370" s="11"/>
      <c r="AO370" s="11"/>
    </row>
    <row r="371" spans="1:41" x14ac:dyDescent="0.25">
      <c r="A371" s="311"/>
      <c r="B371" s="312"/>
      <c r="C371" s="312"/>
      <c r="D371" s="312"/>
      <c r="E371" s="328"/>
      <c r="F371" s="442"/>
      <c r="G371" s="314"/>
      <c r="H371" s="314"/>
      <c r="I371" s="314"/>
      <c r="J371" s="314"/>
      <c r="K371" s="314"/>
      <c r="L371" s="314"/>
      <c r="M371" s="314"/>
      <c r="N371" s="314"/>
      <c r="O371" s="314"/>
      <c r="P371" s="314"/>
      <c r="Q371" s="314"/>
      <c r="R371" s="442"/>
      <c r="S371" s="314"/>
      <c r="T371" s="314"/>
      <c r="U371" s="314"/>
      <c r="V371" s="315">
        <v>1</v>
      </c>
      <c r="W371" s="451">
        <f t="shared" si="35"/>
        <v>0</v>
      </c>
      <c r="X371" s="451">
        <f t="shared" si="36"/>
        <v>0</v>
      </c>
      <c r="Y371" s="451">
        <f t="shared" si="37"/>
        <v>0</v>
      </c>
      <c r="Z371" s="451">
        <f t="shared" si="38"/>
        <v>0</v>
      </c>
      <c r="AA371" s="451">
        <f t="shared" si="39"/>
        <v>0</v>
      </c>
      <c r="AB371" s="451" t="e">
        <f t="shared" si="40"/>
        <v>#DIV/0!</v>
      </c>
      <c r="AC371" s="452" t="e">
        <f t="shared" si="41"/>
        <v>#DIV/0!</v>
      </c>
      <c r="AE371" s="349" t="str">
        <f>AF371&amp;TM[[#This Row],[Insurer Code]]&amp;"; "&amp;AG371&amp;TM[[#This Row],[Reporting Year]]&amp;"; "&amp;AH371&amp;TM[[#This Row],[Insurance Category Code]]&amp;"; "&amp;AI371&amp;TM[[#This Row],[Large Provider Entity Code]]</f>
        <v xml:space="preserve">Insurer Code ; Reporting Year ; Insurance Category Code ; Large Provider Entity Code </v>
      </c>
      <c r="AF371" s="345" t="s">
        <v>207</v>
      </c>
      <c r="AG371" s="345" t="s">
        <v>208</v>
      </c>
      <c r="AH371" s="345" t="s">
        <v>209</v>
      </c>
      <c r="AI371" s="345" t="s">
        <v>210</v>
      </c>
      <c r="AJ371" s="345"/>
      <c r="AK371" s="345"/>
      <c r="AL371" s="345"/>
      <c r="AM371" s="11"/>
      <c r="AN371" s="11"/>
      <c r="AO371" s="11"/>
    </row>
    <row r="372" spans="1:41" x14ac:dyDescent="0.25">
      <c r="A372" s="311"/>
      <c r="B372" s="312"/>
      <c r="C372" s="312"/>
      <c r="D372" s="312"/>
      <c r="E372" s="313"/>
      <c r="F372" s="314"/>
      <c r="G372" s="314"/>
      <c r="H372" s="314"/>
      <c r="I372" s="314"/>
      <c r="J372" s="314"/>
      <c r="K372" s="314"/>
      <c r="L372" s="314"/>
      <c r="M372" s="314"/>
      <c r="N372" s="314"/>
      <c r="O372" s="314"/>
      <c r="P372" s="314"/>
      <c r="Q372" s="314"/>
      <c r="R372" s="442"/>
      <c r="S372" s="314"/>
      <c r="T372" s="314"/>
      <c r="U372" s="314"/>
      <c r="V372" s="315">
        <v>1</v>
      </c>
      <c r="W372" s="447">
        <f t="shared" si="35"/>
        <v>0</v>
      </c>
      <c r="X372" s="447">
        <f t="shared" si="36"/>
        <v>0</v>
      </c>
      <c r="Y372" s="447">
        <f t="shared" si="37"/>
        <v>0</v>
      </c>
      <c r="Z372" s="447">
        <f t="shared" si="38"/>
        <v>0</v>
      </c>
      <c r="AA372" s="447">
        <f t="shared" si="39"/>
        <v>0</v>
      </c>
      <c r="AB372" s="447" t="e">
        <f t="shared" si="40"/>
        <v>#DIV/0!</v>
      </c>
      <c r="AC372" s="448" t="e">
        <f t="shared" si="41"/>
        <v>#DIV/0!</v>
      </c>
      <c r="AE372" s="349" t="str">
        <f>AF372&amp;TM[[#This Row],[Insurer Code]]&amp;"; "&amp;AG372&amp;TM[[#This Row],[Reporting Year]]&amp;"; "&amp;AH372&amp;TM[[#This Row],[Insurance Category Code]]&amp;"; "&amp;AI372&amp;TM[[#This Row],[Large Provider Entity Code]]</f>
        <v xml:space="preserve">Insurer Code ; Reporting Year ; Insurance Category Code ; Large Provider Entity Code </v>
      </c>
      <c r="AF372" s="345" t="s">
        <v>207</v>
      </c>
      <c r="AG372" s="345" t="s">
        <v>208</v>
      </c>
      <c r="AH372" s="345" t="s">
        <v>209</v>
      </c>
      <c r="AI372" s="345" t="s">
        <v>210</v>
      </c>
      <c r="AJ372" s="345"/>
      <c r="AK372" s="345"/>
      <c r="AL372" s="345"/>
      <c r="AM372" s="11"/>
      <c r="AN372" s="11"/>
      <c r="AO372" s="11"/>
    </row>
    <row r="373" spans="1:41" x14ac:dyDescent="0.25">
      <c r="A373" s="311"/>
      <c r="B373" s="312"/>
      <c r="C373" s="312"/>
      <c r="D373" s="312"/>
      <c r="E373" s="313"/>
      <c r="F373" s="314"/>
      <c r="G373" s="314"/>
      <c r="H373" s="314"/>
      <c r="I373" s="314"/>
      <c r="J373" s="314"/>
      <c r="K373" s="314"/>
      <c r="L373" s="314"/>
      <c r="M373" s="314"/>
      <c r="N373" s="314"/>
      <c r="O373" s="314"/>
      <c r="P373" s="314"/>
      <c r="Q373" s="314"/>
      <c r="R373" s="442"/>
      <c r="S373" s="314"/>
      <c r="T373" s="314"/>
      <c r="U373" s="314"/>
      <c r="V373" s="315">
        <v>5</v>
      </c>
      <c r="W373" s="447">
        <f t="shared" si="35"/>
        <v>0</v>
      </c>
      <c r="X373" s="447">
        <f t="shared" si="36"/>
        <v>0</v>
      </c>
      <c r="Y373" s="447">
        <f t="shared" si="37"/>
        <v>0</v>
      </c>
      <c r="Z373" s="447">
        <f t="shared" si="38"/>
        <v>0</v>
      </c>
      <c r="AA373" s="447">
        <f t="shared" si="39"/>
        <v>0</v>
      </c>
      <c r="AB373" s="447" t="e">
        <f t="shared" si="40"/>
        <v>#DIV/0!</v>
      </c>
      <c r="AC373" s="448" t="e">
        <f t="shared" si="41"/>
        <v>#DIV/0!</v>
      </c>
      <c r="AE373" s="349" t="str">
        <f>AF373&amp;TM[[#This Row],[Insurer Code]]&amp;"; "&amp;AG373&amp;TM[[#This Row],[Reporting Year]]&amp;"; "&amp;AH373&amp;TM[[#This Row],[Insurance Category Code]]&amp;"; "&amp;AI373&amp;TM[[#This Row],[Large Provider Entity Code]]</f>
        <v xml:space="preserve">Insurer Code ; Reporting Year ; Insurance Category Code ; Large Provider Entity Code </v>
      </c>
      <c r="AF373" s="345" t="s">
        <v>207</v>
      </c>
      <c r="AG373" s="345" t="s">
        <v>208</v>
      </c>
      <c r="AH373" s="345" t="s">
        <v>209</v>
      </c>
      <c r="AI373" s="345" t="s">
        <v>210</v>
      </c>
      <c r="AJ373" s="345"/>
      <c r="AK373" s="345"/>
      <c r="AL373" s="345"/>
      <c r="AM373" s="11"/>
      <c r="AN373" s="11"/>
      <c r="AO373" s="11"/>
    </row>
    <row r="374" spans="1:41" x14ac:dyDescent="0.25">
      <c r="A374" s="311"/>
      <c r="B374" s="316"/>
      <c r="C374" s="316"/>
      <c r="D374" s="316"/>
      <c r="E374" s="317"/>
      <c r="F374" s="336"/>
      <c r="G374" s="336"/>
      <c r="H374" s="336"/>
      <c r="I374" s="336"/>
      <c r="J374" s="336"/>
      <c r="K374" s="336"/>
      <c r="L374" s="336"/>
      <c r="M374" s="336"/>
      <c r="N374" s="336"/>
      <c r="O374" s="336"/>
      <c r="P374" s="336"/>
      <c r="Q374" s="336"/>
      <c r="R374" s="443"/>
      <c r="S374" s="336"/>
      <c r="T374" s="336"/>
      <c r="U374" s="314"/>
      <c r="V374" s="318">
        <v>5</v>
      </c>
      <c r="W374" s="447">
        <f t="shared" si="35"/>
        <v>0</v>
      </c>
      <c r="X374" s="447">
        <f t="shared" si="36"/>
        <v>0</v>
      </c>
      <c r="Y374" s="447">
        <f t="shared" si="37"/>
        <v>0</v>
      </c>
      <c r="Z374" s="447">
        <f t="shared" si="38"/>
        <v>0</v>
      </c>
      <c r="AA374" s="447">
        <f t="shared" si="39"/>
        <v>0</v>
      </c>
      <c r="AB374" s="447" t="e">
        <f t="shared" si="40"/>
        <v>#DIV/0!</v>
      </c>
      <c r="AC374" s="448" t="e">
        <f t="shared" si="41"/>
        <v>#DIV/0!</v>
      </c>
      <c r="AE374" s="349" t="str">
        <f>AF374&amp;TM[[#This Row],[Insurer Code]]&amp;"; "&amp;AG374&amp;TM[[#This Row],[Reporting Year]]&amp;"; "&amp;AH374&amp;TM[[#This Row],[Insurance Category Code]]&amp;"; "&amp;AI374&amp;TM[[#This Row],[Large Provider Entity Code]]</f>
        <v xml:space="preserve">Insurer Code ; Reporting Year ; Insurance Category Code ; Large Provider Entity Code </v>
      </c>
      <c r="AF374" s="345" t="s">
        <v>207</v>
      </c>
      <c r="AG374" s="345" t="s">
        <v>208</v>
      </c>
      <c r="AH374" s="345" t="s">
        <v>209</v>
      </c>
      <c r="AI374" s="345" t="s">
        <v>210</v>
      </c>
      <c r="AJ374" s="345"/>
      <c r="AK374" s="345"/>
      <c r="AL374" s="345"/>
      <c r="AM374" s="11"/>
      <c r="AN374" s="11"/>
      <c r="AO374" s="11"/>
    </row>
    <row r="375" spans="1:41" x14ac:dyDescent="0.25">
      <c r="A375" s="311"/>
      <c r="B375" s="316"/>
      <c r="C375" s="316"/>
      <c r="D375" s="316"/>
      <c r="E375" s="317"/>
      <c r="F375" s="336"/>
      <c r="G375" s="336"/>
      <c r="H375" s="336"/>
      <c r="I375" s="336"/>
      <c r="J375" s="336"/>
      <c r="K375" s="336"/>
      <c r="L375" s="336"/>
      <c r="M375" s="336"/>
      <c r="N375" s="336"/>
      <c r="O375" s="336"/>
      <c r="P375" s="336"/>
      <c r="Q375" s="336"/>
      <c r="R375" s="443"/>
      <c r="S375" s="336"/>
      <c r="T375" s="336"/>
      <c r="U375" s="314"/>
      <c r="V375" s="318">
        <v>4</v>
      </c>
      <c r="W375" s="447">
        <f t="shared" si="35"/>
        <v>0</v>
      </c>
      <c r="X375" s="447">
        <f t="shared" si="36"/>
        <v>0</v>
      </c>
      <c r="Y375" s="447">
        <f t="shared" si="37"/>
        <v>0</v>
      </c>
      <c r="Z375" s="447">
        <f t="shared" si="38"/>
        <v>0</v>
      </c>
      <c r="AA375" s="447">
        <f t="shared" si="39"/>
        <v>0</v>
      </c>
      <c r="AB375" s="447" t="e">
        <f t="shared" si="40"/>
        <v>#DIV/0!</v>
      </c>
      <c r="AC375" s="448" t="e">
        <f t="shared" si="41"/>
        <v>#DIV/0!</v>
      </c>
      <c r="AE375" s="349" t="str">
        <f>AF375&amp;TM[[#This Row],[Insurer Code]]&amp;"; "&amp;AG375&amp;TM[[#This Row],[Reporting Year]]&amp;"; "&amp;AH375&amp;TM[[#This Row],[Insurance Category Code]]&amp;"; "&amp;AI375&amp;TM[[#This Row],[Large Provider Entity Code]]</f>
        <v xml:space="preserve">Insurer Code ; Reporting Year ; Insurance Category Code ; Large Provider Entity Code </v>
      </c>
      <c r="AF375" s="345" t="s">
        <v>207</v>
      </c>
      <c r="AG375" s="345" t="s">
        <v>208</v>
      </c>
      <c r="AH375" s="345" t="s">
        <v>209</v>
      </c>
      <c r="AI375" s="345" t="s">
        <v>210</v>
      </c>
      <c r="AJ375" s="345"/>
      <c r="AK375" s="345"/>
      <c r="AL375" s="345"/>
      <c r="AM375" s="11"/>
      <c r="AN375" s="11"/>
      <c r="AO375" s="11"/>
    </row>
    <row r="376" spans="1:41" x14ac:dyDescent="0.25">
      <c r="A376" s="311"/>
      <c r="B376" s="312"/>
      <c r="C376" s="312"/>
      <c r="D376" s="312"/>
      <c r="E376" s="313"/>
      <c r="F376" s="314"/>
      <c r="G376" s="314"/>
      <c r="H376" s="314"/>
      <c r="I376" s="314"/>
      <c r="J376" s="314"/>
      <c r="K376" s="314"/>
      <c r="L376" s="314"/>
      <c r="M376" s="314"/>
      <c r="N376" s="314"/>
      <c r="O376" s="314"/>
      <c r="P376" s="314"/>
      <c r="Q376" s="314"/>
      <c r="R376" s="442"/>
      <c r="S376" s="314"/>
      <c r="T376" s="314"/>
      <c r="U376" s="314"/>
      <c r="V376" s="315">
        <v>0</v>
      </c>
      <c r="W376" s="447">
        <f t="shared" si="35"/>
        <v>0</v>
      </c>
      <c r="X376" s="447">
        <f t="shared" si="36"/>
        <v>0</v>
      </c>
      <c r="Y376" s="447">
        <f t="shared" si="37"/>
        <v>0</v>
      </c>
      <c r="Z376" s="447">
        <f t="shared" si="38"/>
        <v>0</v>
      </c>
      <c r="AA376" s="447">
        <f t="shared" si="39"/>
        <v>0</v>
      </c>
      <c r="AB376" s="447" t="e">
        <f t="shared" si="40"/>
        <v>#DIV/0!</v>
      </c>
      <c r="AC376" s="448" t="e">
        <f t="shared" si="41"/>
        <v>#DIV/0!</v>
      </c>
      <c r="AE376" s="349" t="str">
        <f>AF376&amp;TM[[#This Row],[Insurer Code]]&amp;"; "&amp;AG376&amp;TM[[#This Row],[Reporting Year]]&amp;"; "&amp;AH376&amp;TM[[#This Row],[Insurance Category Code]]&amp;"; "&amp;AI376&amp;TM[[#This Row],[Large Provider Entity Code]]</f>
        <v xml:space="preserve">Insurer Code ; Reporting Year ; Insurance Category Code ; Large Provider Entity Code </v>
      </c>
      <c r="AF376" s="345" t="s">
        <v>207</v>
      </c>
      <c r="AG376" s="345" t="s">
        <v>208</v>
      </c>
      <c r="AH376" s="345" t="s">
        <v>209</v>
      </c>
      <c r="AI376" s="345" t="s">
        <v>210</v>
      </c>
      <c r="AJ376" s="345"/>
      <c r="AK376" s="345"/>
      <c r="AL376" s="345"/>
      <c r="AM376" s="11"/>
      <c r="AN376" s="11"/>
      <c r="AO376" s="11"/>
    </row>
    <row r="377" spans="1:41" x14ac:dyDescent="0.25">
      <c r="A377" s="311"/>
      <c r="B377" s="316"/>
      <c r="C377" s="316"/>
      <c r="D377" s="316"/>
      <c r="E377" s="317"/>
      <c r="F377" s="336"/>
      <c r="G377" s="336"/>
      <c r="H377" s="336"/>
      <c r="I377" s="336"/>
      <c r="J377" s="336"/>
      <c r="K377" s="336"/>
      <c r="L377" s="336"/>
      <c r="M377" s="336"/>
      <c r="N377" s="336"/>
      <c r="O377" s="336"/>
      <c r="P377" s="336"/>
      <c r="Q377" s="336"/>
      <c r="R377" s="443"/>
      <c r="S377" s="336"/>
      <c r="T377" s="336"/>
      <c r="U377" s="314"/>
      <c r="V377" s="318">
        <v>0</v>
      </c>
      <c r="W377" s="447">
        <f t="shared" si="35"/>
        <v>0</v>
      </c>
      <c r="X377" s="447">
        <f t="shared" si="36"/>
        <v>0</v>
      </c>
      <c r="Y377" s="447">
        <f t="shared" si="37"/>
        <v>0</v>
      </c>
      <c r="Z377" s="447">
        <f t="shared" si="38"/>
        <v>0</v>
      </c>
      <c r="AA377" s="447">
        <f t="shared" si="39"/>
        <v>0</v>
      </c>
      <c r="AB377" s="447" t="e">
        <f t="shared" si="40"/>
        <v>#DIV/0!</v>
      </c>
      <c r="AC377" s="448" t="e">
        <f t="shared" si="41"/>
        <v>#DIV/0!</v>
      </c>
      <c r="AE377" s="349" t="str">
        <f>AF377&amp;TM[[#This Row],[Insurer Code]]&amp;"; "&amp;AG377&amp;TM[[#This Row],[Reporting Year]]&amp;"; "&amp;AH377&amp;TM[[#This Row],[Insurance Category Code]]&amp;"; "&amp;AI377&amp;TM[[#This Row],[Large Provider Entity Code]]</f>
        <v xml:space="preserve">Insurer Code ; Reporting Year ; Insurance Category Code ; Large Provider Entity Code </v>
      </c>
      <c r="AF377" s="345" t="s">
        <v>207</v>
      </c>
      <c r="AG377" s="345" t="s">
        <v>208</v>
      </c>
      <c r="AH377" s="345" t="s">
        <v>209</v>
      </c>
      <c r="AI377" s="345" t="s">
        <v>210</v>
      </c>
      <c r="AJ377" s="345"/>
      <c r="AK377" s="345"/>
      <c r="AL377" s="345"/>
      <c r="AM377" s="11"/>
      <c r="AN377" s="11"/>
      <c r="AO377" s="11"/>
    </row>
    <row r="378" spans="1:41" x14ac:dyDescent="0.25">
      <c r="A378" s="311"/>
      <c r="B378" s="316"/>
      <c r="C378" s="316"/>
      <c r="D378" s="316"/>
      <c r="E378" s="317"/>
      <c r="F378" s="336"/>
      <c r="G378" s="336"/>
      <c r="H378" s="336"/>
      <c r="I378" s="336"/>
      <c r="J378" s="336"/>
      <c r="K378" s="336"/>
      <c r="L378" s="336"/>
      <c r="M378" s="336"/>
      <c r="N378" s="336"/>
      <c r="O378" s="336"/>
      <c r="P378" s="336"/>
      <c r="Q378" s="336"/>
      <c r="R378" s="443"/>
      <c r="S378" s="336"/>
      <c r="T378" s="336"/>
      <c r="U378" s="314"/>
      <c r="V378" s="318">
        <v>4</v>
      </c>
      <c r="W378" s="447">
        <f t="shared" si="35"/>
        <v>0</v>
      </c>
      <c r="X378" s="447">
        <f t="shared" si="36"/>
        <v>0</v>
      </c>
      <c r="Y378" s="447">
        <f t="shared" si="37"/>
        <v>0</v>
      </c>
      <c r="Z378" s="447">
        <f t="shared" si="38"/>
        <v>0</v>
      </c>
      <c r="AA378" s="447">
        <f t="shared" si="39"/>
        <v>0</v>
      </c>
      <c r="AB378" s="447" t="e">
        <f t="shared" si="40"/>
        <v>#DIV/0!</v>
      </c>
      <c r="AC378" s="448" t="e">
        <f t="shared" si="41"/>
        <v>#DIV/0!</v>
      </c>
      <c r="AE378" s="349" t="str">
        <f>AF378&amp;TM[[#This Row],[Insurer Code]]&amp;"; "&amp;AG378&amp;TM[[#This Row],[Reporting Year]]&amp;"; "&amp;AH378&amp;TM[[#This Row],[Insurance Category Code]]&amp;"; "&amp;AI378&amp;TM[[#This Row],[Large Provider Entity Code]]</f>
        <v xml:space="preserve">Insurer Code ; Reporting Year ; Insurance Category Code ; Large Provider Entity Code </v>
      </c>
      <c r="AF378" s="345" t="s">
        <v>207</v>
      </c>
      <c r="AG378" s="345" t="s">
        <v>208</v>
      </c>
      <c r="AH378" s="345" t="s">
        <v>209</v>
      </c>
      <c r="AI378" s="345" t="s">
        <v>210</v>
      </c>
      <c r="AJ378" s="345"/>
      <c r="AK378" s="345"/>
      <c r="AL378" s="345"/>
      <c r="AM378" s="11"/>
      <c r="AN378" s="11"/>
      <c r="AO378" s="11"/>
    </row>
    <row r="379" spans="1:41" x14ac:dyDescent="0.25">
      <c r="A379" s="311"/>
      <c r="B379" s="316"/>
      <c r="C379" s="316"/>
      <c r="D379" s="316"/>
      <c r="E379" s="317"/>
      <c r="F379" s="336"/>
      <c r="G379" s="336"/>
      <c r="H379" s="336"/>
      <c r="I379" s="336"/>
      <c r="J379" s="336"/>
      <c r="K379" s="336"/>
      <c r="L379" s="336"/>
      <c r="M379" s="336"/>
      <c r="N379" s="336"/>
      <c r="O379" s="336"/>
      <c r="P379" s="336"/>
      <c r="Q379" s="336"/>
      <c r="R379" s="443"/>
      <c r="S379" s="336"/>
      <c r="T379" s="336"/>
      <c r="U379" s="314"/>
      <c r="V379" s="318">
        <v>2</v>
      </c>
      <c r="W379" s="447">
        <f t="shared" si="35"/>
        <v>0</v>
      </c>
      <c r="X379" s="447">
        <f t="shared" si="36"/>
        <v>0</v>
      </c>
      <c r="Y379" s="447">
        <f t="shared" si="37"/>
        <v>0</v>
      </c>
      <c r="Z379" s="447">
        <f t="shared" si="38"/>
        <v>0</v>
      </c>
      <c r="AA379" s="447">
        <f t="shared" si="39"/>
        <v>0</v>
      </c>
      <c r="AB379" s="447" t="e">
        <f t="shared" si="40"/>
        <v>#DIV/0!</v>
      </c>
      <c r="AC379" s="448" t="e">
        <f t="shared" si="41"/>
        <v>#DIV/0!</v>
      </c>
      <c r="AE379" s="349" t="str">
        <f>AF379&amp;TM[[#This Row],[Insurer Code]]&amp;"; "&amp;AG379&amp;TM[[#This Row],[Reporting Year]]&amp;"; "&amp;AH379&amp;TM[[#This Row],[Insurance Category Code]]&amp;"; "&amp;AI379&amp;TM[[#This Row],[Large Provider Entity Code]]</f>
        <v xml:space="preserve">Insurer Code ; Reporting Year ; Insurance Category Code ; Large Provider Entity Code </v>
      </c>
      <c r="AF379" s="345" t="s">
        <v>207</v>
      </c>
      <c r="AG379" s="345" t="s">
        <v>208</v>
      </c>
      <c r="AH379" s="345" t="s">
        <v>209</v>
      </c>
      <c r="AI379" s="345" t="s">
        <v>210</v>
      </c>
      <c r="AJ379" s="345"/>
      <c r="AK379" s="345"/>
      <c r="AL379" s="345"/>
      <c r="AM379" s="11"/>
      <c r="AN379" s="11"/>
      <c r="AO379" s="11"/>
    </row>
    <row r="380" spans="1:41" x14ac:dyDescent="0.25">
      <c r="A380" s="311"/>
      <c r="B380" s="312"/>
      <c r="C380" s="312"/>
      <c r="D380" s="312"/>
      <c r="E380" s="313"/>
      <c r="F380" s="314"/>
      <c r="G380" s="314"/>
      <c r="H380" s="314"/>
      <c r="I380" s="314"/>
      <c r="J380" s="314"/>
      <c r="K380" s="314"/>
      <c r="L380" s="314"/>
      <c r="M380" s="314"/>
      <c r="N380" s="314"/>
      <c r="O380" s="314"/>
      <c r="P380" s="314"/>
      <c r="Q380" s="314"/>
      <c r="R380" s="442"/>
      <c r="S380" s="314"/>
      <c r="T380" s="314"/>
      <c r="U380" s="314"/>
      <c r="V380" s="315">
        <v>2</v>
      </c>
      <c r="W380" s="447">
        <f t="shared" si="35"/>
        <v>0</v>
      </c>
      <c r="X380" s="447">
        <f t="shared" si="36"/>
        <v>0</v>
      </c>
      <c r="Y380" s="447">
        <f t="shared" si="37"/>
        <v>0</v>
      </c>
      <c r="Z380" s="447">
        <f t="shared" si="38"/>
        <v>0</v>
      </c>
      <c r="AA380" s="447">
        <f t="shared" si="39"/>
        <v>0</v>
      </c>
      <c r="AB380" s="447" t="e">
        <f t="shared" si="40"/>
        <v>#DIV/0!</v>
      </c>
      <c r="AC380" s="448" t="e">
        <f t="shared" si="41"/>
        <v>#DIV/0!</v>
      </c>
      <c r="AE380" s="349" t="str">
        <f>AF380&amp;TM[[#This Row],[Insurer Code]]&amp;"; "&amp;AG380&amp;TM[[#This Row],[Reporting Year]]&amp;"; "&amp;AH380&amp;TM[[#This Row],[Insurance Category Code]]&amp;"; "&amp;AI380&amp;TM[[#This Row],[Large Provider Entity Code]]</f>
        <v xml:space="preserve">Insurer Code ; Reporting Year ; Insurance Category Code ; Large Provider Entity Code </v>
      </c>
      <c r="AF380" s="345" t="s">
        <v>207</v>
      </c>
      <c r="AG380" s="345" t="s">
        <v>208</v>
      </c>
      <c r="AH380" s="345" t="s">
        <v>209</v>
      </c>
      <c r="AI380" s="345" t="s">
        <v>210</v>
      </c>
      <c r="AJ380" s="345"/>
      <c r="AK380" s="345"/>
      <c r="AL380" s="345"/>
      <c r="AM380" s="11"/>
      <c r="AN380" s="11"/>
      <c r="AO380" s="11"/>
    </row>
    <row r="381" spans="1:41" x14ac:dyDescent="0.25">
      <c r="A381" s="311"/>
      <c r="B381" s="312"/>
      <c r="C381" s="312"/>
      <c r="D381" s="312"/>
      <c r="E381" s="313"/>
      <c r="F381" s="314"/>
      <c r="G381" s="314"/>
      <c r="H381" s="314"/>
      <c r="I381" s="314"/>
      <c r="J381" s="314"/>
      <c r="K381" s="314"/>
      <c r="L381" s="314"/>
      <c r="M381" s="314"/>
      <c r="N381" s="314"/>
      <c r="O381" s="314"/>
      <c r="P381" s="314"/>
      <c r="Q381" s="314"/>
      <c r="R381" s="442"/>
      <c r="S381" s="314"/>
      <c r="T381" s="314"/>
      <c r="U381" s="314"/>
      <c r="V381" s="315">
        <v>4</v>
      </c>
      <c r="W381" s="447">
        <f t="shared" si="35"/>
        <v>0</v>
      </c>
      <c r="X381" s="447">
        <f t="shared" si="36"/>
        <v>0</v>
      </c>
      <c r="Y381" s="447">
        <f t="shared" si="37"/>
        <v>0</v>
      </c>
      <c r="Z381" s="447">
        <f t="shared" si="38"/>
        <v>0</v>
      </c>
      <c r="AA381" s="447">
        <f t="shared" si="39"/>
        <v>0</v>
      </c>
      <c r="AB381" s="447" t="e">
        <f t="shared" si="40"/>
        <v>#DIV/0!</v>
      </c>
      <c r="AC381" s="448" t="e">
        <f t="shared" si="41"/>
        <v>#DIV/0!</v>
      </c>
      <c r="AE381" s="349" t="str">
        <f>AF381&amp;TM[[#This Row],[Insurer Code]]&amp;"; "&amp;AG381&amp;TM[[#This Row],[Reporting Year]]&amp;"; "&amp;AH381&amp;TM[[#This Row],[Insurance Category Code]]&amp;"; "&amp;AI381&amp;TM[[#This Row],[Large Provider Entity Code]]</f>
        <v xml:space="preserve">Insurer Code ; Reporting Year ; Insurance Category Code ; Large Provider Entity Code </v>
      </c>
      <c r="AF381" s="345" t="s">
        <v>207</v>
      </c>
      <c r="AG381" s="345" t="s">
        <v>208</v>
      </c>
      <c r="AH381" s="345" t="s">
        <v>209</v>
      </c>
      <c r="AI381" s="345" t="s">
        <v>210</v>
      </c>
      <c r="AJ381" s="345"/>
      <c r="AK381" s="345"/>
      <c r="AL381" s="345"/>
      <c r="AM381" s="11"/>
      <c r="AN381" s="11"/>
      <c r="AO381" s="11"/>
    </row>
    <row r="382" spans="1:41" x14ac:dyDescent="0.25">
      <c r="A382" s="311"/>
      <c r="B382" s="316"/>
      <c r="C382" s="316"/>
      <c r="D382" s="316"/>
      <c r="E382" s="317"/>
      <c r="F382" s="336"/>
      <c r="G382" s="336"/>
      <c r="H382" s="336"/>
      <c r="I382" s="336"/>
      <c r="J382" s="336"/>
      <c r="K382" s="336"/>
      <c r="L382" s="336"/>
      <c r="M382" s="336"/>
      <c r="N382" s="336"/>
      <c r="O382" s="336"/>
      <c r="P382" s="336"/>
      <c r="Q382" s="336"/>
      <c r="R382" s="443"/>
      <c r="S382" s="336"/>
      <c r="T382" s="336"/>
      <c r="U382" s="314"/>
      <c r="V382" s="318">
        <v>5</v>
      </c>
      <c r="W382" s="447">
        <f t="shared" si="35"/>
        <v>0</v>
      </c>
      <c r="X382" s="447">
        <f t="shared" si="36"/>
        <v>0</v>
      </c>
      <c r="Y382" s="447">
        <f t="shared" si="37"/>
        <v>0</v>
      </c>
      <c r="Z382" s="447">
        <f t="shared" si="38"/>
        <v>0</v>
      </c>
      <c r="AA382" s="447">
        <f t="shared" si="39"/>
        <v>0</v>
      </c>
      <c r="AB382" s="447" t="e">
        <f t="shared" si="40"/>
        <v>#DIV/0!</v>
      </c>
      <c r="AC382" s="448" t="e">
        <f t="shared" si="41"/>
        <v>#DIV/0!</v>
      </c>
      <c r="AE382" s="349" t="str">
        <f>AF382&amp;TM[[#This Row],[Insurer Code]]&amp;"; "&amp;AG382&amp;TM[[#This Row],[Reporting Year]]&amp;"; "&amp;AH382&amp;TM[[#This Row],[Insurance Category Code]]&amp;"; "&amp;AI382&amp;TM[[#This Row],[Large Provider Entity Code]]</f>
        <v xml:space="preserve">Insurer Code ; Reporting Year ; Insurance Category Code ; Large Provider Entity Code </v>
      </c>
      <c r="AF382" s="345" t="s">
        <v>207</v>
      </c>
      <c r="AG382" s="345" t="s">
        <v>208</v>
      </c>
      <c r="AH382" s="345" t="s">
        <v>209</v>
      </c>
      <c r="AI382" s="345" t="s">
        <v>210</v>
      </c>
      <c r="AJ382" s="345"/>
      <c r="AK382" s="345"/>
      <c r="AL382" s="345"/>
      <c r="AM382" s="11"/>
      <c r="AN382" s="11"/>
      <c r="AO382" s="11"/>
    </row>
    <row r="383" spans="1:41" x14ac:dyDescent="0.25">
      <c r="A383" s="311"/>
      <c r="B383" s="316"/>
      <c r="C383" s="316"/>
      <c r="D383" s="316"/>
      <c r="E383" s="319"/>
      <c r="F383" s="336"/>
      <c r="G383" s="336"/>
      <c r="H383" s="336"/>
      <c r="I383" s="336"/>
      <c r="J383" s="336"/>
      <c r="K383" s="336"/>
      <c r="L383" s="336"/>
      <c r="M383" s="336"/>
      <c r="N383" s="336"/>
      <c r="O383" s="336"/>
      <c r="P383" s="336"/>
      <c r="Q383" s="336"/>
      <c r="R383" s="443"/>
      <c r="S383" s="336"/>
      <c r="T383" s="336"/>
      <c r="U383" s="314"/>
      <c r="V383" s="318">
        <v>1</v>
      </c>
      <c r="W383" s="447">
        <f t="shared" si="35"/>
        <v>0</v>
      </c>
      <c r="X383" s="447">
        <f t="shared" si="36"/>
        <v>0</v>
      </c>
      <c r="Y383" s="447">
        <f t="shared" si="37"/>
        <v>0</v>
      </c>
      <c r="Z383" s="447">
        <f t="shared" si="38"/>
        <v>0</v>
      </c>
      <c r="AA383" s="447">
        <f t="shared" si="39"/>
        <v>0</v>
      </c>
      <c r="AB383" s="447" t="e">
        <f t="shared" si="40"/>
        <v>#DIV/0!</v>
      </c>
      <c r="AC383" s="448" t="e">
        <f t="shared" si="41"/>
        <v>#DIV/0!</v>
      </c>
      <c r="AE383" s="349" t="str">
        <f>AF383&amp;TM[[#This Row],[Insurer Code]]&amp;"; "&amp;AG383&amp;TM[[#This Row],[Reporting Year]]&amp;"; "&amp;AH383&amp;TM[[#This Row],[Insurance Category Code]]&amp;"; "&amp;AI383&amp;TM[[#This Row],[Large Provider Entity Code]]</f>
        <v xml:space="preserve">Insurer Code ; Reporting Year ; Insurance Category Code ; Large Provider Entity Code </v>
      </c>
      <c r="AF383" s="345" t="s">
        <v>207</v>
      </c>
      <c r="AG383" s="345" t="s">
        <v>208</v>
      </c>
      <c r="AH383" s="345" t="s">
        <v>209</v>
      </c>
      <c r="AI383" s="345" t="s">
        <v>210</v>
      </c>
      <c r="AJ383" s="345"/>
      <c r="AK383" s="345"/>
      <c r="AL383" s="345"/>
      <c r="AM383" s="11"/>
      <c r="AN383" s="11"/>
      <c r="AO383" s="11"/>
    </row>
    <row r="384" spans="1:41" x14ac:dyDescent="0.25">
      <c r="A384" s="311"/>
      <c r="B384" s="316"/>
      <c r="C384" s="316"/>
      <c r="D384" s="316"/>
      <c r="E384" s="319"/>
      <c r="F384" s="336"/>
      <c r="G384" s="336"/>
      <c r="H384" s="336"/>
      <c r="I384" s="336"/>
      <c r="J384" s="336"/>
      <c r="K384" s="336"/>
      <c r="L384" s="336"/>
      <c r="M384" s="336"/>
      <c r="N384" s="336"/>
      <c r="O384" s="336"/>
      <c r="P384" s="336"/>
      <c r="Q384" s="336"/>
      <c r="R384" s="443"/>
      <c r="S384" s="336"/>
      <c r="T384" s="336"/>
      <c r="U384" s="314"/>
      <c r="V384" s="318">
        <v>1</v>
      </c>
      <c r="W384" s="447">
        <f t="shared" si="35"/>
        <v>0</v>
      </c>
      <c r="X384" s="447">
        <f t="shared" si="36"/>
        <v>0</v>
      </c>
      <c r="Y384" s="447">
        <f t="shared" si="37"/>
        <v>0</v>
      </c>
      <c r="Z384" s="447">
        <f t="shared" si="38"/>
        <v>0</v>
      </c>
      <c r="AA384" s="447">
        <f t="shared" si="39"/>
        <v>0</v>
      </c>
      <c r="AB384" s="447" t="e">
        <f t="shared" si="40"/>
        <v>#DIV/0!</v>
      </c>
      <c r="AC384" s="448" t="e">
        <f t="shared" si="41"/>
        <v>#DIV/0!</v>
      </c>
      <c r="AE384" s="349" t="str">
        <f>AF384&amp;TM[[#This Row],[Insurer Code]]&amp;"; "&amp;AG384&amp;TM[[#This Row],[Reporting Year]]&amp;"; "&amp;AH384&amp;TM[[#This Row],[Insurance Category Code]]&amp;"; "&amp;AI384&amp;TM[[#This Row],[Large Provider Entity Code]]</f>
        <v xml:space="preserve">Insurer Code ; Reporting Year ; Insurance Category Code ; Large Provider Entity Code </v>
      </c>
      <c r="AF384" s="345" t="s">
        <v>207</v>
      </c>
      <c r="AG384" s="345" t="s">
        <v>208</v>
      </c>
      <c r="AH384" s="345" t="s">
        <v>209</v>
      </c>
      <c r="AI384" s="345" t="s">
        <v>210</v>
      </c>
      <c r="AJ384" s="345"/>
      <c r="AK384" s="345"/>
      <c r="AL384" s="345"/>
      <c r="AM384" s="11"/>
      <c r="AN384" s="11"/>
      <c r="AO384" s="11"/>
    </row>
    <row r="385" spans="1:41" x14ac:dyDescent="0.25">
      <c r="A385" s="311"/>
      <c r="B385" s="316"/>
      <c r="C385" s="316"/>
      <c r="D385" s="316"/>
      <c r="E385" s="317"/>
      <c r="F385" s="336"/>
      <c r="G385" s="336"/>
      <c r="H385" s="336"/>
      <c r="I385" s="336"/>
      <c r="J385" s="336"/>
      <c r="K385" s="336"/>
      <c r="L385" s="336"/>
      <c r="M385" s="336"/>
      <c r="N385" s="336"/>
      <c r="O385" s="336"/>
      <c r="P385" s="336"/>
      <c r="Q385" s="336"/>
      <c r="R385" s="443"/>
      <c r="S385" s="336"/>
      <c r="T385" s="336"/>
      <c r="U385" s="314"/>
      <c r="V385" s="318">
        <v>0</v>
      </c>
      <c r="W385" s="447">
        <f t="shared" si="35"/>
        <v>0</v>
      </c>
      <c r="X385" s="447">
        <f t="shared" si="36"/>
        <v>0</v>
      </c>
      <c r="Y385" s="447">
        <f t="shared" si="37"/>
        <v>0</v>
      </c>
      <c r="Z385" s="447">
        <f t="shared" si="38"/>
        <v>0</v>
      </c>
      <c r="AA385" s="447">
        <f t="shared" si="39"/>
        <v>0</v>
      </c>
      <c r="AB385" s="447" t="e">
        <f t="shared" si="40"/>
        <v>#DIV/0!</v>
      </c>
      <c r="AC385" s="448" t="e">
        <f t="shared" si="41"/>
        <v>#DIV/0!</v>
      </c>
      <c r="AE385" s="349" t="str">
        <f>AF385&amp;TM[[#This Row],[Insurer Code]]&amp;"; "&amp;AG385&amp;TM[[#This Row],[Reporting Year]]&amp;"; "&amp;AH385&amp;TM[[#This Row],[Insurance Category Code]]&amp;"; "&amp;AI385&amp;TM[[#This Row],[Large Provider Entity Code]]</f>
        <v xml:space="preserve">Insurer Code ; Reporting Year ; Insurance Category Code ; Large Provider Entity Code </v>
      </c>
      <c r="AF385" s="345" t="s">
        <v>207</v>
      </c>
      <c r="AG385" s="345" t="s">
        <v>208</v>
      </c>
      <c r="AH385" s="345" t="s">
        <v>209</v>
      </c>
      <c r="AI385" s="345" t="s">
        <v>210</v>
      </c>
      <c r="AJ385" s="345"/>
      <c r="AK385" s="345"/>
      <c r="AL385" s="345"/>
      <c r="AM385" s="11"/>
      <c r="AN385" s="11"/>
      <c r="AO385" s="11"/>
    </row>
    <row r="386" spans="1:41" x14ac:dyDescent="0.25">
      <c r="A386" s="311"/>
      <c r="B386" s="316"/>
      <c r="C386" s="316"/>
      <c r="D386" s="316"/>
      <c r="E386" s="319"/>
      <c r="F386" s="336"/>
      <c r="G386" s="336"/>
      <c r="H386" s="336"/>
      <c r="I386" s="336"/>
      <c r="J386" s="336"/>
      <c r="K386" s="336"/>
      <c r="L386" s="336"/>
      <c r="M386" s="336"/>
      <c r="N386" s="336"/>
      <c r="O386" s="336"/>
      <c r="P386" s="336"/>
      <c r="Q386" s="336"/>
      <c r="R386" s="443"/>
      <c r="S386" s="336"/>
      <c r="T386" s="336"/>
      <c r="U386" s="314"/>
      <c r="V386" s="318">
        <v>8</v>
      </c>
      <c r="W386" s="447">
        <f t="shared" si="35"/>
        <v>0</v>
      </c>
      <c r="X386" s="447">
        <f t="shared" si="36"/>
        <v>0</v>
      </c>
      <c r="Y386" s="447">
        <f t="shared" si="37"/>
        <v>0</v>
      </c>
      <c r="Z386" s="447">
        <f t="shared" si="38"/>
        <v>0</v>
      </c>
      <c r="AA386" s="447">
        <f t="shared" si="39"/>
        <v>0</v>
      </c>
      <c r="AB386" s="447" t="e">
        <f t="shared" si="40"/>
        <v>#DIV/0!</v>
      </c>
      <c r="AC386" s="448" t="e">
        <f t="shared" si="41"/>
        <v>#DIV/0!</v>
      </c>
      <c r="AE386" s="349" t="str">
        <f>AF386&amp;TM[[#This Row],[Insurer Code]]&amp;"; "&amp;AG386&amp;TM[[#This Row],[Reporting Year]]&amp;"; "&amp;AH386&amp;TM[[#This Row],[Insurance Category Code]]&amp;"; "&amp;AI386&amp;TM[[#This Row],[Large Provider Entity Code]]</f>
        <v xml:space="preserve">Insurer Code ; Reporting Year ; Insurance Category Code ; Large Provider Entity Code </v>
      </c>
      <c r="AF386" s="345" t="s">
        <v>207</v>
      </c>
      <c r="AG386" s="345" t="s">
        <v>208</v>
      </c>
      <c r="AH386" s="345" t="s">
        <v>209</v>
      </c>
      <c r="AI386" s="345" t="s">
        <v>210</v>
      </c>
      <c r="AJ386" s="345"/>
      <c r="AK386" s="345"/>
      <c r="AL386" s="345"/>
      <c r="AM386" s="11"/>
      <c r="AN386" s="11"/>
      <c r="AO386" s="11"/>
    </row>
    <row r="387" spans="1:41" x14ac:dyDescent="0.25">
      <c r="A387" s="311"/>
      <c r="B387" s="312"/>
      <c r="C387" s="312"/>
      <c r="D387" s="312"/>
      <c r="E387" s="328"/>
      <c r="F387" s="442"/>
      <c r="G387" s="314"/>
      <c r="H387" s="314"/>
      <c r="I387" s="314"/>
      <c r="J387" s="314"/>
      <c r="K387" s="314"/>
      <c r="L387" s="314"/>
      <c r="M387" s="314"/>
      <c r="N387" s="314"/>
      <c r="O387" s="314"/>
      <c r="P387" s="314"/>
      <c r="Q387" s="314"/>
      <c r="R387" s="442"/>
      <c r="S387" s="314"/>
      <c r="T387" s="314"/>
      <c r="U387" s="314"/>
      <c r="V387" s="315">
        <v>1</v>
      </c>
      <c r="W387" s="447">
        <f t="shared" si="35"/>
        <v>0</v>
      </c>
      <c r="X387" s="447">
        <f t="shared" si="36"/>
        <v>0</v>
      </c>
      <c r="Y387" s="447">
        <f t="shared" si="37"/>
        <v>0</v>
      </c>
      <c r="Z387" s="447">
        <f t="shared" si="38"/>
        <v>0</v>
      </c>
      <c r="AA387" s="447">
        <f t="shared" si="39"/>
        <v>0</v>
      </c>
      <c r="AB387" s="447" t="e">
        <f t="shared" si="40"/>
        <v>#DIV/0!</v>
      </c>
      <c r="AC387" s="448" t="e">
        <f t="shared" si="41"/>
        <v>#DIV/0!</v>
      </c>
      <c r="AE387" s="349" t="str">
        <f>AF387&amp;TM[[#This Row],[Insurer Code]]&amp;"; "&amp;AG387&amp;TM[[#This Row],[Reporting Year]]&amp;"; "&amp;AH387&amp;TM[[#This Row],[Insurance Category Code]]&amp;"; "&amp;AI387&amp;TM[[#This Row],[Large Provider Entity Code]]</f>
        <v xml:space="preserve">Insurer Code ; Reporting Year ; Insurance Category Code ; Large Provider Entity Code </v>
      </c>
      <c r="AF387" s="345" t="s">
        <v>207</v>
      </c>
      <c r="AG387" s="345" t="s">
        <v>208</v>
      </c>
      <c r="AH387" s="345" t="s">
        <v>209</v>
      </c>
      <c r="AI387" s="345" t="s">
        <v>210</v>
      </c>
      <c r="AJ387" s="345"/>
      <c r="AK387" s="345"/>
      <c r="AL387" s="345"/>
      <c r="AM387" s="11"/>
      <c r="AN387" s="11"/>
      <c r="AO387" s="11"/>
    </row>
    <row r="388" spans="1:41" x14ac:dyDescent="0.25">
      <c r="A388" s="311"/>
      <c r="B388" s="312"/>
      <c r="C388" s="312"/>
      <c r="D388" s="312"/>
      <c r="E388" s="328"/>
      <c r="F388" s="442"/>
      <c r="G388" s="314"/>
      <c r="H388" s="314"/>
      <c r="I388" s="314"/>
      <c r="J388" s="314"/>
      <c r="K388" s="314"/>
      <c r="L388" s="314"/>
      <c r="M388" s="314"/>
      <c r="N388" s="314"/>
      <c r="O388" s="314"/>
      <c r="P388" s="314"/>
      <c r="Q388" s="314"/>
      <c r="R388" s="442"/>
      <c r="S388" s="314"/>
      <c r="T388" s="314"/>
      <c r="U388" s="314"/>
      <c r="V388" s="315">
        <v>5</v>
      </c>
      <c r="W388" s="447">
        <f t="shared" si="35"/>
        <v>0</v>
      </c>
      <c r="X388" s="447">
        <f t="shared" si="36"/>
        <v>0</v>
      </c>
      <c r="Y388" s="447">
        <f t="shared" si="37"/>
        <v>0</v>
      </c>
      <c r="Z388" s="447">
        <f t="shared" si="38"/>
        <v>0</v>
      </c>
      <c r="AA388" s="447">
        <f t="shared" si="39"/>
        <v>0</v>
      </c>
      <c r="AB388" s="447" t="e">
        <f t="shared" si="40"/>
        <v>#DIV/0!</v>
      </c>
      <c r="AC388" s="448" t="e">
        <f t="shared" si="41"/>
        <v>#DIV/0!</v>
      </c>
      <c r="AE388" s="349" t="str">
        <f>AF388&amp;TM[[#This Row],[Insurer Code]]&amp;"; "&amp;AG388&amp;TM[[#This Row],[Reporting Year]]&amp;"; "&amp;AH388&amp;TM[[#This Row],[Insurance Category Code]]&amp;"; "&amp;AI388&amp;TM[[#This Row],[Large Provider Entity Code]]</f>
        <v xml:space="preserve">Insurer Code ; Reporting Year ; Insurance Category Code ; Large Provider Entity Code </v>
      </c>
      <c r="AF388" s="345" t="s">
        <v>207</v>
      </c>
      <c r="AG388" s="345" t="s">
        <v>208</v>
      </c>
      <c r="AH388" s="345" t="s">
        <v>209</v>
      </c>
      <c r="AI388" s="345" t="s">
        <v>210</v>
      </c>
      <c r="AJ388" s="345"/>
      <c r="AK388" s="345"/>
      <c r="AL388" s="345"/>
      <c r="AM388" s="11"/>
      <c r="AN388" s="11"/>
      <c r="AO388" s="11"/>
    </row>
    <row r="389" spans="1:41" x14ac:dyDescent="0.25">
      <c r="A389" s="311"/>
      <c r="B389" s="312"/>
      <c r="C389" s="312"/>
      <c r="D389" s="312"/>
      <c r="E389" s="328"/>
      <c r="F389" s="442"/>
      <c r="G389" s="314"/>
      <c r="H389" s="314"/>
      <c r="I389" s="314"/>
      <c r="J389" s="314"/>
      <c r="K389" s="314"/>
      <c r="L389" s="314"/>
      <c r="M389" s="314"/>
      <c r="N389" s="314"/>
      <c r="O389" s="314"/>
      <c r="P389" s="314"/>
      <c r="Q389" s="314"/>
      <c r="R389" s="442"/>
      <c r="S389" s="314"/>
      <c r="T389" s="314"/>
      <c r="U389" s="314"/>
      <c r="V389" s="315">
        <v>5</v>
      </c>
      <c r="W389" s="447">
        <f t="shared" si="35"/>
        <v>0</v>
      </c>
      <c r="X389" s="447">
        <f t="shared" si="36"/>
        <v>0</v>
      </c>
      <c r="Y389" s="447">
        <f t="shared" si="37"/>
        <v>0</v>
      </c>
      <c r="Z389" s="447">
        <f t="shared" si="38"/>
        <v>0</v>
      </c>
      <c r="AA389" s="447">
        <f t="shared" si="39"/>
        <v>0</v>
      </c>
      <c r="AB389" s="447" t="e">
        <f t="shared" si="40"/>
        <v>#DIV/0!</v>
      </c>
      <c r="AC389" s="448" t="e">
        <f t="shared" si="41"/>
        <v>#DIV/0!</v>
      </c>
      <c r="AE389" s="349" t="str">
        <f>AF389&amp;TM[[#This Row],[Insurer Code]]&amp;"; "&amp;AG389&amp;TM[[#This Row],[Reporting Year]]&amp;"; "&amp;AH389&amp;TM[[#This Row],[Insurance Category Code]]&amp;"; "&amp;AI389&amp;TM[[#This Row],[Large Provider Entity Code]]</f>
        <v xml:space="preserve">Insurer Code ; Reporting Year ; Insurance Category Code ; Large Provider Entity Code </v>
      </c>
      <c r="AF389" s="345" t="s">
        <v>207</v>
      </c>
      <c r="AG389" s="345" t="s">
        <v>208</v>
      </c>
      <c r="AH389" s="345" t="s">
        <v>209</v>
      </c>
      <c r="AI389" s="345" t="s">
        <v>210</v>
      </c>
      <c r="AJ389" s="345"/>
      <c r="AK389" s="345"/>
      <c r="AL389" s="345"/>
      <c r="AM389" s="11"/>
      <c r="AN389" s="11"/>
      <c r="AO389" s="11"/>
    </row>
    <row r="390" spans="1:41" x14ac:dyDescent="0.25">
      <c r="A390" s="311"/>
      <c r="B390" s="312"/>
      <c r="C390" s="312"/>
      <c r="D390" s="312"/>
      <c r="E390" s="328"/>
      <c r="F390" s="442"/>
      <c r="G390" s="314"/>
      <c r="H390" s="314"/>
      <c r="I390" s="314"/>
      <c r="J390" s="314"/>
      <c r="K390" s="314"/>
      <c r="L390" s="314"/>
      <c r="M390" s="314"/>
      <c r="N390" s="314"/>
      <c r="O390" s="314"/>
      <c r="P390" s="314"/>
      <c r="Q390" s="314"/>
      <c r="R390" s="442"/>
      <c r="S390" s="314"/>
      <c r="T390" s="314"/>
      <c r="U390" s="314"/>
      <c r="V390" s="315">
        <v>4</v>
      </c>
      <c r="W390" s="451">
        <f t="shared" si="35"/>
        <v>0</v>
      </c>
      <c r="X390" s="451">
        <f t="shared" si="36"/>
        <v>0</v>
      </c>
      <c r="Y390" s="451">
        <f t="shared" si="37"/>
        <v>0</v>
      </c>
      <c r="Z390" s="451">
        <f t="shared" si="38"/>
        <v>0</v>
      </c>
      <c r="AA390" s="451">
        <f t="shared" si="39"/>
        <v>0</v>
      </c>
      <c r="AB390" s="451" t="e">
        <f t="shared" si="40"/>
        <v>#DIV/0!</v>
      </c>
      <c r="AC390" s="452" t="e">
        <f t="shared" si="41"/>
        <v>#DIV/0!</v>
      </c>
      <c r="AE390" s="349" t="str">
        <f>AF390&amp;TM[[#This Row],[Insurer Code]]&amp;"; "&amp;AG390&amp;TM[[#This Row],[Reporting Year]]&amp;"; "&amp;AH390&amp;TM[[#This Row],[Insurance Category Code]]&amp;"; "&amp;AI390&amp;TM[[#This Row],[Large Provider Entity Code]]</f>
        <v xml:space="preserve">Insurer Code ; Reporting Year ; Insurance Category Code ; Large Provider Entity Code </v>
      </c>
      <c r="AF390" s="345" t="s">
        <v>207</v>
      </c>
      <c r="AG390" s="345" t="s">
        <v>208</v>
      </c>
      <c r="AH390" s="345" t="s">
        <v>209</v>
      </c>
      <c r="AI390" s="345" t="s">
        <v>210</v>
      </c>
      <c r="AJ390" s="345"/>
      <c r="AK390" s="345"/>
      <c r="AL390" s="345"/>
      <c r="AM390" s="11"/>
      <c r="AN390" s="11"/>
      <c r="AO390" s="11"/>
    </row>
    <row r="391" spans="1:41" x14ac:dyDescent="0.25">
      <c r="A391" s="311"/>
      <c r="B391" s="312"/>
      <c r="C391" s="312"/>
      <c r="D391" s="312"/>
      <c r="E391" s="328"/>
      <c r="F391" s="442"/>
      <c r="G391" s="314"/>
      <c r="H391" s="314"/>
      <c r="I391" s="314"/>
      <c r="J391" s="314"/>
      <c r="K391" s="314"/>
      <c r="L391" s="314"/>
      <c r="M391" s="314"/>
      <c r="N391" s="314"/>
      <c r="O391" s="314"/>
      <c r="P391" s="314"/>
      <c r="Q391" s="314"/>
      <c r="R391" s="442"/>
      <c r="S391" s="314"/>
      <c r="T391" s="314"/>
      <c r="U391" s="314"/>
      <c r="V391" s="315">
        <v>0</v>
      </c>
      <c r="W391" s="451">
        <f t="shared" si="35"/>
        <v>0</v>
      </c>
      <c r="X391" s="451">
        <f t="shared" si="36"/>
        <v>0</v>
      </c>
      <c r="Y391" s="451">
        <f t="shared" si="37"/>
        <v>0</v>
      </c>
      <c r="Z391" s="451">
        <f t="shared" si="38"/>
        <v>0</v>
      </c>
      <c r="AA391" s="451">
        <f t="shared" si="39"/>
        <v>0</v>
      </c>
      <c r="AB391" s="451" t="e">
        <f t="shared" si="40"/>
        <v>#DIV/0!</v>
      </c>
      <c r="AC391" s="452" t="e">
        <f t="shared" si="41"/>
        <v>#DIV/0!</v>
      </c>
      <c r="AE391" s="349" t="str">
        <f>AF391&amp;TM[[#This Row],[Insurer Code]]&amp;"; "&amp;AG391&amp;TM[[#This Row],[Reporting Year]]&amp;"; "&amp;AH391&amp;TM[[#This Row],[Insurance Category Code]]&amp;"; "&amp;AI391&amp;TM[[#This Row],[Large Provider Entity Code]]</f>
        <v xml:space="preserve">Insurer Code ; Reporting Year ; Insurance Category Code ; Large Provider Entity Code </v>
      </c>
      <c r="AF391" s="345" t="s">
        <v>207</v>
      </c>
      <c r="AG391" s="345" t="s">
        <v>208</v>
      </c>
      <c r="AH391" s="345" t="s">
        <v>209</v>
      </c>
      <c r="AI391" s="345" t="s">
        <v>210</v>
      </c>
      <c r="AJ391" s="345"/>
      <c r="AK391" s="345"/>
      <c r="AL391" s="345"/>
      <c r="AM391" s="11"/>
      <c r="AN391" s="11"/>
      <c r="AO391" s="11"/>
    </row>
    <row r="392" spans="1:41" x14ac:dyDescent="0.25">
      <c r="A392" s="311"/>
      <c r="B392" s="312"/>
      <c r="C392" s="312"/>
      <c r="D392" s="312"/>
      <c r="E392" s="328"/>
      <c r="F392" s="442"/>
      <c r="G392" s="314"/>
      <c r="H392" s="314"/>
      <c r="I392" s="314"/>
      <c r="J392" s="314"/>
      <c r="K392" s="314"/>
      <c r="L392" s="314"/>
      <c r="M392" s="314"/>
      <c r="N392" s="314"/>
      <c r="O392" s="314"/>
      <c r="P392" s="314"/>
      <c r="Q392" s="314"/>
      <c r="R392" s="442"/>
      <c r="S392" s="314"/>
      <c r="T392" s="314"/>
      <c r="U392" s="314"/>
      <c r="V392" s="315">
        <v>0</v>
      </c>
      <c r="W392" s="451">
        <f t="shared" si="35"/>
        <v>0</v>
      </c>
      <c r="X392" s="451">
        <f t="shared" si="36"/>
        <v>0</v>
      </c>
      <c r="Y392" s="451">
        <f t="shared" si="37"/>
        <v>0</v>
      </c>
      <c r="Z392" s="451">
        <f t="shared" si="38"/>
        <v>0</v>
      </c>
      <c r="AA392" s="451">
        <f t="shared" si="39"/>
        <v>0</v>
      </c>
      <c r="AB392" s="451" t="e">
        <f t="shared" si="40"/>
        <v>#DIV/0!</v>
      </c>
      <c r="AC392" s="452" t="e">
        <f t="shared" si="41"/>
        <v>#DIV/0!</v>
      </c>
      <c r="AE392" s="349" t="str">
        <f>AF392&amp;TM[[#This Row],[Insurer Code]]&amp;"; "&amp;AG392&amp;TM[[#This Row],[Reporting Year]]&amp;"; "&amp;AH392&amp;TM[[#This Row],[Insurance Category Code]]&amp;"; "&amp;AI392&amp;TM[[#This Row],[Large Provider Entity Code]]</f>
        <v xml:space="preserve">Insurer Code ; Reporting Year ; Insurance Category Code ; Large Provider Entity Code </v>
      </c>
      <c r="AF392" s="345" t="s">
        <v>207</v>
      </c>
      <c r="AG392" s="345" t="s">
        <v>208</v>
      </c>
      <c r="AH392" s="345" t="s">
        <v>209</v>
      </c>
      <c r="AI392" s="345" t="s">
        <v>210</v>
      </c>
      <c r="AJ392" s="345"/>
      <c r="AK392" s="345"/>
      <c r="AL392" s="345"/>
      <c r="AM392" s="11"/>
      <c r="AN392" s="11"/>
      <c r="AO392" s="11"/>
    </row>
    <row r="393" spans="1:41" x14ac:dyDescent="0.25">
      <c r="A393" s="311"/>
      <c r="B393" s="312"/>
      <c r="C393" s="312"/>
      <c r="D393" s="312"/>
      <c r="E393" s="328"/>
      <c r="F393" s="442"/>
      <c r="G393" s="314"/>
      <c r="H393" s="314"/>
      <c r="I393" s="314"/>
      <c r="J393" s="314"/>
      <c r="K393" s="314"/>
      <c r="L393" s="314"/>
      <c r="M393" s="314"/>
      <c r="N393" s="314"/>
      <c r="O393" s="314"/>
      <c r="P393" s="314"/>
      <c r="Q393" s="314"/>
      <c r="R393" s="442"/>
      <c r="S393" s="314"/>
      <c r="T393" s="314"/>
      <c r="U393" s="314"/>
      <c r="V393" s="315">
        <v>4</v>
      </c>
      <c r="W393" s="451">
        <f t="shared" si="35"/>
        <v>0</v>
      </c>
      <c r="X393" s="451">
        <f t="shared" si="36"/>
        <v>0</v>
      </c>
      <c r="Y393" s="451">
        <f t="shared" si="37"/>
        <v>0</v>
      </c>
      <c r="Z393" s="451">
        <f t="shared" si="38"/>
        <v>0</v>
      </c>
      <c r="AA393" s="451">
        <f t="shared" si="39"/>
        <v>0</v>
      </c>
      <c r="AB393" s="451" t="e">
        <f t="shared" si="40"/>
        <v>#DIV/0!</v>
      </c>
      <c r="AC393" s="452" t="e">
        <f t="shared" si="41"/>
        <v>#DIV/0!</v>
      </c>
      <c r="AE393" s="349" t="str">
        <f>AF393&amp;TM[[#This Row],[Insurer Code]]&amp;"; "&amp;AG393&amp;TM[[#This Row],[Reporting Year]]&amp;"; "&amp;AH393&amp;TM[[#This Row],[Insurance Category Code]]&amp;"; "&amp;AI393&amp;TM[[#This Row],[Large Provider Entity Code]]</f>
        <v xml:space="preserve">Insurer Code ; Reporting Year ; Insurance Category Code ; Large Provider Entity Code </v>
      </c>
      <c r="AF393" s="345" t="s">
        <v>207</v>
      </c>
      <c r="AG393" s="345" t="s">
        <v>208</v>
      </c>
      <c r="AH393" s="345" t="s">
        <v>209</v>
      </c>
      <c r="AI393" s="345" t="s">
        <v>210</v>
      </c>
      <c r="AJ393" s="345"/>
      <c r="AK393" s="345"/>
      <c r="AL393" s="345"/>
      <c r="AM393" s="11"/>
      <c r="AN393" s="11"/>
      <c r="AO393" s="11"/>
    </row>
    <row r="394" spans="1:41" x14ac:dyDescent="0.25">
      <c r="A394" s="311"/>
      <c r="B394" s="312"/>
      <c r="C394" s="312"/>
      <c r="D394" s="312"/>
      <c r="E394" s="328"/>
      <c r="F394" s="442"/>
      <c r="G394" s="314"/>
      <c r="H394" s="314"/>
      <c r="I394" s="314"/>
      <c r="J394" s="314"/>
      <c r="K394" s="314"/>
      <c r="L394" s="314"/>
      <c r="M394" s="314"/>
      <c r="N394" s="314"/>
      <c r="O394" s="314"/>
      <c r="P394" s="314"/>
      <c r="Q394" s="314"/>
      <c r="R394" s="442"/>
      <c r="S394" s="314"/>
      <c r="T394" s="314"/>
      <c r="U394" s="314"/>
      <c r="V394" s="315">
        <v>2</v>
      </c>
      <c r="W394" s="451">
        <f t="shared" si="35"/>
        <v>0</v>
      </c>
      <c r="X394" s="451">
        <f t="shared" si="36"/>
        <v>0</v>
      </c>
      <c r="Y394" s="451">
        <f t="shared" si="37"/>
        <v>0</v>
      </c>
      <c r="Z394" s="451">
        <f t="shared" si="38"/>
        <v>0</v>
      </c>
      <c r="AA394" s="451">
        <f t="shared" si="39"/>
        <v>0</v>
      </c>
      <c r="AB394" s="451" t="e">
        <f t="shared" si="40"/>
        <v>#DIV/0!</v>
      </c>
      <c r="AC394" s="452" t="e">
        <f t="shared" si="41"/>
        <v>#DIV/0!</v>
      </c>
      <c r="AE394" s="349" t="str">
        <f>AF394&amp;TM[[#This Row],[Insurer Code]]&amp;"; "&amp;AG394&amp;TM[[#This Row],[Reporting Year]]&amp;"; "&amp;AH394&amp;TM[[#This Row],[Insurance Category Code]]&amp;"; "&amp;AI394&amp;TM[[#This Row],[Large Provider Entity Code]]</f>
        <v xml:space="preserve">Insurer Code ; Reporting Year ; Insurance Category Code ; Large Provider Entity Code </v>
      </c>
      <c r="AF394" s="345" t="s">
        <v>207</v>
      </c>
      <c r="AG394" s="345" t="s">
        <v>208</v>
      </c>
      <c r="AH394" s="345" t="s">
        <v>209</v>
      </c>
      <c r="AI394" s="345" t="s">
        <v>210</v>
      </c>
      <c r="AJ394" s="345"/>
      <c r="AK394" s="345"/>
      <c r="AL394" s="345"/>
      <c r="AM394" s="11"/>
      <c r="AN394" s="11"/>
      <c r="AO394" s="11"/>
    </row>
    <row r="395" spans="1:41" x14ac:dyDescent="0.25">
      <c r="A395" s="311"/>
      <c r="B395" s="312"/>
      <c r="C395" s="312"/>
      <c r="D395" s="312"/>
      <c r="E395" s="313"/>
      <c r="F395" s="314"/>
      <c r="G395" s="314"/>
      <c r="H395" s="314"/>
      <c r="I395" s="314"/>
      <c r="J395" s="314"/>
      <c r="K395" s="314"/>
      <c r="L395" s="314"/>
      <c r="M395" s="314"/>
      <c r="N395" s="314"/>
      <c r="O395" s="314"/>
      <c r="P395" s="314"/>
      <c r="Q395" s="314"/>
      <c r="R395" s="442"/>
      <c r="S395" s="314"/>
      <c r="T395" s="314"/>
      <c r="U395" s="314"/>
      <c r="V395" s="315">
        <v>19</v>
      </c>
      <c r="W395" s="447">
        <f t="shared" si="35"/>
        <v>0</v>
      </c>
      <c r="X395" s="447">
        <f t="shared" si="36"/>
        <v>0</v>
      </c>
      <c r="Y395" s="447">
        <f t="shared" si="37"/>
        <v>0</v>
      </c>
      <c r="Z395" s="447">
        <f t="shared" si="38"/>
        <v>0</v>
      </c>
      <c r="AA395" s="447">
        <f t="shared" si="39"/>
        <v>0</v>
      </c>
      <c r="AB395" s="447" t="e">
        <f t="shared" si="40"/>
        <v>#DIV/0!</v>
      </c>
      <c r="AC395" s="448" t="e">
        <f t="shared" si="41"/>
        <v>#DIV/0!</v>
      </c>
      <c r="AE395" s="349" t="str">
        <f>AF395&amp;TM[[#This Row],[Insurer Code]]&amp;"; "&amp;AG395&amp;TM[[#This Row],[Reporting Year]]&amp;"; "&amp;AH395&amp;TM[[#This Row],[Insurance Category Code]]&amp;"; "&amp;AI395&amp;TM[[#This Row],[Large Provider Entity Code]]</f>
        <v xml:space="preserve">Insurer Code ; Reporting Year ; Insurance Category Code ; Large Provider Entity Code </v>
      </c>
      <c r="AF395" s="345" t="s">
        <v>207</v>
      </c>
      <c r="AG395" s="345" t="s">
        <v>208</v>
      </c>
      <c r="AH395" s="345" t="s">
        <v>209</v>
      </c>
      <c r="AI395" s="345" t="s">
        <v>210</v>
      </c>
      <c r="AJ395" s="345"/>
      <c r="AK395" s="345"/>
      <c r="AL395" s="345"/>
      <c r="AM395" s="11"/>
      <c r="AN395" s="11"/>
      <c r="AO395" s="11"/>
    </row>
    <row r="396" spans="1:41" x14ac:dyDescent="0.25">
      <c r="A396" s="311"/>
      <c r="B396" s="312"/>
      <c r="C396" s="312"/>
      <c r="D396" s="312"/>
      <c r="E396" s="313"/>
      <c r="F396" s="314"/>
      <c r="G396" s="314"/>
      <c r="H396" s="314"/>
      <c r="I396" s="314"/>
      <c r="J396" s="314"/>
      <c r="K396" s="314"/>
      <c r="L396" s="314"/>
      <c r="M396" s="314"/>
      <c r="N396" s="314"/>
      <c r="O396" s="314"/>
      <c r="P396" s="314"/>
      <c r="Q396" s="314"/>
      <c r="R396" s="442"/>
      <c r="S396" s="314"/>
      <c r="T396" s="314"/>
      <c r="U396" s="314"/>
      <c r="V396" s="315">
        <v>497</v>
      </c>
      <c r="W396" s="447">
        <f t="shared" ref="W396:W459" si="42">SUM(F396:M396)</f>
        <v>0</v>
      </c>
      <c r="X396" s="447">
        <f t="shared" ref="X396:X459" si="43">SUM(N396:S396)</f>
        <v>0</v>
      </c>
      <c r="Y396" s="447">
        <f t="shared" ref="Y396:Y459" si="44">W396+X396</f>
        <v>0</v>
      </c>
      <c r="Z396" s="447">
        <f t="shared" ref="Z396:Z459" si="45">W396-U396</f>
        <v>0</v>
      </c>
      <c r="AA396" s="447">
        <f t="shared" ref="AA396:AA459" si="46">Z396+X396</f>
        <v>0</v>
      </c>
      <c r="AB396" s="447" t="e">
        <f t="shared" ref="AB396:AB459" si="47">Y396/E396</f>
        <v>#DIV/0!</v>
      </c>
      <c r="AC396" s="448" t="e">
        <f t="shared" ref="AC396:AC459" si="48">AA396/E396</f>
        <v>#DIV/0!</v>
      </c>
      <c r="AE396" s="349" t="str">
        <f>AF396&amp;TM[[#This Row],[Insurer Code]]&amp;"; "&amp;AG396&amp;TM[[#This Row],[Reporting Year]]&amp;"; "&amp;AH396&amp;TM[[#This Row],[Insurance Category Code]]&amp;"; "&amp;AI396&amp;TM[[#This Row],[Large Provider Entity Code]]</f>
        <v xml:space="preserve">Insurer Code ; Reporting Year ; Insurance Category Code ; Large Provider Entity Code </v>
      </c>
      <c r="AF396" s="345" t="s">
        <v>207</v>
      </c>
      <c r="AG396" s="345" t="s">
        <v>208</v>
      </c>
      <c r="AH396" s="345" t="s">
        <v>209</v>
      </c>
      <c r="AI396" s="345" t="s">
        <v>210</v>
      </c>
      <c r="AJ396" s="345"/>
      <c r="AK396" s="345"/>
      <c r="AL396" s="345"/>
      <c r="AM396" s="11"/>
      <c r="AN396" s="11"/>
      <c r="AO396" s="11"/>
    </row>
    <row r="397" spans="1:41" x14ac:dyDescent="0.25">
      <c r="A397" s="311"/>
      <c r="B397" s="316"/>
      <c r="C397" s="316"/>
      <c r="D397" s="316"/>
      <c r="E397" s="319"/>
      <c r="F397" s="336"/>
      <c r="G397" s="336"/>
      <c r="H397" s="336"/>
      <c r="I397" s="336"/>
      <c r="J397" s="336"/>
      <c r="K397" s="336"/>
      <c r="L397" s="336"/>
      <c r="M397" s="336"/>
      <c r="N397" s="336"/>
      <c r="O397" s="336"/>
      <c r="P397" s="336"/>
      <c r="Q397" s="336"/>
      <c r="R397" s="443"/>
      <c r="S397" s="336"/>
      <c r="T397" s="336"/>
      <c r="U397" s="314"/>
      <c r="V397" s="318">
        <v>757</v>
      </c>
      <c r="W397" s="447">
        <f t="shared" si="42"/>
        <v>0</v>
      </c>
      <c r="X397" s="447">
        <f t="shared" si="43"/>
        <v>0</v>
      </c>
      <c r="Y397" s="447">
        <f t="shared" si="44"/>
        <v>0</v>
      </c>
      <c r="Z397" s="447">
        <f t="shared" si="45"/>
        <v>0</v>
      </c>
      <c r="AA397" s="447">
        <f t="shared" si="46"/>
        <v>0</v>
      </c>
      <c r="AB397" s="447" t="e">
        <f t="shared" si="47"/>
        <v>#DIV/0!</v>
      </c>
      <c r="AC397" s="448" t="e">
        <f t="shared" si="48"/>
        <v>#DIV/0!</v>
      </c>
      <c r="AE397" s="349" t="str">
        <f>AF397&amp;TM[[#This Row],[Insurer Code]]&amp;"; "&amp;AG397&amp;TM[[#This Row],[Reporting Year]]&amp;"; "&amp;AH397&amp;TM[[#This Row],[Insurance Category Code]]&amp;"; "&amp;AI397&amp;TM[[#This Row],[Large Provider Entity Code]]</f>
        <v xml:space="preserve">Insurer Code ; Reporting Year ; Insurance Category Code ; Large Provider Entity Code </v>
      </c>
      <c r="AF397" s="345" t="s">
        <v>207</v>
      </c>
      <c r="AG397" s="345" t="s">
        <v>208</v>
      </c>
      <c r="AH397" s="345" t="s">
        <v>209</v>
      </c>
      <c r="AI397" s="345" t="s">
        <v>210</v>
      </c>
      <c r="AJ397" s="345"/>
      <c r="AK397" s="345"/>
      <c r="AL397" s="345"/>
      <c r="AM397" s="11"/>
      <c r="AN397" s="11"/>
      <c r="AO397" s="11"/>
    </row>
    <row r="398" spans="1:41" x14ac:dyDescent="0.25">
      <c r="A398" s="311"/>
      <c r="B398" s="316"/>
      <c r="C398" s="316"/>
      <c r="D398" s="316"/>
      <c r="E398" s="319"/>
      <c r="F398" s="336"/>
      <c r="G398" s="336"/>
      <c r="H398" s="336"/>
      <c r="I398" s="336"/>
      <c r="J398" s="336"/>
      <c r="K398" s="336"/>
      <c r="L398" s="336"/>
      <c r="M398" s="336"/>
      <c r="N398" s="336"/>
      <c r="O398" s="336"/>
      <c r="P398" s="336"/>
      <c r="Q398" s="336"/>
      <c r="R398" s="443"/>
      <c r="S398" s="336"/>
      <c r="T398" s="336"/>
      <c r="U398" s="314"/>
      <c r="V398" s="318">
        <v>561</v>
      </c>
      <c r="W398" s="447">
        <f t="shared" si="42"/>
        <v>0</v>
      </c>
      <c r="X398" s="447">
        <f t="shared" si="43"/>
        <v>0</v>
      </c>
      <c r="Y398" s="447">
        <f t="shared" si="44"/>
        <v>0</v>
      </c>
      <c r="Z398" s="447">
        <f t="shared" si="45"/>
        <v>0</v>
      </c>
      <c r="AA398" s="447">
        <f t="shared" si="46"/>
        <v>0</v>
      </c>
      <c r="AB398" s="447" t="e">
        <f t="shared" si="47"/>
        <v>#DIV/0!</v>
      </c>
      <c r="AC398" s="448" t="e">
        <f t="shared" si="48"/>
        <v>#DIV/0!</v>
      </c>
      <c r="AE398" s="349" t="str">
        <f>AF398&amp;TM[[#This Row],[Insurer Code]]&amp;"; "&amp;AG398&amp;TM[[#This Row],[Reporting Year]]&amp;"; "&amp;AH398&amp;TM[[#This Row],[Insurance Category Code]]&amp;"; "&amp;AI398&amp;TM[[#This Row],[Large Provider Entity Code]]</f>
        <v xml:space="preserve">Insurer Code ; Reporting Year ; Insurance Category Code ; Large Provider Entity Code </v>
      </c>
      <c r="AF398" s="345" t="s">
        <v>207</v>
      </c>
      <c r="AG398" s="345" t="s">
        <v>208</v>
      </c>
      <c r="AH398" s="345" t="s">
        <v>209</v>
      </c>
      <c r="AI398" s="345" t="s">
        <v>210</v>
      </c>
      <c r="AJ398" s="345"/>
      <c r="AK398" s="345"/>
      <c r="AL398" s="345"/>
      <c r="AM398" s="11"/>
      <c r="AN398" s="11"/>
      <c r="AO398" s="11"/>
    </row>
    <row r="399" spans="1:41" x14ac:dyDescent="0.25">
      <c r="A399" s="311"/>
      <c r="B399" s="312"/>
      <c r="C399" s="312"/>
      <c r="D399" s="312"/>
      <c r="E399" s="313"/>
      <c r="F399" s="314"/>
      <c r="G399" s="314"/>
      <c r="H399" s="314"/>
      <c r="I399" s="314"/>
      <c r="J399" s="314"/>
      <c r="K399" s="314"/>
      <c r="L399" s="314"/>
      <c r="M399" s="314"/>
      <c r="N399" s="314"/>
      <c r="O399" s="314"/>
      <c r="P399" s="314"/>
      <c r="Q399" s="314"/>
      <c r="R399" s="442"/>
      <c r="S399" s="314"/>
      <c r="T399" s="314"/>
      <c r="U399" s="314"/>
      <c r="V399" s="315">
        <v>9</v>
      </c>
      <c r="W399" s="447">
        <f t="shared" si="42"/>
        <v>0</v>
      </c>
      <c r="X399" s="447">
        <f t="shared" si="43"/>
        <v>0</v>
      </c>
      <c r="Y399" s="447">
        <f t="shared" si="44"/>
        <v>0</v>
      </c>
      <c r="Z399" s="447">
        <f t="shared" si="45"/>
        <v>0</v>
      </c>
      <c r="AA399" s="447">
        <f t="shared" si="46"/>
        <v>0</v>
      </c>
      <c r="AB399" s="447" t="e">
        <f t="shared" si="47"/>
        <v>#DIV/0!</v>
      </c>
      <c r="AC399" s="448" t="e">
        <f t="shared" si="48"/>
        <v>#DIV/0!</v>
      </c>
      <c r="AE399" s="349" t="str">
        <f>AF399&amp;TM[[#This Row],[Insurer Code]]&amp;"; "&amp;AG399&amp;TM[[#This Row],[Reporting Year]]&amp;"; "&amp;AH399&amp;TM[[#This Row],[Insurance Category Code]]&amp;"; "&amp;AI399&amp;TM[[#This Row],[Large Provider Entity Code]]</f>
        <v xml:space="preserve">Insurer Code ; Reporting Year ; Insurance Category Code ; Large Provider Entity Code </v>
      </c>
      <c r="AF399" s="345" t="s">
        <v>207</v>
      </c>
      <c r="AG399" s="345" t="s">
        <v>208</v>
      </c>
      <c r="AH399" s="345" t="s">
        <v>209</v>
      </c>
      <c r="AI399" s="345" t="s">
        <v>210</v>
      </c>
      <c r="AJ399" s="345"/>
      <c r="AK399" s="345"/>
      <c r="AL399" s="345"/>
      <c r="AM399" s="11"/>
      <c r="AN399" s="11"/>
      <c r="AO399" s="11"/>
    </row>
    <row r="400" spans="1:41" x14ac:dyDescent="0.25">
      <c r="A400" s="311"/>
      <c r="B400" s="316"/>
      <c r="C400" s="316"/>
      <c r="D400" s="316"/>
      <c r="E400" s="319"/>
      <c r="F400" s="336"/>
      <c r="G400" s="336"/>
      <c r="H400" s="336"/>
      <c r="I400" s="336"/>
      <c r="J400" s="336"/>
      <c r="K400" s="336"/>
      <c r="L400" s="336"/>
      <c r="M400" s="336"/>
      <c r="N400" s="336"/>
      <c r="O400" s="336"/>
      <c r="P400" s="336"/>
      <c r="Q400" s="336"/>
      <c r="R400" s="443"/>
      <c r="S400" s="336"/>
      <c r="T400" s="336"/>
      <c r="U400" s="314"/>
      <c r="V400" s="318">
        <v>17</v>
      </c>
      <c r="W400" s="447">
        <f t="shared" si="42"/>
        <v>0</v>
      </c>
      <c r="X400" s="447">
        <f t="shared" si="43"/>
        <v>0</v>
      </c>
      <c r="Y400" s="447">
        <f t="shared" si="44"/>
        <v>0</v>
      </c>
      <c r="Z400" s="447">
        <f t="shared" si="45"/>
        <v>0</v>
      </c>
      <c r="AA400" s="447">
        <f t="shared" si="46"/>
        <v>0</v>
      </c>
      <c r="AB400" s="447" t="e">
        <f t="shared" si="47"/>
        <v>#DIV/0!</v>
      </c>
      <c r="AC400" s="448" t="e">
        <f t="shared" si="48"/>
        <v>#DIV/0!</v>
      </c>
      <c r="AE400" s="349" t="str">
        <f>AF400&amp;TM[[#This Row],[Insurer Code]]&amp;"; "&amp;AG400&amp;TM[[#This Row],[Reporting Year]]&amp;"; "&amp;AH400&amp;TM[[#This Row],[Insurance Category Code]]&amp;"; "&amp;AI400&amp;TM[[#This Row],[Large Provider Entity Code]]</f>
        <v xml:space="preserve">Insurer Code ; Reporting Year ; Insurance Category Code ; Large Provider Entity Code </v>
      </c>
      <c r="AF400" s="345" t="s">
        <v>207</v>
      </c>
      <c r="AG400" s="345" t="s">
        <v>208</v>
      </c>
      <c r="AH400" s="345" t="s">
        <v>209</v>
      </c>
      <c r="AI400" s="345" t="s">
        <v>210</v>
      </c>
      <c r="AJ400" s="345"/>
      <c r="AK400" s="345"/>
      <c r="AL400" s="345"/>
      <c r="AM400" s="11"/>
      <c r="AN400" s="11"/>
      <c r="AO400" s="11"/>
    </row>
    <row r="401" spans="1:41" x14ac:dyDescent="0.25">
      <c r="A401" s="311"/>
      <c r="B401" s="316"/>
      <c r="C401" s="316"/>
      <c r="D401" s="316"/>
      <c r="E401" s="319"/>
      <c r="F401" s="336"/>
      <c r="G401" s="336"/>
      <c r="H401" s="336"/>
      <c r="I401" s="336"/>
      <c r="J401" s="336"/>
      <c r="K401" s="336"/>
      <c r="L401" s="336"/>
      <c r="M401" s="336"/>
      <c r="N401" s="336"/>
      <c r="O401" s="336"/>
      <c r="P401" s="336"/>
      <c r="Q401" s="336"/>
      <c r="R401" s="443"/>
      <c r="S401" s="336"/>
      <c r="T401" s="336"/>
      <c r="U401" s="314"/>
      <c r="V401" s="318">
        <v>549</v>
      </c>
      <c r="W401" s="447">
        <f t="shared" si="42"/>
        <v>0</v>
      </c>
      <c r="X401" s="447">
        <f t="shared" si="43"/>
        <v>0</v>
      </c>
      <c r="Y401" s="447">
        <f t="shared" si="44"/>
        <v>0</v>
      </c>
      <c r="Z401" s="447">
        <f t="shared" si="45"/>
        <v>0</v>
      </c>
      <c r="AA401" s="447">
        <f t="shared" si="46"/>
        <v>0</v>
      </c>
      <c r="AB401" s="447" t="e">
        <f t="shared" si="47"/>
        <v>#DIV/0!</v>
      </c>
      <c r="AC401" s="448" t="e">
        <f t="shared" si="48"/>
        <v>#DIV/0!</v>
      </c>
      <c r="AE401" s="349" t="str">
        <f>AF401&amp;TM[[#This Row],[Insurer Code]]&amp;"; "&amp;AG401&amp;TM[[#This Row],[Reporting Year]]&amp;"; "&amp;AH401&amp;TM[[#This Row],[Insurance Category Code]]&amp;"; "&amp;AI401&amp;TM[[#This Row],[Large Provider Entity Code]]</f>
        <v xml:space="preserve">Insurer Code ; Reporting Year ; Insurance Category Code ; Large Provider Entity Code </v>
      </c>
      <c r="AF401" s="345" t="s">
        <v>207</v>
      </c>
      <c r="AG401" s="345" t="s">
        <v>208</v>
      </c>
      <c r="AH401" s="345" t="s">
        <v>209</v>
      </c>
      <c r="AI401" s="345" t="s">
        <v>210</v>
      </c>
      <c r="AJ401" s="345"/>
      <c r="AK401" s="345"/>
      <c r="AL401" s="345"/>
      <c r="AM401" s="11"/>
      <c r="AN401" s="11"/>
      <c r="AO401" s="11"/>
    </row>
    <row r="402" spans="1:41" x14ac:dyDescent="0.25">
      <c r="A402" s="311"/>
      <c r="B402" s="316"/>
      <c r="C402" s="316"/>
      <c r="D402" s="316"/>
      <c r="E402" s="319"/>
      <c r="F402" s="336"/>
      <c r="G402" s="336"/>
      <c r="H402" s="336"/>
      <c r="I402" s="336"/>
      <c r="J402" s="336"/>
      <c r="K402" s="336"/>
      <c r="L402" s="336"/>
      <c r="M402" s="336"/>
      <c r="N402" s="336"/>
      <c r="O402" s="336"/>
      <c r="P402" s="336"/>
      <c r="Q402" s="336"/>
      <c r="R402" s="443"/>
      <c r="S402" s="336"/>
      <c r="T402" s="336"/>
      <c r="U402" s="314"/>
      <c r="V402" s="318">
        <v>31</v>
      </c>
      <c r="W402" s="447">
        <f t="shared" si="42"/>
        <v>0</v>
      </c>
      <c r="X402" s="447">
        <f t="shared" si="43"/>
        <v>0</v>
      </c>
      <c r="Y402" s="447">
        <f t="shared" si="44"/>
        <v>0</v>
      </c>
      <c r="Z402" s="447">
        <f t="shared" si="45"/>
        <v>0</v>
      </c>
      <c r="AA402" s="447">
        <f t="shared" si="46"/>
        <v>0</v>
      </c>
      <c r="AB402" s="447" t="e">
        <f t="shared" si="47"/>
        <v>#DIV/0!</v>
      </c>
      <c r="AC402" s="448" t="e">
        <f t="shared" si="48"/>
        <v>#DIV/0!</v>
      </c>
      <c r="AE402" s="349" t="str">
        <f>AF402&amp;TM[[#This Row],[Insurer Code]]&amp;"; "&amp;AG402&amp;TM[[#This Row],[Reporting Year]]&amp;"; "&amp;AH402&amp;TM[[#This Row],[Insurance Category Code]]&amp;"; "&amp;AI402&amp;TM[[#This Row],[Large Provider Entity Code]]</f>
        <v xml:space="preserve">Insurer Code ; Reporting Year ; Insurance Category Code ; Large Provider Entity Code </v>
      </c>
      <c r="AF402" s="345" t="s">
        <v>207</v>
      </c>
      <c r="AG402" s="345" t="s">
        <v>208</v>
      </c>
      <c r="AH402" s="345" t="s">
        <v>209</v>
      </c>
      <c r="AI402" s="345" t="s">
        <v>210</v>
      </c>
      <c r="AJ402" s="345"/>
      <c r="AK402" s="345"/>
      <c r="AL402" s="345"/>
      <c r="AM402" s="11"/>
      <c r="AN402" s="11"/>
      <c r="AO402" s="11"/>
    </row>
    <row r="403" spans="1:41" x14ac:dyDescent="0.25">
      <c r="A403" s="311"/>
      <c r="B403" s="312"/>
      <c r="C403" s="312"/>
      <c r="D403" s="312"/>
      <c r="E403" s="313"/>
      <c r="F403" s="314"/>
      <c r="G403" s="314"/>
      <c r="H403" s="314"/>
      <c r="I403" s="314"/>
      <c r="J403" s="314"/>
      <c r="K403" s="314"/>
      <c r="L403" s="314"/>
      <c r="M403" s="314"/>
      <c r="N403" s="314"/>
      <c r="O403" s="314"/>
      <c r="P403" s="314"/>
      <c r="Q403" s="314"/>
      <c r="R403" s="442"/>
      <c r="S403" s="314"/>
      <c r="T403" s="314"/>
      <c r="U403" s="314"/>
      <c r="V403" s="315">
        <v>15</v>
      </c>
      <c r="W403" s="447">
        <f t="shared" si="42"/>
        <v>0</v>
      </c>
      <c r="X403" s="447">
        <f t="shared" si="43"/>
        <v>0</v>
      </c>
      <c r="Y403" s="447">
        <f t="shared" si="44"/>
        <v>0</v>
      </c>
      <c r="Z403" s="447">
        <f t="shared" si="45"/>
        <v>0</v>
      </c>
      <c r="AA403" s="447">
        <f t="shared" si="46"/>
        <v>0</v>
      </c>
      <c r="AB403" s="447" t="e">
        <f t="shared" si="47"/>
        <v>#DIV/0!</v>
      </c>
      <c r="AC403" s="448" t="e">
        <f t="shared" si="48"/>
        <v>#DIV/0!</v>
      </c>
      <c r="AE403" s="349" t="str">
        <f>AF403&amp;TM[[#This Row],[Insurer Code]]&amp;"; "&amp;AG403&amp;TM[[#This Row],[Reporting Year]]&amp;"; "&amp;AH403&amp;TM[[#This Row],[Insurance Category Code]]&amp;"; "&amp;AI403&amp;TM[[#This Row],[Large Provider Entity Code]]</f>
        <v xml:space="preserve">Insurer Code ; Reporting Year ; Insurance Category Code ; Large Provider Entity Code </v>
      </c>
      <c r="AF403" s="345" t="s">
        <v>207</v>
      </c>
      <c r="AG403" s="345" t="s">
        <v>208</v>
      </c>
      <c r="AH403" s="345" t="s">
        <v>209</v>
      </c>
      <c r="AI403" s="345" t="s">
        <v>210</v>
      </c>
      <c r="AJ403" s="345"/>
      <c r="AK403" s="345"/>
      <c r="AL403" s="345"/>
      <c r="AM403" s="11"/>
      <c r="AN403" s="11"/>
      <c r="AO403" s="11"/>
    </row>
    <row r="404" spans="1:41" x14ac:dyDescent="0.25">
      <c r="A404" s="311"/>
      <c r="B404" s="312"/>
      <c r="C404" s="312"/>
      <c r="D404" s="312"/>
      <c r="E404" s="313"/>
      <c r="F404" s="314"/>
      <c r="G404" s="314"/>
      <c r="H404" s="314"/>
      <c r="I404" s="314"/>
      <c r="J404" s="314"/>
      <c r="K404" s="314"/>
      <c r="L404" s="314"/>
      <c r="M404" s="314"/>
      <c r="N404" s="314"/>
      <c r="O404" s="314"/>
      <c r="P404" s="314"/>
      <c r="Q404" s="314"/>
      <c r="R404" s="442"/>
      <c r="S404" s="314"/>
      <c r="T404" s="314"/>
      <c r="U404" s="314"/>
      <c r="V404" s="315">
        <v>503</v>
      </c>
      <c r="W404" s="447">
        <f t="shared" si="42"/>
        <v>0</v>
      </c>
      <c r="X404" s="447">
        <f t="shared" si="43"/>
        <v>0</v>
      </c>
      <c r="Y404" s="447">
        <f t="shared" si="44"/>
        <v>0</v>
      </c>
      <c r="Z404" s="447">
        <f t="shared" si="45"/>
        <v>0</v>
      </c>
      <c r="AA404" s="447">
        <f t="shared" si="46"/>
        <v>0</v>
      </c>
      <c r="AB404" s="447" t="e">
        <f t="shared" si="47"/>
        <v>#DIV/0!</v>
      </c>
      <c r="AC404" s="448" t="e">
        <f t="shared" si="48"/>
        <v>#DIV/0!</v>
      </c>
      <c r="AE404" s="349" t="str">
        <f>AF404&amp;TM[[#This Row],[Insurer Code]]&amp;"; "&amp;AG404&amp;TM[[#This Row],[Reporting Year]]&amp;"; "&amp;AH404&amp;TM[[#This Row],[Insurance Category Code]]&amp;"; "&amp;AI404&amp;TM[[#This Row],[Large Provider Entity Code]]</f>
        <v xml:space="preserve">Insurer Code ; Reporting Year ; Insurance Category Code ; Large Provider Entity Code </v>
      </c>
      <c r="AF404" s="345" t="s">
        <v>207</v>
      </c>
      <c r="AG404" s="345" t="s">
        <v>208</v>
      </c>
      <c r="AH404" s="345" t="s">
        <v>209</v>
      </c>
      <c r="AI404" s="345" t="s">
        <v>210</v>
      </c>
      <c r="AJ404" s="345"/>
      <c r="AK404" s="345"/>
      <c r="AL404" s="345"/>
      <c r="AM404" s="11"/>
      <c r="AN404" s="11"/>
      <c r="AO404" s="11"/>
    </row>
    <row r="405" spans="1:41" x14ac:dyDescent="0.25">
      <c r="A405" s="311"/>
      <c r="B405" s="316"/>
      <c r="C405" s="316"/>
      <c r="D405" s="316"/>
      <c r="E405" s="319"/>
      <c r="F405" s="336"/>
      <c r="G405" s="336"/>
      <c r="H405" s="336"/>
      <c r="I405" s="336"/>
      <c r="J405" s="336"/>
      <c r="K405" s="336"/>
      <c r="L405" s="336"/>
      <c r="M405" s="336"/>
      <c r="N405" s="336"/>
      <c r="O405" s="336"/>
      <c r="P405" s="336"/>
      <c r="Q405" s="336"/>
      <c r="R405" s="443"/>
      <c r="S405" s="336"/>
      <c r="T405" s="336"/>
      <c r="U405" s="314"/>
      <c r="V405" s="318">
        <v>739</v>
      </c>
      <c r="W405" s="447">
        <f t="shared" si="42"/>
        <v>0</v>
      </c>
      <c r="X405" s="447">
        <f t="shared" si="43"/>
        <v>0</v>
      </c>
      <c r="Y405" s="447">
        <f t="shared" si="44"/>
        <v>0</v>
      </c>
      <c r="Z405" s="447">
        <f t="shared" si="45"/>
        <v>0</v>
      </c>
      <c r="AA405" s="447">
        <f t="shared" si="46"/>
        <v>0</v>
      </c>
      <c r="AB405" s="447" t="e">
        <f t="shared" si="47"/>
        <v>#DIV/0!</v>
      </c>
      <c r="AC405" s="448" t="e">
        <f t="shared" si="48"/>
        <v>#DIV/0!</v>
      </c>
      <c r="AE405" s="349" t="str">
        <f>AF405&amp;TM[[#This Row],[Insurer Code]]&amp;"; "&amp;AG405&amp;TM[[#This Row],[Reporting Year]]&amp;"; "&amp;AH405&amp;TM[[#This Row],[Insurance Category Code]]&amp;"; "&amp;AI405&amp;TM[[#This Row],[Large Provider Entity Code]]</f>
        <v xml:space="preserve">Insurer Code ; Reporting Year ; Insurance Category Code ; Large Provider Entity Code </v>
      </c>
      <c r="AF405" s="345" t="s">
        <v>207</v>
      </c>
      <c r="AG405" s="345" t="s">
        <v>208</v>
      </c>
      <c r="AH405" s="345" t="s">
        <v>209</v>
      </c>
      <c r="AI405" s="345" t="s">
        <v>210</v>
      </c>
      <c r="AJ405" s="345"/>
      <c r="AK405" s="345"/>
      <c r="AL405" s="345"/>
      <c r="AM405" s="11"/>
      <c r="AN405" s="11"/>
      <c r="AO405" s="11"/>
    </row>
    <row r="406" spans="1:41" x14ac:dyDescent="0.25">
      <c r="A406" s="311"/>
      <c r="B406" s="316"/>
      <c r="C406" s="316"/>
      <c r="D406" s="316"/>
      <c r="E406" s="317"/>
      <c r="F406" s="336"/>
      <c r="G406" s="336"/>
      <c r="H406" s="336"/>
      <c r="I406" s="336"/>
      <c r="J406" s="336"/>
      <c r="K406" s="336"/>
      <c r="L406" s="336"/>
      <c r="M406" s="336"/>
      <c r="N406" s="336"/>
      <c r="O406" s="336"/>
      <c r="P406" s="336"/>
      <c r="Q406" s="336"/>
      <c r="R406" s="443"/>
      <c r="S406" s="336"/>
      <c r="T406" s="336"/>
      <c r="U406" s="314"/>
      <c r="V406" s="318">
        <v>573</v>
      </c>
      <c r="W406" s="447">
        <f t="shared" si="42"/>
        <v>0</v>
      </c>
      <c r="X406" s="447">
        <f t="shared" si="43"/>
        <v>0</v>
      </c>
      <c r="Y406" s="447">
        <f t="shared" si="44"/>
        <v>0</v>
      </c>
      <c r="Z406" s="447">
        <f t="shared" si="45"/>
        <v>0</v>
      </c>
      <c r="AA406" s="447">
        <f t="shared" si="46"/>
        <v>0</v>
      </c>
      <c r="AB406" s="447" t="e">
        <f t="shared" si="47"/>
        <v>#DIV/0!</v>
      </c>
      <c r="AC406" s="448" t="e">
        <f t="shared" si="48"/>
        <v>#DIV/0!</v>
      </c>
      <c r="AE406" s="349" t="str">
        <f>AF406&amp;TM[[#This Row],[Insurer Code]]&amp;"; "&amp;AG406&amp;TM[[#This Row],[Reporting Year]]&amp;"; "&amp;AH406&amp;TM[[#This Row],[Insurance Category Code]]&amp;"; "&amp;AI406&amp;TM[[#This Row],[Large Provider Entity Code]]</f>
        <v xml:space="preserve">Insurer Code ; Reporting Year ; Insurance Category Code ; Large Provider Entity Code </v>
      </c>
      <c r="AF406" s="345" t="s">
        <v>207</v>
      </c>
      <c r="AG406" s="345" t="s">
        <v>208</v>
      </c>
      <c r="AH406" s="345" t="s">
        <v>209</v>
      </c>
      <c r="AI406" s="345" t="s">
        <v>210</v>
      </c>
      <c r="AJ406" s="345"/>
      <c r="AK406" s="345"/>
      <c r="AL406" s="345"/>
      <c r="AM406" s="11"/>
      <c r="AN406" s="11"/>
      <c r="AO406" s="11"/>
    </row>
    <row r="407" spans="1:41" x14ac:dyDescent="0.25">
      <c r="A407" s="311"/>
      <c r="B407" s="316"/>
      <c r="C407" s="316"/>
      <c r="D407" s="316"/>
      <c r="E407" s="317"/>
      <c r="F407" s="336"/>
      <c r="G407" s="336"/>
      <c r="H407" s="336"/>
      <c r="I407" s="336"/>
      <c r="J407" s="336"/>
      <c r="K407" s="336"/>
      <c r="L407" s="336"/>
      <c r="M407" s="336"/>
      <c r="N407" s="336"/>
      <c r="O407" s="336"/>
      <c r="P407" s="336"/>
      <c r="Q407" s="336"/>
      <c r="R407" s="443"/>
      <c r="S407" s="336"/>
      <c r="T407" s="336"/>
      <c r="U407" s="314"/>
      <c r="V407" s="318">
        <v>13</v>
      </c>
      <c r="W407" s="447">
        <f t="shared" si="42"/>
        <v>0</v>
      </c>
      <c r="X407" s="447">
        <f t="shared" si="43"/>
        <v>0</v>
      </c>
      <c r="Y407" s="447">
        <f t="shared" si="44"/>
        <v>0</v>
      </c>
      <c r="Z407" s="447">
        <f t="shared" si="45"/>
        <v>0</v>
      </c>
      <c r="AA407" s="447">
        <f t="shared" si="46"/>
        <v>0</v>
      </c>
      <c r="AB407" s="447" t="e">
        <f t="shared" si="47"/>
        <v>#DIV/0!</v>
      </c>
      <c r="AC407" s="448" t="e">
        <f t="shared" si="48"/>
        <v>#DIV/0!</v>
      </c>
      <c r="AE407" s="349" t="str">
        <f>AF407&amp;TM[[#This Row],[Insurer Code]]&amp;"; "&amp;AG407&amp;TM[[#This Row],[Reporting Year]]&amp;"; "&amp;AH407&amp;TM[[#This Row],[Insurance Category Code]]&amp;"; "&amp;AI407&amp;TM[[#This Row],[Large Provider Entity Code]]</f>
        <v xml:space="preserve">Insurer Code ; Reporting Year ; Insurance Category Code ; Large Provider Entity Code </v>
      </c>
      <c r="AF407" s="345" t="s">
        <v>207</v>
      </c>
      <c r="AG407" s="345" t="s">
        <v>208</v>
      </c>
      <c r="AH407" s="345" t="s">
        <v>209</v>
      </c>
      <c r="AI407" s="345" t="s">
        <v>210</v>
      </c>
      <c r="AJ407" s="345"/>
      <c r="AK407" s="345"/>
      <c r="AL407" s="345"/>
      <c r="AM407" s="11"/>
      <c r="AN407" s="11"/>
      <c r="AO407" s="11"/>
    </row>
    <row r="408" spans="1:41" x14ac:dyDescent="0.25">
      <c r="A408" s="311"/>
      <c r="B408" s="316"/>
      <c r="C408" s="316"/>
      <c r="D408" s="316"/>
      <c r="E408" s="319"/>
      <c r="F408" s="336"/>
      <c r="G408" s="336"/>
      <c r="H408" s="336"/>
      <c r="I408" s="336"/>
      <c r="J408" s="336"/>
      <c r="K408" s="336"/>
      <c r="L408" s="336"/>
      <c r="M408" s="336"/>
      <c r="N408" s="336"/>
      <c r="O408" s="336"/>
      <c r="P408" s="336"/>
      <c r="Q408" s="336"/>
      <c r="R408" s="443"/>
      <c r="S408" s="336"/>
      <c r="T408" s="336"/>
      <c r="U408" s="314"/>
      <c r="V408" s="318">
        <v>19</v>
      </c>
      <c r="W408" s="447">
        <f t="shared" si="42"/>
        <v>0</v>
      </c>
      <c r="X408" s="447">
        <f t="shared" si="43"/>
        <v>0</v>
      </c>
      <c r="Y408" s="447">
        <f t="shared" si="44"/>
        <v>0</v>
      </c>
      <c r="Z408" s="447">
        <f t="shared" si="45"/>
        <v>0</v>
      </c>
      <c r="AA408" s="447">
        <f t="shared" si="46"/>
        <v>0</v>
      </c>
      <c r="AB408" s="447" t="e">
        <f t="shared" si="47"/>
        <v>#DIV/0!</v>
      </c>
      <c r="AC408" s="448" t="e">
        <f t="shared" si="48"/>
        <v>#DIV/0!</v>
      </c>
      <c r="AE408" s="349" t="str">
        <f>AF408&amp;TM[[#This Row],[Insurer Code]]&amp;"; "&amp;AG408&amp;TM[[#This Row],[Reporting Year]]&amp;"; "&amp;AH408&amp;TM[[#This Row],[Insurance Category Code]]&amp;"; "&amp;AI408&amp;TM[[#This Row],[Large Provider Entity Code]]</f>
        <v xml:space="preserve">Insurer Code ; Reporting Year ; Insurance Category Code ; Large Provider Entity Code </v>
      </c>
      <c r="AF408" s="345" t="s">
        <v>207</v>
      </c>
      <c r="AG408" s="345" t="s">
        <v>208</v>
      </c>
      <c r="AH408" s="345" t="s">
        <v>209</v>
      </c>
      <c r="AI408" s="345" t="s">
        <v>210</v>
      </c>
      <c r="AJ408" s="345"/>
      <c r="AK408" s="345"/>
      <c r="AL408" s="345"/>
      <c r="AM408" s="11"/>
      <c r="AN408" s="11"/>
      <c r="AO408" s="11"/>
    </row>
    <row r="409" spans="1:41" x14ac:dyDescent="0.25">
      <c r="A409" s="311"/>
      <c r="B409" s="316"/>
      <c r="C409" s="316"/>
      <c r="D409" s="316"/>
      <c r="E409" s="317"/>
      <c r="F409" s="336"/>
      <c r="G409" s="336"/>
      <c r="H409" s="336"/>
      <c r="I409" s="336"/>
      <c r="J409" s="336"/>
      <c r="K409" s="336"/>
      <c r="L409" s="336"/>
      <c r="M409" s="336"/>
      <c r="N409" s="336"/>
      <c r="O409" s="336"/>
      <c r="P409" s="336"/>
      <c r="Q409" s="336"/>
      <c r="R409" s="443"/>
      <c r="S409" s="336"/>
      <c r="T409" s="336"/>
      <c r="U409" s="314"/>
      <c r="V409" s="318">
        <v>627</v>
      </c>
      <c r="W409" s="447">
        <f t="shared" si="42"/>
        <v>0</v>
      </c>
      <c r="X409" s="447">
        <f t="shared" si="43"/>
        <v>0</v>
      </c>
      <c r="Y409" s="447">
        <f t="shared" si="44"/>
        <v>0</v>
      </c>
      <c r="Z409" s="447">
        <f t="shared" si="45"/>
        <v>0</v>
      </c>
      <c r="AA409" s="447">
        <f t="shared" si="46"/>
        <v>0</v>
      </c>
      <c r="AB409" s="447" t="e">
        <f t="shared" si="47"/>
        <v>#DIV/0!</v>
      </c>
      <c r="AC409" s="448" t="e">
        <f t="shared" si="48"/>
        <v>#DIV/0!</v>
      </c>
      <c r="AE409" s="349" t="str">
        <f>AF409&amp;TM[[#This Row],[Insurer Code]]&amp;"; "&amp;AG409&amp;TM[[#This Row],[Reporting Year]]&amp;"; "&amp;AH409&amp;TM[[#This Row],[Insurance Category Code]]&amp;"; "&amp;AI409&amp;TM[[#This Row],[Large Provider Entity Code]]</f>
        <v xml:space="preserve">Insurer Code ; Reporting Year ; Insurance Category Code ; Large Provider Entity Code </v>
      </c>
      <c r="AF409" s="345" t="s">
        <v>207</v>
      </c>
      <c r="AG409" s="345" t="s">
        <v>208</v>
      </c>
      <c r="AH409" s="345" t="s">
        <v>209</v>
      </c>
      <c r="AI409" s="345" t="s">
        <v>210</v>
      </c>
      <c r="AJ409" s="345"/>
      <c r="AK409" s="345"/>
      <c r="AL409" s="345"/>
      <c r="AM409" s="11"/>
      <c r="AN409" s="11"/>
      <c r="AO409" s="11"/>
    </row>
    <row r="410" spans="1:41" x14ac:dyDescent="0.25">
      <c r="A410" s="311"/>
      <c r="B410" s="312"/>
      <c r="C410" s="312"/>
      <c r="D410" s="312"/>
      <c r="E410" s="328"/>
      <c r="F410" s="442"/>
      <c r="G410" s="314"/>
      <c r="H410" s="314"/>
      <c r="I410" s="314"/>
      <c r="J410" s="314"/>
      <c r="K410" s="314"/>
      <c r="L410" s="314"/>
      <c r="M410" s="314"/>
      <c r="N410" s="314"/>
      <c r="O410" s="314"/>
      <c r="P410" s="314"/>
      <c r="Q410" s="314"/>
      <c r="R410" s="442"/>
      <c r="S410" s="314"/>
      <c r="T410" s="314"/>
      <c r="U410" s="314"/>
      <c r="V410" s="315">
        <v>19</v>
      </c>
      <c r="W410" s="447">
        <f t="shared" si="42"/>
        <v>0</v>
      </c>
      <c r="X410" s="447">
        <f t="shared" si="43"/>
        <v>0</v>
      </c>
      <c r="Y410" s="447">
        <f t="shared" si="44"/>
        <v>0</v>
      </c>
      <c r="Z410" s="447">
        <f t="shared" si="45"/>
        <v>0</v>
      </c>
      <c r="AA410" s="447">
        <f t="shared" si="46"/>
        <v>0</v>
      </c>
      <c r="AB410" s="447" t="e">
        <f t="shared" si="47"/>
        <v>#DIV/0!</v>
      </c>
      <c r="AC410" s="448" t="e">
        <f t="shared" si="48"/>
        <v>#DIV/0!</v>
      </c>
      <c r="AE410" s="349" t="str">
        <f>AF410&amp;TM[[#This Row],[Insurer Code]]&amp;"; "&amp;AG410&amp;TM[[#This Row],[Reporting Year]]&amp;"; "&amp;AH410&amp;TM[[#This Row],[Insurance Category Code]]&amp;"; "&amp;AI410&amp;TM[[#This Row],[Large Provider Entity Code]]</f>
        <v xml:space="preserve">Insurer Code ; Reporting Year ; Insurance Category Code ; Large Provider Entity Code </v>
      </c>
      <c r="AF410" s="345" t="s">
        <v>207</v>
      </c>
      <c r="AG410" s="345" t="s">
        <v>208</v>
      </c>
      <c r="AH410" s="345" t="s">
        <v>209</v>
      </c>
      <c r="AI410" s="345" t="s">
        <v>210</v>
      </c>
      <c r="AJ410" s="345"/>
      <c r="AK410" s="345"/>
      <c r="AL410" s="345"/>
      <c r="AM410" s="11"/>
      <c r="AN410" s="11"/>
      <c r="AO410" s="11"/>
    </row>
    <row r="411" spans="1:41" x14ac:dyDescent="0.25">
      <c r="A411" s="311"/>
      <c r="B411" s="312"/>
      <c r="C411" s="312"/>
      <c r="D411" s="312"/>
      <c r="E411" s="328"/>
      <c r="F411" s="442"/>
      <c r="G411" s="314"/>
      <c r="H411" s="314"/>
      <c r="I411" s="314"/>
      <c r="J411" s="314"/>
      <c r="K411" s="314"/>
      <c r="L411" s="314"/>
      <c r="M411" s="314"/>
      <c r="N411" s="314"/>
      <c r="O411" s="314"/>
      <c r="P411" s="314"/>
      <c r="Q411" s="314"/>
      <c r="R411" s="442"/>
      <c r="S411" s="314"/>
      <c r="T411" s="314"/>
      <c r="U411" s="314"/>
      <c r="V411" s="315">
        <v>497</v>
      </c>
      <c r="W411" s="447">
        <f t="shared" si="42"/>
        <v>0</v>
      </c>
      <c r="X411" s="447">
        <f t="shared" si="43"/>
        <v>0</v>
      </c>
      <c r="Y411" s="447">
        <f t="shared" si="44"/>
        <v>0</v>
      </c>
      <c r="Z411" s="447">
        <f t="shared" si="45"/>
        <v>0</v>
      </c>
      <c r="AA411" s="447">
        <f t="shared" si="46"/>
        <v>0</v>
      </c>
      <c r="AB411" s="447" t="e">
        <f t="shared" si="47"/>
        <v>#DIV/0!</v>
      </c>
      <c r="AC411" s="448" t="e">
        <f t="shared" si="48"/>
        <v>#DIV/0!</v>
      </c>
      <c r="AE411" s="349" t="str">
        <f>AF411&amp;TM[[#This Row],[Insurer Code]]&amp;"; "&amp;AG411&amp;TM[[#This Row],[Reporting Year]]&amp;"; "&amp;AH411&amp;TM[[#This Row],[Insurance Category Code]]&amp;"; "&amp;AI411&amp;TM[[#This Row],[Large Provider Entity Code]]</f>
        <v xml:space="preserve">Insurer Code ; Reporting Year ; Insurance Category Code ; Large Provider Entity Code </v>
      </c>
      <c r="AF411" s="345" t="s">
        <v>207</v>
      </c>
      <c r="AG411" s="345" t="s">
        <v>208</v>
      </c>
      <c r="AH411" s="345" t="s">
        <v>209</v>
      </c>
      <c r="AI411" s="345" t="s">
        <v>210</v>
      </c>
      <c r="AJ411" s="345"/>
      <c r="AK411" s="345"/>
      <c r="AL411" s="345"/>
      <c r="AM411" s="11"/>
      <c r="AN411" s="11"/>
      <c r="AO411" s="11"/>
    </row>
    <row r="412" spans="1:41" x14ac:dyDescent="0.25">
      <c r="A412" s="311"/>
      <c r="B412" s="312"/>
      <c r="C412" s="312"/>
      <c r="D412" s="312"/>
      <c r="E412" s="328"/>
      <c r="F412" s="442"/>
      <c r="G412" s="314"/>
      <c r="H412" s="314"/>
      <c r="I412" s="314"/>
      <c r="J412" s="314"/>
      <c r="K412" s="314"/>
      <c r="L412" s="314"/>
      <c r="M412" s="314"/>
      <c r="N412" s="314"/>
      <c r="O412" s="314"/>
      <c r="P412" s="314"/>
      <c r="Q412" s="314"/>
      <c r="R412" s="442"/>
      <c r="S412" s="314"/>
      <c r="T412" s="314"/>
      <c r="U412" s="314"/>
      <c r="V412" s="315">
        <v>757</v>
      </c>
      <c r="W412" s="447">
        <f t="shared" si="42"/>
        <v>0</v>
      </c>
      <c r="X412" s="447">
        <f t="shared" si="43"/>
        <v>0</v>
      </c>
      <c r="Y412" s="447">
        <f t="shared" si="44"/>
        <v>0</v>
      </c>
      <c r="Z412" s="447">
        <f t="shared" si="45"/>
        <v>0</v>
      </c>
      <c r="AA412" s="447">
        <f t="shared" si="46"/>
        <v>0</v>
      </c>
      <c r="AB412" s="447" t="e">
        <f t="shared" si="47"/>
        <v>#DIV/0!</v>
      </c>
      <c r="AC412" s="448" t="e">
        <f t="shared" si="48"/>
        <v>#DIV/0!</v>
      </c>
      <c r="AE412" s="349" t="str">
        <f>AF412&amp;TM[[#This Row],[Insurer Code]]&amp;"; "&amp;AG412&amp;TM[[#This Row],[Reporting Year]]&amp;"; "&amp;AH412&amp;TM[[#This Row],[Insurance Category Code]]&amp;"; "&amp;AI412&amp;TM[[#This Row],[Large Provider Entity Code]]</f>
        <v xml:space="preserve">Insurer Code ; Reporting Year ; Insurance Category Code ; Large Provider Entity Code </v>
      </c>
      <c r="AF412" s="345" t="s">
        <v>207</v>
      </c>
      <c r="AG412" s="345" t="s">
        <v>208</v>
      </c>
      <c r="AH412" s="345" t="s">
        <v>209</v>
      </c>
      <c r="AI412" s="345" t="s">
        <v>210</v>
      </c>
      <c r="AJ412" s="345"/>
      <c r="AK412" s="345"/>
      <c r="AL412" s="345"/>
      <c r="AM412" s="11"/>
      <c r="AN412" s="11"/>
      <c r="AO412" s="11"/>
    </row>
    <row r="413" spans="1:41" x14ac:dyDescent="0.25">
      <c r="A413" s="311"/>
      <c r="B413" s="312"/>
      <c r="C413" s="312"/>
      <c r="D413" s="312"/>
      <c r="E413" s="328"/>
      <c r="F413" s="442"/>
      <c r="G413" s="314"/>
      <c r="H413" s="314"/>
      <c r="I413" s="314"/>
      <c r="J413" s="314"/>
      <c r="K413" s="314"/>
      <c r="L413" s="314"/>
      <c r="M413" s="314"/>
      <c r="N413" s="314"/>
      <c r="O413" s="314"/>
      <c r="P413" s="314"/>
      <c r="Q413" s="314"/>
      <c r="R413" s="442"/>
      <c r="S413" s="314"/>
      <c r="T413" s="314"/>
      <c r="U413" s="314"/>
      <c r="V413" s="315">
        <v>561</v>
      </c>
      <c r="W413" s="451">
        <f t="shared" si="42"/>
        <v>0</v>
      </c>
      <c r="X413" s="451">
        <f t="shared" si="43"/>
        <v>0</v>
      </c>
      <c r="Y413" s="451">
        <f t="shared" si="44"/>
        <v>0</v>
      </c>
      <c r="Z413" s="451">
        <f t="shared" si="45"/>
        <v>0</v>
      </c>
      <c r="AA413" s="451">
        <f t="shared" si="46"/>
        <v>0</v>
      </c>
      <c r="AB413" s="451" t="e">
        <f t="shared" si="47"/>
        <v>#DIV/0!</v>
      </c>
      <c r="AC413" s="452" t="e">
        <f t="shared" si="48"/>
        <v>#DIV/0!</v>
      </c>
      <c r="AE413" s="349" t="str">
        <f>AF413&amp;TM[[#This Row],[Insurer Code]]&amp;"; "&amp;AG413&amp;TM[[#This Row],[Reporting Year]]&amp;"; "&amp;AH413&amp;TM[[#This Row],[Insurance Category Code]]&amp;"; "&amp;AI413&amp;TM[[#This Row],[Large Provider Entity Code]]</f>
        <v xml:space="preserve">Insurer Code ; Reporting Year ; Insurance Category Code ; Large Provider Entity Code </v>
      </c>
      <c r="AF413" s="345" t="s">
        <v>207</v>
      </c>
      <c r="AG413" s="345" t="s">
        <v>208</v>
      </c>
      <c r="AH413" s="345" t="s">
        <v>209</v>
      </c>
      <c r="AI413" s="345" t="s">
        <v>210</v>
      </c>
      <c r="AJ413" s="345"/>
      <c r="AK413" s="345"/>
      <c r="AL413" s="345"/>
      <c r="AM413" s="11"/>
      <c r="AN413" s="11"/>
      <c r="AO413" s="11"/>
    </row>
    <row r="414" spans="1:41" x14ac:dyDescent="0.25">
      <c r="A414" s="311"/>
      <c r="B414" s="312"/>
      <c r="C414" s="312"/>
      <c r="D414" s="312"/>
      <c r="E414" s="328"/>
      <c r="F414" s="442"/>
      <c r="G414" s="314"/>
      <c r="H414" s="314"/>
      <c r="I414" s="314"/>
      <c r="J414" s="314"/>
      <c r="K414" s="314"/>
      <c r="L414" s="314"/>
      <c r="M414" s="314"/>
      <c r="N414" s="314"/>
      <c r="O414" s="314"/>
      <c r="P414" s="314"/>
      <c r="Q414" s="314"/>
      <c r="R414" s="442"/>
      <c r="S414" s="314"/>
      <c r="T414" s="314"/>
      <c r="U414" s="314"/>
      <c r="V414" s="315">
        <v>9</v>
      </c>
      <c r="W414" s="451">
        <f t="shared" si="42"/>
        <v>0</v>
      </c>
      <c r="X414" s="451">
        <f t="shared" si="43"/>
        <v>0</v>
      </c>
      <c r="Y414" s="451">
        <f t="shared" si="44"/>
        <v>0</v>
      </c>
      <c r="Z414" s="451">
        <f t="shared" si="45"/>
        <v>0</v>
      </c>
      <c r="AA414" s="451">
        <f t="shared" si="46"/>
        <v>0</v>
      </c>
      <c r="AB414" s="451" t="e">
        <f t="shared" si="47"/>
        <v>#DIV/0!</v>
      </c>
      <c r="AC414" s="452" t="e">
        <f t="shared" si="48"/>
        <v>#DIV/0!</v>
      </c>
      <c r="AE414" s="349" t="str">
        <f>AF414&amp;TM[[#This Row],[Insurer Code]]&amp;"; "&amp;AG414&amp;TM[[#This Row],[Reporting Year]]&amp;"; "&amp;AH414&amp;TM[[#This Row],[Insurance Category Code]]&amp;"; "&amp;AI414&amp;TM[[#This Row],[Large Provider Entity Code]]</f>
        <v xml:space="preserve">Insurer Code ; Reporting Year ; Insurance Category Code ; Large Provider Entity Code </v>
      </c>
      <c r="AF414" s="345" t="s">
        <v>207</v>
      </c>
      <c r="AG414" s="345" t="s">
        <v>208</v>
      </c>
      <c r="AH414" s="345" t="s">
        <v>209</v>
      </c>
      <c r="AI414" s="345" t="s">
        <v>210</v>
      </c>
      <c r="AJ414" s="345"/>
      <c r="AK414" s="345"/>
      <c r="AL414" s="345"/>
      <c r="AM414" s="11"/>
      <c r="AN414" s="11"/>
      <c r="AO414" s="11"/>
    </row>
    <row r="415" spans="1:41" x14ac:dyDescent="0.25">
      <c r="A415" s="311"/>
      <c r="B415" s="312"/>
      <c r="C415" s="312"/>
      <c r="D415" s="312"/>
      <c r="E415" s="328"/>
      <c r="F415" s="442"/>
      <c r="G415" s="314"/>
      <c r="H415" s="314"/>
      <c r="I415" s="314"/>
      <c r="J415" s="314"/>
      <c r="K415" s="314"/>
      <c r="L415" s="314"/>
      <c r="M415" s="314"/>
      <c r="N415" s="314"/>
      <c r="O415" s="314"/>
      <c r="P415" s="314"/>
      <c r="Q415" s="314"/>
      <c r="R415" s="442"/>
      <c r="S415" s="314"/>
      <c r="T415" s="314"/>
      <c r="U415" s="314"/>
      <c r="V415" s="315">
        <v>17</v>
      </c>
      <c r="W415" s="451">
        <f t="shared" si="42"/>
        <v>0</v>
      </c>
      <c r="X415" s="451">
        <f t="shared" si="43"/>
        <v>0</v>
      </c>
      <c r="Y415" s="451">
        <f t="shared" si="44"/>
        <v>0</v>
      </c>
      <c r="Z415" s="451">
        <f t="shared" si="45"/>
        <v>0</v>
      </c>
      <c r="AA415" s="451">
        <f t="shared" si="46"/>
        <v>0</v>
      </c>
      <c r="AB415" s="451" t="e">
        <f t="shared" si="47"/>
        <v>#DIV/0!</v>
      </c>
      <c r="AC415" s="452" t="e">
        <f t="shared" si="48"/>
        <v>#DIV/0!</v>
      </c>
      <c r="AE415" s="349" t="str">
        <f>AF415&amp;TM[[#This Row],[Insurer Code]]&amp;"; "&amp;AG415&amp;TM[[#This Row],[Reporting Year]]&amp;"; "&amp;AH415&amp;TM[[#This Row],[Insurance Category Code]]&amp;"; "&amp;AI415&amp;TM[[#This Row],[Large Provider Entity Code]]</f>
        <v xml:space="preserve">Insurer Code ; Reporting Year ; Insurance Category Code ; Large Provider Entity Code </v>
      </c>
      <c r="AF415" s="345" t="s">
        <v>207</v>
      </c>
      <c r="AG415" s="345" t="s">
        <v>208</v>
      </c>
      <c r="AH415" s="345" t="s">
        <v>209</v>
      </c>
      <c r="AI415" s="345" t="s">
        <v>210</v>
      </c>
      <c r="AJ415" s="345"/>
      <c r="AK415" s="345"/>
      <c r="AL415" s="345"/>
      <c r="AM415" s="11"/>
      <c r="AN415" s="11"/>
      <c r="AO415" s="11"/>
    </row>
    <row r="416" spans="1:41" x14ac:dyDescent="0.25">
      <c r="A416" s="311"/>
      <c r="B416" s="312"/>
      <c r="C416" s="312"/>
      <c r="D416" s="312"/>
      <c r="E416" s="328"/>
      <c r="F416" s="442"/>
      <c r="G416" s="314"/>
      <c r="H416" s="314"/>
      <c r="I416" s="314"/>
      <c r="J416" s="314"/>
      <c r="K416" s="314"/>
      <c r="L416" s="314"/>
      <c r="M416" s="314"/>
      <c r="N416" s="314"/>
      <c r="O416" s="314"/>
      <c r="P416" s="314"/>
      <c r="Q416" s="314"/>
      <c r="R416" s="442"/>
      <c r="S416" s="314"/>
      <c r="T416" s="314"/>
      <c r="U416" s="314"/>
      <c r="V416" s="315">
        <v>549</v>
      </c>
      <c r="W416" s="451">
        <f t="shared" si="42"/>
        <v>0</v>
      </c>
      <c r="X416" s="451">
        <f t="shared" si="43"/>
        <v>0</v>
      </c>
      <c r="Y416" s="451">
        <f t="shared" si="44"/>
        <v>0</v>
      </c>
      <c r="Z416" s="451">
        <f t="shared" si="45"/>
        <v>0</v>
      </c>
      <c r="AA416" s="451">
        <f t="shared" si="46"/>
        <v>0</v>
      </c>
      <c r="AB416" s="451" t="e">
        <f t="shared" si="47"/>
        <v>#DIV/0!</v>
      </c>
      <c r="AC416" s="452" t="e">
        <f t="shared" si="48"/>
        <v>#DIV/0!</v>
      </c>
      <c r="AE416" s="349" t="str">
        <f>AF416&amp;TM[[#This Row],[Insurer Code]]&amp;"; "&amp;AG416&amp;TM[[#This Row],[Reporting Year]]&amp;"; "&amp;AH416&amp;TM[[#This Row],[Insurance Category Code]]&amp;"; "&amp;AI416&amp;TM[[#This Row],[Large Provider Entity Code]]</f>
        <v xml:space="preserve">Insurer Code ; Reporting Year ; Insurance Category Code ; Large Provider Entity Code </v>
      </c>
      <c r="AF416" s="345" t="s">
        <v>207</v>
      </c>
      <c r="AG416" s="345" t="s">
        <v>208</v>
      </c>
      <c r="AH416" s="345" t="s">
        <v>209</v>
      </c>
      <c r="AI416" s="345" t="s">
        <v>210</v>
      </c>
      <c r="AJ416" s="345"/>
      <c r="AK416" s="345"/>
      <c r="AL416" s="345"/>
      <c r="AM416" s="11"/>
      <c r="AN416" s="11"/>
      <c r="AO416" s="11"/>
    </row>
    <row r="417" spans="1:41" x14ac:dyDescent="0.25">
      <c r="A417" s="311"/>
      <c r="B417" s="312"/>
      <c r="C417" s="312"/>
      <c r="D417" s="312"/>
      <c r="E417" s="328"/>
      <c r="F417" s="442"/>
      <c r="G417" s="314"/>
      <c r="H417" s="314"/>
      <c r="I417" s="314"/>
      <c r="J417" s="314"/>
      <c r="K417" s="314"/>
      <c r="L417" s="314"/>
      <c r="M417" s="314"/>
      <c r="N417" s="314"/>
      <c r="O417" s="314"/>
      <c r="P417" s="314"/>
      <c r="Q417" s="314"/>
      <c r="R417" s="442"/>
      <c r="S417" s="314"/>
      <c r="T417" s="314"/>
      <c r="U417" s="314"/>
      <c r="V417" s="315">
        <v>31</v>
      </c>
      <c r="W417" s="451">
        <f t="shared" si="42"/>
        <v>0</v>
      </c>
      <c r="X417" s="451">
        <f t="shared" si="43"/>
        <v>0</v>
      </c>
      <c r="Y417" s="451">
        <f t="shared" si="44"/>
        <v>0</v>
      </c>
      <c r="Z417" s="451">
        <f t="shared" si="45"/>
        <v>0</v>
      </c>
      <c r="AA417" s="451">
        <f t="shared" si="46"/>
        <v>0</v>
      </c>
      <c r="AB417" s="451" t="e">
        <f t="shared" si="47"/>
        <v>#DIV/0!</v>
      </c>
      <c r="AC417" s="452" t="e">
        <f t="shared" si="48"/>
        <v>#DIV/0!</v>
      </c>
      <c r="AE417" s="349" t="str">
        <f>AF417&amp;TM[[#This Row],[Insurer Code]]&amp;"; "&amp;AG417&amp;TM[[#This Row],[Reporting Year]]&amp;"; "&amp;AH417&amp;TM[[#This Row],[Insurance Category Code]]&amp;"; "&amp;AI417&amp;TM[[#This Row],[Large Provider Entity Code]]</f>
        <v xml:space="preserve">Insurer Code ; Reporting Year ; Insurance Category Code ; Large Provider Entity Code </v>
      </c>
      <c r="AF417" s="345" t="s">
        <v>207</v>
      </c>
      <c r="AG417" s="345" t="s">
        <v>208</v>
      </c>
      <c r="AH417" s="345" t="s">
        <v>209</v>
      </c>
      <c r="AI417" s="345" t="s">
        <v>210</v>
      </c>
      <c r="AJ417" s="345"/>
      <c r="AK417" s="345"/>
      <c r="AL417" s="345"/>
      <c r="AM417" s="11"/>
      <c r="AN417" s="11"/>
      <c r="AO417" s="11"/>
    </row>
    <row r="418" spans="1:41" x14ac:dyDescent="0.25">
      <c r="A418" s="311"/>
      <c r="B418" s="312"/>
      <c r="C418" s="312"/>
      <c r="D418" s="312"/>
      <c r="E418" s="328"/>
      <c r="F418" s="442"/>
      <c r="G418" s="314"/>
      <c r="H418" s="314"/>
      <c r="I418" s="314"/>
      <c r="J418" s="314"/>
      <c r="K418" s="314"/>
      <c r="L418" s="314"/>
      <c r="M418" s="314"/>
      <c r="N418" s="314"/>
      <c r="O418" s="314"/>
      <c r="P418" s="314"/>
      <c r="Q418" s="314"/>
      <c r="R418" s="442"/>
      <c r="S418" s="314"/>
      <c r="T418" s="314"/>
      <c r="U418" s="314"/>
      <c r="V418" s="315"/>
      <c r="W418" s="451">
        <f t="shared" si="42"/>
        <v>0</v>
      </c>
      <c r="X418" s="451">
        <f t="shared" si="43"/>
        <v>0</v>
      </c>
      <c r="Y418" s="451">
        <f t="shared" si="44"/>
        <v>0</v>
      </c>
      <c r="Z418" s="451">
        <f t="shared" si="45"/>
        <v>0</v>
      </c>
      <c r="AA418" s="451">
        <f t="shared" si="46"/>
        <v>0</v>
      </c>
      <c r="AB418" s="451" t="e">
        <f t="shared" si="47"/>
        <v>#DIV/0!</v>
      </c>
      <c r="AC418" s="452" t="e">
        <f t="shared" si="48"/>
        <v>#DIV/0!</v>
      </c>
      <c r="AE418" s="349" t="str">
        <f>AF418&amp;TM[[#This Row],[Insurer Code]]&amp;"; "&amp;AG418&amp;TM[[#This Row],[Reporting Year]]&amp;"; "&amp;AH418&amp;TM[[#This Row],[Insurance Category Code]]&amp;"; "&amp;AI418&amp;TM[[#This Row],[Large Provider Entity Code]]</f>
        <v xml:space="preserve">Insurer Code ; Reporting Year ; Insurance Category Code ; Large Provider Entity Code </v>
      </c>
      <c r="AF418" s="345" t="s">
        <v>207</v>
      </c>
      <c r="AG418" s="345" t="s">
        <v>208</v>
      </c>
      <c r="AH418" s="345" t="s">
        <v>209</v>
      </c>
      <c r="AI418" s="345" t="s">
        <v>210</v>
      </c>
      <c r="AJ418" s="345"/>
      <c r="AK418" s="345"/>
      <c r="AL418" s="345"/>
      <c r="AM418" s="11"/>
      <c r="AN418" s="11"/>
      <c r="AO418" s="11"/>
    </row>
    <row r="419" spans="1:41" x14ac:dyDescent="0.25">
      <c r="A419" s="311"/>
      <c r="B419" s="312"/>
      <c r="C419" s="312"/>
      <c r="D419" s="312"/>
      <c r="E419" s="328"/>
      <c r="F419" s="442"/>
      <c r="G419" s="314"/>
      <c r="H419" s="314"/>
      <c r="I419" s="314"/>
      <c r="J419" s="314"/>
      <c r="K419" s="314"/>
      <c r="L419" s="314"/>
      <c r="M419" s="314"/>
      <c r="N419" s="314"/>
      <c r="O419" s="314"/>
      <c r="P419" s="314"/>
      <c r="Q419" s="314"/>
      <c r="R419" s="442"/>
      <c r="S419" s="314"/>
      <c r="T419" s="314"/>
      <c r="U419" s="314"/>
      <c r="V419" s="315"/>
      <c r="W419" s="451">
        <f t="shared" si="42"/>
        <v>0</v>
      </c>
      <c r="X419" s="451">
        <f t="shared" si="43"/>
        <v>0</v>
      </c>
      <c r="Y419" s="451">
        <f t="shared" si="44"/>
        <v>0</v>
      </c>
      <c r="Z419" s="451">
        <f t="shared" si="45"/>
        <v>0</v>
      </c>
      <c r="AA419" s="451">
        <f t="shared" si="46"/>
        <v>0</v>
      </c>
      <c r="AB419" s="451" t="e">
        <f t="shared" si="47"/>
        <v>#DIV/0!</v>
      </c>
      <c r="AC419" s="452" t="e">
        <f t="shared" si="48"/>
        <v>#DIV/0!</v>
      </c>
      <c r="AE419" s="349" t="str">
        <f>AF419&amp;TM[[#This Row],[Insurer Code]]&amp;"; "&amp;AG419&amp;TM[[#This Row],[Reporting Year]]&amp;"; "&amp;AH419&amp;TM[[#This Row],[Insurance Category Code]]&amp;"; "&amp;AI419&amp;TM[[#This Row],[Large Provider Entity Code]]</f>
        <v xml:space="preserve">Insurer Code ; Reporting Year ; Insurance Category Code ; Large Provider Entity Code </v>
      </c>
      <c r="AF419" s="345" t="s">
        <v>207</v>
      </c>
      <c r="AG419" s="345" t="s">
        <v>208</v>
      </c>
      <c r="AH419" s="345" t="s">
        <v>209</v>
      </c>
      <c r="AI419" s="345" t="s">
        <v>210</v>
      </c>
      <c r="AJ419" s="345"/>
      <c r="AK419" s="345"/>
      <c r="AL419" s="345"/>
      <c r="AM419" s="11"/>
      <c r="AN419" s="11"/>
      <c r="AO419" s="11"/>
    </row>
    <row r="420" spans="1:41" x14ac:dyDescent="0.25">
      <c r="A420" s="311"/>
      <c r="B420" s="312"/>
      <c r="C420" s="312"/>
      <c r="D420" s="312"/>
      <c r="E420" s="328"/>
      <c r="F420" s="442"/>
      <c r="G420" s="314"/>
      <c r="H420" s="314"/>
      <c r="I420" s="314"/>
      <c r="J420" s="314"/>
      <c r="K420" s="314"/>
      <c r="L420" s="314"/>
      <c r="M420" s="314"/>
      <c r="N420" s="314"/>
      <c r="O420" s="314"/>
      <c r="P420" s="314"/>
      <c r="Q420" s="314"/>
      <c r="R420" s="442"/>
      <c r="S420" s="314"/>
      <c r="T420" s="314"/>
      <c r="U420" s="314"/>
      <c r="V420" s="315"/>
      <c r="W420" s="451">
        <f t="shared" si="42"/>
        <v>0</v>
      </c>
      <c r="X420" s="451">
        <f t="shared" si="43"/>
        <v>0</v>
      </c>
      <c r="Y420" s="451">
        <f t="shared" si="44"/>
        <v>0</v>
      </c>
      <c r="Z420" s="451">
        <f t="shared" si="45"/>
        <v>0</v>
      </c>
      <c r="AA420" s="451">
        <f t="shared" si="46"/>
        <v>0</v>
      </c>
      <c r="AB420" s="451" t="e">
        <f t="shared" si="47"/>
        <v>#DIV/0!</v>
      </c>
      <c r="AC420" s="452" t="e">
        <f t="shared" si="48"/>
        <v>#DIV/0!</v>
      </c>
      <c r="AE420" s="349" t="str">
        <f>AF420&amp;TM[[#This Row],[Insurer Code]]&amp;"; "&amp;AG420&amp;TM[[#This Row],[Reporting Year]]&amp;"; "&amp;AH420&amp;TM[[#This Row],[Insurance Category Code]]&amp;"; "&amp;AI420&amp;TM[[#This Row],[Large Provider Entity Code]]</f>
        <v xml:space="preserve">Insurer Code ; Reporting Year ; Insurance Category Code ; Large Provider Entity Code </v>
      </c>
      <c r="AF420" s="345" t="s">
        <v>207</v>
      </c>
      <c r="AG420" s="345" t="s">
        <v>208</v>
      </c>
      <c r="AH420" s="345" t="s">
        <v>209</v>
      </c>
      <c r="AI420" s="345" t="s">
        <v>210</v>
      </c>
      <c r="AJ420" s="345"/>
      <c r="AK420" s="345"/>
      <c r="AL420" s="345"/>
      <c r="AM420" s="11"/>
      <c r="AN420" s="11"/>
      <c r="AO420" s="11"/>
    </row>
    <row r="421" spans="1:41" x14ac:dyDescent="0.25">
      <c r="A421" s="311"/>
      <c r="B421" s="312"/>
      <c r="C421" s="312"/>
      <c r="D421" s="312"/>
      <c r="E421" s="328"/>
      <c r="F421" s="442"/>
      <c r="G421" s="314"/>
      <c r="H421" s="314"/>
      <c r="I421" s="314"/>
      <c r="J421" s="314"/>
      <c r="K421" s="314"/>
      <c r="L421" s="314"/>
      <c r="M421" s="314"/>
      <c r="N421" s="314"/>
      <c r="O421" s="314"/>
      <c r="P421" s="314"/>
      <c r="Q421" s="314"/>
      <c r="R421" s="442"/>
      <c r="S421" s="314"/>
      <c r="T421" s="314"/>
      <c r="U421" s="314"/>
      <c r="V421" s="315"/>
      <c r="W421" s="451">
        <f t="shared" si="42"/>
        <v>0</v>
      </c>
      <c r="X421" s="451">
        <f t="shared" si="43"/>
        <v>0</v>
      </c>
      <c r="Y421" s="451">
        <f t="shared" si="44"/>
        <v>0</v>
      </c>
      <c r="Z421" s="451">
        <f t="shared" si="45"/>
        <v>0</v>
      </c>
      <c r="AA421" s="451">
        <f t="shared" si="46"/>
        <v>0</v>
      </c>
      <c r="AB421" s="451" t="e">
        <f t="shared" si="47"/>
        <v>#DIV/0!</v>
      </c>
      <c r="AC421" s="452" t="e">
        <f t="shared" si="48"/>
        <v>#DIV/0!</v>
      </c>
      <c r="AE421" s="349" t="str">
        <f>AF421&amp;TM[[#This Row],[Insurer Code]]&amp;"; "&amp;AG421&amp;TM[[#This Row],[Reporting Year]]&amp;"; "&amp;AH421&amp;TM[[#This Row],[Insurance Category Code]]&amp;"; "&amp;AI421&amp;TM[[#This Row],[Large Provider Entity Code]]</f>
        <v xml:space="preserve">Insurer Code ; Reporting Year ; Insurance Category Code ; Large Provider Entity Code </v>
      </c>
      <c r="AF421" s="345" t="s">
        <v>207</v>
      </c>
      <c r="AG421" s="345" t="s">
        <v>208</v>
      </c>
      <c r="AH421" s="345" t="s">
        <v>209</v>
      </c>
      <c r="AI421" s="345" t="s">
        <v>210</v>
      </c>
      <c r="AJ421" s="345"/>
      <c r="AK421" s="345"/>
      <c r="AL421" s="345"/>
      <c r="AM421" s="11"/>
      <c r="AN421" s="11"/>
      <c r="AO421" s="11"/>
    </row>
    <row r="422" spans="1:41" x14ac:dyDescent="0.25">
      <c r="A422" s="311"/>
      <c r="B422" s="312"/>
      <c r="C422" s="312"/>
      <c r="D422" s="312"/>
      <c r="E422" s="328"/>
      <c r="F422" s="442"/>
      <c r="G422" s="314"/>
      <c r="H422" s="314"/>
      <c r="I422" s="314"/>
      <c r="J422" s="314"/>
      <c r="K422" s="314"/>
      <c r="L422" s="314"/>
      <c r="M422" s="314"/>
      <c r="N422" s="314"/>
      <c r="O422" s="314"/>
      <c r="P422" s="314"/>
      <c r="Q422" s="314"/>
      <c r="R422" s="442"/>
      <c r="S422" s="314"/>
      <c r="T422" s="314"/>
      <c r="U422" s="314"/>
      <c r="V422" s="315"/>
      <c r="W422" s="451">
        <f t="shared" si="42"/>
        <v>0</v>
      </c>
      <c r="X422" s="451">
        <f t="shared" si="43"/>
        <v>0</v>
      </c>
      <c r="Y422" s="451">
        <f t="shared" si="44"/>
        <v>0</v>
      </c>
      <c r="Z422" s="451">
        <f t="shared" si="45"/>
        <v>0</v>
      </c>
      <c r="AA422" s="451">
        <f t="shared" si="46"/>
        <v>0</v>
      </c>
      <c r="AB422" s="451" t="e">
        <f t="shared" si="47"/>
        <v>#DIV/0!</v>
      </c>
      <c r="AC422" s="452" t="e">
        <f t="shared" si="48"/>
        <v>#DIV/0!</v>
      </c>
      <c r="AE422" s="349" t="str">
        <f>AF422&amp;TM[[#This Row],[Insurer Code]]&amp;"; "&amp;AG422&amp;TM[[#This Row],[Reporting Year]]&amp;"; "&amp;AH422&amp;TM[[#This Row],[Insurance Category Code]]&amp;"; "&amp;AI422&amp;TM[[#This Row],[Large Provider Entity Code]]</f>
        <v xml:space="preserve">Insurer Code ; Reporting Year ; Insurance Category Code ; Large Provider Entity Code </v>
      </c>
      <c r="AF422" s="345" t="s">
        <v>207</v>
      </c>
      <c r="AG422" s="345" t="s">
        <v>208</v>
      </c>
      <c r="AH422" s="345" t="s">
        <v>209</v>
      </c>
      <c r="AI422" s="345" t="s">
        <v>210</v>
      </c>
      <c r="AJ422" s="345"/>
      <c r="AK422" s="345"/>
      <c r="AL422" s="345"/>
      <c r="AM422" s="11"/>
      <c r="AN422" s="11"/>
      <c r="AO422" s="11"/>
    </row>
    <row r="423" spans="1:41" x14ac:dyDescent="0.25">
      <c r="A423" s="311"/>
      <c r="B423" s="312"/>
      <c r="C423" s="312"/>
      <c r="D423" s="312"/>
      <c r="E423" s="328"/>
      <c r="F423" s="442"/>
      <c r="G423" s="314"/>
      <c r="H423" s="314"/>
      <c r="I423" s="314"/>
      <c r="J423" s="314"/>
      <c r="K423" s="314"/>
      <c r="L423" s="314"/>
      <c r="M423" s="314"/>
      <c r="N423" s="314"/>
      <c r="O423" s="314"/>
      <c r="P423" s="314"/>
      <c r="Q423" s="314"/>
      <c r="R423" s="442"/>
      <c r="S423" s="314"/>
      <c r="T423" s="314"/>
      <c r="U423" s="314"/>
      <c r="V423" s="315"/>
      <c r="W423" s="451">
        <f t="shared" si="42"/>
        <v>0</v>
      </c>
      <c r="X423" s="451">
        <f t="shared" si="43"/>
        <v>0</v>
      </c>
      <c r="Y423" s="451">
        <f t="shared" si="44"/>
        <v>0</v>
      </c>
      <c r="Z423" s="451">
        <f t="shared" si="45"/>
        <v>0</v>
      </c>
      <c r="AA423" s="451">
        <f t="shared" si="46"/>
        <v>0</v>
      </c>
      <c r="AB423" s="451" t="e">
        <f t="shared" si="47"/>
        <v>#DIV/0!</v>
      </c>
      <c r="AC423" s="452" t="e">
        <f t="shared" si="48"/>
        <v>#DIV/0!</v>
      </c>
      <c r="AE423" s="349" t="str">
        <f>AF423&amp;TM[[#This Row],[Insurer Code]]&amp;"; "&amp;AG423&amp;TM[[#This Row],[Reporting Year]]&amp;"; "&amp;AH423&amp;TM[[#This Row],[Insurance Category Code]]&amp;"; "&amp;AI423&amp;TM[[#This Row],[Large Provider Entity Code]]</f>
        <v xml:space="preserve">Insurer Code ; Reporting Year ; Insurance Category Code ; Large Provider Entity Code </v>
      </c>
      <c r="AF423" s="345" t="s">
        <v>207</v>
      </c>
      <c r="AG423" s="345" t="s">
        <v>208</v>
      </c>
      <c r="AH423" s="345" t="s">
        <v>209</v>
      </c>
      <c r="AI423" s="345" t="s">
        <v>210</v>
      </c>
      <c r="AJ423" s="345"/>
      <c r="AK423" s="345"/>
      <c r="AL423" s="345"/>
      <c r="AM423" s="11"/>
      <c r="AN423" s="11"/>
      <c r="AO423" s="11"/>
    </row>
    <row r="424" spans="1:41" x14ac:dyDescent="0.25">
      <c r="A424" s="311"/>
      <c r="B424" s="312"/>
      <c r="C424" s="312"/>
      <c r="D424" s="312"/>
      <c r="E424" s="328"/>
      <c r="F424" s="442"/>
      <c r="G424" s="314"/>
      <c r="H424" s="314"/>
      <c r="I424" s="314"/>
      <c r="J424" s="314"/>
      <c r="K424" s="314"/>
      <c r="L424" s="314"/>
      <c r="M424" s="314"/>
      <c r="N424" s="314"/>
      <c r="O424" s="314"/>
      <c r="P424" s="314"/>
      <c r="Q424" s="314"/>
      <c r="R424" s="442"/>
      <c r="S424" s="314"/>
      <c r="T424" s="314"/>
      <c r="U424" s="314"/>
      <c r="V424" s="315"/>
      <c r="W424" s="451">
        <f t="shared" si="42"/>
        <v>0</v>
      </c>
      <c r="X424" s="451">
        <f t="shared" si="43"/>
        <v>0</v>
      </c>
      <c r="Y424" s="451">
        <f t="shared" si="44"/>
        <v>0</v>
      </c>
      <c r="Z424" s="451">
        <f t="shared" si="45"/>
        <v>0</v>
      </c>
      <c r="AA424" s="451">
        <f t="shared" si="46"/>
        <v>0</v>
      </c>
      <c r="AB424" s="621" t="e">
        <f>Y424/E424</f>
        <v>#DIV/0!</v>
      </c>
      <c r="AC424" s="452" t="e">
        <f t="shared" si="48"/>
        <v>#DIV/0!</v>
      </c>
      <c r="AE424" s="349" t="str">
        <f>AF424&amp;TM[[#This Row],[Insurer Code]]&amp;"; "&amp;AG424&amp;TM[[#This Row],[Reporting Year]]&amp;"; "&amp;AH424&amp;TM[[#This Row],[Insurance Category Code]]&amp;"; "&amp;AI424&amp;TM[[#This Row],[Large Provider Entity Code]]</f>
        <v xml:space="preserve">Insurer Code ; Reporting Year ; Insurance Category Code ; Large Provider Entity Code </v>
      </c>
      <c r="AF424" s="345" t="s">
        <v>207</v>
      </c>
      <c r="AG424" s="345" t="s">
        <v>208</v>
      </c>
      <c r="AH424" s="345" t="s">
        <v>209</v>
      </c>
      <c r="AI424" s="345" t="s">
        <v>210</v>
      </c>
      <c r="AJ424" s="345"/>
      <c r="AK424" s="345"/>
      <c r="AL424" s="345"/>
      <c r="AM424" s="11"/>
      <c r="AN424" s="11"/>
      <c r="AO424" s="11"/>
    </row>
    <row r="425" spans="1:41" x14ac:dyDescent="0.25">
      <c r="A425" s="311"/>
      <c r="B425" s="312"/>
      <c r="C425" s="312"/>
      <c r="D425" s="312"/>
      <c r="E425" s="328"/>
      <c r="F425" s="442"/>
      <c r="G425" s="314"/>
      <c r="H425" s="314"/>
      <c r="I425" s="314"/>
      <c r="J425" s="314"/>
      <c r="K425" s="314"/>
      <c r="L425" s="314"/>
      <c r="M425" s="314"/>
      <c r="N425" s="314"/>
      <c r="O425" s="314"/>
      <c r="P425" s="314"/>
      <c r="Q425" s="314"/>
      <c r="R425" s="442"/>
      <c r="S425" s="314"/>
      <c r="T425" s="314"/>
      <c r="U425" s="314"/>
      <c r="V425" s="315"/>
      <c r="W425" s="451">
        <f t="shared" si="42"/>
        <v>0</v>
      </c>
      <c r="X425" s="451">
        <f t="shared" si="43"/>
        <v>0</v>
      </c>
      <c r="Y425" s="451">
        <f t="shared" si="44"/>
        <v>0</v>
      </c>
      <c r="Z425" s="451">
        <f t="shared" si="45"/>
        <v>0</v>
      </c>
      <c r="AA425" s="451">
        <f t="shared" si="46"/>
        <v>0</v>
      </c>
      <c r="AB425" s="451" t="e">
        <f t="shared" si="47"/>
        <v>#DIV/0!</v>
      </c>
      <c r="AC425" s="452" t="e">
        <f t="shared" si="48"/>
        <v>#DIV/0!</v>
      </c>
      <c r="AE425" s="349" t="str">
        <f>AF425&amp;TM[[#This Row],[Insurer Code]]&amp;"; "&amp;AG425&amp;TM[[#This Row],[Reporting Year]]&amp;"; "&amp;AH425&amp;TM[[#This Row],[Insurance Category Code]]&amp;"; "&amp;AI425&amp;TM[[#This Row],[Large Provider Entity Code]]</f>
        <v xml:space="preserve">Insurer Code ; Reporting Year ; Insurance Category Code ; Large Provider Entity Code </v>
      </c>
      <c r="AF425" s="345" t="s">
        <v>207</v>
      </c>
      <c r="AG425" s="345" t="s">
        <v>208</v>
      </c>
      <c r="AH425" s="345" t="s">
        <v>209</v>
      </c>
      <c r="AI425" s="345" t="s">
        <v>210</v>
      </c>
      <c r="AJ425" s="345"/>
      <c r="AK425" s="345"/>
      <c r="AL425" s="345"/>
      <c r="AM425" s="11"/>
      <c r="AN425" s="11"/>
      <c r="AO425" s="11"/>
    </row>
    <row r="426" spans="1:41" x14ac:dyDescent="0.25">
      <c r="A426" s="311"/>
      <c r="B426" s="312"/>
      <c r="C426" s="312"/>
      <c r="D426" s="312"/>
      <c r="E426" s="328"/>
      <c r="F426" s="442"/>
      <c r="G426" s="314"/>
      <c r="H426" s="314"/>
      <c r="I426" s="314"/>
      <c r="J426" s="314"/>
      <c r="K426" s="314"/>
      <c r="L426" s="314"/>
      <c r="M426" s="314"/>
      <c r="N426" s="314"/>
      <c r="O426" s="314"/>
      <c r="P426" s="314"/>
      <c r="Q426" s="314"/>
      <c r="R426" s="442"/>
      <c r="S426" s="314"/>
      <c r="T426" s="314"/>
      <c r="U426" s="314"/>
      <c r="V426" s="315"/>
      <c r="W426" s="451">
        <f t="shared" si="42"/>
        <v>0</v>
      </c>
      <c r="X426" s="451">
        <f t="shared" si="43"/>
        <v>0</v>
      </c>
      <c r="Y426" s="451">
        <f t="shared" si="44"/>
        <v>0</v>
      </c>
      <c r="Z426" s="451">
        <f t="shared" si="45"/>
        <v>0</v>
      </c>
      <c r="AA426" s="451">
        <f t="shared" si="46"/>
        <v>0</v>
      </c>
      <c r="AB426" s="451" t="e">
        <f t="shared" si="47"/>
        <v>#DIV/0!</v>
      </c>
      <c r="AC426" s="452" t="e">
        <f t="shared" si="48"/>
        <v>#DIV/0!</v>
      </c>
      <c r="AE426" s="349" t="str">
        <f>AF426&amp;TM[[#This Row],[Insurer Code]]&amp;"; "&amp;AG426&amp;TM[[#This Row],[Reporting Year]]&amp;"; "&amp;AH426&amp;TM[[#This Row],[Insurance Category Code]]&amp;"; "&amp;AI426&amp;TM[[#This Row],[Large Provider Entity Code]]</f>
        <v xml:space="preserve">Insurer Code ; Reporting Year ; Insurance Category Code ; Large Provider Entity Code </v>
      </c>
      <c r="AF426" s="345" t="s">
        <v>207</v>
      </c>
      <c r="AG426" s="345" t="s">
        <v>208</v>
      </c>
      <c r="AH426" s="345" t="s">
        <v>209</v>
      </c>
      <c r="AI426" s="345" t="s">
        <v>210</v>
      </c>
      <c r="AJ426" s="345"/>
      <c r="AK426" s="345"/>
      <c r="AL426" s="345"/>
      <c r="AM426" s="11"/>
      <c r="AN426" s="11"/>
      <c r="AO426" s="11"/>
    </row>
    <row r="427" spans="1:41" x14ac:dyDescent="0.25">
      <c r="A427" s="311"/>
      <c r="B427" s="312"/>
      <c r="C427" s="312"/>
      <c r="D427" s="312"/>
      <c r="E427" s="328"/>
      <c r="F427" s="442"/>
      <c r="G427" s="314"/>
      <c r="H427" s="314"/>
      <c r="I427" s="314"/>
      <c r="J427" s="314"/>
      <c r="K427" s="314"/>
      <c r="L427" s="314"/>
      <c r="M427" s="314"/>
      <c r="N427" s="314"/>
      <c r="O427" s="314"/>
      <c r="P427" s="314"/>
      <c r="Q427" s="314"/>
      <c r="R427" s="442"/>
      <c r="S427" s="314"/>
      <c r="T427" s="314"/>
      <c r="U427" s="314"/>
      <c r="V427" s="315"/>
      <c r="W427" s="451">
        <f t="shared" si="42"/>
        <v>0</v>
      </c>
      <c r="X427" s="451">
        <f t="shared" si="43"/>
        <v>0</v>
      </c>
      <c r="Y427" s="451">
        <f t="shared" si="44"/>
        <v>0</v>
      </c>
      <c r="Z427" s="451">
        <f t="shared" si="45"/>
        <v>0</v>
      </c>
      <c r="AA427" s="451">
        <f t="shared" si="46"/>
        <v>0</v>
      </c>
      <c r="AB427" s="451" t="e">
        <f t="shared" si="47"/>
        <v>#DIV/0!</v>
      </c>
      <c r="AC427" s="452" t="e">
        <f t="shared" si="48"/>
        <v>#DIV/0!</v>
      </c>
      <c r="AE427" s="349" t="str">
        <f>AF427&amp;TM[[#This Row],[Insurer Code]]&amp;"; "&amp;AG427&amp;TM[[#This Row],[Reporting Year]]&amp;"; "&amp;AH427&amp;TM[[#This Row],[Insurance Category Code]]&amp;"; "&amp;AI427&amp;TM[[#This Row],[Large Provider Entity Code]]</f>
        <v xml:space="preserve">Insurer Code ; Reporting Year ; Insurance Category Code ; Large Provider Entity Code </v>
      </c>
      <c r="AF427" s="345" t="s">
        <v>207</v>
      </c>
      <c r="AG427" s="345" t="s">
        <v>208</v>
      </c>
      <c r="AH427" s="345" t="s">
        <v>209</v>
      </c>
      <c r="AI427" s="345" t="s">
        <v>210</v>
      </c>
      <c r="AJ427" s="345"/>
      <c r="AK427" s="345"/>
      <c r="AL427" s="345"/>
      <c r="AM427" s="11"/>
      <c r="AN427" s="11"/>
      <c r="AO427" s="11"/>
    </row>
    <row r="428" spans="1:41" x14ac:dyDescent="0.25">
      <c r="A428" s="311"/>
      <c r="B428" s="312"/>
      <c r="C428" s="312"/>
      <c r="D428" s="312"/>
      <c r="E428" s="328"/>
      <c r="F428" s="442"/>
      <c r="G428" s="314"/>
      <c r="H428" s="314"/>
      <c r="I428" s="314"/>
      <c r="J428" s="314"/>
      <c r="K428" s="314"/>
      <c r="L428" s="314"/>
      <c r="M428" s="314"/>
      <c r="N428" s="314"/>
      <c r="O428" s="314"/>
      <c r="P428" s="314"/>
      <c r="Q428" s="314"/>
      <c r="R428" s="442"/>
      <c r="S428" s="314"/>
      <c r="T428" s="314"/>
      <c r="U428" s="314"/>
      <c r="V428" s="315"/>
      <c r="W428" s="451">
        <f t="shared" si="42"/>
        <v>0</v>
      </c>
      <c r="X428" s="451">
        <f t="shared" si="43"/>
        <v>0</v>
      </c>
      <c r="Y428" s="451">
        <f t="shared" si="44"/>
        <v>0</v>
      </c>
      <c r="Z428" s="451">
        <f t="shared" si="45"/>
        <v>0</v>
      </c>
      <c r="AA428" s="451">
        <f>Z428+X428</f>
        <v>0</v>
      </c>
      <c r="AB428" s="451" t="e">
        <f t="shared" si="47"/>
        <v>#DIV/0!</v>
      </c>
      <c r="AC428" s="452" t="e">
        <f t="shared" si="48"/>
        <v>#DIV/0!</v>
      </c>
      <c r="AE428" s="349" t="str">
        <f>AF428&amp;TM[[#This Row],[Insurer Code]]&amp;"; "&amp;AG428&amp;TM[[#This Row],[Reporting Year]]&amp;"; "&amp;AH428&amp;TM[[#This Row],[Insurance Category Code]]&amp;"; "&amp;AI428&amp;TM[[#This Row],[Large Provider Entity Code]]</f>
        <v xml:space="preserve">Insurer Code ; Reporting Year ; Insurance Category Code ; Large Provider Entity Code </v>
      </c>
      <c r="AF428" s="345" t="s">
        <v>207</v>
      </c>
      <c r="AG428" s="345" t="s">
        <v>208</v>
      </c>
      <c r="AH428" s="345" t="s">
        <v>209</v>
      </c>
      <c r="AI428" s="345" t="s">
        <v>210</v>
      </c>
      <c r="AJ428" s="345"/>
      <c r="AK428" s="345"/>
      <c r="AL428" s="345"/>
      <c r="AM428" s="11"/>
      <c r="AN428" s="11"/>
      <c r="AO428" s="11"/>
    </row>
    <row r="429" spans="1:41" x14ac:dyDescent="0.25">
      <c r="A429" s="311"/>
      <c r="B429" s="312"/>
      <c r="C429" s="312"/>
      <c r="D429" s="312"/>
      <c r="E429" s="328"/>
      <c r="F429" s="442"/>
      <c r="G429" s="314"/>
      <c r="H429" s="314"/>
      <c r="I429" s="314"/>
      <c r="J429" s="314"/>
      <c r="K429" s="314"/>
      <c r="L429" s="314"/>
      <c r="M429" s="314"/>
      <c r="N429" s="314"/>
      <c r="O429" s="314"/>
      <c r="P429" s="314"/>
      <c r="Q429" s="314"/>
      <c r="R429" s="442"/>
      <c r="S429" s="314"/>
      <c r="T429" s="314"/>
      <c r="U429" s="314"/>
      <c r="V429" s="315"/>
      <c r="W429" s="451">
        <f t="shared" si="42"/>
        <v>0</v>
      </c>
      <c r="X429" s="451">
        <f t="shared" si="43"/>
        <v>0</v>
      </c>
      <c r="Y429" s="451">
        <f t="shared" si="44"/>
        <v>0</v>
      </c>
      <c r="Z429" s="451">
        <f t="shared" si="45"/>
        <v>0</v>
      </c>
      <c r="AA429" s="451">
        <f t="shared" si="46"/>
        <v>0</v>
      </c>
      <c r="AB429" s="451" t="e">
        <f t="shared" si="47"/>
        <v>#DIV/0!</v>
      </c>
      <c r="AC429" s="452" t="e">
        <f t="shared" si="48"/>
        <v>#DIV/0!</v>
      </c>
      <c r="AE429" s="349" t="str">
        <f>AF429&amp;TM[[#This Row],[Insurer Code]]&amp;"; "&amp;AG429&amp;TM[[#This Row],[Reporting Year]]&amp;"; "&amp;AH429&amp;TM[[#This Row],[Insurance Category Code]]&amp;"; "&amp;AI429&amp;TM[[#This Row],[Large Provider Entity Code]]</f>
        <v xml:space="preserve">Insurer Code ; Reporting Year ; Insurance Category Code ; Large Provider Entity Code </v>
      </c>
      <c r="AF429" s="345" t="s">
        <v>207</v>
      </c>
      <c r="AG429" s="345" t="s">
        <v>208</v>
      </c>
      <c r="AH429" s="345" t="s">
        <v>209</v>
      </c>
      <c r="AI429" s="345" t="s">
        <v>210</v>
      </c>
      <c r="AJ429" s="345"/>
      <c r="AK429" s="345"/>
      <c r="AL429" s="345"/>
      <c r="AM429" s="11"/>
      <c r="AN429" s="11"/>
      <c r="AO429" s="11"/>
    </row>
    <row r="430" spans="1:41" x14ac:dyDescent="0.25">
      <c r="A430" s="311"/>
      <c r="B430" s="312"/>
      <c r="C430" s="312"/>
      <c r="D430" s="312"/>
      <c r="E430" s="328"/>
      <c r="F430" s="442"/>
      <c r="G430" s="314"/>
      <c r="H430" s="314"/>
      <c r="I430" s="314"/>
      <c r="J430" s="314"/>
      <c r="K430" s="314"/>
      <c r="L430" s="314"/>
      <c r="M430" s="314"/>
      <c r="N430" s="314"/>
      <c r="O430" s="314"/>
      <c r="P430" s="314"/>
      <c r="Q430" s="314"/>
      <c r="R430" s="442"/>
      <c r="S430" s="314"/>
      <c r="T430" s="314"/>
      <c r="U430" s="314"/>
      <c r="V430" s="315"/>
      <c r="W430" s="451">
        <f t="shared" si="42"/>
        <v>0</v>
      </c>
      <c r="X430" s="451">
        <f t="shared" si="43"/>
        <v>0</v>
      </c>
      <c r="Y430" s="451">
        <f t="shared" si="44"/>
        <v>0</v>
      </c>
      <c r="Z430" s="451">
        <f t="shared" si="45"/>
        <v>0</v>
      </c>
      <c r="AA430" s="451">
        <f t="shared" si="46"/>
        <v>0</v>
      </c>
      <c r="AB430" s="451" t="e">
        <f t="shared" si="47"/>
        <v>#DIV/0!</v>
      </c>
      <c r="AC430" s="452" t="e">
        <f t="shared" si="48"/>
        <v>#DIV/0!</v>
      </c>
      <c r="AE430" s="349" t="str">
        <f>AF430&amp;TM[[#This Row],[Insurer Code]]&amp;"; "&amp;AG430&amp;TM[[#This Row],[Reporting Year]]&amp;"; "&amp;AH430&amp;TM[[#This Row],[Insurance Category Code]]&amp;"; "&amp;AI430&amp;TM[[#This Row],[Large Provider Entity Code]]</f>
        <v xml:space="preserve">Insurer Code ; Reporting Year ; Insurance Category Code ; Large Provider Entity Code </v>
      </c>
      <c r="AF430" s="345" t="s">
        <v>207</v>
      </c>
      <c r="AG430" s="345" t="s">
        <v>208</v>
      </c>
      <c r="AH430" s="345" t="s">
        <v>209</v>
      </c>
      <c r="AI430" s="345" t="s">
        <v>210</v>
      </c>
      <c r="AJ430" s="345"/>
      <c r="AK430" s="345"/>
      <c r="AL430" s="345"/>
      <c r="AM430" s="11"/>
      <c r="AN430" s="11"/>
      <c r="AO430" s="11"/>
    </row>
    <row r="431" spans="1:41" x14ac:dyDescent="0.25">
      <c r="A431" s="311"/>
      <c r="B431" s="312"/>
      <c r="C431" s="312"/>
      <c r="D431" s="312"/>
      <c r="E431" s="328"/>
      <c r="F431" s="442"/>
      <c r="G431" s="314"/>
      <c r="H431" s="314"/>
      <c r="I431" s="314"/>
      <c r="J431" s="314"/>
      <c r="K431" s="314"/>
      <c r="L431" s="314"/>
      <c r="M431" s="314"/>
      <c r="N431" s="314"/>
      <c r="O431" s="314"/>
      <c r="P431" s="314"/>
      <c r="Q431" s="314"/>
      <c r="R431" s="442"/>
      <c r="S431" s="314"/>
      <c r="T431" s="314"/>
      <c r="U431" s="314"/>
      <c r="V431" s="315"/>
      <c r="W431" s="451">
        <f t="shared" si="42"/>
        <v>0</v>
      </c>
      <c r="X431" s="451">
        <f t="shared" si="43"/>
        <v>0</v>
      </c>
      <c r="Y431" s="451">
        <f t="shared" si="44"/>
        <v>0</v>
      </c>
      <c r="Z431" s="451">
        <f t="shared" si="45"/>
        <v>0</v>
      </c>
      <c r="AA431" s="451">
        <f t="shared" si="46"/>
        <v>0</v>
      </c>
      <c r="AB431" s="451" t="e">
        <f t="shared" si="47"/>
        <v>#DIV/0!</v>
      </c>
      <c r="AC431" s="452" t="e">
        <f t="shared" si="48"/>
        <v>#DIV/0!</v>
      </c>
      <c r="AE431" s="349" t="str">
        <f>AF431&amp;TM[[#This Row],[Insurer Code]]&amp;"; "&amp;AG431&amp;TM[[#This Row],[Reporting Year]]&amp;"; "&amp;AH431&amp;TM[[#This Row],[Insurance Category Code]]&amp;"; "&amp;AI431&amp;TM[[#This Row],[Large Provider Entity Code]]</f>
        <v xml:space="preserve">Insurer Code ; Reporting Year ; Insurance Category Code ; Large Provider Entity Code </v>
      </c>
      <c r="AF431" s="345" t="s">
        <v>207</v>
      </c>
      <c r="AG431" s="345" t="s">
        <v>208</v>
      </c>
      <c r="AH431" s="345" t="s">
        <v>209</v>
      </c>
      <c r="AI431" s="345" t="s">
        <v>210</v>
      </c>
      <c r="AJ431" s="345"/>
      <c r="AK431" s="345"/>
      <c r="AL431" s="345"/>
      <c r="AM431" s="11"/>
      <c r="AN431" s="11"/>
      <c r="AO431" s="11"/>
    </row>
    <row r="432" spans="1:41" x14ac:dyDescent="0.25">
      <c r="A432" s="311"/>
      <c r="B432" s="312"/>
      <c r="C432" s="312"/>
      <c r="D432" s="312"/>
      <c r="E432" s="328"/>
      <c r="F432" s="442"/>
      <c r="G432" s="314"/>
      <c r="H432" s="314"/>
      <c r="I432" s="314"/>
      <c r="J432" s="314"/>
      <c r="K432" s="314"/>
      <c r="L432" s="314"/>
      <c r="M432" s="314"/>
      <c r="N432" s="314"/>
      <c r="O432" s="314"/>
      <c r="P432" s="314"/>
      <c r="Q432" s="314"/>
      <c r="R432" s="442"/>
      <c r="S432" s="314"/>
      <c r="T432" s="314"/>
      <c r="U432" s="314"/>
      <c r="V432" s="315"/>
      <c r="W432" s="451">
        <f t="shared" si="42"/>
        <v>0</v>
      </c>
      <c r="X432" s="451">
        <f t="shared" si="43"/>
        <v>0</v>
      </c>
      <c r="Y432" s="451">
        <f t="shared" si="44"/>
        <v>0</v>
      </c>
      <c r="Z432" s="451">
        <f t="shared" si="45"/>
        <v>0</v>
      </c>
      <c r="AA432" s="451">
        <f t="shared" si="46"/>
        <v>0</v>
      </c>
      <c r="AB432" s="451" t="e">
        <f t="shared" si="47"/>
        <v>#DIV/0!</v>
      </c>
      <c r="AC432" s="452" t="e">
        <f t="shared" si="48"/>
        <v>#DIV/0!</v>
      </c>
      <c r="AE432" s="349" t="str">
        <f>AF432&amp;TM[[#This Row],[Insurer Code]]&amp;"; "&amp;AG432&amp;TM[[#This Row],[Reporting Year]]&amp;"; "&amp;AH432&amp;TM[[#This Row],[Insurance Category Code]]&amp;"; "&amp;AI432&amp;TM[[#This Row],[Large Provider Entity Code]]</f>
        <v xml:space="preserve">Insurer Code ; Reporting Year ; Insurance Category Code ; Large Provider Entity Code </v>
      </c>
      <c r="AF432" s="345" t="s">
        <v>207</v>
      </c>
      <c r="AG432" s="345" t="s">
        <v>208</v>
      </c>
      <c r="AH432" s="345" t="s">
        <v>209</v>
      </c>
      <c r="AI432" s="345" t="s">
        <v>210</v>
      </c>
      <c r="AJ432" s="345"/>
      <c r="AK432" s="345"/>
      <c r="AL432" s="345"/>
      <c r="AM432" s="11"/>
      <c r="AN432" s="11"/>
      <c r="AO432" s="11"/>
    </row>
    <row r="433" spans="1:41" x14ac:dyDescent="0.25">
      <c r="A433" s="311"/>
      <c r="B433" s="312"/>
      <c r="C433" s="312"/>
      <c r="D433" s="312"/>
      <c r="E433" s="328"/>
      <c r="F433" s="442"/>
      <c r="G433" s="314"/>
      <c r="H433" s="314"/>
      <c r="I433" s="314"/>
      <c r="J433" s="314"/>
      <c r="K433" s="314"/>
      <c r="L433" s="314"/>
      <c r="M433" s="314"/>
      <c r="N433" s="314"/>
      <c r="O433" s="314"/>
      <c r="P433" s="314"/>
      <c r="Q433" s="314"/>
      <c r="R433" s="442"/>
      <c r="S433" s="314"/>
      <c r="T433" s="314"/>
      <c r="U433" s="314"/>
      <c r="V433" s="315"/>
      <c r="W433" s="451">
        <f t="shared" si="42"/>
        <v>0</v>
      </c>
      <c r="X433" s="451">
        <f t="shared" si="43"/>
        <v>0</v>
      </c>
      <c r="Y433" s="451">
        <f t="shared" si="44"/>
        <v>0</v>
      </c>
      <c r="Z433" s="451">
        <f t="shared" si="45"/>
        <v>0</v>
      </c>
      <c r="AA433" s="451">
        <f t="shared" si="46"/>
        <v>0</v>
      </c>
      <c r="AB433" s="451" t="e">
        <f t="shared" si="47"/>
        <v>#DIV/0!</v>
      </c>
      <c r="AC433" s="452" t="e">
        <f t="shared" si="48"/>
        <v>#DIV/0!</v>
      </c>
      <c r="AE433" s="349" t="str">
        <f>AF433&amp;TM[[#This Row],[Insurer Code]]&amp;"; "&amp;AG433&amp;TM[[#This Row],[Reporting Year]]&amp;"; "&amp;AH433&amp;TM[[#This Row],[Insurance Category Code]]&amp;"; "&amp;AI433&amp;TM[[#This Row],[Large Provider Entity Code]]</f>
        <v xml:space="preserve">Insurer Code ; Reporting Year ; Insurance Category Code ; Large Provider Entity Code </v>
      </c>
      <c r="AF433" s="345" t="s">
        <v>207</v>
      </c>
      <c r="AG433" s="345" t="s">
        <v>208</v>
      </c>
      <c r="AH433" s="345" t="s">
        <v>209</v>
      </c>
      <c r="AI433" s="345" t="s">
        <v>210</v>
      </c>
      <c r="AJ433" s="345"/>
      <c r="AK433" s="345"/>
      <c r="AL433" s="345"/>
      <c r="AM433" s="11"/>
      <c r="AN433" s="11"/>
      <c r="AO433" s="11"/>
    </row>
    <row r="434" spans="1:41" x14ac:dyDescent="0.25">
      <c r="A434" s="311"/>
      <c r="B434" s="312"/>
      <c r="C434" s="312"/>
      <c r="D434" s="312"/>
      <c r="E434" s="328"/>
      <c r="F434" s="442"/>
      <c r="G434" s="314"/>
      <c r="H434" s="314"/>
      <c r="I434" s="314"/>
      <c r="J434" s="314"/>
      <c r="K434" s="314"/>
      <c r="L434" s="314"/>
      <c r="M434" s="314"/>
      <c r="N434" s="314"/>
      <c r="O434" s="314"/>
      <c r="P434" s="314"/>
      <c r="Q434" s="314"/>
      <c r="R434" s="442"/>
      <c r="S434" s="314"/>
      <c r="T434" s="314"/>
      <c r="U434" s="314"/>
      <c r="V434" s="315"/>
      <c r="W434" s="451">
        <f t="shared" si="42"/>
        <v>0</v>
      </c>
      <c r="X434" s="451">
        <f t="shared" si="43"/>
        <v>0</v>
      </c>
      <c r="Y434" s="451">
        <f t="shared" si="44"/>
        <v>0</v>
      </c>
      <c r="Z434" s="451">
        <f t="shared" si="45"/>
        <v>0</v>
      </c>
      <c r="AA434" s="451">
        <f t="shared" si="46"/>
        <v>0</v>
      </c>
      <c r="AB434" s="451" t="e">
        <f t="shared" si="47"/>
        <v>#DIV/0!</v>
      </c>
      <c r="AC434" s="452" t="e">
        <f t="shared" si="48"/>
        <v>#DIV/0!</v>
      </c>
      <c r="AE434" s="349" t="str">
        <f>AF434&amp;TM[[#This Row],[Insurer Code]]&amp;"; "&amp;AG434&amp;TM[[#This Row],[Reporting Year]]&amp;"; "&amp;AH434&amp;TM[[#This Row],[Insurance Category Code]]&amp;"; "&amp;AI434&amp;TM[[#This Row],[Large Provider Entity Code]]</f>
        <v xml:space="preserve">Insurer Code ; Reporting Year ; Insurance Category Code ; Large Provider Entity Code </v>
      </c>
      <c r="AF434" s="345" t="s">
        <v>207</v>
      </c>
      <c r="AG434" s="345" t="s">
        <v>208</v>
      </c>
      <c r="AH434" s="345" t="s">
        <v>209</v>
      </c>
      <c r="AI434" s="345" t="s">
        <v>210</v>
      </c>
      <c r="AJ434" s="345"/>
      <c r="AK434" s="345"/>
      <c r="AL434" s="345"/>
      <c r="AM434" s="11"/>
      <c r="AN434" s="11"/>
      <c r="AO434" s="11"/>
    </row>
    <row r="435" spans="1:41" x14ac:dyDescent="0.25">
      <c r="A435" s="311"/>
      <c r="B435" s="312"/>
      <c r="C435" s="312"/>
      <c r="D435" s="312"/>
      <c r="E435" s="328"/>
      <c r="F435" s="442"/>
      <c r="G435" s="314"/>
      <c r="H435" s="314"/>
      <c r="I435" s="314"/>
      <c r="J435" s="314"/>
      <c r="K435" s="314"/>
      <c r="L435" s="314"/>
      <c r="M435" s="314"/>
      <c r="N435" s="314"/>
      <c r="O435" s="314"/>
      <c r="P435" s="314"/>
      <c r="Q435" s="314"/>
      <c r="R435" s="442"/>
      <c r="S435" s="314"/>
      <c r="T435" s="314"/>
      <c r="U435" s="314"/>
      <c r="V435" s="315"/>
      <c r="W435" s="451">
        <f t="shared" si="42"/>
        <v>0</v>
      </c>
      <c r="X435" s="451">
        <f t="shared" si="43"/>
        <v>0</v>
      </c>
      <c r="Y435" s="451">
        <f t="shared" si="44"/>
        <v>0</v>
      </c>
      <c r="Z435" s="451">
        <f t="shared" si="45"/>
        <v>0</v>
      </c>
      <c r="AA435" s="451">
        <f t="shared" si="46"/>
        <v>0</v>
      </c>
      <c r="AB435" s="451" t="e">
        <f t="shared" si="47"/>
        <v>#DIV/0!</v>
      </c>
      <c r="AC435" s="452" t="e">
        <f t="shared" si="48"/>
        <v>#DIV/0!</v>
      </c>
      <c r="AE435" s="349" t="str">
        <f>AF435&amp;TM[[#This Row],[Insurer Code]]&amp;"; "&amp;AG435&amp;TM[[#This Row],[Reporting Year]]&amp;"; "&amp;AH435&amp;TM[[#This Row],[Insurance Category Code]]&amp;"; "&amp;AI435&amp;TM[[#This Row],[Large Provider Entity Code]]</f>
        <v xml:space="preserve">Insurer Code ; Reporting Year ; Insurance Category Code ; Large Provider Entity Code </v>
      </c>
      <c r="AF435" s="345" t="s">
        <v>207</v>
      </c>
      <c r="AG435" s="345" t="s">
        <v>208</v>
      </c>
      <c r="AH435" s="345" t="s">
        <v>209</v>
      </c>
      <c r="AI435" s="345" t="s">
        <v>210</v>
      </c>
      <c r="AJ435" s="345"/>
      <c r="AK435" s="345"/>
      <c r="AL435" s="345"/>
      <c r="AM435" s="11"/>
      <c r="AN435" s="11"/>
      <c r="AO435" s="11"/>
    </row>
    <row r="436" spans="1:41" x14ac:dyDescent="0.25">
      <c r="A436" s="311"/>
      <c r="B436" s="312"/>
      <c r="C436" s="312"/>
      <c r="D436" s="312"/>
      <c r="E436" s="328"/>
      <c r="F436" s="442"/>
      <c r="G436" s="314"/>
      <c r="H436" s="314"/>
      <c r="I436" s="314"/>
      <c r="J436" s="314"/>
      <c r="K436" s="314"/>
      <c r="L436" s="314"/>
      <c r="M436" s="314"/>
      <c r="N436" s="314"/>
      <c r="O436" s="314"/>
      <c r="P436" s="314"/>
      <c r="Q436" s="314"/>
      <c r="R436" s="442"/>
      <c r="S436" s="314"/>
      <c r="T436" s="314"/>
      <c r="U436" s="314"/>
      <c r="V436" s="315"/>
      <c r="W436" s="451">
        <f t="shared" si="42"/>
        <v>0</v>
      </c>
      <c r="X436" s="451">
        <f t="shared" si="43"/>
        <v>0</v>
      </c>
      <c r="Y436" s="451">
        <f t="shared" si="44"/>
        <v>0</v>
      </c>
      <c r="Z436" s="451">
        <f t="shared" si="45"/>
        <v>0</v>
      </c>
      <c r="AA436" s="451">
        <f t="shared" si="46"/>
        <v>0</v>
      </c>
      <c r="AB436" s="451" t="e">
        <f t="shared" si="47"/>
        <v>#DIV/0!</v>
      </c>
      <c r="AC436" s="452" t="e">
        <f t="shared" si="48"/>
        <v>#DIV/0!</v>
      </c>
      <c r="AE436" s="349" t="str">
        <f>AF436&amp;TM[[#This Row],[Insurer Code]]&amp;"; "&amp;AG436&amp;TM[[#This Row],[Reporting Year]]&amp;"; "&amp;AH436&amp;TM[[#This Row],[Insurance Category Code]]&amp;"; "&amp;AI436&amp;TM[[#This Row],[Large Provider Entity Code]]</f>
        <v xml:space="preserve">Insurer Code ; Reporting Year ; Insurance Category Code ; Large Provider Entity Code </v>
      </c>
      <c r="AF436" s="345" t="s">
        <v>207</v>
      </c>
      <c r="AG436" s="345" t="s">
        <v>208</v>
      </c>
      <c r="AH436" s="345" t="s">
        <v>209</v>
      </c>
      <c r="AI436" s="345" t="s">
        <v>210</v>
      </c>
      <c r="AJ436" s="345"/>
      <c r="AK436" s="345"/>
      <c r="AL436" s="345"/>
      <c r="AM436" s="11"/>
      <c r="AN436" s="11"/>
      <c r="AO436" s="11"/>
    </row>
    <row r="437" spans="1:41" x14ac:dyDescent="0.25">
      <c r="A437" s="311"/>
      <c r="B437" s="312"/>
      <c r="C437" s="312"/>
      <c r="D437" s="312"/>
      <c r="E437" s="328"/>
      <c r="F437" s="442"/>
      <c r="G437" s="314"/>
      <c r="H437" s="314"/>
      <c r="I437" s="314"/>
      <c r="J437" s="314"/>
      <c r="K437" s="314"/>
      <c r="L437" s="314"/>
      <c r="M437" s="314"/>
      <c r="N437" s="314"/>
      <c r="O437" s="314"/>
      <c r="P437" s="314"/>
      <c r="Q437" s="314"/>
      <c r="R437" s="442"/>
      <c r="S437" s="314"/>
      <c r="T437" s="314"/>
      <c r="U437" s="314"/>
      <c r="V437" s="315"/>
      <c r="W437" s="451">
        <f t="shared" si="42"/>
        <v>0</v>
      </c>
      <c r="X437" s="451">
        <f t="shared" si="43"/>
        <v>0</v>
      </c>
      <c r="Y437" s="451">
        <f t="shared" si="44"/>
        <v>0</v>
      </c>
      <c r="Z437" s="451">
        <f t="shared" si="45"/>
        <v>0</v>
      </c>
      <c r="AA437" s="451">
        <f t="shared" si="46"/>
        <v>0</v>
      </c>
      <c r="AB437" s="451" t="e">
        <f t="shared" si="47"/>
        <v>#DIV/0!</v>
      </c>
      <c r="AC437" s="452" t="e">
        <f t="shared" si="48"/>
        <v>#DIV/0!</v>
      </c>
      <c r="AE437" s="349" t="str">
        <f>AF437&amp;TM[[#This Row],[Insurer Code]]&amp;"; "&amp;AG437&amp;TM[[#This Row],[Reporting Year]]&amp;"; "&amp;AH437&amp;TM[[#This Row],[Insurance Category Code]]&amp;"; "&amp;AI437&amp;TM[[#This Row],[Large Provider Entity Code]]</f>
        <v xml:space="preserve">Insurer Code ; Reporting Year ; Insurance Category Code ; Large Provider Entity Code </v>
      </c>
      <c r="AF437" s="345" t="s">
        <v>207</v>
      </c>
      <c r="AG437" s="345" t="s">
        <v>208</v>
      </c>
      <c r="AH437" s="345" t="s">
        <v>209</v>
      </c>
      <c r="AI437" s="345" t="s">
        <v>210</v>
      </c>
      <c r="AJ437" s="345"/>
      <c r="AK437" s="345"/>
      <c r="AL437" s="345"/>
      <c r="AM437" s="11"/>
      <c r="AN437" s="11"/>
      <c r="AO437" s="11"/>
    </row>
    <row r="438" spans="1:41" x14ac:dyDescent="0.25">
      <c r="A438" s="311"/>
      <c r="B438" s="312"/>
      <c r="C438" s="312"/>
      <c r="D438" s="312"/>
      <c r="E438" s="328"/>
      <c r="F438" s="442"/>
      <c r="G438" s="314"/>
      <c r="H438" s="314"/>
      <c r="I438" s="314"/>
      <c r="J438" s="314"/>
      <c r="K438" s="314"/>
      <c r="L438" s="314"/>
      <c r="M438" s="314"/>
      <c r="N438" s="314"/>
      <c r="O438" s="314"/>
      <c r="P438" s="314"/>
      <c r="Q438" s="314"/>
      <c r="R438" s="442"/>
      <c r="S438" s="314"/>
      <c r="T438" s="314"/>
      <c r="U438" s="314"/>
      <c r="V438" s="315"/>
      <c r="W438" s="451">
        <f t="shared" si="42"/>
        <v>0</v>
      </c>
      <c r="X438" s="451">
        <f t="shared" si="43"/>
        <v>0</v>
      </c>
      <c r="Y438" s="451">
        <f t="shared" si="44"/>
        <v>0</v>
      </c>
      <c r="Z438" s="451">
        <f t="shared" si="45"/>
        <v>0</v>
      </c>
      <c r="AA438" s="451">
        <f t="shared" si="46"/>
        <v>0</v>
      </c>
      <c r="AB438" s="451" t="e">
        <f t="shared" si="47"/>
        <v>#DIV/0!</v>
      </c>
      <c r="AC438" s="452" t="e">
        <f t="shared" si="48"/>
        <v>#DIV/0!</v>
      </c>
      <c r="AE438" s="349" t="str">
        <f>AF438&amp;TM[[#This Row],[Insurer Code]]&amp;"; "&amp;AG438&amp;TM[[#This Row],[Reporting Year]]&amp;"; "&amp;AH438&amp;TM[[#This Row],[Insurance Category Code]]&amp;"; "&amp;AI438&amp;TM[[#This Row],[Large Provider Entity Code]]</f>
        <v xml:space="preserve">Insurer Code ; Reporting Year ; Insurance Category Code ; Large Provider Entity Code </v>
      </c>
      <c r="AF438" s="345" t="s">
        <v>207</v>
      </c>
      <c r="AG438" s="345" t="s">
        <v>208</v>
      </c>
      <c r="AH438" s="345" t="s">
        <v>209</v>
      </c>
      <c r="AI438" s="345" t="s">
        <v>210</v>
      </c>
      <c r="AJ438" s="345"/>
      <c r="AK438" s="345"/>
      <c r="AL438" s="345"/>
      <c r="AM438" s="11"/>
      <c r="AN438" s="11"/>
      <c r="AO438" s="11"/>
    </row>
    <row r="439" spans="1:41" x14ac:dyDescent="0.25">
      <c r="A439" s="311"/>
      <c r="B439" s="312"/>
      <c r="C439" s="312"/>
      <c r="D439" s="312"/>
      <c r="E439" s="328"/>
      <c r="F439" s="442"/>
      <c r="G439" s="314"/>
      <c r="H439" s="314"/>
      <c r="I439" s="314"/>
      <c r="J439" s="314"/>
      <c r="K439" s="314"/>
      <c r="L439" s="314"/>
      <c r="M439" s="314"/>
      <c r="N439" s="314"/>
      <c r="O439" s="314"/>
      <c r="P439" s="314"/>
      <c r="Q439" s="314"/>
      <c r="R439" s="442"/>
      <c r="S439" s="314"/>
      <c r="T439" s="314"/>
      <c r="U439" s="314"/>
      <c r="V439" s="315"/>
      <c r="W439" s="451">
        <f t="shared" si="42"/>
        <v>0</v>
      </c>
      <c r="X439" s="451">
        <f t="shared" si="43"/>
        <v>0</v>
      </c>
      <c r="Y439" s="451">
        <f t="shared" si="44"/>
        <v>0</v>
      </c>
      <c r="Z439" s="451">
        <f t="shared" si="45"/>
        <v>0</v>
      </c>
      <c r="AA439" s="451">
        <f t="shared" si="46"/>
        <v>0</v>
      </c>
      <c r="AB439" s="451" t="e">
        <f t="shared" si="47"/>
        <v>#DIV/0!</v>
      </c>
      <c r="AC439" s="452" t="e">
        <f t="shared" si="48"/>
        <v>#DIV/0!</v>
      </c>
      <c r="AE439" s="349" t="str">
        <f>AF439&amp;TM[[#This Row],[Insurer Code]]&amp;"; "&amp;AG439&amp;TM[[#This Row],[Reporting Year]]&amp;"; "&amp;AH439&amp;TM[[#This Row],[Insurance Category Code]]&amp;"; "&amp;AI439&amp;TM[[#This Row],[Large Provider Entity Code]]</f>
        <v xml:space="preserve">Insurer Code ; Reporting Year ; Insurance Category Code ; Large Provider Entity Code </v>
      </c>
      <c r="AF439" s="345" t="s">
        <v>207</v>
      </c>
      <c r="AG439" s="345" t="s">
        <v>208</v>
      </c>
      <c r="AH439" s="345" t="s">
        <v>209</v>
      </c>
      <c r="AI439" s="345" t="s">
        <v>210</v>
      </c>
      <c r="AJ439" s="345"/>
      <c r="AK439" s="345"/>
      <c r="AL439" s="345"/>
      <c r="AM439" s="11"/>
      <c r="AN439" s="11"/>
      <c r="AO439" s="11"/>
    </row>
    <row r="440" spans="1:41" x14ac:dyDescent="0.25">
      <c r="A440" s="311"/>
      <c r="B440" s="312"/>
      <c r="C440" s="312"/>
      <c r="D440" s="312"/>
      <c r="E440" s="328"/>
      <c r="F440" s="442"/>
      <c r="G440" s="314"/>
      <c r="H440" s="314"/>
      <c r="I440" s="314"/>
      <c r="J440" s="314"/>
      <c r="K440" s="314"/>
      <c r="L440" s="314"/>
      <c r="M440" s="314"/>
      <c r="N440" s="314"/>
      <c r="O440" s="314"/>
      <c r="P440" s="314"/>
      <c r="Q440" s="314"/>
      <c r="R440" s="442"/>
      <c r="S440" s="314"/>
      <c r="T440" s="314"/>
      <c r="U440" s="314"/>
      <c r="V440" s="315"/>
      <c r="W440" s="451">
        <f t="shared" si="42"/>
        <v>0</v>
      </c>
      <c r="X440" s="451">
        <f t="shared" si="43"/>
        <v>0</v>
      </c>
      <c r="Y440" s="451">
        <f t="shared" si="44"/>
        <v>0</v>
      </c>
      <c r="Z440" s="451">
        <f t="shared" si="45"/>
        <v>0</v>
      </c>
      <c r="AA440" s="451">
        <f t="shared" si="46"/>
        <v>0</v>
      </c>
      <c r="AB440" s="451" t="e">
        <f t="shared" si="47"/>
        <v>#DIV/0!</v>
      </c>
      <c r="AC440" s="452" t="e">
        <f t="shared" si="48"/>
        <v>#DIV/0!</v>
      </c>
      <c r="AE440" s="349" t="str">
        <f>AF440&amp;TM[[#This Row],[Insurer Code]]&amp;"; "&amp;AG440&amp;TM[[#This Row],[Reporting Year]]&amp;"; "&amp;AH440&amp;TM[[#This Row],[Insurance Category Code]]&amp;"; "&amp;AI440&amp;TM[[#This Row],[Large Provider Entity Code]]</f>
        <v xml:space="preserve">Insurer Code ; Reporting Year ; Insurance Category Code ; Large Provider Entity Code </v>
      </c>
      <c r="AF440" s="345" t="s">
        <v>207</v>
      </c>
      <c r="AG440" s="345" t="s">
        <v>208</v>
      </c>
      <c r="AH440" s="345" t="s">
        <v>209</v>
      </c>
      <c r="AI440" s="345" t="s">
        <v>210</v>
      </c>
      <c r="AJ440" s="345"/>
      <c r="AK440" s="345"/>
      <c r="AL440" s="345"/>
      <c r="AM440" s="11"/>
      <c r="AN440" s="11"/>
      <c r="AO440" s="11"/>
    </row>
    <row r="441" spans="1:41" x14ac:dyDescent="0.25">
      <c r="A441" s="311"/>
      <c r="B441" s="312"/>
      <c r="C441" s="312"/>
      <c r="D441" s="312"/>
      <c r="E441" s="328"/>
      <c r="F441" s="442"/>
      <c r="G441" s="314"/>
      <c r="H441" s="314"/>
      <c r="I441" s="314"/>
      <c r="J441" s="314"/>
      <c r="K441" s="314"/>
      <c r="L441" s="314"/>
      <c r="M441" s="314"/>
      <c r="N441" s="314"/>
      <c r="O441" s="314"/>
      <c r="P441" s="314"/>
      <c r="Q441" s="314"/>
      <c r="R441" s="442"/>
      <c r="S441" s="314"/>
      <c r="T441" s="314"/>
      <c r="U441" s="314"/>
      <c r="V441" s="315"/>
      <c r="W441" s="451">
        <f t="shared" si="42"/>
        <v>0</v>
      </c>
      <c r="X441" s="451">
        <f t="shared" si="43"/>
        <v>0</v>
      </c>
      <c r="Y441" s="451">
        <f t="shared" si="44"/>
        <v>0</v>
      </c>
      <c r="Z441" s="451">
        <f t="shared" si="45"/>
        <v>0</v>
      </c>
      <c r="AA441" s="451">
        <f t="shared" si="46"/>
        <v>0</v>
      </c>
      <c r="AB441" s="451" t="e">
        <f t="shared" si="47"/>
        <v>#DIV/0!</v>
      </c>
      <c r="AC441" s="452" t="e">
        <f t="shared" si="48"/>
        <v>#DIV/0!</v>
      </c>
      <c r="AE441" s="349" t="str">
        <f>AF441&amp;TM[[#This Row],[Insurer Code]]&amp;"; "&amp;AG441&amp;TM[[#This Row],[Reporting Year]]&amp;"; "&amp;AH441&amp;TM[[#This Row],[Insurance Category Code]]&amp;"; "&amp;AI441&amp;TM[[#This Row],[Large Provider Entity Code]]</f>
        <v xml:space="preserve">Insurer Code ; Reporting Year ; Insurance Category Code ; Large Provider Entity Code </v>
      </c>
      <c r="AF441" s="345" t="s">
        <v>207</v>
      </c>
      <c r="AG441" s="345" t="s">
        <v>208</v>
      </c>
      <c r="AH441" s="345" t="s">
        <v>209</v>
      </c>
      <c r="AI441" s="345" t="s">
        <v>210</v>
      </c>
      <c r="AJ441" s="345"/>
      <c r="AK441" s="345"/>
      <c r="AL441" s="345"/>
      <c r="AM441" s="11"/>
      <c r="AN441" s="11"/>
      <c r="AO441" s="11"/>
    </row>
    <row r="442" spans="1:41" x14ac:dyDescent="0.25">
      <c r="A442" s="311"/>
      <c r="B442" s="312"/>
      <c r="C442" s="312"/>
      <c r="D442" s="312"/>
      <c r="E442" s="328"/>
      <c r="F442" s="442"/>
      <c r="G442" s="314"/>
      <c r="H442" s="314"/>
      <c r="I442" s="314"/>
      <c r="J442" s="314"/>
      <c r="K442" s="314"/>
      <c r="L442" s="314"/>
      <c r="M442" s="314"/>
      <c r="N442" s="314"/>
      <c r="O442" s="314"/>
      <c r="P442" s="314"/>
      <c r="Q442" s="314"/>
      <c r="R442" s="442"/>
      <c r="S442" s="314"/>
      <c r="T442" s="314"/>
      <c r="U442" s="314"/>
      <c r="V442" s="315"/>
      <c r="W442" s="451">
        <f t="shared" si="42"/>
        <v>0</v>
      </c>
      <c r="X442" s="451">
        <f t="shared" si="43"/>
        <v>0</v>
      </c>
      <c r="Y442" s="451">
        <f t="shared" si="44"/>
        <v>0</v>
      </c>
      <c r="Z442" s="451">
        <f t="shared" si="45"/>
        <v>0</v>
      </c>
      <c r="AA442" s="451">
        <f t="shared" si="46"/>
        <v>0</v>
      </c>
      <c r="AB442" s="451" t="e">
        <f t="shared" si="47"/>
        <v>#DIV/0!</v>
      </c>
      <c r="AC442" s="452" t="e">
        <f t="shared" si="48"/>
        <v>#DIV/0!</v>
      </c>
      <c r="AE442" s="349" t="str">
        <f>AF442&amp;TM[[#This Row],[Insurer Code]]&amp;"; "&amp;AG442&amp;TM[[#This Row],[Reporting Year]]&amp;"; "&amp;AH442&amp;TM[[#This Row],[Insurance Category Code]]&amp;"; "&amp;AI442&amp;TM[[#This Row],[Large Provider Entity Code]]</f>
        <v xml:space="preserve">Insurer Code ; Reporting Year ; Insurance Category Code ; Large Provider Entity Code </v>
      </c>
      <c r="AF442" s="345" t="s">
        <v>207</v>
      </c>
      <c r="AG442" s="345" t="s">
        <v>208</v>
      </c>
      <c r="AH442" s="345" t="s">
        <v>209</v>
      </c>
      <c r="AI442" s="345" t="s">
        <v>210</v>
      </c>
      <c r="AJ442" s="345"/>
      <c r="AK442" s="345"/>
      <c r="AL442" s="345"/>
      <c r="AM442" s="11"/>
      <c r="AN442" s="11"/>
      <c r="AO442" s="11"/>
    </row>
    <row r="443" spans="1:41" x14ac:dyDescent="0.25">
      <c r="A443" s="311"/>
      <c r="B443" s="312"/>
      <c r="C443" s="312"/>
      <c r="D443" s="312"/>
      <c r="E443" s="328"/>
      <c r="F443" s="442"/>
      <c r="G443" s="314"/>
      <c r="H443" s="314"/>
      <c r="I443" s="314"/>
      <c r="J443" s="314"/>
      <c r="K443" s="314"/>
      <c r="L443" s="314"/>
      <c r="M443" s="314"/>
      <c r="N443" s="314"/>
      <c r="O443" s="314"/>
      <c r="P443" s="314"/>
      <c r="Q443" s="314"/>
      <c r="R443" s="442"/>
      <c r="S443" s="314"/>
      <c r="T443" s="314"/>
      <c r="U443" s="314"/>
      <c r="V443" s="315"/>
      <c r="W443" s="451">
        <f t="shared" si="42"/>
        <v>0</v>
      </c>
      <c r="X443" s="451">
        <f t="shared" si="43"/>
        <v>0</v>
      </c>
      <c r="Y443" s="451">
        <f t="shared" si="44"/>
        <v>0</v>
      </c>
      <c r="Z443" s="451">
        <f t="shared" si="45"/>
        <v>0</v>
      </c>
      <c r="AA443" s="451">
        <f t="shared" si="46"/>
        <v>0</v>
      </c>
      <c r="AB443" s="451" t="e">
        <f t="shared" si="47"/>
        <v>#DIV/0!</v>
      </c>
      <c r="AC443" s="452" t="e">
        <f t="shared" si="48"/>
        <v>#DIV/0!</v>
      </c>
      <c r="AE443" s="349" t="str">
        <f>AF443&amp;TM[[#This Row],[Insurer Code]]&amp;"; "&amp;AG443&amp;TM[[#This Row],[Reporting Year]]&amp;"; "&amp;AH443&amp;TM[[#This Row],[Insurance Category Code]]&amp;"; "&amp;AI443&amp;TM[[#This Row],[Large Provider Entity Code]]</f>
        <v xml:space="preserve">Insurer Code ; Reporting Year ; Insurance Category Code ; Large Provider Entity Code </v>
      </c>
      <c r="AF443" s="345" t="s">
        <v>207</v>
      </c>
      <c r="AG443" s="345" t="s">
        <v>208</v>
      </c>
      <c r="AH443" s="345" t="s">
        <v>209</v>
      </c>
      <c r="AI443" s="345" t="s">
        <v>210</v>
      </c>
      <c r="AJ443" s="345"/>
      <c r="AK443" s="345"/>
      <c r="AL443" s="345"/>
      <c r="AM443" s="11"/>
      <c r="AN443" s="11"/>
      <c r="AO443" s="11"/>
    </row>
    <row r="444" spans="1:41" x14ac:dyDescent="0.25">
      <c r="A444" s="311"/>
      <c r="B444" s="312"/>
      <c r="C444" s="312"/>
      <c r="D444" s="312"/>
      <c r="E444" s="328"/>
      <c r="F444" s="442"/>
      <c r="G444" s="314"/>
      <c r="H444" s="314"/>
      <c r="I444" s="314"/>
      <c r="J444" s="314"/>
      <c r="K444" s="314"/>
      <c r="L444" s="314"/>
      <c r="M444" s="314"/>
      <c r="N444" s="314"/>
      <c r="O444" s="314"/>
      <c r="P444" s="314"/>
      <c r="Q444" s="314"/>
      <c r="R444" s="442"/>
      <c r="S444" s="314"/>
      <c r="T444" s="314"/>
      <c r="U444" s="314"/>
      <c r="V444" s="315"/>
      <c r="W444" s="451">
        <f t="shared" si="42"/>
        <v>0</v>
      </c>
      <c r="X444" s="451">
        <f t="shared" si="43"/>
        <v>0</v>
      </c>
      <c r="Y444" s="451">
        <f t="shared" si="44"/>
        <v>0</v>
      </c>
      <c r="Z444" s="451">
        <f t="shared" si="45"/>
        <v>0</v>
      </c>
      <c r="AA444" s="451">
        <f t="shared" si="46"/>
        <v>0</v>
      </c>
      <c r="AB444" s="451" t="e">
        <f t="shared" si="47"/>
        <v>#DIV/0!</v>
      </c>
      <c r="AC444" s="452" t="e">
        <f t="shared" si="48"/>
        <v>#DIV/0!</v>
      </c>
      <c r="AE444" s="349" t="str">
        <f>AF444&amp;TM[[#This Row],[Insurer Code]]&amp;"; "&amp;AG444&amp;TM[[#This Row],[Reporting Year]]&amp;"; "&amp;AH444&amp;TM[[#This Row],[Insurance Category Code]]&amp;"; "&amp;AI444&amp;TM[[#This Row],[Large Provider Entity Code]]</f>
        <v xml:space="preserve">Insurer Code ; Reporting Year ; Insurance Category Code ; Large Provider Entity Code </v>
      </c>
      <c r="AF444" s="345" t="s">
        <v>207</v>
      </c>
      <c r="AG444" s="345" t="s">
        <v>208</v>
      </c>
      <c r="AH444" s="345" t="s">
        <v>209</v>
      </c>
      <c r="AI444" s="345" t="s">
        <v>210</v>
      </c>
      <c r="AJ444" s="345"/>
      <c r="AK444" s="345"/>
      <c r="AL444" s="345"/>
      <c r="AM444" s="11"/>
      <c r="AN444" s="11"/>
      <c r="AO444" s="11"/>
    </row>
    <row r="445" spans="1:41" x14ac:dyDescent="0.25">
      <c r="A445" s="311"/>
      <c r="B445" s="312"/>
      <c r="C445" s="312"/>
      <c r="D445" s="312"/>
      <c r="E445" s="328"/>
      <c r="F445" s="442"/>
      <c r="G445" s="314"/>
      <c r="H445" s="314"/>
      <c r="I445" s="314"/>
      <c r="J445" s="314"/>
      <c r="K445" s="314"/>
      <c r="L445" s="314"/>
      <c r="M445" s="314"/>
      <c r="N445" s="314"/>
      <c r="O445" s="314"/>
      <c r="P445" s="314"/>
      <c r="Q445" s="314"/>
      <c r="R445" s="442"/>
      <c r="S445" s="314"/>
      <c r="T445" s="314"/>
      <c r="U445" s="314"/>
      <c r="V445" s="315"/>
      <c r="W445" s="451">
        <f t="shared" si="42"/>
        <v>0</v>
      </c>
      <c r="X445" s="451">
        <f t="shared" si="43"/>
        <v>0</v>
      </c>
      <c r="Y445" s="451">
        <f t="shared" si="44"/>
        <v>0</v>
      </c>
      <c r="Z445" s="451">
        <f t="shared" si="45"/>
        <v>0</v>
      </c>
      <c r="AA445" s="451">
        <f t="shared" si="46"/>
        <v>0</v>
      </c>
      <c r="AB445" s="451" t="e">
        <f t="shared" si="47"/>
        <v>#DIV/0!</v>
      </c>
      <c r="AC445" s="452" t="e">
        <f t="shared" si="48"/>
        <v>#DIV/0!</v>
      </c>
      <c r="AE445" s="349" t="str">
        <f>AF445&amp;TM[[#This Row],[Insurer Code]]&amp;"; "&amp;AG445&amp;TM[[#This Row],[Reporting Year]]&amp;"; "&amp;AH445&amp;TM[[#This Row],[Insurance Category Code]]&amp;"; "&amp;AI445&amp;TM[[#This Row],[Large Provider Entity Code]]</f>
        <v xml:space="preserve">Insurer Code ; Reporting Year ; Insurance Category Code ; Large Provider Entity Code </v>
      </c>
      <c r="AF445" s="345" t="s">
        <v>207</v>
      </c>
      <c r="AG445" s="345" t="s">
        <v>208</v>
      </c>
      <c r="AH445" s="345" t="s">
        <v>209</v>
      </c>
      <c r="AI445" s="345" t="s">
        <v>210</v>
      </c>
      <c r="AJ445" s="345"/>
      <c r="AK445" s="345"/>
      <c r="AL445" s="345"/>
      <c r="AM445" s="11"/>
      <c r="AN445" s="11"/>
      <c r="AO445" s="11"/>
    </row>
    <row r="446" spans="1:41" x14ac:dyDescent="0.25">
      <c r="A446" s="311"/>
      <c r="B446" s="312"/>
      <c r="C446" s="312"/>
      <c r="D446" s="312"/>
      <c r="E446" s="328"/>
      <c r="F446" s="442"/>
      <c r="G446" s="314"/>
      <c r="H446" s="314"/>
      <c r="I446" s="314"/>
      <c r="J446" s="314"/>
      <c r="K446" s="314"/>
      <c r="L446" s="314"/>
      <c r="M446" s="314"/>
      <c r="N446" s="314"/>
      <c r="O446" s="314"/>
      <c r="P446" s="314"/>
      <c r="Q446" s="314"/>
      <c r="R446" s="442"/>
      <c r="S446" s="314"/>
      <c r="T446" s="314"/>
      <c r="U446" s="314"/>
      <c r="V446" s="315"/>
      <c r="W446" s="451">
        <f t="shared" si="42"/>
        <v>0</v>
      </c>
      <c r="X446" s="451">
        <f t="shared" si="43"/>
        <v>0</v>
      </c>
      <c r="Y446" s="451">
        <f t="shared" si="44"/>
        <v>0</v>
      </c>
      <c r="Z446" s="451">
        <f t="shared" si="45"/>
        <v>0</v>
      </c>
      <c r="AA446" s="451">
        <f t="shared" si="46"/>
        <v>0</v>
      </c>
      <c r="AB446" s="451" t="e">
        <f t="shared" si="47"/>
        <v>#DIV/0!</v>
      </c>
      <c r="AC446" s="452" t="e">
        <f t="shared" si="48"/>
        <v>#DIV/0!</v>
      </c>
      <c r="AE446" s="349" t="str">
        <f>AF446&amp;TM[[#This Row],[Insurer Code]]&amp;"; "&amp;AG446&amp;TM[[#This Row],[Reporting Year]]&amp;"; "&amp;AH446&amp;TM[[#This Row],[Insurance Category Code]]&amp;"; "&amp;AI446&amp;TM[[#This Row],[Large Provider Entity Code]]</f>
        <v xml:space="preserve">Insurer Code ; Reporting Year ; Insurance Category Code ; Large Provider Entity Code </v>
      </c>
      <c r="AF446" s="345" t="s">
        <v>207</v>
      </c>
      <c r="AG446" s="345" t="s">
        <v>208</v>
      </c>
      <c r="AH446" s="345" t="s">
        <v>209</v>
      </c>
      <c r="AI446" s="345" t="s">
        <v>210</v>
      </c>
      <c r="AJ446" s="345"/>
      <c r="AK446" s="345"/>
      <c r="AL446" s="345"/>
      <c r="AM446" s="11"/>
      <c r="AN446" s="11"/>
      <c r="AO446" s="11"/>
    </row>
    <row r="447" spans="1:41" x14ac:dyDescent="0.25">
      <c r="A447" s="311"/>
      <c r="B447" s="312"/>
      <c r="C447" s="312"/>
      <c r="D447" s="312"/>
      <c r="E447" s="328"/>
      <c r="F447" s="442"/>
      <c r="G447" s="314"/>
      <c r="H447" s="314"/>
      <c r="I447" s="314"/>
      <c r="J447" s="314"/>
      <c r="K447" s="314"/>
      <c r="L447" s="314"/>
      <c r="M447" s="314"/>
      <c r="N447" s="314"/>
      <c r="O447" s="314"/>
      <c r="P447" s="314"/>
      <c r="Q447" s="314"/>
      <c r="R447" s="442"/>
      <c r="S447" s="314"/>
      <c r="T447" s="314"/>
      <c r="U447" s="314"/>
      <c r="V447" s="315"/>
      <c r="W447" s="451">
        <f t="shared" si="42"/>
        <v>0</v>
      </c>
      <c r="X447" s="451">
        <f t="shared" si="43"/>
        <v>0</v>
      </c>
      <c r="Y447" s="451">
        <f t="shared" si="44"/>
        <v>0</v>
      </c>
      <c r="Z447" s="451">
        <f t="shared" si="45"/>
        <v>0</v>
      </c>
      <c r="AA447" s="451">
        <f t="shared" si="46"/>
        <v>0</v>
      </c>
      <c r="AB447" s="451" t="e">
        <f t="shared" si="47"/>
        <v>#DIV/0!</v>
      </c>
      <c r="AC447" s="452" t="e">
        <f t="shared" si="48"/>
        <v>#DIV/0!</v>
      </c>
      <c r="AE447" s="349" t="str">
        <f>AF447&amp;TM[[#This Row],[Insurer Code]]&amp;"; "&amp;AG447&amp;TM[[#This Row],[Reporting Year]]&amp;"; "&amp;AH447&amp;TM[[#This Row],[Insurance Category Code]]&amp;"; "&amp;AI447&amp;TM[[#This Row],[Large Provider Entity Code]]</f>
        <v xml:space="preserve">Insurer Code ; Reporting Year ; Insurance Category Code ; Large Provider Entity Code </v>
      </c>
      <c r="AF447" s="345" t="s">
        <v>207</v>
      </c>
      <c r="AG447" s="345" t="s">
        <v>208</v>
      </c>
      <c r="AH447" s="345" t="s">
        <v>209</v>
      </c>
      <c r="AI447" s="345" t="s">
        <v>210</v>
      </c>
      <c r="AJ447" s="345"/>
      <c r="AK447" s="345"/>
      <c r="AL447" s="345"/>
      <c r="AM447" s="11"/>
      <c r="AN447" s="11"/>
      <c r="AO447" s="11"/>
    </row>
    <row r="448" spans="1:41" x14ac:dyDescent="0.25">
      <c r="A448" s="311"/>
      <c r="B448" s="312"/>
      <c r="C448" s="312"/>
      <c r="D448" s="312"/>
      <c r="E448" s="328"/>
      <c r="F448" s="442"/>
      <c r="G448" s="314"/>
      <c r="H448" s="314"/>
      <c r="I448" s="314"/>
      <c r="J448" s="314"/>
      <c r="K448" s="314"/>
      <c r="L448" s="314"/>
      <c r="M448" s="314"/>
      <c r="N448" s="314"/>
      <c r="O448" s="314"/>
      <c r="P448" s="314"/>
      <c r="Q448" s="314"/>
      <c r="R448" s="442"/>
      <c r="S448" s="314"/>
      <c r="T448" s="314"/>
      <c r="U448" s="314"/>
      <c r="V448" s="315"/>
      <c r="W448" s="451">
        <f t="shared" si="42"/>
        <v>0</v>
      </c>
      <c r="X448" s="451">
        <f t="shared" si="43"/>
        <v>0</v>
      </c>
      <c r="Y448" s="451">
        <f t="shared" si="44"/>
        <v>0</v>
      </c>
      <c r="Z448" s="451">
        <f t="shared" si="45"/>
        <v>0</v>
      </c>
      <c r="AA448" s="451">
        <f t="shared" si="46"/>
        <v>0</v>
      </c>
      <c r="AB448" s="451" t="e">
        <f t="shared" si="47"/>
        <v>#DIV/0!</v>
      </c>
      <c r="AC448" s="452" t="e">
        <f t="shared" si="48"/>
        <v>#DIV/0!</v>
      </c>
      <c r="AE448" s="349" t="str">
        <f>AF448&amp;TM[[#This Row],[Insurer Code]]&amp;"; "&amp;AG448&amp;TM[[#This Row],[Reporting Year]]&amp;"; "&amp;AH448&amp;TM[[#This Row],[Insurance Category Code]]&amp;"; "&amp;AI448&amp;TM[[#This Row],[Large Provider Entity Code]]</f>
        <v xml:space="preserve">Insurer Code ; Reporting Year ; Insurance Category Code ; Large Provider Entity Code </v>
      </c>
      <c r="AF448" s="345" t="s">
        <v>207</v>
      </c>
      <c r="AG448" s="345" t="s">
        <v>208</v>
      </c>
      <c r="AH448" s="345" t="s">
        <v>209</v>
      </c>
      <c r="AI448" s="345" t="s">
        <v>210</v>
      </c>
      <c r="AJ448" s="345"/>
      <c r="AK448" s="345"/>
      <c r="AL448" s="345"/>
      <c r="AM448" s="11"/>
      <c r="AN448" s="11"/>
      <c r="AO448" s="11"/>
    </row>
    <row r="449" spans="1:41" x14ac:dyDescent="0.25">
      <c r="A449" s="311"/>
      <c r="B449" s="312"/>
      <c r="C449" s="312"/>
      <c r="D449" s="312"/>
      <c r="E449" s="328"/>
      <c r="F449" s="442"/>
      <c r="G449" s="314"/>
      <c r="H449" s="314"/>
      <c r="I449" s="314"/>
      <c r="J449" s="314"/>
      <c r="K449" s="314"/>
      <c r="L449" s="314"/>
      <c r="M449" s="314"/>
      <c r="N449" s="314"/>
      <c r="O449" s="314"/>
      <c r="P449" s="314"/>
      <c r="Q449" s="314"/>
      <c r="R449" s="442"/>
      <c r="S449" s="314"/>
      <c r="T449" s="314"/>
      <c r="U449" s="314"/>
      <c r="V449" s="315"/>
      <c r="W449" s="451">
        <f t="shared" si="42"/>
        <v>0</v>
      </c>
      <c r="X449" s="451">
        <f t="shared" si="43"/>
        <v>0</v>
      </c>
      <c r="Y449" s="451">
        <f t="shared" si="44"/>
        <v>0</v>
      </c>
      <c r="Z449" s="451">
        <f t="shared" si="45"/>
        <v>0</v>
      </c>
      <c r="AA449" s="451">
        <f t="shared" si="46"/>
        <v>0</v>
      </c>
      <c r="AB449" s="451" t="e">
        <f t="shared" si="47"/>
        <v>#DIV/0!</v>
      </c>
      <c r="AC449" s="452" t="e">
        <f t="shared" si="48"/>
        <v>#DIV/0!</v>
      </c>
      <c r="AE449" s="349" t="str">
        <f>AF449&amp;TM[[#This Row],[Insurer Code]]&amp;"; "&amp;AG449&amp;TM[[#This Row],[Reporting Year]]&amp;"; "&amp;AH449&amp;TM[[#This Row],[Insurance Category Code]]&amp;"; "&amp;AI449&amp;TM[[#This Row],[Large Provider Entity Code]]</f>
        <v xml:space="preserve">Insurer Code ; Reporting Year ; Insurance Category Code ; Large Provider Entity Code </v>
      </c>
      <c r="AF449" s="345" t="s">
        <v>207</v>
      </c>
      <c r="AG449" s="345" t="s">
        <v>208</v>
      </c>
      <c r="AH449" s="345" t="s">
        <v>209</v>
      </c>
      <c r="AI449" s="345" t="s">
        <v>210</v>
      </c>
      <c r="AJ449" s="345"/>
      <c r="AK449" s="345"/>
      <c r="AL449" s="345"/>
      <c r="AM449" s="11"/>
      <c r="AN449" s="11"/>
      <c r="AO449" s="11"/>
    </row>
    <row r="450" spans="1:41" x14ac:dyDescent="0.25">
      <c r="A450" s="311"/>
      <c r="B450" s="312"/>
      <c r="C450" s="312"/>
      <c r="D450" s="312"/>
      <c r="E450" s="328"/>
      <c r="F450" s="442"/>
      <c r="G450" s="314"/>
      <c r="H450" s="314"/>
      <c r="I450" s="314"/>
      <c r="J450" s="314"/>
      <c r="K450" s="314"/>
      <c r="L450" s="314"/>
      <c r="M450" s="314"/>
      <c r="N450" s="314"/>
      <c r="O450" s="314"/>
      <c r="P450" s="314"/>
      <c r="Q450" s="314"/>
      <c r="R450" s="442"/>
      <c r="S450" s="314"/>
      <c r="T450" s="314"/>
      <c r="U450" s="314"/>
      <c r="V450" s="315"/>
      <c r="W450" s="451">
        <f t="shared" si="42"/>
        <v>0</v>
      </c>
      <c r="X450" s="451">
        <f t="shared" si="43"/>
        <v>0</v>
      </c>
      <c r="Y450" s="451">
        <f t="shared" si="44"/>
        <v>0</v>
      </c>
      <c r="Z450" s="451">
        <f t="shared" si="45"/>
        <v>0</v>
      </c>
      <c r="AA450" s="451">
        <f t="shared" si="46"/>
        <v>0</v>
      </c>
      <c r="AB450" s="451" t="e">
        <f t="shared" si="47"/>
        <v>#DIV/0!</v>
      </c>
      <c r="AC450" s="452" t="e">
        <f t="shared" si="48"/>
        <v>#DIV/0!</v>
      </c>
      <c r="AE450" s="349" t="str">
        <f>AF450&amp;TM[[#This Row],[Insurer Code]]&amp;"; "&amp;AG450&amp;TM[[#This Row],[Reporting Year]]&amp;"; "&amp;AH450&amp;TM[[#This Row],[Insurance Category Code]]&amp;"; "&amp;AI450&amp;TM[[#This Row],[Large Provider Entity Code]]</f>
        <v xml:space="preserve">Insurer Code ; Reporting Year ; Insurance Category Code ; Large Provider Entity Code </v>
      </c>
      <c r="AF450" s="345" t="s">
        <v>207</v>
      </c>
      <c r="AG450" s="345" t="s">
        <v>208</v>
      </c>
      <c r="AH450" s="345" t="s">
        <v>209</v>
      </c>
      <c r="AI450" s="345" t="s">
        <v>210</v>
      </c>
      <c r="AJ450" s="345"/>
      <c r="AK450" s="345"/>
      <c r="AL450" s="345"/>
      <c r="AM450" s="11"/>
      <c r="AN450" s="11"/>
      <c r="AO450" s="11"/>
    </row>
    <row r="451" spans="1:41" x14ac:dyDescent="0.25">
      <c r="A451" s="311"/>
      <c r="B451" s="312"/>
      <c r="C451" s="312"/>
      <c r="D451" s="312"/>
      <c r="E451" s="328"/>
      <c r="F451" s="442"/>
      <c r="G451" s="314"/>
      <c r="H451" s="314"/>
      <c r="I451" s="314"/>
      <c r="J451" s="314"/>
      <c r="K451" s="314"/>
      <c r="L451" s="314"/>
      <c r="M451" s="314"/>
      <c r="N451" s="314"/>
      <c r="O451" s="314"/>
      <c r="P451" s="314"/>
      <c r="Q451" s="314"/>
      <c r="R451" s="442"/>
      <c r="S451" s="314"/>
      <c r="T451" s="314"/>
      <c r="U451" s="314"/>
      <c r="V451" s="315"/>
      <c r="W451" s="451">
        <f t="shared" si="42"/>
        <v>0</v>
      </c>
      <c r="X451" s="451">
        <f t="shared" si="43"/>
        <v>0</v>
      </c>
      <c r="Y451" s="451">
        <f t="shared" si="44"/>
        <v>0</v>
      </c>
      <c r="Z451" s="451">
        <f t="shared" si="45"/>
        <v>0</v>
      </c>
      <c r="AA451" s="451">
        <f t="shared" si="46"/>
        <v>0</v>
      </c>
      <c r="AB451" s="451" t="e">
        <f t="shared" si="47"/>
        <v>#DIV/0!</v>
      </c>
      <c r="AC451" s="452" t="e">
        <f t="shared" si="48"/>
        <v>#DIV/0!</v>
      </c>
      <c r="AE451" s="349" t="str">
        <f>AF451&amp;TM[[#This Row],[Insurer Code]]&amp;"; "&amp;AG451&amp;TM[[#This Row],[Reporting Year]]&amp;"; "&amp;AH451&amp;TM[[#This Row],[Insurance Category Code]]&amp;"; "&amp;AI451&amp;TM[[#This Row],[Large Provider Entity Code]]</f>
        <v xml:space="preserve">Insurer Code ; Reporting Year ; Insurance Category Code ; Large Provider Entity Code </v>
      </c>
      <c r="AF451" s="345" t="s">
        <v>207</v>
      </c>
      <c r="AG451" s="345" t="s">
        <v>208</v>
      </c>
      <c r="AH451" s="345" t="s">
        <v>209</v>
      </c>
      <c r="AI451" s="345" t="s">
        <v>210</v>
      </c>
      <c r="AJ451" s="345"/>
      <c r="AK451" s="345"/>
      <c r="AL451" s="345"/>
      <c r="AM451" s="11"/>
      <c r="AN451" s="11"/>
      <c r="AO451" s="11"/>
    </row>
    <row r="452" spans="1:41" x14ac:dyDescent="0.25">
      <c r="A452" s="311"/>
      <c r="B452" s="312"/>
      <c r="C452" s="312"/>
      <c r="D452" s="312"/>
      <c r="E452" s="328"/>
      <c r="F452" s="442"/>
      <c r="G452" s="314"/>
      <c r="H452" s="314"/>
      <c r="I452" s="314"/>
      <c r="J452" s="314"/>
      <c r="K452" s="314"/>
      <c r="L452" s="314"/>
      <c r="M452" s="314"/>
      <c r="N452" s="314"/>
      <c r="O452" s="314"/>
      <c r="P452" s="314"/>
      <c r="Q452" s="314"/>
      <c r="R452" s="442"/>
      <c r="S452" s="314"/>
      <c r="T452" s="314"/>
      <c r="U452" s="314"/>
      <c r="V452" s="315"/>
      <c r="W452" s="451">
        <f t="shared" si="42"/>
        <v>0</v>
      </c>
      <c r="X452" s="451">
        <f t="shared" si="43"/>
        <v>0</v>
      </c>
      <c r="Y452" s="451">
        <f t="shared" si="44"/>
        <v>0</v>
      </c>
      <c r="Z452" s="451">
        <f t="shared" si="45"/>
        <v>0</v>
      </c>
      <c r="AA452" s="451">
        <f t="shared" si="46"/>
        <v>0</v>
      </c>
      <c r="AB452" s="451" t="e">
        <f t="shared" si="47"/>
        <v>#DIV/0!</v>
      </c>
      <c r="AC452" s="452" t="e">
        <f t="shared" si="48"/>
        <v>#DIV/0!</v>
      </c>
      <c r="AE452" s="349" t="str">
        <f>AF452&amp;TM[[#This Row],[Insurer Code]]&amp;"; "&amp;AG452&amp;TM[[#This Row],[Reporting Year]]&amp;"; "&amp;AH452&amp;TM[[#This Row],[Insurance Category Code]]&amp;"; "&amp;AI452&amp;TM[[#This Row],[Large Provider Entity Code]]</f>
        <v xml:space="preserve">Insurer Code ; Reporting Year ; Insurance Category Code ; Large Provider Entity Code </v>
      </c>
      <c r="AF452" s="345" t="s">
        <v>207</v>
      </c>
      <c r="AG452" s="345" t="s">
        <v>208</v>
      </c>
      <c r="AH452" s="345" t="s">
        <v>209</v>
      </c>
      <c r="AI452" s="345" t="s">
        <v>210</v>
      </c>
      <c r="AJ452" s="345"/>
      <c r="AK452" s="345"/>
      <c r="AL452" s="345"/>
      <c r="AM452" s="11"/>
      <c r="AN452" s="11"/>
      <c r="AO452" s="11"/>
    </row>
    <row r="453" spans="1:41" x14ac:dyDescent="0.25">
      <c r="A453" s="311"/>
      <c r="B453" s="312"/>
      <c r="C453" s="312"/>
      <c r="D453" s="312"/>
      <c r="E453" s="328"/>
      <c r="F453" s="442"/>
      <c r="G453" s="314"/>
      <c r="H453" s="314"/>
      <c r="I453" s="314"/>
      <c r="J453" s="314"/>
      <c r="K453" s="314"/>
      <c r="L453" s="314"/>
      <c r="M453" s="314"/>
      <c r="N453" s="314"/>
      <c r="O453" s="314"/>
      <c r="P453" s="314"/>
      <c r="Q453" s="314"/>
      <c r="R453" s="442"/>
      <c r="S453" s="314"/>
      <c r="T453" s="314"/>
      <c r="U453" s="314"/>
      <c r="V453" s="315"/>
      <c r="W453" s="451">
        <f t="shared" si="42"/>
        <v>0</v>
      </c>
      <c r="X453" s="451">
        <f t="shared" si="43"/>
        <v>0</v>
      </c>
      <c r="Y453" s="451">
        <f t="shared" si="44"/>
        <v>0</v>
      </c>
      <c r="Z453" s="451">
        <f t="shared" si="45"/>
        <v>0</v>
      </c>
      <c r="AA453" s="451">
        <f t="shared" si="46"/>
        <v>0</v>
      </c>
      <c r="AB453" s="451" t="e">
        <f t="shared" si="47"/>
        <v>#DIV/0!</v>
      </c>
      <c r="AC453" s="452" t="e">
        <f t="shared" si="48"/>
        <v>#DIV/0!</v>
      </c>
      <c r="AE453" s="349" t="str">
        <f>AF453&amp;TM[[#This Row],[Insurer Code]]&amp;"; "&amp;AG453&amp;TM[[#This Row],[Reporting Year]]&amp;"; "&amp;AH453&amp;TM[[#This Row],[Insurance Category Code]]&amp;"; "&amp;AI453&amp;TM[[#This Row],[Large Provider Entity Code]]</f>
        <v xml:space="preserve">Insurer Code ; Reporting Year ; Insurance Category Code ; Large Provider Entity Code </v>
      </c>
      <c r="AF453" s="345" t="s">
        <v>207</v>
      </c>
      <c r="AG453" s="345" t="s">
        <v>208</v>
      </c>
      <c r="AH453" s="345" t="s">
        <v>209</v>
      </c>
      <c r="AI453" s="345" t="s">
        <v>210</v>
      </c>
      <c r="AJ453" s="345"/>
      <c r="AK453" s="345"/>
      <c r="AL453" s="345"/>
      <c r="AM453" s="11"/>
      <c r="AN453" s="11"/>
      <c r="AO453" s="11"/>
    </row>
    <row r="454" spans="1:41" x14ac:dyDescent="0.25">
      <c r="A454" s="311"/>
      <c r="B454" s="312"/>
      <c r="C454" s="312"/>
      <c r="D454" s="312"/>
      <c r="E454" s="328"/>
      <c r="F454" s="442"/>
      <c r="G454" s="314"/>
      <c r="H454" s="314"/>
      <c r="I454" s="314"/>
      <c r="J454" s="314"/>
      <c r="K454" s="314"/>
      <c r="L454" s="314"/>
      <c r="M454" s="314"/>
      <c r="N454" s="314"/>
      <c r="O454" s="314"/>
      <c r="P454" s="314"/>
      <c r="Q454" s="314"/>
      <c r="R454" s="442"/>
      <c r="S454" s="314"/>
      <c r="T454" s="314"/>
      <c r="U454" s="314"/>
      <c r="V454" s="315"/>
      <c r="W454" s="451">
        <f t="shared" si="42"/>
        <v>0</v>
      </c>
      <c r="X454" s="451">
        <f t="shared" si="43"/>
        <v>0</v>
      </c>
      <c r="Y454" s="451">
        <f t="shared" si="44"/>
        <v>0</v>
      </c>
      <c r="Z454" s="451">
        <f t="shared" si="45"/>
        <v>0</v>
      </c>
      <c r="AA454" s="451">
        <f t="shared" si="46"/>
        <v>0</v>
      </c>
      <c r="AB454" s="451" t="e">
        <f t="shared" si="47"/>
        <v>#DIV/0!</v>
      </c>
      <c r="AC454" s="452" t="e">
        <f t="shared" si="48"/>
        <v>#DIV/0!</v>
      </c>
      <c r="AE454" s="349" t="str">
        <f>AF454&amp;TM[[#This Row],[Insurer Code]]&amp;"; "&amp;AG454&amp;TM[[#This Row],[Reporting Year]]&amp;"; "&amp;AH454&amp;TM[[#This Row],[Insurance Category Code]]&amp;"; "&amp;AI454&amp;TM[[#This Row],[Large Provider Entity Code]]</f>
        <v xml:space="preserve">Insurer Code ; Reporting Year ; Insurance Category Code ; Large Provider Entity Code </v>
      </c>
      <c r="AF454" s="345" t="s">
        <v>207</v>
      </c>
      <c r="AG454" s="345" t="s">
        <v>208</v>
      </c>
      <c r="AH454" s="345" t="s">
        <v>209</v>
      </c>
      <c r="AI454" s="345" t="s">
        <v>210</v>
      </c>
      <c r="AJ454" s="345"/>
      <c r="AK454" s="345"/>
      <c r="AL454" s="345"/>
      <c r="AM454" s="11"/>
      <c r="AN454" s="11"/>
      <c r="AO454" s="11"/>
    </row>
    <row r="455" spans="1:41" x14ac:dyDescent="0.25">
      <c r="A455" s="311"/>
      <c r="B455" s="312"/>
      <c r="C455" s="312"/>
      <c r="D455" s="312"/>
      <c r="E455" s="328"/>
      <c r="F455" s="442"/>
      <c r="G455" s="314"/>
      <c r="H455" s="314"/>
      <c r="I455" s="314"/>
      <c r="J455" s="314"/>
      <c r="K455" s="314"/>
      <c r="L455" s="314"/>
      <c r="M455" s="314"/>
      <c r="N455" s="314"/>
      <c r="O455" s="314"/>
      <c r="P455" s="314"/>
      <c r="Q455" s="314"/>
      <c r="R455" s="442"/>
      <c r="S455" s="314"/>
      <c r="T455" s="314"/>
      <c r="U455" s="314"/>
      <c r="V455" s="315"/>
      <c r="W455" s="451">
        <f t="shared" si="42"/>
        <v>0</v>
      </c>
      <c r="X455" s="451">
        <f t="shared" si="43"/>
        <v>0</v>
      </c>
      <c r="Y455" s="451">
        <f t="shared" si="44"/>
        <v>0</v>
      </c>
      <c r="Z455" s="451">
        <f t="shared" si="45"/>
        <v>0</v>
      </c>
      <c r="AA455" s="451">
        <f t="shared" si="46"/>
        <v>0</v>
      </c>
      <c r="AB455" s="451" t="e">
        <f t="shared" si="47"/>
        <v>#DIV/0!</v>
      </c>
      <c r="AC455" s="452" t="e">
        <f t="shared" si="48"/>
        <v>#DIV/0!</v>
      </c>
      <c r="AE455" s="349" t="str">
        <f>AF455&amp;TM[[#This Row],[Insurer Code]]&amp;"; "&amp;AG455&amp;TM[[#This Row],[Reporting Year]]&amp;"; "&amp;AH455&amp;TM[[#This Row],[Insurance Category Code]]&amp;"; "&amp;AI455&amp;TM[[#This Row],[Large Provider Entity Code]]</f>
        <v xml:space="preserve">Insurer Code ; Reporting Year ; Insurance Category Code ; Large Provider Entity Code </v>
      </c>
      <c r="AF455" s="345" t="s">
        <v>207</v>
      </c>
      <c r="AG455" s="345" t="s">
        <v>208</v>
      </c>
      <c r="AH455" s="345" t="s">
        <v>209</v>
      </c>
      <c r="AI455" s="345" t="s">
        <v>210</v>
      </c>
      <c r="AJ455" s="345"/>
      <c r="AK455" s="345"/>
      <c r="AL455" s="345"/>
      <c r="AM455" s="11"/>
      <c r="AN455" s="11"/>
      <c r="AO455" s="11"/>
    </row>
    <row r="456" spans="1:41" x14ac:dyDescent="0.25">
      <c r="A456" s="311"/>
      <c r="B456" s="312"/>
      <c r="C456" s="312"/>
      <c r="D456" s="312"/>
      <c r="E456" s="328"/>
      <c r="F456" s="442"/>
      <c r="G456" s="314"/>
      <c r="H456" s="314"/>
      <c r="I456" s="314"/>
      <c r="J456" s="314"/>
      <c r="K456" s="314"/>
      <c r="L456" s="314"/>
      <c r="M456" s="314"/>
      <c r="N456" s="314"/>
      <c r="O456" s="314"/>
      <c r="P456" s="314"/>
      <c r="Q456" s="314"/>
      <c r="R456" s="442"/>
      <c r="S456" s="314"/>
      <c r="T456" s="314"/>
      <c r="U456" s="314"/>
      <c r="V456" s="315"/>
      <c r="W456" s="451">
        <f t="shared" si="42"/>
        <v>0</v>
      </c>
      <c r="X456" s="451">
        <f t="shared" si="43"/>
        <v>0</v>
      </c>
      <c r="Y456" s="451">
        <f t="shared" si="44"/>
        <v>0</v>
      </c>
      <c r="Z456" s="451">
        <f t="shared" si="45"/>
        <v>0</v>
      </c>
      <c r="AA456" s="451">
        <f t="shared" si="46"/>
        <v>0</v>
      </c>
      <c r="AB456" s="451" t="e">
        <f t="shared" si="47"/>
        <v>#DIV/0!</v>
      </c>
      <c r="AC456" s="452" t="e">
        <f t="shared" si="48"/>
        <v>#DIV/0!</v>
      </c>
      <c r="AE456" s="349" t="str">
        <f>AF456&amp;TM[[#This Row],[Insurer Code]]&amp;"; "&amp;AG456&amp;TM[[#This Row],[Reporting Year]]&amp;"; "&amp;AH456&amp;TM[[#This Row],[Insurance Category Code]]&amp;"; "&amp;AI456&amp;TM[[#This Row],[Large Provider Entity Code]]</f>
        <v xml:space="preserve">Insurer Code ; Reporting Year ; Insurance Category Code ; Large Provider Entity Code </v>
      </c>
      <c r="AF456" s="345" t="s">
        <v>207</v>
      </c>
      <c r="AG456" s="345" t="s">
        <v>208</v>
      </c>
      <c r="AH456" s="345" t="s">
        <v>209</v>
      </c>
      <c r="AI456" s="345" t="s">
        <v>210</v>
      </c>
      <c r="AJ456" s="345"/>
      <c r="AK456" s="345"/>
      <c r="AL456" s="345"/>
      <c r="AM456" s="11"/>
      <c r="AN456" s="11"/>
      <c r="AO456" s="11"/>
    </row>
    <row r="457" spans="1:41" x14ac:dyDescent="0.25">
      <c r="A457" s="311"/>
      <c r="B457" s="312"/>
      <c r="C457" s="312"/>
      <c r="D457" s="312"/>
      <c r="E457" s="328"/>
      <c r="F457" s="442"/>
      <c r="G457" s="314"/>
      <c r="H457" s="314"/>
      <c r="I457" s="314"/>
      <c r="J457" s="314"/>
      <c r="K457" s="314"/>
      <c r="L457" s="314"/>
      <c r="M457" s="314"/>
      <c r="N457" s="314"/>
      <c r="O457" s="314"/>
      <c r="P457" s="314"/>
      <c r="Q457" s="314"/>
      <c r="R457" s="442"/>
      <c r="S457" s="314"/>
      <c r="T457" s="314"/>
      <c r="U457" s="314"/>
      <c r="V457" s="315"/>
      <c r="W457" s="451">
        <f t="shared" si="42"/>
        <v>0</v>
      </c>
      <c r="X457" s="451">
        <f t="shared" si="43"/>
        <v>0</v>
      </c>
      <c r="Y457" s="451">
        <f t="shared" si="44"/>
        <v>0</v>
      </c>
      <c r="Z457" s="451">
        <f t="shared" si="45"/>
        <v>0</v>
      </c>
      <c r="AA457" s="451">
        <f t="shared" si="46"/>
        <v>0</v>
      </c>
      <c r="AB457" s="451" t="e">
        <f t="shared" si="47"/>
        <v>#DIV/0!</v>
      </c>
      <c r="AC457" s="452" t="e">
        <f t="shared" si="48"/>
        <v>#DIV/0!</v>
      </c>
      <c r="AE457" s="349" t="str">
        <f>AF457&amp;TM[[#This Row],[Insurer Code]]&amp;"; "&amp;AG457&amp;TM[[#This Row],[Reporting Year]]&amp;"; "&amp;AH457&amp;TM[[#This Row],[Insurance Category Code]]&amp;"; "&amp;AI457&amp;TM[[#This Row],[Large Provider Entity Code]]</f>
        <v xml:space="preserve">Insurer Code ; Reporting Year ; Insurance Category Code ; Large Provider Entity Code </v>
      </c>
      <c r="AF457" s="345" t="s">
        <v>207</v>
      </c>
      <c r="AG457" s="345" t="s">
        <v>208</v>
      </c>
      <c r="AH457" s="345" t="s">
        <v>209</v>
      </c>
      <c r="AI457" s="345" t="s">
        <v>210</v>
      </c>
      <c r="AJ457" s="345"/>
      <c r="AK457" s="345"/>
      <c r="AL457" s="345"/>
      <c r="AM457" s="11"/>
      <c r="AN457" s="11"/>
      <c r="AO457" s="11"/>
    </row>
    <row r="458" spans="1:41" x14ac:dyDescent="0.25">
      <c r="A458" s="311"/>
      <c r="B458" s="312"/>
      <c r="C458" s="312"/>
      <c r="D458" s="312"/>
      <c r="E458" s="328"/>
      <c r="F458" s="442"/>
      <c r="G458" s="314"/>
      <c r="H458" s="314"/>
      <c r="I458" s="314"/>
      <c r="J458" s="314"/>
      <c r="K458" s="314"/>
      <c r="L458" s="314"/>
      <c r="M458" s="314"/>
      <c r="N458" s="314"/>
      <c r="O458" s="314"/>
      <c r="P458" s="314"/>
      <c r="Q458" s="314"/>
      <c r="R458" s="442"/>
      <c r="S458" s="314"/>
      <c r="T458" s="314"/>
      <c r="U458" s="314"/>
      <c r="V458" s="315"/>
      <c r="W458" s="451">
        <f t="shared" si="42"/>
        <v>0</v>
      </c>
      <c r="X458" s="451">
        <f t="shared" si="43"/>
        <v>0</v>
      </c>
      <c r="Y458" s="451">
        <f t="shared" si="44"/>
        <v>0</v>
      </c>
      <c r="Z458" s="451">
        <f t="shared" si="45"/>
        <v>0</v>
      </c>
      <c r="AA458" s="451">
        <f t="shared" si="46"/>
        <v>0</v>
      </c>
      <c r="AB458" s="451" t="e">
        <f t="shared" si="47"/>
        <v>#DIV/0!</v>
      </c>
      <c r="AC458" s="452" t="e">
        <f t="shared" si="48"/>
        <v>#DIV/0!</v>
      </c>
      <c r="AE458" s="349" t="str">
        <f>AF458&amp;TM[[#This Row],[Insurer Code]]&amp;"; "&amp;AG458&amp;TM[[#This Row],[Reporting Year]]&amp;"; "&amp;AH458&amp;TM[[#This Row],[Insurance Category Code]]&amp;"; "&amp;AI458&amp;TM[[#This Row],[Large Provider Entity Code]]</f>
        <v xml:space="preserve">Insurer Code ; Reporting Year ; Insurance Category Code ; Large Provider Entity Code </v>
      </c>
      <c r="AF458" s="345" t="s">
        <v>207</v>
      </c>
      <c r="AG458" s="345" t="s">
        <v>208</v>
      </c>
      <c r="AH458" s="345" t="s">
        <v>209</v>
      </c>
      <c r="AI458" s="345" t="s">
        <v>210</v>
      </c>
      <c r="AJ458" s="345"/>
      <c r="AK458" s="345"/>
      <c r="AL458" s="345"/>
      <c r="AM458" s="11"/>
      <c r="AN458" s="11"/>
      <c r="AO458" s="11"/>
    </row>
    <row r="459" spans="1:41" x14ac:dyDescent="0.25">
      <c r="A459" s="311"/>
      <c r="B459" s="312"/>
      <c r="C459" s="312"/>
      <c r="D459" s="312"/>
      <c r="E459" s="328"/>
      <c r="F459" s="442"/>
      <c r="G459" s="314"/>
      <c r="H459" s="314"/>
      <c r="I459" s="314"/>
      <c r="J459" s="314"/>
      <c r="K459" s="314"/>
      <c r="L459" s="314"/>
      <c r="M459" s="314"/>
      <c r="N459" s="314"/>
      <c r="O459" s="314"/>
      <c r="P459" s="314"/>
      <c r="Q459" s="314"/>
      <c r="R459" s="442"/>
      <c r="S459" s="314"/>
      <c r="T459" s="314"/>
      <c r="U459" s="314"/>
      <c r="V459" s="315"/>
      <c r="W459" s="451">
        <f t="shared" si="42"/>
        <v>0</v>
      </c>
      <c r="X459" s="451">
        <f t="shared" si="43"/>
        <v>0</v>
      </c>
      <c r="Y459" s="451">
        <f t="shared" si="44"/>
        <v>0</v>
      </c>
      <c r="Z459" s="451">
        <f t="shared" si="45"/>
        <v>0</v>
      </c>
      <c r="AA459" s="451">
        <f t="shared" si="46"/>
        <v>0</v>
      </c>
      <c r="AB459" s="451" t="e">
        <f t="shared" si="47"/>
        <v>#DIV/0!</v>
      </c>
      <c r="AC459" s="452" t="e">
        <f t="shared" si="48"/>
        <v>#DIV/0!</v>
      </c>
      <c r="AE459" s="349" t="str">
        <f>AF459&amp;TM[[#This Row],[Insurer Code]]&amp;"; "&amp;AG459&amp;TM[[#This Row],[Reporting Year]]&amp;"; "&amp;AH459&amp;TM[[#This Row],[Insurance Category Code]]&amp;"; "&amp;AI459&amp;TM[[#This Row],[Large Provider Entity Code]]</f>
        <v xml:space="preserve">Insurer Code ; Reporting Year ; Insurance Category Code ; Large Provider Entity Code </v>
      </c>
      <c r="AF459" s="345" t="s">
        <v>207</v>
      </c>
      <c r="AG459" s="345" t="s">
        <v>208</v>
      </c>
      <c r="AH459" s="345" t="s">
        <v>209</v>
      </c>
      <c r="AI459" s="345" t="s">
        <v>210</v>
      </c>
      <c r="AJ459" s="345"/>
      <c r="AK459" s="345"/>
      <c r="AL459" s="345"/>
      <c r="AM459" s="11"/>
      <c r="AN459" s="11"/>
      <c r="AO459" s="11"/>
    </row>
    <row r="460" spans="1:41" x14ac:dyDescent="0.25">
      <c r="A460" s="311"/>
      <c r="B460" s="312"/>
      <c r="C460" s="312"/>
      <c r="D460" s="312"/>
      <c r="E460" s="328"/>
      <c r="F460" s="442"/>
      <c r="G460" s="314"/>
      <c r="H460" s="314"/>
      <c r="I460" s="314"/>
      <c r="J460" s="314"/>
      <c r="K460" s="314"/>
      <c r="L460" s="314"/>
      <c r="M460" s="314"/>
      <c r="N460" s="314"/>
      <c r="O460" s="314"/>
      <c r="P460" s="314"/>
      <c r="Q460" s="314"/>
      <c r="R460" s="442"/>
      <c r="S460" s="314"/>
      <c r="T460" s="314"/>
      <c r="U460" s="314"/>
      <c r="V460" s="315"/>
      <c r="W460" s="451">
        <f t="shared" ref="W460:W509" si="49">SUM(F460:M460)</f>
        <v>0</v>
      </c>
      <c r="X460" s="451">
        <f t="shared" ref="X460:X509" si="50">SUM(N460:S460)</f>
        <v>0</v>
      </c>
      <c r="Y460" s="451">
        <f t="shared" ref="Y460:Y509" si="51">W460+X460</f>
        <v>0</v>
      </c>
      <c r="Z460" s="451">
        <f t="shared" ref="Z460:Z509" si="52">W460-U460</f>
        <v>0</v>
      </c>
      <c r="AA460" s="451">
        <f t="shared" ref="AA460:AA509" si="53">Z460+X460</f>
        <v>0</v>
      </c>
      <c r="AB460" s="451" t="e">
        <f t="shared" ref="AB460:AB509" si="54">Y460/E460</f>
        <v>#DIV/0!</v>
      </c>
      <c r="AC460" s="452" t="e">
        <f t="shared" ref="AC460:AC509" si="55">AA460/E460</f>
        <v>#DIV/0!</v>
      </c>
      <c r="AE460" s="349" t="str">
        <f>AF460&amp;TM[[#This Row],[Insurer Code]]&amp;"; "&amp;AG460&amp;TM[[#This Row],[Reporting Year]]&amp;"; "&amp;AH460&amp;TM[[#This Row],[Insurance Category Code]]&amp;"; "&amp;AI460&amp;TM[[#This Row],[Large Provider Entity Code]]</f>
        <v xml:space="preserve">Insurer Code ; Reporting Year ; Insurance Category Code ; Large Provider Entity Code </v>
      </c>
      <c r="AF460" s="345" t="s">
        <v>207</v>
      </c>
      <c r="AG460" s="345" t="s">
        <v>208</v>
      </c>
      <c r="AH460" s="345" t="s">
        <v>209</v>
      </c>
      <c r="AI460" s="345" t="s">
        <v>210</v>
      </c>
      <c r="AJ460" s="345"/>
      <c r="AK460" s="345"/>
      <c r="AL460" s="345"/>
      <c r="AM460" s="11"/>
      <c r="AN460" s="11"/>
      <c r="AO460" s="11"/>
    </row>
    <row r="461" spans="1:41" x14ac:dyDescent="0.25">
      <c r="A461" s="311"/>
      <c r="B461" s="312"/>
      <c r="C461" s="312"/>
      <c r="D461" s="312"/>
      <c r="E461" s="328"/>
      <c r="F461" s="442"/>
      <c r="G461" s="314"/>
      <c r="H461" s="314"/>
      <c r="I461" s="314"/>
      <c r="J461" s="314"/>
      <c r="K461" s="314"/>
      <c r="L461" s="314"/>
      <c r="M461" s="314"/>
      <c r="N461" s="314"/>
      <c r="O461" s="314"/>
      <c r="P461" s="314"/>
      <c r="Q461" s="314"/>
      <c r="R461" s="442"/>
      <c r="S461" s="314"/>
      <c r="T461" s="314"/>
      <c r="U461" s="314"/>
      <c r="V461" s="315"/>
      <c r="W461" s="451">
        <f t="shared" si="49"/>
        <v>0</v>
      </c>
      <c r="X461" s="451">
        <f t="shared" si="50"/>
        <v>0</v>
      </c>
      <c r="Y461" s="451">
        <f t="shared" si="51"/>
        <v>0</v>
      </c>
      <c r="Z461" s="451">
        <f t="shared" si="52"/>
        <v>0</v>
      </c>
      <c r="AA461" s="451">
        <f t="shared" si="53"/>
        <v>0</v>
      </c>
      <c r="AB461" s="451" t="e">
        <f t="shared" si="54"/>
        <v>#DIV/0!</v>
      </c>
      <c r="AC461" s="452" t="e">
        <f t="shared" si="55"/>
        <v>#DIV/0!</v>
      </c>
      <c r="AE461" s="349" t="str">
        <f>AF461&amp;TM[[#This Row],[Insurer Code]]&amp;"; "&amp;AG461&amp;TM[[#This Row],[Reporting Year]]&amp;"; "&amp;AH461&amp;TM[[#This Row],[Insurance Category Code]]&amp;"; "&amp;AI461&amp;TM[[#This Row],[Large Provider Entity Code]]</f>
        <v xml:space="preserve">Insurer Code ; Reporting Year ; Insurance Category Code ; Large Provider Entity Code </v>
      </c>
      <c r="AF461" s="345" t="s">
        <v>207</v>
      </c>
      <c r="AG461" s="345" t="s">
        <v>208</v>
      </c>
      <c r="AH461" s="345" t="s">
        <v>209</v>
      </c>
      <c r="AI461" s="345" t="s">
        <v>210</v>
      </c>
      <c r="AJ461" s="345"/>
      <c r="AK461" s="345"/>
      <c r="AL461" s="345"/>
      <c r="AM461" s="11"/>
      <c r="AN461" s="11"/>
      <c r="AO461" s="11"/>
    </row>
    <row r="462" spans="1:41" x14ac:dyDescent="0.25">
      <c r="A462" s="311"/>
      <c r="B462" s="312"/>
      <c r="C462" s="312"/>
      <c r="D462" s="312"/>
      <c r="E462" s="328"/>
      <c r="F462" s="442"/>
      <c r="G462" s="314"/>
      <c r="H462" s="314"/>
      <c r="I462" s="314"/>
      <c r="J462" s="314"/>
      <c r="K462" s="314"/>
      <c r="L462" s="314"/>
      <c r="M462" s="314"/>
      <c r="N462" s="314"/>
      <c r="O462" s="314"/>
      <c r="P462" s="314"/>
      <c r="Q462" s="314"/>
      <c r="R462" s="442"/>
      <c r="S462" s="314"/>
      <c r="T462" s="314"/>
      <c r="U462" s="314"/>
      <c r="V462" s="315"/>
      <c r="W462" s="451">
        <f t="shared" si="49"/>
        <v>0</v>
      </c>
      <c r="X462" s="451">
        <f t="shared" si="50"/>
        <v>0</v>
      </c>
      <c r="Y462" s="451">
        <f t="shared" si="51"/>
        <v>0</v>
      </c>
      <c r="Z462" s="451">
        <f t="shared" si="52"/>
        <v>0</v>
      </c>
      <c r="AA462" s="451">
        <f t="shared" si="53"/>
        <v>0</v>
      </c>
      <c r="AB462" s="451" t="e">
        <f t="shared" si="54"/>
        <v>#DIV/0!</v>
      </c>
      <c r="AC462" s="452" t="e">
        <f t="shared" si="55"/>
        <v>#DIV/0!</v>
      </c>
      <c r="AE462" s="349" t="str">
        <f>AF462&amp;TM[[#This Row],[Insurer Code]]&amp;"; "&amp;AG462&amp;TM[[#This Row],[Reporting Year]]&amp;"; "&amp;AH462&amp;TM[[#This Row],[Insurance Category Code]]&amp;"; "&amp;AI462&amp;TM[[#This Row],[Large Provider Entity Code]]</f>
        <v xml:space="preserve">Insurer Code ; Reporting Year ; Insurance Category Code ; Large Provider Entity Code </v>
      </c>
      <c r="AF462" s="345" t="s">
        <v>207</v>
      </c>
      <c r="AG462" s="345" t="s">
        <v>208</v>
      </c>
      <c r="AH462" s="345" t="s">
        <v>209</v>
      </c>
      <c r="AI462" s="345" t="s">
        <v>210</v>
      </c>
      <c r="AJ462" s="345"/>
      <c r="AK462" s="345"/>
      <c r="AL462" s="345"/>
      <c r="AM462" s="11"/>
      <c r="AN462" s="11"/>
      <c r="AO462" s="11"/>
    </row>
    <row r="463" spans="1:41" x14ac:dyDescent="0.25">
      <c r="A463" s="311"/>
      <c r="B463" s="312"/>
      <c r="C463" s="312"/>
      <c r="D463" s="312"/>
      <c r="E463" s="328"/>
      <c r="F463" s="442"/>
      <c r="G463" s="314"/>
      <c r="H463" s="314"/>
      <c r="I463" s="314"/>
      <c r="J463" s="314"/>
      <c r="K463" s="314"/>
      <c r="L463" s="314"/>
      <c r="M463" s="314"/>
      <c r="N463" s="314"/>
      <c r="O463" s="314"/>
      <c r="P463" s="314"/>
      <c r="Q463" s="314"/>
      <c r="R463" s="442"/>
      <c r="S463" s="314"/>
      <c r="T463" s="314"/>
      <c r="U463" s="314"/>
      <c r="V463" s="315"/>
      <c r="W463" s="451">
        <f t="shared" si="49"/>
        <v>0</v>
      </c>
      <c r="X463" s="451">
        <f t="shared" si="50"/>
        <v>0</v>
      </c>
      <c r="Y463" s="451">
        <f t="shared" si="51"/>
        <v>0</v>
      </c>
      <c r="Z463" s="451">
        <f t="shared" si="52"/>
        <v>0</v>
      </c>
      <c r="AA463" s="451">
        <f t="shared" si="53"/>
        <v>0</v>
      </c>
      <c r="AB463" s="451" t="e">
        <f t="shared" si="54"/>
        <v>#DIV/0!</v>
      </c>
      <c r="AC463" s="452" t="e">
        <f t="shared" si="55"/>
        <v>#DIV/0!</v>
      </c>
      <c r="AE463" s="349" t="str">
        <f>AF463&amp;TM[[#This Row],[Insurer Code]]&amp;"; "&amp;AG463&amp;TM[[#This Row],[Reporting Year]]&amp;"; "&amp;AH463&amp;TM[[#This Row],[Insurance Category Code]]&amp;"; "&amp;AI463&amp;TM[[#This Row],[Large Provider Entity Code]]</f>
        <v xml:space="preserve">Insurer Code ; Reporting Year ; Insurance Category Code ; Large Provider Entity Code </v>
      </c>
      <c r="AF463" s="345" t="s">
        <v>207</v>
      </c>
      <c r="AG463" s="345" t="s">
        <v>208</v>
      </c>
      <c r="AH463" s="345" t="s">
        <v>209</v>
      </c>
      <c r="AI463" s="345" t="s">
        <v>210</v>
      </c>
      <c r="AJ463" s="345"/>
      <c r="AK463" s="345"/>
      <c r="AL463" s="345"/>
      <c r="AM463" s="11"/>
      <c r="AN463" s="11"/>
      <c r="AO463" s="11"/>
    </row>
    <row r="464" spans="1:41" x14ac:dyDescent="0.25">
      <c r="A464" s="311"/>
      <c r="B464" s="312"/>
      <c r="C464" s="312"/>
      <c r="D464" s="312"/>
      <c r="E464" s="328"/>
      <c r="F464" s="442"/>
      <c r="G464" s="314"/>
      <c r="H464" s="314"/>
      <c r="I464" s="314"/>
      <c r="J464" s="314"/>
      <c r="K464" s="314"/>
      <c r="L464" s="314"/>
      <c r="M464" s="314"/>
      <c r="N464" s="314"/>
      <c r="O464" s="314"/>
      <c r="P464" s="314"/>
      <c r="Q464" s="314"/>
      <c r="R464" s="442"/>
      <c r="S464" s="314"/>
      <c r="T464" s="314"/>
      <c r="U464" s="314"/>
      <c r="V464" s="315"/>
      <c r="W464" s="451">
        <f t="shared" si="49"/>
        <v>0</v>
      </c>
      <c r="X464" s="451">
        <f t="shared" si="50"/>
        <v>0</v>
      </c>
      <c r="Y464" s="451">
        <f t="shared" si="51"/>
        <v>0</v>
      </c>
      <c r="Z464" s="451">
        <f t="shared" si="52"/>
        <v>0</v>
      </c>
      <c r="AA464" s="451">
        <f t="shared" si="53"/>
        <v>0</v>
      </c>
      <c r="AB464" s="451" t="e">
        <f t="shared" si="54"/>
        <v>#DIV/0!</v>
      </c>
      <c r="AC464" s="452" t="e">
        <f t="shared" si="55"/>
        <v>#DIV/0!</v>
      </c>
      <c r="AE464" s="349" t="str">
        <f>AF464&amp;TM[[#This Row],[Insurer Code]]&amp;"; "&amp;AG464&amp;TM[[#This Row],[Reporting Year]]&amp;"; "&amp;AH464&amp;TM[[#This Row],[Insurance Category Code]]&amp;"; "&amp;AI464&amp;TM[[#This Row],[Large Provider Entity Code]]</f>
        <v xml:space="preserve">Insurer Code ; Reporting Year ; Insurance Category Code ; Large Provider Entity Code </v>
      </c>
      <c r="AF464" s="345" t="s">
        <v>207</v>
      </c>
      <c r="AG464" s="345" t="s">
        <v>208</v>
      </c>
      <c r="AH464" s="345" t="s">
        <v>209</v>
      </c>
      <c r="AI464" s="345" t="s">
        <v>210</v>
      </c>
      <c r="AJ464" s="345"/>
      <c r="AK464" s="345"/>
      <c r="AL464" s="345"/>
      <c r="AM464" s="11"/>
      <c r="AN464" s="11"/>
      <c r="AO464" s="11"/>
    </row>
    <row r="465" spans="1:41" x14ac:dyDescent="0.25">
      <c r="A465" s="311"/>
      <c r="B465" s="312"/>
      <c r="C465" s="312"/>
      <c r="D465" s="312"/>
      <c r="E465" s="328"/>
      <c r="F465" s="442"/>
      <c r="G465" s="314"/>
      <c r="H465" s="314"/>
      <c r="I465" s="314"/>
      <c r="J465" s="314"/>
      <c r="K465" s="314"/>
      <c r="L465" s="314"/>
      <c r="M465" s="314"/>
      <c r="N465" s="314"/>
      <c r="O465" s="314"/>
      <c r="P465" s="314"/>
      <c r="Q465" s="314"/>
      <c r="R465" s="442"/>
      <c r="S465" s="314"/>
      <c r="T465" s="314"/>
      <c r="U465" s="314"/>
      <c r="V465" s="315"/>
      <c r="W465" s="451">
        <f t="shared" si="49"/>
        <v>0</v>
      </c>
      <c r="X465" s="451">
        <f t="shared" si="50"/>
        <v>0</v>
      </c>
      <c r="Y465" s="451">
        <f t="shared" si="51"/>
        <v>0</v>
      </c>
      <c r="Z465" s="451">
        <f t="shared" si="52"/>
        <v>0</v>
      </c>
      <c r="AA465" s="451">
        <f t="shared" si="53"/>
        <v>0</v>
      </c>
      <c r="AB465" s="451" t="e">
        <f t="shared" si="54"/>
        <v>#DIV/0!</v>
      </c>
      <c r="AC465" s="452" t="e">
        <f t="shared" si="55"/>
        <v>#DIV/0!</v>
      </c>
      <c r="AE465" s="349" t="str">
        <f>AF465&amp;TM[[#This Row],[Insurer Code]]&amp;"; "&amp;AG465&amp;TM[[#This Row],[Reporting Year]]&amp;"; "&amp;AH465&amp;TM[[#This Row],[Insurance Category Code]]&amp;"; "&amp;AI465&amp;TM[[#This Row],[Large Provider Entity Code]]</f>
        <v xml:space="preserve">Insurer Code ; Reporting Year ; Insurance Category Code ; Large Provider Entity Code </v>
      </c>
      <c r="AF465" s="345" t="s">
        <v>207</v>
      </c>
      <c r="AG465" s="345" t="s">
        <v>208</v>
      </c>
      <c r="AH465" s="345" t="s">
        <v>209</v>
      </c>
      <c r="AI465" s="345" t="s">
        <v>210</v>
      </c>
      <c r="AJ465" s="345"/>
      <c r="AK465" s="345"/>
      <c r="AL465" s="345"/>
      <c r="AM465" s="11"/>
      <c r="AN465" s="11"/>
      <c r="AO465" s="11"/>
    </row>
    <row r="466" spans="1:41" x14ac:dyDescent="0.25">
      <c r="A466" s="311"/>
      <c r="B466" s="312"/>
      <c r="C466" s="312"/>
      <c r="D466" s="312"/>
      <c r="E466" s="328"/>
      <c r="F466" s="442"/>
      <c r="G466" s="314"/>
      <c r="H466" s="314"/>
      <c r="I466" s="314"/>
      <c r="J466" s="314"/>
      <c r="K466" s="314"/>
      <c r="L466" s="314"/>
      <c r="M466" s="314"/>
      <c r="N466" s="314"/>
      <c r="O466" s="314"/>
      <c r="P466" s="314"/>
      <c r="Q466" s="314"/>
      <c r="R466" s="442"/>
      <c r="S466" s="314"/>
      <c r="T466" s="314"/>
      <c r="U466" s="314"/>
      <c r="V466" s="315"/>
      <c r="W466" s="451">
        <f t="shared" si="49"/>
        <v>0</v>
      </c>
      <c r="X466" s="451">
        <f t="shared" si="50"/>
        <v>0</v>
      </c>
      <c r="Y466" s="451">
        <f t="shared" si="51"/>
        <v>0</v>
      </c>
      <c r="Z466" s="451">
        <f t="shared" si="52"/>
        <v>0</v>
      </c>
      <c r="AA466" s="451">
        <f t="shared" si="53"/>
        <v>0</v>
      </c>
      <c r="AB466" s="451" t="e">
        <f t="shared" si="54"/>
        <v>#DIV/0!</v>
      </c>
      <c r="AC466" s="452" t="e">
        <f t="shared" si="55"/>
        <v>#DIV/0!</v>
      </c>
      <c r="AE466" s="349" t="str">
        <f>AF466&amp;TM[[#This Row],[Insurer Code]]&amp;"; "&amp;AG466&amp;TM[[#This Row],[Reporting Year]]&amp;"; "&amp;AH466&amp;TM[[#This Row],[Insurance Category Code]]&amp;"; "&amp;AI466&amp;TM[[#This Row],[Large Provider Entity Code]]</f>
        <v xml:space="preserve">Insurer Code ; Reporting Year ; Insurance Category Code ; Large Provider Entity Code </v>
      </c>
      <c r="AF466" s="345" t="s">
        <v>207</v>
      </c>
      <c r="AG466" s="345" t="s">
        <v>208</v>
      </c>
      <c r="AH466" s="345" t="s">
        <v>209</v>
      </c>
      <c r="AI466" s="345" t="s">
        <v>210</v>
      </c>
      <c r="AJ466" s="345"/>
      <c r="AK466" s="345"/>
      <c r="AL466" s="345"/>
      <c r="AM466" s="11"/>
      <c r="AN466" s="11"/>
      <c r="AO466" s="11"/>
    </row>
    <row r="467" spans="1:41" x14ac:dyDescent="0.25">
      <c r="A467" s="311"/>
      <c r="B467" s="312"/>
      <c r="C467" s="312"/>
      <c r="D467" s="312"/>
      <c r="E467" s="328"/>
      <c r="F467" s="442"/>
      <c r="G467" s="314"/>
      <c r="H467" s="314"/>
      <c r="I467" s="314"/>
      <c r="J467" s="314"/>
      <c r="K467" s="314"/>
      <c r="L467" s="314"/>
      <c r="M467" s="314"/>
      <c r="N467" s="314"/>
      <c r="O467" s="314"/>
      <c r="P467" s="314"/>
      <c r="Q467" s="314"/>
      <c r="R467" s="442"/>
      <c r="S467" s="314"/>
      <c r="T467" s="314"/>
      <c r="U467" s="314"/>
      <c r="V467" s="315"/>
      <c r="W467" s="451">
        <f t="shared" si="49"/>
        <v>0</v>
      </c>
      <c r="X467" s="451">
        <f t="shared" si="50"/>
        <v>0</v>
      </c>
      <c r="Y467" s="451">
        <f t="shared" si="51"/>
        <v>0</v>
      </c>
      <c r="Z467" s="451">
        <f t="shared" si="52"/>
        <v>0</v>
      </c>
      <c r="AA467" s="451">
        <f t="shared" si="53"/>
        <v>0</v>
      </c>
      <c r="AB467" s="451" t="e">
        <f t="shared" si="54"/>
        <v>#DIV/0!</v>
      </c>
      <c r="AC467" s="452" t="e">
        <f t="shared" si="55"/>
        <v>#DIV/0!</v>
      </c>
      <c r="AE467" s="349" t="str">
        <f>AF467&amp;TM[[#This Row],[Insurer Code]]&amp;"; "&amp;AG467&amp;TM[[#This Row],[Reporting Year]]&amp;"; "&amp;AH467&amp;TM[[#This Row],[Insurance Category Code]]&amp;"; "&amp;AI467&amp;TM[[#This Row],[Large Provider Entity Code]]</f>
        <v xml:space="preserve">Insurer Code ; Reporting Year ; Insurance Category Code ; Large Provider Entity Code </v>
      </c>
      <c r="AF467" s="345" t="s">
        <v>207</v>
      </c>
      <c r="AG467" s="345" t="s">
        <v>208</v>
      </c>
      <c r="AH467" s="345" t="s">
        <v>209</v>
      </c>
      <c r="AI467" s="345" t="s">
        <v>210</v>
      </c>
      <c r="AJ467" s="345"/>
      <c r="AK467" s="345"/>
      <c r="AL467" s="345"/>
      <c r="AM467" s="11"/>
      <c r="AN467" s="11"/>
      <c r="AO467" s="11"/>
    </row>
    <row r="468" spans="1:41" x14ac:dyDescent="0.25">
      <c r="A468" s="311"/>
      <c r="B468" s="312"/>
      <c r="C468" s="312"/>
      <c r="D468" s="312"/>
      <c r="E468" s="328"/>
      <c r="F468" s="442"/>
      <c r="G468" s="314"/>
      <c r="H468" s="314"/>
      <c r="I468" s="314"/>
      <c r="J468" s="314"/>
      <c r="K468" s="314"/>
      <c r="L468" s="314"/>
      <c r="M468" s="314"/>
      <c r="N468" s="314"/>
      <c r="O468" s="314"/>
      <c r="P468" s="314"/>
      <c r="Q468" s="314"/>
      <c r="R468" s="442"/>
      <c r="S468" s="314"/>
      <c r="T468" s="314"/>
      <c r="U468" s="314"/>
      <c r="V468" s="315"/>
      <c r="W468" s="451">
        <f t="shared" si="49"/>
        <v>0</v>
      </c>
      <c r="X468" s="451">
        <f t="shared" si="50"/>
        <v>0</v>
      </c>
      <c r="Y468" s="451">
        <f t="shared" si="51"/>
        <v>0</v>
      </c>
      <c r="Z468" s="451">
        <f t="shared" si="52"/>
        <v>0</v>
      </c>
      <c r="AA468" s="451">
        <f t="shared" si="53"/>
        <v>0</v>
      </c>
      <c r="AB468" s="451" t="e">
        <f t="shared" si="54"/>
        <v>#DIV/0!</v>
      </c>
      <c r="AC468" s="452" t="e">
        <f t="shared" si="55"/>
        <v>#DIV/0!</v>
      </c>
      <c r="AE468" s="349" t="str">
        <f>AF468&amp;TM[[#This Row],[Insurer Code]]&amp;"; "&amp;AG468&amp;TM[[#This Row],[Reporting Year]]&amp;"; "&amp;AH468&amp;TM[[#This Row],[Insurance Category Code]]&amp;"; "&amp;AI468&amp;TM[[#This Row],[Large Provider Entity Code]]</f>
        <v xml:space="preserve">Insurer Code ; Reporting Year ; Insurance Category Code ; Large Provider Entity Code </v>
      </c>
      <c r="AF468" s="345" t="s">
        <v>207</v>
      </c>
      <c r="AG468" s="345" t="s">
        <v>208</v>
      </c>
      <c r="AH468" s="345" t="s">
        <v>209</v>
      </c>
      <c r="AI468" s="345" t="s">
        <v>210</v>
      </c>
      <c r="AJ468" s="345"/>
      <c r="AK468" s="345"/>
      <c r="AL468" s="345"/>
      <c r="AM468" s="11"/>
      <c r="AN468" s="11"/>
      <c r="AO468" s="11"/>
    </row>
    <row r="469" spans="1:41" x14ac:dyDescent="0.25">
      <c r="A469" s="311"/>
      <c r="B469" s="312"/>
      <c r="C469" s="312"/>
      <c r="D469" s="312"/>
      <c r="E469" s="328"/>
      <c r="F469" s="442"/>
      <c r="G469" s="314"/>
      <c r="H469" s="314"/>
      <c r="I469" s="314"/>
      <c r="J469" s="314"/>
      <c r="K469" s="314"/>
      <c r="L469" s="314"/>
      <c r="M469" s="314"/>
      <c r="N469" s="314"/>
      <c r="O469" s="314"/>
      <c r="P469" s="314"/>
      <c r="Q469" s="314"/>
      <c r="R469" s="442"/>
      <c r="S469" s="314"/>
      <c r="T469" s="314"/>
      <c r="U469" s="314"/>
      <c r="V469" s="315"/>
      <c r="W469" s="451">
        <f t="shared" si="49"/>
        <v>0</v>
      </c>
      <c r="X469" s="451">
        <f t="shared" si="50"/>
        <v>0</v>
      </c>
      <c r="Y469" s="451">
        <f t="shared" si="51"/>
        <v>0</v>
      </c>
      <c r="Z469" s="451">
        <f t="shared" si="52"/>
        <v>0</v>
      </c>
      <c r="AA469" s="451">
        <f t="shared" si="53"/>
        <v>0</v>
      </c>
      <c r="AB469" s="451" t="e">
        <f t="shared" si="54"/>
        <v>#DIV/0!</v>
      </c>
      <c r="AC469" s="452" t="e">
        <f t="shared" si="55"/>
        <v>#DIV/0!</v>
      </c>
      <c r="AE469" s="349" t="str">
        <f>AF469&amp;TM[[#This Row],[Insurer Code]]&amp;"; "&amp;AG469&amp;TM[[#This Row],[Reporting Year]]&amp;"; "&amp;AH469&amp;TM[[#This Row],[Insurance Category Code]]&amp;"; "&amp;AI469&amp;TM[[#This Row],[Large Provider Entity Code]]</f>
        <v xml:space="preserve">Insurer Code ; Reporting Year ; Insurance Category Code ; Large Provider Entity Code </v>
      </c>
      <c r="AF469" s="345" t="s">
        <v>207</v>
      </c>
      <c r="AG469" s="345" t="s">
        <v>208</v>
      </c>
      <c r="AH469" s="345" t="s">
        <v>209</v>
      </c>
      <c r="AI469" s="345" t="s">
        <v>210</v>
      </c>
      <c r="AJ469" s="345"/>
      <c r="AK469" s="345"/>
      <c r="AL469" s="345"/>
      <c r="AM469" s="11"/>
      <c r="AN469" s="11"/>
      <c r="AO469" s="11"/>
    </row>
    <row r="470" spans="1:41" x14ac:dyDescent="0.25">
      <c r="A470" s="311"/>
      <c r="B470" s="312"/>
      <c r="C470" s="312"/>
      <c r="D470" s="312"/>
      <c r="E470" s="328"/>
      <c r="F470" s="442"/>
      <c r="G470" s="314"/>
      <c r="H470" s="314"/>
      <c r="I470" s="314"/>
      <c r="J470" s="314"/>
      <c r="K470" s="314"/>
      <c r="L470" s="314"/>
      <c r="M470" s="314"/>
      <c r="N470" s="314"/>
      <c r="O470" s="314"/>
      <c r="P470" s="314"/>
      <c r="Q470" s="314"/>
      <c r="R470" s="442"/>
      <c r="S470" s="314"/>
      <c r="T470" s="314"/>
      <c r="U470" s="314"/>
      <c r="V470" s="315"/>
      <c r="W470" s="451">
        <f t="shared" si="49"/>
        <v>0</v>
      </c>
      <c r="X470" s="451">
        <f t="shared" si="50"/>
        <v>0</v>
      </c>
      <c r="Y470" s="451">
        <f t="shared" si="51"/>
        <v>0</v>
      </c>
      <c r="Z470" s="451">
        <f t="shared" si="52"/>
        <v>0</v>
      </c>
      <c r="AA470" s="451">
        <f t="shared" si="53"/>
        <v>0</v>
      </c>
      <c r="AB470" s="451" t="e">
        <f t="shared" si="54"/>
        <v>#DIV/0!</v>
      </c>
      <c r="AC470" s="452" t="e">
        <f t="shared" si="55"/>
        <v>#DIV/0!</v>
      </c>
      <c r="AE470" s="349" t="str">
        <f>AF470&amp;TM[[#This Row],[Insurer Code]]&amp;"; "&amp;AG470&amp;TM[[#This Row],[Reporting Year]]&amp;"; "&amp;AH470&amp;TM[[#This Row],[Insurance Category Code]]&amp;"; "&amp;AI470&amp;TM[[#This Row],[Large Provider Entity Code]]</f>
        <v xml:space="preserve">Insurer Code ; Reporting Year ; Insurance Category Code ; Large Provider Entity Code </v>
      </c>
      <c r="AF470" s="345" t="s">
        <v>207</v>
      </c>
      <c r="AG470" s="345" t="s">
        <v>208</v>
      </c>
      <c r="AH470" s="345" t="s">
        <v>209</v>
      </c>
      <c r="AI470" s="345" t="s">
        <v>210</v>
      </c>
      <c r="AJ470" s="345"/>
      <c r="AK470" s="345"/>
      <c r="AL470" s="345"/>
      <c r="AM470" s="11"/>
      <c r="AN470" s="11"/>
      <c r="AO470" s="11"/>
    </row>
    <row r="471" spans="1:41" x14ac:dyDescent="0.25">
      <c r="A471" s="311"/>
      <c r="B471" s="312"/>
      <c r="C471" s="312"/>
      <c r="D471" s="312"/>
      <c r="E471" s="328"/>
      <c r="F471" s="442"/>
      <c r="G471" s="314"/>
      <c r="H471" s="314"/>
      <c r="I471" s="314"/>
      <c r="J471" s="314"/>
      <c r="K471" s="314"/>
      <c r="L471" s="314"/>
      <c r="M471" s="314"/>
      <c r="N471" s="314"/>
      <c r="O471" s="314"/>
      <c r="P471" s="314"/>
      <c r="Q471" s="314"/>
      <c r="R471" s="442"/>
      <c r="S471" s="314"/>
      <c r="T471" s="314"/>
      <c r="U471" s="314"/>
      <c r="V471" s="315"/>
      <c r="W471" s="451">
        <f t="shared" si="49"/>
        <v>0</v>
      </c>
      <c r="X471" s="451">
        <f t="shared" si="50"/>
        <v>0</v>
      </c>
      <c r="Y471" s="451">
        <f t="shared" si="51"/>
        <v>0</v>
      </c>
      <c r="Z471" s="451">
        <f t="shared" si="52"/>
        <v>0</v>
      </c>
      <c r="AA471" s="451">
        <f t="shared" si="53"/>
        <v>0</v>
      </c>
      <c r="AB471" s="451" t="e">
        <f t="shared" si="54"/>
        <v>#DIV/0!</v>
      </c>
      <c r="AC471" s="452" t="e">
        <f t="shared" si="55"/>
        <v>#DIV/0!</v>
      </c>
      <c r="AE471" s="349" t="str">
        <f>AF471&amp;TM[[#This Row],[Insurer Code]]&amp;"; "&amp;AG471&amp;TM[[#This Row],[Reporting Year]]&amp;"; "&amp;AH471&amp;TM[[#This Row],[Insurance Category Code]]&amp;"; "&amp;AI471&amp;TM[[#This Row],[Large Provider Entity Code]]</f>
        <v xml:space="preserve">Insurer Code ; Reporting Year ; Insurance Category Code ; Large Provider Entity Code </v>
      </c>
      <c r="AF471" s="345" t="s">
        <v>207</v>
      </c>
      <c r="AG471" s="345" t="s">
        <v>208</v>
      </c>
      <c r="AH471" s="345" t="s">
        <v>209</v>
      </c>
      <c r="AI471" s="345" t="s">
        <v>210</v>
      </c>
      <c r="AJ471" s="345"/>
      <c r="AK471" s="345"/>
      <c r="AL471" s="345"/>
      <c r="AM471" s="11"/>
      <c r="AN471" s="11"/>
      <c r="AO471" s="11"/>
    </row>
    <row r="472" spans="1:41" x14ac:dyDescent="0.25">
      <c r="A472" s="311"/>
      <c r="B472" s="312"/>
      <c r="C472" s="312"/>
      <c r="D472" s="312"/>
      <c r="E472" s="328"/>
      <c r="F472" s="442"/>
      <c r="G472" s="314"/>
      <c r="H472" s="314"/>
      <c r="I472" s="314"/>
      <c r="J472" s="314"/>
      <c r="K472" s="314"/>
      <c r="L472" s="314"/>
      <c r="M472" s="314"/>
      <c r="N472" s="314"/>
      <c r="O472" s="314"/>
      <c r="P472" s="314"/>
      <c r="Q472" s="314"/>
      <c r="R472" s="442"/>
      <c r="S472" s="314"/>
      <c r="T472" s="314"/>
      <c r="U472" s="314"/>
      <c r="V472" s="315"/>
      <c r="W472" s="451">
        <f t="shared" si="49"/>
        <v>0</v>
      </c>
      <c r="X472" s="451">
        <f t="shared" si="50"/>
        <v>0</v>
      </c>
      <c r="Y472" s="451">
        <f t="shared" si="51"/>
        <v>0</v>
      </c>
      <c r="Z472" s="451">
        <f t="shared" si="52"/>
        <v>0</v>
      </c>
      <c r="AA472" s="451">
        <f t="shared" si="53"/>
        <v>0</v>
      </c>
      <c r="AB472" s="451" t="e">
        <f t="shared" si="54"/>
        <v>#DIV/0!</v>
      </c>
      <c r="AC472" s="452" t="e">
        <f t="shared" si="55"/>
        <v>#DIV/0!</v>
      </c>
      <c r="AE472" s="349" t="str">
        <f>AF472&amp;TM[[#This Row],[Insurer Code]]&amp;"; "&amp;AG472&amp;TM[[#This Row],[Reporting Year]]&amp;"; "&amp;AH472&amp;TM[[#This Row],[Insurance Category Code]]&amp;"; "&amp;AI472&amp;TM[[#This Row],[Large Provider Entity Code]]</f>
        <v xml:space="preserve">Insurer Code ; Reporting Year ; Insurance Category Code ; Large Provider Entity Code </v>
      </c>
      <c r="AF472" s="345" t="s">
        <v>207</v>
      </c>
      <c r="AG472" s="345" t="s">
        <v>208</v>
      </c>
      <c r="AH472" s="345" t="s">
        <v>209</v>
      </c>
      <c r="AI472" s="345" t="s">
        <v>210</v>
      </c>
      <c r="AJ472" s="345"/>
      <c r="AK472" s="345"/>
      <c r="AL472" s="345"/>
      <c r="AM472" s="11"/>
      <c r="AN472" s="11"/>
      <c r="AO472" s="11"/>
    </row>
    <row r="473" spans="1:41" x14ac:dyDescent="0.25">
      <c r="A473" s="311"/>
      <c r="B473" s="312"/>
      <c r="C473" s="312"/>
      <c r="D473" s="312"/>
      <c r="E473" s="328"/>
      <c r="F473" s="442"/>
      <c r="G473" s="314"/>
      <c r="H473" s="314"/>
      <c r="I473" s="314"/>
      <c r="J473" s="314"/>
      <c r="K473" s="314"/>
      <c r="L473" s="314"/>
      <c r="M473" s="314"/>
      <c r="N473" s="314"/>
      <c r="O473" s="314"/>
      <c r="P473" s="314"/>
      <c r="Q473" s="314"/>
      <c r="R473" s="442"/>
      <c r="S473" s="314"/>
      <c r="T473" s="314"/>
      <c r="U473" s="314"/>
      <c r="V473" s="315"/>
      <c r="W473" s="451">
        <f t="shared" si="49"/>
        <v>0</v>
      </c>
      <c r="X473" s="451">
        <f t="shared" si="50"/>
        <v>0</v>
      </c>
      <c r="Y473" s="451">
        <f t="shared" si="51"/>
        <v>0</v>
      </c>
      <c r="Z473" s="451">
        <f t="shared" si="52"/>
        <v>0</v>
      </c>
      <c r="AA473" s="451">
        <f t="shared" si="53"/>
        <v>0</v>
      </c>
      <c r="AB473" s="451" t="e">
        <f t="shared" si="54"/>
        <v>#DIV/0!</v>
      </c>
      <c r="AC473" s="452" t="e">
        <f t="shared" si="55"/>
        <v>#DIV/0!</v>
      </c>
      <c r="AE473" s="349" t="str">
        <f>AF473&amp;TM[[#This Row],[Insurer Code]]&amp;"; "&amp;AG473&amp;TM[[#This Row],[Reporting Year]]&amp;"; "&amp;AH473&amp;TM[[#This Row],[Insurance Category Code]]&amp;"; "&amp;AI473&amp;TM[[#This Row],[Large Provider Entity Code]]</f>
        <v xml:space="preserve">Insurer Code ; Reporting Year ; Insurance Category Code ; Large Provider Entity Code </v>
      </c>
      <c r="AF473" s="345" t="s">
        <v>207</v>
      </c>
      <c r="AG473" s="345" t="s">
        <v>208</v>
      </c>
      <c r="AH473" s="345" t="s">
        <v>209</v>
      </c>
      <c r="AI473" s="345" t="s">
        <v>210</v>
      </c>
      <c r="AJ473" s="345"/>
      <c r="AK473" s="345"/>
      <c r="AL473" s="345"/>
      <c r="AM473" s="11"/>
      <c r="AN473" s="11"/>
      <c r="AO473" s="11"/>
    </row>
    <row r="474" spans="1:41" x14ac:dyDescent="0.25">
      <c r="A474" s="311"/>
      <c r="B474" s="312"/>
      <c r="C474" s="312"/>
      <c r="D474" s="312"/>
      <c r="E474" s="328"/>
      <c r="F474" s="442"/>
      <c r="G474" s="314"/>
      <c r="H474" s="314"/>
      <c r="I474" s="314"/>
      <c r="J474" s="314"/>
      <c r="K474" s="314"/>
      <c r="L474" s="314"/>
      <c r="M474" s="314"/>
      <c r="N474" s="314"/>
      <c r="O474" s="314"/>
      <c r="P474" s="314"/>
      <c r="Q474" s="314"/>
      <c r="R474" s="442"/>
      <c r="S474" s="314"/>
      <c r="T474" s="314"/>
      <c r="U474" s="314"/>
      <c r="V474" s="315"/>
      <c r="W474" s="451">
        <f t="shared" si="49"/>
        <v>0</v>
      </c>
      <c r="X474" s="451">
        <f t="shared" si="50"/>
        <v>0</v>
      </c>
      <c r="Y474" s="451">
        <f t="shared" si="51"/>
        <v>0</v>
      </c>
      <c r="Z474" s="451">
        <f t="shared" si="52"/>
        <v>0</v>
      </c>
      <c r="AA474" s="451">
        <f t="shared" si="53"/>
        <v>0</v>
      </c>
      <c r="AB474" s="451" t="e">
        <f t="shared" si="54"/>
        <v>#DIV/0!</v>
      </c>
      <c r="AC474" s="452" t="e">
        <f t="shared" si="55"/>
        <v>#DIV/0!</v>
      </c>
      <c r="AE474" s="349" t="str">
        <f>AF474&amp;TM[[#This Row],[Insurer Code]]&amp;"; "&amp;AG474&amp;TM[[#This Row],[Reporting Year]]&amp;"; "&amp;AH474&amp;TM[[#This Row],[Insurance Category Code]]&amp;"; "&amp;AI474&amp;TM[[#This Row],[Large Provider Entity Code]]</f>
        <v xml:space="preserve">Insurer Code ; Reporting Year ; Insurance Category Code ; Large Provider Entity Code </v>
      </c>
      <c r="AF474" s="345" t="s">
        <v>207</v>
      </c>
      <c r="AG474" s="345" t="s">
        <v>208</v>
      </c>
      <c r="AH474" s="345" t="s">
        <v>209</v>
      </c>
      <c r="AI474" s="345" t="s">
        <v>210</v>
      </c>
      <c r="AJ474" s="345"/>
      <c r="AK474" s="345"/>
      <c r="AL474" s="345"/>
      <c r="AM474" s="11"/>
      <c r="AN474" s="11"/>
      <c r="AO474" s="11"/>
    </row>
    <row r="475" spans="1:41" x14ac:dyDescent="0.25">
      <c r="A475" s="311"/>
      <c r="B475" s="312"/>
      <c r="C475" s="312"/>
      <c r="D475" s="312"/>
      <c r="E475" s="328"/>
      <c r="F475" s="442"/>
      <c r="G475" s="314"/>
      <c r="H475" s="314"/>
      <c r="I475" s="314"/>
      <c r="J475" s="314"/>
      <c r="K475" s="314"/>
      <c r="L475" s="314"/>
      <c r="M475" s="314"/>
      <c r="N475" s="314"/>
      <c r="O475" s="314"/>
      <c r="P475" s="314"/>
      <c r="Q475" s="314"/>
      <c r="R475" s="442"/>
      <c r="S475" s="314"/>
      <c r="T475" s="314"/>
      <c r="U475" s="314"/>
      <c r="V475" s="315"/>
      <c r="W475" s="451">
        <f t="shared" si="49"/>
        <v>0</v>
      </c>
      <c r="X475" s="451">
        <f t="shared" si="50"/>
        <v>0</v>
      </c>
      <c r="Y475" s="451">
        <f t="shared" si="51"/>
        <v>0</v>
      </c>
      <c r="Z475" s="451">
        <f t="shared" si="52"/>
        <v>0</v>
      </c>
      <c r="AA475" s="451">
        <f t="shared" si="53"/>
        <v>0</v>
      </c>
      <c r="AB475" s="451" t="e">
        <f t="shared" si="54"/>
        <v>#DIV/0!</v>
      </c>
      <c r="AC475" s="452" t="e">
        <f t="shared" si="55"/>
        <v>#DIV/0!</v>
      </c>
      <c r="AE475" s="349" t="str">
        <f>AF475&amp;TM[[#This Row],[Insurer Code]]&amp;"; "&amp;AG475&amp;TM[[#This Row],[Reporting Year]]&amp;"; "&amp;AH475&amp;TM[[#This Row],[Insurance Category Code]]&amp;"; "&amp;AI475&amp;TM[[#This Row],[Large Provider Entity Code]]</f>
        <v xml:space="preserve">Insurer Code ; Reporting Year ; Insurance Category Code ; Large Provider Entity Code </v>
      </c>
      <c r="AF475" s="345" t="s">
        <v>207</v>
      </c>
      <c r="AG475" s="345" t="s">
        <v>208</v>
      </c>
      <c r="AH475" s="345" t="s">
        <v>209</v>
      </c>
      <c r="AI475" s="345" t="s">
        <v>210</v>
      </c>
      <c r="AJ475" s="345"/>
      <c r="AK475" s="345"/>
      <c r="AL475" s="345"/>
      <c r="AM475" s="11"/>
      <c r="AN475" s="11"/>
      <c r="AO475" s="11"/>
    </row>
    <row r="476" spans="1:41" x14ac:dyDescent="0.25">
      <c r="A476" s="311"/>
      <c r="B476" s="312"/>
      <c r="C476" s="312"/>
      <c r="D476" s="312"/>
      <c r="E476" s="328"/>
      <c r="F476" s="442"/>
      <c r="G476" s="314"/>
      <c r="H476" s="314"/>
      <c r="I476" s="314"/>
      <c r="J476" s="314"/>
      <c r="K476" s="314"/>
      <c r="L476" s="314"/>
      <c r="M476" s="314"/>
      <c r="N476" s="314"/>
      <c r="O476" s="314"/>
      <c r="P476" s="314"/>
      <c r="Q476" s="314"/>
      <c r="R476" s="442"/>
      <c r="S476" s="314"/>
      <c r="T476" s="314"/>
      <c r="U476" s="314"/>
      <c r="V476" s="315"/>
      <c r="W476" s="451">
        <f t="shared" si="49"/>
        <v>0</v>
      </c>
      <c r="X476" s="451">
        <f t="shared" si="50"/>
        <v>0</v>
      </c>
      <c r="Y476" s="451">
        <f t="shared" si="51"/>
        <v>0</v>
      </c>
      <c r="Z476" s="451">
        <f t="shared" si="52"/>
        <v>0</v>
      </c>
      <c r="AA476" s="451">
        <f t="shared" si="53"/>
        <v>0</v>
      </c>
      <c r="AB476" s="451" t="e">
        <f t="shared" si="54"/>
        <v>#DIV/0!</v>
      </c>
      <c r="AC476" s="452" t="e">
        <f t="shared" si="55"/>
        <v>#DIV/0!</v>
      </c>
      <c r="AE476" s="349" t="str">
        <f>AF476&amp;TM[[#This Row],[Insurer Code]]&amp;"; "&amp;AG476&amp;TM[[#This Row],[Reporting Year]]&amp;"; "&amp;AH476&amp;TM[[#This Row],[Insurance Category Code]]&amp;"; "&amp;AI476&amp;TM[[#This Row],[Large Provider Entity Code]]</f>
        <v xml:space="preserve">Insurer Code ; Reporting Year ; Insurance Category Code ; Large Provider Entity Code </v>
      </c>
      <c r="AF476" s="345" t="s">
        <v>207</v>
      </c>
      <c r="AG476" s="345" t="s">
        <v>208</v>
      </c>
      <c r="AH476" s="345" t="s">
        <v>209</v>
      </c>
      <c r="AI476" s="345" t="s">
        <v>210</v>
      </c>
      <c r="AJ476" s="345"/>
      <c r="AK476" s="345"/>
      <c r="AL476" s="345"/>
      <c r="AM476" s="11"/>
      <c r="AN476" s="11"/>
      <c r="AO476" s="11"/>
    </row>
    <row r="477" spans="1:41" x14ac:dyDescent="0.25">
      <c r="A477" s="311"/>
      <c r="B477" s="312"/>
      <c r="C477" s="312"/>
      <c r="D477" s="312"/>
      <c r="E477" s="328"/>
      <c r="F477" s="442"/>
      <c r="G477" s="314"/>
      <c r="H477" s="314"/>
      <c r="I477" s="314"/>
      <c r="J477" s="314"/>
      <c r="K477" s="314"/>
      <c r="L477" s="314"/>
      <c r="M477" s="314"/>
      <c r="N477" s="314"/>
      <c r="O477" s="314"/>
      <c r="P477" s="314"/>
      <c r="Q477" s="314"/>
      <c r="R477" s="442"/>
      <c r="S477" s="314"/>
      <c r="T477" s="314"/>
      <c r="U477" s="314"/>
      <c r="V477" s="315"/>
      <c r="W477" s="451">
        <f t="shared" si="49"/>
        <v>0</v>
      </c>
      <c r="X477" s="451">
        <f t="shared" si="50"/>
        <v>0</v>
      </c>
      <c r="Y477" s="451">
        <f t="shared" si="51"/>
        <v>0</v>
      </c>
      <c r="Z477" s="451">
        <f t="shared" si="52"/>
        <v>0</v>
      </c>
      <c r="AA477" s="451">
        <f t="shared" si="53"/>
        <v>0</v>
      </c>
      <c r="AB477" s="451" t="e">
        <f t="shared" si="54"/>
        <v>#DIV/0!</v>
      </c>
      <c r="AC477" s="452" t="e">
        <f t="shared" si="55"/>
        <v>#DIV/0!</v>
      </c>
      <c r="AE477" s="349" t="str">
        <f>AF477&amp;TM[[#This Row],[Insurer Code]]&amp;"; "&amp;AG477&amp;TM[[#This Row],[Reporting Year]]&amp;"; "&amp;AH477&amp;TM[[#This Row],[Insurance Category Code]]&amp;"; "&amp;AI477&amp;TM[[#This Row],[Large Provider Entity Code]]</f>
        <v xml:space="preserve">Insurer Code ; Reporting Year ; Insurance Category Code ; Large Provider Entity Code </v>
      </c>
      <c r="AF477" s="345" t="s">
        <v>207</v>
      </c>
      <c r="AG477" s="345" t="s">
        <v>208</v>
      </c>
      <c r="AH477" s="345" t="s">
        <v>209</v>
      </c>
      <c r="AI477" s="345" t="s">
        <v>210</v>
      </c>
      <c r="AJ477" s="345"/>
      <c r="AK477" s="345"/>
      <c r="AL477" s="345"/>
      <c r="AM477" s="11"/>
      <c r="AN477" s="11"/>
      <c r="AO477" s="11"/>
    </row>
    <row r="478" spans="1:41" x14ac:dyDescent="0.25">
      <c r="A478" s="311"/>
      <c r="B478" s="312"/>
      <c r="C478" s="312"/>
      <c r="D478" s="312"/>
      <c r="E478" s="328"/>
      <c r="F478" s="442"/>
      <c r="G478" s="314"/>
      <c r="H478" s="314"/>
      <c r="I478" s="314"/>
      <c r="J478" s="314"/>
      <c r="K478" s="314"/>
      <c r="L478" s="314"/>
      <c r="M478" s="314"/>
      <c r="N478" s="314"/>
      <c r="O478" s="314"/>
      <c r="P478" s="314"/>
      <c r="Q478" s="314"/>
      <c r="R478" s="442"/>
      <c r="S478" s="314"/>
      <c r="T478" s="314"/>
      <c r="U478" s="314"/>
      <c r="V478" s="315"/>
      <c r="W478" s="451">
        <f t="shared" si="49"/>
        <v>0</v>
      </c>
      <c r="X478" s="451">
        <f t="shared" si="50"/>
        <v>0</v>
      </c>
      <c r="Y478" s="451">
        <f t="shared" si="51"/>
        <v>0</v>
      </c>
      <c r="Z478" s="451">
        <f t="shared" si="52"/>
        <v>0</v>
      </c>
      <c r="AA478" s="451">
        <f t="shared" si="53"/>
        <v>0</v>
      </c>
      <c r="AB478" s="451" t="e">
        <f t="shared" si="54"/>
        <v>#DIV/0!</v>
      </c>
      <c r="AC478" s="452" t="e">
        <f t="shared" si="55"/>
        <v>#DIV/0!</v>
      </c>
      <c r="AE478" s="349" t="str">
        <f>AF478&amp;TM[[#This Row],[Insurer Code]]&amp;"; "&amp;AG478&amp;TM[[#This Row],[Reporting Year]]&amp;"; "&amp;AH478&amp;TM[[#This Row],[Insurance Category Code]]&amp;"; "&amp;AI478&amp;TM[[#This Row],[Large Provider Entity Code]]</f>
        <v xml:space="preserve">Insurer Code ; Reporting Year ; Insurance Category Code ; Large Provider Entity Code </v>
      </c>
      <c r="AF478" s="345" t="s">
        <v>207</v>
      </c>
      <c r="AG478" s="345" t="s">
        <v>208</v>
      </c>
      <c r="AH478" s="345" t="s">
        <v>209</v>
      </c>
      <c r="AI478" s="345" t="s">
        <v>210</v>
      </c>
      <c r="AJ478" s="345"/>
      <c r="AK478" s="345"/>
      <c r="AL478" s="345"/>
      <c r="AM478" s="11"/>
      <c r="AN478" s="11"/>
      <c r="AO478" s="11"/>
    </row>
    <row r="479" spans="1:41" x14ac:dyDescent="0.25">
      <c r="A479" s="311"/>
      <c r="B479" s="312"/>
      <c r="C479" s="312"/>
      <c r="D479" s="312"/>
      <c r="E479" s="328"/>
      <c r="F479" s="442"/>
      <c r="G479" s="314"/>
      <c r="H479" s="314"/>
      <c r="I479" s="314"/>
      <c r="J479" s="314"/>
      <c r="K479" s="314"/>
      <c r="L479" s="314"/>
      <c r="M479" s="314"/>
      <c r="N479" s="314"/>
      <c r="O479" s="314"/>
      <c r="P479" s="314"/>
      <c r="Q479" s="314"/>
      <c r="R479" s="442"/>
      <c r="S479" s="314"/>
      <c r="T479" s="314"/>
      <c r="U479" s="314"/>
      <c r="V479" s="315"/>
      <c r="W479" s="451">
        <f t="shared" si="49"/>
        <v>0</v>
      </c>
      <c r="X479" s="451">
        <f t="shared" si="50"/>
        <v>0</v>
      </c>
      <c r="Y479" s="451">
        <f t="shared" si="51"/>
        <v>0</v>
      </c>
      <c r="Z479" s="451">
        <f t="shared" si="52"/>
        <v>0</v>
      </c>
      <c r="AA479" s="451">
        <f t="shared" si="53"/>
        <v>0</v>
      </c>
      <c r="AB479" s="451" t="e">
        <f t="shared" si="54"/>
        <v>#DIV/0!</v>
      </c>
      <c r="AC479" s="452" t="e">
        <f t="shared" si="55"/>
        <v>#DIV/0!</v>
      </c>
      <c r="AE479" s="349" t="str">
        <f>AF479&amp;TM[[#This Row],[Insurer Code]]&amp;"; "&amp;AG479&amp;TM[[#This Row],[Reporting Year]]&amp;"; "&amp;AH479&amp;TM[[#This Row],[Insurance Category Code]]&amp;"; "&amp;AI479&amp;TM[[#This Row],[Large Provider Entity Code]]</f>
        <v xml:space="preserve">Insurer Code ; Reporting Year ; Insurance Category Code ; Large Provider Entity Code </v>
      </c>
      <c r="AF479" s="345" t="s">
        <v>207</v>
      </c>
      <c r="AG479" s="345" t="s">
        <v>208</v>
      </c>
      <c r="AH479" s="345" t="s">
        <v>209</v>
      </c>
      <c r="AI479" s="345" t="s">
        <v>210</v>
      </c>
      <c r="AJ479" s="345"/>
      <c r="AK479" s="345"/>
      <c r="AL479" s="345"/>
      <c r="AM479" s="11"/>
      <c r="AN479" s="11"/>
      <c r="AO479" s="11"/>
    </row>
    <row r="480" spans="1:41" x14ac:dyDescent="0.25">
      <c r="A480" s="311"/>
      <c r="B480" s="312"/>
      <c r="C480" s="312"/>
      <c r="D480" s="312"/>
      <c r="E480" s="328"/>
      <c r="F480" s="442"/>
      <c r="G480" s="314"/>
      <c r="H480" s="314"/>
      <c r="I480" s="314"/>
      <c r="J480" s="314"/>
      <c r="K480" s="314"/>
      <c r="L480" s="314"/>
      <c r="M480" s="314"/>
      <c r="N480" s="314"/>
      <c r="O480" s="314"/>
      <c r="P480" s="314"/>
      <c r="Q480" s="314"/>
      <c r="R480" s="442"/>
      <c r="S480" s="314"/>
      <c r="T480" s="314"/>
      <c r="U480" s="314"/>
      <c r="V480" s="315"/>
      <c r="W480" s="451">
        <f t="shared" si="49"/>
        <v>0</v>
      </c>
      <c r="X480" s="451">
        <f t="shared" si="50"/>
        <v>0</v>
      </c>
      <c r="Y480" s="451">
        <f t="shared" si="51"/>
        <v>0</v>
      </c>
      <c r="Z480" s="451">
        <f t="shared" si="52"/>
        <v>0</v>
      </c>
      <c r="AA480" s="451">
        <f t="shared" si="53"/>
        <v>0</v>
      </c>
      <c r="AB480" s="451" t="e">
        <f t="shared" si="54"/>
        <v>#DIV/0!</v>
      </c>
      <c r="AC480" s="452" t="e">
        <f t="shared" si="55"/>
        <v>#DIV/0!</v>
      </c>
      <c r="AE480" s="349" t="str">
        <f>AF480&amp;TM[[#This Row],[Insurer Code]]&amp;"; "&amp;AG480&amp;TM[[#This Row],[Reporting Year]]&amp;"; "&amp;AH480&amp;TM[[#This Row],[Insurance Category Code]]&amp;"; "&amp;AI480&amp;TM[[#This Row],[Large Provider Entity Code]]</f>
        <v xml:space="preserve">Insurer Code ; Reporting Year ; Insurance Category Code ; Large Provider Entity Code </v>
      </c>
      <c r="AF480" s="345" t="s">
        <v>207</v>
      </c>
      <c r="AG480" s="345" t="s">
        <v>208</v>
      </c>
      <c r="AH480" s="345" t="s">
        <v>209</v>
      </c>
      <c r="AI480" s="345" t="s">
        <v>210</v>
      </c>
      <c r="AJ480" s="345"/>
      <c r="AK480" s="345"/>
      <c r="AL480" s="345"/>
      <c r="AM480" s="11"/>
      <c r="AN480" s="11"/>
      <c r="AO480" s="11"/>
    </row>
    <row r="481" spans="1:41" x14ac:dyDescent="0.25">
      <c r="A481" s="311"/>
      <c r="B481" s="312"/>
      <c r="C481" s="312"/>
      <c r="D481" s="312"/>
      <c r="E481" s="328"/>
      <c r="F481" s="442"/>
      <c r="G481" s="314"/>
      <c r="H481" s="314"/>
      <c r="I481" s="314"/>
      <c r="J481" s="314"/>
      <c r="K481" s="314"/>
      <c r="L481" s="314"/>
      <c r="M481" s="314"/>
      <c r="N481" s="314"/>
      <c r="O481" s="314"/>
      <c r="P481" s="314"/>
      <c r="Q481" s="314"/>
      <c r="R481" s="442"/>
      <c r="S481" s="314"/>
      <c r="T481" s="314"/>
      <c r="U481" s="314"/>
      <c r="V481" s="315"/>
      <c r="W481" s="451">
        <f t="shared" si="49"/>
        <v>0</v>
      </c>
      <c r="X481" s="451">
        <f t="shared" si="50"/>
        <v>0</v>
      </c>
      <c r="Y481" s="451">
        <f t="shared" si="51"/>
        <v>0</v>
      </c>
      <c r="Z481" s="451">
        <f t="shared" si="52"/>
        <v>0</v>
      </c>
      <c r="AA481" s="451">
        <f t="shared" si="53"/>
        <v>0</v>
      </c>
      <c r="AB481" s="451" t="e">
        <f t="shared" si="54"/>
        <v>#DIV/0!</v>
      </c>
      <c r="AC481" s="452" t="e">
        <f t="shared" si="55"/>
        <v>#DIV/0!</v>
      </c>
      <c r="AE481" s="349" t="str">
        <f>AF481&amp;TM[[#This Row],[Insurer Code]]&amp;"; "&amp;AG481&amp;TM[[#This Row],[Reporting Year]]&amp;"; "&amp;AH481&amp;TM[[#This Row],[Insurance Category Code]]&amp;"; "&amp;AI481&amp;TM[[#This Row],[Large Provider Entity Code]]</f>
        <v xml:space="preserve">Insurer Code ; Reporting Year ; Insurance Category Code ; Large Provider Entity Code </v>
      </c>
      <c r="AF481" s="345" t="s">
        <v>207</v>
      </c>
      <c r="AG481" s="345" t="s">
        <v>208</v>
      </c>
      <c r="AH481" s="345" t="s">
        <v>209</v>
      </c>
      <c r="AI481" s="345" t="s">
        <v>210</v>
      </c>
      <c r="AJ481" s="345"/>
      <c r="AK481" s="345"/>
      <c r="AL481" s="345"/>
      <c r="AM481" s="11"/>
      <c r="AN481" s="11"/>
      <c r="AO481" s="11"/>
    </row>
    <row r="482" spans="1:41" x14ac:dyDescent="0.25">
      <c r="A482" s="311"/>
      <c r="B482" s="312"/>
      <c r="C482" s="312"/>
      <c r="D482" s="312"/>
      <c r="E482" s="328"/>
      <c r="F482" s="442"/>
      <c r="G482" s="314"/>
      <c r="H482" s="314"/>
      <c r="I482" s="314"/>
      <c r="J482" s="314"/>
      <c r="K482" s="314"/>
      <c r="L482" s="314"/>
      <c r="M482" s="314"/>
      <c r="N482" s="314"/>
      <c r="O482" s="314"/>
      <c r="P482" s="314"/>
      <c r="Q482" s="314"/>
      <c r="R482" s="442"/>
      <c r="S482" s="314"/>
      <c r="T482" s="314"/>
      <c r="U482" s="314"/>
      <c r="V482" s="315"/>
      <c r="W482" s="451">
        <f t="shared" si="49"/>
        <v>0</v>
      </c>
      <c r="X482" s="451">
        <f t="shared" si="50"/>
        <v>0</v>
      </c>
      <c r="Y482" s="451">
        <f t="shared" si="51"/>
        <v>0</v>
      </c>
      <c r="Z482" s="451">
        <f t="shared" si="52"/>
        <v>0</v>
      </c>
      <c r="AA482" s="451">
        <f t="shared" si="53"/>
        <v>0</v>
      </c>
      <c r="AB482" s="451" t="e">
        <f t="shared" si="54"/>
        <v>#DIV/0!</v>
      </c>
      <c r="AC482" s="452" t="e">
        <f t="shared" si="55"/>
        <v>#DIV/0!</v>
      </c>
      <c r="AE482" s="349" t="str">
        <f>AF482&amp;TM[[#This Row],[Insurer Code]]&amp;"; "&amp;AG482&amp;TM[[#This Row],[Reporting Year]]&amp;"; "&amp;AH482&amp;TM[[#This Row],[Insurance Category Code]]&amp;"; "&amp;AI482&amp;TM[[#This Row],[Large Provider Entity Code]]</f>
        <v xml:space="preserve">Insurer Code ; Reporting Year ; Insurance Category Code ; Large Provider Entity Code </v>
      </c>
      <c r="AF482" s="345" t="s">
        <v>207</v>
      </c>
      <c r="AG482" s="345" t="s">
        <v>208</v>
      </c>
      <c r="AH482" s="345" t="s">
        <v>209</v>
      </c>
      <c r="AI482" s="345" t="s">
        <v>210</v>
      </c>
      <c r="AJ482" s="345"/>
      <c r="AK482" s="345"/>
      <c r="AL482" s="345"/>
      <c r="AM482" s="11"/>
      <c r="AN482" s="11"/>
      <c r="AO482" s="11"/>
    </row>
    <row r="483" spans="1:41" x14ac:dyDescent="0.25">
      <c r="A483" s="311"/>
      <c r="B483" s="312"/>
      <c r="C483" s="312"/>
      <c r="D483" s="312"/>
      <c r="E483" s="328"/>
      <c r="F483" s="442"/>
      <c r="G483" s="314"/>
      <c r="H483" s="314"/>
      <c r="I483" s="314"/>
      <c r="J483" s="314"/>
      <c r="K483" s="314"/>
      <c r="L483" s="314"/>
      <c r="M483" s="314"/>
      <c r="N483" s="314"/>
      <c r="O483" s="314"/>
      <c r="P483" s="314"/>
      <c r="Q483" s="314"/>
      <c r="R483" s="442"/>
      <c r="S483" s="314"/>
      <c r="T483" s="314"/>
      <c r="U483" s="314"/>
      <c r="V483" s="315"/>
      <c r="W483" s="451">
        <f t="shared" si="49"/>
        <v>0</v>
      </c>
      <c r="X483" s="451">
        <f t="shared" si="50"/>
        <v>0</v>
      </c>
      <c r="Y483" s="451">
        <f t="shared" si="51"/>
        <v>0</v>
      </c>
      <c r="Z483" s="451">
        <f t="shared" si="52"/>
        <v>0</v>
      </c>
      <c r="AA483" s="451">
        <f t="shared" si="53"/>
        <v>0</v>
      </c>
      <c r="AB483" s="451" t="e">
        <f t="shared" si="54"/>
        <v>#DIV/0!</v>
      </c>
      <c r="AC483" s="452" t="e">
        <f t="shared" si="55"/>
        <v>#DIV/0!</v>
      </c>
      <c r="AE483" s="349" t="str">
        <f>AF483&amp;TM[[#This Row],[Insurer Code]]&amp;"; "&amp;AG483&amp;TM[[#This Row],[Reporting Year]]&amp;"; "&amp;AH483&amp;TM[[#This Row],[Insurance Category Code]]&amp;"; "&amp;AI483&amp;TM[[#This Row],[Large Provider Entity Code]]</f>
        <v xml:space="preserve">Insurer Code ; Reporting Year ; Insurance Category Code ; Large Provider Entity Code </v>
      </c>
      <c r="AF483" s="345" t="s">
        <v>207</v>
      </c>
      <c r="AG483" s="345" t="s">
        <v>208</v>
      </c>
      <c r="AH483" s="345" t="s">
        <v>209</v>
      </c>
      <c r="AI483" s="345" t="s">
        <v>210</v>
      </c>
      <c r="AJ483" s="345"/>
      <c r="AK483" s="345"/>
      <c r="AL483" s="345"/>
      <c r="AM483" s="11"/>
      <c r="AN483" s="11"/>
      <c r="AO483" s="11"/>
    </row>
    <row r="484" spans="1:41" x14ac:dyDescent="0.25">
      <c r="A484" s="311"/>
      <c r="B484" s="312"/>
      <c r="C484" s="312"/>
      <c r="D484" s="312"/>
      <c r="E484" s="328"/>
      <c r="F484" s="442"/>
      <c r="G484" s="314"/>
      <c r="H484" s="314"/>
      <c r="I484" s="314"/>
      <c r="J484" s="314"/>
      <c r="K484" s="314"/>
      <c r="L484" s="314"/>
      <c r="M484" s="314"/>
      <c r="N484" s="314"/>
      <c r="O484" s="314"/>
      <c r="P484" s="314"/>
      <c r="Q484" s="314"/>
      <c r="R484" s="442"/>
      <c r="S484" s="314"/>
      <c r="T484" s="314"/>
      <c r="U484" s="314"/>
      <c r="V484" s="315"/>
      <c r="W484" s="451">
        <f t="shared" si="49"/>
        <v>0</v>
      </c>
      <c r="X484" s="451">
        <f t="shared" si="50"/>
        <v>0</v>
      </c>
      <c r="Y484" s="451">
        <f t="shared" si="51"/>
        <v>0</v>
      </c>
      <c r="Z484" s="451">
        <f t="shared" si="52"/>
        <v>0</v>
      </c>
      <c r="AA484" s="451">
        <f t="shared" si="53"/>
        <v>0</v>
      </c>
      <c r="AB484" s="451" t="e">
        <f t="shared" si="54"/>
        <v>#DIV/0!</v>
      </c>
      <c r="AC484" s="452" t="e">
        <f t="shared" si="55"/>
        <v>#DIV/0!</v>
      </c>
      <c r="AE484" s="349" t="str">
        <f>AF484&amp;TM[[#This Row],[Insurer Code]]&amp;"; "&amp;AG484&amp;TM[[#This Row],[Reporting Year]]&amp;"; "&amp;AH484&amp;TM[[#This Row],[Insurance Category Code]]&amp;"; "&amp;AI484&amp;TM[[#This Row],[Large Provider Entity Code]]</f>
        <v xml:space="preserve">Insurer Code ; Reporting Year ; Insurance Category Code ; Large Provider Entity Code </v>
      </c>
      <c r="AF484" s="345" t="s">
        <v>207</v>
      </c>
      <c r="AG484" s="345" t="s">
        <v>208</v>
      </c>
      <c r="AH484" s="345" t="s">
        <v>209</v>
      </c>
      <c r="AI484" s="345" t="s">
        <v>210</v>
      </c>
      <c r="AJ484" s="345"/>
      <c r="AK484" s="345"/>
      <c r="AL484" s="345"/>
      <c r="AM484" s="11"/>
      <c r="AN484" s="11"/>
      <c r="AO484" s="11"/>
    </row>
    <row r="485" spans="1:41" x14ac:dyDescent="0.25">
      <c r="A485" s="311"/>
      <c r="B485" s="312"/>
      <c r="C485" s="312"/>
      <c r="D485" s="312"/>
      <c r="E485" s="328"/>
      <c r="F485" s="442"/>
      <c r="G485" s="314"/>
      <c r="H485" s="314"/>
      <c r="I485" s="314"/>
      <c r="J485" s="314"/>
      <c r="K485" s="314"/>
      <c r="L485" s="314"/>
      <c r="M485" s="314"/>
      <c r="N485" s="314"/>
      <c r="O485" s="314"/>
      <c r="P485" s="314"/>
      <c r="Q485" s="314"/>
      <c r="R485" s="442"/>
      <c r="S485" s="314"/>
      <c r="T485" s="314"/>
      <c r="U485" s="314"/>
      <c r="V485" s="315"/>
      <c r="W485" s="451">
        <f t="shared" si="49"/>
        <v>0</v>
      </c>
      <c r="X485" s="451">
        <f t="shared" si="50"/>
        <v>0</v>
      </c>
      <c r="Y485" s="451">
        <f t="shared" si="51"/>
        <v>0</v>
      </c>
      <c r="Z485" s="451">
        <f t="shared" si="52"/>
        <v>0</v>
      </c>
      <c r="AA485" s="451">
        <f t="shared" si="53"/>
        <v>0</v>
      </c>
      <c r="AB485" s="451" t="e">
        <f t="shared" si="54"/>
        <v>#DIV/0!</v>
      </c>
      <c r="AC485" s="452" t="e">
        <f t="shared" si="55"/>
        <v>#DIV/0!</v>
      </c>
      <c r="AE485" s="349" t="str">
        <f>AF485&amp;TM[[#This Row],[Insurer Code]]&amp;"; "&amp;AG485&amp;TM[[#This Row],[Reporting Year]]&amp;"; "&amp;AH485&amp;TM[[#This Row],[Insurance Category Code]]&amp;"; "&amp;AI485&amp;TM[[#This Row],[Large Provider Entity Code]]</f>
        <v xml:space="preserve">Insurer Code ; Reporting Year ; Insurance Category Code ; Large Provider Entity Code </v>
      </c>
      <c r="AF485" s="345" t="s">
        <v>207</v>
      </c>
      <c r="AG485" s="345" t="s">
        <v>208</v>
      </c>
      <c r="AH485" s="345" t="s">
        <v>209</v>
      </c>
      <c r="AI485" s="345" t="s">
        <v>210</v>
      </c>
      <c r="AJ485" s="345"/>
      <c r="AK485" s="345"/>
      <c r="AL485" s="345"/>
      <c r="AM485" s="11"/>
      <c r="AN485" s="11"/>
      <c r="AO485" s="11"/>
    </row>
    <row r="486" spans="1:41" x14ac:dyDescent="0.25">
      <c r="A486" s="311"/>
      <c r="B486" s="312"/>
      <c r="C486" s="312"/>
      <c r="D486" s="312"/>
      <c r="E486" s="328"/>
      <c r="F486" s="442"/>
      <c r="G486" s="314"/>
      <c r="H486" s="314"/>
      <c r="I486" s="314"/>
      <c r="J486" s="314"/>
      <c r="K486" s="314"/>
      <c r="L486" s="314"/>
      <c r="M486" s="314"/>
      <c r="N486" s="314"/>
      <c r="O486" s="314"/>
      <c r="P486" s="314"/>
      <c r="Q486" s="314"/>
      <c r="R486" s="442"/>
      <c r="S486" s="314"/>
      <c r="T486" s="314"/>
      <c r="U486" s="314"/>
      <c r="V486" s="315"/>
      <c r="W486" s="451">
        <f t="shared" si="49"/>
        <v>0</v>
      </c>
      <c r="X486" s="451">
        <f t="shared" si="50"/>
        <v>0</v>
      </c>
      <c r="Y486" s="451">
        <f t="shared" si="51"/>
        <v>0</v>
      </c>
      <c r="Z486" s="451">
        <f t="shared" si="52"/>
        <v>0</v>
      </c>
      <c r="AA486" s="451">
        <f t="shared" si="53"/>
        <v>0</v>
      </c>
      <c r="AB486" s="451" t="e">
        <f t="shared" si="54"/>
        <v>#DIV/0!</v>
      </c>
      <c r="AC486" s="452" t="e">
        <f t="shared" si="55"/>
        <v>#DIV/0!</v>
      </c>
      <c r="AE486" s="349" t="str">
        <f>AF486&amp;TM[[#This Row],[Insurer Code]]&amp;"; "&amp;AG486&amp;TM[[#This Row],[Reporting Year]]&amp;"; "&amp;AH486&amp;TM[[#This Row],[Insurance Category Code]]&amp;"; "&amp;AI486&amp;TM[[#This Row],[Large Provider Entity Code]]</f>
        <v xml:space="preserve">Insurer Code ; Reporting Year ; Insurance Category Code ; Large Provider Entity Code </v>
      </c>
      <c r="AF486" s="345" t="s">
        <v>207</v>
      </c>
      <c r="AG486" s="345" t="s">
        <v>208</v>
      </c>
      <c r="AH486" s="345" t="s">
        <v>209</v>
      </c>
      <c r="AI486" s="345" t="s">
        <v>210</v>
      </c>
      <c r="AJ486" s="345"/>
      <c r="AK486" s="345"/>
      <c r="AL486" s="345"/>
      <c r="AM486" s="11"/>
      <c r="AN486" s="11"/>
      <c r="AO486" s="11"/>
    </row>
    <row r="487" spans="1:41" x14ac:dyDescent="0.25">
      <c r="A487" s="311"/>
      <c r="B487" s="312"/>
      <c r="C487" s="312"/>
      <c r="D487" s="312"/>
      <c r="E487" s="328"/>
      <c r="F487" s="442"/>
      <c r="G487" s="314"/>
      <c r="H487" s="314"/>
      <c r="I487" s="314"/>
      <c r="J487" s="314"/>
      <c r="K487" s="314"/>
      <c r="L487" s="314"/>
      <c r="M487" s="314"/>
      <c r="N487" s="314"/>
      <c r="O487" s="314"/>
      <c r="P487" s="314"/>
      <c r="Q487" s="314"/>
      <c r="R487" s="442"/>
      <c r="S487" s="314"/>
      <c r="T487" s="314"/>
      <c r="U487" s="314"/>
      <c r="V487" s="315"/>
      <c r="W487" s="451">
        <f t="shared" si="49"/>
        <v>0</v>
      </c>
      <c r="X487" s="451">
        <f t="shared" si="50"/>
        <v>0</v>
      </c>
      <c r="Y487" s="451">
        <f t="shared" si="51"/>
        <v>0</v>
      </c>
      <c r="Z487" s="451">
        <f t="shared" si="52"/>
        <v>0</v>
      </c>
      <c r="AA487" s="451">
        <f t="shared" si="53"/>
        <v>0</v>
      </c>
      <c r="AB487" s="451" t="e">
        <f t="shared" si="54"/>
        <v>#DIV/0!</v>
      </c>
      <c r="AC487" s="452" t="e">
        <f t="shared" si="55"/>
        <v>#DIV/0!</v>
      </c>
      <c r="AE487" s="349" t="str">
        <f>AF487&amp;TM[[#This Row],[Insurer Code]]&amp;"; "&amp;AG487&amp;TM[[#This Row],[Reporting Year]]&amp;"; "&amp;AH487&amp;TM[[#This Row],[Insurance Category Code]]&amp;"; "&amp;AI487&amp;TM[[#This Row],[Large Provider Entity Code]]</f>
        <v xml:space="preserve">Insurer Code ; Reporting Year ; Insurance Category Code ; Large Provider Entity Code </v>
      </c>
      <c r="AF487" s="345" t="s">
        <v>207</v>
      </c>
      <c r="AG487" s="345" t="s">
        <v>208</v>
      </c>
      <c r="AH487" s="345" t="s">
        <v>209</v>
      </c>
      <c r="AI487" s="345" t="s">
        <v>210</v>
      </c>
      <c r="AJ487" s="345"/>
      <c r="AK487" s="345"/>
      <c r="AL487" s="345"/>
      <c r="AM487" s="11"/>
      <c r="AN487" s="11"/>
      <c r="AO487" s="11"/>
    </row>
    <row r="488" spans="1:41" x14ac:dyDescent="0.25">
      <c r="A488" s="311"/>
      <c r="B488" s="312"/>
      <c r="C488" s="312"/>
      <c r="D488" s="312"/>
      <c r="E488" s="328"/>
      <c r="F488" s="442"/>
      <c r="G488" s="314"/>
      <c r="H488" s="314"/>
      <c r="I488" s="314"/>
      <c r="J488" s="314"/>
      <c r="K488" s="314"/>
      <c r="L488" s="314"/>
      <c r="M488" s="314"/>
      <c r="N488" s="314"/>
      <c r="O488" s="314"/>
      <c r="P488" s="314"/>
      <c r="Q488" s="314"/>
      <c r="R488" s="442"/>
      <c r="S488" s="314"/>
      <c r="T488" s="314"/>
      <c r="U488" s="314"/>
      <c r="V488" s="315"/>
      <c r="W488" s="451">
        <f t="shared" si="49"/>
        <v>0</v>
      </c>
      <c r="X488" s="451">
        <f t="shared" si="50"/>
        <v>0</v>
      </c>
      <c r="Y488" s="451">
        <f t="shared" si="51"/>
        <v>0</v>
      </c>
      <c r="Z488" s="451">
        <f t="shared" si="52"/>
        <v>0</v>
      </c>
      <c r="AA488" s="451">
        <f t="shared" si="53"/>
        <v>0</v>
      </c>
      <c r="AB488" s="451" t="e">
        <f t="shared" si="54"/>
        <v>#DIV/0!</v>
      </c>
      <c r="AC488" s="452" t="e">
        <f t="shared" si="55"/>
        <v>#DIV/0!</v>
      </c>
      <c r="AE488" s="349" t="str">
        <f>AF488&amp;TM[[#This Row],[Insurer Code]]&amp;"; "&amp;AG488&amp;TM[[#This Row],[Reporting Year]]&amp;"; "&amp;AH488&amp;TM[[#This Row],[Insurance Category Code]]&amp;"; "&amp;AI488&amp;TM[[#This Row],[Large Provider Entity Code]]</f>
        <v xml:space="preserve">Insurer Code ; Reporting Year ; Insurance Category Code ; Large Provider Entity Code </v>
      </c>
      <c r="AF488" s="345" t="s">
        <v>207</v>
      </c>
      <c r="AG488" s="345" t="s">
        <v>208</v>
      </c>
      <c r="AH488" s="345" t="s">
        <v>209</v>
      </c>
      <c r="AI488" s="345" t="s">
        <v>210</v>
      </c>
      <c r="AJ488" s="345"/>
      <c r="AK488" s="345"/>
      <c r="AL488" s="345"/>
      <c r="AM488" s="11"/>
      <c r="AN488" s="11"/>
      <c r="AO488" s="11"/>
    </row>
    <row r="489" spans="1:41" x14ac:dyDescent="0.25">
      <c r="A489" s="311"/>
      <c r="B489" s="312"/>
      <c r="C489" s="312"/>
      <c r="D489" s="312"/>
      <c r="E489" s="328"/>
      <c r="F489" s="442"/>
      <c r="G489" s="314"/>
      <c r="H489" s="314"/>
      <c r="I489" s="314"/>
      <c r="J489" s="314"/>
      <c r="K489" s="314"/>
      <c r="L489" s="314"/>
      <c r="M489" s="314"/>
      <c r="N489" s="314"/>
      <c r="O489" s="314"/>
      <c r="P489" s="314"/>
      <c r="Q489" s="314"/>
      <c r="R489" s="442"/>
      <c r="S489" s="314"/>
      <c r="T489" s="314"/>
      <c r="U489" s="314"/>
      <c r="V489" s="315"/>
      <c r="W489" s="451">
        <f t="shared" si="49"/>
        <v>0</v>
      </c>
      <c r="X489" s="451">
        <f t="shared" si="50"/>
        <v>0</v>
      </c>
      <c r="Y489" s="451">
        <f t="shared" si="51"/>
        <v>0</v>
      </c>
      <c r="Z489" s="451">
        <f t="shared" si="52"/>
        <v>0</v>
      </c>
      <c r="AA489" s="451">
        <f t="shared" si="53"/>
        <v>0</v>
      </c>
      <c r="AB489" s="451" t="e">
        <f t="shared" si="54"/>
        <v>#DIV/0!</v>
      </c>
      <c r="AC489" s="452" t="e">
        <f t="shared" si="55"/>
        <v>#DIV/0!</v>
      </c>
      <c r="AE489" s="349" t="str">
        <f>AF489&amp;TM[[#This Row],[Insurer Code]]&amp;"; "&amp;AG489&amp;TM[[#This Row],[Reporting Year]]&amp;"; "&amp;AH489&amp;TM[[#This Row],[Insurance Category Code]]&amp;"; "&amp;AI489&amp;TM[[#This Row],[Large Provider Entity Code]]</f>
        <v xml:space="preserve">Insurer Code ; Reporting Year ; Insurance Category Code ; Large Provider Entity Code </v>
      </c>
      <c r="AF489" s="345" t="s">
        <v>207</v>
      </c>
      <c r="AG489" s="345" t="s">
        <v>208</v>
      </c>
      <c r="AH489" s="345" t="s">
        <v>209</v>
      </c>
      <c r="AI489" s="345" t="s">
        <v>210</v>
      </c>
      <c r="AJ489" s="345"/>
      <c r="AK489" s="345"/>
      <c r="AL489" s="345"/>
      <c r="AM489" s="11"/>
      <c r="AN489" s="11"/>
      <c r="AO489" s="11"/>
    </row>
    <row r="490" spans="1:41" x14ac:dyDescent="0.25">
      <c r="A490" s="311"/>
      <c r="B490" s="312"/>
      <c r="C490" s="312"/>
      <c r="D490" s="312"/>
      <c r="E490" s="328"/>
      <c r="F490" s="442"/>
      <c r="G490" s="314"/>
      <c r="H490" s="314"/>
      <c r="I490" s="314"/>
      <c r="J490" s="314"/>
      <c r="K490" s="314"/>
      <c r="L490" s="314"/>
      <c r="M490" s="314"/>
      <c r="N490" s="314"/>
      <c r="O490" s="314"/>
      <c r="P490" s="314"/>
      <c r="Q490" s="314"/>
      <c r="R490" s="442"/>
      <c r="S490" s="314"/>
      <c r="T490" s="314"/>
      <c r="U490" s="314"/>
      <c r="V490" s="315"/>
      <c r="W490" s="451">
        <f t="shared" si="49"/>
        <v>0</v>
      </c>
      <c r="X490" s="451">
        <f t="shared" si="50"/>
        <v>0</v>
      </c>
      <c r="Y490" s="451">
        <f t="shared" si="51"/>
        <v>0</v>
      </c>
      <c r="Z490" s="451">
        <f t="shared" si="52"/>
        <v>0</v>
      </c>
      <c r="AA490" s="451">
        <f t="shared" si="53"/>
        <v>0</v>
      </c>
      <c r="AB490" s="451" t="e">
        <f t="shared" si="54"/>
        <v>#DIV/0!</v>
      </c>
      <c r="AC490" s="452" t="e">
        <f t="shared" si="55"/>
        <v>#DIV/0!</v>
      </c>
      <c r="AE490" s="349" t="str">
        <f>AF490&amp;TM[[#This Row],[Insurer Code]]&amp;"; "&amp;AG490&amp;TM[[#This Row],[Reporting Year]]&amp;"; "&amp;AH490&amp;TM[[#This Row],[Insurance Category Code]]&amp;"; "&amp;AI490&amp;TM[[#This Row],[Large Provider Entity Code]]</f>
        <v xml:space="preserve">Insurer Code ; Reporting Year ; Insurance Category Code ; Large Provider Entity Code </v>
      </c>
      <c r="AF490" s="345" t="s">
        <v>207</v>
      </c>
      <c r="AG490" s="345" t="s">
        <v>208</v>
      </c>
      <c r="AH490" s="345" t="s">
        <v>209</v>
      </c>
      <c r="AI490" s="345" t="s">
        <v>210</v>
      </c>
      <c r="AJ490" s="345"/>
      <c r="AK490" s="345"/>
      <c r="AL490" s="345"/>
      <c r="AM490" s="11"/>
      <c r="AN490" s="11"/>
      <c r="AO490" s="11"/>
    </row>
    <row r="491" spans="1:41" x14ac:dyDescent="0.25">
      <c r="A491" s="311"/>
      <c r="B491" s="312"/>
      <c r="C491" s="312"/>
      <c r="D491" s="312"/>
      <c r="E491" s="328"/>
      <c r="F491" s="442"/>
      <c r="G491" s="314"/>
      <c r="H491" s="314"/>
      <c r="I491" s="314"/>
      <c r="J491" s="314"/>
      <c r="K491" s="314"/>
      <c r="L491" s="314"/>
      <c r="M491" s="314"/>
      <c r="N491" s="314"/>
      <c r="O491" s="314"/>
      <c r="P491" s="314"/>
      <c r="Q491" s="314"/>
      <c r="R491" s="442"/>
      <c r="S491" s="314"/>
      <c r="T491" s="314"/>
      <c r="U491" s="314"/>
      <c r="V491" s="315"/>
      <c r="W491" s="451">
        <f t="shared" si="49"/>
        <v>0</v>
      </c>
      <c r="X491" s="451">
        <f t="shared" si="50"/>
        <v>0</v>
      </c>
      <c r="Y491" s="451">
        <f t="shared" si="51"/>
        <v>0</v>
      </c>
      <c r="Z491" s="451">
        <f t="shared" si="52"/>
        <v>0</v>
      </c>
      <c r="AA491" s="451">
        <f t="shared" si="53"/>
        <v>0</v>
      </c>
      <c r="AB491" s="451" t="e">
        <f t="shared" si="54"/>
        <v>#DIV/0!</v>
      </c>
      <c r="AC491" s="452" t="e">
        <f t="shared" si="55"/>
        <v>#DIV/0!</v>
      </c>
      <c r="AE491" s="349" t="str">
        <f>AF491&amp;TM[[#This Row],[Insurer Code]]&amp;"; "&amp;AG491&amp;TM[[#This Row],[Reporting Year]]&amp;"; "&amp;AH491&amp;TM[[#This Row],[Insurance Category Code]]&amp;"; "&amp;AI491&amp;TM[[#This Row],[Large Provider Entity Code]]</f>
        <v xml:space="preserve">Insurer Code ; Reporting Year ; Insurance Category Code ; Large Provider Entity Code </v>
      </c>
      <c r="AF491" s="345" t="s">
        <v>207</v>
      </c>
      <c r="AG491" s="345" t="s">
        <v>208</v>
      </c>
      <c r="AH491" s="345" t="s">
        <v>209</v>
      </c>
      <c r="AI491" s="345" t="s">
        <v>210</v>
      </c>
      <c r="AJ491" s="345"/>
      <c r="AK491" s="345"/>
      <c r="AL491" s="345"/>
      <c r="AM491" s="11"/>
      <c r="AN491" s="11"/>
      <c r="AO491" s="11"/>
    </row>
    <row r="492" spans="1:41" x14ac:dyDescent="0.25">
      <c r="A492" s="311"/>
      <c r="B492" s="312"/>
      <c r="C492" s="312"/>
      <c r="D492" s="312"/>
      <c r="E492" s="328"/>
      <c r="F492" s="442"/>
      <c r="G492" s="314"/>
      <c r="H492" s="314"/>
      <c r="I492" s="314"/>
      <c r="J492" s="314"/>
      <c r="K492" s="314"/>
      <c r="L492" s="314"/>
      <c r="M492" s="314"/>
      <c r="N492" s="314"/>
      <c r="O492" s="314"/>
      <c r="P492" s="314"/>
      <c r="Q492" s="314"/>
      <c r="R492" s="442"/>
      <c r="S492" s="314"/>
      <c r="T492" s="314"/>
      <c r="U492" s="314"/>
      <c r="V492" s="315"/>
      <c r="W492" s="451">
        <f t="shared" si="49"/>
        <v>0</v>
      </c>
      <c r="X492" s="451">
        <f t="shared" si="50"/>
        <v>0</v>
      </c>
      <c r="Y492" s="451">
        <f t="shared" si="51"/>
        <v>0</v>
      </c>
      <c r="Z492" s="451">
        <f t="shared" si="52"/>
        <v>0</v>
      </c>
      <c r="AA492" s="451">
        <f t="shared" si="53"/>
        <v>0</v>
      </c>
      <c r="AB492" s="451" t="e">
        <f t="shared" si="54"/>
        <v>#DIV/0!</v>
      </c>
      <c r="AC492" s="452" t="e">
        <f t="shared" si="55"/>
        <v>#DIV/0!</v>
      </c>
      <c r="AE492" s="349" t="str">
        <f>AF492&amp;TM[[#This Row],[Insurer Code]]&amp;"; "&amp;AG492&amp;TM[[#This Row],[Reporting Year]]&amp;"; "&amp;AH492&amp;TM[[#This Row],[Insurance Category Code]]&amp;"; "&amp;AI492&amp;TM[[#This Row],[Large Provider Entity Code]]</f>
        <v xml:space="preserve">Insurer Code ; Reporting Year ; Insurance Category Code ; Large Provider Entity Code </v>
      </c>
      <c r="AF492" s="345" t="s">
        <v>207</v>
      </c>
      <c r="AG492" s="345" t="s">
        <v>208</v>
      </c>
      <c r="AH492" s="345" t="s">
        <v>209</v>
      </c>
      <c r="AI492" s="345" t="s">
        <v>210</v>
      </c>
      <c r="AJ492" s="345"/>
      <c r="AK492" s="345"/>
      <c r="AL492" s="345"/>
      <c r="AM492" s="11"/>
      <c r="AN492" s="11"/>
      <c r="AO492" s="11"/>
    </row>
    <row r="493" spans="1:41" x14ac:dyDescent="0.25">
      <c r="A493" s="311"/>
      <c r="B493" s="312"/>
      <c r="C493" s="312"/>
      <c r="D493" s="312"/>
      <c r="E493" s="328"/>
      <c r="F493" s="442"/>
      <c r="G493" s="314"/>
      <c r="H493" s="314"/>
      <c r="I493" s="314"/>
      <c r="J493" s="314"/>
      <c r="K493" s="314"/>
      <c r="L493" s="314"/>
      <c r="M493" s="314"/>
      <c r="N493" s="314"/>
      <c r="O493" s="314"/>
      <c r="P493" s="314"/>
      <c r="Q493" s="314"/>
      <c r="R493" s="442"/>
      <c r="S493" s="314"/>
      <c r="T493" s="314"/>
      <c r="U493" s="314"/>
      <c r="V493" s="315"/>
      <c r="W493" s="451">
        <f t="shared" si="49"/>
        <v>0</v>
      </c>
      <c r="X493" s="451">
        <f t="shared" si="50"/>
        <v>0</v>
      </c>
      <c r="Y493" s="451">
        <f t="shared" si="51"/>
        <v>0</v>
      </c>
      <c r="Z493" s="451">
        <f t="shared" si="52"/>
        <v>0</v>
      </c>
      <c r="AA493" s="451">
        <f t="shared" si="53"/>
        <v>0</v>
      </c>
      <c r="AB493" s="451" t="e">
        <f t="shared" si="54"/>
        <v>#DIV/0!</v>
      </c>
      <c r="AC493" s="452" t="e">
        <f t="shared" si="55"/>
        <v>#DIV/0!</v>
      </c>
      <c r="AE493" s="349" t="str">
        <f>AF493&amp;TM[[#This Row],[Insurer Code]]&amp;"; "&amp;AG493&amp;TM[[#This Row],[Reporting Year]]&amp;"; "&amp;AH493&amp;TM[[#This Row],[Insurance Category Code]]&amp;"; "&amp;AI493&amp;TM[[#This Row],[Large Provider Entity Code]]</f>
        <v xml:space="preserve">Insurer Code ; Reporting Year ; Insurance Category Code ; Large Provider Entity Code </v>
      </c>
      <c r="AF493" s="345" t="s">
        <v>207</v>
      </c>
      <c r="AG493" s="345" t="s">
        <v>208</v>
      </c>
      <c r="AH493" s="345" t="s">
        <v>209</v>
      </c>
      <c r="AI493" s="345" t="s">
        <v>210</v>
      </c>
      <c r="AJ493" s="345"/>
      <c r="AK493" s="345"/>
      <c r="AL493" s="345"/>
      <c r="AM493" s="11"/>
      <c r="AN493" s="11"/>
      <c r="AO493" s="11"/>
    </row>
    <row r="494" spans="1:41" x14ac:dyDescent="0.25">
      <c r="A494" s="311"/>
      <c r="B494" s="312"/>
      <c r="C494" s="312"/>
      <c r="D494" s="312"/>
      <c r="E494" s="328"/>
      <c r="F494" s="442"/>
      <c r="G494" s="314"/>
      <c r="H494" s="314"/>
      <c r="I494" s="314"/>
      <c r="J494" s="314"/>
      <c r="K494" s="314"/>
      <c r="L494" s="314"/>
      <c r="M494" s="314"/>
      <c r="N494" s="314"/>
      <c r="O494" s="314"/>
      <c r="P494" s="314"/>
      <c r="Q494" s="314"/>
      <c r="R494" s="442"/>
      <c r="S494" s="314"/>
      <c r="T494" s="314"/>
      <c r="U494" s="314"/>
      <c r="V494" s="315"/>
      <c r="W494" s="451">
        <f t="shared" si="49"/>
        <v>0</v>
      </c>
      <c r="X494" s="451">
        <f t="shared" si="50"/>
        <v>0</v>
      </c>
      <c r="Y494" s="451">
        <f t="shared" si="51"/>
        <v>0</v>
      </c>
      <c r="Z494" s="451">
        <f t="shared" si="52"/>
        <v>0</v>
      </c>
      <c r="AA494" s="451">
        <f t="shared" si="53"/>
        <v>0</v>
      </c>
      <c r="AB494" s="451" t="e">
        <f t="shared" si="54"/>
        <v>#DIV/0!</v>
      </c>
      <c r="AC494" s="452" t="e">
        <f t="shared" si="55"/>
        <v>#DIV/0!</v>
      </c>
      <c r="AE494" s="349" t="str">
        <f>AF494&amp;TM[[#This Row],[Insurer Code]]&amp;"; "&amp;AG494&amp;TM[[#This Row],[Reporting Year]]&amp;"; "&amp;AH494&amp;TM[[#This Row],[Insurance Category Code]]&amp;"; "&amp;AI494&amp;TM[[#This Row],[Large Provider Entity Code]]</f>
        <v xml:space="preserve">Insurer Code ; Reporting Year ; Insurance Category Code ; Large Provider Entity Code </v>
      </c>
      <c r="AF494" s="345" t="s">
        <v>207</v>
      </c>
      <c r="AG494" s="345" t="s">
        <v>208</v>
      </c>
      <c r="AH494" s="345" t="s">
        <v>209</v>
      </c>
      <c r="AI494" s="345" t="s">
        <v>210</v>
      </c>
      <c r="AJ494" s="345"/>
      <c r="AK494" s="345"/>
      <c r="AL494" s="345"/>
      <c r="AM494" s="11"/>
      <c r="AN494" s="11"/>
      <c r="AO494" s="11"/>
    </row>
    <row r="495" spans="1:41" x14ac:dyDescent="0.25">
      <c r="A495" s="311"/>
      <c r="B495" s="312"/>
      <c r="C495" s="312"/>
      <c r="D495" s="312"/>
      <c r="E495" s="328"/>
      <c r="F495" s="442"/>
      <c r="G495" s="314"/>
      <c r="H495" s="314"/>
      <c r="I495" s="314"/>
      <c r="J495" s="314"/>
      <c r="K495" s="314"/>
      <c r="L495" s="314"/>
      <c r="M495" s="314"/>
      <c r="N495" s="314"/>
      <c r="O495" s="314"/>
      <c r="P495" s="314"/>
      <c r="Q495" s="314"/>
      <c r="R495" s="442"/>
      <c r="S495" s="314"/>
      <c r="T495" s="314"/>
      <c r="U495" s="314"/>
      <c r="V495" s="315"/>
      <c r="W495" s="451">
        <f t="shared" si="49"/>
        <v>0</v>
      </c>
      <c r="X495" s="451">
        <f t="shared" si="50"/>
        <v>0</v>
      </c>
      <c r="Y495" s="451">
        <f t="shared" si="51"/>
        <v>0</v>
      </c>
      <c r="Z495" s="451">
        <f t="shared" si="52"/>
        <v>0</v>
      </c>
      <c r="AA495" s="451">
        <f t="shared" si="53"/>
        <v>0</v>
      </c>
      <c r="AB495" s="451" t="e">
        <f t="shared" si="54"/>
        <v>#DIV/0!</v>
      </c>
      <c r="AC495" s="452" t="e">
        <f t="shared" si="55"/>
        <v>#DIV/0!</v>
      </c>
      <c r="AE495" s="349" t="str">
        <f>AF495&amp;TM[[#This Row],[Insurer Code]]&amp;"; "&amp;AG495&amp;TM[[#This Row],[Reporting Year]]&amp;"; "&amp;AH495&amp;TM[[#This Row],[Insurance Category Code]]&amp;"; "&amp;AI495&amp;TM[[#This Row],[Large Provider Entity Code]]</f>
        <v xml:space="preserve">Insurer Code ; Reporting Year ; Insurance Category Code ; Large Provider Entity Code </v>
      </c>
      <c r="AF495" s="345" t="s">
        <v>207</v>
      </c>
      <c r="AG495" s="345" t="s">
        <v>208</v>
      </c>
      <c r="AH495" s="345" t="s">
        <v>209</v>
      </c>
      <c r="AI495" s="345" t="s">
        <v>210</v>
      </c>
      <c r="AJ495" s="345"/>
      <c r="AK495" s="345"/>
      <c r="AL495" s="345"/>
      <c r="AM495" s="11"/>
      <c r="AN495" s="11"/>
      <c r="AO495" s="11"/>
    </row>
    <row r="496" spans="1:41" x14ac:dyDescent="0.25">
      <c r="A496" s="311"/>
      <c r="B496" s="312"/>
      <c r="C496" s="312"/>
      <c r="D496" s="312"/>
      <c r="E496" s="328"/>
      <c r="F496" s="442"/>
      <c r="G496" s="314"/>
      <c r="H496" s="314"/>
      <c r="I496" s="314"/>
      <c r="J496" s="314"/>
      <c r="K496" s="314"/>
      <c r="L496" s="314"/>
      <c r="M496" s="314"/>
      <c r="N496" s="314"/>
      <c r="O496" s="314"/>
      <c r="P496" s="314"/>
      <c r="Q496" s="314"/>
      <c r="R496" s="442"/>
      <c r="S496" s="314"/>
      <c r="T496" s="314"/>
      <c r="U496" s="314"/>
      <c r="V496" s="315"/>
      <c r="W496" s="451">
        <f t="shared" si="49"/>
        <v>0</v>
      </c>
      <c r="X496" s="451">
        <f t="shared" si="50"/>
        <v>0</v>
      </c>
      <c r="Y496" s="451">
        <f t="shared" si="51"/>
        <v>0</v>
      </c>
      <c r="Z496" s="451">
        <f t="shared" si="52"/>
        <v>0</v>
      </c>
      <c r="AA496" s="451">
        <f t="shared" si="53"/>
        <v>0</v>
      </c>
      <c r="AB496" s="451" t="e">
        <f t="shared" si="54"/>
        <v>#DIV/0!</v>
      </c>
      <c r="AC496" s="452" t="e">
        <f t="shared" si="55"/>
        <v>#DIV/0!</v>
      </c>
      <c r="AE496" s="349" t="str">
        <f>AF496&amp;TM[[#This Row],[Insurer Code]]&amp;"; "&amp;AG496&amp;TM[[#This Row],[Reporting Year]]&amp;"; "&amp;AH496&amp;TM[[#This Row],[Insurance Category Code]]&amp;"; "&amp;AI496&amp;TM[[#This Row],[Large Provider Entity Code]]</f>
        <v xml:space="preserve">Insurer Code ; Reporting Year ; Insurance Category Code ; Large Provider Entity Code </v>
      </c>
      <c r="AF496" s="345" t="s">
        <v>207</v>
      </c>
      <c r="AG496" s="345" t="s">
        <v>208</v>
      </c>
      <c r="AH496" s="345" t="s">
        <v>209</v>
      </c>
      <c r="AI496" s="345" t="s">
        <v>210</v>
      </c>
      <c r="AJ496" s="345"/>
      <c r="AK496" s="345"/>
      <c r="AL496" s="345"/>
      <c r="AM496" s="11"/>
      <c r="AN496" s="11"/>
      <c r="AO496" s="11"/>
    </row>
    <row r="497" spans="1:41" x14ac:dyDescent="0.25">
      <c r="A497" s="311"/>
      <c r="B497" s="312"/>
      <c r="C497" s="312"/>
      <c r="D497" s="312"/>
      <c r="E497" s="328"/>
      <c r="F497" s="442"/>
      <c r="G497" s="314"/>
      <c r="H497" s="314"/>
      <c r="I497" s="314"/>
      <c r="J497" s="314"/>
      <c r="K497" s="314"/>
      <c r="L497" s="314"/>
      <c r="M497" s="314"/>
      <c r="N497" s="314"/>
      <c r="O497" s="314"/>
      <c r="P497" s="314"/>
      <c r="Q497" s="314"/>
      <c r="R497" s="442"/>
      <c r="S497" s="314"/>
      <c r="T497" s="314"/>
      <c r="U497" s="314"/>
      <c r="V497" s="315"/>
      <c r="W497" s="451">
        <f t="shared" si="49"/>
        <v>0</v>
      </c>
      <c r="X497" s="451">
        <f t="shared" si="50"/>
        <v>0</v>
      </c>
      <c r="Y497" s="451">
        <f t="shared" si="51"/>
        <v>0</v>
      </c>
      <c r="Z497" s="451">
        <f t="shared" si="52"/>
        <v>0</v>
      </c>
      <c r="AA497" s="451">
        <f t="shared" si="53"/>
        <v>0</v>
      </c>
      <c r="AB497" s="451" t="e">
        <f t="shared" si="54"/>
        <v>#DIV/0!</v>
      </c>
      <c r="AC497" s="452" t="e">
        <f t="shared" si="55"/>
        <v>#DIV/0!</v>
      </c>
      <c r="AE497" s="349" t="str">
        <f>AF497&amp;TM[[#This Row],[Insurer Code]]&amp;"; "&amp;AG497&amp;TM[[#This Row],[Reporting Year]]&amp;"; "&amp;AH497&amp;TM[[#This Row],[Insurance Category Code]]&amp;"; "&amp;AI497&amp;TM[[#This Row],[Large Provider Entity Code]]</f>
        <v xml:space="preserve">Insurer Code ; Reporting Year ; Insurance Category Code ; Large Provider Entity Code </v>
      </c>
      <c r="AF497" s="345" t="s">
        <v>207</v>
      </c>
      <c r="AG497" s="345" t="s">
        <v>208</v>
      </c>
      <c r="AH497" s="345" t="s">
        <v>209</v>
      </c>
      <c r="AI497" s="345" t="s">
        <v>210</v>
      </c>
      <c r="AJ497" s="345"/>
      <c r="AK497" s="345"/>
      <c r="AL497" s="345"/>
      <c r="AM497" s="11"/>
      <c r="AN497" s="11"/>
      <c r="AO497" s="11"/>
    </row>
    <row r="498" spans="1:41" x14ac:dyDescent="0.25">
      <c r="A498" s="311"/>
      <c r="B498" s="312"/>
      <c r="C498" s="312"/>
      <c r="D498" s="312"/>
      <c r="E498" s="328"/>
      <c r="F498" s="442"/>
      <c r="G498" s="314"/>
      <c r="H498" s="314"/>
      <c r="I498" s="314"/>
      <c r="J498" s="314"/>
      <c r="K498" s="314"/>
      <c r="L498" s="314"/>
      <c r="M498" s="314"/>
      <c r="N498" s="314"/>
      <c r="O498" s="314"/>
      <c r="P498" s="314"/>
      <c r="Q498" s="314"/>
      <c r="R498" s="442"/>
      <c r="S498" s="314"/>
      <c r="T498" s="314"/>
      <c r="U498" s="314"/>
      <c r="V498" s="315"/>
      <c r="W498" s="451">
        <f t="shared" si="49"/>
        <v>0</v>
      </c>
      <c r="X498" s="451">
        <f t="shared" si="50"/>
        <v>0</v>
      </c>
      <c r="Y498" s="451">
        <f t="shared" si="51"/>
        <v>0</v>
      </c>
      <c r="Z498" s="451">
        <f t="shared" si="52"/>
        <v>0</v>
      </c>
      <c r="AA498" s="451">
        <f t="shared" si="53"/>
        <v>0</v>
      </c>
      <c r="AB498" s="451" t="e">
        <f t="shared" si="54"/>
        <v>#DIV/0!</v>
      </c>
      <c r="AC498" s="452" t="e">
        <f t="shared" si="55"/>
        <v>#DIV/0!</v>
      </c>
      <c r="AE498" s="349" t="str">
        <f>AF498&amp;TM[[#This Row],[Insurer Code]]&amp;"; "&amp;AG498&amp;TM[[#This Row],[Reporting Year]]&amp;"; "&amp;AH498&amp;TM[[#This Row],[Insurance Category Code]]&amp;"; "&amp;AI498&amp;TM[[#This Row],[Large Provider Entity Code]]</f>
        <v xml:space="preserve">Insurer Code ; Reporting Year ; Insurance Category Code ; Large Provider Entity Code </v>
      </c>
      <c r="AF498" s="345" t="s">
        <v>207</v>
      </c>
      <c r="AG498" s="345" t="s">
        <v>208</v>
      </c>
      <c r="AH498" s="345" t="s">
        <v>209</v>
      </c>
      <c r="AI498" s="345" t="s">
        <v>210</v>
      </c>
      <c r="AJ498" s="345"/>
      <c r="AK498" s="345"/>
      <c r="AL498" s="345"/>
      <c r="AM498" s="11"/>
      <c r="AN498" s="11"/>
      <c r="AO498" s="11"/>
    </row>
    <row r="499" spans="1:41" x14ac:dyDescent="0.25">
      <c r="A499" s="311"/>
      <c r="B499" s="312"/>
      <c r="C499" s="312"/>
      <c r="D499" s="312"/>
      <c r="E499" s="328"/>
      <c r="F499" s="442"/>
      <c r="G499" s="314"/>
      <c r="H499" s="314"/>
      <c r="I499" s="314"/>
      <c r="J499" s="314"/>
      <c r="K499" s="314"/>
      <c r="L499" s="314"/>
      <c r="M499" s="314"/>
      <c r="N499" s="314"/>
      <c r="O499" s="314"/>
      <c r="P499" s="314"/>
      <c r="Q499" s="314"/>
      <c r="R499" s="442"/>
      <c r="S499" s="314"/>
      <c r="T499" s="314"/>
      <c r="U499" s="314"/>
      <c r="V499" s="315"/>
      <c r="W499" s="451">
        <f t="shared" si="49"/>
        <v>0</v>
      </c>
      <c r="X499" s="451">
        <f t="shared" si="50"/>
        <v>0</v>
      </c>
      <c r="Y499" s="451">
        <f t="shared" si="51"/>
        <v>0</v>
      </c>
      <c r="Z499" s="451">
        <f t="shared" si="52"/>
        <v>0</v>
      </c>
      <c r="AA499" s="451">
        <f t="shared" si="53"/>
        <v>0</v>
      </c>
      <c r="AB499" s="451" t="e">
        <f t="shared" si="54"/>
        <v>#DIV/0!</v>
      </c>
      <c r="AC499" s="452" t="e">
        <f t="shared" si="55"/>
        <v>#DIV/0!</v>
      </c>
      <c r="AE499" s="349" t="str">
        <f>AF499&amp;TM[[#This Row],[Insurer Code]]&amp;"; "&amp;AG499&amp;TM[[#This Row],[Reporting Year]]&amp;"; "&amp;AH499&amp;TM[[#This Row],[Insurance Category Code]]&amp;"; "&amp;AI499&amp;TM[[#This Row],[Large Provider Entity Code]]</f>
        <v xml:space="preserve">Insurer Code ; Reporting Year ; Insurance Category Code ; Large Provider Entity Code </v>
      </c>
      <c r="AF499" s="345" t="s">
        <v>207</v>
      </c>
      <c r="AG499" s="345" t="s">
        <v>208</v>
      </c>
      <c r="AH499" s="345" t="s">
        <v>209</v>
      </c>
      <c r="AI499" s="345" t="s">
        <v>210</v>
      </c>
      <c r="AJ499" s="345"/>
      <c r="AK499" s="345"/>
      <c r="AL499" s="345"/>
      <c r="AM499" s="11"/>
      <c r="AN499" s="11"/>
      <c r="AO499" s="11"/>
    </row>
    <row r="500" spans="1:41" x14ac:dyDescent="0.25">
      <c r="A500" s="311"/>
      <c r="B500" s="312"/>
      <c r="C500" s="312"/>
      <c r="D500" s="312"/>
      <c r="E500" s="328"/>
      <c r="F500" s="442"/>
      <c r="G500" s="314"/>
      <c r="H500" s="314"/>
      <c r="I500" s="314"/>
      <c r="J500" s="314"/>
      <c r="K500" s="314"/>
      <c r="L500" s="314"/>
      <c r="M500" s="314"/>
      <c r="N500" s="314"/>
      <c r="O500" s="314"/>
      <c r="P500" s="314"/>
      <c r="Q500" s="314"/>
      <c r="R500" s="442"/>
      <c r="S500" s="314"/>
      <c r="T500" s="314"/>
      <c r="U500" s="314"/>
      <c r="V500" s="315"/>
      <c r="W500" s="451">
        <f t="shared" si="49"/>
        <v>0</v>
      </c>
      <c r="X500" s="451">
        <f t="shared" si="50"/>
        <v>0</v>
      </c>
      <c r="Y500" s="451">
        <f t="shared" si="51"/>
        <v>0</v>
      </c>
      <c r="Z500" s="451">
        <f t="shared" si="52"/>
        <v>0</v>
      </c>
      <c r="AA500" s="451">
        <f t="shared" si="53"/>
        <v>0</v>
      </c>
      <c r="AB500" s="451" t="e">
        <f t="shared" si="54"/>
        <v>#DIV/0!</v>
      </c>
      <c r="AC500" s="452" t="e">
        <f t="shared" si="55"/>
        <v>#DIV/0!</v>
      </c>
      <c r="AE500" s="349" t="str">
        <f>AF500&amp;TM[[#This Row],[Insurer Code]]&amp;"; "&amp;AG500&amp;TM[[#This Row],[Reporting Year]]&amp;"; "&amp;AH500&amp;TM[[#This Row],[Insurance Category Code]]&amp;"; "&amp;AI500&amp;TM[[#This Row],[Large Provider Entity Code]]</f>
        <v xml:space="preserve">Insurer Code ; Reporting Year ; Insurance Category Code ; Large Provider Entity Code </v>
      </c>
      <c r="AF500" s="345" t="s">
        <v>207</v>
      </c>
      <c r="AG500" s="345" t="s">
        <v>208</v>
      </c>
      <c r="AH500" s="345" t="s">
        <v>209</v>
      </c>
      <c r="AI500" s="345" t="s">
        <v>210</v>
      </c>
      <c r="AJ500" s="345"/>
      <c r="AK500" s="345"/>
      <c r="AL500" s="345"/>
      <c r="AM500" s="11"/>
      <c r="AN500" s="11"/>
      <c r="AO500" s="11"/>
    </row>
    <row r="501" spans="1:41" x14ac:dyDescent="0.25">
      <c r="A501" s="311"/>
      <c r="B501" s="312"/>
      <c r="C501" s="312"/>
      <c r="D501" s="312"/>
      <c r="E501" s="328"/>
      <c r="F501" s="442"/>
      <c r="G501" s="314"/>
      <c r="H501" s="314"/>
      <c r="I501" s="314"/>
      <c r="J501" s="314"/>
      <c r="K501" s="314"/>
      <c r="L501" s="314"/>
      <c r="M501" s="314"/>
      <c r="N501" s="314"/>
      <c r="O501" s="314"/>
      <c r="P501" s="314"/>
      <c r="Q501" s="314"/>
      <c r="R501" s="442"/>
      <c r="S501" s="314"/>
      <c r="T501" s="314"/>
      <c r="U501" s="314"/>
      <c r="V501" s="315"/>
      <c r="W501" s="451">
        <f t="shared" si="49"/>
        <v>0</v>
      </c>
      <c r="X501" s="451">
        <f t="shared" si="50"/>
        <v>0</v>
      </c>
      <c r="Y501" s="451">
        <f t="shared" si="51"/>
        <v>0</v>
      </c>
      <c r="Z501" s="451">
        <f t="shared" si="52"/>
        <v>0</v>
      </c>
      <c r="AA501" s="451">
        <f t="shared" si="53"/>
        <v>0</v>
      </c>
      <c r="AB501" s="451" t="e">
        <f t="shared" si="54"/>
        <v>#DIV/0!</v>
      </c>
      <c r="AC501" s="452" t="e">
        <f t="shared" si="55"/>
        <v>#DIV/0!</v>
      </c>
      <c r="AE501" s="349" t="str">
        <f>AF501&amp;TM[[#This Row],[Insurer Code]]&amp;"; "&amp;AG501&amp;TM[[#This Row],[Reporting Year]]&amp;"; "&amp;AH501&amp;TM[[#This Row],[Insurance Category Code]]&amp;"; "&amp;AI501&amp;TM[[#This Row],[Large Provider Entity Code]]</f>
        <v xml:space="preserve">Insurer Code ; Reporting Year ; Insurance Category Code ; Large Provider Entity Code </v>
      </c>
      <c r="AF501" s="345" t="s">
        <v>207</v>
      </c>
      <c r="AG501" s="345" t="s">
        <v>208</v>
      </c>
      <c r="AH501" s="345" t="s">
        <v>209</v>
      </c>
      <c r="AI501" s="345" t="s">
        <v>210</v>
      </c>
      <c r="AJ501" s="345"/>
      <c r="AK501" s="345"/>
      <c r="AL501" s="345"/>
      <c r="AM501" s="11"/>
      <c r="AN501" s="11"/>
      <c r="AO501" s="11"/>
    </row>
    <row r="502" spans="1:41" x14ac:dyDescent="0.25">
      <c r="A502" s="311"/>
      <c r="B502" s="312"/>
      <c r="C502" s="312"/>
      <c r="D502" s="312"/>
      <c r="E502" s="328"/>
      <c r="F502" s="442"/>
      <c r="G502" s="314"/>
      <c r="H502" s="314"/>
      <c r="I502" s="314"/>
      <c r="J502" s="314"/>
      <c r="K502" s="314"/>
      <c r="L502" s="314"/>
      <c r="M502" s="314"/>
      <c r="N502" s="314"/>
      <c r="O502" s="314"/>
      <c r="P502" s="314"/>
      <c r="Q502" s="314"/>
      <c r="R502" s="442"/>
      <c r="S502" s="314"/>
      <c r="T502" s="314"/>
      <c r="U502" s="314"/>
      <c r="V502" s="315"/>
      <c r="W502" s="451">
        <f t="shared" si="49"/>
        <v>0</v>
      </c>
      <c r="X502" s="451">
        <f t="shared" si="50"/>
        <v>0</v>
      </c>
      <c r="Y502" s="451">
        <f t="shared" si="51"/>
        <v>0</v>
      </c>
      <c r="Z502" s="451">
        <f t="shared" si="52"/>
        <v>0</v>
      </c>
      <c r="AA502" s="451">
        <f t="shared" si="53"/>
        <v>0</v>
      </c>
      <c r="AB502" s="451" t="e">
        <f t="shared" si="54"/>
        <v>#DIV/0!</v>
      </c>
      <c r="AC502" s="452" t="e">
        <f t="shared" si="55"/>
        <v>#DIV/0!</v>
      </c>
      <c r="AE502" s="349" t="str">
        <f>AF502&amp;TM[[#This Row],[Insurer Code]]&amp;"; "&amp;AG502&amp;TM[[#This Row],[Reporting Year]]&amp;"; "&amp;AH502&amp;TM[[#This Row],[Insurance Category Code]]&amp;"; "&amp;AI502&amp;TM[[#This Row],[Large Provider Entity Code]]</f>
        <v xml:space="preserve">Insurer Code ; Reporting Year ; Insurance Category Code ; Large Provider Entity Code </v>
      </c>
      <c r="AF502" s="345" t="s">
        <v>207</v>
      </c>
      <c r="AG502" s="345" t="s">
        <v>208</v>
      </c>
      <c r="AH502" s="345" t="s">
        <v>209</v>
      </c>
      <c r="AI502" s="345" t="s">
        <v>210</v>
      </c>
      <c r="AJ502" s="345"/>
      <c r="AK502" s="345"/>
      <c r="AL502" s="345"/>
      <c r="AM502" s="11"/>
      <c r="AN502" s="11"/>
      <c r="AO502" s="11"/>
    </row>
    <row r="503" spans="1:41" x14ac:dyDescent="0.25">
      <c r="A503" s="311"/>
      <c r="B503" s="312"/>
      <c r="C503" s="312"/>
      <c r="D503" s="312"/>
      <c r="E503" s="328"/>
      <c r="F503" s="442"/>
      <c r="G503" s="314"/>
      <c r="H503" s="314"/>
      <c r="I503" s="314"/>
      <c r="J503" s="314"/>
      <c r="K503" s="314"/>
      <c r="L503" s="314"/>
      <c r="M503" s="314"/>
      <c r="N503" s="314"/>
      <c r="O503" s="314"/>
      <c r="P503" s="314"/>
      <c r="Q503" s="314"/>
      <c r="R503" s="442"/>
      <c r="S503" s="314"/>
      <c r="T503" s="314"/>
      <c r="U503" s="314"/>
      <c r="V503" s="315"/>
      <c r="W503" s="451">
        <f t="shared" si="49"/>
        <v>0</v>
      </c>
      <c r="X503" s="451">
        <f t="shared" si="50"/>
        <v>0</v>
      </c>
      <c r="Y503" s="451">
        <f t="shared" si="51"/>
        <v>0</v>
      </c>
      <c r="Z503" s="451">
        <f t="shared" si="52"/>
        <v>0</v>
      </c>
      <c r="AA503" s="451">
        <f t="shared" si="53"/>
        <v>0</v>
      </c>
      <c r="AB503" s="451" t="e">
        <f t="shared" si="54"/>
        <v>#DIV/0!</v>
      </c>
      <c r="AC503" s="452" t="e">
        <f t="shared" si="55"/>
        <v>#DIV/0!</v>
      </c>
      <c r="AE503" s="349" t="str">
        <f>AF503&amp;TM[[#This Row],[Insurer Code]]&amp;"; "&amp;AG503&amp;TM[[#This Row],[Reporting Year]]&amp;"; "&amp;AH503&amp;TM[[#This Row],[Insurance Category Code]]&amp;"; "&amp;AI503&amp;TM[[#This Row],[Large Provider Entity Code]]</f>
        <v xml:space="preserve">Insurer Code ; Reporting Year ; Insurance Category Code ; Large Provider Entity Code </v>
      </c>
      <c r="AF503" s="345" t="s">
        <v>207</v>
      </c>
      <c r="AG503" s="345" t="s">
        <v>208</v>
      </c>
      <c r="AH503" s="345" t="s">
        <v>209</v>
      </c>
      <c r="AI503" s="345" t="s">
        <v>210</v>
      </c>
      <c r="AJ503" s="345"/>
      <c r="AK503" s="345"/>
      <c r="AL503" s="345"/>
      <c r="AM503" s="11"/>
      <c r="AN503" s="11"/>
      <c r="AO503" s="11"/>
    </row>
    <row r="504" spans="1:41" x14ac:dyDescent="0.25">
      <c r="A504" s="311"/>
      <c r="B504" s="312"/>
      <c r="C504" s="312"/>
      <c r="D504" s="312"/>
      <c r="E504" s="328"/>
      <c r="F504" s="442"/>
      <c r="G504" s="314"/>
      <c r="H504" s="314"/>
      <c r="I504" s="314"/>
      <c r="J504" s="314"/>
      <c r="K504" s="314"/>
      <c r="L504" s="314"/>
      <c r="M504" s="314"/>
      <c r="N504" s="314"/>
      <c r="O504" s="314"/>
      <c r="P504" s="314"/>
      <c r="Q504" s="314"/>
      <c r="R504" s="442"/>
      <c r="S504" s="314"/>
      <c r="T504" s="314"/>
      <c r="U504" s="314"/>
      <c r="V504" s="315"/>
      <c r="W504" s="451">
        <f t="shared" si="49"/>
        <v>0</v>
      </c>
      <c r="X504" s="451">
        <f t="shared" si="50"/>
        <v>0</v>
      </c>
      <c r="Y504" s="451">
        <f t="shared" si="51"/>
        <v>0</v>
      </c>
      <c r="Z504" s="451">
        <f t="shared" si="52"/>
        <v>0</v>
      </c>
      <c r="AA504" s="451">
        <f t="shared" si="53"/>
        <v>0</v>
      </c>
      <c r="AB504" s="451" t="e">
        <f t="shared" si="54"/>
        <v>#DIV/0!</v>
      </c>
      <c r="AC504" s="452" t="e">
        <f t="shared" si="55"/>
        <v>#DIV/0!</v>
      </c>
      <c r="AE504" s="349" t="str">
        <f>AF504&amp;TM[[#This Row],[Insurer Code]]&amp;"; "&amp;AG504&amp;TM[[#This Row],[Reporting Year]]&amp;"; "&amp;AH504&amp;TM[[#This Row],[Insurance Category Code]]&amp;"; "&amp;AI504&amp;TM[[#This Row],[Large Provider Entity Code]]</f>
        <v xml:space="preserve">Insurer Code ; Reporting Year ; Insurance Category Code ; Large Provider Entity Code </v>
      </c>
      <c r="AF504" s="345" t="s">
        <v>207</v>
      </c>
      <c r="AG504" s="345" t="s">
        <v>208</v>
      </c>
      <c r="AH504" s="345" t="s">
        <v>209</v>
      </c>
      <c r="AI504" s="345" t="s">
        <v>210</v>
      </c>
      <c r="AJ504" s="345"/>
      <c r="AK504" s="345"/>
      <c r="AL504" s="345"/>
      <c r="AM504" s="11"/>
      <c r="AN504" s="11"/>
      <c r="AO504" s="11"/>
    </row>
    <row r="505" spans="1:41" x14ac:dyDescent="0.25">
      <c r="A505" s="311"/>
      <c r="B505" s="312"/>
      <c r="C505" s="312"/>
      <c r="D505" s="312"/>
      <c r="E505" s="328"/>
      <c r="F505" s="442"/>
      <c r="G505" s="314"/>
      <c r="H505" s="314"/>
      <c r="I505" s="314"/>
      <c r="J505" s="314"/>
      <c r="K505" s="314"/>
      <c r="L505" s="314"/>
      <c r="M505" s="314"/>
      <c r="N505" s="314"/>
      <c r="O505" s="314"/>
      <c r="P505" s="314"/>
      <c r="Q505" s="314"/>
      <c r="R505" s="442"/>
      <c r="S505" s="314"/>
      <c r="T505" s="314"/>
      <c r="U505" s="314"/>
      <c r="V505" s="315"/>
      <c r="W505" s="451">
        <f t="shared" si="49"/>
        <v>0</v>
      </c>
      <c r="X505" s="451">
        <f t="shared" si="50"/>
        <v>0</v>
      </c>
      <c r="Y505" s="451">
        <f t="shared" si="51"/>
        <v>0</v>
      </c>
      <c r="Z505" s="451">
        <f t="shared" si="52"/>
        <v>0</v>
      </c>
      <c r="AA505" s="451">
        <f t="shared" si="53"/>
        <v>0</v>
      </c>
      <c r="AB505" s="451" t="e">
        <f t="shared" si="54"/>
        <v>#DIV/0!</v>
      </c>
      <c r="AC505" s="452" t="e">
        <f t="shared" si="55"/>
        <v>#DIV/0!</v>
      </c>
      <c r="AE505" s="349" t="str">
        <f>AF505&amp;TM[[#This Row],[Insurer Code]]&amp;"; "&amp;AG505&amp;TM[[#This Row],[Reporting Year]]&amp;"; "&amp;AH505&amp;TM[[#This Row],[Insurance Category Code]]&amp;"; "&amp;AI505&amp;TM[[#This Row],[Large Provider Entity Code]]</f>
        <v xml:space="preserve">Insurer Code ; Reporting Year ; Insurance Category Code ; Large Provider Entity Code </v>
      </c>
      <c r="AF505" s="345" t="s">
        <v>207</v>
      </c>
      <c r="AG505" s="345" t="s">
        <v>208</v>
      </c>
      <c r="AH505" s="345" t="s">
        <v>209</v>
      </c>
      <c r="AI505" s="345" t="s">
        <v>210</v>
      </c>
      <c r="AJ505" s="345"/>
      <c r="AK505" s="345"/>
      <c r="AL505" s="345"/>
      <c r="AM505" s="11"/>
      <c r="AN505" s="11"/>
      <c r="AO505" s="11"/>
    </row>
    <row r="506" spans="1:41" x14ac:dyDescent="0.25">
      <c r="A506" s="311"/>
      <c r="B506" s="312"/>
      <c r="C506" s="312"/>
      <c r="D506" s="312"/>
      <c r="E506" s="328"/>
      <c r="F506" s="442"/>
      <c r="G506" s="314"/>
      <c r="H506" s="314"/>
      <c r="I506" s="314"/>
      <c r="J506" s="314"/>
      <c r="K506" s="314"/>
      <c r="L506" s="314"/>
      <c r="M506" s="314"/>
      <c r="N506" s="314"/>
      <c r="O506" s="314"/>
      <c r="P506" s="314"/>
      <c r="Q506" s="314"/>
      <c r="R506" s="442"/>
      <c r="S506" s="314"/>
      <c r="T506" s="314"/>
      <c r="U506" s="314"/>
      <c r="V506" s="315"/>
      <c r="W506" s="451">
        <f t="shared" si="49"/>
        <v>0</v>
      </c>
      <c r="X506" s="451">
        <f t="shared" si="50"/>
        <v>0</v>
      </c>
      <c r="Y506" s="451">
        <f t="shared" si="51"/>
        <v>0</v>
      </c>
      <c r="Z506" s="451">
        <f t="shared" si="52"/>
        <v>0</v>
      </c>
      <c r="AA506" s="451">
        <f t="shared" si="53"/>
        <v>0</v>
      </c>
      <c r="AB506" s="451" t="e">
        <f t="shared" si="54"/>
        <v>#DIV/0!</v>
      </c>
      <c r="AC506" s="452" t="e">
        <f t="shared" si="55"/>
        <v>#DIV/0!</v>
      </c>
      <c r="AE506" s="349" t="str">
        <f>AF506&amp;TM[[#This Row],[Insurer Code]]&amp;"; "&amp;AG506&amp;TM[[#This Row],[Reporting Year]]&amp;"; "&amp;AH506&amp;TM[[#This Row],[Insurance Category Code]]&amp;"; "&amp;AI506&amp;TM[[#This Row],[Large Provider Entity Code]]</f>
        <v xml:space="preserve">Insurer Code ; Reporting Year ; Insurance Category Code ; Large Provider Entity Code </v>
      </c>
      <c r="AF506" s="345" t="s">
        <v>207</v>
      </c>
      <c r="AG506" s="345" t="s">
        <v>208</v>
      </c>
      <c r="AH506" s="345" t="s">
        <v>209</v>
      </c>
      <c r="AI506" s="345" t="s">
        <v>210</v>
      </c>
      <c r="AJ506" s="345"/>
      <c r="AK506" s="345"/>
      <c r="AL506" s="345"/>
      <c r="AM506" s="11"/>
      <c r="AN506" s="11"/>
      <c r="AO506" s="11"/>
    </row>
    <row r="507" spans="1:41" x14ac:dyDescent="0.25">
      <c r="A507" s="311"/>
      <c r="B507" s="312"/>
      <c r="C507" s="312"/>
      <c r="D507" s="312"/>
      <c r="E507" s="328"/>
      <c r="F507" s="442"/>
      <c r="G507" s="314"/>
      <c r="H507" s="314"/>
      <c r="I507" s="314"/>
      <c r="J507" s="314"/>
      <c r="K507" s="314"/>
      <c r="L507" s="314"/>
      <c r="M507" s="314"/>
      <c r="N507" s="314"/>
      <c r="O507" s="314"/>
      <c r="P507" s="314"/>
      <c r="Q507" s="314"/>
      <c r="R507" s="442"/>
      <c r="S507" s="314"/>
      <c r="T507" s="314"/>
      <c r="U507" s="314"/>
      <c r="V507" s="315"/>
      <c r="W507" s="451">
        <f t="shared" si="49"/>
        <v>0</v>
      </c>
      <c r="X507" s="451">
        <f t="shared" si="50"/>
        <v>0</v>
      </c>
      <c r="Y507" s="451">
        <f t="shared" si="51"/>
        <v>0</v>
      </c>
      <c r="Z507" s="451">
        <f t="shared" si="52"/>
        <v>0</v>
      </c>
      <c r="AA507" s="451">
        <f t="shared" si="53"/>
        <v>0</v>
      </c>
      <c r="AB507" s="451" t="e">
        <f t="shared" si="54"/>
        <v>#DIV/0!</v>
      </c>
      <c r="AC507" s="452" t="e">
        <f t="shared" si="55"/>
        <v>#DIV/0!</v>
      </c>
      <c r="AE507" s="349" t="str">
        <f>AF507&amp;TM[[#This Row],[Insurer Code]]&amp;"; "&amp;AG507&amp;TM[[#This Row],[Reporting Year]]&amp;"; "&amp;AH507&amp;TM[[#This Row],[Insurance Category Code]]&amp;"; "&amp;AI507&amp;TM[[#This Row],[Large Provider Entity Code]]</f>
        <v xml:space="preserve">Insurer Code ; Reporting Year ; Insurance Category Code ; Large Provider Entity Code </v>
      </c>
      <c r="AF507" s="345" t="s">
        <v>207</v>
      </c>
      <c r="AG507" s="345" t="s">
        <v>208</v>
      </c>
      <c r="AH507" s="345" t="s">
        <v>209</v>
      </c>
      <c r="AI507" s="345" t="s">
        <v>210</v>
      </c>
      <c r="AJ507" s="345"/>
      <c r="AK507" s="345"/>
      <c r="AL507" s="345"/>
      <c r="AM507" s="11"/>
      <c r="AN507" s="11"/>
      <c r="AO507" s="11"/>
    </row>
    <row r="508" spans="1:41" x14ac:dyDescent="0.25">
      <c r="A508" s="311"/>
      <c r="B508" s="312"/>
      <c r="C508" s="312"/>
      <c r="D508" s="312"/>
      <c r="E508" s="328"/>
      <c r="F508" s="442"/>
      <c r="G508" s="314"/>
      <c r="H508" s="314"/>
      <c r="I508" s="314"/>
      <c r="J508" s="314"/>
      <c r="K508" s="314"/>
      <c r="L508" s="314"/>
      <c r="M508" s="314"/>
      <c r="N508" s="314"/>
      <c r="O508" s="314"/>
      <c r="P508" s="314"/>
      <c r="Q508" s="314"/>
      <c r="R508" s="442"/>
      <c r="S508" s="314"/>
      <c r="T508" s="314"/>
      <c r="U508" s="314"/>
      <c r="V508" s="315"/>
      <c r="W508" s="451">
        <f t="shared" si="49"/>
        <v>0</v>
      </c>
      <c r="X508" s="451">
        <f t="shared" si="50"/>
        <v>0</v>
      </c>
      <c r="Y508" s="451">
        <f t="shared" si="51"/>
        <v>0</v>
      </c>
      <c r="Z508" s="451">
        <f t="shared" si="52"/>
        <v>0</v>
      </c>
      <c r="AA508" s="451">
        <f t="shared" si="53"/>
        <v>0</v>
      </c>
      <c r="AB508" s="451" t="e">
        <f t="shared" si="54"/>
        <v>#DIV/0!</v>
      </c>
      <c r="AC508" s="452" t="e">
        <f t="shared" si="55"/>
        <v>#DIV/0!</v>
      </c>
      <c r="AE508" s="349" t="str">
        <f>AF508&amp;TM[[#This Row],[Insurer Code]]&amp;"; "&amp;AG508&amp;TM[[#This Row],[Reporting Year]]&amp;"; "&amp;AH508&amp;TM[[#This Row],[Insurance Category Code]]&amp;"; "&amp;AI508&amp;TM[[#This Row],[Large Provider Entity Code]]</f>
        <v xml:space="preserve">Insurer Code ; Reporting Year ; Insurance Category Code ; Large Provider Entity Code </v>
      </c>
      <c r="AF508" s="345" t="s">
        <v>207</v>
      </c>
      <c r="AG508" s="345" t="s">
        <v>208</v>
      </c>
      <c r="AH508" s="345" t="s">
        <v>209</v>
      </c>
      <c r="AI508" s="345" t="s">
        <v>210</v>
      </c>
      <c r="AJ508" s="345"/>
      <c r="AK508" s="345"/>
      <c r="AL508" s="345"/>
      <c r="AM508" s="11"/>
      <c r="AN508" s="11"/>
      <c r="AO508" s="11"/>
    </row>
    <row r="509" spans="1:41" x14ac:dyDescent="0.25">
      <c r="A509" s="311"/>
      <c r="B509" s="312"/>
      <c r="C509" s="312"/>
      <c r="D509" s="312"/>
      <c r="E509" s="328"/>
      <c r="F509" s="442"/>
      <c r="G509" s="314"/>
      <c r="H509" s="314"/>
      <c r="I509" s="314"/>
      <c r="J509" s="314"/>
      <c r="K509" s="314"/>
      <c r="L509" s="314"/>
      <c r="M509" s="314"/>
      <c r="N509" s="314"/>
      <c r="O509" s="314"/>
      <c r="P509" s="314"/>
      <c r="Q509" s="314"/>
      <c r="R509" s="442"/>
      <c r="S509" s="314"/>
      <c r="T509" s="314"/>
      <c r="U509" s="314"/>
      <c r="V509" s="315"/>
      <c r="W509" s="451">
        <f t="shared" si="49"/>
        <v>0</v>
      </c>
      <c r="X509" s="451">
        <f t="shared" si="50"/>
        <v>0</v>
      </c>
      <c r="Y509" s="451">
        <f t="shared" si="51"/>
        <v>0</v>
      </c>
      <c r="Z509" s="451">
        <f t="shared" si="52"/>
        <v>0</v>
      </c>
      <c r="AA509" s="451">
        <f t="shared" si="53"/>
        <v>0</v>
      </c>
      <c r="AB509" s="451" t="e">
        <f t="shared" si="54"/>
        <v>#DIV/0!</v>
      </c>
      <c r="AC509" s="452" t="e">
        <f t="shared" si="55"/>
        <v>#DIV/0!</v>
      </c>
      <c r="AE509" s="349" t="str">
        <f>AF509&amp;TM[[#This Row],[Insurer Code]]&amp;"; "&amp;AG509&amp;TM[[#This Row],[Reporting Year]]&amp;"; "&amp;AH509&amp;TM[[#This Row],[Insurance Category Code]]&amp;"; "&amp;AI509&amp;TM[[#This Row],[Large Provider Entity Code]]</f>
        <v xml:space="preserve">Insurer Code ; Reporting Year ; Insurance Category Code ; Large Provider Entity Code </v>
      </c>
      <c r="AF509" s="345" t="s">
        <v>207</v>
      </c>
      <c r="AG509" s="345" t="s">
        <v>208</v>
      </c>
      <c r="AH509" s="345" t="s">
        <v>209</v>
      </c>
      <c r="AI509" s="345" t="s">
        <v>210</v>
      </c>
      <c r="AJ509" s="345"/>
      <c r="AK509" s="345"/>
      <c r="AL509" s="345"/>
      <c r="AM509" s="11"/>
      <c r="AN509" s="11"/>
      <c r="AO509" s="11"/>
    </row>
    <row r="510" spans="1:41" x14ac:dyDescent="0.25">
      <c r="A510" s="311"/>
      <c r="B510" s="312"/>
      <c r="C510" s="312"/>
      <c r="D510" s="312"/>
      <c r="E510" s="328"/>
      <c r="F510" s="442"/>
      <c r="G510" s="314"/>
      <c r="H510" s="314"/>
      <c r="I510" s="314"/>
      <c r="J510" s="314"/>
      <c r="K510" s="314"/>
      <c r="L510" s="314"/>
      <c r="M510" s="314"/>
      <c r="N510" s="314"/>
      <c r="O510" s="314"/>
      <c r="P510" s="314"/>
      <c r="Q510" s="314"/>
      <c r="R510" s="442"/>
      <c r="S510" s="314"/>
      <c r="T510" s="314"/>
      <c r="U510" s="314"/>
      <c r="V510" s="315"/>
      <c r="W510" s="451"/>
      <c r="X510" s="451"/>
      <c r="Y510" s="451"/>
      <c r="Z510" s="451"/>
      <c r="AA510" s="451"/>
      <c r="AB510" s="451"/>
      <c r="AC510" s="452"/>
      <c r="AE510" s="349" t="str">
        <f>AF510&amp;TM[[#This Row],[Insurer Code]]&amp;"; "&amp;AG510&amp;TM[[#This Row],[Reporting Year]]&amp;"; "&amp;AH510&amp;TM[[#This Row],[Insurance Category Code]]&amp;"; "&amp;AI510&amp;TM[[#This Row],[Large Provider Entity Code]]</f>
        <v xml:space="preserve">Insurer Code ; Reporting Year ; Insurance Category Code ; Large Provider Entity Code </v>
      </c>
      <c r="AF510" s="345" t="s">
        <v>207</v>
      </c>
      <c r="AG510" s="345" t="s">
        <v>208</v>
      </c>
      <c r="AH510" s="345" t="s">
        <v>209</v>
      </c>
      <c r="AI510" s="345" t="s">
        <v>210</v>
      </c>
      <c r="AJ510" s="345"/>
      <c r="AK510" s="345"/>
      <c r="AL510" s="345"/>
      <c r="AM510" s="11"/>
      <c r="AN510" s="11"/>
      <c r="AO510" s="11"/>
    </row>
    <row r="511" spans="1:41" x14ac:dyDescent="0.25">
      <c r="A511" s="311"/>
      <c r="B511" s="312"/>
      <c r="C511" s="312"/>
      <c r="D511" s="312"/>
      <c r="E511" s="328"/>
      <c r="F511" s="442"/>
      <c r="G511" s="314"/>
      <c r="H511" s="314"/>
      <c r="I511" s="314"/>
      <c r="J511" s="314"/>
      <c r="K511" s="314"/>
      <c r="L511" s="314"/>
      <c r="M511" s="314"/>
      <c r="N511" s="314"/>
      <c r="O511" s="314"/>
      <c r="P511" s="314"/>
      <c r="Q511" s="314"/>
      <c r="R511" s="442"/>
      <c r="S511" s="314"/>
      <c r="T511" s="314"/>
      <c r="U511" s="314"/>
      <c r="V511" s="315"/>
      <c r="W511" s="451"/>
      <c r="X511" s="451"/>
      <c r="Y511" s="451"/>
      <c r="Z511" s="451"/>
      <c r="AA511" s="451"/>
      <c r="AB511" s="451"/>
      <c r="AC511" s="452"/>
      <c r="AE511" s="349" t="str">
        <f>AF511&amp;TM[[#This Row],[Insurer Code]]&amp;"; "&amp;AG511&amp;TM[[#This Row],[Reporting Year]]&amp;"; "&amp;AH511&amp;TM[[#This Row],[Insurance Category Code]]&amp;"; "&amp;AI511&amp;TM[[#This Row],[Large Provider Entity Code]]</f>
        <v xml:space="preserve">Insurer Code ; Reporting Year ; Insurance Category Code ; Large Provider Entity Code </v>
      </c>
      <c r="AF511" s="345" t="s">
        <v>207</v>
      </c>
      <c r="AG511" s="345" t="s">
        <v>208</v>
      </c>
      <c r="AH511" s="345" t="s">
        <v>209</v>
      </c>
      <c r="AI511" s="345" t="s">
        <v>210</v>
      </c>
      <c r="AJ511" s="345"/>
      <c r="AK511" s="345"/>
      <c r="AL511" s="345"/>
      <c r="AM511" s="11"/>
      <c r="AN511" s="11"/>
      <c r="AO511" s="11"/>
    </row>
    <row r="512" spans="1:41" x14ac:dyDescent="0.25">
      <c r="A512" s="311"/>
      <c r="B512" s="312"/>
      <c r="C512" s="312"/>
      <c r="D512" s="312"/>
      <c r="E512" s="328"/>
      <c r="F512" s="442"/>
      <c r="G512" s="314"/>
      <c r="H512" s="314"/>
      <c r="I512" s="314"/>
      <c r="J512" s="314"/>
      <c r="K512" s="314"/>
      <c r="L512" s="314"/>
      <c r="M512" s="314"/>
      <c r="N512" s="314"/>
      <c r="O512" s="314"/>
      <c r="P512" s="314"/>
      <c r="Q512" s="314"/>
      <c r="R512" s="442"/>
      <c r="S512" s="314"/>
      <c r="T512" s="314"/>
      <c r="U512" s="314"/>
      <c r="V512" s="315"/>
      <c r="W512" s="451"/>
      <c r="X512" s="451"/>
      <c r="Y512" s="451"/>
      <c r="Z512" s="451"/>
      <c r="AA512" s="451"/>
      <c r="AB512" s="451"/>
      <c r="AC512" s="452"/>
      <c r="AE512" s="349" t="str">
        <f>AF512&amp;TM[[#This Row],[Insurer Code]]&amp;"; "&amp;AG512&amp;TM[[#This Row],[Reporting Year]]&amp;"; "&amp;AH512&amp;TM[[#This Row],[Insurance Category Code]]&amp;"; "&amp;AI512&amp;TM[[#This Row],[Large Provider Entity Code]]</f>
        <v xml:space="preserve">Insurer Code ; Reporting Year ; Insurance Category Code ; Large Provider Entity Code </v>
      </c>
      <c r="AF512" s="345" t="s">
        <v>207</v>
      </c>
      <c r="AG512" s="345" t="s">
        <v>208</v>
      </c>
      <c r="AH512" s="345" t="s">
        <v>209</v>
      </c>
      <c r="AI512" s="345" t="s">
        <v>210</v>
      </c>
      <c r="AJ512" s="345"/>
      <c r="AK512" s="345"/>
      <c r="AL512" s="345"/>
      <c r="AM512" s="11"/>
      <c r="AN512" s="11"/>
      <c r="AO512" s="11"/>
    </row>
    <row r="513" spans="1:41" x14ac:dyDescent="0.25">
      <c r="A513" s="311"/>
      <c r="B513" s="312"/>
      <c r="C513" s="312"/>
      <c r="D513" s="312"/>
      <c r="E513" s="328"/>
      <c r="F513" s="442"/>
      <c r="G513" s="314"/>
      <c r="H513" s="314"/>
      <c r="I513" s="314"/>
      <c r="J513" s="314"/>
      <c r="K513" s="314"/>
      <c r="L513" s="314"/>
      <c r="M513" s="314"/>
      <c r="N513" s="314"/>
      <c r="O513" s="314"/>
      <c r="P513" s="314"/>
      <c r="Q513" s="314"/>
      <c r="R513" s="442"/>
      <c r="S513" s="314"/>
      <c r="T513" s="314"/>
      <c r="U513" s="314"/>
      <c r="V513" s="315"/>
      <c r="W513" s="451"/>
      <c r="X513" s="451"/>
      <c r="Y513" s="451"/>
      <c r="Z513" s="451"/>
      <c r="AA513" s="451"/>
      <c r="AB513" s="451"/>
      <c r="AC513" s="452"/>
      <c r="AE513" s="349" t="str">
        <f>AF513&amp;TM[[#This Row],[Insurer Code]]&amp;"; "&amp;AG513&amp;TM[[#This Row],[Reporting Year]]&amp;"; "&amp;AH513&amp;TM[[#This Row],[Insurance Category Code]]&amp;"; "&amp;AI513&amp;TM[[#This Row],[Large Provider Entity Code]]</f>
        <v xml:space="preserve">Insurer Code ; Reporting Year ; Insurance Category Code ; Large Provider Entity Code </v>
      </c>
      <c r="AF513" s="345" t="s">
        <v>207</v>
      </c>
      <c r="AG513" s="345" t="s">
        <v>208</v>
      </c>
      <c r="AH513" s="345" t="s">
        <v>209</v>
      </c>
      <c r="AI513" s="345" t="s">
        <v>210</v>
      </c>
      <c r="AJ513" s="345"/>
      <c r="AK513" s="345"/>
      <c r="AL513" s="345"/>
      <c r="AM513" s="11"/>
      <c r="AN513" s="11"/>
      <c r="AO513" s="11"/>
    </row>
    <row r="514" spans="1:41" x14ac:dyDescent="0.25">
      <c r="A514" s="311"/>
      <c r="B514" s="312"/>
      <c r="C514" s="312"/>
      <c r="D514" s="312"/>
      <c r="E514" s="328"/>
      <c r="F514" s="442"/>
      <c r="G514" s="314"/>
      <c r="H514" s="314"/>
      <c r="I514" s="314"/>
      <c r="J514" s="314"/>
      <c r="K514" s="314"/>
      <c r="L514" s="314"/>
      <c r="M514" s="314"/>
      <c r="N514" s="314"/>
      <c r="O514" s="314"/>
      <c r="P514" s="314"/>
      <c r="Q514" s="314"/>
      <c r="R514" s="442"/>
      <c r="S514" s="314"/>
      <c r="T514" s="314"/>
      <c r="U514" s="314"/>
      <c r="V514" s="315"/>
      <c r="W514" s="451"/>
      <c r="X514" s="451"/>
      <c r="Y514" s="451"/>
      <c r="Z514" s="451"/>
      <c r="AA514" s="451"/>
      <c r="AB514" s="451"/>
      <c r="AC514" s="452"/>
      <c r="AE514" s="349" t="str">
        <f>AF514&amp;TM[[#This Row],[Insurer Code]]&amp;"; "&amp;AG514&amp;TM[[#This Row],[Reporting Year]]&amp;"; "&amp;AH514&amp;TM[[#This Row],[Insurance Category Code]]&amp;"; "&amp;AI514&amp;TM[[#This Row],[Large Provider Entity Code]]</f>
        <v xml:space="preserve">Insurer Code ; Reporting Year ; Insurance Category Code ; Large Provider Entity Code </v>
      </c>
      <c r="AF514" s="345" t="s">
        <v>207</v>
      </c>
      <c r="AG514" s="345" t="s">
        <v>208</v>
      </c>
      <c r="AH514" s="345" t="s">
        <v>209</v>
      </c>
      <c r="AI514" s="345" t="s">
        <v>210</v>
      </c>
      <c r="AJ514" s="345"/>
      <c r="AK514" s="345"/>
      <c r="AL514" s="345"/>
      <c r="AM514" s="11"/>
      <c r="AN514" s="11"/>
      <c r="AO514" s="11"/>
    </row>
    <row r="515" spans="1:41" x14ac:dyDescent="0.25">
      <c r="A515" s="311"/>
      <c r="B515" s="312"/>
      <c r="C515" s="312"/>
      <c r="D515" s="312"/>
      <c r="E515" s="328"/>
      <c r="F515" s="442"/>
      <c r="G515" s="314"/>
      <c r="H515" s="314"/>
      <c r="I515" s="314"/>
      <c r="J515" s="314"/>
      <c r="K515" s="314"/>
      <c r="L515" s="314"/>
      <c r="M515" s="314"/>
      <c r="N515" s="314"/>
      <c r="O515" s="314"/>
      <c r="P515" s="314"/>
      <c r="Q515" s="314"/>
      <c r="R515" s="442"/>
      <c r="S515" s="314"/>
      <c r="T515" s="314"/>
      <c r="U515" s="314"/>
      <c r="V515" s="315"/>
      <c r="W515" s="451"/>
      <c r="X515" s="451"/>
      <c r="Y515" s="451"/>
      <c r="Z515" s="451"/>
      <c r="AA515" s="451"/>
      <c r="AB515" s="451"/>
      <c r="AC515" s="452"/>
      <c r="AE515" s="349" t="str">
        <f>AF515&amp;TM[[#This Row],[Insurer Code]]&amp;"; "&amp;AG515&amp;TM[[#This Row],[Reporting Year]]&amp;"; "&amp;AH515&amp;TM[[#This Row],[Insurance Category Code]]&amp;"; "&amp;AI515&amp;TM[[#This Row],[Large Provider Entity Code]]</f>
        <v xml:space="preserve">Insurer Code ; Reporting Year ; Insurance Category Code ; Large Provider Entity Code </v>
      </c>
      <c r="AF515" s="345" t="s">
        <v>207</v>
      </c>
      <c r="AG515" s="345" t="s">
        <v>208</v>
      </c>
      <c r="AH515" s="345" t="s">
        <v>209</v>
      </c>
      <c r="AI515" s="345" t="s">
        <v>210</v>
      </c>
      <c r="AJ515" s="345"/>
      <c r="AK515" s="345"/>
      <c r="AL515" s="345"/>
      <c r="AM515" s="11"/>
      <c r="AN515" s="11"/>
      <c r="AO515" s="11"/>
    </row>
  </sheetData>
  <sheetProtection insertRows="0" sort="0" autoFilter="0" pivotTables="0"/>
  <protectedRanges>
    <protectedRange sqref="W12:AC331" name="Range1"/>
  </protectedRanges>
  <phoneticPr fontId="17" type="noConversion"/>
  <conditionalFormatting sqref="E12:E515">
    <cfRule type="expression" dxfId="766" priority="11" stopIfTrue="1">
      <formula>MOD(E12,1)&lt;&gt;0</formula>
    </cfRule>
  </conditionalFormatting>
  <conditionalFormatting sqref="P12:Q107 S12:V12 F12:N107 S13:T107 V13:V107 U13:U331">
    <cfRule type="cellIs" dxfId="765" priority="19" stopIfTrue="1" operator="lessThan">
      <formula>0</formula>
    </cfRule>
  </conditionalFormatting>
  <conditionalFormatting sqref="A12:A515">
    <cfRule type="containsBlanks" dxfId="764" priority="2" stopIfTrue="1">
      <formula>LEN(TRIM(A12))=0</formula>
    </cfRule>
    <cfRule type="expression" dxfId="763" priority="3">
      <formula>AND(A12&lt;&gt;201, A12&lt;&gt;202, A12&lt;&gt;203, A12&lt;&gt;204, A12&lt;&gt;205, A12&lt;&gt;206, A12&lt;&gt;207)</formula>
    </cfRule>
  </conditionalFormatting>
  <conditionalFormatting sqref="V12:V515">
    <cfRule type="expression" dxfId="762" priority="20" stopIfTrue="1">
      <formula>MOD(V12,1)&lt;&gt;0</formula>
    </cfRule>
  </conditionalFormatting>
  <conditionalFormatting sqref="D12:D515">
    <cfRule type="containsBlanks" dxfId="761" priority="9" stopIfTrue="1">
      <formula>LEN(TRIM(D12))=0</formula>
    </cfRule>
    <cfRule type="expression" dxfId="760" priority="10">
      <formula>AND(D12&lt;&gt;100, D12&lt;&gt;101, D12&lt;&gt;102, D12&lt;&gt;103, D12&lt;&gt;104, D12&lt;&gt;105, D12&lt;&gt;106, D12&lt;&gt;107, D12&lt;&gt;108, D12&lt;&gt;109, D12&lt;&gt;110, D12&lt;&gt;111, D12&lt;&gt;112, D12&lt;&gt;115, D12&lt;&gt;116, D12&lt;&gt;118, D12&lt;&gt;119, D12&lt;&gt;120, D12&lt;&gt;121, D12&lt;&gt;122, D12&lt;&gt;999)</formula>
    </cfRule>
  </conditionalFormatting>
  <conditionalFormatting sqref="B12:B515">
    <cfRule type="containsBlanks" dxfId="759" priority="4" stopIfTrue="1">
      <formula>LEN(TRIM(B12))=0</formula>
    </cfRule>
    <cfRule type="expression" dxfId="758" priority="5" stopIfTrue="1">
      <formula>ISNUMBER(B12)=FALSE</formula>
    </cfRule>
    <cfRule type="expression" dxfId="757" priority="6">
      <formula>AND(B12&lt;&gt;2021, B12&lt;&gt;2022,B12&lt;&gt;2023)</formula>
    </cfRule>
  </conditionalFormatting>
  <conditionalFormatting sqref="C12:C515">
    <cfRule type="containsBlanks" dxfId="756" priority="7" stopIfTrue="1">
      <formula>LEN(TRIM(C12))=0</formula>
    </cfRule>
    <cfRule type="expression" dxfId="755" priority="8">
      <formula>AND(C12&lt;&gt;1, C12&lt;&gt;2, C12&lt;&gt;3, C12&lt;&gt;4, C12&lt;&gt;5, C12&lt;&gt;6, C12&lt;&gt;7, C12&lt;&gt;8)</formula>
    </cfRule>
  </conditionalFormatting>
  <conditionalFormatting sqref="R12:R515">
    <cfRule type="containsBlanks" priority="12" stopIfTrue="1">
      <formula>LEN(TRIM(R12))=0</formula>
    </cfRule>
    <cfRule type="cellIs" dxfId="754" priority="13" stopIfTrue="1" operator="greaterThan">
      <formula>0</formula>
    </cfRule>
    <cfRule type="expression" dxfId="753" priority="14" stopIfTrue="1">
      <formula>ISNUMBER(R12)=FALSE</formula>
    </cfRule>
  </conditionalFormatting>
  <conditionalFormatting sqref="O12:O515">
    <cfRule type="containsBlanks" priority="15" stopIfTrue="1">
      <formula>LEN(TRIM(O12))=0</formula>
    </cfRule>
    <cfRule type="expression" dxfId="752" priority="16" stopIfTrue="1">
      <formula>ISNUMBER(O12)=FALSE</formula>
    </cfRule>
  </conditionalFormatting>
  <conditionalFormatting sqref="P12:Q515 F12:N515 S12:V515">
    <cfRule type="containsBlanks" priority="17" stopIfTrue="1">
      <formula>LEN(TRIM(F12))=0</formula>
    </cfRule>
  </conditionalFormatting>
  <conditionalFormatting sqref="P12:Q515 F12:N515 S12:V515">
    <cfRule type="expression" dxfId="751" priority="18" stopIfTrue="1">
      <formula>ISNUMBER(F12)=FALSE</formula>
    </cfRule>
  </conditionalFormatting>
  <dataValidations xWindow="646" yWindow="659" count="8">
    <dataValidation type="decimal" operator="greaterThanOrEqual" showInputMessage="1" showErrorMessage="1" error="Input must be a non-negative number" promptTitle="Input required" prompt="Enter non-negative number_x000a_" sqref="U12:U515" xr:uid="{FD516FB1-5CF0-47D7-A149-0E1BFAD24D34}">
      <formula1>0</formula1>
    </dataValidation>
    <dataValidation type="decimal" operator="greaterThanOrEqual" allowBlank="1" showInputMessage="1" showErrorMessage="1" error="Input must be a non-negative number" promptTitle="Input required" prompt="Enter non-negative number" sqref="F12:N515 P12:Q515" xr:uid="{CE53AC06-DC5F-4E00-ADE4-95A959C0F87C}">
      <formula1>0</formula1>
    </dataValidation>
    <dataValidation type="decimal" showInputMessage="1" showErrorMessage="1" errorTitle="Invalid format" error="Input must be a non-positive number (zero or negative number)" promptTitle="Input required" prompt="Enter non-positive number (zero or negative number)" sqref="R12:R515" xr:uid="{3D6A0F3E-25FC-43D8-8B4A-FEAFF1FB4262}">
      <formula1>-9.99999999999999E+92</formula1>
      <formula2>0</formula2>
    </dataValidation>
    <dataValidation type="whole" operator="greaterThanOrEqual" allowBlank="1" showInputMessage="1" showErrorMessage="1" error="Input must be a non-negative integer" promptTitle="Input required" prompt="Enter non-negative integer_x000a_" sqref="E12:E515" xr:uid="{1CB57832-4887-42EC-8419-DDB1D8AE6C23}">
      <formula1>0</formula1>
    </dataValidation>
    <dataValidation type="whole" operator="greaterThanOrEqual" allowBlank="1" showInputMessage="1" showErrorMessage="1" error="Input must be a non-negative integer" prompt="Enter non-negative integer; input must be greater than zero if the Total Claims Excluded Due to Truncation field (TM21) is greater than zero" sqref="V12:V515" xr:uid="{94C1A005-1766-4B54-828E-9AF108D9758F}">
      <formula1>0</formula1>
    </dataValidation>
    <dataValidation type="decimal" operator="greaterThanOrEqual" allowBlank="1" showInputMessage="1" showErrorMessage="1" promptTitle="Input Required" prompt="Enter non-negative number" sqref="O12:O515" xr:uid="{B922AD8D-27C6-4E03-850C-F00EC3E51AA1}">
      <formula1>0</formula1>
    </dataValidation>
    <dataValidation type="decimal" operator="greaterThanOrEqual" allowBlank="1" showInputMessage="1" showErrorMessage="1" promptTitle="Input required" prompt="Enter non-negative number" sqref="S12:T515" xr:uid="{C0CADD1D-5923-4F99-8379-8839BCA4B433}">
      <formula1>0</formula1>
    </dataValidation>
    <dataValidation type="list" allowBlank="1" showInputMessage="1" showErrorMessage="1" sqref="B12:B515" xr:uid="{C051BEE9-65CF-4B3B-8B5C-5F9E6859D479}">
      <formula1>"2021,2022,2023"</formula1>
    </dataValidation>
  </dataValidations>
  <pageMargins left="0.7" right="0.7" top="0.75" bottom="0.75" header="0.3" footer="0.3"/>
  <pageSetup scale="17" fitToHeight="100" orientation="landscape" r:id="rId1"/>
  <headerFooter>
    <oddFooter>&amp;L&amp;"-,Bold"Carrier Benchmark Data Submission Template&amp;"-,Regular" | NJ Hart Program &amp;RPage &amp;P</oddFooter>
  </headerFooter>
  <tableParts count="1">
    <tablePart r:id="rId2"/>
  </tableParts>
  <extLst>
    <ext xmlns:x14="http://schemas.microsoft.com/office/spreadsheetml/2009/9/main" uri="{CCE6A557-97BC-4b89-ADB6-D9C93CAAB3DF}">
      <x14:dataValidations xmlns:xm="http://schemas.microsoft.com/office/excel/2006/main" xWindow="646" yWindow="659" count="3">
        <x14:dataValidation type="list" allowBlank="1" showInputMessage="1" showErrorMessage="1" error="Select Insurance Category Code as listed in the Reference Tables tab." promptTitle="Input required" prompt="Input must be an option from the drop down list." xr:uid="{2FD5DECD-5289-48BB-BCD9-EFB51DDA03CD}">
          <x14:formula1>
            <xm:f>'Reference Tables'!$A$16:$A$23</xm:f>
          </x14:formula1>
          <xm:sqref>C12:C515</xm:sqref>
        </x14:dataValidation>
        <x14:dataValidation type="list" allowBlank="1" showInputMessage="1" showErrorMessage="1" promptTitle="Input required" prompt="Input must align with the Insurer Code in the file name and the Insurer Name (CP01) on the Cover Page tab" xr:uid="{339F5EBC-98F1-4BAC-963B-E98D03B71302}">
          <x14:formula1>
            <xm:f>'Reference Tables'!$A$6:$A$12</xm:f>
          </x14:formula1>
          <xm:sqref>A12:A515</xm:sqref>
        </x14:dataValidation>
        <x14:dataValidation type="list" allowBlank="1" showInputMessage="1" showErrorMessage="1" error="Select a Large Provider Entity Code from the Reference Table tab." promptTitle="Input required" prompt="Input must be an option from the drop down list if Member Months field (TM05) is greater than zero" xr:uid="{CFDFFACA-9F50-4FA4-A018-1249C4388B3F}">
          <x14:formula1>
            <xm:f>'Reference Tables'!$A$27:$A$47</xm:f>
          </x14:formula1>
          <xm:sqref>D12:D515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5417C-57D1-4B6D-9EDA-5FEED082892B}">
  <sheetPr>
    <tabColor theme="9" tint="0.39997558519241921"/>
    <pageSetUpPr fitToPage="1"/>
  </sheetPr>
  <dimension ref="A1:V8075"/>
  <sheetViews>
    <sheetView showGridLines="0" topLeftCell="A113" zoomScale="90" zoomScaleNormal="90" workbookViewId="0">
      <selection activeCell="A16" sqref="A16"/>
    </sheetView>
  </sheetViews>
  <sheetFormatPr defaultColWidth="9.140625" defaultRowHeight="15" x14ac:dyDescent="0.25"/>
  <cols>
    <col min="1" max="6" width="15.7109375" style="10" customWidth="1"/>
    <col min="7" max="10" width="25.7109375" style="10" customWidth="1"/>
    <col min="11" max="11" width="25.7109375" style="11" customWidth="1"/>
    <col min="12" max="12" width="8.7109375" style="10" customWidth="1"/>
    <col min="13" max="13" width="131.5703125" style="10" bestFit="1" customWidth="1"/>
    <col min="14" max="20" width="9.140625" style="347"/>
    <col min="21" max="22" width="9.140625" style="47"/>
    <col min="23" max="16384" width="9.140625" style="10"/>
  </cols>
  <sheetData>
    <row r="1" spans="1:22" ht="18.75" x14ac:dyDescent="0.3">
      <c r="A1" s="9" t="s">
        <v>33</v>
      </c>
      <c r="B1" s="277"/>
      <c r="C1" s="277"/>
      <c r="D1" s="277"/>
      <c r="E1" s="277"/>
      <c r="F1" s="277"/>
      <c r="G1" s="1"/>
      <c r="H1" s="1"/>
      <c r="I1" s="1"/>
      <c r="J1" s="1"/>
      <c r="K1" s="1"/>
    </row>
    <row r="2" spans="1:22" ht="15" customHeight="1" x14ac:dyDescent="0.25">
      <c r="A2" s="21" t="s">
        <v>147</v>
      </c>
      <c r="B2" s="277"/>
      <c r="C2" s="277"/>
      <c r="D2" s="277"/>
      <c r="E2" s="277"/>
      <c r="F2" s="277"/>
      <c r="G2" s="1"/>
      <c r="H2" s="1"/>
      <c r="I2" s="1"/>
      <c r="J2" s="1"/>
      <c r="K2" s="1"/>
    </row>
    <row r="3" spans="1:22" ht="15" customHeight="1" x14ac:dyDescent="0.25">
      <c r="A3" s="21"/>
      <c r="B3" s="277"/>
      <c r="C3" s="277"/>
      <c r="D3" s="277"/>
      <c r="E3" s="277"/>
      <c r="F3" s="277"/>
      <c r="G3" s="1"/>
      <c r="H3" s="1"/>
      <c r="I3" s="1"/>
      <c r="J3" s="1"/>
      <c r="K3" s="1"/>
    </row>
    <row r="4" spans="1:22" s="39" customFormat="1" x14ac:dyDescent="0.25">
      <c r="A4" s="270" t="s">
        <v>132</v>
      </c>
      <c r="B4" s="40"/>
      <c r="C4" s="40"/>
      <c r="D4" s="40"/>
      <c r="E4" s="40"/>
      <c r="F4" s="40"/>
      <c r="G4" s="29"/>
      <c r="H4" s="29"/>
      <c r="I4" s="29"/>
      <c r="J4" s="29"/>
      <c r="K4" s="29"/>
      <c r="N4" s="347"/>
      <c r="O4" s="347"/>
      <c r="P4" s="347"/>
      <c r="Q4" s="347"/>
      <c r="R4" s="347"/>
      <c r="S4" s="347"/>
      <c r="T4" s="347"/>
      <c r="U4" s="47"/>
      <c r="V4" s="47"/>
    </row>
    <row r="5" spans="1:22" ht="30" customHeight="1" x14ac:dyDescent="0.25">
      <c r="A5" s="638" t="s">
        <v>211</v>
      </c>
      <c r="B5" s="638"/>
      <c r="C5" s="638"/>
      <c r="D5" s="638"/>
      <c r="E5" s="638"/>
      <c r="F5" s="638"/>
      <c r="G5" s="638"/>
      <c r="H5" s="638"/>
      <c r="I5" s="638"/>
      <c r="J5" s="638"/>
      <c r="K5" s="638"/>
    </row>
    <row r="6" spans="1:22" x14ac:dyDescent="0.25">
      <c r="A6" s="640" t="s">
        <v>133</v>
      </c>
      <c r="B6" s="640"/>
      <c r="C6" s="640"/>
      <c r="D6" s="640"/>
      <c r="E6" s="640"/>
      <c r="F6" s="640"/>
      <c r="G6" s="640"/>
      <c r="H6" s="640"/>
      <c r="I6" s="640"/>
      <c r="J6" s="640"/>
      <c r="K6" s="640"/>
    </row>
    <row r="7" spans="1:22" x14ac:dyDescent="0.25">
      <c r="A7" s="639" t="s">
        <v>150</v>
      </c>
      <c r="B7" s="639"/>
      <c r="C7" s="639"/>
      <c r="D7" s="639"/>
      <c r="E7" s="639"/>
      <c r="F7" s="639"/>
      <c r="G7" s="639"/>
      <c r="H7" s="639"/>
      <c r="I7" s="639"/>
      <c r="J7" s="639"/>
      <c r="K7" s="639"/>
    </row>
    <row r="8" spans="1:22" s="11" customFormat="1" x14ac:dyDescent="0.25">
      <c r="A8"/>
      <c r="B8"/>
      <c r="C8"/>
      <c r="D8"/>
      <c r="E8"/>
      <c r="F8"/>
      <c r="G8"/>
      <c r="H8"/>
      <c r="I8"/>
      <c r="J8"/>
      <c r="K8"/>
      <c r="N8" s="345"/>
      <c r="O8" s="345"/>
      <c r="P8" s="345"/>
      <c r="Q8" s="345"/>
      <c r="R8" s="345"/>
      <c r="S8" s="345"/>
      <c r="T8" s="345"/>
      <c r="U8" s="346"/>
      <c r="V8" s="346"/>
    </row>
    <row r="9" spans="1:22" s="11" customFormat="1" x14ac:dyDescent="0.25">
      <c r="A9"/>
      <c r="B9"/>
      <c r="C9"/>
      <c r="D9"/>
      <c r="E9"/>
      <c r="F9"/>
      <c r="G9"/>
      <c r="H9"/>
      <c r="I9"/>
      <c r="J9"/>
      <c r="K9"/>
      <c r="L9" s="20"/>
      <c r="N9" s="345"/>
      <c r="O9" s="345"/>
      <c r="P9" s="345"/>
      <c r="Q9" s="345"/>
      <c r="R9" s="345"/>
      <c r="S9" s="345"/>
      <c r="T9" s="345"/>
      <c r="U9" s="346"/>
      <c r="V9" s="346"/>
    </row>
    <row r="10" spans="1:22" s="39" customFormat="1" x14ac:dyDescent="0.25">
      <c r="A10" s="69" t="s">
        <v>212</v>
      </c>
      <c r="B10" s="69" t="s">
        <v>213</v>
      </c>
      <c r="C10" s="69" t="s">
        <v>214</v>
      </c>
      <c r="D10" s="69" t="s">
        <v>215</v>
      </c>
      <c r="E10" s="69" t="s">
        <v>216</v>
      </c>
      <c r="F10" s="69" t="s">
        <v>217</v>
      </c>
      <c r="G10" s="69" t="s">
        <v>218</v>
      </c>
      <c r="H10" s="69" t="s">
        <v>219</v>
      </c>
      <c r="I10" s="69" t="s">
        <v>220</v>
      </c>
      <c r="J10" s="69" t="s">
        <v>221</v>
      </c>
      <c r="K10" s="69" t="s">
        <v>222</v>
      </c>
      <c r="N10" s="347"/>
      <c r="O10" s="347"/>
      <c r="P10" s="347"/>
      <c r="Q10" s="347"/>
      <c r="R10" s="347"/>
      <c r="S10" s="347"/>
      <c r="T10" s="347"/>
      <c r="U10" s="47"/>
      <c r="V10" s="47"/>
    </row>
    <row r="11" spans="1:22" ht="45" customHeight="1" x14ac:dyDescent="0.25">
      <c r="A11" s="118" t="s">
        <v>51</v>
      </c>
      <c r="B11" s="119" t="s">
        <v>180</v>
      </c>
      <c r="C11" s="119" t="s">
        <v>61</v>
      </c>
      <c r="D11" s="119" t="s">
        <v>71</v>
      </c>
      <c r="E11" s="119" t="s">
        <v>83</v>
      </c>
      <c r="F11" s="119" t="s">
        <v>92</v>
      </c>
      <c r="G11" s="25" t="s">
        <v>181</v>
      </c>
      <c r="H11" s="24" t="s">
        <v>197</v>
      </c>
      <c r="I11" s="24" t="s">
        <v>198</v>
      </c>
      <c r="J11" s="24" t="s">
        <v>199</v>
      </c>
      <c r="K11" s="24" t="s">
        <v>202</v>
      </c>
      <c r="M11" s="349" t="s">
        <v>206</v>
      </c>
      <c r="N11" s="345"/>
      <c r="O11" s="345"/>
      <c r="P11" s="345"/>
      <c r="Q11" s="345"/>
      <c r="R11" s="345"/>
      <c r="S11" s="345"/>
    </row>
    <row r="12" spans="1:22" x14ac:dyDescent="0.25">
      <c r="A12" s="311"/>
      <c r="B12" s="312"/>
      <c r="C12" s="312"/>
      <c r="D12" s="312"/>
      <c r="E12" s="333"/>
      <c r="F12" s="333"/>
      <c r="G12" s="313"/>
      <c r="H12" s="314"/>
      <c r="I12" s="334"/>
      <c r="J12" s="314"/>
      <c r="K12" s="449"/>
      <c r="M12" s="349" t="str">
        <f>N12&amp;AS[[#This Row],[Insurer Code]]&amp;"; "&amp;O12&amp;AS[[#This Row],[Reporting Year]]&amp;"; "&amp;P12&amp;AS[[#This Row],[Insurance Category Code]]&amp;"; "&amp;Q12&amp;AS[[#This Row],[Large Provider Entity Code]]&amp;"; "&amp;R12&amp;AS[[#This Row],[Age Band Code]]&amp;"; "&amp;S12&amp;AS[[#This Row],[Sex Code]]</f>
        <v xml:space="preserve">Insurer Code ; Reporting Year ; Insurance Category Code ; Large Provider Entity Code ; Age Band Code ; Sex Code </v>
      </c>
      <c r="N12" s="345" t="s">
        <v>207</v>
      </c>
      <c r="O12" s="345" t="s">
        <v>208</v>
      </c>
      <c r="P12" s="345" t="s">
        <v>209</v>
      </c>
      <c r="Q12" s="345" t="s">
        <v>210</v>
      </c>
      <c r="R12" s="345" t="s">
        <v>223</v>
      </c>
      <c r="S12" s="345" t="s">
        <v>224</v>
      </c>
    </row>
    <row r="13" spans="1:22" x14ac:dyDescent="0.25">
      <c r="A13" s="311"/>
      <c r="B13" s="312"/>
      <c r="C13" s="312"/>
      <c r="D13" s="312"/>
      <c r="E13" s="333"/>
      <c r="F13" s="333"/>
      <c r="G13" s="313"/>
      <c r="H13" s="314"/>
      <c r="I13" s="334"/>
      <c r="J13" s="314"/>
      <c r="K13" s="449"/>
      <c r="M13" s="349" t="str">
        <f>N13&amp;AS[[#This Row],[Insurer Code]]&amp;"; "&amp;O13&amp;AS[[#This Row],[Reporting Year]]&amp;"; "&amp;P13&amp;AS[[#This Row],[Insurance Category Code]]&amp;"; "&amp;Q13&amp;AS[[#This Row],[Large Provider Entity Code]]&amp;"; "&amp;R13&amp;AS[[#This Row],[Age Band Code]]&amp;"; "&amp;S13&amp;AS[[#This Row],[Sex Code]]</f>
        <v xml:space="preserve">Insurer Code ; Reporting Year ; Insurance Category Code ; Large Provider Entity Code ; Age Band Code ; Sex Code </v>
      </c>
      <c r="N13" s="345" t="s">
        <v>207</v>
      </c>
      <c r="O13" s="345" t="s">
        <v>208</v>
      </c>
      <c r="P13" s="345" t="s">
        <v>209</v>
      </c>
      <c r="Q13" s="345" t="s">
        <v>210</v>
      </c>
      <c r="R13" s="345" t="s">
        <v>223</v>
      </c>
      <c r="S13" s="345" t="s">
        <v>224</v>
      </c>
    </row>
    <row r="14" spans="1:22" x14ac:dyDescent="0.25">
      <c r="A14" s="311"/>
      <c r="B14" s="312"/>
      <c r="C14" s="312"/>
      <c r="D14" s="312"/>
      <c r="E14" s="333"/>
      <c r="F14" s="333"/>
      <c r="G14" s="313"/>
      <c r="H14" s="314"/>
      <c r="I14" s="334"/>
      <c r="J14" s="314"/>
      <c r="K14" s="449"/>
      <c r="M14" s="349" t="str">
        <f>N14&amp;AS[[#This Row],[Insurer Code]]&amp;"; "&amp;O14&amp;AS[[#This Row],[Reporting Year]]&amp;"; "&amp;P14&amp;AS[[#This Row],[Insurance Category Code]]&amp;"; "&amp;Q14&amp;AS[[#This Row],[Large Provider Entity Code]]&amp;"; "&amp;R14&amp;AS[[#This Row],[Age Band Code]]&amp;"; "&amp;S14&amp;AS[[#This Row],[Sex Code]]</f>
        <v xml:space="preserve">Insurer Code ; Reporting Year ; Insurance Category Code ; Large Provider Entity Code ; Age Band Code ; Sex Code </v>
      </c>
      <c r="N14" s="345" t="s">
        <v>207</v>
      </c>
      <c r="O14" s="345" t="s">
        <v>208</v>
      </c>
      <c r="P14" s="345" t="s">
        <v>209</v>
      </c>
      <c r="Q14" s="345" t="s">
        <v>210</v>
      </c>
      <c r="R14" s="345" t="s">
        <v>223</v>
      </c>
      <c r="S14" s="345" t="s">
        <v>224</v>
      </c>
    </row>
    <row r="15" spans="1:22" x14ac:dyDescent="0.25">
      <c r="A15" s="311"/>
      <c r="B15" s="312"/>
      <c r="C15" s="312"/>
      <c r="D15" s="312"/>
      <c r="E15" s="333"/>
      <c r="F15" s="333"/>
      <c r="G15" s="313"/>
      <c r="H15" s="314"/>
      <c r="I15" s="334"/>
      <c r="J15" s="314"/>
      <c r="K15" s="449"/>
      <c r="M15" s="349" t="str">
        <f>N15&amp;AS[[#This Row],[Insurer Code]]&amp;"; "&amp;O15&amp;AS[[#This Row],[Reporting Year]]&amp;"; "&amp;P15&amp;AS[[#This Row],[Insurance Category Code]]&amp;"; "&amp;Q15&amp;AS[[#This Row],[Large Provider Entity Code]]&amp;"; "&amp;R15&amp;AS[[#This Row],[Age Band Code]]&amp;"; "&amp;S15&amp;AS[[#This Row],[Sex Code]]</f>
        <v xml:space="preserve">Insurer Code ; Reporting Year ; Insurance Category Code ; Large Provider Entity Code ; Age Band Code ; Sex Code </v>
      </c>
      <c r="N15" s="345" t="s">
        <v>207</v>
      </c>
      <c r="O15" s="345" t="s">
        <v>208</v>
      </c>
      <c r="P15" s="345" t="s">
        <v>209</v>
      </c>
      <c r="Q15" s="345" t="s">
        <v>210</v>
      </c>
      <c r="R15" s="345" t="s">
        <v>223</v>
      </c>
      <c r="S15" s="345" t="s">
        <v>224</v>
      </c>
    </row>
    <row r="16" spans="1:22" x14ac:dyDescent="0.25">
      <c r="A16" s="311"/>
      <c r="B16" s="312"/>
      <c r="C16" s="312"/>
      <c r="D16" s="312"/>
      <c r="E16" s="333"/>
      <c r="F16" s="333"/>
      <c r="G16" s="313"/>
      <c r="H16" s="314"/>
      <c r="I16" s="334"/>
      <c r="J16" s="314"/>
      <c r="K16" s="449"/>
      <c r="M16" s="349" t="str">
        <f>N16&amp;AS[[#This Row],[Insurer Code]]&amp;"; "&amp;O16&amp;AS[[#This Row],[Reporting Year]]&amp;"; "&amp;P16&amp;AS[[#This Row],[Insurance Category Code]]&amp;"; "&amp;Q16&amp;AS[[#This Row],[Large Provider Entity Code]]&amp;"; "&amp;R16&amp;AS[[#This Row],[Age Band Code]]&amp;"; "&amp;S16&amp;AS[[#This Row],[Sex Code]]</f>
        <v xml:space="preserve">Insurer Code ; Reporting Year ; Insurance Category Code ; Large Provider Entity Code ; Age Band Code ; Sex Code </v>
      </c>
      <c r="N16" s="345" t="s">
        <v>207</v>
      </c>
      <c r="O16" s="345" t="s">
        <v>208</v>
      </c>
      <c r="P16" s="345" t="s">
        <v>209</v>
      </c>
      <c r="Q16" s="345" t="s">
        <v>210</v>
      </c>
      <c r="R16" s="345" t="s">
        <v>223</v>
      </c>
      <c r="S16" s="345" t="s">
        <v>224</v>
      </c>
    </row>
    <row r="17" spans="1:19" x14ac:dyDescent="0.25">
      <c r="A17" s="311"/>
      <c r="B17" s="312"/>
      <c r="C17" s="312"/>
      <c r="D17" s="312"/>
      <c r="E17" s="333"/>
      <c r="F17" s="333"/>
      <c r="G17" s="313"/>
      <c r="H17" s="314"/>
      <c r="I17" s="334"/>
      <c r="J17" s="314"/>
      <c r="K17" s="449"/>
      <c r="M17" s="349" t="str">
        <f>N17&amp;AS[[#This Row],[Insurer Code]]&amp;"; "&amp;O17&amp;AS[[#This Row],[Reporting Year]]&amp;"; "&amp;P17&amp;AS[[#This Row],[Insurance Category Code]]&amp;"; "&amp;Q17&amp;AS[[#This Row],[Large Provider Entity Code]]&amp;"; "&amp;R17&amp;AS[[#This Row],[Age Band Code]]&amp;"; "&amp;S17&amp;AS[[#This Row],[Sex Code]]</f>
        <v xml:space="preserve">Insurer Code ; Reporting Year ; Insurance Category Code ; Large Provider Entity Code ; Age Band Code ; Sex Code </v>
      </c>
      <c r="N17" s="345" t="s">
        <v>207</v>
      </c>
      <c r="O17" s="345" t="s">
        <v>208</v>
      </c>
      <c r="P17" s="345" t="s">
        <v>209</v>
      </c>
      <c r="Q17" s="345" t="s">
        <v>210</v>
      </c>
      <c r="R17" s="345" t="s">
        <v>223</v>
      </c>
      <c r="S17" s="345" t="s">
        <v>224</v>
      </c>
    </row>
    <row r="18" spans="1:19" x14ac:dyDescent="0.25">
      <c r="A18" s="311"/>
      <c r="B18" s="312"/>
      <c r="C18" s="312"/>
      <c r="D18" s="312"/>
      <c r="E18" s="333"/>
      <c r="F18" s="333"/>
      <c r="G18" s="313"/>
      <c r="H18" s="314"/>
      <c r="I18" s="334"/>
      <c r="J18" s="314"/>
      <c r="K18" s="449"/>
      <c r="M18" s="349" t="str">
        <f>N18&amp;AS[[#This Row],[Insurer Code]]&amp;"; "&amp;O18&amp;AS[[#This Row],[Reporting Year]]&amp;"; "&amp;P18&amp;AS[[#This Row],[Insurance Category Code]]&amp;"; "&amp;Q18&amp;AS[[#This Row],[Large Provider Entity Code]]&amp;"; "&amp;R18&amp;AS[[#This Row],[Age Band Code]]&amp;"; "&amp;S18&amp;AS[[#This Row],[Sex Code]]</f>
        <v xml:space="preserve">Insurer Code ; Reporting Year ; Insurance Category Code ; Large Provider Entity Code ; Age Band Code ; Sex Code </v>
      </c>
      <c r="N18" s="345" t="s">
        <v>207</v>
      </c>
      <c r="O18" s="345" t="s">
        <v>208</v>
      </c>
      <c r="P18" s="345" t="s">
        <v>209</v>
      </c>
      <c r="Q18" s="345" t="s">
        <v>210</v>
      </c>
      <c r="R18" s="345" t="s">
        <v>223</v>
      </c>
      <c r="S18" s="345" t="s">
        <v>224</v>
      </c>
    </row>
    <row r="19" spans="1:19" x14ac:dyDescent="0.25">
      <c r="A19" s="311"/>
      <c r="B19" s="312"/>
      <c r="C19" s="312"/>
      <c r="D19" s="312"/>
      <c r="E19" s="333"/>
      <c r="F19" s="333"/>
      <c r="G19" s="313"/>
      <c r="H19" s="314"/>
      <c r="I19" s="334"/>
      <c r="J19" s="314"/>
      <c r="K19" s="449"/>
      <c r="M19" s="349" t="str">
        <f>N19&amp;AS[[#This Row],[Insurer Code]]&amp;"; "&amp;O19&amp;AS[[#This Row],[Reporting Year]]&amp;"; "&amp;P19&amp;AS[[#This Row],[Insurance Category Code]]&amp;"; "&amp;Q19&amp;AS[[#This Row],[Large Provider Entity Code]]&amp;"; "&amp;R19&amp;AS[[#This Row],[Age Band Code]]&amp;"; "&amp;S19&amp;AS[[#This Row],[Sex Code]]</f>
        <v xml:space="preserve">Insurer Code ; Reporting Year ; Insurance Category Code ; Large Provider Entity Code ; Age Band Code ; Sex Code </v>
      </c>
      <c r="N19" s="345" t="s">
        <v>207</v>
      </c>
      <c r="O19" s="345" t="s">
        <v>208</v>
      </c>
      <c r="P19" s="345" t="s">
        <v>209</v>
      </c>
      <c r="Q19" s="345" t="s">
        <v>210</v>
      </c>
      <c r="R19" s="345" t="s">
        <v>223</v>
      </c>
      <c r="S19" s="345" t="s">
        <v>224</v>
      </c>
    </row>
    <row r="20" spans="1:19" x14ac:dyDescent="0.25">
      <c r="A20" s="311"/>
      <c r="B20" s="312"/>
      <c r="C20" s="312"/>
      <c r="D20" s="312"/>
      <c r="E20" s="333"/>
      <c r="F20" s="333"/>
      <c r="G20" s="313"/>
      <c r="H20" s="314"/>
      <c r="I20" s="334"/>
      <c r="J20" s="314"/>
      <c r="K20" s="449"/>
      <c r="M20" s="349" t="str">
        <f>N20&amp;AS[[#This Row],[Insurer Code]]&amp;"; "&amp;O20&amp;AS[[#This Row],[Reporting Year]]&amp;"; "&amp;P20&amp;AS[[#This Row],[Insurance Category Code]]&amp;"; "&amp;Q20&amp;AS[[#This Row],[Large Provider Entity Code]]&amp;"; "&amp;R20&amp;AS[[#This Row],[Age Band Code]]&amp;"; "&amp;S20&amp;AS[[#This Row],[Sex Code]]</f>
        <v xml:space="preserve">Insurer Code ; Reporting Year ; Insurance Category Code ; Large Provider Entity Code ; Age Band Code ; Sex Code </v>
      </c>
      <c r="N20" s="345" t="s">
        <v>207</v>
      </c>
      <c r="O20" s="345" t="s">
        <v>208</v>
      </c>
      <c r="P20" s="345" t="s">
        <v>209</v>
      </c>
      <c r="Q20" s="345" t="s">
        <v>210</v>
      </c>
      <c r="R20" s="345" t="s">
        <v>223</v>
      </c>
      <c r="S20" s="345" t="s">
        <v>224</v>
      </c>
    </row>
    <row r="21" spans="1:19" x14ac:dyDescent="0.25">
      <c r="A21" s="311"/>
      <c r="B21" s="312"/>
      <c r="C21" s="312"/>
      <c r="D21" s="312"/>
      <c r="E21" s="333"/>
      <c r="F21" s="333"/>
      <c r="G21" s="313"/>
      <c r="H21" s="314"/>
      <c r="I21" s="334"/>
      <c r="J21" s="314"/>
      <c r="K21" s="449"/>
      <c r="M21" s="349" t="str">
        <f>N21&amp;AS[[#This Row],[Insurer Code]]&amp;"; "&amp;O21&amp;AS[[#This Row],[Reporting Year]]&amp;"; "&amp;P21&amp;AS[[#This Row],[Insurance Category Code]]&amp;"; "&amp;Q21&amp;AS[[#This Row],[Large Provider Entity Code]]&amp;"; "&amp;R21&amp;AS[[#This Row],[Age Band Code]]&amp;"; "&amp;S21&amp;AS[[#This Row],[Sex Code]]</f>
        <v xml:space="preserve">Insurer Code ; Reporting Year ; Insurance Category Code ; Large Provider Entity Code ; Age Band Code ; Sex Code </v>
      </c>
      <c r="N21" s="345" t="s">
        <v>207</v>
      </c>
      <c r="O21" s="345" t="s">
        <v>208</v>
      </c>
      <c r="P21" s="345" t="s">
        <v>209</v>
      </c>
      <c r="Q21" s="345" t="s">
        <v>210</v>
      </c>
      <c r="R21" s="345" t="s">
        <v>223</v>
      </c>
      <c r="S21" s="345" t="s">
        <v>224</v>
      </c>
    </row>
    <row r="22" spans="1:19" x14ac:dyDescent="0.25">
      <c r="A22" s="311"/>
      <c r="B22" s="312"/>
      <c r="C22" s="312"/>
      <c r="D22" s="312"/>
      <c r="E22" s="333"/>
      <c r="F22" s="333"/>
      <c r="G22" s="313"/>
      <c r="H22" s="314"/>
      <c r="I22" s="334"/>
      <c r="J22" s="314"/>
      <c r="K22" s="449"/>
      <c r="M22" s="349" t="str">
        <f>N22&amp;AS[[#This Row],[Insurer Code]]&amp;"; "&amp;O22&amp;AS[[#This Row],[Reporting Year]]&amp;"; "&amp;P22&amp;AS[[#This Row],[Insurance Category Code]]&amp;"; "&amp;Q22&amp;AS[[#This Row],[Large Provider Entity Code]]&amp;"; "&amp;R22&amp;AS[[#This Row],[Age Band Code]]&amp;"; "&amp;S22&amp;AS[[#This Row],[Sex Code]]</f>
        <v xml:space="preserve">Insurer Code ; Reporting Year ; Insurance Category Code ; Large Provider Entity Code ; Age Band Code ; Sex Code </v>
      </c>
      <c r="N22" s="345" t="s">
        <v>207</v>
      </c>
      <c r="O22" s="345" t="s">
        <v>208</v>
      </c>
      <c r="P22" s="345" t="s">
        <v>209</v>
      </c>
      <c r="Q22" s="345" t="s">
        <v>210</v>
      </c>
      <c r="R22" s="345" t="s">
        <v>223</v>
      </c>
      <c r="S22" s="345" t="s">
        <v>224</v>
      </c>
    </row>
    <row r="23" spans="1:19" x14ac:dyDescent="0.25">
      <c r="A23" s="311"/>
      <c r="B23" s="312"/>
      <c r="C23" s="312"/>
      <c r="D23" s="312"/>
      <c r="E23" s="333"/>
      <c r="F23" s="333"/>
      <c r="G23" s="313"/>
      <c r="H23" s="314"/>
      <c r="I23" s="334"/>
      <c r="J23" s="314"/>
      <c r="K23" s="449"/>
      <c r="M23" s="349" t="str">
        <f>N23&amp;AS[[#This Row],[Insurer Code]]&amp;"; "&amp;O23&amp;AS[[#This Row],[Reporting Year]]&amp;"; "&amp;P23&amp;AS[[#This Row],[Insurance Category Code]]&amp;"; "&amp;Q23&amp;AS[[#This Row],[Large Provider Entity Code]]&amp;"; "&amp;R23&amp;AS[[#This Row],[Age Band Code]]&amp;"; "&amp;S23&amp;AS[[#This Row],[Sex Code]]</f>
        <v xml:space="preserve">Insurer Code ; Reporting Year ; Insurance Category Code ; Large Provider Entity Code ; Age Band Code ; Sex Code </v>
      </c>
      <c r="N23" s="345" t="s">
        <v>207</v>
      </c>
      <c r="O23" s="345" t="s">
        <v>208</v>
      </c>
      <c r="P23" s="345" t="s">
        <v>209</v>
      </c>
      <c r="Q23" s="345" t="s">
        <v>210</v>
      </c>
      <c r="R23" s="345" t="s">
        <v>223</v>
      </c>
      <c r="S23" s="345" t="s">
        <v>224</v>
      </c>
    </row>
    <row r="24" spans="1:19" x14ac:dyDescent="0.25">
      <c r="A24" s="311"/>
      <c r="B24" s="312"/>
      <c r="C24" s="312"/>
      <c r="D24" s="312"/>
      <c r="E24" s="312"/>
      <c r="F24" s="312"/>
      <c r="G24" s="335"/>
      <c r="H24" s="336"/>
      <c r="I24" s="334"/>
      <c r="J24" s="332"/>
      <c r="K24" s="449"/>
      <c r="M24" s="349" t="str">
        <f>N24&amp;AS[[#This Row],[Insurer Code]]&amp;"; "&amp;O24&amp;AS[[#This Row],[Reporting Year]]&amp;"; "&amp;P24&amp;AS[[#This Row],[Insurance Category Code]]&amp;"; "&amp;Q24&amp;AS[[#This Row],[Large Provider Entity Code]]&amp;"; "&amp;R24&amp;AS[[#This Row],[Age Band Code]]&amp;"; "&amp;S24&amp;AS[[#This Row],[Sex Code]]</f>
        <v xml:space="preserve">Insurer Code ; Reporting Year ; Insurance Category Code ; Large Provider Entity Code ; Age Band Code ; Sex Code </v>
      </c>
      <c r="N24" s="345" t="s">
        <v>207</v>
      </c>
      <c r="O24" s="345" t="s">
        <v>208</v>
      </c>
      <c r="P24" s="345" t="s">
        <v>209</v>
      </c>
      <c r="Q24" s="345" t="s">
        <v>210</v>
      </c>
      <c r="R24" s="345" t="s">
        <v>223</v>
      </c>
      <c r="S24" s="345" t="s">
        <v>224</v>
      </c>
    </row>
    <row r="25" spans="1:19" x14ac:dyDescent="0.25">
      <c r="A25" s="311"/>
      <c r="B25" s="312"/>
      <c r="C25" s="312"/>
      <c r="D25" s="312"/>
      <c r="E25" s="312"/>
      <c r="F25" s="312"/>
      <c r="G25" s="313"/>
      <c r="H25" s="336"/>
      <c r="I25" s="334"/>
      <c r="J25" s="332"/>
      <c r="K25" s="449"/>
      <c r="M25" s="349" t="str">
        <f>N25&amp;AS[[#This Row],[Insurer Code]]&amp;"; "&amp;O25&amp;AS[[#This Row],[Reporting Year]]&amp;"; "&amp;P25&amp;AS[[#This Row],[Insurance Category Code]]&amp;"; "&amp;Q25&amp;AS[[#This Row],[Large Provider Entity Code]]&amp;"; "&amp;R25&amp;AS[[#This Row],[Age Band Code]]&amp;"; "&amp;S25&amp;AS[[#This Row],[Sex Code]]</f>
        <v xml:space="preserve">Insurer Code ; Reporting Year ; Insurance Category Code ; Large Provider Entity Code ; Age Band Code ; Sex Code </v>
      </c>
      <c r="N25" s="345" t="s">
        <v>207</v>
      </c>
      <c r="O25" s="345" t="s">
        <v>208</v>
      </c>
      <c r="P25" s="345" t="s">
        <v>209</v>
      </c>
      <c r="Q25" s="345" t="s">
        <v>210</v>
      </c>
      <c r="R25" s="345" t="s">
        <v>223</v>
      </c>
      <c r="S25" s="345" t="s">
        <v>224</v>
      </c>
    </row>
    <row r="26" spans="1:19" x14ac:dyDescent="0.25">
      <c r="A26" s="311"/>
      <c r="B26" s="312"/>
      <c r="C26" s="312"/>
      <c r="D26" s="312"/>
      <c r="E26" s="312"/>
      <c r="F26" s="312"/>
      <c r="G26" s="335"/>
      <c r="H26" s="336"/>
      <c r="I26" s="334"/>
      <c r="J26" s="332"/>
      <c r="K26" s="449"/>
      <c r="M26" s="349" t="str">
        <f>N26&amp;AS[[#This Row],[Insurer Code]]&amp;"; "&amp;O26&amp;AS[[#This Row],[Reporting Year]]&amp;"; "&amp;P26&amp;AS[[#This Row],[Insurance Category Code]]&amp;"; "&amp;Q26&amp;AS[[#This Row],[Large Provider Entity Code]]&amp;"; "&amp;R26&amp;AS[[#This Row],[Age Band Code]]&amp;"; "&amp;S26&amp;AS[[#This Row],[Sex Code]]</f>
        <v xml:space="preserve">Insurer Code ; Reporting Year ; Insurance Category Code ; Large Provider Entity Code ; Age Band Code ; Sex Code </v>
      </c>
      <c r="N26" s="345" t="s">
        <v>207</v>
      </c>
      <c r="O26" s="345" t="s">
        <v>208</v>
      </c>
      <c r="P26" s="345" t="s">
        <v>209</v>
      </c>
      <c r="Q26" s="345" t="s">
        <v>210</v>
      </c>
      <c r="R26" s="345" t="s">
        <v>223</v>
      </c>
      <c r="S26" s="345" t="s">
        <v>224</v>
      </c>
    </row>
    <row r="27" spans="1:19" x14ac:dyDescent="0.25">
      <c r="A27" s="311"/>
      <c r="B27" s="312"/>
      <c r="C27" s="312"/>
      <c r="D27" s="312"/>
      <c r="E27" s="312"/>
      <c r="F27" s="312"/>
      <c r="G27" s="313"/>
      <c r="H27" s="336"/>
      <c r="I27" s="334"/>
      <c r="J27" s="332"/>
      <c r="K27" s="449"/>
      <c r="M27" s="349" t="str">
        <f>N27&amp;AS[[#This Row],[Insurer Code]]&amp;"; "&amp;O27&amp;AS[[#This Row],[Reporting Year]]&amp;"; "&amp;P27&amp;AS[[#This Row],[Insurance Category Code]]&amp;"; "&amp;Q27&amp;AS[[#This Row],[Large Provider Entity Code]]&amp;"; "&amp;R27&amp;AS[[#This Row],[Age Band Code]]&amp;"; "&amp;S27&amp;AS[[#This Row],[Sex Code]]</f>
        <v xml:space="preserve">Insurer Code ; Reporting Year ; Insurance Category Code ; Large Provider Entity Code ; Age Band Code ; Sex Code </v>
      </c>
      <c r="N27" s="345" t="s">
        <v>207</v>
      </c>
      <c r="O27" s="345" t="s">
        <v>208</v>
      </c>
      <c r="P27" s="345" t="s">
        <v>209</v>
      </c>
      <c r="Q27" s="345" t="s">
        <v>210</v>
      </c>
      <c r="R27" s="345" t="s">
        <v>223</v>
      </c>
      <c r="S27" s="345" t="s">
        <v>224</v>
      </c>
    </row>
    <row r="28" spans="1:19" x14ac:dyDescent="0.25">
      <c r="A28" s="311"/>
      <c r="B28" s="312"/>
      <c r="C28" s="312"/>
      <c r="D28" s="312"/>
      <c r="E28" s="312"/>
      <c r="F28" s="312"/>
      <c r="G28" s="335"/>
      <c r="H28" s="336"/>
      <c r="I28" s="334"/>
      <c r="J28" s="332"/>
      <c r="K28" s="449"/>
      <c r="M28" s="349" t="str">
        <f>N28&amp;AS[[#This Row],[Insurer Code]]&amp;"; "&amp;O28&amp;AS[[#This Row],[Reporting Year]]&amp;"; "&amp;P28&amp;AS[[#This Row],[Insurance Category Code]]&amp;"; "&amp;Q28&amp;AS[[#This Row],[Large Provider Entity Code]]&amp;"; "&amp;R28&amp;AS[[#This Row],[Age Band Code]]&amp;"; "&amp;S28&amp;AS[[#This Row],[Sex Code]]</f>
        <v xml:space="preserve">Insurer Code ; Reporting Year ; Insurance Category Code ; Large Provider Entity Code ; Age Band Code ; Sex Code </v>
      </c>
      <c r="N28" s="345" t="s">
        <v>207</v>
      </c>
      <c r="O28" s="345" t="s">
        <v>208</v>
      </c>
      <c r="P28" s="345" t="s">
        <v>209</v>
      </c>
      <c r="Q28" s="345" t="s">
        <v>210</v>
      </c>
      <c r="R28" s="345" t="s">
        <v>223</v>
      </c>
      <c r="S28" s="345" t="s">
        <v>224</v>
      </c>
    </row>
    <row r="29" spans="1:19" x14ac:dyDescent="0.25">
      <c r="A29" s="311"/>
      <c r="B29" s="312"/>
      <c r="C29" s="312"/>
      <c r="D29" s="312"/>
      <c r="E29" s="312"/>
      <c r="F29" s="312"/>
      <c r="G29" s="335"/>
      <c r="H29" s="336"/>
      <c r="I29" s="334"/>
      <c r="J29" s="332"/>
      <c r="K29" s="449"/>
      <c r="M29" s="349" t="str">
        <f>N29&amp;AS[[#This Row],[Insurer Code]]&amp;"; "&amp;O29&amp;AS[[#This Row],[Reporting Year]]&amp;"; "&amp;P29&amp;AS[[#This Row],[Insurance Category Code]]&amp;"; "&amp;Q29&amp;AS[[#This Row],[Large Provider Entity Code]]&amp;"; "&amp;R29&amp;AS[[#This Row],[Age Band Code]]&amp;"; "&amp;S29&amp;AS[[#This Row],[Sex Code]]</f>
        <v xml:space="preserve">Insurer Code ; Reporting Year ; Insurance Category Code ; Large Provider Entity Code ; Age Band Code ; Sex Code </v>
      </c>
      <c r="N29" s="345" t="s">
        <v>207</v>
      </c>
      <c r="O29" s="345" t="s">
        <v>208</v>
      </c>
      <c r="P29" s="345" t="s">
        <v>209</v>
      </c>
      <c r="Q29" s="345" t="s">
        <v>210</v>
      </c>
      <c r="R29" s="345" t="s">
        <v>223</v>
      </c>
      <c r="S29" s="345" t="s">
        <v>224</v>
      </c>
    </row>
    <row r="30" spans="1:19" x14ac:dyDescent="0.25">
      <c r="A30" s="311"/>
      <c r="B30" s="312"/>
      <c r="C30" s="312"/>
      <c r="D30" s="312"/>
      <c r="E30" s="312"/>
      <c r="F30" s="312"/>
      <c r="G30" s="313"/>
      <c r="H30" s="336"/>
      <c r="I30" s="334"/>
      <c r="J30" s="332"/>
      <c r="K30" s="449"/>
      <c r="M30" s="349" t="str">
        <f>N30&amp;AS[[#This Row],[Insurer Code]]&amp;"; "&amp;O30&amp;AS[[#This Row],[Reporting Year]]&amp;"; "&amp;P30&amp;AS[[#This Row],[Insurance Category Code]]&amp;"; "&amp;Q30&amp;AS[[#This Row],[Large Provider Entity Code]]&amp;"; "&amp;R30&amp;AS[[#This Row],[Age Band Code]]&amp;"; "&amp;S30&amp;AS[[#This Row],[Sex Code]]</f>
        <v xml:space="preserve">Insurer Code ; Reporting Year ; Insurance Category Code ; Large Provider Entity Code ; Age Band Code ; Sex Code </v>
      </c>
      <c r="N30" s="345" t="s">
        <v>207</v>
      </c>
      <c r="O30" s="345" t="s">
        <v>208</v>
      </c>
      <c r="P30" s="345" t="s">
        <v>209</v>
      </c>
      <c r="Q30" s="345" t="s">
        <v>210</v>
      </c>
      <c r="R30" s="345" t="s">
        <v>223</v>
      </c>
      <c r="S30" s="345" t="s">
        <v>224</v>
      </c>
    </row>
    <row r="31" spans="1:19" x14ac:dyDescent="0.25">
      <c r="A31" s="311"/>
      <c r="B31" s="312"/>
      <c r="C31" s="312"/>
      <c r="D31" s="312"/>
      <c r="E31" s="312"/>
      <c r="F31" s="312"/>
      <c r="G31" s="335"/>
      <c r="H31" s="336"/>
      <c r="I31" s="334"/>
      <c r="J31" s="332"/>
      <c r="K31" s="449"/>
      <c r="M31" s="349" t="str">
        <f>N31&amp;AS[[#This Row],[Insurer Code]]&amp;"; "&amp;O31&amp;AS[[#This Row],[Reporting Year]]&amp;"; "&amp;P31&amp;AS[[#This Row],[Insurance Category Code]]&amp;"; "&amp;Q31&amp;AS[[#This Row],[Large Provider Entity Code]]&amp;"; "&amp;R31&amp;AS[[#This Row],[Age Band Code]]&amp;"; "&amp;S31&amp;AS[[#This Row],[Sex Code]]</f>
        <v xml:space="preserve">Insurer Code ; Reporting Year ; Insurance Category Code ; Large Provider Entity Code ; Age Band Code ; Sex Code </v>
      </c>
      <c r="N31" s="345" t="s">
        <v>207</v>
      </c>
      <c r="O31" s="345" t="s">
        <v>208</v>
      </c>
      <c r="P31" s="345" t="s">
        <v>209</v>
      </c>
      <c r="Q31" s="345" t="s">
        <v>210</v>
      </c>
      <c r="R31" s="345" t="s">
        <v>223</v>
      </c>
      <c r="S31" s="345" t="s">
        <v>224</v>
      </c>
    </row>
    <row r="32" spans="1:19" x14ac:dyDescent="0.25">
      <c r="A32" s="311"/>
      <c r="B32" s="312"/>
      <c r="C32" s="312"/>
      <c r="D32" s="312"/>
      <c r="E32" s="312"/>
      <c r="F32" s="312"/>
      <c r="G32" s="335"/>
      <c r="H32" s="336"/>
      <c r="I32" s="334"/>
      <c r="J32" s="332"/>
      <c r="K32" s="449"/>
      <c r="M32" s="349" t="str">
        <f>N32&amp;AS[[#This Row],[Insurer Code]]&amp;"; "&amp;O32&amp;AS[[#This Row],[Reporting Year]]&amp;"; "&amp;P32&amp;AS[[#This Row],[Insurance Category Code]]&amp;"; "&amp;Q32&amp;AS[[#This Row],[Large Provider Entity Code]]&amp;"; "&amp;R32&amp;AS[[#This Row],[Age Band Code]]&amp;"; "&amp;S32&amp;AS[[#This Row],[Sex Code]]</f>
        <v xml:space="preserve">Insurer Code ; Reporting Year ; Insurance Category Code ; Large Provider Entity Code ; Age Band Code ; Sex Code </v>
      </c>
      <c r="N32" s="345" t="s">
        <v>207</v>
      </c>
      <c r="O32" s="345" t="s">
        <v>208</v>
      </c>
      <c r="P32" s="345" t="s">
        <v>209</v>
      </c>
      <c r="Q32" s="345" t="s">
        <v>210</v>
      </c>
      <c r="R32" s="345" t="s">
        <v>223</v>
      </c>
      <c r="S32" s="345" t="s">
        <v>224</v>
      </c>
    </row>
    <row r="33" spans="1:19" x14ac:dyDescent="0.25">
      <c r="A33" s="311"/>
      <c r="B33" s="312"/>
      <c r="C33" s="312"/>
      <c r="D33" s="312"/>
      <c r="E33" s="312"/>
      <c r="F33" s="312"/>
      <c r="G33" s="313"/>
      <c r="H33" s="336"/>
      <c r="I33" s="334"/>
      <c r="J33" s="332"/>
      <c r="K33" s="449"/>
      <c r="M33" s="349" t="str">
        <f>N33&amp;AS[[#This Row],[Insurer Code]]&amp;"; "&amp;O33&amp;AS[[#This Row],[Reporting Year]]&amp;"; "&amp;P33&amp;AS[[#This Row],[Insurance Category Code]]&amp;"; "&amp;Q33&amp;AS[[#This Row],[Large Provider Entity Code]]&amp;"; "&amp;R33&amp;AS[[#This Row],[Age Band Code]]&amp;"; "&amp;S33&amp;AS[[#This Row],[Sex Code]]</f>
        <v xml:space="preserve">Insurer Code ; Reporting Year ; Insurance Category Code ; Large Provider Entity Code ; Age Band Code ; Sex Code </v>
      </c>
      <c r="N33" s="345" t="s">
        <v>207</v>
      </c>
      <c r="O33" s="345" t="s">
        <v>208</v>
      </c>
      <c r="P33" s="345" t="s">
        <v>209</v>
      </c>
      <c r="Q33" s="345" t="s">
        <v>210</v>
      </c>
      <c r="R33" s="345" t="s">
        <v>223</v>
      </c>
      <c r="S33" s="345" t="s">
        <v>224</v>
      </c>
    </row>
    <row r="34" spans="1:19" x14ac:dyDescent="0.25">
      <c r="A34" s="311"/>
      <c r="B34" s="312"/>
      <c r="C34" s="312"/>
      <c r="D34" s="312"/>
      <c r="E34" s="312"/>
      <c r="F34" s="312"/>
      <c r="G34" s="335"/>
      <c r="H34" s="336"/>
      <c r="I34" s="334"/>
      <c r="J34" s="332"/>
      <c r="K34" s="449"/>
      <c r="M34" s="349" t="str">
        <f>N34&amp;AS[[#This Row],[Insurer Code]]&amp;"; "&amp;O34&amp;AS[[#This Row],[Reporting Year]]&amp;"; "&amp;P34&amp;AS[[#This Row],[Insurance Category Code]]&amp;"; "&amp;Q34&amp;AS[[#This Row],[Large Provider Entity Code]]&amp;"; "&amp;R34&amp;AS[[#This Row],[Age Band Code]]&amp;"; "&amp;S34&amp;AS[[#This Row],[Sex Code]]</f>
        <v xml:space="preserve">Insurer Code ; Reporting Year ; Insurance Category Code ; Large Provider Entity Code ; Age Band Code ; Sex Code </v>
      </c>
      <c r="N34" s="345" t="s">
        <v>207</v>
      </c>
      <c r="O34" s="345" t="s">
        <v>208</v>
      </c>
      <c r="P34" s="345" t="s">
        <v>209</v>
      </c>
      <c r="Q34" s="345" t="s">
        <v>210</v>
      </c>
      <c r="R34" s="345" t="s">
        <v>223</v>
      </c>
      <c r="S34" s="345" t="s">
        <v>224</v>
      </c>
    </row>
    <row r="35" spans="1:19" x14ac:dyDescent="0.25">
      <c r="A35" s="311"/>
      <c r="B35" s="312"/>
      <c r="C35" s="312"/>
      <c r="D35" s="312"/>
      <c r="E35" s="312"/>
      <c r="F35" s="312"/>
      <c r="G35" s="313"/>
      <c r="H35" s="336"/>
      <c r="I35" s="334"/>
      <c r="J35" s="332"/>
      <c r="K35" s="449"/>
      <c r="M35" s="349" t="str">
        <f>N35&amp;AS[[#This Row],[Insurer Code]]&amp;"; "&amp;O35&amp;AS[[#This Row],[Reporting Year]]&amp;"; "&amp;P35&amp;AS[[#This Row],[Insurance Category Code]]&amp;"; "&amp;Q35&amp;AS[[#This Row],[Large Provider Entity Code]]&amp;"; "&amp;R35&amp;AS[[#This Row],[Age Band Code]]&amp;"; "&amp;S35&amp;AS[[#This Row],[Sex Code]]</f>
        <v xml:space="preserve">Insurer Code ; Reporting Year ; Insurance Category Code ; Large Provider Entity Code ; Age Band Code ; Sex Code </v>
      </c>
      <c r="N35" s="345" t="s">
        <v>207</v>
      </c>
      <c r="O35" s="345" t="s">
        <v>208</v>
      </c>
      <c r="P35" s="345" t="s">
        <v>209</v>
      </c>
      <c r="Q35" s="345" t="s">
        <v>210</v>
      </c>
      <c r="R35" s="345" t="s">
        <v>223</v>
      </c>
      <c r="S35" s="345" t="s">
        <v>224</v>
      </c>
    </row>
    <row r="36" spans="1:19" x14ac:dyDescent="0.25">
      <c r="A36" s="311"/>
      <c r="B36" s="312"/>
      <c r="C36" s="312"/>
      <c r="D36" s="312"/>
      <c r="E36" s="312"/>
      <c r="F36" s="312"/>
      <c r="G36" s="335"/>
      <c r="H36" s="336"/>
      <c r="I36" s="334"/>
      <c r="J36" s="332"/>
      <c r="K36" s="449"/>
      <c r="M36" s="349" t="str">
        <f>N36&amp;AS[[#This Row],[Insurer Code]]&amp;"; "&amp;O36&amp;AS[[#This Row],[Reporting Year]]&amp;"; "&amp;P36&amp;AS[[#This Row],[Insurance Category Code]]&amp;"; "&amp;Q36&amp;AS[[#This Row],[Large Provider Entity Code]]&amp;"; "&amp;R36&amp;AS[[#This Row],[Age Band Code]]&amp;"; "&amp;S36&amp;AS[[#This Row],[Sex Code]]</f>
        <v xml:space="preserve">Insurer Code ; Reporting Year ; Insurance Category Code ; Large Provider Entity Code ; Age Band Code ; Sex Code </v>
      </c>
      <c r="N36" s="345" t="s">
        <v>207</v>
      </c>
      <c r="O36" s="345" t="s">
        <v>208</v>
      </c>
      <c r="P36" s="345" t="s">
        <v>209</v>
      </c>
      <c r="Q36" s="345" t="s">
        <v>210</v>
      </c>
      <c r="R36" s="345" t="s">
        <v>223</v>
      </c>
      <c r="S36" s="345" t="s">
        <v>224</v>
      </c>
    </row>
    <row r="37" spans="1:19" x14ac:dyDescent="0.25">
      <c r="A37" s="311"/>
      <c r="B37" s="312"/>
      <c r="C37" s="312"/>
      <c r="D37" s="312"/>
      <c r="E37" s="312"/>
      <c r="F37" s="312"/>
      <c r="G37" s="335"/>
      <c r="H37" s="336"/>
      <c r="I37" s="334"/>
      <c r="J37" s="332"/>
      <c r="K37" s="449"/>
      <c r="M37" s="349" t="str">
        <f>N37&amp;AS[[#This Row],[Insurer Code]]&amp;"; "&amp;O37&amp;AS[[#This Row],[Reporting Year]]&amp;"; "&amp;P37&amp;AS[[#This Row],[Insurance Category Code]]&amp;"; "&amp;Q37&amp;AS[[#This Row],[Large Provider Entity Code]]&amp;"; "&amp;R37&amp;AS[[#This Row],[Age Band Code]]&amp;"; "&amp;S37&amp;AS[[#This Row],[Sex Code]]</f>
        <v xml:space="preserve">Insurer Code ; Reporting Year ; Insurance Category Code ; Large Provider Entity Code ; Age Band Code ; Sex Code </v>
      </c>
      <c r="N37" s="345" t="s">
        <v>207</v>
      </c>
      <c r="O37" s="345" t="s">
        <v>208</v>
      </c>
      <c r="P37" s="345" t="s">
        <v>209</v>
      </c>
      <c r="Q37" s="345" t="s">
        <v>210</v>
      </c>
      <c r="R37" s="345" t="s">
        <v>223</v>
      </c>
      <c r="S37" s="345" t="s">
        <v>224</v>
      </c>
    </row>
    <row r="38" spans="1:19" x14ac:dyDescent="0.25">
      <c r="A38" s="311"/>
      <c r="B38" s="312"/>
      <c r="C38" s="312"/>
      <c r="D38" s="312"/>
      <c r="E38" s="312"/>
      <c r="F38" s="312"/>
      <c r="G38" s="313"/>
      <c r="H38" s="336"/>
      <c r="I38" s="334"/>
      <c r="J38" s="332"/>
      <c r="K38" s="449"/>
      <c r="M38" s="349" t="str">
        <f>N38&amp;AS[[#This Row],[Insurer Code]]&amp;"; "&amp;O38&amp;AS[[#This Row],[Reporting Year]]&amp;"; "&amp;P38&amp;AS[[#This Row],[Insurance Category Code]]&amp;"; "&amp;Q38&amp;AS[[#This Row],[Large Provider Entity Code]]&amp;"; "&amp;R38&amp;AS[[#This Row],[Age Band Code]]&amp;"; "&amp;S38&amp;AS[[#This Row],[Sex Code]]</f>
        <v xml:space="preserve">Insurer Code ; Reporting Year ; Insurance Category Code ; Large Provider Entity Code ; Age Band Code ; Sex Code </v>
      </c>
      <c r="N38" s="345" t="s">
        <v>207</v>
      </c>
      <c r="O38" s="345" t="s">
        <v>208</v>
      </c>
      <c r="P38" s="345" t="s">
        <v>209</v>
      </c>
      <c r="Q38" s="345" t="s">
        <v>210</v>
      </c>
      <c r="R38" s="345" t="s">
        <v>223</v>
      </c>
      <c r="S38" s="345" t="s">
        <v>224</v>
      </c>
    </row>
    <row r="39" spans="1:19" x14ac:dyDescent="0.25">
      <c r="A39" s="311"/>
      <c r="B39" s="312"/>
      <c r="C39" s="312"/>
      <c r="D39" s="312"/>
      <c r="E39" s="312"/>
      <c r="F39" s="312"/>
      <c r="G39" s="335"/>
      <c r="H39" s="336"/>
      <c r="I39" s="334"/>
      <c r="J39" s="332"/>
      <c r="K39" s="449"/>
      <c r="M39" s="349" t="str">
        <f>N39&amp;AS[[#This Row],[Insurer Code]]&amp;"; "&amp;O39&amp;AS[[#This Row],[Reporting Year]]&amp;"; "&amp;P39&amp;AS[[#This Row],[Insurance Category Code]]&amp;"; "&amp;Q39&amp;AS[[#This Row],[Large Provider Entity Code]]&amp;"; "&amp;R39&amp;AS[[#This Row],[Age Band Code]]&amp;"; "&amp;S39&amp;AS[[#This Row],[Sex Code]]</f>
        <v xml:space="preserve">Insurer Code ; Reporting Year ; Insurance Category Code ; Large Provider Entity Code ; Age Band Code ; Sex Code </v>
      </c>
      <c r="N39" s="345" t="s">
        <v>207</v>
      </c>
      <c r="O39" s="345" t="s">
        <v>208</v>
      </c>
      <c r="P39" s="345" t="s">
        <v>209</v>
      </c>
      <c r="Q39" s="345" t="s">
        <v>210</v>
      </c>
      <c r="R39" s="345" t="s">
        <v>223</v>
      </c>
      <c r="S39" s="345" t="s">
        <v>224</v>
      </c>
    </row>
    <row r="40" spans="1:19" x14ac:dyDescent="0.25">
      <c r="A40" s="311"/>
      <c r="B40" s="312"/>
      <c r="C40" s="312"/>
      <c r="D40" s="312"/>
      <c r="E40" s="312"/>
      <c r="F40" s="312"/>
      <c r="G40" s="328"/>
      <c r="H40" s="337"/>
      <c r="I40" s="334"/>
      <c r="J40" s="314"/>
      <c r="K40" s="449"/>
      <c r="M40" s="349" t="str">
        <f>N40&amp;AS[[#This Row],[Insurer Code]]&amp;"; "&amp;O40&amp;AS[[#This Row],[Reporting Year]]&amp;"; "&amp;P40&amp;AS[[#This Row],[Insurance Category Code]]&amp;"; "&amp;Q40&amp;AS[[#This Row],[Large Provider Entity Code]]&amp;"; "&amp;R40&amp;AS[[#This Row],[Age Band Code]]&amp;"; "&amp;S40&amp;AS[[#This Row],[Sex Code]]</f>
        <v xml:space="preserve">Insurer Code ; Reporting Year ; Insurance Category Code ; Large Provider Entity Code ; Age Band Code ; Sex Code </v>
      </c>
      <c r="N40" s="345" t="s">
        <v>207</v>
      </c>
      <c r="O40" s="345" t="s">
        <v>208</v>
      </c>
      <c r="P40" s="345" t="s">
        <v>209</v>
      </c>
      <c r="Q40" s="345" t="s">
        <v>210</v>
      </c>
      <c r="R40" s="345" t="s">
        <v>223</v>
      </c>
      <c r="S40" s="345" t="s">
        <v>224</v>
      </c>
    </row>
    <row r="41" spans="1:19" x14ac:dyDescent="0.25">
      <c r="A41" s="311"/>
      <c r="B41" s="312"/>
      <c r="C41" s="312"/>
      <c r="D41" s="312"/>
      <c r="E41" s="312"/>
      <c r="F41" s="312"/>
      <c r="G41" s="328"/>
      <c r="H41" s="337"/>
      <c r="I41" s="334"/>
      <c r="J41" s="314"/>
      <c r="K41" s="449"/>
      <c r="M41" s="349" t="str">
        <f>N41&amp;AS[[#This Row],[Insurer Code]]&amp;"; "&amp;O41&amp;AS[[#This Row],[Reporting Year]]&amp;"; "&amp;P41&amp;AS[[#This Row],[Insurance Category Code]]&amp;"; "&amp;Q41&amp;AS[[#This Row],[Large Provider Entity Code]]&amp;"; "&amp;R41&amp;AS[[#This Row],[Age Band Code]]&amp;"; "&amp;S41&amp;AS[[#This Row],[Sex Code]]</f>
        <v xml:space="preserve">Insurer Code ; Reporting Year ; Insurance Category Code ; Large Provider Entity Code ; Age Band Code ; Sex Code </v>
      </c>
      <c r="N41" s="345" t="s">
        <v>207</v>
      </c>
      <c r="O41" s="345" t="s">
        <v>208</v>
      </c>
      <c r="P41" s="345" t="s">
        <v>209</v>
      </c>
      <c r="Q41" s="345" t="s">
        <v>210</v>
      </c>
      <c r="R41" s="345" t="s">
        <v>223</v>
      </c>
      <c r="S41" s="345" t="s">
        <v>224</v>
      </c>
    </row>
    <row r="42" spans="1:19" x14ac:dyDescent="0.25">
      <c r="A42" s="311"/>
      <c r="B42" s="312"/>
      <c r="C42" s="312"/>
      <c r="D42" s="312"/>
      <c r="E42" s="312"/>
      <c r="F42" s="312"/>
      <c r="G42" s="328"/>
      <c r="H42" s="337"/>
      <c r="I42" s="334"/>
      <c r="J42" s="314"/>
      <c r="K42" s="449"/>
      <c r="M42" s="349" t="str">
        <f>N42&amp;AS[[#This Row],[Insurer Code]]&amp;"; "&amp;O42&amp;AS[[#This Row],[Reporting Year]]&amp;"; "&amp;P42&amp;AS[[#This Row],[Insurance Category Code]]&amp;"; "&amp;Q42&amp;AS[[#This Row],[Large Provider Entity Code]]&amp;"; "&amp;R42&amp;AS[[#This Row],[Age Band Code]]&amp;"; "&amp;S42&amp;AS[[#This Row],[Sex Code]]</f>
        <v xml:space="preserve">Insurer Code ; Reporting Year ; Insurance Category Code ; Large Provider Entity Code ; Age Band Code ; Sex Code </v>
      </c>
      <c r="N42" s="345" t="s">
        <v>207</v>
      </c>
      <c r="O42" s="345" t="s">
        <v>208</v>
      </c>
      <c r="P42" s="345" t="s">
        <v>209</v>
      </c>
      <c r="Q42" s="345" t="s">
        <v>210</v>
      </c>
      <c r="R42" s="345" t="s">
        <v>223</v>
      </c>
      <c r="S42" s="345" t="s">
        <v>224</v>
      </c>
    </row>
    <row r="43" spans="1:19" x14ac:dyDescent="0.25">
      <c r="A43" s="311"/>
      <c r="B43" s="312"/>
      <c r="C43" s="312"/>
      <c r="D43" s="312"/>
      <c r="E43" s="312"/>
      <c r="F43" s="312"/>
      <c r="G43" s="328"/>
      <c r="H43" s="337"/>
      <c r="I43" s="334"/>
      <c r="J43" s="314"/>
      <c r="K43" s="449"/>
      <c r="M43" s="349" t="str">
        <f>N43&amp;AS[[#This Row],[Insurer Code]]&amp;"; "&amp;O43&amp;AS[[#This Row],[Reporting Year]]&amp;"; "&amp;P43&amp;AS[[#This Row],[Insurance Category Code]]&amp;"; "&amp;Q43&amp;AS[[#This Row],[Large Provider Entity Code]]&amp;"; "&amp;R43&amp;AS[[#This Row],[Age Band Code]]&amp;"; "&amp;S43&amp;AS[[#This Row],[Sex Code]]</f>
        <v xml:space="preserve">Insurer Code ; Reporting Year ; Insurance Category Code ; Large Provider Entity Code ; Age Band Code ; Sex Code </v>
      </c>
      <c r="N43" s="345" t="s">
        <v>207</v>
      </c>
      <c r="O43" s="345" t="s">
        <v>208</v>
      </c>
      <c r="P43" s="345" t="s">
        <v>209</v>
      </c>
      <c r="Q43" s="345" t="s">
        <v>210</v>
      </c>
      <c r="R43" s="345" t="s">
        <v>223</v>
      </c>
      <c r="S43" s="345" t="s">
        <v>224</v>
      </c>
    </row>
    <row r="44" spans="1:19" x14ac:dyDescent="0.25">
      <c r="A44" s="311"/>
      <c r="B44" s="312"/>
      <c r="C44" s="312"/>
      <c r="D44" s="312"/>
      <c r="E44" s="312"/>
      <c r="F44" s="312"/>
      <c r="G44" s="328"/>
      <c r="H44" s="337"/>
      <c r="I44" s="334"/>
      <c r="J44" s="314"/>
      <c r="K44" s="449"/>
      <c r="M44" s="349" t="str">
        <f>N44&amp;AS[[#This Row],[Insurer Code]]&amp;"; "&amp;O44&amp;AS[[#This Row],[Reporting Year]]&amp;"; "&amp;P44&amp;AS[[#This Row],[Insurance Category Code]]&amp;"; "&amp;Q44&amp;AS[[#This Row],[Large Provider Entity Code]]&amp;"; "&amp;R44&amp;AS[[#This Row],[Age Band Code]]&amp;"; "&amp;S44&amp;AS[[#This Row],[Sex Code]]</f>
        <v xml:space="preserve">Insurer Code ; Reporting Year ; Insurance Category Code ; Large Provider Entity Code ; Age Band Code ; Sex Code </v>
      </c>
      <c r="N44" s="345" t="s">
        <v>207</v>
      </c>
      <c r="O44" s="345" t="s">
        <v>208</v>
      </c>
      <c r="P44" s="345" t="s">
        <v>209</v>
      </c>
      <c r="Q44" s="345" t="s">
        <v>210</v>
      </c>
      <c r="R44" s="345" t="s">
        <v>223</v>
      </c>
      <c r="S44" s="345" t="s">
        <v>224</v>
      </c>
    </row>
    <row r="45" spans="1:19" x14ac:dyDescent="0.25">
      <c r="A45" s="311"/>
      <c r="B45" s="312"/>
      <c r="C45" s="312"/>
      <c r="D45" s="312"/>
      <c r="E45" s="312"/>
      <c r="F45" s="312"/>
      <c r="G45" s="328"/>
      <c r="H45" s="337"/>
      <c r="I45" s="334"/>
      <c r="J45" s="314"/>
      <c r="K45" s="449"/>
      <c r="M45" s="349" t="str">
        <f>N45&amp;AS[[#This Row],[Insurer Code]]&amp;"; "&amp;O45&amp;AS[[#This Row],[Reporting Year]]&amp;"; "&amp;P45&amp;AS[[#This Row],[Insurance Category Code]]&amp;"; "&amp;Q45&amp;AS[[#This Row],[Large Provider Entity Code]]&amp;"; "&amp;R45&amp;AS[[#This Row],[Age Band Code]]&amp;"; "&amp;S45&amp;AS[[#This Row],[Sex Code]]</f>
        <v xml:space="preserve">Insurer Code ; Reporting Year ; Insurance Category Code ; Large Provider Entity Code ; Age Band Code ; Sex Code </v>
      </c>
      <c r="N45" s="345" t="s">
        <v>207</v>
      </c>
      <c r="O45" s="345" t="s">
        <v>208</v>
      </c>
      <c r="P45" s="345" t="s">
        <v>209</v>
      </c>
      <c r="Q45" s="345" t="s">
        <v>210</v>
      </c>
      <c r="R45" s="345" t="s">
        <v>223</v>
      </c>
      <c r="S45" s="345" t="s">
        <v>224</v>
      </c>
    </row>
    <row r="46" spans="1:19" x14ac:dyDescent="0.25">
      <c r="A46" s="311"/>
      <c r="B46" s="312"/>
      <c r="C46" s="312"/>
      <c r="D46" s="312"/>
      <c r="E46" s="312"/>
      <c r="F46" s="312"/>
      <c r="G46" s="328"/>
      <c r="H46" s="337"/>
      <c r="I46" s="334"/>
      <c r="J46" s="314"/>
      <c r="K46" s="449"/>
      <c r="M46" s="349" t="str">
        <f>N46&amp;AS[[#This Row],[Insurer Code]]&amp;"; "&amp;O46&amp;AS[[#This Row],[Reporting Year]]&amp;"; "&amp;P46&amp;AS[[#This Row],[Insurance Category Code]]&amp;"; "&amp;Q46&amp;AS[[#This Row],[Large Provider Entity Code]]&amp;"; "&amp;R46&amp;AS[[#This Row],[Age Band Code]]&amp;"; "&amp;S46&amp;AS[[#This Row],[Sex Code]]</f>
        <v xml:space="preserve">Insurer Code ; Reporting Year ; Insurance Category Code ; Large Provider Entity Code ; Age Band Code ; Sex Code </v>
      </c>
      <c r="N46" s="345" t="s">
        <v>207</v>
      </c>
      <c r="O46" s="345" t="s">
        <v>208</v>
      </c>
      <c r="P46" s="345" t="s">
        <v>209</v>
      </c>
      <c r="Q46" s="345" t="s">
        <v>210</v>
      </c>
      <c r="R46" s="345" t="s">
        <v>223</v>
      </c>
      <c r="S46" s="345" t="s">
        <v>224</v>
      </c>
    </row>
    <row r="47" spans="1:19" x14ac:dyDescent="0.25">
      <c r="A47" s="311"/>
      <c r="B47" s="312"/>
      <c r="C47" s="312"/>
      <c r="D47" s="312"/>
      <c r="E47" s="312"/>
      <c r="F47" s="312"/>
      <c r="G47" s="328"/>
      <c r="H47" s="337"/>
      <c r="I47" s="334"/>
      <c r="J47" s="314"/>
      <c r="K47" s="449"/>
      <c r="M47" s="349" t="str">
        <f>N47&amp;AS[[#This Row],[Insurer Code]]&amp;"; "&amp;O47&amp;AS[[#This Row],[Reporting Year]]&amp;"; "&amp;P47&amp;AS[[#This Row],[Insurance Category Code]]&amp;"; "&amp;Q47&amp;AS[[#This Row],[Large Provider Entity Code]]&amp;"; "&amp;R47&amp;AS[[#This Row],[Age Band Code]]&amp;"; "&amp;S47&amp;AS[[#This Row],[Sex Code]]</f>
        <v xml:space="preserve">Insurer Code ; Reporting Year ; Insurance Category Code ; Large Provider Entity Code ; Age Band Code ; Sex Code </v>
      </c>
      <c r="N47" s="345" t="s">
        <v>207</v>
      </c>
      <c r="O47" s="345" t="s">
        <v>208</v>
      </c>
      <c r="P47" s="345" t="s">
        <v>209</v>
      </c>
      <c r="Q47" s="345" t="s">
        <v>210</v>
      </c>
      <c r="R47" s="345" t="s">
        <v>223</v>
      </c>
      <c r="S47" s="345" t="s">
        <v>224</v>
      </c>
    </row>
    <row r="48" spans="1:19" x14ac:dyDescent="0.25">
      <c r="A48" s="311"/>
      <c r="B48" s="312"/>
      <c r="C48" s="312"/>
      <c r="D48" s="312"/>
      <c r="E48" s="312"/>
      <c r="F48" s="312"/>
      <c r="G48" s="328"/>
      <c r="H48" s="337"/>
      <c r="I48" s="334"/>
      <c r="J48" s="314"/>
      <c r="K48" s="449"/>
      <c r="M48" s="349" t="str">
        <f>N48&amp;AS[[#This Row],[Insurer Code]]&amp;"; "&amp;O48&amp;AS[[#This Row],[Reporting Year]]&amp;"; "&amp;P48&amp;AS[[#This Row],[Insurance Category Code]]&amp;"; "&amp;Q48&amp;AS[[#This Row],[Large Provider Entity Code]]&amp;"; "&amp;R48&amp;AS[[#This Row],[Age Band Code]]&amp;"; "&amp;S48&amp;AS[[#This Row],[Sex Code]]</f>
        <v xml:space="preserve">Insurer Code ; Reporting Year ; Insurance Category Code ; Large Provider Entity Code ; Age Band Code ; Sex Code </v>
      </c>
      <c r="N48" s="345" t="s">
        <v>207</v>
      </c>
      <c r="O48" s="345" t="s">
        <v>208</v>
      </c>
      <c r="P48" s="345" t="s">
        <v>209</v>
      </c>
      <c r="Q48" s="345" t="s">
        <v>210</v>
      </c>
      <c r="R48" s="345" t="s">
        <v>223</v>
      </c>
      <c r="S48" s="345" t="s">
        <v>224</v>
      </c>
    </row>
    <row r="49" spans="1:19" x14ac:dyDescent="0.25">
      <c r="A49" s="311"/>
      <c r="B49" s="312"/>
      <c r="C49" s="312"/>
      <c r="D49" s="312"/>
      <c r="E49" s="312"/>
      <c r="F49" s="312"/>
      <c r="G49" s="328"/>
      <c r="H49" s="337"/>
      <c r="I49" s="334"/>
      <c r="J49" s="314"/>
      <c r="K49" s="449"/>
      <c r="M49" s="349" t="str">
        <f>N49&amp;AS[[#This Row],[Insurer Code]]&amp;"; "&amp;O49&amp;AS[[#This Row],[Reporting Year]]&amp;"; "&amp;P49&amp;AS[[#This Row],[Insurance Category Code]]&amp;"; "&amp;Q49&amp;AS[[#This Row],[Large Provider Entity Code]]&amp;"; "&amp;R49&amp;AS[[#This Row],[Age Band Code]]&amp;"; "&amp;S49&amp;AS[[#This Row],[Sex Code]]</f>
        <v xml:space="preserve">Insurer Code ; Reporting Year ; Insurance Category Code ; Large Provider Entity Code ; Age Band Code ; Sex Code </v>
      </c>
      <c r="N49" s="345" t="s">
        <v>207</v>
      </c>
      <c r="O49" s="345" t="s">
        <v>208</v>
      </c>
      <c r="P49" s="345" t="s">
        <v>209</v>
      </c>
      <c r="Q49" s="345" t="s">
        <v>210</v>
      </c>
      <c r="R49" s="345" t="s">
        <v>223</v>
      </c>
      <c r="S49" s="345" t="s">
        <v>224</v>
      </c>
    </row>
    <row r="50" spans="1:19" x14ac:dyDescent="0.25">
      <c r="A50" s="311"/>
      <c r="B50" s="312"/>
      <c r="C50" s="312"/>
      <c r="D50" s="312"/>
      <c r="E50" s="312"/>
      <c r="F50" s="312"/>
      <c r="G50" s="328"/>
      <c r="H50" s="337"/>
      <c r="I50" s="334"/>
      <c r="J50" s="314"/>
      <c r="K50" s="449"/>
      <c r="M50" s="349" t="str">
        <f>N50&amp;AS[[#This Row],[Insurer Code]]&amp;"; "&amp;O50&amp;AS[[#This Row],[Reporting Year]]&amp;"; "&amp;P50&amp;AS[[#This Row],[Insurance Category Code]]&amp;"; "&amp;Q50&amp;AS[[#This Row],[Large Provider Entity Code]]&amp;"; "&amp;R50&amp;AS[[#This Row],[Age Band Code]]&amp;"; "&amp;S50&amp;AS[[#This Row],[Sex Code]]</f>
        <v xml:space="preserve">Insurer Code ; Reporting Year ; Insurance Category Code ; Large Provider Entity Code ; Age Band Code ; Sex Code </v>
      </c>
      <c r="N50" s="345" t="s">
        <v>207</v>
      </c>
      <c r="O50" s="345" t="s">
        <v>208</v>
      </c>
      <c r="P50" s="345" t="s">
        <v>209</v>
      </c>
      <c r="Q50" s="345" t="s">
        <v>210</v>
      </c>
      <c r="R50" s="345" t="s">
        <v>223</v>
      </c>
      <c r="S50" s="345" t="s">
        <v>224</v>
      </c>
    </row>
    <row r="51" spans="1:19" x14ac:dyDescent="0.25">
      <c r="A51" s="311"/>
      <c r="B51" s="312"/>
      <c r="C51" s="312"/>
      <c r="D51" s="312"/>
      <c r="E51" s="312"/>
      <c r="F51" s="312"/>
      <c r="G51" s="328"/>
      <c r="H51" s="337"/>
      <c r="I51" s="334"/>
      <c r="J51" s="314"/>
      <c r="K51" s="449"/>
      <c r="M51" s="349" t="str">
        <f>N51&amp;AS[[#This Row],[Insurer Code]]&amp;"; "&amp;O51&amp;AS[[#This Row],[Reporting Year]]&amp;"; "&amp;P51&amp;AS[[#This Row],[Insurance Category Code]]&amp;"; "&amp;Q51&amp;AS[[#This Row],[Large Provider Entity Code]]&amp;"; "&amp;R51&amp;AS[[#This Row],[Age Band Code]]&amp;"; "&amp;S51&amp;AS[[#This Row],[Sex Code]]</f>
        <v xml:space="preserve">Insurer Code ; Reporting Year ; Insurance Category Code ; Large Provider Entity Code ; Age Band Code ; Sex Code </v>
      </c>
      <c r="N51" s="345" t="s">
        <v>207</v>
      </c>
      <c r="O51" s="345" t="s">
        <v>208</v>
      </c>
      <c r="P51" s="345" t="s">
        <v>209</v>
      </c>
      <c r="Q51" s="345" t="s">
        <v>210</v>
      </c>
      <c r="R51" s="345" t="s">
        <v>223</v>
      </c>
      <c r="S51" s="345" t="s">
        <v>224</v>
      </c>
    </row>
    <row r="52" spans="1:19" x14ac:dyDescent="0.25">
      <c r="A52" s="311"/>
      <c r="B52" s="312"/>
      <c r="C52" s="312"/>
      <c r="D52" s="312"/>
      <c r="E52" s="312"/>
      <c r="F52" s="312"/>
      <c r="G52" s="328"/>
      <c r="H52" s="337"/>
      <c r="I52" s="334"/>
      <c r="J52" s="314"/>
      <c r="K52" s="449"/>
      <c r="M52" s="349" t="str">
        <f>N52&amp;AS[[#This Row],[Insurer Code]]&amp;"; "&amp;O52&amp;AS[[#This Row],[Reporting Year]]&amp;"; "&amp;P52&amp;AS[[#This Row],[Insurance Category Code]]&amp;"; "&amp;Q52&amp;AS[[#This Row],[Large Provider Entity Code]]&amp;"; "&amp;R52&amp;AS[[#This Row],[Age Band Code]]&amp;"; "&amp;S52&amp;AS[[#This Row],[Sex Code]]</f>
        <v xml:space="preserve">Insurer Code ; Reporting Year ; Insurance Category Code ; Large Provider Entity Code ; Age Band Code ; Sex Code </v>
      </c>
      <c r="N52" s="345" t="s">
        <v>207</v>
      </c>
      <c r="O52" s="345" t="s">
        <v>208</v>
      </c>
      <c r="P52" s="345" t="s">
        <v>209</v>
      </c>
      <c r="Q52" s="345" t="s">
        <v>210</v>
      </c>
      <c r="R52" s="345" t="s">
        <v>223</v>
      </c>
      <c r="S52" s="345" t="s">
        <v>224</v>
      </c>
    </row>
    <row r="53" spans="1:19" x14ac:dyDescent="0.25">
      <c r="A53" s="311"/>
      <c r="B53" s="312"/>
      <c r="C53" s="312"/>
      <c r="D53" s="312"/>
      <c r="E53" s="312"/>
      <c r="F53" s="312"/>
      <c r="G53" s="328"/>
      <c r="H53" s="337"/>
      <c r="I53" s="334"/>
      <c r="J53" s="314"/>
      <c r="K53" s="449"/>
      <c r="M53" s="349" t="str">
        <f>N53&amp;AS[[#This Row],[Insurer Code]]&amp;"; "&amp;O53&amp;AS[[#This Row],[Reporting Year]]&amp;"; "&amp;P53&amp;AS[[#This Row],[Insurance Category Code]]&amp;"; "&amp;Q53&amp;AS[[#This Row],[Large Provider Entity Code]]&amp;"; "&amp;R53&amp;AS[[#This Row],[Age Band Code]]&amp;"; "&amp;S53&amp;AS[[#This Row],[Sex Code]]</f>
        <v xml:space="preserve">Insurer Code ; Reporting Year ; Insurance Category Code ; Large Provider Entity Code ; Age Band Code ; Sex Code </v>
      </c>
      <c r="N53" s="345" t="s">
        <v>207</v>
      </c>
      <c r="O53" s="345" t="s">
        <v>208</v>
      </c>
      <c r="P53" s="345" t="s">
        <v>209</v>
      </c>
      <c r="Q53" s="345" t="s">
        <v>210</v>
      </c>
      <c r="R53" s="345" t="s">
        <v>223</v>
      </c>
      <c r="S53" s="345" t="s">
        <v>224</v>
      </c>
    </row>
    <row r="54" spans="1:19" x14ac:dyDescent="0.25">
      <c r="A54" s="311"/>
      <c r="B54" s="312"/>
      <c r="C54" s="312"/>
      <c r="D54" s="312"/>
      <c r="E54" s="312"/>
      <c r="F54" s="312"/>
      <c r="G54" s="328"/>
      <c r="H54" s="337"/>
      <c r="I54" s="334"/>
      <c r="J54" s="314"/>
      <c r="K54" s="449"/>
      <c r="M54" s="349" t="str">
        <f>N54&amp;AS[[#This Row],[Insurer Code]]&amp;"; "&amp;O54&amp;AS[[#This Row],[Reporting Year]]&amp;"; "&amp;P54&amp;AS[[#This Row],[Insurance Category Code]]&amp;"; "&amp;Q54&amp;AS[[#This Row],[Large Provider Entity Code]]&amp;"; "&amp;R54&amp;AS[[#This Row],[Age Band Code]]&amp;"; "&amp;S54&amp;AS[[#This Row],[Sex Code]]</f>
        <v xml:space="preserve">Insurer Code ; Reporting Year ; Insurance Category Code ; Large Provider Entity Code ; Age Band Code ; Sex Code </v>
      </c>
      <c r="N54" s="345" t="s">
        <v>207</v>
      </c>
      <c r="O54" s="345" t="s">
        <v>208</v>
      </c>
      <c r="P54" s="345" t="s">
        <v>209</v>
      </c>
      <c r="Q54" s="345" t="s">
        <v>210</v>
      </c>
      <c r="R54" s="345" t="s">
        <v>223</v>
      </c>
      <c r="S54" s="345" t="s">
        <v>224</v>
      </c>
    </row>
    <row r="55" spans="1:19" x14ac:dyDescent="0.25">
      <c r="A55" s="311"/>
      <c r="B55" s="312"/>
      <c r="C55" s="312"/>
      <c r="D55" s="312"/>
      <c r="E55" s="312"/>
      <c r="F55" s="312"/>
      <c r="G55" s="328"/>
      <c r="H55" s="337"/>
      <c r="I55" s="334"/>
      <c r="J55" s="314"/>
      <c r="K55" s="449"/>
      <c r="M55" s="349" t="str">
        <f>N55&amp;AS[[#This Row],[Insurer Code]]&amp;"; "&amp;O55&amp;AS[[#This Row],[Reporting Year]]&amp;"; "&amp;P55&amp;AS[[#This Row],[Insurance Category Code]]&amp;"; "&amp;Q55&amp;AS[[#This Row],[Large Provider Entity Code]]&amp;"; "&amp;R55&amp;AS[[#This Row],[Age Band Code]]&amp;"; "&amp;S55&amp;AS[[#This Row],[Sex Code]]</f>
        <v xml:space="preserve">Insurer Code ; Reporting Year ; Insurance Category Code ; Large Provider Entity Code ; Age Band Code ; Sex Code </v>
      </c>
      <c r="N55" s="345" t="s">
        <v>207</v>
      </c>
      <c r="O55" s="345" t="s">
        <v>208</v>
      </c>
      <c r="P55" s="345" t="s">
        <v>209</v>
      </c>
      <c r="Q55" s="345" t="s">
        <v>210</v>
      </c>
      <c r="R55" s="345" t="s">
        <v>223</v>
      </c>
      <c r="S55" s="345" t="s">
        <v>224</v>
      </c>
    </row>
    <row r="56" spans="1:19" x14ac:dyDescent="0.25">
      <c r="A56" s="311"/>
      <c r="B56" s="312"/>
      <c r="C56" s="312"/>
      <c r="D56" s="312"/>
      <c r="E56" s="312"/>
      <c r="F56" s="312"/>
      <c r="G56" s="328"/>
      <c r="H56" s="337"/>
      <c r="I56" s="334"/>
      <c r="J56" s="314"/>
      <c r="K56" s="449"/>
      <c r="M56" s="349" t="str">
        <f>N56&amp;AS[[#This Row],[Insurer Code]]&amp;"; "&amp;O56&amp;AS[[#This Row],[Reporting Year]]&amp;"; "&amp;P56&amp;AS[[#This Row],[Insurance Category Code]]&amp;"; "&amp;Q56&amp;AS[[#This Row],[Large Provider Entity Code]]&amp;"; "&amp;R56&amp;AS[[#This Row],[Age Band Code]]&amp;"; "&amp;S56&amp;AS[[#This Row],[Sex Code]]</f>
        <v xml:space="preserve">Insurer Code ; Reporting Year ; Insurance Category Code ; Large Provider Entity Code ; Age Band Code ; Sex Code </v>
      </c>
      <c r="N56" s="345" t="s">
        <v>207</v>
      </c>
      <c r="O56" s="345" t="s">
        <v>208</v>
      </c>
      <c r="P56" s="345" t="s">
        <v>209</v>
      </c>
      <c r="Q56" s="345" t="s">
        <v>210</v>
      </c>
      <c r="R56" s="345" t="s">
        <v>223</v>
      </c>
      <c r="S56" s="345" t="s">
        <v>224</v>
      </c>
    </row>
    <row r="57" spans="1:19" x14ac:dyDescent="0.25">
      <c r="A57" s="311"/>
      <c r="B57" s="312"/>
      <c r="C57" s="312"/>
      <c r="D57" s="312"/>
      <c r="E57" s="312"/>
      <c r="F57" s="312"/>
      <c r="G57" s="328"/>
      <c r="H57" s="337"/>
      <c r="I57" s="334"/>
      <c r="J57" s="314"/>
      <c r="K57" s="449"/>
      <c r="M57" s="349" t="str">
        <f>N57&amp;AS[[#This Row],[Insurer Code]]&amp;"; "&amp;O57&amp;AS[[#This Row],[Reporting Year]]&amp;"; "&amp;P57&amp;AS[[#This Row],[Insurance Category Code]]&amp;"; "&amp;Q57&amp;AS[[#This Row],[Large Provider Entity Code]]&amp;"; "&amp;R57&amp;AS[[#This Row],[Age Band Code]]&amp;"; "&amp;S57&amp;AS[[#This Row],[Sex Code]]</f>
        <v xml:space="preserve">Insurer Code ; Reporting Year ; Insurance Category Code ; Large Provider Entity Code ; Age Band Code ; Sex Code </v>
      </c>
      <c r="N57" s="345" t="s">
        <v>207</v>
      </c>
      <c r="O57" s="345" t="s">
        <v>208</v>
      </c>
      <c r="P57" s="345" t="s">
        <v>209</v>
      </c>
      <c r="Q57" s="345" t="s">
        <v>210</v>
      </c>
      <c r="R57" s="345" t="s">
        <v>223</v>
      </c>
      <c r="S57" s="345" t="s">
        <v>224</v>
      </c>
    </row>
    <row r="58" spans="1:19" x14ac:dyDescent="0.25">
      <c r="A58" s="311"/>
      <c r="B58" s="312"/>
      <c r="C58" s="312"/>
      <c r="D58" s="312"/>
      <c r="E58" s="312"/>
      <c r="F58" s="312"/>
      <c r="G58" s="328"/>
      <c r="H58" s="337"/>
      <c r="I58" s="334"/>
      <c r="J58" s="314"/>
      <c r="K58" s="449"/>
      <c r="M58" s="349" t="str">
        <f>N58&amp;AS[[#This Row],[Insurer Code]]&amp;"; "&amp;O58&amp;AS[[#This Row],[Reporting Year]]&amp;"; "&amp;P58&amp;AS[[#This Row],[Insurance Category Code]]&amp;"; "&amp;Q58&amp;AS[[#This Row],[Large Provider Entity Code]]&amp;"; "&amp;R58&amp;AS[[#This Row],[Age Band Code]]&amp;"; "&amp;S58&amp;AS[[#This Row],[Sex Code]]</f>
        <v xml:space="preserve">Insurer Code ; Reporting Year ; Insurance Category Code ; Large Provider Entity Code ; Age Band Code ; Sex Code </v>
      </c>
      <c r="N58" s="345" t="s">
        <v>207</v>
      </c>
      <c r="O58" s="345" t="s">
        <v>208</v>
      </c>
      <c r="P58" s="345" t="s">
        <v>209</v>
      </c>
      <c r="Q58" s="345" t="s">
        <v>210</v>
      </c>
      <c r="R58" s="345" t="s">
        <v>223</v>
      </c>
      <c r="S58" s="345" t="s">
        <v>224</v>
      </c>
    </row>
    <row r="59" spans="1:19" x14ac:dyDescent="0.25">
      <c r="A59" s="311"/>
      <c r="B59" s="312"/>
      <c r="C59" s="312"/>
      <c r="D59" s="312"/>
      <c r="E59" s="312"/>
      <c r="F59" s="312"/>
      <c r="G59" s="328"/>
      <c r="H59" s="337"/>
      <c r="I59" s="334"/>
      <c r="J59" s="314"/>
      <c r="K59" s="449"/>
      <c r="M59" s="349" t="str">
        <f>N59&amp;AS[[#This Row],[Insurer Code]]&amp;"; "&amp;O59&amp;AS[[#This Row],[Reporting Year]]&amp;"; "&amp;P59&amp;AS[[#This Row],[Insurance Category Code]]&amp;"; "&amp;Q59&amp;AS[[#This Row],[Large Provider Entity Code]]&amp;"; "&amp;R59&amp;AS[[#This Row],[Age Band Code]]&amp;"; "&amp;S59&amp;AS[[#This Row],[Sex Code]]</f>
        <v xml:space="preserve">Insurer Code ; Reporting Year ; Insurance Category Code ; Large Provider Entity Code ; Age Band Code ; Sex Code </v>
      </c>
      <c r="N59" s="345" t="s">
        <v>207</v>
      </c>
      <c r="O59" s="345" t="s">
        <v>208</v>
      </c>
      <c r="P59" s="345" t="s">
        <v>209</v>
      </c>
      <c r="Q59" s="345" t="s">
        <v>210</v>
      </c>
      <c r="R59" s="345" t="s">
        <v>223</v>
      </c>
      <c r="S59" s="345" t="s">
        <v>224</v>
      </c>
    </row>
    <row r="60" spans="1:19" x14ac:dyDescent="0.25">
      <c r="A60" s="311"/>
      <c r="B60" s="312"/>
      <c r="C60" s="312"/>
      <c r="D60" s="312"/>
      <c r="E60" s="312"/>
      <c r="F60" s="312"/>
      <c r="G60" s="328"/>
      <c r="H60" s="337"/>
      <c r="I60" s="334"/>
      <c r="J60" s="314"/>
      <c r="K60" s="449"/>
      <c r="M60" s="349" t="str">
        <f>N60&amp;AS[[#This Row],[Insurer Code]]&amp;"; "&amp;O60&amp;AS[[#This Row],[Reporting Year]]&amp;"; "&amp;P60&amp;AS[[#This Row],[Insurance Category Code]]&amp;"; "&amp;Q60&amp;AS[[#This Row],[Large Provider Entity Code]]&amp;"; "&amp;R60&amp;AS[[#This Row],[Age Band Code]]&amp;"; "&amp;S60&amp;AS[[#This Row],[Sex Code]]</f>
        <v xml:space="preserve">Insurer Code ; Reporting Year ; Insurance Category Code ; Large Provider Entity Code ; Age Band Code ; Sex Code </v>
      </c>
      <c r="N60" s="345" t="s">
        <v>207</v>
      </c>
      <c r="O60" s="345" t="s">
        <v>208</v>
      </c>
      <c r="P60" s="345" t="s">
        <v>209</v>
      </c>
      <c r="Q60" s="345" t="s">
        <v>210</v>
      </c>
      <c r="R60" s="345" t="s">
        <v>223</v>
      </c>
      <c r="S60" s="345" t="s">
        <v>224</v>
      </c>
    </row>
    <row r="61" spans="1:19" x14ac:dyDescent="0.25">
      <c r="A61" s="311"/>
      <c r="B61" s="312"/>
      <c r="C61" s="312"/>
      <c r="D61" s="312"/>
      <c r="E61" s="312"/>
      <c r="F61" s="312"/>
      <c r="G61" s="328"/>
      <c r="H61" s="337"/>
      <c r="I61" s="334"/>
      <c r="J61" s="314"/>
      <c r="K61" s="449"/>
      <c r="M61" s="349" t="str">
        <f>N61&amp;AS[[#This Row],[Insurer Code]]&amp;"; "&amp;O61&amp;AS[[#This Row],[Reporting Year]]&amp;"; "&amp;P61&amp;AS[[#This Row],[Insurance Category Code]]&amp;"; "&amp;Q61&amp;AS[[#This Row],[Large Provider Entity Code]]&amp;"; "&amp;R61&amp;AS[[#This Row],[Age Band Code]]&amp;"; "&amp;S61&amp;AS[[#This Row],[Sex Code]]</f>
        <v xml:space="preserve">Insurer Code ; Reporting Year ; Insurance Category Code ; Large Provider Entity Code ; Age Band Code ; Sex Code </v>
      </c>
      <c r="N61" s="345" t="s">
        <v>207</v>
      </c>
      <c r="O61" s="345" t="s">
        <v>208</v>
      </c>
      <c r="P61" s="345" t="s">
        <v>209</v>
      </c>
      <c r="Q61" s="345" t="s">
        <v>210</v>
      </c>
      <c r="R61" s="345" t="s">
        <v>223</v>
      </c>
      <c r="S61" s="345" t="s">
        <v>224</v>
      </c>
    </row>
    <row r="62" spans="1:19" x14ac:dyDescent="0.25">
      <c r="A62" s="311"/>
      <c r="B62" s="312"/>
      <c r="C62" s="312"/>
      <c r="D62" s="312"/>
      <c r="E62" s="312"/>
      <c r="F62" s="312"/>
      <c r="G62" s="328"/>
      <c r="H62" s="337"/>
      <c r="I62" s="334"/>
      <c r="J62" s="314"/>
      <c r="K62" s="449"/>
      <c r="M62" s="349" t="str">
        <f>N62&amp;AS[[#This Row],[Insurer Code]]&amp;"; "&amp;O62&amp;AS[[#This Row],[Reporting Year]]&amp;"; "&amp;P62&amp;AS[[#This Row],[Insurance Category Code]]&amp;"; "&amp;Q62&amp;AS[[#This Row],[Large Provider Entity Code]]&amp;"; "&amp;R62&amp;AS[[#This Row],[Age Band Code]]&amp;"; "&amp;S62&amp;AS[[#This Row],[Sex Code]]</f>
        <v xml:space="preserve">Insurer Code ; Reporting Year ; Insurance Category Code ; Large Provider Entity Code ; Age Band Code ; Sex Code </v>
      </c>
      <c r="N62" s="345" t="s">
        <v>207</v>
      </c>
      <c r="O62" s="345" t="s">
        <v>208</v>
      </c>
      <c r="P62" s="345" t="s">
        <v>209</v>
      </c>
      <c r="Q62" s="345" t="s">
        <v>210</v>
      </c>
      <c r="R62" s="345" t="s">
        <v>223</v>
      </c>
      <c r="S62" s="345" t="s">
        <v>224</v>
      </c>
    </row>
    <row r="63" spans="1:19" x14ac:dyDescent="0.25">
      <c r="A63" s="311"/>
      <c r="B63" s="312"/>
      <c r="C63" s="312"/>
      <c r="D63" s="312"/>
      <c r="E63" s="312"/>
      <c r="F63" s="312"/>
      <c r="G63" s="328"/>
      <c r="H63" s="337"/>
      <c r="I63" s="334"/>
      <c r="J63" s="314"/>
      <c r="K63" s="449"/>
      <c r="M63" s="349" t="str">
        <f>N63&amp;AS[[#This Row],[Insurer Code]]&amp;"; "&amp;O63&amp;AS[[#This Row],[Reporting Year]]&amp;"; "&amp;P63&amp;AS[[#This Row],[Insurance Category Code]]&amp;"; "&amp;Q63&amp;AS[[#This Row],[Large Provider Entity Code]]&amp;"; "&amp;R63&amp;AS[[#This Row],[Age Band Code]]&amp;"; "&amp;S63&amp;AS[[#This Row],[Sex Code]]</f>
        <v xml:space="preserve">Insurer Code ; Reporting Year ; Insurance Category Code ; Large Provider Entity Code ; Age Band Code ; Sex Code </v>
      </c>
      <c r="N63" s="345" t="s">
        <v>207</v>
      </c>
      <c r="O63" s="345" t="s">
        <v>208</v>
      </c>
      <c r="P63" s="345" t="s">
        <v>209</v>
      </c>
      <c r="Q63" s="345" t="s">
        <v>210</v>
      </c>
      <c r="R63" s="345" t="s">
        <v>223</v>
      </c>
      <c r="S63" s="345" t="s">
        <v>224</v>
      </c>
    </row>
    <row r="64" spans="1:19" x14ac:dyDescent="0.25">
      <c r="A64" s="311"/>
      <c r="B64" s="312"/>
      <c r="C64" s="312"/>
      <c r="D64" s="312"/>
      <c r="E64" s="312"/>
      <c r="F64" s="312"/>
      <c r="G64" s="328"/>
      <c r="H64" s="337"/>
      <c r="I64" s="334"/>
      <c r="J64" s="314"/>
      <c r="K64" s="449"/>
      <c r="M64" s="349" t="str">
        <f>N64&amp;AS[[#This Row],[Insurer Code]]&amp;"; "&amp;O64&amp;AS[[#This Row],[Reporting Year]]&amp;"; "&amp;P64&amp;AS[[#This Row],[Insurance Category Code]]&amp;"; "&amp;Q64&amp;AS[[#This Row],[Large Provider Entity Code]]&amp;"; "&amp;R64&amp;AS[[#This Row],[Age Band Code]]&amp;"; "&amp;S64&amp;AS[[#This Row],[Sex Code]]</f>
        <v xml:space="preserve">Insurer Code ; Reporting Year ; Insurance Category Code ; Large Provider Entity Code ; Age Band Code ; Sex Code </v>
      </c>
      <c r="N64" s="345" t="s">
        <v>207</v>
      </c>
      <c r="O64" s="345" t="s">
        <v>208</v>
      </c>
      <c r="P64" s="345" t="s">
        <v>209</v>
      </c>
      <c r="Q64" s="345" t="s">
        <v>210</v>
      </c>
      <c r="R64" s="345" t="s">
        <v>223</v>
      </c>
      <c r="S64" s="345" t="s">
        <v>224</v>
      </c>
    </row>
    <row r="65" spans="1:19" x14ac:dyDescent="0.25">
      <c r="A65" s="311"/>
      <c r="B65" s="312"/>
      <c r="C65" s="312"/>
      <c r="D65" s="312"/>
      <c r="E65" s="312"/>
      <c r="F65" s="312"/>
      <c r="G65" s="328"/>
      <c r="H65" s="337"/>
      <c r="I65" s="334"/>
      <c r="J65" s="314"/>
      <c r="K65" s="449"/>
      <c r="M65" s="349" t="str">
        <f>N65&amp;AS[[#This Row],[Insurer Code]]&amp;"; "&amp;O65&amp;AS[[#This Row],[Reporting Year]]&amp;"; "&amp;P65&amp;AS[[#This Row],[Insurance Category Code]]&amp;"; "&amp;Q65&amp;AS[[#This Row],[Large Provider Entity Code]]&amp;"; "&amp;R65&amp;AS[[#This Row],[Age Band Code]]&amp;"; "&amp;S65&amp;AS[[#This Row],[Sex Code]]</f>
        <v xml:space="preserve">Insurer Code ; Reporting Year ; Insurance Category Code ; Large Provider Entity Code ; Age Band Code ; Sex Code </v>
      </c>
      <c r="N65" s="345" t="s">
        <v>207</v>
      </c>
      <c r="O65" s="345" t="s">
        <v>208</v>
      </c>
      <c r="P65" s="345" t="s">
        <v>209</v>
      </c>
      <c r="Q65" s="345" t="s">
        <v>210</v>
      </c>
      <c r="R65" s="345" t="s">
        <v>223</v>
      </c>
      <c r="S65" s="345" t="s">
        <v>224</v>
      </c>
    </row>
    <row r="66" spans="1:19" x14ac:dyDescent="0.25">
      <c r="A66" s="311"/>
      <c r="B66" s="312"/>
      <c r="C66" s="312"/>
      <c r="D66" s="312"/>
      <c r="E66" s="312"/>
      <c r="F66" s="312"/>
      <c r="G66" s="328"/>
      <c r="H66" s="337"/>
      <c r="I66" s="334"/>
      <c r="J66" s="314"/>
      <c r="K66" s="449"/>
      <c r="M66" s="349" t="str">
        <f>N66&amp;AS[[#This Row],[Insurer Code]]&amp;"; "&amp;O66&amp;AS[[#This Row],[Reporting Year]]&amp;"; "&amp;P66&amp;AS[[#This Row],[Insurance Category Code]]&amp;"; "&amp;Q66&amp;AS[[#This Row],[Large Provider Entity Code]]&amp;"; "&amp;R66&amp;AS[[#This Row],[Age Band Code]]&amp;"; "&amp;S66&amp;AS[[#This Row],[Sex Code]]</f>
        <v xml:space="preserve">Insurer Code ; Reporting Year ; Insurance Category Code ; Large Provider Entity Code ; Age Band Code ; Sex Code </v>
      </c>
      <c r="N66" s="345" t="s">
        <v>207</v>
      </c>
      <c r="O66" s="345" t="s">
        <v>208</v>
      </c>
      <c r="P66" s="345" t="s">
        <v>209</v>
      </c>
      <c r="Q66" s="345" t="s">
        <v>210</v>
      </c>
      <c r="R66" s="345" t="s">
        <v>223</v>
      </c>
      <c r="S66" s="345" t="s">
        <v>224</v>
      </c>
    </row>
    <row r="67" spans="1:19" x14ac:dyDescent="0.25">
      <c r="A67" s="311"/>
      <c r="B67" s="312"/>
      <c r="C67" s="312"/>
      <c r="D67" s="312"/>
      <c r="E67" s="312"/>
      <c r="F67" s="312"/>
      <c r="G67" s="328"/>
      <c r="H67" s="337"/>
      <c r="I67" s="334"/>
      <c r="J67" s="314"/>
      <c r="K67" s="449"/>
      <c r="M67" s="349" t="str">
        <f>N67&amp;AS[[#This Row],[Insurer Code]]&amp;"; "&amp;O67&amp;AS[[#This Row],[Reporting Year]]&amp;"; "&amp;P67&amp;AS[[#This Row],[Insurance Category Code]]&amp;"; "&amp;Q67&amp;AS[[#This Row],[Large Provider Entity Code]]&amp;"; "&amp;R67&amp;AS[[#This Row],[Age Band Code]]&amp;"; "&amp;S67&amp;AS[[#This Row],[Sex Code]]</f>
        <v xml:space="preserve">Insurer Code ; Reporting Year ; Insurance Category Code ; Large Provider Entity Code ; Age Band Code ; Sex Code </v>
      </c>
      <c r="N67" s="345" t="s">
        <v>207</v>
      </c>
      <c r="O67" s="345" t="s">
        <v>208</v>
      </c>
      <c r="P67" s="345" t="s">
        <v>209</v>
      </c>
      <c r="Q67" s="345" t="s">
        <v>210</v>
      </c>
      <c r="R67" s="345" t="s">
        <v>223</v>
      </c>
      <c r="S67" s="345" t="s">
        <v>224</v>
      </c>
    </row>
    <row r="68" spans="1:19" x14ac:dyDescent="0.25">
      <c r="A68" s="311"/>
      <c r="B68" s="312"/>
      <c r="C68" s="312"/>
      <c r="D68" s="312"/>
      <c r="E68" s="312"/>
      <c r="F68" s="312"/>
      <c r="G68" s="328"/>
      <c r="H68" s="337"/>
      <c r="I68" s="334"/>
      <c r="J68" s="314"/>
      <c r="K68" s="449"/>
      <c r="M68" s="349" t="str">
        <f>N68&amp;AS[[#This Row],[Insurer Code]]&amp;"; "&amp;O68&amp;AS[[#This Row],[Reporting Year]]&amp;"; "&amp;P68&amp;AS[[#This Row],[Insurance Category Code]]&amp;"; "&amp;Q68&amp;AS[[#This Row],[Large Provider Entity Code]]&amp;"; "&amp;R68&amp;AS[[#This Row],[Age Band Code]]&amp;"; "&amp;S68&amp;AS[[#This Row],[Sex Code]]</f>
        <v xml:space="preserve">Insurer Code ; Reporting Year ; Insurance Category Code ; Large Provider Entity Code ; Age Band Code ; Sex Code </v>
      </c>
      <c r="N68" s="345" t="s">
        <v>207</v>
      </c>
      <c r="O68" s="345" t="s">
        <v>208</v>
      </c>
      <c r="P68" s="345" t="s">
        <v>209</v>
      </c>
      <c r="Q68" s="345" t="s">
        <v>210</v>
      </c>
      <c r="R68" s="345" t="s">
        <v>223</v>
      </c>
      <c r="S68" s="345" t="s">
        <v>224</v>
      </c>
    </row>
    <row r="69" spans="1:19" x14ac:dyDescent="0.25">
      <c r="A69" s="311"/>
      <c r="B69" s="312"/>
      <c r="C69" s="312"/>
      <c r="D69" s="312"/>
      <c r="E69" s="312"/>
      <c r="F69" s="312"/>
      <c r="G69" s="328"/>
      <c r="H69" s="337"/>
      <c r="I69" s="334"/>
      <c r="J69" s="314"/>
      <c r="K69" s="449"/>
      <c r="M69" s="349" t="str">
        <f>N69&amp;AS[[#This Row],[Insurer Code]]&amp;"; "&amp;O69&amp;AS[[#This Row],[Reporting Year]]&amp;"; "&amp;P69&amp;AS[[#This Row],[Insurance Category Code]]&amp;"; "&amp;Q69&amp;AS[[#This Row],[Large Provider Entity Code]]&amp;"; "&amp;R69&amp;AS[[#This Row],[Age Band Code]]&amp;"; "&amp;S69&amp;AS[[#This Row],[Sex Code]]</f>
        <v xml:space="preserve">Insurer Code ; Reporting Year ; Insurance Category Code ; Large Provider Entity Code ; Age Band Code ; Sex Code </v>
      </c>
      <c r="N69" s="345" t="s">
        <v>207</v>
      </c>
      <c r="O69" s="345" t="s">
        <v>208</v>
      </c>
      <c r="P69" s="345" t="s">
        <v>209</v>
      </c>
      <c r="Q69" s="345" t="s">
        <v>210</v>
      </c>
      <c r="R69" s="345" t="s">
        <v>223</v>
      </c>
      <c r="S69" s="345" t="s">
        <v>224</v>
      </c>
    </row>
    <row r="70" spans="1:19" x14ac:dyDescent="0.25">
      <c r="A70" s="311"/>
      <c r="B70" s="312"/>
      <c r="C70" s="312"/>
      <c r="D70" s="312"/>
      <c r="E70" s="312"/>
      <c r="F70" s="312"/>
      <c r="G70" s="328"/>
      <c r="H70" s="337"/>
      <c r="I70" s="334"/>
      <c r="J70" s="314"/>
      <c r="K70" s="449"/>
      <c r="M70" s="349" t="str">
        <f>N70&amp;AS[[#This Row],[Insurer Code]]&amp;"; "&amp;O70&amp;AS[[#This Row],[Reporting Year]]&amp;"; "&amp;P70&amp;AS[[#This Row],[Insurance Category Code]]&amp;"; "&amp;Q70&amp;AS[[#This Row],[Large Provider Entity Code]]&amp;"; "&amp;R70&amp;AS[[#This Row],[Age Band Code]]&amp;"; "&amp;S70&amp;AS[[#This Row],[Sex Code]]</f>
        <v xml:space="preserve">Insurer Code ; Reporting Year ; Insurance Category Code ; Large Provider Entity Code ; Age Band Code ; Sex Code </v>
      </c>
      <c r="N70" s="345" t="s">
        <v>207</v>
      </c>
      <c r="O70" s="345" t="s">
        <v>208</v>
      </c>
      <c r="P70" s="345" t="s">
        <v>209</v>
      </c>
      <c r="Q70" s="345" t="s">
        <v>210</v>
      </c>
      <c r="R70" s="345" t="s">
        <v>223</v>
      </c>
      <c r="S70" s="345" t="s">
        <v>224</v>
      </c>
    </row>
    <row r="71" spans="1:19" x14ac:dyDescent="0.25">
      <c r="A71" s="311"/>
      <c r="B71" s="312"/>
      <c r="C71" s="312"/>
      <c r="D71" s="312"/>
      <c r="E71" s="312"/>
      <c r="F71" s="312"/>
      <c r="G71" s="328"/>
      <c r="H71" s="337"/>
      <c r="I71" s="334"/>
      <c r="J71" s="314"/>
      <c r="K71" s="449"/>
      <c r="M71" s="349" t="str">
        <f>N71&amp;AS[[#This Row],[Insurer Code]]&amp;"; "&amp;O71&amp;AS[[#This Row],[Reporting Year]]&amp;"; "&amp;P71&amp;AS[[#This Row],[Insurance Category Code]]&amp;"; "&amp;Q71&amp;AS[[#This Row],[Large Provider Entity Code]]&amp;"; "&amp;R71&amp;AS[[#This Row],[Age Band Code]]&amp;"; "&amp;S71&amp;AS[[#This Row],[Sex Code]]</f>
        <v xml:space="preserve">Insurer Code ; Reporting Year ; Insurance Category Code ; Large Provider Entity Code ; Age Band Code ; Sex Code </v>
      </c>
      <c r="N71" s="345" t="s">
        <v>207</v>
      </c>
      <c r="O71" s="345" t="s">
        <v>208</v>
      </c>
      <c r="P71" s="345" t="s">
        <v>209</v>
      </c>
      <c r="Q71" s="345" t="s">
        <v>210</v>
      </c>
      <c r="R71" s="345" t="s">
        <v>223</v>
      </c>
      <c r="S71" s="345" t="s">
        <v>224</v>
      </c>
    </row>
    <row r="72" spans="1:19" x14ac:dyDescent="0.25">
      <c r="A72" s="311"/>
      <c r="B72" s="312"/>
      <c r="C72" s="312"/>
      <c r="D72" s="312"/>
      <c r="E72" s="312"/>
      <c r="F72" s="312"/>
      <c r="G72" s="328"/>
      <c r="H72" s="337"/>
      <c r="I72" s="334"/>
      <c r="J72" s="314"/>
      <c r="K72" s="449"/>
      <c r="M72" s="349" t="str">
        <f>N72&amp;AS[[#This Row],[Insurer Code]]&amp;"; "&amp;O72&amp;AS[[#This Row],[Reporting Year]]&amp;"; "&amp;P72&amp;AS[[#This Row],[Insurance Category Code]]&amp;"; "&amp;Q72&amp;AS[[#This Row],[Large Provider Entity Code]]&amp;"; "&amp;R72&amp;AS[[#This Row],[Age Band Code]]&amp;"; "&amp;S72&amp;AS[[#This Row],[Sex Code]]</f>
        <v xml:space="preserve">Insurer Code ; Reporting Year ; Insurance Category Code ; Large Provider Entity Code ; Age Band Code ; Sex Code </v>
      </c>
      <c r="N72" s="345" t="s">
        <v>207</v>
      </c>
      <c r="O72" s="345" t="s">
        <v>208</v>
      </c>
      <c r="P72" s="345" t="s">
        <v>209</v>
      </c>
      <c r="Q72" s="345" t="s">
        <v>210</v>
      </c>
      <c r="R72" s="345" t="s">
        <v>223</v>
      </c>
      <c r="S72" s="345" t="s">
        <v>224</v>
      </c>
    </row>
    <row r="73" spans="1:19" x14ac:dyDescent="0.25">
      <c r="A73" s="311"/>
      <c r="B73" s="312"/>
      <c r="C73" s="312"/>
      <c r="D73" s="312"/>
      <c r="E73" s="312"/>
      <c r="F73" s="312"/>
      <c r="G73" s="328"/>
      <c r="H73" s="337"/>
      <c r="I73" s="334"/>
      <c r="J73" s="314"/>
      <c r="K73" s="449"/>
      <c r="M73" s="349" t="str">
        <f>N73&amp;AS[[#This Row],[Insurer Code]]&amp;"; "&amp;O73&amp;AS[[#This Row],[Reporting Year]]&amp;"; "&amp;P73&amp;AS[[#This Row],[Insurance Category Code]]&amp;"; "&amp;Q73&amp;AS[[#This Row],[Large Provider Entity Code]]&amp;"; "&amp;R73&amp;AS[[#This Row],[Age Band Code]]&amp;"; "&amp;S73&amp;AS[[#This Row],[Sex Code]]</f>
        <v xml:space="preserve">Insurer Code ; Reporting Year ; Insurance Category Code ; Large Provider Entity Code ; Age Band Code ; Sex Code </v>
      </c>
      <c r="N73" s="345" t="s">
        <v>207</v>
      </c>
      <c r="O73" s="345" t="s">
        <v>208</v>
      </c>
      <c r="P73" s="345" t="s">
        <v>209</v>
      </c>
      <c r="Q73" s="345" t="s">
        <v>210</v>
      </c>
      <c r="R73" s="345" t="s">
        <v>223</v>
      </c>
      <c r="S73" s="345" t="s">
        <v>224</v>
      </c>
    </row>
    <row r="74" spans="1:19" x14ac:dyDescent="0.25">
      <c r="A74" s="311"/>
      <c r="B74" s="312"/>
      <c r="C74" s="312"/>
      <c r="D74" s="312"/>
      <c r="E74" s="312"/>
      <c r="F74" s="312"/>
      <c r="G74" s="328"/>
      <c r="H74" s="337"/>
      <c r="I74" s="334"/>
      <c r="J74" s="314"/>
      <c r="K74" s="449"/>
      <c r="M74" s="349" t="str">
        <f>N74&amp;AS[[#This Row],[Insurer Code]]&amp;"; "&amp;O74&amp;AS[[#This Row],[Reporting Year]]&amp;"; "&amp;P74&amp;AS[[#This Row],[Insurance Category Code]]&amp;"; "&amp;Q74&amp;AS[[#This Row],[Large Provider Entity Code]]&amp;"; "&amp;R74&amp;AS[[#This Row],[Age Band Code]]&amp;"; "&amp;S74&amp;AS[[#This Row],[Sex Code]]</f>
        <v xml:space="preserve">Insurer Code ; Reporting Year ; Insurance Category Code ; Large Provider Entity Code ; Age Band Code ; Sex Code </v>
      </c>
      <c r="N74" s="345" t="s">
        <v>207</v>
      </c>
      <c r="O74" s="345" t="s">
        <v>208</v>
      </c>
      <c r="P74" s="345" t="s">
        <v>209</v>
      </c>
      <c r="Q74" s="345" t="s">
        <v>210</v>
      </c>
      <c r="R74" s="345" t="s">
        <v>223</v>
      </c>
      <c r="S74" s="345" t="s">
        <v>224</v>
      </c>
    </row>
    <row r="75" spans="1:19" x14ac:dyDescent="0.25">
      <c r="A75" s="311"/>
      <c r="B75" s="312"/>
      <c r="C75" s="312"/>
      <c r="D75" s="312"/>
      <c r="E75" s="312"/>
      <c r="F75" s="312"/>
      <c r="G75" s="328"/>
      <c r="H75" s="337"/>
      <c r="I75" s="334"/>
      <c r="J75" s="314"/>
      <c r="K75" s="449"/>
      <c r="M75" s="349" t="str">
        <f>N75&amp;AS[[#This Row],[Insurer Code]]&amp;"; "&amp;O75&amp;AS[[#This Row],[Reporting Year]]&amp;"; "&amp;P75&amp;AS[[#This Row],[Insurance Category Code]]&amp;"; "&amp;Q75&amp;AS[[#This Row],[Large Provider Entity Code]]&amp;"; "&amp;R75&amp;AS[[#This Row],[Age Band Code]]&amp;"; "&amp;S75&amp;AS[[#This Row],[Sex Code]]</f>
        <v xml:space="preserve">Insurer Code ; Reporting Year ; Insurance Category Code ; Large Provider Entity Code ; Age Band Code ; Sex Code </v>
      </c>
      <c r="N75" s="345" t="s">
        <v>207</v>
      </c>
      <c r="O75" s="345" t="s">
        <v>208</v>
      </c>
      <c r="P75" s="345" t="s">
        <v>209</v>
      </c>
      <c r="Q75" s="345" t="s">
        <v>210</v>
      </c>
      <c r="R75" s="345" t="s">
        <v>223</v>
      </c>
      <c r="S75" s="345" t="s">
        <v>224</v>
      </c>
    </row>
    <row r="76" spans="1:19" x14ac:dyDescent="0.25">
      <c r="A76" s="311"/>
      <c r="B76" s="312"/>
      <c r="C76" s="312"/>
      <c r="D76" s="312"/>
      <c r="E76" s="312"/>
      <c r="F76" s="312"/>
      <c r="G76" s="328"/>
      <c r="H76" s="337"/>
      <c r="I76" s="334"/>
      <c r="J76" s="314"/>
      <c r="K76" s="449"/>
      <c r="M76" s="349" t="str">
        <f>N76&amp;AS[[#This Row],[Insurer Code]]&amp;"; "&amp;O76&amp;AS[[#This Row],[Reporting Year]]&amp;"; "&amp;P76&amp;AS[[#This Row],[Insurance Category Code]]&amp;"; "&amp;Q76&amp;AS[[#This Row],[Large Provider Entity Code]]&amp;"; "&amp;R76&amp;AS[[#This Row],[Age Band Code]]&amp;"; "&amp;S76&amp;AS[[#This Row],[Sex Code]]</f>
        <v xml:space="preserve">Insurer Code ; Reporting Year ; Insurance Category Code ; Large Provider Entity Code ; Age Band Code ; Sex Code </v>
      </c>
      <c r="N76" s="345" t="s">
        <v>207</v>
      </c>
      <c r="O76" s="345" t="s">
        <v>208</v>
      </c>
      <c r="P76" s="345" t="s">
        <v>209</v>
      </c>
      <c r="Q76" s="345" t="s">
        <v>210</v>
      </c>
      <c r="R76" s="345" t="s">
        <v>223</v>
      </c>
      <c r="S76" s="345" t="s">
        <v>224</v>
      </c>
    </row>
    <row r="77" spans="1:19" x14ac:dyDescent="0.25">
      <c r="A77" s="311"/>
      <c r="B77" s="312"/>
      <c r="C77" s="312"/>
      <c r="D77" s="312"/>
      <c r="E77" s="312"/>
      <c r="F77" s="312"/>
      <c r="G77" s="328"/>
      <c r="H77" s="337"/>
      <c r="I77" s="334"/>
      <c r="J77" s="314"/>
      <c r="K77" s="449"/>
      <c r="M77" s="349" t="str">
        <f>N77&amp;AS[[#This Row],[Insurer Code]]&amp;"; "&amp;O77&amp;AS[[#This Row],[Reporting Year]]&amp;"; "&amp;P77&amp;AS[[#This Row],[Insurance Category Code]]&amp;"; "&amp;Q77&amp;AS[[#This Row],[Large Provider Entity Code]]&amp;"; "&amp;R77&amp;AS[[#This Row],[Age Band Code]]&amp;"; "&amp;S77&amp;AS[[#This Row],[Sex Code]]</f>
        <v xml:space="preserve">Insurer Code ; Reporting Year ; Insurance Category Code ; Large Provider Entity Code ; Age Band Code ; Sex Code </v>
      </c>
      <c r="N77" s="345" t="s">
        <v>207</v>
      </c>
      <c r="O77" s="345" t="s">
        <v>208</v>
      </c>
      <c r="P77" s="345" t="s">
        <v>209</v>
      </c>
      <c r="Q77" s="345" t="s">
        <v>210</v>
      </c>
      <c r="R77" s="345" t="s">
        <v>223</v>
      </c>
      <c r="S77" s="345" t="s">
        <v>224</v>
      </c>
    </row>
    <row r="78" spans="1:19" x14ac:dyDescent="0.25">
      <c r="A78" s="311"/>
      <c r="B78" s="312"/>
      <c r="C78" s="312"/>
      <c r="D78" s="312"/>
      <c r="E78" s="312"/>
      <c r="F78" s="312"/>
      <c r="G78" s="328"/>
      <c r="H78" s="337"/>
      <c r="I78" s="334"/>
      <c r="J78" s="314"/>
      <c r="K78" s="449"/>
      <c r="M78" s="349" t="str">
        <f>N78&amp;AS[[#This Row],[Insurer Code]]&amp;"; "&amp;O78&amp;AS[[#This Row],[Reporting Year]]&amp;"; "&amp;P78&amp;AS[[#This Row],[Insurance Category Code]]&amp;"; "&amp;Q78&amp;AS[[#This Row],[Large Provider Entity Code]]&amp;"; "&amp;R78&amp;AS[[#This Row],[Age Band Code]]&amp;"; "&amp;S78&amp;AS[[#This Row],[Sex Code]]</f>
        <v xml:space="preserve">Insurer Code ; Reporting Year ; Insurance Category Code ; Large Provider Entity Code ; Age Band Code ; Sex Code </v>
      </c>
      <c r="N78" s="345" t="s">
        <v>207</v>
      </c>
      <c r="O78" s="345" t="s">
        <v>208</v>
      </c>
      <c r="P78" s="345" t="s">
        <v>209</v>
      </c>
      <c r="Q78" s="345" t="s">
        <v>210</v>
      </c>
      <c r="R78" s="345" t="s">
        <v>223</v>
      </c>
      <c r="S78" s="345" t="s">
        <v>224</v>
      </c>
    </row>
    <row r="79" spans="1:19" x14ac:dyDescent="0.25">
      <c r="A79" s="311"/>
      <c r="B79" s="312"/>
      <c r="C79" s="312"/>
      <c r="D79" s="312"/>
      <c r="E79" s="312"/>
      <c r="F79" s="312"/>
      <c r="G79" s="328"/>
      <c r="H79" s="337"/>
      <c r="I79" s="334"/>
      <c r="J79" s="314"/>
      <c r="K79" s="449"/>
      <c r="M79" s="349" t="str">
        <f>N79&amp;AS[[#This Row],[Insurer Code]]&amp;"; "&amp;O79&amp;AS[[#This Row],[Reporting Year]]&amp;"; "&amp;P79&amp;AS[[#This Row],[Insurance Category Code]]&amp;"; "&amp;Q79&amp;AS[[#This Row],[Large Provider Entity Code]]&amp;"; "&amp;R79&amp;AS[[#This Row],[Age Band Code]]&amp;"; "&amp;S79&amp;AS[[#This Row],[Sex Code]]</f>
        <v xml:space="preserve">Insurer Code ; Reporting Year ; Insurance Category Code ; Large Provider Entity Code ; Age Band Code ; Sex Code </v>
      </c>
      <c r="N79" s="345" t="s">
        <v>207</v>
      </c>
      <c r="O79" s="345" t="s">
        <v>208</v>
      </c>
      <c r="P79" s="345" t="s">
        <v>209</v>
      </c>
      <c r="Q79" s="345" t="s">
        <v>210</v>
      </c>
      <c r="R79" s="345" t="s">
        <v>223</v>
      </c>
      <c r="S79" s="345" t="s">
        <v>224</v>
      </c>
    </row>
    <row r="80" spans="1:19" x14ac:dyDescent="0.25">
      <c r="A80" s="311"/>
      <c r="B80" s="312"/>
      <c r="C80" s="312"/>
      <c r="D80" s="312"/>
      <c r="E80" s="312"/>
      <c r="F80" s="312"/>
      <c r="G80" s="328"/>
      <c r="H80" s="337"/>
      <c r="I80" s="334"/>
      <c r="J80" s="314"/>
      <c r="K80" s="449"/>
      <c r="M80" s="349" t="str">
        <f>N80&amp;AS[[#This Row],[Insurer Code]]&amp;"; "&amp;O80&amp;AS[[#This Row],[Reporting Year]]&amp;"; "&amp;P80&amp;AS[[#This Row],[Insurance Category Code]]&amp;"; "&amp;Q80&amp;AS[[#This Row],[Large Provider Entity Code]]&amp;"; "&amp;R80&amp;AS[[#This Row],[Age Band Code]]&amp;"; "&amp;S80&amp;AS[[#This Row],[Sex Code]]</f>
        <v xml:space="preserve">Insurer Code ; Reporting Year ; Insurance Category Code ; Large Provider Entity Code ; Age Band Code ; Sex Code </v>
      </c>
      <c r="N80" s="345" t="s">
        <v>207</v>
      </c>
      <c r="O80" s="345" t="s">
        <v>208</v>
      </c>
      <c r="P80" s="345" t="s">
        <v>209</v>
      </c>
      <c r="Q80" s="345" t="s">
        <v>210</v>
      </c>
      <c r="R80" s="345" t="s">
        <v>223</v>
      </c>
      <c r="S80" s="345" t="s">
        <v>224</v>
      </c>
    </row>
    <row r="81" spans="1:19" x14ac:dyDescent="0.25">
      <c r="A81" s="311"/>
      <c r="B81" s="312"/>
      <c r="C81" s="312"/>
      <c r="D81" s="312"/>
      <c r="E81" s="312"/>
      <c r="F81" s="312"/>
      <c r="G81" s="328"/>
      <c r="H81" s="337"/>
      <c r="I81" s="334"/>
      <c r="J81" s="314"/>
      <c r="K81" s="449"/>
      <c r="M81" s="349" t="str">
        <f>N81&amp;AS[[#This Row],[Insurer Code]]&amp;"; "&amp;O81&amp;AS[[#This Row],[Reporting Year]]&amp;"; "&amp;P81&amp;AS[[#This Row],[Insurance Category Code]]&amp;"; "&amp;Q81&amp;AS[[#This Row],[Large Provider Entity Code]]&amp;"; "&amp;R81&amp;AS[[#This Row],[Age Band Code]]&amp;"; "&amp;S81&amp;AS[[#This Row],[Sex Code]]</f>
        <v xml:space="preserve">Insurer Code ; Reporting Year ; Insurance Category Code ; Large Provider Entity Code ; Age Band Code ; Sex Code </v>
      </c>
      <c r="N81" s="345" t="s">
        <v>207</v>
      </c>
      <c r="O81" s="345" t="s">
        <v>208</v>
      </c>
      <c r="P81" s="345" t="s">
        <v>209</v>
      </c>
      <c r="Q81" s="345" t="s">
        <v>210</v>
      </c>
      <c r="R81" s="345" t="s">
        <v>223</v>
      </c>
      <c r="S81" s="345" t="s">
        <v>224</v>
      </c>
    </row>
    <row r="82" spans="1:19" x14ac:dyDescent="0.25">
      <c r="A82" s="311"/>
      <c r="B82" s="312"/>
      <c r="C82" s="312"/>
      <c r="D82" s="312"/>
      <c r="E82" s="312"/>
      <c r="F82" s="312"/>
      <c r="G82" s="328"/>
      <c r="H82" s="337"/>
      <c r="I82" s="334"/>
      <c r="J82" s="314"/>
      <c r="K82" s="449"/>
      <c r="M82" s="349" t="str">
        <f>N82&amp;AS[[#This Row],[Insurer Code]]&amp;"; "&amp;O82&amp;AS[[#This Row],[Reporting Year]]&amp;"; "&amp;P82&amp;AS[[#This Row],[Insurance Category Code]]&amp;"; "&amp;Q82&amp;AS[[#This Row],[Large Provider Entity Code]]&amp;"; "&amp;R82&amp;AS[[#This Row],[Age Band Code]]&amp;"; "&amp;S82&amp;AS[[#This Row],[Sex Code]]</f>
        <v xml:space="preserve">Insurer Code ; Reporting Year ; Insurance Category Code ; Large Provider Entity Code ; Age Band Code ; Sex Code </v>
      </c>
      <c r="N82" s="345" t="s">
        <v>207</v>
      </c>
      <c r="O82" s="345" t="s">
        <v>208</v>
      </c>
      <c r="P82" s="345" t="s">
        <v>209</v>
      </c>
      <c r="Q82" s="345" t="s">
        <v>210</v>
      </c>
      <c r="R82" s="345" t="s">
        <v>223</v>
      </c>
      <c r="S82" s="345" t="s">
        <v>224</v>
      </c>
    </row>
    <row r="83" spans="1:19" x14ac:dyDescent="0.25">
      <c r="A83" s="311"/>
      <c r="B83" s="312"/>
      <c r="C83" s="312"/>
      <c r="D83" s="312"/>
      <c r="E83" s="312"/>
      <c r="F83" s="312"/>
      <c r="G83" s="328"/>
      <c r="H83" s="337"/>
      <c r="I83" s="334"/>
      <c r="J83" s="314"/>
      <c r="K83" s="449"/>
      <c r="M83" s="349" t="str">
        <f>N83&amp;AS[[#This Row],[Insurer Code]]&amp;"; "&amp;O83&amp;AS[[#This Row],[Reporting Year]]&amp;"; "&amp;P83&amp;AS[[#This Row],[Insurance Category Code]]&amp;"; "&amp;Q83&amp;AS[[#This Row],[Large Provider Entity Code]]&amp;"; "&amp;R83&amp;AS[[#This Row],[Age Band Code]]&amp;"; "&amp;S83&amp;AS[[#This Row],[Sex Code]]</f>
        <v xml:space="preserve">Insurer Code ; Reporting Year ; Insurance Category Code ; Large Provider Entity Code ; Age Band Code ; Sex Code </v>
      </c>
      <c r="N83" s="345" t="s">
        <v>207</v>
      </c>
      <c r="O83" s="345" t="s">
        <v>208</v>
      </c>
      <c r="P83" s="345" t="s">
        <v>209</v>
      </c>
      <c r="Q83" s="345" t="s">
        <v>210</v>
      </c>
      <c r="R83" s="345" t="s">
        <v>223</v>
      </c>
      <c r="S83" s="345" t="s">
        <v>224</v>
      </c>
    </row>
    <row r="84" spans="1:19" x14ac:dyDescent="0.25">
      <c r="A84" s="311"/>
      <c r="B84" s="312"/>
      <c r="C84" s="312"/>
      <c r="D84" s="312"/>
      <c r="E84" s="312"/>
      <c r="F84" s="312"/>
      <c r="G84" s="328"/>
      <c r="H84" s="337"/>
      <c r="I84" s="334"/>
      <c r="J84" s="314"/>
      <c r="K84" s="449"/>
      <c r="M84" s="349" t="str">
        <f>N84&amp;AS[[#This Row],[Insurer Code]]&amp;"; "&amp;O84&amp;AS[[#This Row],[Reporting Year]]&amp;"; "&amp;P84&amp;AS[[#This Row],[Insurance Category Code]]&amp;"; "&amp;Q84&amp;AS[[#This Row],[Large Provider Entity Code]]&amp;"; "&amp;R84&amp;AS[[#This Row],[Age Band Code]]&amp;"; "&amp;S84&amp;AS[[#This Row],[Sex Code]]</f>
        <v xml:space="preserve">Insurer Code ; Reporting Year ; Insurance Category Code ; Large Provider Entity Code ; Age Band Code ; Sex Code </v>
      </c>
      <c r="N84" s="345" t="s">
        <v>207</v>
      </c>
      <c r="O84" s="345" t="s">
        <v>208</v>
      </c>
      <c r="P84" s="345" t="s">
        <v>209</v>
      </c>
      <c r="Q84" s="345" t="s">
        <v>210</v>
      </c>
      <c r="R84" s="345" t="s">
        <v>223</v>
      </c>
      <c r="S84" s="345" t="s">
        <v>224</v>
      </c>
    </row>
    <row r="85" spans="1:19" x14ac:dyDescent="0.25">
      <c r="A85" s="311"/>
      <c r="B85" s="312"/>
      <c r="C85" s="312"/>
      <c r="D85" s="312"/>
      <c r="E85" s="312"/>
      <c r="F85" s="312"/>
      <c r="G85" s="328"/>
      <c r="H85" s="337"/>
      <c r="I85" s="334"/>
      <c r="J85" s="314"/>
      <c r="K85" s="449"/>
      <c r="M85" s="349" t="str">
        <f>N85&amp;AS[[#This Row],[Insurer Code]]&amp;"; "&amp;O85&amp;AS[[#This Row],[Reporting Year]]&amp;"; "&amp;P85&amp;AS[[#This Row],[Insurance Category Code]]&amp;"; "&amp;Q85&amp;AS[[#This Row],[Large Provider Entity Code]]&amp;"; "&amp;R85&amp;AS[[#This Row],[Age Band Code]]&amp;"; "&amp;S85&amp;AS[[#This Row],[Sex Code]]</f>
        <v xml:space="preserve">Insurer Code ; Reporting Year ; Insurance Category Code ; Large Provider Entity Code ; Age Band Code ; Sex Code </v>
      </c>
      <c r="N85" s="345" t="s">
        <v>207</v>
      </c>
      <c r="O85" s="345" t="s">
        <v>208</v>
      </c>
      <c r="P85" s="345" t="s">
        <v>209</v>
      </c>
      <c r="Q85" s="345" t="s">
        <v>210</v>
      </c>
      <c r="R85" s="345" t="s">
        <v>223</v>
      </c>
      <c r="S85" s="345" t="s">
        <v>224</v>
      </c>
    </row>
    <row r="86" spans="1:19" x14ac:dyDescent="0.25">
      <c r="A86" s="311"/>
      <c r="B86" s="312"/>
      <c r="C86" s="312"/>
      <c r="D86" s="312"/>
      <c r="E86" s="312"/>
      <c r="F86" s="312"/>
      <c r="G86" s="328"/>
      <c r="H86" s="337"/>
      <c r="I86" s="334"/>
      <c r="J86" s="314"/>
      <c r="K86" s="449"/>
      <c r="M86" s="349" t="str">
        <f>N86&amp;AS[[#This Row],[Insurer Code]]&amp;"; "&amp;O86&amp;AS[[#This Row],[Reporting Year]]&amp;"; "&amp;P86&amp;AS[[#This Row],[Insurance Category Code]]&amp;"; "&amp;Q86&amp;AS[[#This Row],[Large Provider Entity Code]]&amp;"; "&amp;R86&amp;AS[[#This Row],[Age Band Code]]&amp;"; "&amp;S86&amp;AS[[#This Row],[Sex Code]]</f>
        <v xml:space="preserve">Insurer Code ; Reporting Year ; Insurance Category Code ; Large Provider Entity Code ; Age Band Code ; Sex Code </v>
      </c>
      <c r="N86" s="345" t="s">
        <v>207</v>
      </c>
      <c r="O86" s="345" t="s">
        <v>208</v>
      </c>
      <c r="P86" s="345" t="s">
        <v>209</v>
      </c>
      <c r="Q86" s="345" t="s">
        <v>210</v>
      </c>
      <c r="R86" s="345" t="s">
        <v>223</v>
      </c>
      <c r="S86" s="345" t="s">
        <v>224</v>
      </c>
    </row>
    <row r="87" spans="1:19" x14ac:dyDescent="0.25">
      <c r="A87" s="311"/>
      <c r="B87" s="312"/>
      <c r="C87" s="312"/>
      <c r="D87" s="312"/>
      <c r="E87" s="312"/>
      <c r="F87" s="312"/>
      <c r="G87" s="328"/>
      <c r="H87" s="337"/>
      <c r="I87" s="334"/>
      <c r="J87" s="314"/>
      <c r="K87" s="449"/>
      <c r="M87" s="349" t="str">
        <f>N87&amp;AS[[#This Row],[Insurer Code]]&amp;"; "&amp;O87&amp;AS[[#This Row],[Reporting Year]]&amp;"; "&amp;P87&amp;AS[[#This Row],[Insurance Category Code]]&amp;"; "&amp;Q87&amp;AS[[#This Row],[Large Provider Entity Code]]&amp;"; "&amp;R87&amp;AS[[#This Row],[Age Band Code]]&amp;"; "&amp;S87&amp;AS[[#This Row],[Sex Code]]</f>
        <v xml:space="preserve">Insurer Code ; Reporting Year ; Insurance Category Code ; Large Provider Entity Code ; Age Band Code ; Sex Code </v>
      </c>
      <c r="N87" s="345" t="s">
        <v>207</v>
      </c>
      <c r="O87" s="345" t="s">
        <v>208</v>
      </c>
      <c r="P87" s="345" t="s">
        <v>209</v>
      </c>
      <c r="Q87" s="345" t="s">
        <v>210</v>
      </c>
      <c r="R87" s="345" t="s">
        <v>223</v>
      </c>
      <c r="S87" s="345" t="s">
        <v>224</v>
      </c>
    </row>
    <row r="88" spans="1:19" x14ac:dyDescent="0.25">
      <c r="A88" s="311"/>
      <c r="B88" s="312"/>
      <c r="C88" s="312"/>
      <c r="D88" s="312"/>
      <c r="E88" s="312"/>
      <c r="F88" s="312"/>
      <c r="G88" s="328"/>
      <c r="H88" s="337"/>
      <c r="I88" s="334"/>
      <c r="J88" s="314"/>
      <c r="K88" s="449"/>
      <c r="M88" s="349" t="str">
        <f>N88&amp;AS[[#This Row],[Insurer Code]]&amp;"; "&amp;O88&amp;AS[[#This Row],[Reporting Year]]&amp;"; "&amp;P88&amp;AS[[#This Row],[Insurance Category Code]]&amp;"; "&amp;Q88&amp;AS[[#This Row],[Large Provider Entity Code]]&amp;"; "&amp;R88&amp;AS[[#This Row],[Age Band Code]]&amp;"; "&amp;S88&amp;AS[[#This Row],[Sex Code]]</f>
        <v xml:space="preserve">Insurer Code ; Reporting Year ; Insurance Category Code ; Large Provider Entity Code ; Age Band Code ; Sex Code </v>
      </c>
      <c r="N88" s="345" t="s">
        <v>207</v>
      </c>
      <c r="O88" s="345" t="s">
        <v>208</v>
      </c>
      <c r="P88" s="345" t="s">
        <v>209</v>
      </c>
      <c r="Q88" s="345" t="s">
        <v>210</v>
      </c>
      <c r="R88" s="345" t="s">
        <v>223</v>
      </c>
      <c r="S88" s="345" t="s">
        <v>224</v>
      </c>
    </row>
    <row r="89" spans="1:19" x14ac:dyDescent="0.25">
      <c r="A89" s="311"/>
      <c r="B89" s="312"/>
      <c r="C89" s="312"/>
      <c r="D89" s="312"/>
      <c r="E89" s="312"/>
      <c r="F89" s="312"/>
      <c r="G89" s="328"/>
      <c r="H89" s="337"/>
      <c r="I89" s="334"/>
      <c r="J89" s="314"/>
      <c r="K89" s="449"/>
      <c r="M89" s="349" t="str">
        <f>N89&amp;AS[[#This Row],[Insurer Code]]&amp;"; "&amp;O89&amp;AS[[#This Row],[Reporting Year]]&amp;"; "&amp;P89&amp;AS[[#This Row],[Insurance Category Code]]&amp;"; "&amp;Q89&amp;AS[[#This Row],[Large Provider Entity Code]]&amp;"; "&amp;R89&amp;AS[[#This Row],[Age Band Code]]&amp;"; "&amp;S89&amp;AS[[#This Row],[Sex Code]]</f>
        <v xml:space="preserve">Insurer Code ; Reporting Year ; Insurance Category Code ; Large Provider Entity Code ; Age Band Code ; Sex Code </v>
      </c>
      <c r="N89" s="345" t="s">
        <v>207</v>
      </c>
      <c r="O89" s="345" t="s">
        <v>208</v>
      </c>
      <c r="P89" s="345" t="s">
        <v>209</v>
      </c>
      <c r="Q89" s="345" t="s">
        <v>210</v>
      </c>
      <c r="R89" s="345" t="s">
        <v>223</v>
      </c>
      <c r="S89" s="345" t="s">
        <v>224</v>
      </c>
    </row>
    <row r="90" spans="1:19" x14ac:dyDescent="0.25">
      <c r="A90" s="311"/>
      <c r="B90" s="312"/>
      <c r="C90" s="312"/>
      <c r="D90" s="312"/>
      <c r="E90" s="312"/>
      <c r="F90" s="312"/>
      <c r="G90" s="328"/>
      <c r="H90" s="337"/>
      <c r="I90" s="334"/>
      <c r="J90" s="314"/>
      <c r="K90" s="449"/>
      <c r="M90" s="349" t="str">
        <f>N90&amp;AS[[#This Row],[Insurer Code]]&amp;"; "&amp;O90&amp;AS[[#This Row],[Reporting Year]]&amp;"; "&amp;P90&amp;AS[[#This Row],[Insurance Category Code]]&amp;"; "&amp;Q90&amp;AS[[#This Row],[Large Provider Entity Code]]&amp;"; "&amp;R90&amp;AS[[#This Row],[Age Band Code]]&amp;"; "&amp;S90&amp;AS[[#This Row],[Sex Code]]</f>
        <v xml:space="preserve">Insurer Code ; Reporting Year ; Insurance Category Code ; Large Provider Entity Code ; Age Band Code ; Sex Code </v>
      </c>
      <c r="N90" s="345" t="s">
        <v>207</v>
      </c>
      <c r="O90" s="345" t="s">
        <v>208</v>
      </c>
      <c r="P90" s="345" t="s">
        <v>209</v>
      </c>
      <c r="Q90" s="345" t="s">
        <v>210</v>
      </c>
      <c r="R90" s="345" t="s">
        <v>223</v>
      </c>
      <c r="S90" s="345" t="s">
        <v>224</v>
      </c>
    </row>
    <row r="91" spans="1:19" x14ac:dyDescent="0.25">
      <c r="A91" s="311"/>
      <c r="B91" s="312"/>
      <c r="C91" s="312"/>
      <c r="D91" s="312"/>
      <c r="E91" s="312"/>
      <c r="F91" s="312"/>
      <c r="G91" s="328"/>
      <c r="H91" s="337"/>
      <c r="I91" s="334"/>
      <c r="J91" s="314"/>
      <c r="K91" s="449"/>
      <c r="M91" s="349" t="str">
        <f>N91&amp;AS[[#This Row],[Insurer Code]]&amp;"; "&amp;O91&amp;AS[[#This Row],[Reporting Year]]&amp;"; "&amp;P91&amp;AS[[#This Row],[Insurance Category Code]]&amp;"; "&amp;Q91&amp;AS[[#This Row],[Large Provider Entity Code]]&amp;"; "&amp;R91&amp;AS[[#This Row],[Age Band Code]]&amp;"; "&amp;S91&amp;AS[[#This Row],[Sex Code]]</f>
        <v xml:space="preserve">Insurer Code ; Reporting Year ; Insurance Category Code ; Large Provider Entity Code ; Age Band Code ; Sex Code </v>
      </c>
      <c r="N91" s="345" t="s">
        <v>207</v>
      </c>
      <c r="O91" s="345" t="s">
        <v>208</v>
      </c>
      <c r="P91" s="345" t="s">
        <v>209</v>
      </c>
      <c r="Q91" s="345" t="s">
        <v>210</v>
      </c>
      <c r="R91" s="345" t="s">
        <v>223</v>
      </c>
      <c r="S91" s="345" t="s">
        <v>224</v>
      </c>
    </row>
    <row r="92" spans="1:19" x14ac:dyDescent="0.25">
      <c r="A92" s="311"/>
      <c r="B92" s="312"/>
      <c r="C92" s="312"/>
      <c r="D92" s="312"/>
      <c r="E92" s="312"/>
      <c r="F92" s="312"/>
      <c r="G92" s="328"/>
      <c r="H92" s="337"/>
      <c r="I92" s="334"/>
      <c r="J92" s="314"/>
      <c r="K92" s="449"/>
      <c r="M92" s="349" t="str">
        <f>N92&amp;AS[[#This Row],[Insurer Code]]&amp;"; "&amp;O92&amp;AS[[#This Row],[Reporting Year]]&amp;"; "&amp;P92&amp;AS[[#This Row],[Insurance Category Code]]&amp;"; "&amp;Q92&amp;AS[[#This Row],[Large Provider Entity Code]]&amp;"; "&amp;R92&amp;AS[[#This Row],[Age Band Code]]&amp;"; "&amp;S92&amp;AS[[#This Row],[Sex Code]]</f>
        <v xml:space="preserve">Insurer Code ; Reporting Year ; Insurance Category Code ; Large Provider Entity Code ; Age Band Code ; Sex Code </v>
      </c>
      <c r="N92" s="345" t="s">
        <v>207</v>
      </c>
      <c r="O92" s="345" t="s">
        <v>208</v>
      </c>
      <c r="P92" s="345" t="s">
        <v>209</v>
      </c>
      <c r="Q92" s="345" t="s">
        <v>210</v>
      </c>
      <c r="R92" s="345" t="s">
        <v>223</v>
      </c>
      <c r="S92" s="345" t="s">
        <v>224</v>
      </c>
    </row>
    <row r="93" spans="1:19" x14ac:dyDescent="0.25">
      <c r="A93" s="311"/>
      <c r="B93" s="312"/>
      <c r="C93" s="312"/>
      <c r="D93" s="312"/>
      <c r="E93" s="312"/>
      <c r="F93" s="312"/>
      <c r="G93" s="328"/>
      <c r="H93" s="337"/>
      <c r="I93" s="334"/>
      <c r="J93" s="314"/>
      <c r="K93" s="449"/>
      <c r="M93" s="349" t="str">
        <f>N93&amp;AS[[#This Row],[Insurer Code]]&amp;"; "&amp;O93&amp;AS[[#This Row],[Reporting Year]]&amp;"; "&amp;P93&amp;AS[[#This Row],[Insurance Category Code]]&amp;"; "&amp;Q93&amp;AS[[#This Row],[Large Provider Entity Code]]&amp;"; "&amp;R93&amp;AS[[#This Row],[Age Band Code]]&amp;"; "&amp;S93&amp;AS[[#This Row],[Sex Code]]</f>
        <v xml:space="preserve">Insurer Code ; Reporting Year ; Insurance Category Code ; Large Provider Entity Code ; Age Band Code ; Sex Code </v>
      </c>
      <c r="N93" s="345" t="s">
        <v>207</v>
      </c>
      <c r="O93" s="345" t="s">
        <v>208</v>
      </c>
      <c r="P93" s="345" t="s">
        <v>209</v>
      </c>
      <c r="Q93" s="345" t="s">
        <v>210</v>
      </c>
      <c r="R93" s="345" t="s">
        <v>223</v>
      </c>
      <c r="S93" s="345" t="s">
        <v>224</v>
      </c>
    </row>
    <row r="94" spans="1:19" x14ac:dyDescent="0.25">
      <c r="A94" s="311"/>
      <c r="B94" s="312"/>
      <c r="C94" s="312"/>
      <c r="D94" s="312"/>
      <c r="E94" s="312"/>
      <c r="F94" s="312"/>
      <c r="G94" s="328"/>
      <c r="H94" s="337"/>
      <c r="I94" s="334"/>
      <c r="J94" s="314"/>
      <c r="K94" s="449"/>
      <c r="M94" s="349" t="str">
        <f>N94&amp;AS[[#This Row],[Insurer Code]]&amp;"; "&amp;O94&amp;AS[[#This Row],[Reporting Year]]&amp;"; "&amp;P94&amp;AS[[#This Row],[Insurance Category Code]]&amp;"; "&amp;Q94&amp;AS[[#This Row],[Large Provider Entity Code]]&amp;"; "&amp;R94&amp;AS[[#This Row],[Age Band Code]]&amp;"; "&amp;S94&amp;AS[[#This Row],[Sex Code]]</f>
        <v xml:space="preserve">Insurer Code ; Reporting Year ; Insurance Category Code ; Large Provider Entity Code ; Age Band Code ; Sex Code </v>
      </c>
      <c r="N94" s="345" t="s">
        <v>207</v>
      </c>
      <c r="O94" s="345" t="s">
        <v>208</v>
      </c>
      <c r="P94" s="345" t="s">
        <v>209</v>
      </c>
      <c r="Q94" s="345" t="s">
        <v>210</v>
      </c>
      <c r="R94" s="345" t="s">
        <v>223</v>
      </c>
      <c r="S94" s="345" t="s">
        <v>224</v>
      </c>
    </row>
    <row r="95" spans="1:19" x14ac:dyDescent="0.25">
      <c r="A95" s="311"/>
      <c r="B95" s="312"/>
      <c r="C95" s="312"/>
      <c r="D95" s="312"/>
      <c r="E95" s="312"/>
      <c r="F95" s="312"/>
      <c r="G95" s="328"/>
      <c r="H95" s="337"/>
      <c r="I95" s="334"/>
      <c r="J95" s="314"/>
      <c r="K95" s="449"/>
      <c r="M95" s="349" t="str">
        <f>N95&amp;AS[[#This Row],[Insurer Code]]&amp;"; "&amp;O95&amp;AS[[#This Row],[Reporting Year]]&amp;"; "&amp;P95&amp;AS[[#This Row],[Insurance Category Code]]&amp;"; "&amp;Q95&amp;AS[[#This Row],[Large Provider Entity Code]]&amp;"; "&amp;R95&amp;AS[[#This Row],[Age Band Code]]&amp;"; "&amp;S95&amp;AS[[#This Row],[Sex Code]]</f>
        <v xml:space="preserve">Insurer Code ; Reporting Year ; Insurance Category Code ; Large Provider Entity Code ; Age Band Code ; Sex Code </v>
      </c>
      <c r="N95" s="345" t="s">
        <v>207</v>
      </c>
      <c r="O95" s="345" t="s">
        <v>208</v>
      </c>
      <c r="P95" s="345" t="s">
        <v>209</v>
      </c>
      <c r="Q95" s="345" t="s">
        <v>210</v>
      </c>
      <c r="R95" s="345" t="s">
        <v>223</v>
      </c>
      <c r="S95" s="345" t="s">
        <v>224</v>
      </c>
    </row>
    <row r="96" spans="1:19" x14ac:dyDescent="0.25">
      <c r="A96" s="311"/>
      <c r="B96" s="312"/>
      <c r="C96" s="312"/>
      <c r="D96" s="312"/>
      <c r="E96" s="312"/>
      <c r="F96" s="312"/>
      <c r="G96" s="328"/>
      <c r="H96" s="337"/>
      <c r="I96" s="334"/>
      <c r="J96" s="314"/>
      <c r="K96" s="449"/>
      <c r="M96" s="349" t="str">
        <f>N96&amp;AS[[#This Row],[Insurer Code]]&amp;"; "&amp;O96&amp;AS[[#This Row],[Reporting Year]]&amp;"; "&amp;P96&amp;AS[[#This Row],[Insurance Category Code]]&amp;"; "&amp;Q96&amp;AS[[#This Row],[Large Provider Entity Code]]&amp;"; "&amp;R96&amp;AS[[#This Row],[Age Band Code]]&amp;"; "&amp;S96&amp;AS[[#This Row],[Sex Code]]</f>
        <v xml:space="preserve">Insurer Code ; Reporting Year ; Insurance Category Code ; Large Provider Entity Code ; Age Band Code ; Sex Code </v>
      </c>
      <c r="N96" s="345" t="s">
        <v>207</v>
      </c>
      <c r="O96" s="345" t="s">
        <v>208</v>
      </c>
      <c r="P96" s="345" t="s">
        <v>209</v>
      </c>
      <c r="Q96" s="345" t="s">
        <v>210</v>
      </c>
      <c r="R96" s="345" t="s">
        <v>223</v>
      </c>
      <c r="S96" s="345" t="s">
        <v>224</v>
      </c>
    </row>
    <row r="97" spans="1:19" x14ac:dyDescent="0.25">
      <c r="A97" s="311"/>
      <c r="B97" s="312"/>
      <c r="C97" s="312"/>
      <c r="D97" s="312"/>
      <c r="E97" s="312"/>
      <c r="F97" s="312"/>
      <c r="G97" s="328"/>
      <c r="H97" s="337"/>
      <c r="I97" s="334"/>
      <c r="J97" s="314"/>
      <c r="K97" s="449"/>
      <c r="M97" s="349" t="str">
        <f>N97&amp;AS[[#This Row],[Insurer Code]]&amp;"; "&amp;O97&amp;AS[[#This Row],[Reporting Year]]&amp;"; "&amp;P97&amp;AS[[#This Row],[Insurance Category Code]]&amp;"; "&amp;Q97&amp;AS[[#This Row],[Large Provider Entity Code]]&amp;"; "&amp;R97&amp;AS[[#This Row],[Age Band Code]]&amp;"; "&amp;S97&amp;AS[[#This Row],[Sex Code]]</f>
        <v xml:space="preserve">Insurer Code ; Reporting Year ; Insurance Category Code ; Large Provider Entity Code ; Age Band Code ; Sex Code </v>
      </c>
      <c r="N97" s="345" t="s">
        <v>207</v>
      </c>
      <c r="O97" s="345" t="s">
        <v>208</v>
      </c>
      <c r="P97" s="345" t="s">
        <v>209</v>
      </c>
      <c r="Q97" s="345" t="s">
        <v>210</v>
      </c>
      <c r="R97" s="345" t="s">
        <v>223</v>
      </c>
      <c r="S97" s="345" t="s">
        <v>224</v>
      </c>
    </row>
    <row r="98" spans="1:19" x14ac:dyDescent="0.25">
      <c r="A98" s="311"/>
      <c r="B98" s="312"/>
      <c r="C98" s="312"/>
      <c r="D98" s="312"/>
      <c r="E98" s="312"/>
      <c r="F98" s="312"/>
      <c r="G98" s="328"/>
      <c r="H98" s="337"/>
      <c r="I98" s="334"/>
      <c r="J98" s="314"/>
      <c r="K98" s="449"/>
      <c r="M98" s="349" t="str">
        <f>N98&amp;AS[[#This Row],[Insurer Code]]&amp;"; "&amp;O98&amp;AS[[#This Row],[Reporting Year]]&amp;"; "&amp;P98&amp;AS[[#This Row],[Insurance Category Code]]&amp;"; "&amp;Q98&amp;AS[[#This Row],[Large Provider Entity Code]]&amp;"; "&amp;R98&amp;AS[[#This Row],[Age Band Code]]&amp;"; "&amp;S98&amp;AS[[#This Row],[Sex Code]]</f>
        <v xml:space="preserve">Insurer Code ; Reporting Year ; Insurance Category Code ; Large Provider Entity Code ; Age Band Code ; Sex Code </v>
      </c>
      <c r="N98" s="345" t="s">
        <v>207</v>
      </c>
      <c r="O98" s="345" t="s">
        <v>208</v>
      </c>
      <c r="P98" s="345" t="s">
        <v>209</v>
      </c>
      <c r="Q98" s="345" t="s">
        <v>210</v>
      </c>
      <c r="R98" s="345" t="s">
        <v>223</v>
      </c>
      <c r="S98" s="345" t="s">
        <v>224</v>
      </c>
    </row>
    <row r="99" spans="1:19" x14ac:dyDescent="0.25">
      <c r="A99" s="311"/>
      <c r="B99" s="312"/>
      <c r="C99" s="312"/>
      <c r="D99" s="312"/>
      <c r="E99" s="312"/>
      <c r="F99" s="312"/>
      <c r="G99" s="328"/>
      <c r="H99" s="337"/>
      <c r="I99" s="334"/>
      <c r="J99" s="314"/>
      <c r="K99" s="449"/>
      <c r="M99" s="349" t="str">
        <f>N99&amp;AS[[#This Row],[Insurer Code]]&amp;"; "&amp;O99&amp;AS[[#This Row],[Reporting Year]]&amp;"; "&amp;P99&amp;AS[[#This Row],[Insurance Category Code]]&amp;"; "&amp;Q99&amp;AS[[#This Row],[Large Provider Entity Code]]&amp;"; "&amp;R99&amp;AS[[#This Row],[Age Band Code]]&amp;"; "&amp;S99&amp;AS[[#This Row],[Sex Code]]</f>
        <v xml:space="preserve">Insurer Code ; Reporting Year ; Insurance Category Code ; Large Provider Entity Code ; Age Band Code ; Sex Code </v>
      </c>
      <c r="N99" s="345" t="s">
        <v>207</v>
      </c>
      <c r="O99" s="345" t="s">
        <v>208</v>
      </c>
      <c r="P99" s="345" t="s">
        <v>209</v>
      </c>
      <c r="Q99" s="345" t="s">
        <v>210</v>
      </c>
      <c r="R99" s="345" t="s">
        <v>223</v>
      </c>
      <c r="S99" s="345" t="s">
        <v>224</v>
      </c>
    </row>
    <row r="100" spans="1:19" x14ac:dyDescent="0.25">
      <c r="A100" s="311"/>
      <c r="B100" s="312"/>
      <c r="C100" s="312"/>
      <c r="D100" s="312"/>
      <c r="E100" s="312"/>
      <c r="F100" s="312"/>
      <c r="G100" s="328"/>
      <c r="H100" s="337"/>
      <c r="I100" s="334"/>
      <c r="J100" s="314"/>
      <c r="K100" s="449"/>
      <c r="M100" s="349" t="str">
        <f>N100&amp;AS[[#This Row],[Insurer Code]]&amp;"; "&amp;O100&amp;AS[[#This Row],[Reporting Year]]&amp;"; "&amp;P100&amp;AS[[#This Row],[Insurance Category Code]]&amp;"; "&amp;Q100&amp;AS[[#This Row],[Large Provider Entity Code]]&amp;"; "&amp;R100&amp;AS[[#This Row],[Age Band Code]]&amp;"; "&amp;S100&amp;AS[[#This Row],[Sex Code]]</f>
        <v xml:space="preserve">Insurer Code ; Reporting Year ; Insurance Category Code ; Large Provider Entity Code ; Age Band Code ; Sex Code </v>
      </c>
      <c r="N100" s="345" t="s">
        <v>207</v>
      </c>
      <c r="O100" s="345" t="s">
        <v>208</v>
      </c>
      <c r="P100" s="345" t="s">
        <v>209</v>
      </c>
      <c r="Q100" s="345" t="s">
        <v>210</v>
      </c>
      <c r="R100" s="345" t="s">
        <v>223</v>
      </c>
      <c r="S100" s="345" t="s">
        <v>224</v>
      </c>
    </row>
    <row r="101" spans="1:19" x14ac:dyDescent="0.25">
      <c r="A101" s="311"/>
      <c r="B101" s="312"/>
      <c r="C101" s="312"/>
      <c r="D101" s="312"/>
      <c r="E101" s="312"/>
      <c r="F101" s="312"/>
      <c r="G101" s="328"/>
      <c r="H101" s="337"/>
      <c r="I101" s="334"/>
      <c r="J101" s="314"/>
      <c r="K101" s="449"/>
      <c r="M101" s="349" t="str">
        <f>N101&amp;AS[[#This Row],[Insurer Code]]&amp;"; "&amp;O101&amp;AS[[#This Row],[Reporting Year]]&amp;"; "&amp;P101&amp;AS[[#This Row],[Insurance Category Code]]&amp;"; "&amp;Q101&amp;AS[[#This Row],[Large Provider Entity Code]]&amp;"; "&amp;R101&amp;AS[[#This Row],[Age Band Code]]&amp;"; "&amp;S101&amp;AS[[#This Row],[Sex Code]]</f>
        <v xml:space="preserve">Insurer Code ; Reporting Year ; Insurance Category Code ; Large Provider Entity Code ; Age Band Code ; Sex Code </v>
      </c>
      <c r="N101" s="345" t="s">
        <v>207</v>
      </c>
      <c r="O101" s="345" t="s">
        <v>208</v>
      </c>
      <c r="P101" s="345" t="s">
        <v>209</v>
      </c>
      <c r="Q101" s="345" t="s">
        <v>210</v>
      </c>
      <c r="R101" s="345" t="s">
        <v>223</v>
      </c>
      <c r="S101" s="345" t="s">
        <v>224</v>
      </c>
    </row>
    <row r="102" spans="1:19" x14ac:dyDescent="0.25">
      <c r="A102" s="311"/>
      <c r="B102" s="312"/>
      <c r="C102" s="312"/>
      <c r="D102" s="312"/>
      <c r="E102" s="312"/>
      <c r="F102" s="312"/>
      <c r="G102" s="328"/>
      <c r="H102" s="337"/>
      <c r="I102" s="334"/>
      <c r="J102" s="314"/>
      <c r="K102" s="449"/>
      <c r="M102" s="349" t="str">
        <f>N102&amp;AS[[#This Row],[Insurer Code]]&amp;"; "&amp;O102&amp;AS[[#This Row],[Reporting Year]]&amp;"; "&amp;P102&amp;AS[[#This Row],[Insurance Category Code]]&amp;"; "&amp;Q102&amp;AS[[#This Row],[Large Provider Entity Code]]&amp;"; "&amp;R102&amp;AS[[#This Row],[Age Band Code]]&amp;"; "&amp;S102&amp;AS[[#This Row],[Sex Code]]</f>
        <v xml:space="preserve">Insurer Code ; Reporting Year ; Insurance Category Code ; Large Provider Entity Code ; Age Band Code ; Sex Code </v>
      </c>
      <c r="N102" s="345" t="s">
        <v>207</v>
      </c>
      <c r="O102" s="345" t="s">
        <v>208</v>
      </c>
      <c r="P102" s="345" t="s">
        <v>209</v>
      </c>
      <c r="Q102" s="345" t="s">
        <v>210</v>
      </c>
      <c r="R102" s="345" t="s">
        <v>223</v>
      </c>
      <c r="S102" s="345" t="s">
        <v>224</v>
      </c>
    </row>
    <row r="103" spans="1:19" x14ac:dyDescent="0.25">
      <c r="A103" s="311"/>
      <c r="B103" s="312"/>
      <c r="C103" s="312"/>
      <c r="D103" s="312"/>
      <c r="E103" s="312"/>
      <c r="F103" s="312"/>
      <c r="G103" s="328"/>
      <c r="H103" s="337"/>
      <c r="I103" s="334"/>
      <c r="J103" s="314"/>
      <c r="K103" s="449"/>
      <c r="M103" s="349" t="str">
        <f>N103&amp;AS[[#This Row],[Insurer Code]]&amp;"; "&amp;O103&amp;AS[[#This Row],[Reporting Year]]&amp;"; "&amp;P103&amp;AS[[#This Row],[Insurance Category Code]]&amp;"; "&amp;Q103&amp;AS[[#This Row],[Large Provider Entity Code]]&amp;"; "&amp;R103&amp;AS[[#This Row],[Age Band Code]]&amp;"; "&amp;S103&amp;AS[[#This Row],[Sex Code]]</f>
        <v xml:space="preserve">Insurer Code ; Reporting Year ; Insurance Category Code ; Large Provider Entity Code ; Age Band Code ; Sex Code </v>
      </c>
      <c r="N103" s="345" t="s">
        <v>207</v>
      </c>
      <c r="O103" s="345" t="s">
        <v>208</v>
      </c>
      <c r="P103" s="345" t="s">
        <v>209</v>
      </c>
      <c r="Q103" s="345" t="s">
        <v>210</v>
      </c>
      <c r="R103" s="345" t="s">
        <v>223</v>
      </c>
      <c r="S103" s="345" t="s">
        <v>224</v>
      </c>
    </row>
    <row r="104" spans="1:19" x14ac:dyDescent="0.25">
      <c r="A104" s="311"/>
      <c r="B104" s="312"/>
      <c r="C104" s="312"/>
      <c r="D104" s="312"/>
      <c r="E104" s="312"/>
      <c r="F104" s="312"/>
      <c r="G104" s="328"/>
      <c r="H104" s="337"/>
      <c r="I104" s="334"/>
      <c r="J104" s="314"/>
      <c r="K104" s="449"/>
      <c r="M104" s="349" t="str">
        <f>N104&amp;AS[[#This Row],[Insurer Code]]&amp;"; "&amp;O104&amp;AS[[#This Row],[Reporting Year]]&amp;"; "&amp;P104&amp;AS[[#This Row],[Insurance Category Code]]&amp;"; "&amp;Q104&amp;AS[[#This Row],[Large Provider Entity Code]]&amp;"; "&amp;R104&amp;AS[[#This Row],[Age Band Code]]&amp;"; "&amp;S104&amp;AS[[#This Row],[Sex Code]]</f>
        <v xml:space="preserve">Insurer Code ; Reporting Year ; Insurance Category Code ; Large Provider Entity Code ; Age Band Code ; Sex Code </v>
      </c>
      <c r="N104" s="345" t="s">
        <v>207</v>
      </c>
      <c r="O104" s="345" t="s">
        <v>208</v>
      </c>
      <c r="P104" s="345" t="s">
        <v>209</v>
      </c>
      <c r="Q104" s="345" t="s">
        <v>210</v>
      </c>
      <c r="R104" s="345" t="s">
        <v>223</v>
      </c>
      <c r="S104" s="345" t="s">
        <v>224</v>
      </c>
    </row>
    <row r="105" spans="1:19" x14ac:dyDescent="0.25">
      <c r="A105" s="311"/>
      <c r="B105" s="312"/>
      <c r="C105" s="312"/>
      <c r="D105" s="312"/>
      <c r="E105" s="312"/>
      <c r="F105" s="312"/>
      <c r="G105" s="328"/>
      <c r="H105" s="337"/>
      <c r="I105" s="334"/>
      <c r="J105" s="314"/>
      <c r="K105" s="449"/>
      <c r="M105" s="349" t="str">
        <f>N105&amp;AS[[#This Row],[Insurer Code]]&amp;"; "&amp;O105&amp;AS[[#This Row],[Reporting Year]]&amp;"; "&amp;P105&amp;AS[[#This Row],[Insurance Category Code]]&amp;"; "&amp;Q105&amp;AS[[#This Row],[Large Provider Entity Code]]&amp;"; "&amp;R105&amp;AS[[#This Row],[Age Band Code]]&amp;"; "&amp;S105&amp;AS[[#This Row],[Sex Code]]</f>
        <v xml:space="preserve">Insurer Code ; Reporting Year ; Insurance Category Code ; Large Provider Entity Code ; Age Band Code ; Sex Code </v>
      </c>
      <c r="N105" s="345" t="s">
        <v>207</v>
      </c>
      <c r="O105" s="345" t="s">
        <v>208</v>
      </c>
      <c r="P105" s="345" t="s">
        <v>209</v>
      </c>
      <c r="Q105" s="345" t="s">
        <v>210</v>
      </c>
      <c r="R105" s="345" t="s">
        <v>223</v>
      </c>
      <c r="S105" s="345" t="s">
        <v>224</v>
      </c>
    </row>
    <row r="106" spans="1:19" x14ac:dyDescent="0.25">
      <c r="A106" s="311"/>
      <c r="B106" s="312"/>
      <c r="C106" s="312"/>
      <c r="D106" s="312"/>
      <c r="E106" s="312"/>
      <c r="F106" s="312"/>
      <c r="G106" s="328"/>
      <c r="H106" s="337"/>
      <c r="I106" s="334"/>
      <c r="J106" s="314"/>
      <c r="K106" s="449"/>
      <c r="M106" s="349" t="str">
        <f>N106&amp;AS[[#This Row],[Insurer Code]]&amp;"; "&amp;O106&amp;AS[[#This Row],[Reporting Year]]&amp;"; "&amp;P106&amp;AS[[#This Row],[Insurance Category Code]]&amp;"; "&amp;Q106&amp;AS[[#This Row],[Large Provider Entity Code]]&amp;"; "&amp;R106&amp;AS[[#This Row],[Age Band Code]]&amp;"; "&amp;S106&amp;AS[[#This Row],[Sex Code]]</f>
        <v xml:space="preserve">Insurer Code ; Reporting Year ; Insurance Category Code ; Large Provider Entity Code ; Age Band Code ; Sex Code </v>
      </c>
      <c r="N106" s="345" t="s">
        <v>207</v>
      </c>
      <c r="O106" s="345" t="s">
        <v>208</v>
      </c>
      <c r="P106" s="345" t="s">
        <v>209</v>
      </c>
      <c r="Q106" s="345" t="s">
        <v>210</v>
      </c>
      <c r="R106" s="345" t="s">
        <v>223</v>
      </c>
      <c r="S106" s="345" t="s">
        <v>224</v>
      </c>
    </row>
    <row r="107" spans="1:19" x14ac:dyDescent="0.25">
      <c r="A107" s="311"/>
      <c r="B107" s="312"/>
      <c r="C107" s="312"/>
      <c r="D107" s="312"/>
      <c r="E107" s="312"/>
      <c r="F107" s="312"/>
      <c r="G107" s="328"/>
      <c r="H107" s="337"/>
      <c r="I107" s="334"/>
      <c r="J107" s="314"/>
      <c r="K107" s="449"/>
      <c r="M107" s="349" t="str">
        <f>N107&amp;AS[[#This Row],[Insurer Code]]&amp;"; "&amp;O107&amp;AS[[#This Row],[Reporting Year]]&amp;"; "&amp;P107&amp;AS[[#This Row],[Insurance Category Code]]&amp;"; "&amp;Q107&amp;AS[[#This Row],[Large Provider Entity Code]]&amp;"; "&amp;R107&amp;AS[[#This Row],[Age Band Code]]&amp;"; "&amp;S107&amp;AS[[#This Row],[Sex Code]]</f>
        <v xml:space="preserve">Insurer Code ; Reporting Year ; Insurance Category Code ; Large Provider Entity Code ; Age Band Code ; Sex Code </v>
      </c>
      <c r="N107" s="345" t="s">
        <v>207</v>
      </c>
      <c r="O107" s="345" t="s">
        <v>208</v>
      </c>
      <c r="P107" s="345" t="s">
        <v>209</v>
      </c>
      <c r="Q107" s="345" t="s">
        <v>210</v>
      </c>
      <c r="R107" s="345" t="s">
        <v>223</v>
      </c>
      <c r="S107" s="345" t="s">
        <v>224</v>
      </c>
    </row>
    <row r="108" spans="1:19" x14ac:dyDescent="0.25">
      <c r="A108" s="311"/>
      <c r="B108" s="312"/>
      <c r="C108" s="312"/>
      <c r="D108" s="312"/>
      <c r="E108" s="312"/>
      <c r="F108" s="312"/>
      <c r="G108" s="328"/>
      <c r="H108" s="337"/>
      <c r="I108" s="334"/>
      <c r="J108" s="314"/>
      <c r="K108" s="449"/>
      <c r="M108" s="349" t="str">
        <f>N108&amp;AS[[#This Row],[Insurer Code]]&amp;"; "&amp;O108&amp;AS[[#This Row],[Reporting Year]]&amp;"; "&amp;P108&amp;AS[[#This Row],[Insurance Category Code]]&amp;"; "&amp;Q108&amp;AS[[#This Row],[Large Provider Entity Code]]&amp;"; "&amp;R108&amp;AS[[#This Row],[Age Band Code]]&amp;"; "&amp;S108&amp;AS[[#This Row],[Sex Code]]</f>
        <v xml:space="preserve">Insurer Code ; Reporting Year ; Insurance Category Code ; Large Provider Entity Code ; Age Band Code ; Sex Code </v>
      </c>
      <c r="N108" s="345" t="s">
        <v>207</v>
      </c>
      <c r="O108" s="345" t="s">
        <v>208</v>
      </c>
      <c r="P108" s="345" t="s">
        <v>209</v>
      </c>
      <c r="Q108" s="345" t="s">
        <v>210</v>
      </c>
      <c r="R108" s="345" t="s">
        <v>223</v>
      </c>
      <c r="S108" s="345" t="s">
        <v>224</v>
      </c>
    </row>
    <row r="109" spans="1:19" x14ac:dyDescent="0.25">
      <c r="A109" s="311"/>
      <c r="B109" s="312"/>
      <c r="C109" s="312"/>
      <c r="D109" s="312"/>
      <c r="E109" s="312"/>
      <c r="F109" s="312"/>
      <c r="G109" s="328"/>
      <c r="H109" s="337"/>
      <c r="I109" s="334"/>
      <c r="J109" s="314"/>
      <c r="K109" s="449"/>
      <c r="M109" s="349" t="str">
        <f>N109&amp;AS[[#This Row],[Insurer Code]]&amp;"; "&amp;O109&amp;AS[[#This Row],[Reporting Year]]&amp;"; "&amp;P109&amp;AS[[#This Row],[Insurance Category Code]]&amp;"; "&amp;Q109&amp;AS[[#This Row],[Large Provider Entity Code]]&amp;"; "&amp;R109&amp;AS[[#This Row],[Age Band Code]]&amp;"; "&amp;S109&amp;AS[[#This Row],[Sex Code]]</f>
        <v xml:space="preserve">Insurer Code ; Reporting Year ; Insurance Category Code ; Large Provider Entity Code ; Age Band Code ; Sex Code </v>
      </c>
      <c r="N109" s="345" t="s">
        <v>207</v>
      </c>
      <c r="O109" s="345" t="s">
        <v>208</v>
      </c>
      <c r="P109" s="345" t="s">
        <v>209</v>
      </c>
      <c r="Q109" s="345" t="s">
        <v>210</v>
      </c>
      <c r="R109" s="345" t="s">
        <v>223</v>
      </c>
      <c r="S109" s="345" t="s">
        <v>224</v>
      </c>
    </row>
    <row r="110" spans="1:19" x14ac:dyDescent="0.25">
      <c r="A110" s="311"/>
      <c r="B110" s="312"/>
      <c r="C110" s="312"/>
      <c r="D110" s="312"/>
      <c r="E110" s="312"/>
      <c r="F110" s="312"/>
      <c r="G110" s="328"/>
      <c r="H110" s="337"/>
      <c r="I110" s="334"/>
      <c r="J110" s="314"/>
      <c r="K110" s="449"/>
      <c r="M110" s="349" t="str">
        <f>N110&amp;AS[[#This Row],[Insurer Code]]&amp;"; "&amp;O110&amp;AS[[#This Row],[Reporting Year]]&amp;"; "&amp;P110&amp;AS[[#This Row],[Insurance Category Code]]&amp;"; "&amp;Q110&amp;AS[[#This Row],[Large Provider Entity Code]]&amp;"; "&amp;R110&amp;AS[[#This Row],[Age Band Code]]&amp;"; "&amp;S110&amp;AS[[#This Row],[Sex Code]]</f>
        <v xml:space="preserve">Insurer Code ; Reporting Year ; Insurance Category Code ; Large Provider Entity Code ; Age Band Code ; Sex Code </v>
      </c>
      <c r="N110" s="345" t="s">
        <v>207</v>
      </c>
      <c r="O110" s="345" t="s">
        <v>208</v>
      </c>
      <c r="P110" s="345" t="s">
        <v>209</v>
      </c>
      <c r="Q110" s="345" t="s">
        <v>210</v>
      </c>
      <c r="R110" s="345" t="s">
        <v>223</v>
      </c>
      <c r="S110" s="345" t="s">
        <v>224</v>
      </c>
    </row>
    <row r="111" spans="1:19" x14ac:dyDescent="0.25">
      <c r="A111" s="311"/>
      <c r="B111" s="312"/>
      <c r="C111" s="312"/>
      <c r="D111" s="312"/>
      <c r="E111" s="312"/>
      <c r="F111" s="312"/>
      <c r="G111" s="328"/>
      <c r="H111" s="337"/>
      <c r="I111" s="334"/>
      <c r="J111" s="314"/>
      <c r="K111" s="449"/>
      <c r="M111" s="349" t="str">
        <f>N111&amp;AS[[#This Row],[Insurer Code]]&amp;"; "&amp;O111&amp;AS[[#This Row],[Reporting Year]]&amp;"; "&amp;P111&amp;AS[[#This Row],[Insurance Category Code]]&amp;"; "&amp;Q111&amp;AS[[#This Row],[Large Provider Entity Code]]&amp;"; "&amp;R111&amp;AS[[#This Row],[Age Band Code]]&amp;"; "&amp;S111&amp;AS[[#This Row],[Sex Code]]</f>
        <v xml:space="preserve">Insurer Code ; Reporting Year ; Insurance Category Code ; Large Provider Entity Code ; Age Band Code ; Sex Code </v>
      </c>
      <c r="N111" s="345" t="s">
        <v>207</v>
      </c>
      <c r="O111" s="345" t="s">
        <v>208</v>
      </c>
      <c r="P111" s="345" t="s">
        <v>209</v>
      </c>
      <c r="Q111" s="345" t="s">
        <v>210</v>
      </c>
      <c r="R111" s="345" t="s">
        <v>223</v>
      </c>
      <c r="S111" s="345" t="s">
        <v>224</v>
      </c>
    </row>
    <row r="112" spans="1:19" x14ac:dyDescent="0.25">
      <c r="A112" s="311"/>
      <c r="B112" s="312"/>
      <c r="C112" s="312"/>
      <c r="D112" s="312"/>
      <c r="E112" s="312"/>
      <c r="F112" s="312"/>
      <c r="G112" s="328"/>
      <c r="H112" s="337"/>
      <c r="I112" s="334"/>
      <c r="J112" s="314"/>
      <c r="K112" s="449"/>
      <c r="M112" s="349" t="str">
        <f>N112&amp;AS[[#This Row],[Insurer Code]]&amp;"; "&amp;O112&amp;AS[[#This Row],[Reporting Year]]&amp;"; "&amp;P112&amp;AS[[#This Row],[Insurance Category Code]]&amp;"; "&amp;Q112&amp;AS[[#This Row],[Large Provider Entity Code]]&amp;"; "&amp;R112&amp;AS[[#This Row],[Age Band Code]]&amp;"; "&amp;S112&amp;AS[[#This Row],[Sex Code]]</f>
        <v xml:space="preserve">Insurer Code ; Reporting Year ; Insurance Category Code ; Large Provider Entity Code ; Age Band Code ; Sex Code </v>
      </c>
      <c r="N112" s="345" t="s">
        <v>207</v>
      </c>
      <c r="O112" s="345" t="s">
        <v>208</v>
      </c>
      <c r="P112" s="345" t="s">
        <v>209</v>
      </c>
      <c r="Q112" s="345" t="s">
        <v>210</v>
      </c>
      <c r="R112" s="345" t="s">
        <v>223</v>
      </c>
      <c r="S112" s="345" t="s">
        <v>224</v>
      </c>
    </row>
    <row r="113" spans="1:19" x14ac:dyDescent="0.25">
      <c r="A113" s="311"/>
      <c r="B113" s="312"/>
      <c r="C113" s="312"/>
      <c r="D113" s="312"/>
      <c r="E113" s="312"/>
      <c r="F113" s="312"/>
      <c r="G113" s="328"/>
      <c r="H113" s="337"/>
      <c r="I113" s="334"/>
      <c r="J113" s="314"/>
      <c r="K113" s="449"/>
      <c r="M113" s="349" t="str">
        <f>N113&amp;AS[[#This Row],[Insurer Code]]&amp;"; "&amp;O113&amp;AS[[#This Row],[Reporting Year]]&amp;"; "&amp;P113&amp;AS[[#This Row],[Insurance Category Code]]&amp;"; "&amp;Q113&amp;AS[[#This Row],[Large Provider Entity Code]]&amp;"; "&amp;R113&amp;AS[[#This Row],[Age Band Code]]&amp;"; "&amp;S113&amp;AS[[#This Row],[Sex Code]]</f>
        <v xml:space="preserve">Insurer Code ; Reporting Year ; Insurance Category Code ; Large Provider Entity Code ; Age Band Code ; Sex Code </v>
      </c>
      <c r="N113" s="345" t="s">
        <v>207</v>
      </c>
      <c r="O113" s="345" t="s">
        <v>208</v>
      </c>
      <c r="P113" s="345" t="s">
        <v>209</v>
      </c>
      <c r="Q113" s="345" t="s">
        <v>210</v>
      </c>
      <c r="R113" s="345" t="s">
        <v>223</v>
      </c>
      <c r="S113" s="345" t="s">
        <v>224</v>
      </c>
    </row>
    <row r="114" spans="1:19" x14ac:dyDescent="0.25">
      <c r="A114" s="311"/>
      <c r="B114" s="312"/>
      <c r="C114" s="312"/>
      <c r="D114" s="312"/>
      <c r="E114" s="312"/>
      <c r="F114" s="312"/>
      <c r="G114" s="328"/>
      <c r="H114" s="337"/>
      <c r="I114" s="334"/>
      <c r="J114" s="314"/>
      <c r="K114" s="449"/>
      <c r="M114" s="349" t="str">
        <f>N114&amp;AS[[#This Row],[Insurer Code]]&amp;"; "&amp;O114&amp;AS[[#This Row],[Reporting Year]]&amp;"; "&amp;P114&amp;AS[[#This Row],[Insurance Category Code]]&amp;"; "&amp;Q114&amp;AS[[#This Row],[Large Provider Entity Code]]&amp;"; "&amp;R114&amp;AS[[#This Row],[Age Band Code]]&amp;"; "&amp;S114&amp;AS[[#This Row],[Sex Code]]</f>
        <v xml:space="preserve">Insurer Code ; Reporting Year ; Insurance Category Code ; Large Provider Entity Code ; Age Band Code ; Sex Code </v>
      </c>
      <c r="N114" s="345" t="s">
        <v>207</v>
      </c>
      <c r="O114" s="345" t="s">
        <v>208</v>
      </c>
      <c r="P114" s="345" t="s">
        <v>209</v>
      </c>
      <c r="Q114" s="345" t="s">
        <v>210</v>
      </c>
      <c r="R114" s="345" t="s">
        <v>223</v>
      </c>
      <c r="S114" s="345" t="s">
        <v>224</v>
      </c>
    </row>
    <row r="115" spans="1:19" x14ac:dyDescent="0.25">
      <c r="A115" s="311"/>
      <c r="B115" s="312"/>
      <c r="C115" s="312"/>
      <c r="D115" s="312"/>
      <c r="E115" s="312"/>
      <c r="F115" s="312"/>
      <c r="G115" s="328"/>
      <c r="H115" s="337"/>
      <c r="I115" s="334"/>
      <c r="J115" s="314"/>
      <c r="K115" s="449"/>
      <c r="M115" s="349" t="str">
        <f>N115&amp;AS[[#This Row],[Insurer Code]]&amp;"; "&amp;O115&amp;AS[[#This Row],[Reporting Year]]&amp;"; "&amp;P115&amp;AS[[#This Row],[Insurance Category Code]]&amp;"; "&amp;Q115&amp;AS[[#This Row],[Large Provider Entity Code]]&amp;"; "&amp;R115&amp;AS[[#This Row],[Age Band Code]]&amp;"; "&amp;S115&amp;AS[[#This Row],[Sex Code]]</f>
        <v xml:space="preserve">Insurer Code ; Reporting Year ; Insurance Category Code ; Large Provider Entity Code ; Age Band Code ; Sex Code </v>
      </c>
      <c r="N115" s="345" t="s">
        <v>207</v>
      </c>
      <c r="O115" s="345" t="s">
        <v>208</v>
      </c>
      <c r="P115" s="345" t="s">
        <v>209</v>
      </c>
      <c r="Q115" s="345" t="s">
        <v>210</v>
      </c>
      <c r="R115" s="345" t="s">
        <v>223</v>
      </c>
      <c r="S115" s="345" t="s">
        <v>224</v>
      </c>
    </row>
    <row r="116" spans="1:19" x14ac:dyDescent="0.25">
      <c r="A116" s="311"/>
      <c r="B116" s="312"/>
      <c r="C116" s="312"/>
      <c r="D116" s="312"/>
      <c r="E116" s="312"/>
      <c r="F116" s="312"/>
      <c r="G116" s="328"/>
      <c r="H116" s="337"/>
      <c r="I116" s="334"/>
      <c r="J116" s="314"/>
      <c r="K116" s="449"/>
      <c r="M116" s="349" t="str">
        <f>N116&amp;AS[[#This Row],[Insurer Code]]&amp;"; "&amp;O116&amp;AS[[#This Row],[Reporting Year]]&amp;"; "&amp;P116&amp;AS[[#This Row],[Insurance Category Code]]&amp;"; "&amp;Q116&amp;AS[[#This Row],[Large Provider Entity Code]]&amp;"; "&amp;R116&amp;AS[[#This Row],[Age Band Code]]&amp;"; "&amp;S116&amp;AS[[#This Row],[Sex Code]]</f>
        <v xml:space="preserve">Insurer Code ; Reporting Year ; Insurance Category Code ; Large Provider Entity Code ; Age Band Code ; Sex Code </v>
      </c>
      <c r="N116" s="345" t="s">
        <v>207</v>
      </c>
      <c r="O116" s="345" t="s">
        <v>208</v>
      </c>
      <c r="P116" s="345" t="s">
        <v>209</v>
      </c>
      <c r="Q116" s="345" t="s">
        <v>210</v>
      </c>
      <c r="R116" s="345" t="s">
        <v>223</v>
      </c>
      <c r="S116" s="345" t="s">
        <v>224</v>
      </c>
    </row>
    <row r="117" spans="1:19" x14ac:dyDescent="0.25">
      <c r="A117" s="311"/>
      <c r="B117" s="312"/>
      <c r="C117" s="312"/>
      <c r="D117" s="312"/>
      <c r="E117" s="312"/>
      <c r="F117" s="312"/>
      <c r="G117" s="328"/>
      <c r="H117" s="337"/>
      <c r="I117" s="334"/>
      <c r="J117" s="314"/>
      <c r="K117" s="449"/>
      <c r="M117" s="349" t="str">
        <f>N117&amp;AS[[#This Row],[Insurer Code]]&amp;"; "&amp;O117&amp;AS[[#This Row],[Reporting Year]]&amp;"; "&amp;P117&amp;AS[[#This Row],[Insurance Category Code]]&amp;"; "&amp;Q117&amp;AS[[#This Row],[Large Provider Entity Code]]&amp;"; "&amp;R117&amp;AS[[#This Row],[Age Band Code]]&amp;"; "&amp;S117&amp;AS[[#This Row],[Sex Code]]</f>
        <v xml:space="preserve">Insurer Code ; Reporting Year ; Insurance Category Code ; Large Provider Entity Code ; Age Band Code ; Sex Code </v>
      </c>
      <c r="N117" s="345" t="s">
        <v>207</v>
      </c>
      <c r="O117" s="345" t="s">
        <v>208</v>
      </c>
      <c r="P117" s="345" t="s">
        <v>209</v>
      </c>
      <c r="Q117" s="345" t="s">
        <v>210</v>
      </c>
      <c r="R117" s="345" t="s">
        <v>223</v>
      </c>
      <c r="S117" s="345" t="s">
        <v>224</v>
      </c>
    </row>
    <row r="118" spans="1:19" x14ac:dyDescent="0.25">
      <c r="A118" s="311"/>
      <c r="B118" s="312"/>
      <c r="C118" s="312"/>
      <c r="D118" s="312"/>
      <c r="E118" s="312"/>
      <c r="F118" s="312"/>
      <c r="G118" s="328"/>
      <c r="H118" s="337"/>
      <c r="I118" s="334"/>
      <c r="J118" s="314"/>
      <c r="K118" s="449"/>
      <c r="M118" s="349" t="str">
        <f>N118&amp;AS[[#This Row],[Insurer Code]]&amp;"; "&amp;O118&amp;AS[[#This Row],[Reporting Year]]&amp;"; "&amp;P118&amp;AS[[#This Row],[Insurance Category Code]]&amp;"; "&amp;Q118&amp;AS[[#This Row],[Large Provider Entity Code]]&amp;"; "&amp;R118&amp;AS[[#This Row],[Age Band Code]]&amp;"; "&amp;S118&amp;AS[[#This Row],[Sex Code]]</f>
        <v xml:space="preserve">Insurer Code ; Reporting Year ; Insurance Category Code ; Large Provider Entity Code ; Age Band Code ; Sex Code </v>
      </c>
      <c r="N118" s="345" t="s">
        <v>207</v>
      </c>
      <c r="O118" s="345" t="s">
        <v>208</v>
      </c>
      <c r="P118" s="345" t="s">
        <v>209</v>
      </c>
      <c r="Q118" s="345" t="s">
        <v>210</v>
      </c>
      <c r="R118" s="345" t="s">
        <v>223</v>
      </c>
      <c r="S118" s="345" t="s">
        <v>224</v>
      </c>
    </row>
    <row r="119" spans="1:19" x14ac:dyDescent="0.25">
      <c r="A119" s="311"/>
      <c r="B119" s="312"/>
      <c r="C119" s="312"/>
      <c r="D119" s="312"/>
      <c r="E119" s="312"/>
      <c r="F119" s="312"/>
      <c r="G119" s="328"/>
      <c r="H119" s="337"/>
      <c r="I119" s="334"/>
      <c r="J119" s="314"/>
      <c r="K119" s="449"/>
      <c r="M119" s="349" t="str">
        <f>N119&amp;AS[[#This Row],[Insurer Code]]&amp;"; "&amp;O119&amp;AS[[#This Row],[Reporting Year]]&amp;"; "&amp;P119&amp;AS[[#This Row],[Insurance Category Code]]&amp;"; "&amp;Q119&amp;AS[[#This Row],[Large Provider Entity Code]]&amp;"; "&amp;R119&amp;AS[[#This Row],[Age Band Code]]&amp;"; "&amp;S119&amp;AS[[#This Row],[Sex Code]]</f>
        <v xml:space="preserve">Insurer Code ; Reporting Year ; Insurance Category Code ; Large Provider Entity Code ; Age Band Code ; Sex Code </v>
      </c>
      <c r="N119" s="345" t="s">
        <v>207</v>
      </c>
      <c r="O119" s="345" t="s">
        <v>208</v>
      </c>
      <c r="P119" s="345" t="s">
        <v>209</v>
      </c>
      <c r="Q119" s="345" t="s">
        <v>210</v>
      </c>
      <c r="R119" s="345" t="s">
        <v>223</v>
      </c>
      <c r="S119" s="345" t="s">
        <v>224</v>
      </c>
    </row>
    <row r="120" spans="1:19" x14ac:dyDescent="0.25">
      <c r="A120" s="311"/>
      <c r="B120" s="312"/>
      <c r="C120" s="312"/>
      <c r="D120" s="312"/>
      <c r="E120" s="312"/>
      <c r="F120" s="312"/>
      <c r="G120" s="328"/>
      <c r="H120" s="337"/>
      <c r="I120" s="334"/>
      <c r="J120" s="314"/>
      <c r="K120" s="449"/>
      <c r="M120" s="349" t="str">
        <f>N120&amp;AS[[#This Row],[Insurer Code]]&amp;"; "&amp;O120&amp;AS[[#This Row],[Reporting Year]]&amp;"; "&amp;P120&amp;AS[[#This Row],[Insurance Category Code]]&amp;"; "&amp;Q120&amp;AS[[#This Row],[Large Provider Entity Code]]&amp;"; "&amp;R120&amp;AS[[#This Row],[Age Band Code]]&amp;"; "&amp;S120&amp;AS[[#This Row],[Sex Code]]</f>
        <v xml:space="preserve">Insurer Code ; Reporting Year ; Insurance Category Code ; Large Provider Entity Code ; Age Band Code ; Sex Code </v>
      </c>
      <c r="N120" s="345" t="s">
        <v>207</v>
      </c>
      <c r="O120" s="345" t="s">
        <v>208</v>
      </c>
      <c r="P120" s="345" t="s">
        <v>209</v>
      </c>
      <c r="Q120" s="345" t="s">
        <v>210</v>
      </c>
      <c r="R120" s="345" t="s">
        <v>223</v>
      </c>
      <c r="S120" s="345" t="s">
        <v>224</v>
      </c>
    </row>
    <row r="121" spans="1:19" x14ac:dyDescent="0.25">
      <c r="A121" s="311"/>
      <c r="B121" s="312"/>
      <c r="C121" s="312"/>
      <c r="D121" s="312"/>
      <c r="E121" s="312"/>
      <c r="F121" s="312"/>
      <c r="G121" s="328"/>
      <c r="H121" s="337"/>
      <c r="I121" s="334"/>
      <c r="J121" s="314"/>
      <c r="K121" s="449"/>
      <c r="M121" s="349" t="str">
        <f>N121&amp;AS[[#This Row],[Insurer Code]]&amp;"; "&amp;O121&amp;AS[[#This Row],[Reporting Year]]&amp;"; "&amp;P121&amp;AS[[#This Row],[Insurance Category Code]]&amp;"; "&amp;Q121&amp;AS[[#This Row],[Large Provider Entity Code]]&amp;"; "&amp;R121&amp;AS[[#This Row],[Age Band Code]]&amp;"; "&amp;S121&amp;AS[[#This Row],[Sex Code]]</f>
        <v xml:space="preserve">Insurer Code ; Reporting Year ; Insurance Category Code ; Large Provider Entity Code ; Age Band Code ; Sex Code </v>
      </c>
      <c r="N121" s="345" t="s">
        <v>207</v>
      </c>
      <c r="O121" s="345" t="s">
        <v>208</v>
      </c>
      <c r="P121" s="345" t="s">
        <v>209</v>
      </c>
      <c r="Q121" s="345" t="s">
        <v>210</v>
      </c>
      <c r="R121" s="345" t="s">
        <v>223</v>
      </c>
      <c r="S121" s="345" t="s">
        <v>224</v>
      </c>
    </row>
    <row r="122" spans="1:19" x14ac:dyDescent="0.25">
      <c r="A122" s="311"/>
      <c r="B122" s="312"/>
      <c r="C122" s="312"/>
      <c r="D122" s="312"/>
      <c r="E122" s="312"/>
      <c r="F122" s="312"/>
      <c r="G122" s="328"/>
      <c r="H122" s="337"/>
      <c r="I122" s="334"/>
      <c r="J122" s="314"/>
      <c r="K122" s="449"/>
      <c r="M122" s="349" t="str">
        <f>N122&amp;AS[[#This Row],[Insurer Code]]&amp;"; "&amp;O122&amp;AS[[#This Row],[Reporting Year]]&amp;"; "&amp;P122&amp;AS[[#This Row],[Insurance Category Code]]&amp;"; "&amp;Q122&amp;AS[[#This Row],[Large Provider Entity Code]]&amp;"; "&amp;R122&amp;AS[[#This Row],[Age Band Code]]&amp;"; "&amp;S122&amp;AS[[#This Row],[Sex Code]]</f>
        <v xml:space="preserve">Insurer Code ; Reporting Year ; Insurance Category Code ; Large Provider Entity Code ; Age Band Code ; Sex Code </v>
      </c>
      <c r="N122" s="345" t="s">
        <v>207</v>
      </c>
      <c r="O122" s="345" t="s">
        <v>208</v>
      </c>
      <c r="P122" s="345" t="s">
        <v>209</v>
      </c>
      <c r="Q122" s="345" t="s">
        <v>210</v>
      </c>
      <c r="R122" s="345" t="s">
        <v>223</v>
      </c>
      <c r="S122" s="345" t="s">
        <v>224</v>
      </c>
    </row>
    <row r="123" spans="1:19" x14ac:dyDescent="0.25">
      <c r="A123" s="311"/>
      <c r="B123" s="312"/>
      <c r="C123" s="312"/>
      <c r="D123" s="312"/>
      <c r="E123" s="312"/>
      <c r="F123" s="312"/>
      <c r="G123" s="328"/>
      <c r="H123" s="337"/>
      <c r="I123" s="334"/>
      <c r="J123" s="314"/>
      <c r="K123" s="449"/>
      <c r="M123" s="349" t="str">
        <f>N123&amp;AS[[#This Row],[Insurer Code]]&amp;"; "&amp;O123&amp;AS[[#This Row],[Reporting Year]]&amp;"; "&amp;P123&amp;AS[[#This Row],[Insurance Category Code]]&amp;"; "&amp;Q123&amp;AS[[#This Row],[Large Provider Entity Code]]&amp;"; "&amp;R123&amp;AS[[#This Row],[Age Band Code]]&amp;"; "&amp;S123&amp;AS[[#This Row],[Sex Code]]</f>
        <v xml:space="preserve">Insurer Code ; Reporting Year ; Insurance Category Code ; Large Provider Entity Code ; Age Band Code ; Sex Code </v>
      </c>
      <c r="N123" s="345" t="s">
        <v>207</v>
      </c>
      <c r="O123" s="345" t="s">
        <v>208</v>
      </c>
      <c r="P123" s="345" t="s">
        <v>209</v>
      </c>
      <c r="Q123" s="345" t="s">
        <v>210</v>
      </c>
      <c r="R123" s="345" t="s">
        <v>223</v>
      </c>
      <c r="S123" s="345" t="s">
        <v>224</v>
      </c>
    </row>
    <row r="124" spans="1:19" x14ac:dyDescent="0.25">
      <c r="A124" s="311"/>
      <c r="B124" s="312"/>
      <c r="C124" s="312"/>
      <c r="D124" s="312"/>
      <c r="E124" s="312"/>
      <c r="F124" s="312"/>
      <c r="G124" s="328"/>
      <c r="H124" s="337"/>
      <c r="I124" s="334"/>
      <c r="J124" s="314"/>
      <c r="K124" s="449"/>
      <c r="M124" s="349" t="str">
        <f>N124&amp;AS[[#This Row],[Insurer Code]]&amp;"; "&amp;O124&amp;AS[[#This Row],[Reporting Year]]&amp;"; "&amp;P124&amp;AS[[#This Row],[Insurance Category Code]]&amp;"; "&amp;Q124&amp;AS[[#This Row],[Large Provider Entity Code]]&amp;"; "&amp;R124&amp;AS[[#This Row],[Age Band Code]]&amp;"; "&amp;S124&amp;AS[[#This Row],[Sex Code]]</f>
        <v xml:space="preserve">Insurer Code ; Reporting Year ; Insurance Category Code ; Large Provider Entity Code ; Age Band Code ; Sex Code </v>
      </c>
      <c r="N124" s="345" t="s">
        <v>207</v>
      </c>
      <c r="O124" s="345" t="s">
        <v>208</v>
      </c>
      <c r="P124" s="345" t="s">
        <v>209</v>
      </c>
      <c r="Q124" s="345" t="s">
        <v>210</v>
      </c>
      <c r="R124" s="345" t="s">
        <v>223</v>
      </c>
      <c r="S124" s="345" t="s">
        <v>224</v>
      </c>
    </row>
    <row r="125" spans="1:19" x14ac:dyDescent="0.25">
      <c r="A125" s="311"/>
      <c r="B125" s="312"/>
      <c r="C125" s="312"/>
      <c r="D125" s="312"/>
      <c r="E125" s="312"/>
      <c r="F125" s="312"/>
      <c r="G125" s="328"/>
      <c r="H125" s="337"/>
      <c r="I125" s="334"/>
      <c r="J125" s="314"/>
      <c r="K125" s="449"/>
      <c r="M125" s="349" t="str">
        <f>N125&amp;AS[[#This Row],[Insurer Code]]&amp;"; "&amp;O125&amp;AS[[#This Row],[Reporting Year]]&amp;"; "&amp;P125&amp;AS[[#This Row],[Insurance Category Code]]&amp;"; "&amp;Q125&amp;AS[[#This Row],[Large Provider Entity Code]]&amp;"; "&amp;R125&amp;AS[[#This Row],[Age Band Code]]&amp;"; "&amp;S125&amp;AS[[#This Row],[Sex Code]]</f>
        <v xml:space="preserve">Insurer Code ; Reporting Year ; Insurance Category Code ; Large Provider Entity Code ; Age Band Code ; Sex Code </v>
      </c>
      <c r="N125" s="345" t="s">
        <v>207</v>
      </c>
      <c r="O125" s="345" t="s">
        <v>208</v>
      </c>
      <c r="P125" s="345" t="s">
        <v>209</v>
      </c>
      <c r="Q125" s="345" t="s">
        <v>210</v>
      </c>
      <c r="R125" s="345" t="s">
        <v>223</v>
      </c>
      <c r="S125" s="345" t="s">
        <v>224</v>
      </c>
    </row>
    <row r="126" spans="1:19" x14ac:dyDescent="0.25">
      <c r="A126" s="311"/>
      <c r="B126" s="312"/>
      <c r="C126" s="312"/>
      <c r="D126" s="312"/>
      <c r="E126" s="312"/>
      <c r="F126" s="312"/>
      <c r="G126" s="328"/>
      <c r="H126" s="337"/>
      <c r="I126" s="334"/>
      <c r="J126" s="314"/>
      <c r="K126" s="449"/>
      <c r="M126" s="349" t="str">
        <f>N126&amp;AS[[#This Row],[Insurer Code]]&amp;"; "&amp;O126&amp;AS[[#This Row],[Reporting Year]]&amp;"; "&amp;P126&amp;AS[[#This Row],[Insurance Category Code]]&amp;"; "&amp;Q126&amp;AS[[#This Row],[Large Provider Entity Code]]&amp;"; "&amp;R126&amp;AS[[#This Row],[Age Band Code]]&amp;"; "&amp;S126&amp;AS[[#This Row],[Sex Code]]</f>
        <v xml:space="preserve">Insurer Code ; Reporting Year ; Insurance Category Code ; Large Provider Entity Code ; Age Band Code ; Sex Code </v>
      </c>
      <c r="N126" s="345" t="s">
        <v>207</v>
      </c>
      <c r="O126" s="345" t="s">
        <v>208</v>
      </c>
      <c r="P126" s="345" t="s">
        <v>209</v>
      </c>
      <c r="Q126" s="345" t="s">
        <v>210</v>
      </c>
      <c r="R126" s="345" t="s">
        <v>223</v>
      </c>
      <c r="S126" s="345" t="s">
        <v>224</v>
      </c>
    </row>
    <row r="127" spans="1:19" x14ac:dyDescent="0.25">
      <c r="A127" s="311"/>
      <c r="B127" s="312"/>
      <c r="C127" s="312"/>
      <c r="D127" s="312"/>
      <c r="E127" s="312"/>
      <c r="F127" s="312"/>
      <c r="G127" s="328"/>
      <c r="H127" s="337"/>
      <c r="I127" s="334"/>
      <c r="J127" s="314"/>
      <c r="K127" s="449"/>
      <c r="M127" s="349" t="str">
        <f>N127&amp;AS[[#This Row],[Insurer Code]]&amp;"; "&amp;O127&amp;AS[[#This Row],[Reporting Year]]&amp;"; "&amp;P127&amp;AS[[#This Row],[Insurance Category Code]]&amp;"; "&amp;Q127&amp;AS[[#This Row],[Large Provider Entity Code]]&amp;"; "&amp;R127&amp;AS[[#This Row],[Age Band Code]]&amp;"; "&amp;S127&amp;AS[[#This Row],[Sex Code]]</f>
        <v xml:space="preserve">Insurer Code ; Reporting Year ; Insurance Category Code ; Large Provider Entity Code ; Age Band Code ; Sex Code </v>
      </c>
      <c r="N127" s="345" t="s">
        <v>207</v>
      </c>
      <c r="O127" s="345" t="s">
        <v>208</v>
      </c>
      <c r="P127" s="345" t="s">
        <v>209</v>
      </c>
      <c r="Q127" s="345" t="s">
        <v>210</v>
      </c>
      <c r="R127" s="345" t="s">
        <v>223</v>
      </c>
      <c r="S127" s="345" t="s">
        <v>224</v>
      </c>
    </row>
    <row r="128" spans="1:19" x14ac:dyDescent="0.25">
      <c r="A128" s="311"/>
      <c r="B128" s="312"/>
      <c r="C128" s="312"/>
      <c r="D128" s="312"/>
      <c r="E128" s="312"/>
      <c r="F128" s="312"/>
      <c r="G128" s="328"/>
      <c r="H128" s="337"/>
      <c r="I128" s="334"/>
      <c r="J128" s="314"/>
      <c r="K128" s="449"/>
      <c r="M128" s="349" t="str">
        <f>N128&amp;AS[[#This Row],[Insurer Code]]&amp;"; "&amp;O128&amp;AS[[#This Row],[Reporting Year]]&amp;"; "&amp;P128&amp;AS[[#This Row],[Insurance Category Code]]&amp;"; "&amp;Q128&amp;AS[[#This Row],[Large Provider Entity Code]]&amp;"; "&amp;R128&amp;AS[[#This Row],[Age Band Code]]&amp;"; "&amp;S128&amp;AS[[#This Row],[Sex Code]]</f>
        <v xml:space="preserve">Insurer Code ; Reporting Year ; Insurance Category Code ; Large Provider Entity Code ; Age Band Code ; Sex Code </v>
      </c>
      <c r="N128" s="345" t="s">
        <v>207</v>
      </c>
      <c r="O128" s="345" t="s">
        <v>208</v>
      </c>
      <c r="P128" s="345" t="s">
        <v>209</v>
      </c>
      <c r="Q128" s="345" t="s">
        <v>210</v>
      </c>
      <c r="R128" s="345" t="s">
        <v>223</v>
      </c>
      <c r="S128" s="345" t="s">
        <v>224</v>
      </c>
    </row>
    <row r="129" spans="1:19" x14ac:dyDescent="0.25">
      <c r="A129" s="311"/>
      <c r="B129" s="312"/>
      <c r="C129" s="312"/>
      <c r="D129" s="312"/>
      <c r="E129" s="312"/>
      <c r="F129" s="312"/>
      <c r="G129" s="328"/>
      <c r="H129" s="337"/>
      <c r="I129" s="334"/>
      <c r="J129" s="314"/>
      <c r="K129" s="449"/>
      <c r="M129" s="349" t="str">
        <f>N129&amp;AS[[#This Row],[Insurer Code]]&amp;"; "&amp;O129&amp;AS[[#This Row],[Reporting Year]]&amp;"; "&amp;P129&amp;AS[[#This Row],[Insurance Category Code]]&amp;"; "&amp;Q129&amp;AS[[#This Row],[Large Provider Entity Code]]&amp;"; "&amp;R129&amp;AS[[#This Row],[Age Band Code]]&amp;"; "&amp;S129&amp;AS[[#This Row],[Sex Code]]</f>
        <v xml:space="preserve">Insurer Code ; Reporting Year ; Insurance Category Code ; Large Provider Entity Code ; Age Band Code ; Sex Code </v>
      </c>
      <c r="N129" s="345" t="s">
        <v>207</v>
      </c>
      <c r="O129" s="345" t="s">
        <v>208</v>
      </c>
      <c r="P129" s="345" t="s">
        <v>209</v>
      </c>
      <c r="Q129" s="345" t="s">
        <v>210</v>
      </c>
      <c r="R129" s="345" t="s">
        <v>223</v>
      </c>
      <c r="S129" s="345" t="s">
        <v>224</v>
      </c>
    </row>
    <row r="130" spans="1:19" x14ac:dyDescent="0.25">
      <c r="A130" s="311"/>
      <c r="B130" s="312"/>
      <c r="C130" s="312"/>
      <c r="D130" s="312"/>
      <c r="E130" s="312"/>
      <c r="F130" s="312"/>
      <c r="G130" s="328"/>
      <c r="H130" s="337"/>
      <c r="I130" s="334"/>
      <c r="J130" s="314"/>
      <c r="K130" s="449"/>
      <c r="M130" s="349" t="str">
        <f>N130&amp;AS[[#This Row],[Insurer Code]]&amp;"; "&amp;O130&amp;AS[[#This Row],[Reporting Year]]&amp;"; "&amp;P130&amp;AS[[#This Row],[Insurance Category Code]]&amp;"; "&amp;Q130&amp;AS[[#This Row],[Large Provider Entity Code]]&amp;"; "&amp;R130&amp;AS[[#This Row],[Age Band Code]]&amp;"; "&amp;S130&amp;AS[[#This Row],[Sex Code]]</f>
        <v xml:space="preserve">Insurer Code ; Reporting Year ; Insurance Category Code ; Large Provider Entity Code ; Age Band Code ; Sex Code </v>
      </c>
      <c r="N130" s="345" t="s">
        <v>207</v>
      </c>
      <c r="O130" s="345" t="s">
        <v>208</v>
      </c>
      <c r="P130" s="345" t="s">
        <v>209</v>
      </c>
      <c r="Q130" s="345" t="s">
        <v>210</v>
      </c>
      <c r="R130" s="345" t="s">
        <v>223</v>
      </c>
      <c r="S130" s="345" t="s">
        <v>224</v>
      </c>
    </row>
    <row r="131" spans="1:19" x14ac:dyDescent="0.25">
      <c r="A131" s="311"/>
      <c r="B131" s="312"/>
      <c r="C131" s="312"/>
      <c r="D131" s="312"/>
      <c r="E131" s="312"/>
      <c r="F131" s="312"/>
      <c r="G131" s="328"/>
      <c r="H131" s="337"/>
      <c r="I131" s="334"/>
      <c r="J131" s="314"/>
      <c r="K131" s="449"/>
      <c r="M131" s="349" t="str">
        <f>N131&amp;AS[[#This Row],[Insurer Code]]&amp;"; "&amp;O131&amp;AS[[#This Row],[Reporting Year]]&amp;"; "&amp;P131&amp;AS[[#This Row],[Insurance Category Code]]&amp;"; "&amp;Q131&amp;AS[[#This Row],[Large Provider Entity Code]]&amp;"; "&amp;R131&amp;AS[[#This Row],[Age Band Code]]&amp;"; "&amp;S131&amp;AS[[#This Row],[Sex Code]]</f>
        <v xml:space="preserve">Insurer Code ; Reporting Year ; Insurance Category Code ; Large Provider Entity Code ; Age Band Code ; Sex Code </v>
      </c>
      <c r="N131" s="345" t="s">
        <v>207</v>
      </c>
      <c r="O131" s="345" t="s">
        <v>208</v>
      </c>
      <c r="P131" s="345" t="s">
        <v>209</v>
      </c>
      <c r="Q131" s="345" t="s">
        <v>210</v>
      </c>
      <c r="R131" s="345" t="s">
        <v>223</v>
      </c>
      <c r="S131" s="345" t="s">
        <v>224</v>
      </c>
    </row>
    <row r="132" spans="1:19" x14ac:dyDescent="0.25">
      <c r="A132" s="311"/>
      <c r="B132" s="312"/>
      <c r="C132" s="312"/>
      <c r="D132" s="312"/>
      <c r="E132" s="312"/>
      <c r="F132" s="312"/>
      <c r="G132" s="328"/>
      <c r="H132" s="337"/>
      <c r="I132" s="334"/>
      <c r="J132" s="314"/>
      <c r="K132" s="449"/>
      <c r="M132" s="349" t="str">
        <f>N132&amp;AS[[#This Row],[Insurer Code]]&amp;"; "&amp;O132&amp;AS[[#This Row],[Reporting Year]]&amp;"; "&amp;P132&amp;AS[[#This Row],[Insurance Category Code]]&amp;"; "&amp;Q132&amp;AS[[#This Row],[Large Provider Entity Code]]&amp;"; "&amp;R132&amp;AS[[#This Row],[Age Band Code]]&amp;"; "&amp;S132&amp;AS[[#This Row],[Sex Code]]</f>
        <v xml:space="preserve">Insurer Code ; Reporting Year ; Insurance Category Code ; Large Provider Entity Code ; Age Band Code ; Sex Code </v>
      </c>
      <c r="N132" s="345" t="s">
        <v>207</v>
      </c>
      <c r="O132" s="345" t="s">
        <v>208</v>
      </c>
      <c r="P132" s="345" t="s">
        <v>209</v>
      </c>
      <c r="Q132" s="345" t="s">
        <v>210</v>
      </c>
      <c r="R132" s="345" t="s">
        <v>223</v>
      </c>
      <c r="S132" s="345" t="s">
        <v>224</v>
      </c>
    </row>
    <row r="133" spans="1:19" x14ac:dyDescent="0.25">
      <c r="A133" s="311"/>
      <c r="B133" s="312"/>
      <c r="C133" s="312"/>
      <c r="D133" s="312"/>
      <c r="E133" s="312"/>
      <c r="F133" s="312"/>
      <c r="G133" s="328"/>
      <c r="H133" s="337"/>
      <c r="I133" s="334"/>
      <c r="J133" s="314"/>
      <c r="K133" s="449"/>
      <c r="M133" s="349" t="str">
        <f>N133&amp;AS[[#This Row],[Insurer Code]]&amp;"; "&amp;O133&amp;AS[[#This Row],[Reporting Year]]&amp;"; "&amp;P133&amp;AS[[#This Row],[Insurance Category Code]]&amp;"; "&amp;Q133&amp;AS[[#This Row],[Large Provider Entity Code]]&amp;"; "&amp;R133&amp;AS[[#This Row],[Age Band Code]]&amp;"; "&amp;S133&amp;AS[[#This Row],[Sex Code]]</f>
        <v xml:space="preserve">Insurer Code ; Reporting Year ; Insurance Category Code ; Large Provider Entity Code ; Age Band Code ; Sex Code </v>
      </c>
      <c r="N133" s="345" t="s">
        <v>207</v>
      </c>
      <c r="O133" s="345" t="s">
        <v>208</v>
      </c>
      <c r="P133" s="345" t="s">
        <v>209</v>
      </c>
      <c r="Q133" s="345" t="s">
        <v>210</v>
      </c>
      <c r="R133" s="345" t="s">
        <v>223</v>
      </c>
      <c r="S133" s="345" t="s">
        <v>224</v>
      </c>
    </row>
    <row r="134" spans="1:19" x14ac:dyDescent="0.25">
      <c r="A134" s="311"/>
      <c r="B134" s="312"/>
      <c r="C134" s="312"/>
      <c r="D134" s="312"/>
      <c r="E134" s="312"/>
      <c r="F134" s="312"/>
      <c r="G134" s="328"/>
      <c r="H134" s="337"/>
      <c r="I134" s="334"/>
      <c r="J134" s="314"/>
      <c r="K134" s="449"/>
      <c r="M134" s="349" t="str">
        <f>N134&amp;AS[[#This Row],[Insurer Code]]&amp;"; "&amp;O134&amp;AS[[#This Row],[Reporting Year]]&amp;"; "&amp;P134&amp;AS[[#This Row],[Insurance Category Code]]&amp;"; "&amp;Q134&amp;AS[[#This Row],[Large Provider Entity Code]]&amp;"; "&amp;R134&amp;AS[[#This Row],[Age Band Code]]&amp;"; "&amp;S134&amp;AS[[#This Row],[Sex Code]]</f>
        <v xml:space="preserve">Insurer Code ; Reporting Year ; Insurance Category Code ; Large Provider Entity Code ; Age Band Code ; Sex Code </v>
      </c>
      <c r="N134" s="345" t="s">
        <v>207</v>
      </c>
      <c r="O134" s="345" t="s">
        <v>208</v>
      </c>
      <c r="P134" s="345" t="s">
        <v>209</v>
      </c>
      <c r="Q134" s="345" t="s">
        <v>210</v>
      </c>
      <c r="R134" s="345" t="s">
        <v>223</v>
      </c>
      <c r="S134" s="345" t="s">
        <v>224</v>
      </c>
    </row>
    <row r="135" spans="1:19" x14ac:dyDescent="0.25">
      <c r="A135" s="311"/>
      <c r="B135" s="312"/>
      <c r="C135" s="312"/>
      <c r="D135" s="312"/>
      <c r="E135" s="312"/>
      <c r="F135" s="312"/>
      <c r="G135" s="328"/>
      <c r="H135" s="337"/>
      <c r="I135" s="334"/>
      <c r="J135" s="314"/>
      <c r="K135" s="449"/>
      <c r="M135" s="349" t="str">
        <f>N135&amp;AS[[#This Row],[Insurer Code]]&amp;"; "&amp;O135&amp;AS[[#This Row],[Reporting Year]]&amp;"; "&amp;P135&amp;AS[[#This Row],[Insurance Category Code]]&amp;"; "&amp;Q135&amp;AS[[#This Row],[Large Provider Entity Code]]&amp;"; "&amp;R135&amp;AS[[#This Row],[Age Band Code]]&amp;"; "&amp;S135&amp;AS[[#This Row],[Sex Code]]</f>
        <v xml:space="preserve">Insurer Code ; Reporting Year ; Insurance Category Code ; Large Provider Entity Code ; Age Band Code ; Sex Code </v>
      </c>
      <c r="N135" s="345" t="s">
        <v>207</v>
      </c>
      <c r="O135" s="345" t="s">
        <v>208</v>
      </c>
      <c r="P135" s="345" t="s">
        <v>209</v>
      </c>
      <c r="Q135" s="345" t="s">
        <v>210</v>
      </c>
      <c r="R135" s="345" t="s">
        <v>223</v>
      </c>
      <c r="S135" s="345" t="s">
        <v>224</v>
      </c>
    </row>
    <row r="136" spans="1:19" x14ac:dyDescent="0.25">
      <c r="A136" s="311"/>
      <c r="B136" s="312"/>
      <c r="C136" s="312"/>
      <c r="D136" s="312"/>
      <c r="E136" s="312"/>
      <c r="F136" s="312"/>
      <c r="G136" s="328"/>
      <c r="H136" s="337"/>
      <c r="I136" s="334"/>
      <c r="J136" s="314"/>
      <c r="K136" s="449"/>
      <c r="M136" s="349" t="str">
        <f>N136&amp;AS[[#This Row],[Insurer Code]]&amp;"; "&amp;O136&amp;AS[[#This Row],[Reporting Year]]&amp;"; "&amp;P136&amp;AS[[#This Row],[Insurance Category Code]]&amp;"; "&amp;Q136&amp;AS[[#This Row],[Large Provider Entity Code]]&amp;"; "&amp;R136&amp;AS[[#This Row],[Age Band Code]]&amp;"; "&amp;S136&amp;AS[[#This Row],[Sex Code]]</f>
        <v xml:space="preserve">Insurer Code ; Reporting Year ; Insurance Category Code ; Large Provider Entity Code ; Age Band Code ; Sex Code </v>
      </c>
      <c r="N136" s="345" t="s">
        <v>207</v>
      </c>
      <c r="O136" s="345" t="s">
        <v>208</v>
      </c>
      <c r="P136" s="345" t="s">
        <v>209</v>
      </c>
      <c r="Q136" s="345" t="s">
        <v>210</v>
      </c>
      <c r="R136" s="345" t="s">
        <v>223</v>
      </c>
      <c r="S136" s="345" t="s">
        <v>224</v>
      </c>
    </row>
    <row r="137" spans="1:19" x14ac:dyDescent="0.25">
      <c r="A137" s="311"/>
      <c r="B137" s="312"/>
      <c r="C137" s="312"/>
      <c r="D137" s="312"/>
      <c r="E137" s="312"/>
      <c r="F137" s="312"/>
      <c r="G137" s="328"/>
      <c r="H137" s="337"/>
      <c r="I137" s="334"/>
      <c r="J137" s="314"/>
      <c r="K137" s="449"/>
      <c r="M137" s="349" t="str">
        <f>N137&amp;AS[[#This Row],[Insurer Code]]&amp;"; "&amp;O137&amp;AS[[#This Row],[Reporting Year]]&amp;"; "&amp;P137&amp;AS[[#This Row],[Insurance Category Code]]&amp;"; "&amp;Q137&amp;AS[[#This Row],[Large Provider Entity Code]]&amp;"; "&amp;R137&amp;AS[[#This Row],[Age Band Code]]&amp;"; "&amp;S137&amp;AS[[#This Row],[Sex Code]]</f>
        <v xml:space="preserve">Insurer Code ; Reporting Year ; Insurance Category Code ; Large Provider Entity Code ; Age Band Code ; Sex Code </v>
      </c>
      <c r="N137" s="345" t="s">
        <v>207</v>
      </c>
      <c r="O137" s="345" t="s">
        <v>208</v>
      </c>
      <c r="P137" s="345" t="s">
        <v>209</v>
      </c>
      <c r="Q137" s="345" t="s">
        <v>210</v>
      </c>
      <c r="R137" s="345" t="s">
        <v>223</v>
      </c>
      <c r="S137" s="345" t="s">
        <v>224</v>
      </c>
    </row>
    <row r="138" spans="1:19" x14ac:dyDescent="0.25">
      <c r="A138" s="311"/>
      <c r="B138" s="312"/>
      <c r="C138" s="312"/>
      <c r="D138" s="312"/>
      <c r="E138" s="312"/>
      <c r="F138" s="312"/>
      <c r="G138" s="328"/>
      <c r="H138" s="337"/>
      <c r="I138" s="334"/>
      <c r="J138" s="314"/>
      <c r="K138" s="449"/>
      <c r="M138" s="349" t="str">
        <f>N138&amp;AS[[#This Row],[Insurer Code]]&amp;"; "&amp;O138&amp;AS[[#This Row],[Reporting Year]]&amp;"; "&amp;P138&amp;AS[[#This Row],[Insurance Category Code]]&amp;"; "&amp;Q138&amp;AS[[#This Row],[Large Provider Entity Code]]&amp;"; "&amp;R138&amp;AS[[#This Row],[Age Band Code]]&amp;"; "&amp;S138&amp;AS[[#This Row],[Sex Code]]</f>
        <v xml:space="preserve">Insurer Code ; Reporting Year ; Insurance Category Code ; Large Provider Entity Code ; Age Band Code ; Sex Code </v>
      </c>
      <c r="N138" s="345" t="s">
        <v>207</v>
      </c>
      <c r="O138" s="345" t="s">
        <v>208</v>
      </c>
      <c r="P138" s="345" t="s">
        <v>209</v>
      </c>
      <c r="Q138" s="345" t="s">
        <v>210</v>
      </c>
      <c r="R138" s="345" t="s">
        <v>223</v>
      </c>
      <c r="S138" s="345" t="s">
        <v>224</v>
      </c>
    </row>
    <row r="139" spans="1:19" x14ac:dyDescent="0.25">
      <c r="A139" s="311"/>
      <c r="B139" s="312"/>
      <c r="C139" s="312"/>
      <c r="D139" s="312"/>
      <c r="E139" s="312"/>
      <c r="F139" s="312"/>
      <c r="G139" s="328"/>
      <c r="H139" s="337"/>
      <c r="I139" s="334"/>
      <c r="J139" s="314"/>
      <c r="K139" s="449"/>
      <c r="M139" s="349" t="str">
        <f>N139&amp;AS[[#This Row],[Insurer Code]]&amp;"; "&amp;O139&amp;AS[[#This Row],[Reporting Year]]&amp;"; "&amp;P139&amp;AS[[#This Row],[Insurance Category Code]]&amp;"; "&amp;Q139&amp;AS[[#This Row],[Large Provider Entity Code]]&amp;"; "&amp;R139&amp;AS[[#This Row],[Age Band Code]]&amp;"; "&amp;S139&amp;AS[[#This Row],[Sex Code]]</f>
        <v xml:space="preserve">Insurer Code ; Reporting Year ; Insurance Category Code ; Large Provider Entity Code ; Age Band Code ; Sex Code </v>
      </c>
      <c r="N139" s="345" t="s">
        <v>207</v>
      </c>
      <c r="O139" s="345" t="s">
        <v>208</v>
      </c>
      <c r="P139" s="345" t="s">
        <v>209</v>
      </c>
      <c r="Q139" s="345" t="s">
        <v>210</v>
      </c>
      <c r="R139" s="345" t="s">
        <v>223</v>
      </c>
      <c r="S139" s="345" t="s">
        <v>224</v>
      </c>
    </row>
    <row r="140" spans="1:19" x14ac:dyDescent="0.25">
      <c r="A140" s="311"/>
      <c r="B140" s="312"/>
      <c r="C140" s="312"/>
      <c r="D140" s="312"/>
      <c r="E140" s="312"/>
      <c r="F140" s="312"/>
      <c r="G140" s="328"/>
      <c r="H140" s="337"/>
      <c r="I140" s="334"/>
      <c r="J140" s="314"/>
      <c r="K140" s="449"/>
      <c r="M140" s="349" t="str">
        <f>N140&amp;AS[[#This Row],[Insurer Code]]&amp;"; "&amp;O140&amp;AS[[#This Row],[Reporting Year]]&amp;"; "&amp;P140&amp;AS[[#This Row],[Insurance Category Code]]&amp;"; "&amp;Q140&amp;AS[[#This Row],[Large Provider Entity Code]]&amp;"; "&amp;R140&amp;AS[[#This Row],[Age Band Code]]&amp;"; "&amp;S140&amp;AS[[#This Row],[Sex Code]]</f>
        <v xml:space="preserve">Insurer Code ; Reporting Year ; Insurance Category Code ; Large Provider Entity Code ; Age Band Code ; Sex Code </v>
      </c>
      <c r="N140" s="345" t="s">
        <v>207</v>
      </c>
      <c r="O140" s="345" t="s">
        <v>208</v>
      </c>
      <c r="P140" s="345" t="s">
        <v>209</v>
      </c>
      <c r="Q140" s="345" t="s">
        <v>210</v>
      </c>
      <c r="R140" s="345" t="s">
        <v>223</v>
      </c>
      <c r="S140" s="345" t="s">
        <v>224</v>
      </c>
    </row>
    <row r="141" spans="1:19" x14ac:dyDescent="0.25">
      <c r="A141" s="311"/>
      <c r="B141" s="312"/>
      <c r="C141" s="312"/>
      <c r="D141" s="312"/>
      <c r="E141" s="312"/>
      <c r="F141" s="312"/>
      <c r="G141" s="328"/>
      <c r="H141" s="337"/>
      <c r="I141" s="334"/>
      <c r="J141" s="314"/>
      <c r="K141" s="449"/>
      <c r="M141" s="349" t="str">
        <f>N141&amp;AS[[#This Row],[Insurer Code]]&amp;"; "&amp;O141&amp;AS[[#This Row],[Reporting Year]]&amp;"; "&amp;P141&amp;AS[[#This Row],[Insurance Category Code]]&amp;"; "&amp;Q141&amp;AS[[#This Row],[Large Provider Entity Code]]&amp;"; "&amp;R141&amp;AS[[#This Row],[Age Band Code]]&amp;"; "&amp;S141&amp;AS[[#This Row],[Sex Code]]</f>
        <v xml:space="preserve">Insurer Code ; Reporting Year ; Insurance Category Code ; Large Provider Entity Code ; Age Band Code ; Sex Code </v>
      </c>
      <c r="N141" s="345" t="s">
        <v>207</v>
      </c>
      <c r="O141" s="345" t="s">
        <v>208</v>
      </c>
      <c r="P141" s="345" t="s">
        <v>209</v>
      </c>
      <c r="Q141" s="345" t="s">
        <v>210</v>
      </c>
      <c r="R141" s="345" t="s">
        <v>223</v>
      </c>
      <c r="S141" s="345" t="s">
        <v>224</v>
      </c>
    </row>
    <row r="142" spans="1:19" x14ac:dyDescent="0.25">
      <c r="A142" s="311"/>
      <c r="B142" s="312"/>
      <c r="C142" s="312"/>
      <c r="D142" s="312"/>
      <c r="E142" s="312"/>
      <c r="F142" s="312"/>
      <c r="G142" s="328"/>
      <c r="H142" s="337"/>
      <c r="I142" s="334"/>
      <c r="J142" s="314"/>
      <c r="K142" s="449"/>
      <c r="M142" s="349" t="str">
        <f>N142&amp;AS[[#This Row],[Insurer Code]]&amp;"; "&amp;O142&amp;AS[[#This Row],[Reporting Year]]&amp;"; "&amp;P142&amp;AS[[#This Row],[Insurance Category Code]]&amp;"; "&amp;Q142&amp;AS[[#This Row],[Large Provider Entity Code]]&amp;"; "&amp;R142&amp;AS[[#This Row],[Age Band Code]]&amp;"; "&amp;S142&amp;AS[[#This Row],[Sex Code]]</f>
        <v xml:space="preserve">Insurer Code ; Reporting Year ; Insurance Category Code ; Large Provider Entity Code ; Age Band Code ; Sex Code </v>
      </c>
      <c r="N142" s="345" t="s">
        <v>207</v>
      </c>
      <c r="O142" s="345" t="s">
        <v>208</v>
      </c>
      <c r="P142" s="345" t="s">
        <v>209</v>
      </c>
      <c r="Q142" s="345" t="s">
        <v>210</v>
      </c>
      <c r="R142" s="345" t="s">
        <v>223</v>
      </c>
      <c r="S142" s="345" t="s">
        <v>224</v>
      </c>
    </row>
    <row r="143" spans="1:19" x14ac:dyDescent="0.25">
      <c r="A143" s="311"/>
      <c r="B143" s="312"/>
      <c r="C143" s="312"/>
      <c r="D143" s="312"/>
      <c r="E143" s="312"/>
      <c r="F143" s="312"/>
      <c r="G143" s="328"/>
      <c r="H143" s="337"/>
      <c r="I143" s="334"/>
      <c r="J143" s="314"/>
      <c r="K143" s="449"/>
      <c r="M143" s="349" t="str">
        <f>N143&amp;AS[[#This Row],[Insurer Code]]&amp;"; "&amp;O143&amp;AS[[#This Row],[Reporting Year]]&amp;"; "&amp;P143&amp;AS[[#This Row],[Insurance Category Code]]&amp;"; "&amp;Q143&amp;AS[[#This Row],[Large Provider Entity Code]]&amp;"; "&amp;R143&amp;AS[[#This Row],[Age Band Code]]&amp;"; "&amp;S143&amp;AS[[#This Row],[Sex Code]]</f>
        <v xml:space="preserve">Insurer Code ; Reporting Year ; Insurance Category Code ; Large Provider Entity Code ; Age Band Code ; Sex Code </v>
      </c>
      <c r="N143" s="345" t="s">
        <v>207</v>
      </c>
      <c r="O143" s="345" t="s">
        <v>208</v>
      </c>
      <c r="P143" s="345" t="s">
        <v>209</v>
      </c>
      <c r="Q143" s="345" t="s">
        <v>210</v>
      </c>
      <c r="R143" s="345" t="s">
        <v>223</v>
      </c>
      <c r="S143" s="345" t="s">
        <v>224</v>
      </c>
    </row>
    <row r="144" spans="1:19" x14ac:dyDescent="0.25">
      <c r="A144" s="311"/>
      <c r="B144" s="312"/>
      <c r="C144" s="312"/>
      <c r="D144" s="312"/>
      <c r="E144" s="312"/>
      <c r="F144" s="312"/>
      <c r="G144" s="328"/>
      <c r="H144" s="337"/>
      <c r="I144" s="334"/>
      <c r="J144" s="314"/>
      <c r="K144" s="449"/>
      <c r="M144" s="349" t="str">
        <f>N144&amp;AS[[#This Row],[Insurer Code]]&amp;"; "&amp;O144&amp;AS[[#This Row],[Reporting Year]]&amp;"; "&amp;P144&amp;AS[[#This Row],[Insurance Category Code]]&amp;"; "&amp;Q144&amp;AS[[#This Row],[Large Provider Entity Code]]&amp;"; "&amp;R144&amp;AS[[#This Row],[Age Band Code]]&amp;"; "&amp;S144&amp;AS[[#This Row],[Sex Code]]</f>
        <v xml:space="preserve">Insurer Code ; Reporting Year ; Insurance Category Code ; Large Provider Entity Code ; Age Band Code ; Sex Code </v>
      </c>
      <c r="N144" s="345" t="s">
        <v>207</v>
      </c>
      <c r="O144" s="345" t="s">
        <v>208</v>
      </c>
      <c r="P144" s="345" t="s">
        <v>209</v>
      </c>
      <c r="Q144" s="345" t="s">
        <v>210</v>
      </c>
      <c r="R144" s="345" t="s">
        <v>223</v>
      </c>
      <c r="S144" s="345" t="s">
        <v>224</v>
      </c>
    </row>
    <row r="145" spans="1:19" x14ac:dyDescent="0.25">
      <c r="A145" s="311"/>
      <c r="B145" s="312"/>
      <c r="C145" s="312"/>
      <c r="D145" s="312"/>
      <c r="E145" s="312"/>
      <c r="F145" s="312"/>
      <c r="G145" s="328"/>
      <c r="H145" s="337"/>
      <c r="I145" s="334"/>
      <c r="J145" s="314"/>
      <c r="K145" s="449"/>
      <c r="M145" s="349" t="str">
        <f>N145&amp;AS[[#This Row],[Insurer Code]]&amp;"; "&amp;O145&amp;AS[[#This Row],[Reporting Year]]&amp;"; "&amp;P145&amp;AS[[#This Row],[Insurance Category Code]]&amp;"; "&amp;Q145&amp;AS[[#This Row],[Large Provider Entity Code]]&amp;"; "&amp;R145&amp;AS[[#This Row],[Age Band Code]]&amp;"; "&amp;S145&amp;AS[[#This Row],[Sex Code]]</f>
        <v xml:space="preserve">Insurer Code ; Reporting Year ; Insurance Category Code ; Large Provider Entity Code ; Age Band Code ; Sex Code </v>
      </c>
      <c r="N145" s="345" t="s">
        <v>207</v>
      </c>
      <c r="O145" s="345" t="s">
        <v>208</v>
      </c>
      <c r="P145" s="345" t="s">
        <v>209</v>
      </c>
      <c r="Q145" s="345" t="s">
        <v>210</v>
      </c>
      <c r="R145" s="345" t="s">
        <v>223</v>
      </c>
      <c r="S145" s="345" t="s">
        <v>224</v>
      </c>
    </row>
    <row r="146" spans="1:19" x14ac:dyDescent="0.25">
      <c r="A146" s="311"/>
      <c r="B146" s="312"/>
      <c r="C146" s="312"/>
      <c r="D146" s="312"/>
      <c r="E146" s="312"/>
      <c r="F146" s="312"/>
      <c r="G146" s="328"/>
      <c r="H146" s="337"/>
      <c r="I146" s="334"/>
      <c r="J146" s="314"/>
      <c r="K146" s="449"/>
      <c r="M146" s="349" t="str">
        <f>N146&amp;AS[[#This Row],[Insurer Code]]&amp;"; "&amp;O146&amp;AS[[#This Row],[Reporting Year]]&amp;"; "&amp;P146&amp;AS[[#This Row],[Insurance Category Code]]&amp;"; "&amp;Q146&amp;AS[[#This Row],[Large Provider Entity Code]]&amp;"; "&amp;R146&amp;AS[[#This Row],[Age Band Code]]&amp;"; "&amp;S146&amp;AS[[#This Row],[Sex Code]]</f>
        <v xml:space="preserve">Insurer Code ; Reporting Year ; Insurance Category Code ; Large Provider Entity Code ; Age Band Code ; Sex Code </v>
      </c>
      <c r="N146" s="345" t="s">
        <v>207</v>
      </c>
      <c r="O146" s="345" t="s">
        <v>208</v>
      </c>
      <c r="P146" s="345" t="s">
        <v>209</v>
      </c>
      <c r="Q146" s="345" t="s">
        <v>210</v>
      </c>
      <c r="R146" s="345" t="s">
        <v>223</v>
      </c>
      <c r="S146" s="345" t="s">
        <v>224</v>
      </c>
    </row>
    <row r="147" spans="1:19" x14ac:dyDescent="0.25">
      <c r="A147" s="311"/>
      <c r="B147" s="312"/>
      <c r="C147" s="312"/>
      <c r="D147" s="312"/>
      <c r="E147" s="312"/>
      <c r="F147" s="312"/>
      <c r="G147" s="328"/>
      <c r="H147" s="337"/>
      <c r="I147" s="334"/>
      <c r="J147" s="314"/>
      <c r="K147" s="449"/>
      <c r="M147" s="349" t="str">
        <f>N147&amp;AS[[#This Row],[Insurer Code]]&amp;"; "&amp;O147&amp;AS[[#This Row],[Reporting Year]]&amp;"; "&amp;P147&amp;AS[[#This Row],[Insurance Category Code]]&amp;"; "&amp;Q147&amp;AS[[#This Row],[Large Provider Entity Code]]&amp;"; "&amp;R147&amp;AS[[#This Row],[Age Band Code]]&amp;"; "&amp;S147&amp;AS[[#This Row],[Sex Code]]</f>
        <v xml:space="preserve">Insurer Code ; Reporting Year ; Insurance Category Code ; Large Provider Entity Code ; Age Band Code ; Sex Code </v>
      </c>
      <c r="N147" s="345" t="s">
        <v>207</v>
      </c>
      <c r="O147" s="345" t="s">
        <v>208</v>
      </c>
      <c r="P147" s="345" t="s">
        <v>209</v>
      </c>
      <c r="Q147" s="345" t="s">
        <v>210</v>
      </c>
      <c r="R147" s="345" t="s">
        <v>223</v>
      </c>
      <c r="S147" s="345" t="s">
        <v>224</v>
      </c>
    </row>
    <row r="148" spans="1:19" x14ac:dyDescent="0.25">
      <c r="A148" s="311"/>
      <c r="B148" s="312"/>
      <c r="C148" s="312"/>
      <c r="D148" s="312"/>
      <c r="E148" s="312"/>
      <c r="F148" s="312"/>
      <c r="G148" s="328"/>
      <c r="H148" s="337"/>
      <c r="I148" s="334"/>
      <c r="J148" s="314"/>
      <c r="K148" s="449"/>
      <c r="M148" s="349" t="str">
        <f>N148&amp;AS[[#This Row],[Insurer Code]]&amp;"; "&amp;O148&amp;AS[[#This Row],[Reporting Year]]&amp;"; "&amp;P148&amp;AS[[#This Row],[Insurance Category Code]]&amp;"; "&amp;Q148&amp;AS[[#This Row],[Large Provider Entity Code]]&amp;"; "&amp;R148&amp;AS[[#This Row],[Age Band Code]]&amp;"; "&amp;S148&amp;AS[[#This Row],[Sex Code]]</f>
        <v xml:space="preserve">Insurer Code ; Reporting Year ; Insurance Category Code ; Large Provider Entity Code ; Age Band Code ; Sex Code </v>
      </c>
      <c r="N148" s="345" t="s">
        <v>207</v>
      </c>
      <c r="O148" s="345" t="s">
        <v>208</v>
      </c>
      <c r="P148" s="345" t="s">
        <v>209</v>
      </c>
      <c r="Q148" s="345" t="s">
        <v>210</v>
      </c>
      <c r="R148" s="345" t="s">
        <v>223</v>
      </c>
      <c r="S148" s="345" t="s">
        <v>224</v>
      </c>
    </row>
    <row r="149" spans="1:19" x14ac:dyDescent="0.25">
      <c r="A149" s="311"/>
      <c r="B149" s="312"/>
      <c r="C149" s="312"/>
      <c r="D149" s="312"/>
      <c r="E149" s="312"/>
      <c r="F149" s="312"/>
      <c r="G149" s="328"/>
      <c r="H149" s="337"/>
      <c r="I149" s="334"/>
      <c r="J149" s="314"/>
      <c r="K149" s="449"/>
      <c r="M149" s="349" t="str">
        <f>N149&amp;AS[[#This Row],[Insurer Code]]&amp;"; "&amp;O149&amp;AS[[#This Row],[Reporting Year]]&amp;"; "&amp;P149&amp;AS[[#This Row],[Insurance Category Code]]&amp;"; "&amp;Q149&amp;AS[[#This Row],[Large Provider Entity Code]]&amp;"; "&amp;R149&amp;AS[[#This Row],[Age Band Code]]&amp;"; "&amp;S149&amp;AS[[#This Row],[Sex Code]]</f>
        <v xml:space="preserve">Insurer Code ; Reporting Year ; Insurance Category Code ; Large Provider Entity Code ; Age Band Code ; Sex Code </v>
      </c>
      <c r="N149" s="345" t="s">
        <v>207</v>
      </c>
      <c r="O149" s="345" t="s">
        <v>208</v>
      </c>
      <c r="P149" s="345" t="s">
        <v>209</v>
      </c>
      <c r="Q149" s="345" t="s">
        <v>210</v>
      </c>
      <c r="R149" s="345" t="s">
        <v>223</v>
      </c>
      <c r="S149" s="345" t="s">
        <v>224</v>
      </c>
    </row>
    <row r="150" spans="1:19" x14ac:dyDescent="0.25">
      <c r="A150" s="311"/>
      <c r="B150" s="312"/>
      <c r="C150" s="312"/>
      <c r="D150" s="312"/>
      <c r="E150" s="312"/>
      <c r="F150" s="312"/>
      <c r="G150" s="328"/>
      <c r="H150" s="337"/>
      <c r="I150" s="334"/>
      <c r="J150" s="314"/>
      <c r="K150" s="449"/>
      <c r="M150" s="349" t="str">
        <f>N150&amp;AS[[#This Row],[Insurer Code]]&amp;"; "&amp;O150&amp;AS[[#This Row],[Reporting Year]]&amp;"; "&amp;P150&amp;AS[[#This Row],[Insurance Category Code]]&amp;"; "&amp;Q150&amp;AS[[#This Row],[Large Provider Entity Code]]&amp;"; "&amp;R150&amp;AS[[#This Row],[Age Band Code]]&amp;"; "&amp;S150&amp;AS[[#This Row],[Sex Code]]</f>
        <v xml:space="preserve">Insurer Code ; Reporting Year ; Insurance Category Code ; Large Provider Entity Code ; Age Band Code ; Sex Code </v>
      </c>
      <c r="N150" s="345" t="s">
        <v>207</v>
      </c>
      <c r="O150" s="345" t="s">
        <v>208</v>
      </c>
      <c r="P150" s="345" t="s">
        <v>209</v>
      </c>
      <c r="Q150" s="345" t="s">
        <v>210</v>
      </c>
      <c r="R150" s="345" t="s">
        <v>223</v>
      </c>
      <c r="S150" s="345" t="s">
        <v>224</v>
      </c>
    </row>
    <row r="151" spans="1:19" x14ac:dyDescent="0.25">
      <c r="A151" s="311"/>
      <c r="B151" s="312"/>
      <c r="C151" s="312"/>
      <c r="D151" s="312"/>
      <c r="E151" s="312"/>
      <c r="F151" s="312"/>
      <c r="G151" s="328"/>
      <c r="H151" s="337"/>
      <c r="I151" s="334"/>
      <c r="J151" s="314"/>
      <c r="K151" s="449"/>
      <c r="M151" s="349" t="str">
        <f>N151&amp;AS[[#This Row],[Insurer Code]]&amp;"; "&amp;O151&amp;AS[[#This Row],[Reporting Year]]&amp;"; "&amp;P151&amp;AS[[#This Row],[Insurance Category Code]]&amp;"; "&amp;Q151&amp;AS[[#This Row],[Large Provider Entity Code]]&amp;"; "&amp;R151&amp;AS[[#This Row],[Age Band Code]]&amp;"; "&amp;S151&amp;AS[[#This Row],[Sex Code]]</f>
        <v xml:space="preserve">Insurer Code ; Reporting Year ; Insurance Category Code ; Large Provider Entity Code ; Age Band Code ; Sex Code </v>
      </c>
      <c r="N151" s="345" t="s">
        <v>207</v>
      </c>
      <c r="O151" s="345" t="s">
        <v>208</v>
      </c>
      <c r="P151" s="345" t="s">
        <v>209</v>
      </c>
      <c r="Q151" s="345" t="s">
        <v>210</v>
      </c>
      <c r="R151" s="345" t="s">
        <v>223</v>
      </c>
      <c r="S151" s="345" t="s">
        <v>224</v>
      </c>
    </row>
    <row r="152" spans="1:19" x14ac:dyDescent="0.25">
      <c r="A152" s="311"/>
      <c r="B152" s="312"/>
      <c r="C152" s="312"/>
      <c r="D152" s="312"/>
      <c r="E152" s="312"/>
      <c r="F152" s="312"/>
      <c r="G152" s="328"/>
      <c r="H152" s="337"/>
      <c r="I152" s="334"/>
      <c r="J152" s="314"/>
      <c r="K152" s="449"/>
      <c r="M152" s="349" t="str">
        <f>N152&amp;AS[[#This Row],[Insurer Code]]&amp;"; "&amp;O152&amp;AS[[#This Row],[Reporting Year]]&amp;"; "&amp;P152&amp;AS[[#This Row],[Insurance Category Code]]&amp;"; "&amp;Q152&amp;AS[[#This Row],[Large Provider Entity Code]]&amp;"; "&amp;R152&amp;AS[[#This Row],[Age Band Code]]&amp;"; "&amp;S152&amp;AS[[#This Row],[Sex Code]]</f>
        <v xml:space="preserve">Insurer Code ; Reporting Year ; Insurance Category Code ; Large Provider Entity Code ; Age Band Code ; Sex Code </v>
      </c>
      <c r="N152" s="345" t="s">
        <v>207</v>
      </c>
      <c r="O152" s="345" t="s">
        <v>208</v>
      </c>
      <c r="P152" s="345" t="s">
        <v>209</v>
      </c>
      <c r="Q152" s="345" t="s">
        <v>210</v>
      </c>
      <c r="R152" s="345" t="s">
        <v>223</v>
      </c>
      <c r="S152" s="345" t="s">
        <v>224</v>
      </c>
    </row>
    <row r="153" spans="1:19" x14ac:dyDescent="0.25">
      <c r="A153" s="311"/>
      <c r="B153" s="312"/>
      <c r="C153" s="312"/>
      <c r="D153" s="312"/>
      <c r="E153" s="312"/>
      <c r="F153" s="312"/>
      <c r="G153" s="328"/>
      <c r="H153" s="337"/>
      <c r="I153" s="334"/>
      <c r="J153" s="314"/>
      <c r="K153" s="449"/>
      <c r="M153" s="349" t="str">
        <f>N153&amp;AS[[#This Row],[Insurer Code]]&amp;"; "&amp;O153&amp;AS[[#This Row],[Reporting Year]]&amp;"; "&amp;P153&amp;AS[[#This Row],[Insurance Category Code]]&amp;"; "&amp;Q153&amp;AS[[#This Row],[Large Provider Entity Code]]&amp;"; "&amp;R153&amp;AS[[#This Row],[Age Band Code]]&amp;"; "&amp;S153&amp;AS[[#This Row],[Sex Code]]</f>
        <v xml:space="preserve">Insurer Code ; Reporting Year ; Insurance Category Code ; Large Provider Entity Code ; Age Band Code ; Sex Code </v>
      </c>
      <c r="N153" s="345" t="s">
        <v>207</v>
      </c>
      <c r="O153" s="345" t="s">
        <v>208</v>
      </c>
      <c r="P153" s="345" t="s">
        <v>209</v>
      </c>
      <c r="Q153" s="345" t="s">
        <v>210</v>
      </c>
      <c r="R153" s="345" t="s">
        <v>223</v>
      </c>
      <c r="S153" s="345" t="s">
        <v>224</v>
      </c>
    </row>
    <row r="154" spans="1:19" x14ac:dyDescent="0.25">
      <c r="A154" s="311"/>
      <c r="B154" s="312"/>
      <c r="C154" s="312"/>
      <c r="D154" s="312"/>
      <c r="E154" s="312"/>
      <c r="F154" s="312"/>
      <c r="G154" s="328"/>
      <c r="H154" s="337"/>
      <c r="I154" s="334"/>
      <c r="J154" s="314"/>
      <c r="K154" s="449"/>
      <c r="M154" s="349" t="str">
        <f>N154&amp;AS[[#This Row],[Insurer Code]]&amp;"; "&amp;O154&amp;AS[[#This Row],[Reporting Year]]&amp;"; "&amp;P154&amp;AS[[#This Row],[Insurance Category Code]]&amp;"; "&amp;Q154&amp;AS[[#This Row],[Large Provider Entity Code]]&amp;"; "&amp;R154&amp;AS[[#This Row],[Age Band Code]]&amp;"; "&amp;S154&amp;AS[[#This Row],[Sex Code]]</f>
        <v xml:space="preserve">Insurer Code ; Reporting Year ; Insurance Category Code ; Large Provider Entity Code ; Age Band Code ; Sex Code </v>
      </c>
      <c r="N154" s="345" t="s">
        <v>207</v>
      </c>
      <c r="O154" s="345" t="s">
        <v>208</v>
      </c>
      <c r="P154" s="345" t="s">
        <v>209</v>
      </c>
      <c r="Q154" s="345" t="s">
        <v>210</v>
      </c>
      <c r="R154" s="345" t="s">
        <v>223</v>
      </c>
      <c r="S154" s="345" t="s">
        <v>224</v>
      </c>
    </row>
    <row r="155" spans="1:19" x14ac:dyDescent="0.25">
      <c r="A155" s="311"/>
      <c r="B155" s="312"/>
      <c r="C155" s="312"/>
      <c r="D155" s="312"/>
      <c r="E155" s="312"/>
      <c r="F155" s="312"/>
      <c r="G155" s="328"/>
      <c r="H155" s="337"/>
      <c r="I155" s="334"/>
      <c r="J155" s="314"/>
      <c r="K155" s="449"/>
      <c r="M155" s="349" t="str">
        <f>N155&amp;AS[[#This Row],[Insurer Code]]&amp;"; "&amp;O155&amp;AS[[#This Row],[Reporting Year]]&amp;"; "&amp;P155&amp;AS[[#This Row],[Insurance Category Code]]&amp;"; "&amp;Q155&amp;AS[[#This Row],[Large Provider Entity Code]]&amp;"; "&amp;R155&amp;AS[[#This Row],[Age Band Code]]&amp;"; "&amp;S155&amp;AS[[#This Row],[Sex Code]]</f>
        <v xml:space="preserve">Insurer Code ; Reporting Year ; Insurance Category Code ; Large Provider Entity Code ; Age Band Code ; Sex Code </v>
      </c>
      <c r="N155" s="345" t="s">
        <v>207</v>
      </c>
      <c r="O155" s="345" t="s">
        <v>208</v>
      </c>
      <c r="P155" s="345" t="s">
        <v>209</v>
      </c>
      <c r="Q155" s="345" t="s">
        <v>210</v>
      </c>
      <c r="R155" s="345" t="s">
        <v>223</v>
      </c>
      <c r="S155" s="345" t="s">
        <v>224</v>
      </c>
    </row>
    <row r="156" spans="1:19" x14ac:dyDescent="0.25">
      <c r="A156" s="311"/>
      <c r="B156" s="312"/>
      <c r="C156" s="312"/>
      <c r="D156" s="312"/>
      <c r="E156" s="312"/>
      <c r="F156" s="312"/>
      <c r="G156" s="328"/>
      <c r="H156" s="337"/>
      <c r="I156" s="334"/>
      <c r="J156" s="314"/>
      <c r="K156" s="449"/>
      <c r="M156" s="349" t="str">
        <f>N156&amp;AS[[#This Row],[Insurer Code]]&amp;"; "&amp;O156&amp;AS[[#This Row],[Reporting Year]]&amp;"; "&amp;P156&amp;AS[[#This Row],[Insurance Category Code]]&amp;"; "&amp;Q156&amp;AS[[#This Row],[Large Provider Entity Code]]&amp;"; "&amp;R156&amp;AS[[#This Row],[Age Band Code]]&amp;"; "&amp;S156&amp;AS[[#This Row],[Sex Code]]</f>
        <v xml:space="preserve">Insurer Code ; Reporting Year ; Insurance Category Code ; Large Provider Entity Code ; Age Band Code ; Sex Code </v>
      </c>
      <c r="N156" s="345" t="s">
        <v>207</v>
      </c>
      <c r="O156" s="345" t="s">
        <v>208</v>
      </c>
      <c r="P156" s="345" t="s">
        <v>209</v>
      </c>
      <c r="Q156" s="345" t="s">
        <v>210</v>
      </c>
      <c r="R156" s="345" t="s">
        <v>223</v>
      </c>
      <c r="S156" s="345" t="s">
        <v>224</v>
      </c>
    </row>
    <row r="157" spans="1:19" x14ac:dyDescent="0.25">
      <c r="A157" s="311"/>
      <c r="B157" s="312"/>
      <c r="C157" s="312"/>
      <c r="D157" s="312"/>
      <c r="E157" s="312"/>
      <c r="F157" s="312"/>
      <c r="G157" s="328"/>
      <c r="H157" s="337"/>
      <c r="I157" s="334"/>
      <c r="J157" s="314"/>
      <c r="K157" s="449"/>
      <c r="M157" s="349" t="str">
        <f>N157&amp;AS[[#This Row],[Insurer Code]]&amp;"; "&amp;O157&amp;AS[[#This Row],[Reporting Year]]&amp;"; "&amp;P157&amp;AS[[#This Row],[Insurance Category Code]]&amp;"; "&amp;Q157&amp;AS[[#This Row],[Large Provider Entity Code]]&amp;"; "&amp;R157&amp;AS[[#This Row],[Age Band Code]]&amp;"; "&amp;S157&amp;AS[[#This Row],[Sex Code]]</f>
        <v xml:space="preserve">Insurer Code ; Reporting Year ; Insurance Category Code ; Large Provider Entity Code ; Age Band Code ; Sex Code </v>
      </c>
      <c r="N157" s="345" t="s">
        <v>207</v>
      </c>
      <c r="O157" s="345" t="s">
        <v>208</v>
      </c>
      <c r="P157" s="345" t="s">
        <v>209</v>
      </c>
      <c r="Q157" s="345" t="s">
        <v>210</v>
      </c>
      <c r="R157" s="345" t="s">
        <v>223</v>
      </c>
      <c r="S157" s="345" t="s">
        <v>224</v>
      </c>
    </row>
    <row r="158" spans="1:19" x14ac:dyDescent="0.25">
      <c r="A158" s="311"/>
      <c r="B158" s="312"/>
      <c r="C158" s="312"/>
      <c r="D158" s="312"/>
      <c r="E158" s="312"/>
      <c r="F158" s="312"/>
      <c r="G158" s="328"/>
      <c r="H158" s="337"/>
      <c r="I158" s="334"/>
      <c r="J158" s="314"/>
      <c r="K158" s="449"/>
      <c r="M158" s="349" t="str">
        <f>N158&amp;AS[[#This Row],[Insurer Code]]&amp;"; "&amp;O158&amp;AS[[#This Row],[Reporting Year]]&amp;"; "&amp;P158&amp;AS[[#This Row],[Insurance Category Code]]&amp;"; "&amp;Q158&amp;AS[[#This Row],[Large Provider Entity Code]]&amp;"; "&amp;R158&amp;AS[[#This Row],[Age Band Code]]&amp;"; "&amp;S158&amp;AS[[#This Row],[Sex Code]]</f>
        <v xml:space="preserve">Insurer Code ; Reporting Year ; Insurance Category Code ; Large Provider Entity Code ; Age Band Code ; Sex Code </v>
      </c>
      <c r="N158" s="345" t="s">
        <v>207</v>
      </c>
      <c r="O158" s="345" t="s">
        <v>208</v>
      </c>
      <c r="P158" s="345" t="s">
        <v>209</v>
      </c>
      <c r="Q158" s="345" t="s">
        <v>210</v>
      </c>
      <c r="R158" s="345" t="s">
        <v>223</v>
      </c>
      <c r="S158" s="345" t="s">
        <v>224</v>
      </c>
    </row>
    <row r="159" spans="1:19" x14ac:dyDescent="0.25">
      <c r="A159" s="311"/>
      <c r="B159" s="312"/>
      <c r="C159" s="312"/>
      <c r="D159" s="312"/>
      <c r="E159" s="312"/>
      <c r="F159" s="312"/>
      <c r="G159" s="328"/>
      <c r="H159" s="337"/>
      <c r="I159" s="334"/>
      <c r="J159" s="314"/>
      <c r="K159" s="449"/>
      <c r="M159" s="349" t="str">
        <f>N159&amp;AS[[#This Row],[Insurer Code]]&amp;"; "&amp;O159&amp;AS[[#This Row],[Reporting Year]]&amp;"; "&amp;P159&amp;AS[[#This Row],[Insurance Category Code]]&amp;"; "&amp;Q159&amp;AS[[#This Row],[Large Provider Entity Code]]&amp;"; "&amp;R159&amp;AS[[#This Row],[Age Band Code]]&amp;"; "&amp;S159&amp;AS[[#This Row],[Sex Code]]</f>
        <v xml:space="preserve">Insurer Code ; Reporting Year ; Insurance Category Code ; Large Provider Entity Code ; Age Band Code ; Sex Code </v>
      </c>
      <c r="N159" s="345" t="s">
        <v>207</v>
      </c>
      <c r="O159" s="345" t="s">
        <v>208</v>
      </c>
      <c r="P159" s="345" t="s">
        <v>209</v>
      </c>
      <c r="Q159" s="345" t="s">
        <v>210</v>
      </c>
      <c r="R159" s="345" t="s">
        <v>223</v>
      </c>
      <c r="S159" s="345" t="s">
        <v>224</v>
      </c>
    </row>
    <row r="160" spans="1:19" x14ac:dyDescent="0.25">
      <c r="A160" s="311"/>
      <c r="B160" s="312"/>
      <c r="C160" s="312"/>
      <c r="D160" s="312"/>
      <c r="E160" s="312"/>
      <c r="F160" s="312"/>
      <c r="G160" s="328"/>
      <c r="H160" s="337"/>
      <c r="I160" s="334"/>
      <c r="J160" s="314"/>
      <c r="K160" s="449"/>
      <c r="M160" s="349" t="str">
        <f>N160&amp;AS[[#This Row],[Insurer Code]]&amp;"; "&amp;O160&amp;AS[[#This Row],[Reporting Year]]&amp;"; "&amp;P160&amp;AS[[#This Row],[Insurance Category Code]]&amp;"; "&amp;Q160&amp;AS[[#This Row],[Large Provider Entity Code]]&amp;"; "&amp;R160&amp;AS[[#This Row],[Age Band Code]]&amp;"; "&amp;S160&amp;AS[[#This Row],[Sex Code]]</f>
        <v xml:space="preserve">Insurer Code ; Reporting Year ; Insurance Category Code ; Large Provider Entity Code ; Age Band Code ; Sex Code </v>
      </c>
      <c r="N160" s="345" t="s">
        <v>207</v>
      </c>
      <c r="O160" s="345" t="s">
        <v>208</v>
      </c>
      <c r="P160" s="345" t="s">
        <v>209</v>
      </c>
      <c r="Q160" s="345" t="s">
        <v>210</v>
      </c>
      <c r="R160" s="345" t="s">
        <v>223</v>
      </c>
      <c r="S160" s="345" t="s">
        <v>224</v>
      </c>
    </row>
    <row r="161" spans="1:19" x14ac:dyDescent="0.25">
      <c r="A161" s="311"/>
      <c r="B161" s="312"/>
      <c r="C161" s="312"/>
      <c r="D161" s="312"/>
      <c r="E161" s="312"/>
      <c r="F161" s="312"/>
      <c r="G161" s="328"/>
      <c r="H161" s="337"/>
      <c r="I161" s="334"/>
      <c r="J161" s="314"/>
      <c r="K161" s="449"/>
      <c r="M161" s="349" t="str">
        <f>N161&amp;AS[[#This Row],[Insurer Code]]&amp;"; "&amp;O161&amp;AS[[#This Row],[Reporting Year]]&amp;"; "&amp;P161&amp;AS[[#This Row],[Insurance Category Code]]&amp;"; "&amp;Q161&amp;AS[[#This Row],[Large Provider Entity Code]]&amp;"; "&amp;R161&amp;AS[[#This Row],[Age Band Code]]&amp;"; "&amp;S161&amp;AS[[#This Row],[Sex Code]]</f>
        <v xml:space="preserve">Insurer Code ; Reporting Year ; Insurance Category Code ; Large Provider Entity Code ; Age Band Code ; Sex Code </v>
      </c>
      <c r="N161" s="345" t="s">
        <v>207</v>
      </c>
      <c r="O161" s="345" t="s">
        <v>208</v>
      </c>
      <c r="P161" s="345" t="s">
        <v>209</v>
      </c>
      <c r="Q161" s="345" t="s">
        <v>210</v>
      </c>
      <c r="R161" s="345" t="s">
        <v>223</v>
      </c>
      <c r="S161" s="345" t="s">
        <v>224</v>
      </c>
    </row>
    <row r="162" spans="1:19" x14ac:dyDescent="0.25">
      <c r="A162" s="311"/>
      <c r="B162" s="312"/>
      <c r="C162" s="312"/>
      <c r="D162" s="312"/>
      <c r="E162" s="312"/>
      <c r="F162" s="312"/>
      <c r="G162" s="328"/>
      <c r="H162" s="337"/>
      <c r="I162" s="334"/>
      <c r="J162" s="314"/>
      <c r="K162" s="449"/>
      <c r="M162" s="349" t="str">
        <f>N162&amp;AS[[#This Row],[Insurer Code]]&amp;"; "&amp;O162&amp;AS[[#This Row],[Reporting Year]]&amp;"; "&amp;P162&amp;AS[[#This Row],[Insurance Category Code]]&amp;"; "&amp;Q162&amp;AS[[#This Row],[Large Provider Entity Code]]&amp;"; "&amp;R162&amp;AS[[#This Row],[Age Band Code]]&amp;"; "&amp;S162&amp;AS[[#This Row],[Sex Code]]</f>
        <v xml:space="preserve">Insurer Code ; Reporting Year ; Insurance Category Code ; Large Provider Entity Code ; Age Band Code ; Sex Code </v>
      </c>
      <c r="N162" s="345" t="s">
        <v>207</v>
      </c>
      <c r="O162" s="345" t="s">
        <v>208</v>
      </c>
      <c r="P162" s="345" t="s">
        <v>209</v>
      </c>
      <c r="Q162" s="345" t="s">
        <v>210</v>
      </c>
      <c r="R162" s="345" t="s">
        <v>223</v>
      </c>
      <c r="S162" s="345" t="s">
        <v>224</v>
      </c>
    </row>
    <row r="163" spans="1:19" x14ac:dyDescent="0.25">
      <c r="A163" s="311"/>
      <c r="B163" s="312"/>
      <c r="C163" s="312"/>
      <c r="D163" s="312"/>
      <c r="E163" s="312"/>
      <c r="F163" s="312"/>
      <c r="G163" s="328"/>
      <c r="H163" s="337"/>
      <c r="I163" s="334"/>
      <c r="J163" s="314"/>
      <c r="K163" s="449"/>
      <c r="M163" s="349" t="str">
        <f>N163&amp;AS[[#This Row],[Insurer Code]]&amp;"; "&amp;O163&amp;AS[[#This Row],[Reporting Year]]&amp;"; "&amp;P163&amp;AS[[#This Row],[Insurance Category Code]]&amp;"; "&amp;Q163&amp;AS[[#This Row],[Large Provider Entity Code]]&amp;"; "&amp;R163&amp;AS[[#This Row],[Age Band Code]]&amp;"; "&amp;S163&amp;AS[[#This Row],[Sex Code]]</f>
        <v xml:space="preserve">Insurer Code ; Reporting Year ; Insurance Category Code ; Large Provider Entity Code ; Age Band Code ; Sex Code </v>
      </c>
      <c r="N163" s="345" t="s">
        <v>207</v>
      </c>
      <c r="O163" s="345" t="s">
        <v>208</v>
      </c>
      <c r="P163" s="345" t="s">
        <v>209</v>
      </c>
      <c r="Q163" s="345" t="s">
        <v>210</v>
      </c>
      <c r="R163" s="345" t="s">
        <v>223</v>
      </c>
      <c r="S163" s="345" t="s">
        <v>224</v>
      </c>
    </row>
    <row r="164" spans="1:19" x14ac:dyDescent="0.25">
      <c r="A164" s="311"/>
      <c r="B164" s="312"/>
      <c r="C164" s="312"/>
      <c r="D164" s="312"/>
      <c r="E164" s="312"/>
      <c r="F164" s="312"/>
      <c r="G164" s="328"/>
      <c r="H164" s="337"/>
      <c r="I164" s="334"/>
      <c r="J164" s="314"/>
      <c r="K164" s="449"/>
      <c r="M164" s="349" t="str">
        <f>N164&amp;AS[[#This Row],[Insurer Code]]&amp;"; "&amp;O164&amp;AS[[#This Row],[Reporting Year]]&amp;"; "&amp;P164&amp;AS[[#This Row],[Insurance Category Code]]&amp;"; "&amp;Q164&amp;AS[[#This Row],[Large Provider Entity Code]]&amp;"; "&amp;R164&amp;AS[[#This Row],[Age Band Code]]&amp;"; "&amp;S164&amp;AS[[#This Row],[Sex Code]]</f>
        <v xml:space="preserve">Insurer Code ; Reporting Year ; Insurance Category Code ; Large Provider Entity Code ; Age Band Code ; Sex Code </v>
      </c>
      <c r="N164" s="345" t="s">
        <v>207</v>
      </c>
      <c r="O164" s="345" t="s">
        <v>208</v>
      </c>
      <c r="P164" s="345" t="s">
        <v>209</v>
      </c>
      <c r="Q164" s="345" t="s">
        <v>210</v>
      </c>
      <c r="R164" s="345" t="s">
        <v>223</v>
      </c>
      <c r="S164" s="345" t="s">
        <v>224</v>
      </c>
    </row>
    <row r="165" spans="1:19" x14ac:dyDescent="0.25">
      <c r="A165" s="311"/>
      <c r="B165" s="312"/>
      <c r="C165" s="312"/>
      <c r="D165" s="312"/>
      <c r="E165" s="312"/>
      <c r="F165" s="312"/>
      <c r="G165" s="328"/>
      <c r="H165" s="337"/>
      <c r="I165" s="334"/>
      <c r="J165" s="314"/>
      <c r="K165" s="449"/>
      <c r="M165" s="349" t="str">
        <f>N165&amp;AS[[#This Row],[Insurer Code]]&amp;"; "&amp;O165&amp;AS[[#This Row],[Reporting Year]]&amp;"; "&amp;P165&amp;AS[[#This Row],[Insurance Category Code]]&amp;"; "&amp;Q165&amp;AS[[#This Row],[Large Provider Entity Code]]&amp;"; "&amp;R165&amp;AS[[#This Row],[Age Band Code]]&amp;"; "&amp;S165&amp;AS[[#This Row],[Sex Code]]</f>
        <v xml:space="preserve">Insurer Code ; Reporting Year ; Insurance Category Code ; Large Provider Entity Code ; Age Band Code ; Sex Code </v>
      </c>
      <c r="N165" s="345" t="s">
        <v>207</v>
      </c>
      <c r="O165" s="345" t="s">
        <v>208</v>
      </c>
      <c r="P165" s="345" t="s">
        <v>209</v>
      </c>
      <c r="Q165" s="345" t="s">
        <v>210</v>
      </c>
      <c r="R165" s="345" t="s">
        <v>223</v>
      </c>
      <c r="S165" s="345" t="s">
        <v>224</v>
      </c>
    </row>
    <row r="166" spans="1:19" x14ac:dyDescent="0.25">
      <c r="A166" s="311"/>
      <c r="B166" s="312"/>
      <c r="C166" s="312"/>
      <c r="D166" s="312"/>
      <c r="E166" s="312"/>
      <c r="F166" s="312"/>
      <c r="G166" s="328"/>
      <c r="H166" s="337"/>
      <c r="I166" s="334"/>
      <c r="J166" s="314"/>
      <c r="K166" s="449"/>
      <c r="M166" s="349" t="str">
        <f>N166&amp;AS[[#This Row],[Insurer Code]]&amp;"; "&amp;O166&amp;AS[[#This Row],[Reporting Year]]&amp;"; "&amp;P166&amp;AS[[#This Row],[Insurance Category Code]]&amp;"; "&amp;Q166&amp;AS[[#This Row],[Large Provider Entity Code]]&amp;"; "&amp;R166&amp;AS[[#This Row],[Age Band Code]]&amp;"; "&amp;S166&amp;AS[[#This Row],[Sex Code]]</f>
        <v xml:space="preserve">Insurer Code ; Reporting Year ; Insurance Category Code ; Large Provider Entity Code ; Age Band Code ; Sex Code </v>
      </c>
      <c r="N166" s="345" t="s">
        <v>207</v>
      </c>
      <c r="O166" s="345" t="s">
        <v>208</v>
      </c>
      <c r="P166" s="345" t="s">
        <v>209</v>
      </c>
      <c r="Q166" s="345" t="s">
        <v>210</v>
      </c>
      <c r="R166" s="345" t="s">
        <v>223</v>
      </c>
      <c r="S166" s="345" t="s">
        <v>224</v>
      </c>
    </row>
    <row r="167" spans="1:19" x14ac:dyDescent="0.25">
      <c r="A167" s="311"/>
      <c r="B167" s="312"/>
      <c r="C167" s="312"/>
      <c r="D167" s="312"/>
      <c r="E167" s="312"/>
      <c r="F167" s="312"/>
      <c r="G167" s="328"/>
      <c r="H167" s="337"/>
      <c r="I167" s="334"/>
      <c r="J167" s="314"/>
      <c r="K167" s="449"/>
      <c r="M167" s="349" t="str">
        <f>N167&amp;AS[[#This Row],[Insurer Code]]&amp;"; "&amp;O167&amp;AS[[#This Row],[Reporting Year]]&amp;"; "&amp;P167&amp;AS[[#This Row],[Insurance Category Code]]&amp;"; "&amp;Q167&amp;AS[[#This Row],[Large Provider Entity Code]]&amp;"; "&amp;R167&amp;AS[[#This Row],[Age Band Code]]&amp;"; "&amp;S167&amp;AS[[#This Row],[Sex Code]]</f>
        <v xml:space="preserve">Insurer Code ; Reporting Year ; Insurance Category Code ; Large Provider Entity Code ; Age Band Code ; Sex Code </v>
      </c>
      <c r="N167" s="345" t="s">
        <v>207</v>
      </c>
      <c r="O167" s="345" t="s">
        <v>208</v>
      </c>
      <c r="P167" s="345" t="s">
        <v>209</v>
      </c>
      <c r="Q167" s="345" t="s">
        <v>210</v>
      </c>
      <c r="R167" s="345" t="s">
        <v>223</v>
      </c>
      <c r="S167" s="345" t="s">
        <v>224</v>
      </c>
    </row>
    <row r="168" spans="1:19" x14ac:dyDescent="0.25">
      <c r="A168" s="311"/>
      <c r="B168" s="312"/>
      <c r="C168" s="312"/>
      <c r="D168" s="312"/>
      <c r="E168" s="312"/>
      <c r="F168" s="312"/>
      <c r="G168" s="328"/>
      <c r="H168" s="337"/>
      <c r="I168" s="334"/>
      <c r="J168" s="314"/>
      <c r="K168" s="449"/>
      <c r="M168" s="349" t="str">
        <f>N168&amp;AS[[#This Row],[Insurer Code]]&amp;"; "&amp;O168&amp;AS[[#This Row],[Reporting Year]]&amp;"; "&amp;P168&amp;AS[[#This Row],[Insurance Category Code]]&amp;"; "&amp;Q168&amp;AS[[#This Row],[Large Provider Entity Code]]&amp;"; "&amp;R168&amp;AS[[#This Row],[Age Band Code]]&amp;"; "&amp;S168&amp;AS[[#This Row],[Sex Code]]</f>
        <v xml:space="preserve">Insurer Code ; Reporting Year ; Insurance Category Code ; Large Provider Entity Code ; Age Band Code ; Sex Code </v>
      </c>
      <c r="N168" s="345" t="s">
        <v>207</v>
      </c>
      <c r="O168" s="345" t="s">
        <v>208</v>
      </c>
      <c r="P168" s="345" t="s">
        <v>209</v>
      </c>
      <c r="Q168" s="345" t="s">
        <v>210</v>
      </c>
      <c r="R168" s="345" t="s">
        <v>223</v>
      </c>
      <c r="S168" s="345" t="s">
        <v>224</v>
      </c>
    </row>
    <row r="169" spans="1:19" x14ac:dyDescent="0.25">
      <c r="A169" s="311"/>
      <c r="B169" s="312"/>
      <c r="C169" s="312"/>
      <c r="D169" s="312"/>
      <c r="E169" s="312"/>
      <c r="F169" s="312"/>
      <c r="G169" s="328"/>
      <c r="H169" s="337"/>
      <c r="I169" s="334"/>
      <c r="J169" s="314"/>
      <c r="K169" s="449"/>
      <c r="M169" s="349" t="str">
        <f>N169&amp;AS[[#This Row],[Insurer Code]]&amp;"; "&amp;O169&amp;AS[[#This Row],[Reporting Year]]&amp;"; "&amp;P169&amp;AS[[#This Row],[Insurance Category Code]]&amp;"; "&amp;Q169&amp;AS[[#This Row],[Large Provider Entity Code]]&amp;"; "&amp;R169&amp;AS[[#This Row],[Age Band Code]]&amp;"; "&amp;S169&amp;AS[[#This Row],[Sex Code]]</f>
        <v xml:space="preserve">Insurer Code ; Reporting Year ; Insurance Category Code ; Large Provider Entity Code ; Age Band Code ; Sex Code </v>
      </c>
      <c r="N169" s="345" t="s">
        <v>207</v>
      </c>
      <c r="O169" s="345" t="s">
        <v>208</v>
      </c>
      <c r="P169" s="345" t="s">
        <v>209</v>
      </c>
      <c r="Q169" s="345" t="s">
        <v>210</v>
      </c>
      <c r="R169" s="345" t="s">
        <v>223</v>
      </c>
      <c r="S169" s="345" t="s">
        <v>224</v>
      </c>
    </row>
    <row r="170" spans="1:19" x14ac:dyDescent="0.25">
      <c r="A170" s="311"/>
      <c r="B170" s="312"/>
      <c r="C170" s="312"/>
      <c r="D170" s="312"/>
      <c r="E170" s="312"/>
      <c r="F170" s="312"/>
      <c r="G170" s="328"/>
      <c r="H170" s="337"/>
      <c r="I170" s="334"/>
      <c r="J170" s="314"/>
      <c r="K170" s="449"/>
      <c r="M170" s="349" t="str">
        <f>N170&amp;AS[[#This Row],[Insurer Code]]&amp;"; "&amp;O170&amp;AS[[#This Row],[Reporting Year]]&amp;"; "&amp;P170&amp;AS[[#This Row],[Insurance Category Code]]&amp;"; "&amp;Q170&amp;AS[[#This Row],[Large Provider Entity Code]]&amp;"; "&amp;R170&amp;AS[[#This Row],[Age Band Code]]&amp;"; "&amp;S170&amp;AS[[#This Row],[Sex Code]]</f>
        <v xml:space="preserve">Insurer Code ; Reporting Year ; Insurance Category Code ; Large Provider Entity Code ; Age Band Code ; Sex Code </v>
      </c>
      <c r="N170" s="345" t="s">
        <v>207</v>
      </c>
      <c r="O170" s="345" t="s">
        <v>208</v>
      </c>
      <c r="P170" s="345" t="s">
        <v>209</v>
      </c>
      <c r="Q170" s="345" t="s">
        <v>210</v>
      </c>
      <c r="R170" s="345" t="s">
        <v>223</v>
      </c>
      <c r="S170" s="345" t="s">
        <v>224</v>
      </c>
    </row>
    <row r="171" spans="1:19" x14ac:dyDescent="0.25">
      <c r="A171" s="311"/>
      <c r="B171" s="312"/>
      <c r="C171" s="312"/>
      <c r="D171" s="312"/>
      <c r="E171" s="312"/>
      <c r="F171" s="312"/>
      <c r="G171" s="328"/>
      <c r="H171" s="337"/>
      <c r="I171" s="334"/>
      <c r="J171" s="314"/>
      <c r="K171" s="449"/>
      <c r="M171" s="349" t="str">
        <f>N171&amp;AS[[#This Row],[Insurer Code]]&amp;"; "&amp;O171&amp;AS[[#This Row],[Reporting Year]]&amp;"; "&amp;P171&amp;AS[[#This Row],[Insurance Category Code]]&amp;"; "&amp;Q171&amp;AS[[#This Row],[Large Provider Entity Code]]&amp;"; "&amp;R171&amp;AS[[#This Row],[Age Band Code]]&amp;"; "&amp;S171&amp;AS[[#This Row],[Sex Code]]</f>
        <v xml:space="preserve">Insurer Code ; Reporting Year ; Insurance Category Code ; Large Provider Entity Code ; Age Band Code ; Sex Code </v>
      </c>
      <c r="N171" s="345" t="s">
        <v>207</v>
      </c>
      <c r="O171" s="345" t="s">
        <v>208</v>
      </c>
      <c r="P171" s="345" t="s">
        <v>209</v>
      </c>
      <c r="Q171" s="345" t="s">
        <v>210</v>
      </c>
      <c r="R171" s="345" t="s">
        <v>223</v>
      </c>
      <c r="S171" s="345" t="s">
        <v>224</v>
      </c>
    </row>
    <row r="172" spans="1:19" x14ac:dyDescent="0.25">
      <c r="A172" s="311"/>
      <c r="B172" s="312"/>
      <c r="C172" s="312"/>
      <c r="D172" s="312"/>
      <c r="E172" s="312"/>
      <c r="F172" s="312"/>
      <c r="G172" s="328"/>
      <c r="H172" s="337"/>
      <c r="I172" s="334"/>
      <c r="J172" s="314"/>
      <c r="K172" s="449"/>
      <c r="M172" s="349" t="str">
        <f>N172&amp;AS[[#This Row],[Insurer Code]]&amp;"; "&amp;O172&amp;AS[[#This Row],[Reporting Year]]&amp;"; "&amp;P172&amp;AS[[#This Row],[Insurance Category Code]]&amp;"; "&amp;Q172&amp;AS[[#This Row],[Large Provider Entity Code]]&amp;"; "&amp;R172&amp;AS[[#This Row],[Age Band Code]]&amp;"; "&amp;S172&amp;AS[[#This Row],[Sex Code]]</f>
        <v xml:space="preserve">Insurer Code ; Reporting Year ; Insurance Category Code ; Large Provider Entity Code ; Age Band Code ; Sex Code </v>
      </c>
      <c r="N172" s="345" t="s">
        <v>207</v>
      </c>
      <c r="O172" s="345" t="s">
        <v>208</v>
      </c>
      <c r="P172" s="345" t="s">
        <v>209</v>
      </c>
      <c r="Q172" s="345" t="s">
        <v>210</v>
      </c>
      <c r="R172" s="345" t="s">
        <v>223</v>
      </c>
      <c r="S172" s="345" t="s">
        <v>224</v>
      </c>
    </row>
    <row r="173" spans="1:19" x14ac:dyDescent="0.25">
      <c r="A173" s="311"/>
      <c r="B173" s="312"/>
      <c r="C173" s="312"/>
      <c r="D173" s="312"/>
      <c r="E173" s="312"/>
      <c r="F173" s="312"/>
      <c r="G173" s="328"/>
      <c r="H173" s="337"/>
      <c r="I173" s="334"/>
      <c r="J173" s="314"/>
      <c r="K173" s="449"/>
      <c r="M173" s="349" t="str">
        <f>N173&amp;AS[[#This Row],[Insurer Code]]&amp;"; "&amp;O173&amp;AS[[#This Row],[Reporting Year]]&amp;"; "&amp;P173&amp;AS[[#This Row],[Insurance Category Code]]&amp;"; "&amp;Q173&amp;AS[[#This Row],[Large Provider Entity Code]]&amp;"; "&amp;R173&amp;AS[[#This Row],[Age Band Code]]&amp;"; "&amp;S173&amp;AS[[#This Row],[Sex Code]]</f>
        <v xml:space="preserve">Insurer Code ; Reporting Year ; Insurance Category Code ; Large Provider Entity Code ; Age Band Code ; Sex Code </v>
      </c>
      <c r="N173" s="345" t="s">
        <v>207</v>
      </c>
      <c r="O173" s="345" t="s">
        <v>208</v>
      </c>
      <c r="P173" s="345" t="s">
        <v>209</v>
      </c>
      <c r="Q173" s="345" t="s">
        <v>210</v>
      </c>
      <c r="R173" s="345" t="s">
        <v>223</v>
      </c>
      <c r="S173" s="345" t="s">
        <v>224</v>
      </c>
    </row>
    <row r="174" spans="1:19" x14ac:dyDescent="0.25">
      <c r="A174" s="311"/>
      <c r="B174" s="312"/>
      <c r="C174" s="312"/>
      <c r="D174" s="312"/>
      <c r="E174" s="312"/>
      <c r="F174" s="312"/>
      <c r="G174" s="328"/>
      <c r="H174" s="337"/>
      <c r="I174" s="334"/>
      <c r="J174" s="314"/>
      <c r="K174" s="449"/>
      <c r="M174" s="349" t="str">
        <f>N174&amp;AS[[#This Row],[Insurer Code]]&amp;"; "&amp;O174&amp;AS[[#This Row],[Reporting Year]]&amp;"; "&amp;P174&amp;AS[[#This Row],[Insurance Category Code]]&amp;"; "&amp;Q174&amp;AS[[#This Row],[Large Provider Entity Code]]&amp;"; "&amp;R174&amp;AS[[#This Row],[Age Band Code]]&amp;"; "&amp;S174&amp;AS[[#This Row],[Sex Code]]</f>
        <v xml:space="preserve">Insurer Code ; Reporting Year ; Insurance Category Code ; Large Provider Entity Code ; Age Band Code ; Sex Code </v>
      </c>
      <c r="N174" s="345" t="s">
        <v>207</v>
      </c>
      <c r="O174" s="345" t="s">
        <v>208</v>
      </c>
      <c r="P174" s="345" t="s">
        <v>209</v>
      </c>
      <c r="Q174" s="345" t="s">
        <v>210</v>
      </c>
      <c r="R174" s="345" t="s">
        <v>223</v>
      </c>
      <c r="S174" s="345" t="s">
        <v>224</v>
      </c>
    </row>
    <row r="175" spans="1:19" x14ac:dyDescent="0.25">
      <c r="A175" s="311"/>
      <c r="B175" s="312"/>
      <c r="C175" s="312"/>
      <c r="D175" s="312"/>
      <c r="E175" s="312"/>
      <c r="F175" s="312"/>
      <c r="G175" s="328"/>
      <c r="H175" s="337"/>
      <c r="I175" s="334"/>
      <c r="J175" s="314"/>
      <c r="K175" s="449"/>
      <c r="M175" s="349" t="str">
        <f>N175&amp;AS[[#This Row],[Insurer Code]]&amp;"; "&amp;O175&amp;AS[[#This Row],[Reporting Year]]&amp;"; "&amp;P175&amp;AS[[#This Row],[Insurance Category Code]]&amp;"; "&amp;Q175&amp;AS[[#This Row],[Large Provider Entity Code]]&amp;"; "&amp;R175&amp;AS[[#This Row],[Age Band Code]]&amp;"; "&amp;S175&amp;AS[[#This Row],[Sex Code]]</f>
        <v xml:space="preserve">Insurer Code ; Reporting Year ; Insurance Category Code ; Large Provider Entity Code ; Age Band Code ; Sex Code </v>
      </c>
      <c r="N175" s="345" t="s">
        <v>207</v>
      </c>
      <c r="O175" s="345" t="s">
        <v>208</v>
      </c>
      <c r="P175" s="345" t="s">
        <v>209</v>
      </c>
      <c r="Q175" s="345" t="s">
        <v>210</v>
      </c>
      <c r="R175" s="345" t="s">
        <v>223</v>
      </c>
      <c r="S175" s="345" t="s">
        <v>224</v>
      </c>
    </row>
    <row r="176" spans="1:19" x14ac:dyDescent="0.25">
      <c r="A176" s="311"/>
      <c r="B176" s="312"/>
      <c r="C176" s="312"/>
      <c r="D176" s="312"/>
      <c r="E176" s="312"/>
      <c r="F176" s="312"/>
      <c r="G176" s="328"/>
      <c r="H176" s="337"/>
      <c r="I176" s="334"/>
      <c r="J176" s="314"/>
      <c r="K176" s="449"/>
      <c r="M176" s="349" t="str">
        <f>N176&amp;AS[[#This Row],[Insurer Code]]&amp;"; "&amp;O176&amp;AS[[#This Row],[Reporting Year]]&amp;"; "&amp;P176&amp;AS[[#This Row],[Insurance Category Code]]&amp;"; "&amp;Q176&amp;AS[[#This Row],[Large Provider Entity Code]]&amp;"; "&amp;R176&amp;AS[[#This Row],[Age Band Code]]&amp;"; "&amp;S176&amp;AS[[#This Row],[Sex Code]]</f>
        <v xml:space="preserve">Insurer Code ; Reporting Year ; Insurance Category Code ; Large Provider Entity Code ; Age Band Code ; Sex Code </v>
      </c>
      <c r="N176" s="345" t="s">
        <v>207</v>
      </c>
      <c r="O176" s="345" t="s">
        <v>208</v>
      </c>
      <c r="P176" s="345" t="s">
        <v>209</v>
      </c>
      <c r="Q176" s="345" t="s">
        <v>210</v>
      </c>
      <c r="R176" s="345" t="s">
        <v>223</v>
      </c>
      <c r="S176" s="345" t="s">
        <v>224</v>
      </c>
    </row>
    <row r="177" spans="1:19" x14ac:dyDescent="0.25">
      <c r="A177" s="311"/>
      <c r="B177" s="312"/>
      <c r="C177" s="312"/>
      <c r="D177" s="312"/>
      <c r="E177" s="312"/>
      <c r="F177" s="312"/>
      <c r="G177" s="328"/>
      <c r="H177" s="337"/>
      <c r="I177" s="334"/>
      <c r="J177" s="314"/>
      <c r="K177" s="449"/>
      <c r="M177" s="349" t="str">
        <f>N177&amp;AS[[#This Row],[Insurer Code]]&amp;"; "&amp;O177&amp;AS[[#This Row],[Reporting Year]]&amp;"; "&amp;P177&amp;AS[[#This Row],[Insurance Category Code]]&amp;"; "&amp;Q177&amp;AS[[#This Row],[Large Provider Entity Code]]&amp;"; "&amp;R177&amp;AS[[#This Row],[Age Band Code]]&amp;"; "&amp;S177&amp;AS[[#This Row],[Sex Code]]</f>
        <v xml:space="preserve">Insurer Code ; Reporting Year ; Insurance Category Code ; Large Provider Entity Code ; Age Band Code ; Sex Code </v>
      </c>
      <c r="N177" s="345" t="s">
        <v>207</v>
      </c>
      <c r="O177" s="345" t="s">
        <v>208</v>
      </c>
      <c r="P177" s="345" t="s">
        <v>209</v>
      </c>
      <c r="Q177" s="345" t="s">
        <v>210</v>
      </c>
      <c r="R177" s="345" t="s">
        <v>223</v>
      </c>
      <c r="S177" s="345" t="s">
        <v>224</v>
      </c>
    </row>
    <row r="178" spans="1:19" x14ac:dyDescent="0.25">
      <c r="A178" s="311"/>
      <c r="B178" s="312"/>
      <c r="C178" s="312"/>
      <c r="D178" s="312"/>
      <c r="E178" s="312"/>
      <c r="F178" s="312"/>
      <c r="G178" s="328"/>
      <c r="H178" s="337"/>
      <c r="I178" s="334"/>
      <c r="J178" s="314"/>
      <c r="K178" s="449"/>
      <c r="M178" s="349" t="str">
        <f>N178&amp;AS[[#This Row],[Insurer Code]]&amp;"; "&amp;O178&amp;AS[[#This Row],[Reporting Year]]&amp;"; "&amp;P178&amp;AS[[#This Row],[Insurance Category Code]]&amp;"; "&amp;Q178&amp;AS[[#This Row],[Large Provider Entity Code]]&amp;"; "&amp;R178&amp;AS[[#This Row],[Age Band Code]]&amp;"; "&amp;S178&amp;AS[[#This Row],[Sex Code]]</f>
        <v xml:space="preserve">Insurer Code ; Reporting Year ; Insurance Category Code ; Large Provider Entity Code ; Age Band Code ; Sex Code </v>
      </c>
      <c r="N178" s="345" t="s">
        <v>207</v>
      </c>
      <c r="O178" s="345" t="s">
        <v>208</v>
      </c>
      <c r="P178" s="345" t="s">
        <v>209</v>
      </c>
      <c r="Q178" s="345" t="s">
        <v>210</v>
      </c>
      <c r="R178" s="345" t="s">
        <v>223</v>
      </c>
      <c r="S178" s="345" t="s">
        <v>224</v>
      </c>
    </row>
    <row r="179" spans="1:19" x14ac:dyDescent="0.25">
      <c r="A179" s="311"/>
      <c r="B179" s="312"/>
      <c r="C179" s="312"/>
      <c r="D179" s="312"/>
      <c r="E179" s="312"/>
      <c r="F179" s="312"/>
      <c r="G179" s="328"/>
      <c r="H179" s="337"/>
      <c r="I179" s="334"/>
      <c r="J179" s="314"/>
      <c r="K179" s="449"/>
      <c r="M179" s="349" t="str">
        <f>N179&amp;AS[[#This Row],[Insurer Code]]&amp;"; "&amp;O179&amp;AS[[#This Row],[Reporting Year]]&amp;"; "&amp;P179&amp;AS[[#This Row],[Insurance Category Code]]&amp;"; "&amp;Q179&amp;AS[[#This Row],[Large Provider Entity Code]]&amp;"; "&amp;R179&amp;AS[[#This Row],[Age Band Code]]&amp;"; "&amp;S179&amp;AS[[#This Row],[Sex Code]]</f>
        <v xml:space="preserve">Insurer Code ; Reporting Year ; Insurance Category Code ; Large Provider Entity Code ; Age Band Code ; Sex Code </v>
      </c>
      <c r="N179" s="345" t="s">
        <v>207</v>
      </c>
      <c r="O179" s="345" t="s">
        <v>208</v>
      </c>
      <c r="P179" s="345" t="s">
        <v>209</v>
      </c>
      <c r="Q179" s="345" t="s">
        <v>210</v>
      </c>
      <c r="R179" s="345" t="s">
        <v>223</v>
      </c>
      <c r="S179" s="345" t="s">
        <v>224</v>
      </c>
    </row>
    <row r="180" spans="1:19" x14ac:dyDescent="0.25">
      <c r="A180" s="311"/>
      <c r="B180" s="312"/>
      <c r="C180" s="312"/>
      <c r="D180" s="312"/>
      <c r="E180" s="312"/>
      <c r="F180" s="312"/>
      <c r="G180" s="328"/>
      <c r="H180" s="337"/>
      <c r="I180" s="334"/>
      <c r="J180" s="314"/>
      <c r="K180" s="449"/>
      <c r="M180" s="349" t="str">
        <f>N180&amp;AS[[#This Row],[Insurer Code]]&amp;"; "&amp;O180&amp;AS[[#This Row],[Reporting Year]]&amp;"; "&amp;P180&amp;AS[[#This Row],[Insurance Category Code]]&amp;"; "&amp;Q180&amp;AS[[#This Row],[Large Provider Entity Code]]&amp;"; "&amp;R180&amp;AS[[#This Row],[Age Band Code]]&amp;"; "&amp;S180&amp;AS[[#This Row],[Sex Code]]</f>
        <v xml:space="preserve">Insurer Code ; Reporting Year ; Insurance Category Code ; Large Provider Entity Code ; Age Band Code ; Sex Code </v>
      </c>
      <c r="N180" s="345" t="s">
        <v>207</v>
      </c>
      <c r="O180" s="345" t="s">
        <v>208</v>
      </c>
      <c r="P180" s="345" t="s">
        <v>209</v>
      </c>
      <c r="Q180" s="345" t="s">
        <v>210</v>
      </c>
      <c r="R180" s="345" t="s">
        <v>223</v>
      </c>
      <c r="S180" s="345" t="s">
        <v>224</v>
      </c>
    </row>
    <row r="181" spans="1:19" x14ac:dyDescent="0.25">
      <c r="A181" s="311"/>
      <c r="B181" s="312"/>
      <c r="C181" s="312"/>
      <c r="D181" s="312"/>
      <c r="E181" s="312"/>
      <c r="F181" s="312"/>
      <c r="G181" s="328"/>
      <c r="H181" s="337"/>
      <c r="I181" s="334"/>
      <c r="J181" s="314"/>
      <c r="K181" s="449"/>
      <c r="M181" s="349" t="str">
        <f>N181&amp;AS[[#This Row],[Insurer Code]]&amp;"; "&amp;O181&amp;AS[[#This Row],[Reporting Year]]&amp;"; "&amp;P181&amp;AS[[#This Row],[Insurance Category Code]]&amp;"; "&amp;Q181&amp;AS[[#This Row],[Large Provider Entity Code]]&amp;"; "&amp;R181&amp;AS[[#This Row],[Age Band Code]]&amp;"; "&amp;S181&amp;AS[[#This Row],[Sex Code]]</f>
        <v xml:space="preserve">Insurer Code ; Reporting Year ; Insurance Category Code ; Large Provider Entity Code ; Age Band Code ; Sex Code </v>
      </c>
      <c r="N181" s="345" t="s">
        <v>207</v>
      </c>
      <c r="O181" s="345" t="s">
        <v>208</v>
      </c>
      <c r="P181" s="345" t="s">
        <v>209</v>
      </c>
      <c r="Q181" s="345" t="s">
        <v>210</v>
      </c>
      <c r="R181" s="345" t="s">
        <v>223</v>
      </c>
      <c r="S181" s="345" t="s">
        <v>224</v>
      </c>
    </row>
    <row r="182" spans="1:19" x14ac:dyDescent="0.25">
      <c r="A182" s="311"/>
      <c r="B182" s="312"/>
      <c r="C182" s="312"/>
      <c r="D182" s="312"/>
      <c r="E182" s="312"/>
      <c r="F182" s="312"/>
      <c r="G182" s="328"/>
      <c r="H182" s="337"/>
      <c r="I182" s="334"/>
      <c r="J182" s="314"/>
      <c r="K182" s="449"/>
      <c r="M182" s="349" t="str">
        <f>N182&amp;AS[[#This Row],[Insurer Code]]&amp;"; "&amp;O182&amp;AS[[#This Row],[Reporting Year]]&amp;"; "&amp;P182&amp;AS[[#This Row],[Insurance Category Code]]&amp;"; "&amp;Q182&amp;AS[[#This Row],[Large Provider Entity Code]]&amp;"; "&amp;R182&amp;AS[[#This Row],[Age Band Code]]&amp;"; "&amp;S182&amp;AS[[#This Row],[Sex Code]]</f>
        <v xml:space="preserve">Insurer Code ; Reporting Year ; Insurance Category Code ; Large Provider Entity Code ; Age Band Code ; Sex Code </v>
      </c>
      <c r="N182" s="345" t="s">
        <v>207</v>
      </c>
      <c r="O182" s="345" t="s">
        <v>208</v>
      </c>
      <c r="P182" s="345" t="s">
        <v>209</v>
      </c>
      <c r="Q182" s="345" t="s">
        <v>210</v>
      </c>
      <c r="R182" s="345" t="s">
        <v>223</v>
      </c>
      <c r="S182" s="345" t="s">
        <v>224</v>
      </c>
    </row>
    <row r="183" spans="1:19" x14ac:dyDescent="0.25">
      <c r="A183" s="311"/>
      <c r="B183" s="312"/>
      <c r="C183" s="312"/>
      <c r="D183" s="312"/>
      <c r="E183" s="312"/>
      <c r="F183" s="312"/>
      <c r="G183" s="328"/>
      <c r="H183" s="337"/>
      <c r="I183" s="334"/>
      <c r="J183" s="314"/>
      <c r="K183" s="449"/>
      <c r="M183" s="349" t="str">
        <f>N183&amp;AS[[#This Row],[Insurer Code]]&amp;"; "&amp;O183&amp;AS[[#This Row],[Reporting Year]]&amp;"; "&amp;P183&amp;AS[[#This Row],[Insurance Category Code]]&amp;"; "&amp;Q183&amp;AS[[#This Row],[Large Provider Entity Code]]&amp;"; "&amp;R183&amp;AS[[#This Row],[Age Band Code]]&amp;"; "&amp;S183&amp;AS[[#This Row],[Sex Code]]</f>
        <v xml:space="preserve">Insurer Code ; Reporting Year ; Insurance Category Code ; Large Provider Entity Code ; Age Band Code ; Sex Code </v>
      </c>
      <c r="N183" s="345" t="s">
        <v>207</v>
      </c>
      <c r="O183" s="345" t="s">
        <v>208</v>
      </c>
      <c r="P183" s="345" t="s">
        <v>209</v>
      </c>
      <c r="Q183" s="345" t="s">
        <v>210</v>
      </c>
      <c r="R183" s="345" t="s">
        <v>223</v>
      </c>
      <c r="S183" s="345" t="s">
        <v>224</v>
      </c>
    </row>
    <row r="184" spans="1:19" x14ac:dyDescent="0.25">
      <c r="A184" s="311"/>
      <c r="B184" s="312"/>
      <c r="C184" s="312"/>
      <c r="D184" s="312"/>
      <c r="E184" s="312"/>
      <c r="F184" s="312"/>
      <c r="G184" s="328"/>
      <c r="H184" s="337"/>
      <c r="I184" s="334"/>
      <c r="J184" s="314"/>
      <c r="K184" s="449"/>
      <c r="M184" s="349" t="str">
        <f>N184&amp;AS[[#This Row],[Insurer Code]]&amp;"; "&amp;O184&amp;AS[[#This Row],[Reporting Year]]&amp;"; "&amp;P184&amp;AS[[#This Row],[Insurance Category Code]]&amp;"; "&amp;Q184&amp;AS[[#This Row],[Large Provider Entity Code]]&amp;"; "&amp;R184&amp;AS[[#This Row],[Age Band Code]]&amp;"; "&amp;S184&amp;AS[[#This Row],[Sex Code]]</f>
        <v xml:space="preserve">Insurer Code ; Reporting Year ; Insurance Category Code ; Large Provider Entity Code ; Age Band Code ; Sex Code </v>
      </c>
      <c r="N184" s="345" t="s">
        <v>207</v>
      </c>
      <c r="O184" s="345" t="s">
        <v>208</v>
      </c>
      <c r="P184" s="345" t="s">
        <v>209</v>
      </c>
      <c r="Q184" s="345" t="s">
        <v>210</v>
      </c>
      <c r="R184" s="345" t="s">
        <v>223</v>
      </c>
      <c r="S184" s="345" t="s">
        <v>224</v>
      </c>
    </row>
    <row r="185" spans="1:19" x14ac:dyDescent="0.25">
      <c r="A185" s="311"/>
      <c r="B185" s="312"/>
      <c r="C185" s="312"/>
      <c r="D185" s="312"/>
      <c r="E185" s="312"/>
      <c r="F185" s="312"/>
      <c r="G185" s="328"/>
      <c r="H185" s="337"/>
      <c r="I185" s="334"/>
      <c r="J185" s="314"/>
      <c r="K185" s="449"/>
      <c r="M185" s="349" t="str">
        <f>N185&amp;AS[[#This Row],[Insurer Code]]&amp;"; "&amp;O185&amp;AS[[#This Row],[Reporting Year]]&amp;"; "&amp;P185&amp;AS[[#This Row],[Insurance Category Code]]&amp;"; "&amp;Q185&amp;AS[[#This Row],[Large Provider Entity Code]]&amp;"; "&amp;R185&amp;AS[[#This Row],[Age Band Code]]&amp;"; "&amp;S185&amp;AS[[#This Row],[Sex Code]]</f>
        <v xml:space="preserve">Insurer Code ; Reporting Year ; Insurance Category Code ; Large Provider Entity Code ; Age Band Code ; Sex Code </v>
      </c>
      <c r="N185" s="345" t="s">
        <v>207</v>
      </c>
      <c r="O185" s="345" t="s">
        <v>208</v>
      </c>
      <c r="P185" s="345" t="s">
        <v>209</v>
      </c>
      <c r="Q185" s="345" t="s">
        <v>210</v>
      </c>
      <c r="R185" s="345" t="s">
        <v>223</v>
      </c>
      <c r="S185" s="345" t="s">
        <v>224</v>
      </c>
    </row>
    <row r="186" spans="1:19" x14ac:dyDescent="0.25">
      <c r="A186" s="311"/>
      <c r="B186" s="312"/>
      <c r="C186" s="312"/>
      <c r="D186" s="312"/>
      <c r="E186" s="312"/>
      <c r="F186" s="312"/>
      <c r="G186" s="328"/>
      <c r="H186" s="337"/>
      <c r="I186" s="334"/>
      <c r="J186" s="314"/>
      <c r="K186" s="449"/>
      <c r="M186" s="349" t="str">
        <f>N186&amp;AS[[#This Row],[Insurer Code]]&amp;"; "&amp;O186&amp;AS[[#This Row],[Reporting Year]]&amp;"; "&amp;P186&amp;AS[[#This Row],[Insurance Category Code]]&amp;"; "&amp;Q186&amp;AS[[#This Row],[Large Provider Entity Code]]&amp;"; "&amp;R186&amp;AS[[#This Row],[Age Band Code]]&amp;"; "&amp;S186&amp;AS[[#This Row],[Sex Code]]</f>
        <v xml:space="preserve">Insurer Code ; Reporting Year ; Insurance Category Code ; Large Provider Entity Code ; Age Band Code ; Sex Code </v>
      </c>
      <c r="N186" s="345" t="s">
        <v>207</v>
      </c>
      <c r="O186" s="345" t="s">
        <v>208</v>
      </c>
      <c r="P186" s="345" t="s">
        <v>209</v>
      </c>
      <c r="Q186" s="345" t="s">
        <v>210</v>
      </c>
      <c r="R186" s="345" t="s">
        <v>223</v>
      </c>
      <c r="S186" s="345" t="s">
        <v>224</v>
      </c>
    </row>
    <row r="187" spans="1:19" x14ac:dyDescent="0.25">
      <c r="A187" s="311"/>
      <c r="B187" s="312"/>
      <c r="C187" s="312"/>
      <c r="D187" s="312"/>
      <c r="E187" s="312"/>
      <c r="F187" s="312"/>
      <c r="G187" s="328"/>
      <c r="H187" s="337"/>
      <c r="I187" s="334"/>
      <c r="J187" s="314"/>
      <c r="K187" s="449"/>
      <c r="M187" s="349" t="str">
        <f>N187&amp;AS[[#This Row],[Insurer Code]]&amp;"; "&amp;O187&amp;AS[[#This Row],[Reporting Year]]&amp;"; "&amp;P187&amp;AS[[#This Row],[Insurance Category Code]]&amp;"; "&amp;Q187&amp;AS[[#This Row],[Large Provider Entity Code]]&amp;"; "&amp;R187&amp;AS[[#This Row],[Age Band Code]]&amp;"; "&amp;S187&amp;AS[[#This Row],[Sex Code]]</f>
        <v xml:space="preserve">Insurer Code ; Reporting Year ; Insurance Category Code ; Large Provider Entity Code ; Age Band Code ; Sex Code </v>
      </c>
      <c r="N187" s="345" t="s">
        <v>207</v>
      </c>
      <c r="O187" s="345" t="s">
        <v>208</v>
      </c>
      <c r="P187" s="345" t="s">
        <v>209</v>
      </c>
      <c r="Q187" s="345" t="s">
        <v>210</v>
      </c>
      <c r="R187" s="345" t="s">
        <v>223</v>
      </c>
      <c r="S187" s="345" t="s">
        <v>224</v>
      </c>
    </row>
    <row r="188" spans="1:19" x14ac:dyDescent="0.25">
      <c r="A188" s="311"/>
      <c r="B188" s="312"/>
      <c r="C188" s="312"/>
      <c r="D188" s="312"/>
      <c r="E188" s="312"/>
      <c r="F188" s="312"/>
      <c r="G188" s="328"/>
      <c r="H188" s="337"/>
      <c r="I188" s="334"/>
      <c r="J188" s="314"/>
      <c r="K188" s="449"/>
      <c r="M188" s="349" t="str">
        <f>N188&amp;AS[[#This Row],[Insurer Code]]&amp;"; "&amp;O188&amp;AS[[#This Row],[Reporting Year]]&amp;"; "&amp;P188&amp;AS[[#This Row],[Insurance Category Code]]&amp;"; "&amp;Q188&amp;AS[[#This Row],[Large Provider Entity Code]]&amp;"; "&amp;R188&amp;AS[[#This Row],[Age Band Code]]&amp;"; "&amp;S188&amp;AS[[#This Row],[Sex Code]]</f>
        <v xml:space="preserve">Insurer Code ; Reporting Year ; Insurance Category Code ; Large Provider Entity Code ; Age Band Code ; Sex Code </v>
      </c>
      <c r="N188" s="345" t="s">
        <v>207</v>
      </c>
      <c r="O188" s="345" t="s">
        <v>208</v>
      </c>
      <c r="P188" s="345" t="s">
        <v>209</v>
      </c>
      <c r="Q188" s="345" t="s">
        <v>210</v>
      </c>
      <c r="R188" s="345" t="s">
        <v>223</v>
      </c>
      <c r="S188" s="345" t="s">
        <v>224</v>
      </c>
    </row>
    <row r="189" spans="1:19" x14ac:dyDescent="0.25">
      <c r="A189" s="311"/>
      <c r="B189" s="312"/>
      <c r="C189" s="312"/>
      <c r="D189" s="312"/>
      <c r="E189" s="312"/>
      <c r="F189" s="312"/>
      <c r="G189" s="328"/>
      <c r="H189" s="337"/>
      <c r="I189" s="334"/>
      <c r="J189" s="314"/>
      <c r="K189" s="449"/>
      <c r="M189" s="349" t="str">
        <f>N189&amp;AS[[#This Row],[Insurer Code]]&amp;"; "&amp;O189&amp;AS[[#This Row],[Reporting Year]]&amp;"; "&amp;P189&amp;AS[[#This Row],[Insurance Category Code]]&amp;"; "&amp;Q189&amp;AS[[#This Row],[Large Provider Entity Code]]&amp;"; "&amp;R189&amp;AS[[#This Row],[Age Band Code]]&amp;"; "&amp;S189&amp;AS[[#This Row],[Sex Code]]</f>
        <v xml:space="preserve">Insurer Code ; Reporting Year ; Insurance Category Code ; Large Provider Entity Code ; Age Band Code ; Sex Code </v>
      </c>
      <c r="N189" s="345" t="s">
        <v>207</v>
      </c>
      <c r="O189" s="345" t="s">
        <v>208</v>
      </c>
      <c r="P189" s="345" t="s">
        <v>209</v>
      </c>
      <c r="Q189" s="345" t="s">
        <v>210</v>
      </c>
      <c r="R189" s="345" t="s">
        <v>223</v>
      </c>
      <c r="S189" s="345" t="s">
        <v>224</v>
      </c>
    </row>
    <row r="190" spans="1:19" x14ac:dyDescent="0.25">
      <c r="A190" s="311"/>
      <c r="B190" s="312"/>
      <c r="C190" s="312"/>
      <c r="D190" s="312"/>
      <c r="E190" s="312"/>
      <c r="F190" s="312"/>
      <c r="G190" s="328"/>
      <c r="H190" s="337"/>
      <c r="I190" s="334"/>
      <c r="J190" s="314"/>
      <c r="K190" s="449"/>
      <c r="M190" s="349" t="str">
        <f>N190&amp;AS[[#This Row],[Insurer Code]]&amp;"; "&amp;O190&amp;AS[[#This Row],[Reporting Year]]&amp;"; "&amp;P190&amp;AS[[#This Row],[Insurance Category Code]]&amp;"; "&amp;Q190&amp;AS[[#This Row],[Large Provider Entity Code]]&amp;"; "&amp;R190&amp;AS[[#This Row],[Age Band Code]]&amp;"; "&amp;S190&amp;AS[[#This Row],[Sex Code]]</f>
        <v xml:space="preserve">Insurer Code ; Reporting Year ; Insurance Category Code ; Large Provider Entity Code ; Age Band Code ; Sex Code </v>
      </c>
      <c r="N190" s="345" t="s">
        <v>207</v>
      </c>
      <c r="O190" s="345" t="s">
        <v>208</v>
      </c>
      <c r="P190" s="345" t="s">
        <v>209</v>
      </c>
      <c r="Q190" s="345" t="s">
        <v>210</v>
      </c>
      <c r="R190" s="345" t="s">
        <v>223</v>
      </c>
      <c r="S190" s="345" t="s">
        <v>224</v>
      </c>
    </row>
    <row r="191" spans="1:19" x14ac:dyDescent="0.25">
      <c r="A191" s="311"/>
      <c r="B191" s="312"/>
      <c r="C191" s="312"/>
      <c r="D191" s="312"/>
      <c r="E191" s="312"/>
      <c r="F191" s="312"/>
      <c r="G191" s="328"/>
      <c r="H191" s="337"/>
      <c r="I191" s="334"/>
      <c r="J191" s="314"/>
      <c r="K191" s="449"/>
      <c r="M191" s="349" t="str">
        <f>N191&amp;AS[[#This Row],[Insurer Code]]&amp;"; "&amp;O191&amp;AS[[#This Row],[Reporting Year]]&amp;"; "&amp;P191&amp;AS[[#This Row],[Insurance Category Code]]&amp;"; "&amp;Q191&amp;AS[[#This Row],[Large Provider Entity Code]]&amp;"; "&amp;R191&amp;AS[[#This Row],[Age Band Code]]&amp;"; "&amp;S191&amp;AS[[#This Row],[Sex Code]]</f>
        <v xml:space="preserve">Insurer Code ; Reporting Year ; Insurance Category Code ; Large Provider Entity Code ; Age Band Code ; Sex Code </v>
      </c>
      <c r="N191" s="345" t="s">
        <v>207</v>
      </c>
      <c r="O191" s="345" t="s">
        <v>208</v>
      </c>
      <c r="P191" s="345" t="s">
        <v>209</v>
      </c>
      <c r="Q191" s="345" t="s">
        <v>210</v>
      </c>
      <c r="R191" s="345" t="s">
        <v>223</v>
      </c>
      <c r="S191" s="345" t="s">
        <v>224</v>
      </c>
    </row>
    <row r="192" spans="1:19" x14ac:dyDescent="0.25">
      <c r="A192" s="311"/>
      <c r="B192" s="312"/>
      <c r="C192" s="312"/>
      <c r="D192" s="312"/>
      <c r="E192" s="312"/>
      <c r="F192" s="312"/>
      <c r="G192" s="328"/>
      <c r="H192" s="337"/>
      <c r="I192" s="334"/>
      <c r="J192" s="314"/>
      <c r="K192" s="449"/>
      <c r="M192" s="349" t="str">
        <f>N192&amp;AS[[#This Row],[Insurer Code]]&amp;"; "&amp;O192&amp;AS[[#This Row],[Reporting Year]]&amp;"; "&amp;P192&amp;AS[[#This Row],[Insurance Category Code]]&amp;"; "&amp;Q192&amp;AS[[#This Row],[Large Provider Entity Code]]&amp;"; "&amp;R192&amp;AS[[#This Row],[Age Band Code]]&amp;"; "&amp;S192&amp;AS[[#This Row],[Sex Code]]</f>
        <v xml:space="preserve">Insurer Code ; Reporting Year ; Insurance Category Code ; Large Provider Entity Code ; Age Band Code ; Sex Code </v>
      </c>
      <c r="N192" s="345" t="s">
        <v>207</v>
      </c>
      <c r="O192" s="345" t="s">
        <v>208</v>
      </c>
      <c r="P192" s="345" t="s">
        <v>209</v>
      </c>
      <c r="Q192" s="345" t="s">
        <v>210</v>
      </c>
      <c r="R192" s="345" t="s">
        <v>223</v>
      </c>
      <c r="S192" s="345" t="s">
        <v>224</v>
      </c>
    </row>
    <row r="193" spans="1:19" x14ac:dyDescent="0.25">
      <c r="A193" s="311"/>
      <c r="B193" s="312"/>
      <c r="C193" s="312"/>
      <c r="D193" s="312"/>
      <c r="E193" s="312"/>
      <c r="F193" s="312"/>
      <c r="G193" s="328"/>
      <c r="H193" s="337"/>
      <c r="I193" s="334"/>
      <c r="J193" s="314"/>
      <c r="K193" s="449"/>
      <c r="M193" s="349" t="str">
        <f>N193&amp;AS[[#This Row],[Insurer Code]]&amp;"; "&amp;O193&amp;AS[[#This Row],[Reporting Year]]&amp;"; "&amp;P193&amp;AS[[#This Row],[Insurance Category Code]]&amp;"; "&amp;Q193&amp;AS[[#This Row],[Large Provider Entity Code]]&amp;"; "&amp;R193&amp;AS[[#This Row],[Age Band Code]]&amp;"; "&amp;S193&amp;AS[[#This Row],[Sex Code]]</f>
        <v xml:space="preserve">Insurer Code ; Reporting Year ; Insurance Category Code ; Large Provider Entity Code ; Age Band Code ; Sex Code </v>
      </c>
      <c r="N193" s="345" t="s">
        <v>207</v>
      </c>
      <c r="O193" s="345" t="s">
        <v>208</v>
      </c>
      <c r="P193" s="345" t="s">
        <v>209</v>
      </c>
      <c r="Q193" s="345" t="s">
        <v>210</v>
      </c>
      <c r="R193" s="345" t="s">
        <v>223</v>
      </c>
      <c r="S193" s="345" t="s">
        <v>224</v>
      </c>
    </row>
    <row r="194" spans="1:19" x14ac:dyDescent="0.25">
      <c r="A194" s="311"/>
      <c r="B194" s="312"/>
      <c r="C194" s="312"/>
      <c r="D194" s="312"/>
      <c r="E194" s="312"/>
      <c r="F194" s="312"/>
      <c r="G194" s="328"/>
      <c r="H194" s="337"/>
      <c r="I194" s="334"/>
      <c r="J194" s="314"/>
      <c r="K194" s="449"/>
      <c r="M194" s="349" t="str">
        <f>N194&amp;AS[[#This Row],[Insurer Code]]&amp;"; "&amp;O194&amp;AS[[#This Row],[Reporting Year]]&amp;"; "&amp;P194&amp;AS[[#This Row],[Insurance Category Code]]&amp;"; "&amp;Q194&amp;AS[[#This Row],[Large Provider Entity Code]]&amp;"; "&amp;R194&amp;AS[[#This Row],[Age Band Code]]&amp;"; "&amp;S194&amp;AS[[#This Row],[Sex Code]]</f>
        <v xml:space="preserve">Insurer Code ; Reporting Year ; Insurance Category Code ; Large Provider Entity Code ; Age Band Code ; Sex Code </v>
      </c>
      <c r="N194" s="345" t="s">
        <v>207</v>
      </c>
      <c r="O194" s="345" t="s">
        <v>208</v>
      </c>
      <c r="P194" s="345" t="s">
        <v>209</v>
      </c>
      <c r="Q194" s="345" t="s">
        <v>210</v>
      </c>
      <c r="R194" s="345" t="s">
        <v>223</v>
      </c>
      <c r="S194" s="345" t="s">
        <v>224</v>
      </c>
    </row>
    <row r="195" spans="1:19" x14ac:dyDescent="0.25">
      <c r="A195" s="311"/>
      <c r="B195" s="312"/>
      <c r="C195" s="312"/>
      <c r="D195" s="312"/>
      <c r="E195" s="312"/>
      <c r="F195" s="312"/>
      <c r="G195" s="328"/>
      <c r="H195" s="337"/>
      <c r="I195" s="334"/>
      <c r="J195" s="314"/>
      <c r="K195" s="449"/>
      <c r="M195" s="349" t="str">
        <f>N195&amp;AS[[#This Row],[Insurer Code]]&amp;"; "&amp;O195&amp;AS[[#This Row],[Reporting Year]]&amp;"; "&amp;P195&amp;AS[[#This Row],[Insurance Category Code]]&amp;"; "&amp;Q195&amp;AS[[#This Row],[Large Provider Entity Code]]&amp;"; "&amp;R195&amp;AS[[#This Row],[Age Band Code]]&amp;"; "&amp;S195&amp;AS[[#This Row],[Sex Code]]</f>
        <v xml:space="preserve">Insurer Code ; Reporting Year ; Insurance Category Code ; Large Provider Entity Code ; Age Band Code ; Sex Code </v>
      </c>
      <c r="N195" s="345" t="s">
        <v>207</v>
      </c>
      <c r="O195" s="345" t="s">
        <v>208</v>
      </c>
      <c r="P195" s="345" t="s">
        <v>209</v>
      </c>
      <c r="Q195" s="345" t="s">
        <v>210</v>
      </c>
      <c r="R195" s="345" t="s">
        <v>223</v>
      </c>
      <c r="S195" s="345" t="s">
        <v>224</v>
      </c>
    </row>
    <row r="196" spans="1:19" x14ac:dyDescent="0.25">
      <c r="A196" s="311"/>
      <c r="B196" s="312"/>
      <c r="C196" s="312"/>
      <c r="D196" s="312"/>
      <c r="E196" s="312"/>
      <c r="F196" s="312"/>
      <c r="G196" s="328"/>
      <c r="H196" s="337"/>
      <c r="I196" s="334"/>
      <c r="J196" s="314"/>
      <c r="K196" s="449"/>
      <c r="M196" s="349" t="str">
        <f>N196&amp;AS[[#This Row],[Insurer Code]]&amp;"; "&amp;O196&amp;AS[[#This Row],[Reporting Year]]&amp;"; "&amp;P196&amp;AS[[#This Row],[Insurance Category Code]]&amp;"; "&amp;Q196&amp;AS[[#This Row],[Large Provider Entity Code]]&amp;"; "&amp;R196&amp;AS[[#This Row],[Age Band Code]]&amp;"; "&amp;S196&amp;AS[[#This Row],[Sex Code]]</f>
        <v xml:space="preserve">Insurer Code ; Reporting Year ; Insurance Category Code ; Large Provider Entity Code ; Age Band Code ; Sex Code </v>
      </c>
      <c r="N196" s="345" t="s">
        <v>207</v>
      </c>
      <c r="O196" s="345" t="s">
        <v>208</v>
      </c>
      <c r="P196" s="345" t="s">
        <v>209</v>
      </c>
      <c r="Q196" s="345" t="s">
        <v>210</v>
      </c>
      <c r="R196" s="345" t="s">
        <v>223</v>
      </c>
      <c r="S196" s="345" t="s">
        <v>224</v>
      </c>
    </row>
    <row r="197" spans="1:19" x14ac:dyDescent="0.25">
      <c r="A197" s="311"/>
      <c r="B197" s="312"/>
      <c r="C197" s="312"/>
      <c r="D197" s="312"/>
      <c r="E197" s="312"/>
      <c r="F197" s="312"/>
      <c r="G197" s="328"/>
      <c r="H197" s="337"/>
      <c r="I197" s="334"/>
      <c r="J197" s="314"/>
      <c r="K197" s="449"/>
      <c r="M197" s="349" t="str">
        <f>N197&amp;AS[[#This Row],[Insurer Code]]&amp;"; "&amp;O197&amp;AS[[#This Row],[Reporting Year]]&amp;"; "&amp;P197&amp;AS[[#This Row],[Insurance Category Code]]&amp;"; "&amp;Q197&amp;AS[[#This Row],[Large Provider Entity Code]]&amp;"; "&amp;R197&amp;AS[[#This Row],[Age Band Code]]&amp;"; "&amp;S197&amp;AS[[#This Row],[Sex Code]]</f>
        <v xml:space="preserve">Insurer Code ; Reporting Year ; Insurance Category Code ; Large Provider Entity Code ; Age Band Code ; Sex Code </v>
      </c>
      <c r="N197" s="345" t="s">
        <v>207</v>
      </c>
      <c r="O197" s="345" t="s">
        <v>208</v>
      </c>
      <c r="P197" s="345" t="s">
        <v>209</v>
      </c>
      <c r="Q197" s="345" t="s">
        <v>210</v>
      </c>
      <c r="R197" s="345" t="s">
        <v>223</v>
      </c>
      <c r="S197" s="345" t="s">
        <v>224</v>
      </c>
    </row>
    <row r="198" spans="1:19" x14ac:dyDescent="0.25">
      <c r="A198" s="311"/>
      <c r="B198" s="312"/>
      <c r="C198" s="312"/>
      <c r="D198" s="312"/>
      <c r="E198" s="312"/>
      <c r="F198" s="312"/>
      <c r="G198" s="328"/>
      <c r="H198" s="337"/>
      <c r="I198" s="334"/>
      <c r="J198" s="314"/>
      <c r="K198" s="449"/>
      <c r="M198" s="349" t="str">
        <f>N198&amp;AS[[#This Row],[Insurer Code]]&amp;"; "&amp;O198&amp;AS[[#This Row],[Reporting Year]]&amp;"; "&amp;P198&amp;AS[[#This Row],[Insurance Category Code]]&amp;"; "&amp;Q198&amp;AS[[#This Row],[Large Provider Entity Code]]&amp;"; "&amp;R198&amp;AS[[#This Row],[Age Band Code]]&amp;"; "&amp;S198&amp;AS[[#This Row],[Sex Code]]</f>
        <v xml:space="preserve">Insurer Code ; Reporting Year ; Insurance Category Code ; Large Provider Entity Code ; Age Band Code ; Sex Code </v>
      </c>
      <c r="N198" s="345" t="s">
        <v>207</v>
      </c>
      <c r="O198" s="345" t="s">
        <v>208</v>
      </c>
      <c r="P198" s="345" t="s">
        <v>209</v>
      </c>
      <c r="Q198" s="345" t="s">
        <v>210</v>
      </c>
      <c r="R198" s="345" t="s">
        <v>223</v>
      </c>
      <c r="S198" s="345" t="s">
        <v>224</v>
      </c>
    </row>
    <row r="199" spans="1:19" x14ac:dyDescent="0.25">
      <c r="A199" s="311"/>
      <c r="B199" s="312"/>
      <c r="C199" s="312"/>
      <c r="D199" s="312"/>
      <c r="E199" s="312"/>
      <c r="F199" s="312"/>
      <c r="G199" s="328"/>
      <c r="H199" s="337"/>
      <c r="I199" s="334"/>
      <c r="J199" s="314"/>
      <c r="K199" s="449"/>
      <c r="M199" s="349" t="str">
        <f>N199&amp;AS[[#This Row],[Insurer Code]]&amp;"; "&amp;O199&amp;AS[[#This Row],[Reporting Year]]&amp;"; "&amp;P199&amp;AS[[#This Row],[Insurance Category Code]]&amp;"; "&amp;Q199&amp;AS[[#This Row],[Large Provider Entity Code]]&amp;"; "&amp;R199&amp;AS[[#This Row],[Age Band Code]]&amp;"; "&amp;S199&amp;AS[[#This Row],[Sex Code]]</f>
        <v xml:space="preserve">Insurer Code ; Reporting Year ; Insurance Category Code ; Large Provider Entity Code ; Age Band Code ; Sex Code </v>
      </c>
      <c r="N199" s="345" t="s">
        <v>207</v>
      </c>
      <c r="O199" s="345" t="s">
        <v>208</v>
      </c>
      <c r="P199" s="345" t="s">
        <v>209</v>
      </c>
      <c r="Q199" s="345" t="s">
        <v>210</v>
      </c>
      <c r="R199" s="345" t="s">
        <v>223</v>
      </c>
      <c r="S199" s="345" t="s">
        <v>224</v>
      </c>
    </row>
    <row r="200" spans="1:19" x14ac:dyDescent="0.25">
      <c r="A200" s="311"/>
      <c r="B200" s="312"/>
      <c r="C200" s="312"/>
      <c r="D200" s="312"/>
      <c r="E200" s="312"/>
      <c r="F200" s="312"/>
      <c r="G200" s="328"/>
      <c r="H200" s="337"/>
      <c r="I200" s="334"/>
      <c r="J200" s="314"/>
      <c r="K200" s="449"/>
      <c r="M200" s="349" t="str">
        <f>N200&amp;AS[[#This Row],[Insurer Code]]&amp;"; "&amp;O200&amp;AS[[#This Row],[Reporting Year]]&amp;"; "&amp;P200&amp;AS[[#This Row],[Insurance Category Code]]&amp;"; "&amp;Q200&amp;AS[[#This Row],[Large Provider Entity Code]]&amp;"; "&amp;R200&amp;AS[[#This Row],[Age Band Code]]&amp;"; "&amp;S200&amp;AS[[#This Row],[Sex Code]]</f>
        <v xml:space="preserve">Insurer Code ; Reporting Year ; Insurance Category Code ; Large Provider Entity Code ; Age Band Code ; Sex Code </v>
      </c>
      <c r="N200" s="345" t="s">
        <v>207</v>
      </c>
      <c r="O200" s="345" t="s">
        <v>208</v>
      </c>
      <c r="P200" s="345" t="s">
        <v>209</v>
      </c>
      <c r="Q200" s="345" t="s">
        <v>210</v>
      </c>
      <c r="R200" s="345" t="s">
        <v>223</v>
      </c>
      <c r="S200" s="345" t="s">
        <v>224</v>
      </c>
    </row>
    <row r="201" spans="1:19" x14ac:dyDescent="0.25">
      <c r="A201" s="311"/>
      <c r="B201" s="312"/>
      <c r="C201" s="312"/>
      <c r="D201" s="312"/>
      <c r="E201" s="312"/>
      <c r="F201" s="312"/>
      <c r="G201" s="328"/>
      <c r="H201" s="337"/>
      <c r="I201" s="334"/>
      <c r="J201" s="314"/>
      <c r="K201" s="449"/>
      <c r="M201" s="349" t="str">
        <f>N201&amp;AS[[#This Row],[Insurer Code]]&amp;"; "&amp;O201&amp;AS[[#This Row],[Reporting Year]]&amp;"; "&amp;P201&amp;AS[[#This Row],[Insurance Category Code]]&amp;"; "&amp;Q201&amp;AS[[#This Row],[Large Provider Entity Code]]&amp;"; "&amp;R201&amp;AS[[#This Row],[Age Band Code]]&amp;"; "&amp;S201&amp;AS[[#This Row],[Sex Code]]</f>
        <v xml:space="preserve">Insurer Code ; Reporting Year ; Insurance Category Code ; Large Provider Entity Code ; Age Band Code ; Sex Code </v>
      </c>
      <c r="N201" s="345" t="s">
        <v>207</v>
      </c>
      <c r="O201" s="345" t="s">
        <v>208</v>
      </c>
      <c r="P201" s="345" t="s">
        <v>209</v>
      </c>
      <c r="Q201" s="345" t="s">
        <v>210</v>
      </c>
      <c r="R201" s="345" t="s">
        <v>223</v>
      </c>
      <c r="S201" s="345" t="s">
        <v>224</v>
      </c>
    </row>
    <row r="202" spans="1:19" x14ac:dyDescent="0.25">
      <c r="A202" s="311"/>
      <c r="B202" s="312"/>
      <c r="C202" s="312"/>
      <c r="D202" s="312"/>
      <c r="E202" s="312"/>
      <c r="F202" s="312"/>
      <c r="G202" s="328"/>
      <c r="H202" s="337"/>
      <c r="I202" s="334"/>
      <c r="J202" s="314"/>
      <c r="K202" s="449"/>
      <c r="M202" s="349" t="str">
        <f>N202&amp;AS[[#This Row],[Insurer Code]]&amp;"; "&amp;O202&amp;AS[[#This Row],[Reporting Year]]&amp;"; "&amp;P202&amp;AS[[#This Row],[Insurance Category Code]]&amp;"; "&amp;Q202&amp;AS[[#This Row],[Large Provider Entity Code]]&amp;"; "&amp;R202&amp;AS[[#This Row],[Age Band Code]]&amp;"; "&amp;S202&amp;AS[[#This Row],[Sex Code]]</f>
        <v xml:space="preserve">Insurer Code ; Reporting Year ; Insurance Category Code ; Large Provider Entity Code ; Age Band Code ; Sex Code </v>
      </c>
      <c r="N202" s="345" t="s">
        <v>207</v>
      </c>
      <c r="O202" s="345" t="s">
        <v>208</v>
      </c>
      <c r="P202" s="345" t="s">
        <v>209</v>
      </c>
      <c r="Q202" s="345" t="s">
        <v>210</v>
      </c>
      <c r="R202" s="345" t="s">
        <v>223</v>
      </c>
      <c r="S202" s="345" t="s">
        <v>224</v>
      </c>
    </row>
    <row r="203" spans="1:19" x14ac:dyDescent="0.25">
      <c r="A203" s="311"/>
      <c r="B203" s="312"/>
      <c r="C203" s="312"/>
      <c r="D203" s="312"/>
      <c r="E203" s="312"/>
      <c r="F203" s="312"/>
      <c r="G203" s="328"/>
      <c r="H203" s="337"/>
      <c r="I203" s="334"/>
      <c r="J203" s="314"/>
      <c r="K203" s="449"/>
      <c r="M203" s="349" t="str">
        <f>N203&amp;AS[[#This Row],[Insurer Code]]&amp;"; "&amp;O203&amp;AS[[#This Row],[Reporting Year]]&amp;"; "&amp;P203&amp;AS[[#This Row],[Insurance Category Code]]&amp;"; "&amp;Q203&amp;AS[[#This Row],[Large Provider Entity Code]]&amp;"; "&amp;R203&amp;AS[[#This Row],[Age Band Code]]&amp;"; "&amp;S203&amp;AS[[#This Row],[Sex Code]]</f>
        <v xml:space="preserve">Insurer Code ; Reporting Year ; Insurance Category Code ; Large Provider Entity Code ; Age Band Code ; Sex Code </v>
      </c>
      <c r="N203" s="345" t="s">
        <v>207</v>
      </c>
      <c r="O203" s="345" t="s">
        <v>208</v>
      </c>
      <c r="P203" s="345" t="s">
        <v>209</v>
      </c>
      <c r="Q203" s="345" t="s">
        <v>210</v>
      </c>
      <c r="R203" s="345" t="s">
        <v>223</v>
      </c>
      <c r="S203" s="345" t="s">
        <v>224</v>
      </c>
    </row>
    <row r="204" spans="1:19" x14ac:dyDescent="0.25">
      <c r="A204" s="311"/>
      <c r="B204" s="312"/>
      <c r="C204" s="312"/>
      <c r="D204" s="312"/>
      <c r="E204" s="312"/>
      <c r="F204" s="312"/>
      <c r="G204" s="328"/>
      <c r="H204" s="337"/>
      <c r="I204" s="334"/>
      <c r="J204" s="314"/>
      <c r="K204" s="449"/>
      <c r="M204" s="349" t="str">
        <f>N204&amp;AS[[#This Row],[Insurer Code]]&amp;"; "&amp;O204&amp;AS[[#This Row],[Reporting Year]]&amp;"; "&amp;P204&amp;AS[[#This Row],[Insurance Category Code]]&amp;"; "&amp;Q204&amp;AS[[#This Row],[Large Provider Entity Code]]&amp;"; "&amp;R204&amp;AS[[#This Row],[Age Band Code]]&amp;"; "&amp;S204&amp;AS[[#This Row],[Sex Code]]</f>
        <v xml:space="preserve">Insurer Code ; Reporting Year ; Insurance Category Code ; Large Provider Entity Code ; Age Band Code ; Sex Code </v>
      </c>
      <c r="N204" s="345" t="s">
        <v>207</v>
      </c>
      <c r="O204" s="345" t="s">
        <v>208</v>
      </c>
      <c r="P204" s="345" t="s">
        <v>209</v>
      </c>
      <c r="Q204" s="345" t="s">
        <v>210</v>
      </c>
      <c r="R204" s="345" t="s">
        <v>223</v>
      </c>
      <c r="S204" s="345" t="s">
        <v>224</v>
      </c>
    </row>
    <row r="205" spans="1:19" x14ac:dyDescent="0.25">
      <c r="A205" s="311"/>
      <c r="B205" s="312"/>
      <c r="C205" s="312"/>
      <c r="D205" s="312"/>
      <c r="E205" s="312"/>
      <c r="F205" s="312"/>
      <c r="G205" s="328"/>
      <c r="H205" s="337"/>
      <c r="I205" s="334"/>
      <c r="J205" s="314"/>
      <c r="K205" s="449"/>
      <c r="M205" s="349" t="str">
        <f>N205&amp;AS[[#This Row],[Insurer Code]]&amp;"; "&amp;O205&amp;AS[[#This Row],[Reporting Year]]&amp;"; "&amp;P205&amp;AS[[#This Row],[Insurance Category Code]]&amp;"; "&amp;Q205&amp;AS[[#This Row],[Large Provider Entity Code]]&amp;"; "&amp;R205&amp;AS[[#This Row],[Age Band Code]]&amp;"; "&amp;S205&amp;AS[[#This Row],[Sex Code]]</f>
        <v xml:space="preserve">Insurer Code ; Reporting Year ; Insurance Category Code ; Large Provider Entity Code ; Age Band Code ; Sex Code </v>
      </c>
      <c r="N205" s="345" t="s">
        <v>207</v>
      </c>
      <c r="O205" s="345" t="s">
        <v>208</v>
      </c>
      <c r="P205" s="345" t="s">
        <v>209</v>
      </c>
      <c r="Q205" s="345" t="s">
        <v>210</v>
      </c>
      <c r="R205" s="345" t="s">
        <v>223</v>
      </c>
      <c r="S205" s="345" t="s">
        <v>224</v>
      </c>
    </row>
    <row r="206" spans="1:19" x14ac:dyDescent="0.25">
      <c r="A206" s="311"/>
      <c r="B206" s="312"/>
      <c r="C206" s="312"/>
      <c r="D206" s="312"/>
      <c r="E206" s="312"/>
      <c r="F206" s="312"/>
      <c r="G206" s="328"/>
      <c r="H206" s="337"/>
      <c r="I206" s="334"/>
      <c r="J206" s="314"/>
      <c r="K206" s="449"/>
      <c r="M206" s="349" t="str">
        <f>N206&amp;AS[[#This Row],[Insurer Code]]&amp;"; "&amp;O206&amp;AS[[#This Row],[Reporting Year]]&amp;"; "&amp;P206&amp;AS[[#This Row],[Insurance Category Code]]&amp;"; "&amp;Q206&amp;AS[[#This Row],[Large Provider Entity Code]]&amp;"; "&amp;R206&amp;AS[[#This Row],[Age Band Code]]&amp;"; "&amp;S206&amp;AS[[#This Row],[Sex Code]]</f>
        <v xml:space="preserve">Insurer Code ; Reporting Year ; Insurance Category Code ; Large Provider Entity Code ; Age Band Code ; Sex Code </v>
      </c>
      <c r="N206" s="345" t="s">
        <v>207</v>
      </c>
      <c r="O206" s="345" t="s">
        <v>208</v>
      </c>
      <c r="P206" s="345" t="s">
        <v>209</v>
      </c>
      <c r="Q206" s="345" t="s">
        <v>210</v>
      </c>
      <c r="R206" s="345" t="s">
        <v>223</v>
      </c>
      <c r="S206" s="345" t="s">
        <v>224</v>
      </c>
    </row>
    <row r="207" spans="1:19" x14ac:dyDescent="0.25">
      <c r="A207" s="311"/>
      <c r="B207" s="312"/>
      <c r="C207" s="312"/>
      <c r="D207" s="312"/>
      <c r="E207" s="312"/>
      <c r="F207" s="312"/>
      <c r="G207" s="328"/>
      <c r="H207" s="337"/>
      <c r="I207" s="334"/>
      <c r="J207" s="314"/>
      <c r="K207" s="449"/>
      <c r="M207" s="349" t="str">
        <f>N207&amp;AS[[#This Row],[Insurer Code]]&amp;"; "&amp;O207&amp;AS[[#This Row],[Reporting Year]]&amp;"; "&amp;P207&amp;AS[[#This Row],[Insurance Category Code]]&amp;"; "&amp;Q207&amp;AS[[#This Row],[Large Provider Entity Code]]&amp;"; "&amp;R207&amp;AS[[#This Row],[Age Band Code]]&amp;"; "&amp;S207&amp;AS[[#This Row],[Sex Code]]</f>
        <v xml:space="preserve">Insurer Code ; Reporting Year ; Insurance Category Code ; Large Provider Entity Code ; Age Band Code ; Sex Code </v>
      </c>
      <c r="N207" s="345" t="s">
        <v>207</v>
      </c>
      <c r="O207" s="345" t="s">
        <v>208</v>
      </c>
      <c r="P207" s="345" t="s">
        <v>209</v>
      </c>
      <c r="Q207" s="345" t="s">
        <v>210</v>
      </c>
      <c r="R207" s="345" t="s">
        <v>223</v>
      </c>
      <c r="S207" s="345" t="s">
        <v>224</v>
      </c>
    </row>
    <row r="208" spans="1:19" x14ac:dyDescent="0.25">
      <c r="A208" s="311"/>
      <c r="B208" s="312"/>
      <c r="C208" s="312"/>
      <c r="D208" s="312"/>
      <c r="E208" s="312"/>
      <c r="F208" s="312"/>
      <c r="G208" s="328"/>
      <c r="H208" s="337"/>
      <c r="I208" s="334"/>
      <c r="J208" s="314"/>
      <c r="K208" s="449"/>
      <c r="M208" s="349" t="str">
        <f>N208&amp;AS[[#This Row],[Insurer Code]]&amp;"; "&amp;O208&amp;AS[[#This Row],[Reporting Year]]&amp;"; "&amp;P208&amp;AS[[#This Row],[Insurance Category Code]]&amp;"; "&amp;Q208&amp;AS[[#This Row],[Large Provider Entity Code]]&amp;"; "&amp;R208&amp;AS[[#This Row],[Age Band Code]]&amp;"; "&amp;S208&amp;AS[[#This Row],[Sex Code]]</f>
        <v xml:space="preserve">Insurer Code ; Reporting Year ; Insurance Category Code ; Large Provider Entity Code ; Age Band Code ; Sex Code </v>
      </c>
      <c r="N208" s="345" t="s">
        <v>207</v>
      </c>
      <c r="O208" s="345" t="s">
        <v>208</v>
      </c>
      <c r="P208" s="345" t="s">
        <v>209</v>
      </c>
      <c r="Q208" s="345" t="s">
        <v>210</v>
      </c>
      <c r="R208" s="345" t="s">
        <v>223</v>
      </c>
      <c r="S208" s="345" t="s">
        <v>224</v>
      </c>
    </row>
    <row r="209" spans="1:19" x14ac:dyDescent="0.25">
      <c r="A209" s="311"/>
      <c r="B209" s="312"/>
      <c r="C209" s="312"/>
      <c r="D209" s="312"/>
      <c r="E209" s="312"/>
      <c r="F209" s="312"/>
      <c r="G209" s="328"/>
      <c r="H209" s="337"/>
      <c r="I209" s="334"/>
      <c r="J209" s="314"/>
      <c r="K209" s="449"/>
      <c r="M209" s="349" t="str">
        <f>N209&amp;AS[[#This Row],[Insurer Code]]&amp;"; "&amp;O209&amp;AS[[#This Row],[Reporting Year]]&amp;"; "&amp;P209&amp;AS[[#This Row],[Insurance Category Code]]&amp;"; "&amp;Q209&amp;AS[[#This Row],[Large Provider Entity Code]]&amp;"; "&amp;R209&amp;AS[[#This Row],[Age Band Code]]&amp;"; "&amp;S209&amp;AS[[#This Row],[Sex Code]]</f>
        <v xml:space="preserve">Insurer Code ; Reporting Year ; Insurance Category Code ; Large Provider Entity Code ; Age Band Code ; Sex Code </v>
      </c>
      <c r="N209" s="345" t="s">
        <v>207</v>
      </c>
      <c r="O209" s="345" t="s">
        <v>208</v>
      </c>
      <c r="P209" s="345" t="s">
        <v>209</v>
      </c>
      <c r="Q209" s="345" t="s">
        <v>210</v>
      </c>
      <c r="R209" s="345" t="s">
        <v>223</v>
      </c>
      <c r="S209" s="345" t="s">
        <v>224</v>
      </c>
    </row>
    <row r="210" spans="1:19" x14ac:dyDescent="0.25">
      <c r="A210" s="311"/>
      <c r="B210" s="312"/>
      <c r="C210" s="312"/>
      <c r="D210" s="312"/>
      <c r="E210" s="312"/>
      <c r="F210" s="312"/>
      <c r="G210" s="328"/>
      <c r="H210" s="337"/>
      <c r="I210" s="334"/>
      <c r="J210" s="314"/>
      <c r="K210" s="449"/>
      <c r="M210" s="349" t="str">
        <f>N210&amp;AS[[#This Row],[Insurer Code]]&amp;"; "&amp;O210&amp;AS[[#This Row],[Reporting Year]]&amp;"; "&amp;P210&amp;AS[[#This Row],[Insurance Category Code]]&amp;"; "&amp;Q210&amp;AS[[#This Row],[Large Provider Entity Code]]&amp;"; "&amp;R210&amp;AS[[#This Row],[Age Band Code]]&amp;"; "&amp;S210&amp;AS[[#This Row],[Sex Code]]</f>
        <v xml:space="preserve">Insurer Code ; Reporting Year ; Insurance Category Code ; Large Provider Entity Code ; Age Band Code ; Sex Code </v>
      </c>
      <c r="N210" s="345" t="s">
        <v>207</v>
      </c>
      <c r="O210" s="345" t="s">
        <v>208</v>
      </c>
      <c r="P210" s="345" t="s">
        <v>209</v>
      </c>
      <c r="Q210" s="345" t="s">
        <v>210</v>
      </c>
      <c r="R210" s="345" t="s">
        <v>223</v>
      </c>
      <c r="S210" s="345" t="s">
        <v>224</v>
      </c>
    </row>
    <row r="211" spans="1:19" x14ac:dyDescent="0.25">
      <c r="A211" s="311"/>
      <c r="B211" s="312"/>
      <c r="C211" s="312"/>
      <c r="D211" s="312"/>
      <c r="E211" s="312"/>
      <c r="F211" s="312"/>
      <c r="G211" s="328"/>
      <c r="H211" s="337"/>
      <c r="I211" s="334"/>
      <c r="J211" s="314"/>
      <c r="K211" s="449"/>
      <c r="M211" s="349" t="str">
        <f>N211&amp;AS[[#This Row],[Insurer Code]]&amp;"; "&amp;O211&amp;AS[[#This Row],[Reporting Year]]&amp;"; "&amp;P211&amp;AS[[#This Row],[Insurance Category Code]]&amp;"; "&amp;Q211&amp;AS[[#This Row],[Large Provider Entity Code]]&amp;"; "&amp;R211&amp;AS[[#This Row],[Age Band Code]]&amp;"; "&amp;S211&amp;AS[[#This Row],[Sex Code]]</f>
        <v xml:space="preserve">Insurer Code ; Reporting Year ; Insurance Category Code ; Large Provider Entity Code ; Age Band Code ; Sex Code </v>
      </c>
      <c r="N211" s="345" t="s">
        <v>207</v>
      </c>
      <c r="O211" s="345" t="s">
        <v>208</v>
      </c>
      <c r="P211" s="345" t="s">
        <v>209</v>
      </c>
      <c r="Q211" s="345" t="s">
        <v>210</v>
      </c>
      <c r="R211" s="345" t="s">
        <v>223</v>
      </c>
      <c r="S211" s="345" t="s">
        <v>224</v>
      </c>
    </row>
    <row r="212" spans="1:19" x14ac:dyDescent="0.25">
      <c r="A212" s="311"/>
      <c r="B212" s="312"/>
      <c r="C212" s="312"/>
      <c r="D212" s="312"/>
      <c r="E212" s="312"/>
      <c r="F212" s="312"/>
      <c r="G212" s="328"/>
      <c r="H212" s="337"/>
      <c r="I212" s="334"/>
      <c r="J212" s="314"/>
      <c r="K212" s="449"/>
      <c r="M212" s="349" t="str">
        <f>N212&amp;AS[[#This Row],[Insurer Code]]&amp;"; "&amp;O212&amp;AS[[#This Row],[Reporting Year]]&amp;"; "&amp;P212&amp;AS[[#This Row],[Insurance Category Code]]&amp;"; "&amp;Q212&amp;AS[[#This Row],[Large Provider Entity Code]]&amp;"; "&amp;R212&amp;AS[[#This Row],[Age Band Code]]&amp;"; "&amp;S212&amp;AS[[#This Row],[Sex Code]]</f>
        <v xml:space="preserve">Insurer Code ; Reporting Year ; Insurance Category Code ; Large Provider Entity Code ; Age Band Code ; Sex Code </v>
      </c>
      <c r="N212" s="345" t="s">
        <v>207</v>
      </c>
      <c r="O212" s="345" t="s">
        <v>208</v>
      </c>
      <c r="P212" s="345" t="s">
        <v>209</v>
      </c>
      <c r="Q212" s="345" t="s">
        <v>210</v>
      </c>
      <c r="R212" s="345" t="s">
        <v>223</v>
      </c>
      <c r="S212" s="345" t="s">
        <v>224</v>
      </c>
    </row>
    <row r="213" spans="1:19" x14ac:dyDescent="0.25">
      <c r="A213" s="311"/>
      <c r="B213" s="312"/>
      <c r="C213" s="312"/>
      <c r="D213" s="312"/>
      <c r="E213" s="312"/>
      <c r="F213" s="312"/>
      <c r="G213" s="328"/>
      <c r="H213" s="337"/>
      <c r="I213" s="334"/>
      <c r="J213" s="314"/>
      <c r="K213" s="449"/>
      <c r="M213" s="349" t="str">
        <f>N213&amp;AS[[#This Row],[Insurer Code]]&amp;"; "&amp;O213&amp;AS[[#This Row],[Reporting Year]]&amp;"; "&amp;P213&amp;AS[[#This Row],[Insurance Category Code]]&amp;"; "&amp;Q213&amp;AS[[#This Row],[Large Provider Entity Code]]&amp;"; "&amp;R213&amp;AS[[#This Row],[Age Band Code]]&amp;"; "&amp;S213&amp;AS[[#This Row],[Sex Code]]</f>
        <v xml:space="preserve">Insurer Code ; Reporting Year ; Insurance Category Code ; Large Provider Entity Code ; Age Band Code ; Sex Code </v>
      </c>
      <c r="N213" s="345" t="s">
        <v>207</v>
      </c>
      <c r="O213" s="345" t="s">
        <v>208</v>
      </c>
      <c r="P213" s="345" t="s">
        <v>209</v>
      </c>
      <c r="Q213" s="345" t="s">
        <v>210</v>
      </c>
      <c r="R213" s="345" t="s">
        <v>223</v>
      </c>
      <c r="S213" s="345" t="s">
        <v>224</v>
      </c>
    </row>
    <row r="214" spans="1:19" x14ac:dyDescent="0.25">
      <c r="A214" s="311"/>
      <c r="B214" s="312"/>
      <c r="C214" s="312"/>
      <c r="D214" s="312"/>
      <c r="E214" s="312"/>
      <c r="F214" s="312"/>
      <c r="G214" s="328"/>
      <c r="H214" s="337"/>
      <c r="I214" s="334"/>
      <c r="J214" s="314"/>
      <c r="K214" s="449"/>
      <c r="M214" s="349" t="str">
        <f>N214&amp;AS[[#This Row],[Insurer Code]]&amp;"; "&amp;O214&amp;AS[[#This Row],[Reporting Year]]&amp;"; "&amp;P214&amp;AS[[#This Row],[Insurance Category Code]]&amp;"; "&amp;Q214&amp;AS[[#This Row],[Large Provider Entity Code]]&amp;"; "&amp;R214&amp;AS[[#This Row],[Age Band Code]]&amp;"; "&amp;S214&amp;AS[[#This Row],[Sex Code]]</f>
        <v xml:space="preserve">Insurer Code ; Reporting Year ; Insurance Category Code ; Large Provider Entity Code ; Age Band Code ; Sex Code </v>
      </c>
      <c r="N214" s="345" t="s">
        <v>207</v>
      </c>
      <c r="O214" s="345" t="s">
        <v>208</v>
      </c>
      <c r="P214" s="345" t="s">
        <v>209</v>
      </c>
      <c r="Q214" s="345" t="s">
        <v>210</v>
      </c>
      <c r="R214" s="345" t="s">
        <v>223</v>
      </c>
      <c r="S214" s="345" t="s">
        <v>224</v>
      </c>
    </row>
    <row r="215" spans="1:19" x14ac:dyDescent="0.25">
      <c r="A215" s="311"/>
      <c r="B215" s="312"/>
      <c r="C215" s="312"/>
      <c r="D215" s="312"/>
      <c r="E215" s="312"/>
      <c r="F215" s="312"/>
      <c r="G215" s="328"/>
      <c r="H215" s="337"/>
      <c r="I215" s="334"/>
      <c r="J215" s="314"/>
      <c r="K215" s="449"/>
      <c r="M215" s="349" t="str">
        <f>N215&amp;AS[[#This Row],[Insurer Code]]&amp;"; "&amp;O215&amp;AS[[#This Row],[Reporting Year]]&amp;"; "&amp;P215&amp;AS[[#This Row],[Insurance Category Code]]&amp;"; "&amp;Q215&amp;AS[[#This Row],[Large Provider Entity Code]]&amp;"; "&amp;R215&amp;AS[[#This Row],[Age Band Code]]&amp;"; "&amp;S215&amp;AS[[#This Row],[Sex Code]]</f>
        <v xml:space="preserve">Insurer Code ; Reporting Year ; Insurance Category Code ; Large Provider Entity Code ; Age Band Code ; Sex Code </v>
      </c>
      <c r="N215" s="345" t="s">
        <v>207</v>
      </c>
      <c r="O215" s="345" t="s">
        <v>208</v>
      </c>
      <c r="P215" s="345" t="s">
        <v>209</v>
      </c>
      <c r="Q215" s="345" t="s">
        <v>210</v>
      </c>
      <c r="R215" s="345" t="s">
        <v>223</v>
      </c>
      <c r="S215" s="345" t="s">
        <v>224</v>
      </c>
    </row>
    <row r="216" spans="1:19" x14ac:dyDescent="0.25">
      <c r="A216" s="311"/>
      <c r="B216" s="312"/>
      <c r="C216" s="312"/>
      <c r="D216" s="312"/>
      <c r="E216" s="312"/>
      <c r="F216" s="312"/>
      <c r="G216" s="328"/>
      <c r="H216" s="337"/>
      <c r="I216" s="334"/>
      <c r="J216" s="314"/>
      <c r="K216" s="449"/>
      <c r="M216" s="349" t="str">
        <f>N216&amp;AS[[#This Row],[Insurer Code]]&amp;"; "&amp;O216&amp;AS[[#This Row],[Reporting Year]]&amp;"; "&amp;P216&amp;AS[[#This Row],[Insurance Category Code]]&amp;"; "&amp;Q216&amp;AS[[#This Row],[Large Provider Entity Code]]&amp;"; "&amp;R216&amp;AS[[#This Row],[Age Band Code]]&amp;"; "&amp;S216&amp;AS[[#This Row],[Sex Code]]</f>
        <v xml:space="preserve">Insurer Code ; Reporting Year ; Insurance Category Code ; Large Provider Entity Code ; Age Band Code ; Sex Code </v>
      </c>
      <c r="N216" s="345" t="s">
        <v>207</v>
      </c>
      <c r="O216" s="345" t="s">
        <v>208</v>
      </c>
      <c r="P216" s="345" t="s">
        <v>209</v>
      </c>
      <c r="Q216" s="345" t="s">
        <v>210</v>
      </c>
      <c r="R216" s="345" t="s">
        <v>223</v>
      </c>
      <c r="S216" s="345" t="s">
        <v>224</v>
      </c>
    </row>
    <row r="217" spans="1:19" x14ac:dyDescent="0.25">
      <c r="A217" s="311"/>
      <c r="B217" s="312"/>
      <c r="C217" s="312"/>
      <c r="D217" s="312"/>
      <c r="E217" s="312"/>
      <c r="F217" s="312"/>
      <c r="G217" s="328"/>
      <c r="H217" s="337"/>
      <c r="I217" s="334"/>
      <c r="J217" s="314"/>
      <c r="K217" s="449"/>
      <c r="M217" s="349" t="str">
        <f>N217&amp;AS[[#This Row],[Insurer Code]]&amp;"; "&amp;O217&amp;AS[[#This Row],[Reporting Year]]&amp;"; "&amp;P217&amp;AS[[#This Row],[Insurance Category Code]]&amp;"; "&amp;Q217&amp;AS[[#This Row],[Large Provider Entity Code]]&amp;"; "&amp;R217&amp;AS[[#This Row],[Age Band Code]]&amp;"; "&amp;S217&amp;AS[[#This Row],[Sex Code]]</f>
        <v xml:space="preserve">Insurer Code ; Reporting Year ; Insurance Category Code ; Large Provider Entity Code ; Age Band Code ; Sex Code </v>
      </c>
      <c r="N217" s="345" t="s">
        <v>207</v>
      </c>
      <c r="O217" s="345" t="s">
        <v>208</v>
      </c>
      <c r="P217" s="345" t="s">
        <v>209</v>
      </c>
      <c r="Q217" s="345" t="s">
        <v>210</v>
      </c>
      <c r="R217" s="345" t="s">
        <v>223</v>
      </c>
      <c r="S217" s="345" t="s">
        <v>224</v>
      </c>
    </row>
    <row r="218" spans="1:19" x14ac:dyDescent="0.25">
      <c r="A218" s="311"/>
      <c r="B218" s="312"/>
      <c r="C218" s="312"/>
      <c r="D218" s="312"/>
      <c r="E218" s="312"/>
      <c r="F218" s="312"/>
      <c r="G218" s="328"/>
      <c r="H218" s="337"/>
      <c r="I218" s="334"/>
      <c r="J218" s="314"/>
      <c r="K218" s="449"/>
      <c r="M218" s="349" t="str">
        <f>N218&amp;AS[[#This Row],[Insurer Code]]&amp;"; "&amp;O218&amp;AS[[#This Row],[Reporting Year]]&amp;"; "&amp;P218&amp;AS[[#This Row],[Insurance Category Code]]&amp;"; "&amp;Q218&amp;AS[[#This Row],[Large Provider Entity Code]]&amp;"; "&amp;R218&amp;AS[[#This Row],[Age Band Code]]&amp;"; "&amp;S218&amp;AS[[#This Row],[Sex Code]]</f>
        <v xml:space="preserve">Insurer Code ; Reporting Year ; Insurance Category Code ; Large Provider Entity Code ; Age Band Code ; Sex Code </v>
      </c>
      <c r="N218" s="345" t="s">
        <v>207</v>
      </c>
      <c r="O218" s="345" t="s">
        <v>208</v>
      </c>
      <c r="P218" s="345" t="s">
        <v>209</v>
      </c>
      <c r="Q218" s="345" t="s">
        <v>210</v>
      </c>
      <c r="R218" s="345" t="s">
        <v>223</v>
      </c>
      <c r="S218" s="345" t="s">
        <v>224</v>
      </c>
    </row>
    <row r="219" spans="1:19" x14ac:dyDescent="0.25">
      <c r="A219" s="311"/>
      <c r="B219" s="312"/>
      <c r="C219" s="312"/>
      <c r="D219" s="312"/>
      <c r="E219" s="312"/>
      <c r="F219" s="312"/>
      <c r="G219" s="328"/>
      <c r="H219" s="337"/>
      <c r="I219" s="334"/>
      <c r="J219" s="314"/>
      <c r="K219" s="449"/>
      <c r="M219" s="349" t="str">
        <f>N219&amp;AS[[#This Row],[Insurer Code]]&amp;"; "&amp;O219&amp;AS[[#This Row],[Reporting Year]]&amp;"; "&amp;P219&amp;AS[[#This Row],[Insurance Category Code]]&amp;"; "&amp;Q219&amp;AS[[#This Row],[Large Provider Entity Code]]&amp;"; "&amp;R219&amp;AS[[#This Row],[Age Band Code]]&amp;"; "&amp;S219&amp;AS[[#This Row],[Sex Code]]</f>
        <v xml:space="preserve">Insurer Code ; Reporting Year ; Insurance Category Code ; Large Provider Entity Code ; Age Band Code ; Sex Code </v>
      </c>
      <c r="N219" s="345" t="s">
        <v>207</v>
      </c>
      <c r="O219" s="345" t="s">
        <v>208</v>
      </c>
      <c r="P219" s="345" t="s">
        <v>209</v>
      </c>
      <c r="Q219" s="345" t="s">
        <v>210</v>
      </c>
      <c r="R219" s="345" t="s">
        <v>223</v>
      </c>
      <c r="S219" s="345" t="s">
        <v>224</v>
      </c>
    </row>
    <row r="220" spans="1:19" x14ac:dyDescent="0.25">
      <c r="A220" s="311"/>
      <c r="B220" s="312"/>
      <c r="C220" s="312"/>
      <c r="D220" s="312"/>
      <c r="E220" s="312"/>
      <c r="F220" s="312"/>
      <c r="G220" s="328"/>
      <c r="H220" s="337"/>
      <c r="I220" s="334"/>
      <c r="J220" s="314"/>
      <c r="K220" s="449"/>
      <c r="M220" s="349" t="str">
        <f>N220&amp;AS[[#This Row],[Insurer Code]]&amp;"; "&amp;O220&amp;AS[[#This Row],[Reporting Year]]&amp;"; "&amp;P220&amp;AS[[#This Row],[Insurance Category Code]]&amp;"; "&amp;Q220&amp;AS[[#This Row],[Large Provider Entity Code]]&amp;"; "&amp;R220&amp;AS[[#This Row],[Age Band Code]]&amp;"; "&amp;S220&amp;AS[[#This Row],[Sex Code]]</f>
        <v xml:space="preserve">Insurer Code ; Reporting Year ; Insurance Category Code ; Large Provider Entity Code ; Age Band Code ; Sex Code </v>
      </c>
      <c r="N220" s="345" t="s">
        <v>207</v>
      </c>
      <c r="O220" s="345" t="s">
        <v>208</v>
      </c>
      <c r="P220" s="345" t="s">
        <v>209</v>
      </c>
      <c r="Q220" s="345" t="s">
        <v>210</v>
      </c>
      <c r="R220" s="345" t="s">
        <v>223</v>
      </c>
      <c r="S220" s="345" t="s">
        <v>224</v>
      </c>
    </row>
    <row r="221" spans="1:19" x14ac:dyDescent="0.25">
      <c r="A221" s="311"/>
      <c r="B221" s="312"/>
      <c r="C221" s="312"/>
      <c r="D221" s="312"/>
      <c r="E221" s="312"/>
      <c r="F221" s="312"/>
      <c r="G221" s="328"/>
      <c r="H221" s="337"/>
      <c r="I221" s="334"/>
      <c r="J221" s="314"/>
      <c r="K221" s="449"/>
      <c r="M221" s="349" t="str">
        <f>N221&amp;AS[[#This Row],[Insurer Code]]&amp;"; "&amp;O221&amp;AS[[#This Row],[Reporting Year]]&amp;"; "&amp;P221&amp;AS[[#This Row],[Insurance Category Code]]&amp;"; "&amp;Q221&amp;AS[[#This Row],[Large Provider Entity Code]]&amp;"; "&amp;R221&amp;AS[[#This Row],[Age Band Code]]&amp;"; "&amp;S221&amp;AS[[#This Row],[Sex Code]]</f>
        <v xml:space="preserve">Insurer Code ; Reporting Year ; Insurance Category Code ; Large Provider Entity Code ; Age Band Code ; Sex Code </v>
      </c>
      <c r="N221" s="345" t="s">
        <v>207</v>
      </c>
      <c r="O221" s="345" t="s">
        <v>208</v>
      </c>
      <c r="P221" s="345" t="s">
        <v>209</v>
      </c>
      <c r="Q221" s="345" t="s">
        <v>210</v>
      </c>
      <c r="R221" s="345" t="s">
        <v>223</v>
      </c>
      <c r="S221" s="345" t="s">
        <v>224</v>
      </c>
    </row>
    <row r="222" spans="1:19" x14ac:dyDescent="0.25">
      <c r="A222" s="311"/>
      <c r="B222" s="312"/>
      <c r="C222" s="312"/>
      <c r="D222" s="312"/>
      <c r="E222" s="312"/>
      <c r="F222" s="312"/>
      <c r="G222" s="328"/>
      <c r="H222" s="337"/>
      <c r="I222" s="334"/>
      <c r="J222" s="314"/>
      <c r="K222" s="449"/>
      <c r="M222" s="349" t="str">
        <f>N222&amp;AS[[#This Row],[Insurer Code]]&amp;"; "&amp;O222&amp;AS[[#This Row],[Reporting Year]]&amp;"; "&amp;P222&amp;AS[[#This Row],[Insurance Category Code]]&amp;"; "&amp;Q222&amp;AS[[#This Row],[Large Provider Entity Code]]&amp;"; "&amp;R222&amp;AS[[#This Row],[Age Band Code]]&amp;"; "&amp;S222&amp;AS[[#This Row],[Sex Code]]</f>
        <v xml:space="preserve">Insurer Code ; Reporting Year ; Insurance Category Code ; Large Provider Entity Code ; Age Band Code ; Sex Code </v>
      </c>
      <c r="N222" s="345" t="s">
        <v>207</v>
      </c>
      <c r="O222" s="345" t="s">
        <v>208</v>
      </c>
      <c r="P222" s="345" t="s">
        <v>209</v>
      </c>
      <c r="Q222" s="345" t="s">
        <v>210</v>
      </c>
      <c r="R222" s="345" t="s">
        <v>223</v>
      </c>
      <c r="S222" s="345" t="s">
        <v>224</v>
      </c>
    </row>
    <row r="223" spans="1:19" x14ac:dyDescent="0.25">
      <c r="A223" s="311"/>
      <c r="B223" s="312"/>
      <c r="C223" s="312"/>
      <c r="D223" s="312"/>
      <c r="E223" s="312"/>
      <c r="F223" s="312"/>
      <c r="G223" s="328"/>
      <c r="H223" s="337"/>
      <c r="I223" s="334"/>
      <c r="J223" s="314"/>
      <c r="K223" s="449"/>
      <c r="M223" s="349" t="str">
        <f>N223&amp;AS[[#This Row],[Insurer Code]]&amp;"; "&amp;O223&amp;AS[[#This Row],[Reporting Year]]&amp;"; "&amp;P223&amp;AS[[#This Row],[Insurance Category Code]]&amp;"; "&amp;Q223&amp;AS[[#This Row],[Large Provider Entity Code]]&amp;"; "&amp;R223&amp;AS[[#This Row],[Age Band Code]]&amp;"; "&amp;S223&amp;AS[[#This Row],[Sex Code]]</f>
        <v xml:space="preserve">Insurer Code ; Reporting Year ; Insurance Category Code ; Large Provider Entity Code ; Age Band Code ; Sex Code </v>
      </c>
      <c r="N223" s="345" t="s">
        <v>207</v>
      </c>
      <c r="O223" s="345" t="s">
        <v>208</v>
      </c>
      <c r="P223" s="345" t="s">
        <v>209</v>
      </c>
      <c r="Q223" s="345" t="s">
        <v>210</v>
      </c>
      <c r="R223" s="345" t="s">
        <v>223</v>
      </c>
      <c r="S223" s="345" t="s">
        <v>224</v>
      </c>
    </row>
    <row r="224" spans="1:19" x14ac:dyDescent="0.25">
      <c r="A224" s="311"/>
      <c r="B224" s="312"/>
      <c r="C224" s="312"/>
      <c r="D224" s="312"/>
      <c r="E224" s="312"/>
      <c r="F224" s="312"/>
      <c r="G224" s="328"/>
      <c r="H224" s="337"/>
      <c r="I224" s="334"/>
      <c r="J224" s="314"/>
      <c r="K224" s="449"/>
      <c r="M224" s="349" t="str">
        <f>N224&amp;AS[[#This Row],[Insurer Code]]&amp;"; "&amp;O224&amp;AS[[#This Row],[Reporting Year]]&amp;"; "&amp;P224&amp;AS[[#This Row],[Insurance Category Code]]&amp;"; "&amp;Q224&amp;AS[[#This Row],[Large Provider Entity Code]]&amp;"; "&amp;R224&amp;AS[[#This Row],[Age Band Code]]&amp;"; "&amp;S224&amp;AS[[#This Row],[Sex Code]]</f>
        <v xml:space="preserve">Insurer Code ; Reporting Year ; Insurance Category Code ; Large Provider Entity Code ; Age Band Code ; Sex Code </v>
      </c>
      <c r="N224" s="345" t="s">
        <v>207</v>
      </c>
      <c r="O224" s="345" t="s">
        <v>208</v>
      </c>
      <c r="P224" s="345" t="s">
        <v>209</v>
      </c>
      <c r="Q224" s="345" t="s">
        <v>210</v>
      </c>
      <c r="R224" s="345" t="s">
        <v>223</v>
      </c>
      <c r="S224" s="345" t="s">
        <v>224</v>
      </c>
    </row>
    <row r="225" spans="1:19" x14ac:dyDescent="0.25">
      <c r="A225" s="311"/>
      <c r="B225" s="312"/>
      <c r="C225" s="312"/>
      <c r="D225" s="312"/>
      <c r="E225" s="312"/>
      <c r="F225" s="312"/>
      <c r="G225" s="328"/>
      <c r="H225" s="337"/>
      <c r="I225" s="334"/>
      <c r="J225" s="314"/>
      <c r="K225" s="449"/>
      <c r="M225" s="349" t="str">
        <f>N225&amp;AS[[#This Row],[Insurer Code]]&amp;"; "&amp;O225&amp;AS[[#This Row],[Reporting Year]]&amp;"; "&amp;P225&amp;AS[[#This Row],[Insurance Category Code]]&amp;"; "&amp;Q225&amp;AS[[#This Row],[Large Provider Entity Code]]&amp;"; "&amp;R225&amp;AS[[#This Row],[Age Band Code]]&amp;"; "&amp;S225&amp;AS[[#This Row],[Sex Code]]</f>
        <v xml:space="preserve">Insurer Code ; Reporting Year ; Insurance Category Code ; Large Provider Entity Code ; Age Band Code ; Sex Code </v>
      </c>
      <c r="N225" s="345" t="s">
        <v>207</v>
      </c>
      <c r="O225" s="345" t="s">
        <v>208</v>
      </c>
      <c r="P225" s="345" t="s">
        <v>209</v>
      </c>
      <c r="Q225" s="345" t="s">
        <v>210</v>
      </c>
      <c r="R225" s="345" t="s">
        <v>223</v>
      </c>
      <c r="S225" s="345" t="s">
        <v>224</v>
      </c>
    </row>
    <row r="226" spans="1:19" x14ac:dyDescent="0.25">
      <c r="A226" s="311"/>
      <c r="B226" s="312"/>
      <c r="C226" s="312"/>
      <c r="D226" s="312"/>
      <c r="E226" s="312"/>
      <c r="F226" s="312"/>
      <c r="G226" s="328"/>
      <c r="H226" s="337"/>
      <c r="I226" s="334"/>
      <c r="J226" s="314"/>
      <c r="K226" s="449"/>
      <c r="M226" s="349" t="str">
        <f>N226&amp;AS[[#This Row],[Insurer Code]]&amp;"; "&amp;O226&amp;AS[[#This Row],[Reporting Year]]&amp;"; "&amp;P226&amp;AS[[#This Row],[Insurance Category Code]]&amp;"; "&amp;Q226&amp;AS[[#This Row],[Large Provider Entity Code]]&amp;"; "&amp;R226&amp;AS[[#This Row],[Age Band Code]]&amp;"; "&amp;S226&amp;AS[[#This Row],[Sex Code]]</f>
        <v xml:space="preserve">Insurer Code ; Reporting Year ; Insurance Category Code ; Large Provider Entity Code ; Age Band Code ; Sex Code </v>
      </c>
      <c r="N226" s="345" t="s">
        <v>207</v>
      </c>
      <c r="O226" s="345" t="s">
        <v>208</v>
      </c>
      <c r="P226" s="345" t="s">
        <v>209</v>
      </c>
      <c r="Q226" s="345" t="s">
        <v>210</v>
      </c>
      <c r="R226" s="345" t="s">
        <v>223</v>
      </c>
      <c r="S226" s="345" t="s">
        <v>224</v>
      </c>
    </row>
    <row r="227" spans="1:19" x14ac:dyDescent="0.25">
      <c r="A227" s="311"/>
      <c r="B227" s="312"/>
      <c r="C227" s="312"/>
      <c r="D227" s="312"/>
      <c r="E227" s="312"/>
      <c r="F227" s="312"/>
      <c r="G227" s="328"/>
      <c r="H227" s="337"/>
      <c r="I227" s="334"/>
      <c r="J227" s="314"/>
      <c r="K227" s="449"/>
      <c r="M227" s="349" t="str">
        <f>N227&amp;AS[[#This Row],[Insurer Code]]&amp;"; "&amp;O227&amp;AS[[#This Row],[Reporting Year]]&amp;"; "&amp;P227&amp;AS[[#This Row],[Insurance Category Code]]&amp;"; "&amp;Q227&amp;AS[[#This Row],[Large Provider Entity Code]]&amp;"; "&amp;R227&amp;AS[[#This Row],[Age Band Code]]&amp;"; "&amp;S227&amp;AS[[#This Row],[Sex Code]]</f>
        <v xml:space="preserve">Insurer Code ; Reporting Year ; Insurance Category Code ; Large Provider Entity Code ; Age Band Code ; Sex Code </v>
      </c>
      <c r="N227" s="345" t="s">
        <v>207</v>
      </c>
      <c r="O227" s="345" t="s">
        <v>208</v>
      </c>
      <c r="P227" s="345" t="s">
        <v>209</v>
      </c>
      <c r="Q227" s="345" t="s">
        <v>210</v>
      </c>
      <c r="R227" s="345" t="s">
        <v>223</v>
      </c>
      <c r="S227" s="345" t="s">
        <v>224</v>
      </c>
    </row>
    <row r="228" spans="1:19" x14ac:dyDescent="0.25">
      <c r="A228" s="311"/>
      <c r="B228" s="312"/>
      <c r="C228" s="312"/>
      <c r="D228" s="312"/>
      <c r="E228" s="312"/>
      <c r="F228" s="312"/>
      <c r="G228" s="328"/>
      <c r="H228" s="337"/>
      <c r="I228" s="334"/>
      <c r="J228" s="314"/>
      <c r="K228" s="449"/>
      <c r="M228" s="349" t="str">
        <f>N228&amp;AS[[#This Row],[Insurer Code]]&amp;"; "&amp;O228&amp;AS[[#This Row],[Reporting Year]]&amp;"; "&amp;P228&amp;AS[[#This Row],[Insurance Category Code]]&amp;"; "&amp;Q228&amp;AS[[#This Row],[Large Provider Entity Code]]&amp;"; "&amp;R228&amp;AS[[#This Row],[Age Band Code]]&amp;"; "&amp;S228&amp;AS[[#This Row],[Sex Code]]</f>
        <v xml:space="preserve">Insurer Code ; Reporting Year ; Insurance Category Code ; Large Provider Entity Code ; Age Band Code ; Sex Code </v>
      </c>
      <c r="N228" s="345" t="s">
        <v>207</v>
      </c>
      <c r="O228" s="345" t="s">
        <v>208</v>
      </c>
      <c r="P228" s="345" t="s">
        <v>209</v>
      </c>
      <c r="Q228" s="345" t="s">
        <v>210</v>
      </c>
      <c r="R228" s="345" t="s">
        <v>223</v>
      </c>
      <c r="S228" s="345" t="s">
        <v>224</v>
      </c>
    </row>
    <row r="229" spans="1:19" x14ac:dyDescent="0.25">
      <c r="A229" s="311"/>
      <c r="B229" s="312"/>
      <c r="C229" s="312"/>
      <c r="D229" s="312"/>
      <c r="E229" s="312"/>
      <c r="F229" s="312"/>
      <c r="G229" s="328"/>
      <c r="H229" s="337"/>
      <c r="I229" s="334"/>
      <c r="J229" s="314"/>
      <c r="K229" s="449"/>
      <c r="M229" s="349" t="str">
        <f>N229&amp;AS[[#This Row],[Insurer Code]]&amp;"; "&amp;O229&amp;AS[[#This Row],[Reporting Year]]&amp;"; "&amp;P229&amp;AS[[#This Row],[Insurance Category Code]]&amp;"; "&amp;Q229&amp;AS[[#This Row],[Large Provider Entity Code]]&amp;"; "&amp;R229&amp;AS[[#This Row],[Age Band Code]]&amp;"; "&amp;S229&amp;AS[[#This Row],[Sex Code]]</f>
        <v xml:space="preserve">Insurer Code ; Reporting Year ; Insurance Category Code ; Large Provider Entity Code ; Age Band Code ; Sex Code </v>
      </c>
      <c r="N229" s="345" t="s">
        <v>207</v>
      </c>
      <c r="O229" s="345" t="s">
        <v>208</v>
      </c>
      <c r="P229" s="345" t="s">
        <v>209</v>
      </c>
      <c r="Q229" s="345" t="s">
        <v>210</v>
      </c>
      <c r="R229" s="345" t="s">
        <v>223</v>
      </c>
      <c r="S229" s="345" t="s">
        <v>224</v>
      </c>
    </row>
    <row r="230" spans="1:19" x14ac:dyDescent="0.25">
      <c r="A230" s="311"/>
      <c r="B230" s="312"/>
      <c r="C230" s="312"/>
      <c r="D230" s="312"/>
      <c r="E230" s="312"/>
      <c r="F230" s="312"/>
      <c r="G230" s="328"/>
      <c r="H230" s="337"/>
      <c r="I230" s="334"/>
      <c r="J230" s="314"/>
      <c r="K230" s="449"/>
      <c r="M230" s="349" t="str">
        <f>N230&amp;AS[[#This Row],[Insurer Code]]&amp;"; "&amp;O230&amp;AS[[#This Row],[Reporting Year]]&amp;"; "&amp;P230&amp;AS[[#This Row],[Insurance Category Code]]&amp;"; "&amp;Q230&amp;AS[[#This Row],[Large Provider Entity Code]]&amp;"; "&amp;R230&amp;AS[[#This Row],[Age Band Code]]&amp;"; "&amp;S230&amp;AS[[#This Row],[Sex Code]]</f>
        <v xml:space="preserve">Insurer Code ; Reporting Year ; Insurance Category Code ; Large Provider Entity Code ; Age Band Code ; Sex Code </v>
      </c>
      <c r="N230" s="345" t="s">
        <v>207</v>
      </c>
      <c r="O230" s="345" t="s">
        <v>208</v>
      </c>
      <c r="P230" s="345" t="s">
        <v>209</v>
      </c>
      <c r="Q230" s="345" t="s">
        <v>210</v>
      </c>
      <c r="R230" s="345" t="s">
        <v>223</v>
      </c>
      <c r="S230" s="345" t="s">
        <v>224</v>
      </c>
    </row>
    <row r="231" spans="1:19" x14ac:dyDescent="0.25">
      <c r="A231" s="311"/>
      <c r="B231" s="312"/>
      <c r="C231" s="312"/>
      <c r="D231" s="312"/>
      <c r="E231" s="312"/>
      <c r="F231" s="312"/>
      <c r="G231" s="328"/>
      <c r="H231" s="337"/>
      <c r="I231" s="334"/>
      <c r="J231" s="314"/>
      <c r="K231" s="449"/>
      <c r="M231" s="349" t="str">
        <f>N231&amp;AS[[#This Row],[Insurer Code]]&amp;"; "&amp;O231&amp;AS[[#This Row],[Reporting Year]]&amp;"; "&amp;P231&amp;AS[[#This Row],[Insurance Category Code]]&amp;"; "&amp;Q231&amp;AS[[#This Row],[Large Provider Entity Code]]&amp;"; "&amp;R231&amp;AS[[#This Row],[Age Band Code]]&amp;"; "&amp;S231&amp;AS[[#This Row],[Sex Code]]</f>
        <v xml:space="preserve">Insurer Code ; Reporting Year ; Insurance Category Code ; Large Provider Entity Code ; Age Band Code ; Sex Code </v>
      </c>
      <c r="N231" s="345" t="s">
        <v>207</v>
      </c>
      <c r="O231" s="345" t="s">
        <v>208</v>
      </c>
      <c r="P231" s="345" t="s">
        <v>209</v>
      </c>
      <c r="Q231" s="345" t="s">
        <v>210</v>
      </c>
      <c r="R231" s="345" t="s">
        <v>223</v>
      </c>
      <c r="S231" s="345" t="s">
        <v>224</v>
      </c>
    </row>
    <row r="232" spans="1:19" x14ac:dyDescent="0.25">
      <c r="A232" s="311"/>
      <c r="B232" s="312"/>
      <c r="C232" s="312"/>
      <c r="D232" s="312"/>
      <c r="E232" s="312"/>
      <c r="F232" s="312"/>
      <c r="G232" s="328"/>
      <c r="H232" s="337"/>
      <c r="I232" s="334"/>
      <c r="J232" s="314"/>
      <c r="K232" s="449"/>
      <c r="M232" s="349" t="str">
        <f>N232&amp;AS[[#This Row],[Insurer Code]]&amp;"; "&amp;O232&amp;AS[[#This Row],[Reporting Year]]&amp;"; "&amp;P232&amp;AS[[#This Row],[Insurance Category Code]]&amp;"; "&amp;Q232&amp;AS[[#This Row],[Large Provider Entity Code]]&amp;"; "&amp;R232&amp;AS[[#This Row],[Age Band Code]]&amp;"; "&amp;S232&amp;AS[[#This Row],[Sex Code]]</f>
        <v xml:space="preserve">Insurer Code ; Reporting Year ; Insurance Category Code ; Large Provider Entity Code ; Age Band Code ; Sex Code </v>
      </c>
      <c r="N232" s="345" t="s">
        <v>207</v>
      </c>
      <c r="O232" s="345" t="s">
        <v>208</v>
      </c>
      <c r="P232" s="345" t="s">
        <v>209</v>
      </c>
      <c r="Q232" s="345" t="s">
        <v>210</v>
      </c>
      <c r="R232" s="345" t="s">
        <v>223</v>
      </c>
      <c r="S232" s="345" t="s">
        <v>224</v>
      </c>
    </row>
    <row r="233" spans="1:19" x14ac:dyDescent="0.25">
      <c r="A233" s="311"/>
      <c r="B233" s="312"/>
      <c r="C233" s="312"/>
      <c r="D233" s="312"/>
      <c r="E233" s="312"/>
      <c r="F233" s="312"/>
      <c r="G233" s="328"/>
      <c r="H233" s="337"/>
      <c r="I233" s="334"/>
      <c r="J233" s="314"/>
      <c r="K233" s="449"/>
      <c r="M233" s="349" t="str">
        <f>N233&amp;AS[[#This Row],[Insurer Code]]&amp;"; "&amp;O233&amp;AS[[#This Row],[Reporting Year]]&amp;"; "&amp;P233&amp;AS[[#This Row],[Insurance Category Code]]&amp;"; "&amp;Q233&amp;AS[[#This Row],[Large Provider Entity Code]]&amp;"; "&amp;R233&amp;AS[[#This Row],[Age Band Code]]&amp;"; "&amp;S233&amp;AS[[#This Row],[Sex Code]]</f>
        <v xml:space="preserve">Insurer Code ; Reporting Year ; Insurance Category Code ; Large Provider Entity Code ; Age Band Code ; Sex Code </v>
      </c>
      <c r="N233" s="345" t="s">
        <v>207</v>
      </c>
      <c r="O233" s="345" t="s">
        <v>208</v>
      </c>
      <c r="P233" s="345" t="s">
        <v>209</v>
      </c>
      <c r="Q233" s="345" t="s">
        <v>210</v>
      </c>
      <c r="R233" s="345" t="s">
        <v>223</v>
      </c>
      <c r="S233" s="345" t="s">
        <v>224</v>
      </c>
    </row>
    <row r="234" spans="1:19" x14ac:dyDescent="0.25">
      <c r="A234" s="311"/>
      <c r="B234" s="312"/>
      <c r="C234" s="312"/>
      <c r="D234" s="312"/>
      <c r="E234" s="312"/>
      <c r="F234" s="312"/>
      <c r="G234" s="328"/>
      <c r="H234" s="337"/>
      <c r="I234" s="334"/>
      <c r="J234" s="314"/>
      <c r="K234" s="449"/>
      <c r="M234" s="349" t="str">
        <f>N234&amp;AS[[#This Row],[Insurer Code]]&amp;"; "&amp;O234&amp;AS[[#This Row],[Reporting Year]]&amp;"; "&amp;P234&amp;AS[[#This Row],[Insurance Category Code]]&amp;"; "&amp;Q234&amp;AS[[#This Row],[Large Provider Entity Code]]&amp;"; "&amp;R234&amp;AS[[#This Row],[Age Band Code]]&amp;"; "&amp;S234&amp;AS[[#This Row],[Sex Code]]</f>
        <v xml:space="preserve">Insurer Code ; Reporting Year ; Insurance Category Code ; Large Provider Entity Code ; Age Band Code ; Sex Code </v>
      </c>
      <c r="N234" s="345" t="s">
        <v>207</v>
      </c>
      <c r="O234" s="345" t="s">
        <v>208</v>
      </c>
      <c r="P234" s="345" t="s">
        <v>209</v>
      </c>
      <c r="Q234" s="345" t="s">
        <v>210</v>
      </c>
      <c r="R234" s="345" t="s">
        <v>223</v>
      </c>
      <c r="S234" s="345" t="s">
        <v>224</v>
      </c>
    </row>
    <row r="235" spans="1:19" x14ac:dyDescent="0.25">
      <c r="A235" s="311"/>
      <c r="B235" s="312"/>
      <c r="C235" s="312"/>
      <c r="D235" s="312"/>
      <c r="E235" s="312"/>
      <c r="F235" s="312"/>
      <c r="G235" s="328"/>
      <c r="H235" s="337"/>
      <c r="I235" s="334"/>
      <c r="J235" s="314"/>
      <c r="K235" s="449"/>
      <c r="M235" s="349" t="str">
        <f>N235&amp;AS[[#This Row],[Insurer Code]]&amp;"; "&amp;O235&amp;AS[[#This Row],[Reporting Year]]&amp;"; "&amp;P235&amp;AS[[#This Row],[Insurance Category Code]]&amp;"; "&amp;Q235&amp;AS[[#This Row],[Large Provider Entity Code]]&amp;"; "&amp;R235&amp;AS[[#This Row],[Age Band Code]]&amp;"; "&amp;S235&amp;AS[[#This Row],[Sex Code]]</f>
        <v xml:space="preserve">Insurer Code ; Reporting Year ; Insurance Category Code ; Large Provider Entity Code ; Age Band Code ; Sex Code </v>
      </c>
      <c r="N235" s="345" t="s">
        <v>207</v>
      </c>
      <c r="O235" s="345" t="s">
        <v>208</v>
      </c>
      <c r="P235" s="345" t="s">
        <v>209</v>
      </c>
      <c r="Q235" s="345" t="s">
        <v>210</v>
      </c>
      <c r="R235" s="345" t="s">
        <v>223</v>
      </c>
      <c r="S235" s="345" t="s">
        <v>224</v>
      </c>
    </row>
    <row r="236" spans="1:19" x14ac:dyDescent="0.25">
      <c r="A236" s="311"/>
      <c r="B236" s="312"/>
      <c r="C236" s="312"/>
      <c r="D236" s="312"/>
      <c r="E236" s="312"/>
      <c r="F236" s="312"/>
      <c r="G236" s="328"/>
      <c r="H236" s="337"/>
      <c r="I236" s="334"/>
      <c r="J236" s="314"/>
      <c r="K236" s="449"/>
      <c r="M236" s="349" t="str">
        <f>N236&amp;AS[[#This Row],[Insurer Code]]&amp;"; "&amp;O236&amp;AS[[#This Row],[Reporting Year]]&amp;"; "&amp;P236&amp;AS[[#This Row],[Insurance Category Code]]&amp;"; "&amp;Q236&amp;AS[[#This Row],[Large Provider Entity Code]]&amp;"; "&amp;R236&amp;AS[[#This Row],[Age Band Code]]&amp;"; "&amp;S236&amp;AS[[#This Row],[Sex Code]]</f>
        <v xml:space="preserve">Insurer Code ; Reporting Year ; Insurance Category Code ; Large Provider Entity Code ; Age Band Code ; Sex Code </v>
      </c>
      <c r="N236" s="345" t="s">
        <v>207</v>
      </c>
      <c r="O236" s="345" t="s">
        <v>208</v>
      </c>
      <c r="P236" s="345" t="s">
        <v>209</v>
      </c>
      <c r="Q236" s="345" t="s">
        <v>210</v>
      </c>
      <c r="R236" s="345" t="s">
        <v>223</v>
      </c>
      <c r="S236" s="345" t="s">
        <v>224</v>
      </c>
    </row>
    <row r="237" spans="1:19" x14ac:dyDescent="0.25">
      <c r="A237" s="311"/>
      <c r="B237" s="312"/>
      <c r="C237" s="312"/>
      <c r="D237" s="312"/>
      <c r="E237" s="312"/>
      <c r="F237" s="312"/>
      <c r="G237" s="328"/>
      <c r="H237" s="337"/>
      <c r="I237" s="334"/>
      <c r="J237" s="314"/>
      <c r="K237" s="449"/>
      <c r="M237" s="349" t="str">
        <f>N237&amp;AS[[#This Row],[Insurer Code]]&amp;"; "&amp;O237&amp;AS[[#This Row],[Reporting Year]]&amp;"; "&amp;P237&amp;AS[[#This Row],[Insurance Category Code]]&amp;"; "&amp;Q237&amp;AS[[#This Row],[Large Provider Entity Code]]&amp;"; "&amp;R237&amp;AS[[#This Row],[Age Band Code]]&amp;"; "&amp;S237&amp;AS[[#This Row],[Sex Code]]</f>
        <v xml:space="preserve">Insurer Code ; Reporting Year ; Insurance Category Code ; Large Provider Entity Code ; Age Band Code ; Sex Code </v>
      </c>
      <c r="N237" s="345" t="s">
        <v>207</v>
      </c>
      <c r="O237" s="345" t="s">
        <v>208</v>
      </c>
      <c r="P237" s="345" t="s">
        <v>209</v>
      </c>
      <c r="Q237" s="345" t="s">
        <v>210</v>
      </c>
      <c r="R237" s="345" t="s">
        <v>223</v>
      </c>
      <c r="S237" s="345" t="s">
        <v>224</v>
      </c>
    </row>
    <row r="238" spans="1:19" x14ac:dyDescent="0.25">
      <c r="A238" s="311"/>
      <c r="B238" s="312"/>
      <c r="C238" s="312"/>
      <c r="D238" s="312"/>
      <c r="E238" s="312"/>
      <c r="F238" s="312"/>
      <c r="G238" s="328"/>
      <c r="H238" s="337"/>
      <c r="I238" s="334"/>
      <c r="J238" s="314"/>
      <c r="K238" s="449"/>
      <c r="M238" s="349" t="str">
        <f>N238&amp;AS[[#This Row],[Insurer Code]]&amp;"; "&amp;O238&amp;AS[[#This Row],[Reporting Year]]&amp;"; "&amp;P238&amp;AS[[#This Row],[Insurance Category Code]]&amp;"; "&amp;Q238&amp;AS[[#This Row],[Large Provider Entity Code]]&amp;"; "&amp;R238&amp;AS[[#This Row],[Age Band Code]]&amp;"; "&amp;S238&amp;AS[[#This Row],[Sex Code]]</f>
        <v xml:space="preserve">Insurer Code ; Reporting Year ; Insurance Category Code ; Large Provider Entity Code ; Age Band Code ; Sex Code </v>
      </c>
      <c r="N238" s="345" t="s">
        <v>207</v>
      </c>
      <c r="O238" s="345" t="s">
        <v>208</v>
      </c>
      <c r="P238" s="345" t="s">
        <v>209</v>
      </c>
      <c r="Q238" s="345" t="s">
        <v>210</v>
      </c>
      <c r="R238" s="345" t="s">
        <v>223</v>
      </c>
      <c r="S238" s="345" t="s">
        <v>224</v>
      </c>
    </row>
    <row r="239" spans="1:19" x14ac:dyDescent="0.25">
      <c r="A239" s="311"/>
      <c r="B239" s="312"/>
      <c r="C239" s="312"/>
      <c r="D239" s="312"/>
      <c r="E239" s="312"/>
      <c r="F239" s="312"/>
      <c r="G239" s="328"/>
      <c r="H239" s="337"/>
      <c r="I239" s="334"/>
      <c r="J239" s="314"/>
      <c r="K239" s="449"/>
      <c r="M239" s="349" t="str">
        <f>N239&amp;AS[[#This Row],[Insurer Code]]&amp;"; "&amp;O239&amp;AS[[#This Row],[Reporting Year]]&amp;"; "&amp;P239&amp;AS[[#This Row],[Insurance Category Code]]&amp;"; "&amp;Q239&amp;AS[[#This Row],[Large Provider Entity Code]]&amp;"; "&amp;R239&amp;AS[[#This Row],[Age Band Code]]&amp;"; "&amp;S239&amp;AS[[#This Row],[Sex Code]]</f>
        <v xml:space="preserve">Insurer Code ; Reporting Year ; Insurance Category Code ; Large Provider Entity Code ; Age Band Code ; Sex Code </v>
      </c>
      <c r="N239" s="345" t="s">
        <v>207</v>
      </c>
      <c r="O239" s="345" t="s">
        <v>208</v>
      </c>
      <c r="P239" s="345" t="s">
        <v>209</v>
      </c>
      <c r="Q239" s="345" t="s">
        <v>210</v>
      </c>
      <c r="R239" s="345" t="s">
        <v>223</v>
      </c>
      <c r="S239" s="345" t="s">
        <v>224</v>
      </c>
    </row>
    <row r="240" spans="1:19" x14ac:dyDescent="0.25">
      <c r="A240" s="311"/>
      <c r="B240" s="312"/>
      <c r="C240" s="312"/>
      <c r="D240" s="312"/>
      <c r="E240" s="312"/>
      <c r="F240" s="312"/>
      <c r="G240" s="328"/>
      <c r="H240" s="337"/>
      <c r="I240" s="334"/>
      <c r="J240" s="314"/>
      <c r="K240" s="449"/>
      <c r="M240" s="349" t="str">
        <f>N240&amp;AS[[#This Row],[Insurer Code]]&amp;"; "&amp;O240&amp;AS[[#This Row],[Reporting Year]]&amp;"; "&amp;P240&amp;AS[[#This Row],[Insurance Category Code]]&amp;"; "&amp;Q240&amp;AS[[#This Row],[Large Provider Entity Code]]&amp;"; "&amp;R240&amp;AS[[#This Row],[Age Band Code]]&amp;"; "&amp;S240&amp;AS[[#This Row],[Sex Code]]</f>
        <v xml:space="preserve">Insurer Code ; Reporting Year ; Insurance Category Code ; Large Provider Entity Code ; Age Band Code ; Sex Code </v>
      </c>
      <c r="N240" s="345" t="s">
        <v>207</v>
      </c>
      <c r="O240" s="345" t="s">
        <v>208</v>
      </c>
      <c r="P240" s="345" t="s">
        <v>209</v>
      </c>
      <c r="Q240" s="345" t="s">
        <v>210</v>
      </c>
      <c r="R240" s="345" t="s">
        <v>223</v>
      </c>
      <c r="S240" s="345" t="s">
        <v>224</v>
      </c>
    </row>
    <row r="241" spans="1:19" x14ac:dyDescent="0.25">
      <c r="A241" s="311"/>
      <c r="B241" s="312"/>
      <c r="C241" s="312"/>
      <c r="D241" s="312"/>
      <c r="E241" s="312"/>
      <c r="F241" s="312"/>
      <c r="G241" s="328"/>
      <c r="H241" s="337"/>
      <c r="I241" s="334"/>
      <c r="J241" s="314"/>
      <c r="K241" s="449"/>
      <c r="M241" s="349" t="str">
        <f>N241&amp;AS[[#This Row],[Insurer Code]]&amp;"; "&amp;O241&amp;AS[[#This Row],[Reporting Year]]&amp;"; "&amp;P241&amp;AS[[#This Row],[Insurance Category Code]]&amp;"; "&amp;Q241&amp;AS[[#This Row],[Large Provider Entity Code]]&amp;"; "&amp;R241&amp;AS[[#This Row],[Age Band Code]]&amp;"; "&amp;S241&amp;AS[[#This Row],[Sex Code]]</f>
        <v xml:space="preserve">Insurer Code ; Reporting Year ; Insurance Category Code ; Large Provider Entity Code ; Age Band Code ; Sex Code </v>
      </c>
      <c r="N241" s="345" t="s">
        <v>207</v>
      </c>
      <c r="O241" s="345" t="s">
        <v>208</v>
      </c>
      <c r="P241" s="345" t="s">
        <v>209</v>
      </c>
      <c r="Q241" s="345" t="s">
        <v>210</v>
      </c>
      <c r="R241" s="345" t="s">
        <v>223</v>
      </c>
      <c r="S241" s="345" t="s">
        <v>224</v>
      </c>
    </row>
    <row r="242" spans="1:19" x14ac:dyDescent="0.25">
      <c r="A242" s="311"/>
      <c r="B242" s="312"/>
      <c r="C242" s="312"/>
      <c r="D242" s="312"/>
      <c r="E242" s="312"/>
      <c r="F242" s="312"/>
      <c r="G242" s="328"/>
      <c r="H242" s="337"/>
      <c r="I242" s="334"/>
      <c r="J242" s="314"/>
      <c r="K242" s="449"/>
      <c r="M242" s="349" t="str">
        <f>N242&amp;AS[[#This Row],[Insurer Code]]&amp;"; "&amp;O242&amp;AS[[#This Row],[Reporting Year]]&amp;"; "&amp;P242&amp;AS[[#This Row],[Insurance Category Code]]&amp;"; "&amp;Q242&amp;AS[[#This Row],[Large Provider Entity Code]]&amp;"; "&amp;R242&amp;AS[[#This Row],[Age Band Code]]&amp;"; "&amp;S242&amp;AS[[#This Row],[Sex Code]]</f>
        <v xml:space="preserve">Insurer Code ; Reporting Year ; Insurance Category Code ; Large Provider Entity Code ; Age Band Code ; Sex Code </v>
      </c>
      <c r="N242" s="345" t="s">
        <v>207</v>
      </c>
      <c r="O242" s="345" t="s">
        <v>208</v>
      </c>
      <c r="P242" s="345" t="s">
        <v>209</v>
      </c>
      <c r="Q242" s="345" t="s">
        <v>210</v>
      </c>
      <c r="R242" s="345" t="s">
        <v>223</v>
      </c>
      <c r="S242" s="345" t="s">
        <v>224</v>
      </c>
    </row>
    <row r="243" spans="1:19" x14ac:dyDescent="0.25">
      <c r="A243" s="311"/>
      <c r="B243" s="312"/>
      <c r="C243" s="312"/>
      <c r="D243" s="312"/>
      <c r="E243" s="312"/>
      <c r="F243" s="312"/>
      <c r="G243" s="328"/>
      <c r="H243" s="337"/>
      <c r="I243" s="334"/>
      <c r="J243" s="314"/>
      <c r="K243" s="449"/>
      <c r="M243" s="349" t="str">
        <f>N243&amp;AS[[#This Row],[Insurer Code]]&amp;"; "&amp;O243&amp;AS[[#This Row],[Reporting Year]]&amp;"; "&amp;P243&amp;AS[[#This Row],[Insurance Category Code]]&amp;"; "&amp;Q243&amp;AS[[#This Row],[Large Provider Entity Code]]&amp;"; "&amp;R243&amp;AS[[#This Row],[Age Band Code]]&amp;"; "&amp;S243&amp;AS[[#This Row],[Sex Code]]</f>
        <v xml:space="preserve">Insurer Code ; Reporting Year ; Insurance Category Code ; Large Provider Entity Code ; Age Band Code ; Sex Code </v>
      </c>
      <c r="N243" s="345" t="s">
        <v>207</v>
      </c>
      <c r="O243" s="345" t="s">
        <v>208</v>
      </c>
      <c r="P243" s="345" t="s">
        <v>209</v>
      </c>
      <c r="Q243" s="345" t="s">
        <v>210</v>
      </c>
      <c r="R243" s="345" t="s">
        <v>223</v>
      </c>
      <c r="S243" s="345" t="s">
        <v>224</v>
      </c>
    </row>
    <row r="244" spans="1:19" x14ac:dyDescent="0.25">
      <c r="A244" s="311"/>
      <c r="B244" s="312"/>
      <c r="C244" s="312"/>
      <c r="D244" s="312"/>
      <c r="E244" s="312"/>
      <c r="F244" s="312"/>
      <c r="G244" s="328"/>
      <c r="H244" s="337"/>
      <c r="I244" s="334"/>
      <c r="J244" s="314"/>
      <c r="K244" s="449"/>
      <c r="M244" s="349" t="str">
        <f>N244&amp;AS[[#This Row],[Insurer Code]]&amp;"; "&amp;O244&amp;AS[[#This Row],[Reporting Year]]&amp;"; "&amp;P244&amp;AS[[#This Row],[Insurance Category Code]]&amp;"; "&amp;Q244&amp;AS[[#This Row],[Large Provider Entity Code]]&amp;"; "&amp;R244&amp;AS[[#This Row],[Age Band Code]]&amp;"; "&amp;S244&amp;AS[[#This Row],[Sex Code]]</f>
        <v xml:space="preserve">Insurer Code ; Reporting Year ; Insurance Category Code ; Large Provider Entity Code ; Age Band Code ; Sex Code </v>
      </c>
      <c r="N244" s="345" t="s">
        <v>207</v>
      </c>
      <c r="O244" s="345" t="s">
        <v>208</v>
      </c>
      <c r="P244" s="345" t="s">
        <v>209</v>
      </c>
      <c r="Q244" s="345" t="s">
        <v>210</v>
      </c>
      <c r="R244" s="345" t="s">
        <v>223</v>
      </c>
      <c r="S244" s="345" t="s">
        <v>224</v>
      </c>
    </row>
    <row r="245" spans="1:19" x14ac:dyDescent="0.25">
      <c r="A245" s="311"/>
      <c r="B245" s="312"/>
      <c r="C245" s="312"/>
      <c r="D245" s="312"/>
      <c r="E245" s="312"/>
      <c r="F245" s="312"/>
      <c r="G245" s="328"/>
      <c r="H245" s="337"/>
      <c r="I245" s="334"/>
      <c r="J245" s="314"/>
      <c r="K245" s="449"/>
      <c r="M245" s="349" t="str">
        <f>N245&amp;AS[[#This Row],[Insurer Code]]&amp;"; "&amp;O245&amp;AS[[#This Row],[Reporting Year]]&amp;"; "&amp;P245&amp;AS[[#This Row],[Insurance Category Code]]&amp;"; "&amp;Q245&amp;AS[[#This Row],[Large Provider Entity Code]]&amp;"; "&amp;R245&amp;AS[[#This Row],[Age Band Code]]&amp;"; "&amp;S245&amp;AS[[#This Row],[Sex Code]]</f>
        <v xml:space="preserve">Insurer Code ; Reporting Year ; Insurance Category Code ; Large Provider Entity Code ; Age Band Code ; Sex Code </v>
      </c>
      <c r="N245" s="345" t="s">
        <v>207</v>
      </c>
      <c r="O245" s="345" t="s">
        <v>208</v>
      </c>
      <c r="P245" s="345" t="s">
        <v>209</v>
      </c>
      <c r="Q245" s="345" t="s">
        <v>210</v>
      </c>
      <c r="R245" s="345" t="s">
        <v>223</v>
      </c>
      <c r="S245" s="345" t="s">
        <v>224</v>
      </c>
    </row>
    <row r="246" spans="1:19" x14ac:dyDescent="0.25">
      <c r="A246" s="311"/>
      <c r="B246" s="312"/>
      <c r="C246" s="312"/>
      <c r="D246" s="312"/>
      <c r="E246" s="312"/>
      <c r="F246" s="312"/>
      <c r="G246" s="328"/>
      <c r="H246" s="337"/>
      <c r="I246" s="334"/>
      <c r="J246" s="314"/>
      <c r="K246" s="449"/>
      <c r="M246" s="349" t="str">
        <f>N246&amp;AS[[#This Row],[Insurer Code]]&amp;"; "&amp;O246&amp;AS[[#This Row],[Reporting Year]]&amp;"; "&amp;P246&amp;AS[[#This Row],[Insurance Category Code]]&amp;"; "&amp;Q246&amp;AS[[#This Row],[Large Provider Entity Code]]&amp;"; "&amp;R246&amp;AS[[#This Row],[Age Band Code]]&amp;"; "&amp;S246&amp;AS[[#This Row],[Sex Code]]</f>
        <v xml:space="preserve">Insurer Code ; Reporting Year ; Insurance Category Code ; Large Provider Entity Code ; Age Band Code ; Sex Code </v>
      </c>
      <c r="N246" s="345" t="s">
        <v>207</v>
      </c>
      <c r="O246" s="345" t="s">
        <v>208</v>
      </c>
      <c r="P246" s="345" t="s">
        <v>209</v>
      </c>
      <c r="Q246" s="345" t="s">
        <v>210</v>
      </c>
      <c r="R246" s="345" t="s">
        <v>223</v>
      </c>
      <c r="S246" s="345" t="s">
        <v>224</v>
      </c>
    </row>
    <row r="247" spans="1:19" x14ac:dyDescent="0.25">
      <c r="A247" s="311"/>
      <c r="B247" s="312"/>
      <c r="C247" s="312"/>
      <c r="D247" s="312"/>
      <c r="E247" s="312"/>
      <c r="F247" s="312"/>
      <c r="G247" s="328"/>
      <c r="H247" s="337"/>
      <c r="I247" s="334"/>
      <c r="J247" s="314"/>
      <c r="K247" s="449"/>
      <c r="M247" s="349" t="str">
        <f>N247&amp;AS[[#This Row],[Insurer Code]]&amp;"; "&amp;O247&amp;AS[[#This Row],[Reporting Year]]&amp;"; "&amp;P247&amp;AS[[#This Row],[Insurance Category Code]]&amp;"; "&amp;Q247&amp;AS[[#This Row],[Large Provider Entity Code]]&amp;"; "&amp;R247&amp;AS[[#This Row],[Age Band Code]]&amp;"; "&amp;S247&amp;AS[[#This Row],[Sex Code]]</f>
        <v xml:space="preserve">Insurer Code ; Reporting Year ; Insurance Category Code ; Large Provider Entity Code ; Age Band Code ; Sex Code </v>
      </c>
      <c r="N247" s="345" t="s">
        <v>207</v>
      </c>
      <c r="O247" s="345" t="s">
        <v>208</v>
      </c>
      <c r="P247" s="345" t="s">
        <v>209</v>
      </c>
      <c r="Q247" s="345" t="s">
        <v>210</v>
      </c>
      <c r="R247" s="345" t="s">
        <v>223</v>
      </c>
      <c r="S247" s="345" t="s">
        <v>224</v>
      </c>
    </row>
    <row r="248" spans="1:19" x14ac:dyDescent="0.25">
      <c r="A248" s="311"/>
      <c r="B248" s="312"/>
      <c r="C248" s="312"/>
      <c r="D248" s="312"/>
      <c r="E248" s="312"/>
      <c r="F248" s="312"/>
      <c r="G248" s="328"/>
      <c r="H248" s="337"/>
      <c r="I248" s="334"/>
      <c r="J248" s="314"/>
      <c r="K248" s="449"/>
      <c r="M248" s="349" t="str">
        <f>N248&amp;AS[[#This Row],[Insurer Code]]&amp;"; "&amp;O248&amp;AS[[#This Row],[Reporting Year]]&amp;"; "&amp;P248&amp;AS[[#This Row],[Insurance Category Code]]&amp;"; "&amp;Q248&amp;AS[[#This Row],[Large Provider Entity Code]]&amp;"; "&amp;R248&amp;AS[[#This Row],[Age Band Code]]&amp;"; "&amp;S248&amp;AS[[#This Row],[Sex Code]]</f>
        <v xml:space="preserve">Insurer Code ; Reporting Year ; Insurance Category Code ; Large Provider Entity Code ; Age Band Code ; Sex Code </v>
      </c>
      <c r="N248" s="345" t="s">
        <v>207</v>
      </c>
      <c r="O248" s="345" t="s">
        <v>208</v>
      </c>
      <c r="P248" s="345" t="s">
        <v>209</v>
      </c>
      <c r="Q248" s="345" t="s">
        <v>210</v>
      </c>
      <c r="R248" s="345" t="s">
        <v>223</v>
      </c>
      <c r="S248" s="345" t="s">
        <v>224</v>
      </c>
    </row>
    <row r="249" spans="1:19" x14ac:dyDescent="0.25">
      <c r="A249" s="311"/>
      <c r="B249" s="312"/>
      <c r="C249" s="312"/>
      <c r="D249" s="312"/>
      <c r="E249" s="312"/>
      <c r="F249" s="312"/>
      <c r="G249" s="328"/>
      <c r="H249" s="337"/>
      <c r="I249" s="334"/>
      <c r="J249" s="314"/>
      <c r="K249" s="449"/>
      <c r="M249" s="349" t="str">
        <f>N249&amp;AS[[#This Row],[Insurer Code]]&amp;"; "&amp;O249&amp;AS[[#This Row],[Reporting Year]]&amp;"; "&amp;P249&amp;AS[[#This Row],[Insurance Category Code]]&amp;"; "&amp;Q249&amp;AS[[#This Row],[Large Provider Entity Code]]&amp;"; "&amp;R249&amp;AS[[#This Row],[Age Band Code]]&amp;"; "&amp;S249&amp;AS[[#This Row],[Sex Code]]</f>
        <v xml:space="preserve">Insurer Code ; Reporting Year ; Insurance Category Code ; Large Provider Entity Code ; Age Band Code ; Sex Code </v>
      </c>
      <c r="N249" s="345" t="s">
        <v>207</v>
      </c>
      <c r="O249" s="345" t="s">
        <v>208</v>
      </c>
      <c r="P249" s="345" t="s">
        <v>209</v>
      </c>
      <c r="Q249" s="345" t="s">
        <v>210</v>
      </c>
      <c r="R249" s="345" t="s">
        <v>223</v>
      </c>
      <c r="S249" s="345" t="s">
        <v>224</v>
      </c>
    </row>
    <row r="250" spans="1:19" x14ac:dyDescent="0.25">
      <c r="A250" s="311"/>
      <c r="B250" s="312"/>
      <c r="C250" s="312"/>
      <c r="D250" s="312"/>
      <c r="E250" s="312"/>
      <c r="F250" s="312"/>
      <c r="G250" s="328"/>
      <c r="H250" s="337"/>
      <c r="I250" s="334"/>
      <c r="J250" s="314"/>
      <c r="K250" s="449"/>
      <c r="M250" s="349" t="str">
        <f>N250&amp;AS[[#This Row],[Insurer Code]]&amp;"; "&amp;O250&amp;AS[[#This Row],[Reporting Year]]&amp;"; "&amp;P250&amp;AS[[#This Row],[Insurance Category Code]]&amp;"; "&amp;Q250&amp;AS[[#This Row],[Large Provider Entity Code]]&amp;"; "&amp;R250&amp;AS[[#This Row],[Age Band Code]]&amp;"; "&amp;S250&amp;AS[[#This Row],[Sex Code]]</f>
        <v xml:space="preserve">Insurer Code ; Reporting Year ; Insurance Category Code ; Large Provider Entity Code ; Age Band Code ; Sex Code </v>
      </c>
      <c r="N250" s="345" t="s">
        <v>207</v>
      </c>
      <c r="O250" s="345" t="s">
        <v>208</v>
      </c>
      <c r="P250" s="345" t="s">
        <v>209</v>
      </c>
      <c r="Q250" s="345" t="s">
        <v>210</v>
      </c>
      <c r="R250" s="345" t="s">
        <v>223</v>
      </c>
      <c r="S250" s="345" t="s">
        <v>224</v>
      </c>
    </row>
    <row r="251" spans="1:19" x14ac:dyDescent="0.25">
      <c r="A251" s="311"/>
      <c r="B251" s="312"/>
      <c r="C251" s="312"/>
      <c r="D251" s="312"/>
      <c r="E251" s="312"/>
      <c r="F251" s="312"/>
      <c r="G251" s="328"/>
      <c r="H251" s="337"/>
      <c r="I251" s="334"/>
      <c r="J251" s="314"/>
      <c r="K251" s="449"/>
      <c r="M251" s="349" t="str">
        <f>N251&amp;AS[[#This Row],[Insurer Code]]&amp;"; "&amp;O251&amp;AS[[#This Row],[Reporting Year]]&amp;"; "&amp;P251&amp;AS[[#This Row],[Insurance Category Code]]&amp;"; "&amp;Q251&amp;AS[[#This Row],[Large Provider Entity Code]]&amp;"; "&amp;R251&amp;AS[[#This Row],[Age Band Code]]&amp;"; "&amp;S251&amp;AS[[#This Row],[Sex Code]]</f>
        <v xml:space="preserve">Insurer Code ; Reporting Year ; Insurance Category Code ; Large Provider Entity Code ; Age Band Code ; Sex Code </v>
      </c>
      <c r="N251" s="345" t="s">
        <v>207</v>
      </c>
      <c r="O251" s="345" t="s">
        <v>208</v>
      </c>
      <c r="P251" s="345" t="s">
        <v>209</v>
      </c>
      <c r="Q251" s="345" t="s">
        <v>210</v>
      </c>
      <c r="R251" s="345" t="s">
        <v>223</v>
      </c>
      <c r="S251" s="345" t="s">
        <v>224</v>
      </c>
    </row>
    <row r="252" spans="1:19" x14ac:dyDescent="0.25">
      <c r="A252" s="311"/>
      <c r="B252" s="312"/>
      <c r="C252" s="312"/>
      <c r="D252" s="312"/>
      <c r="E252" s="312"/>
      <c r="F252" s="312"/>
      <c r="G252" s="328"/>
      <c r="H252" s="337"/>
      <c r="I252" s="334"/>
      <c r="J252" s="314"/>
      <c r="K252" s="449"/>
      <c r="M252" s="349" t="str">
        <f>N252&amp;AS[[#This Row],[Insurer Code]]&amp;"; "&amp;O252&amp;AS[[#This Row],[Reporting Year]]&amp;"; "&amp;P252&amp;AS[[#This Row],[Insurance Category Code]]&amp;"; "&amp;Q252&amp;AS[[#This Row],[Large Provider Entity Code]]&amp;"; "&amp;R252&amp;AS[[#This Row],[Age Band Code]]&amp;"; "&amp;S252&amp;AS[[#This Row],[Sex Code]]</f>
        <v xml:space="preserve">Insurer Code ; Reporting Year ; Insurance Category Code ; Large Provider Entity Code ; Age Band Code ; Sex Code </v>
      </c>
      <c r="N252" s="345" t="s">
        <v>207</v>
      </c>
      <c r="O252" s="345" t="s">
        <v>208</v>
      </c>
      <c r="P252" s="345" t="s">
        <v>209</v>
      </c>
      <c r="Q252" s="345" t="s">
        <v>210</v>
      </c>
      <c r="R252" s="345" t="s">
        <v>223</v>
      </c>
      <c r="S252" s="345" t="s">
        <v>224</v>
      </c>
    </row>
    <row r="253" spans="1:19" x14ac:dyDescent="0.25">
      <c r="A253" s="311"/>
      <c r="B253" s="312"/>
      <c r="C253" s="312"/>
      <c r="D253" s="312"/>
      <c r="E253" s="312"/>
      <c r="F253" s="312"/>
      <c r="G253" s="328"/>
      <c r="H253" s="337"/>
      <c r="I253" s="334"/>
      <c r="J253" s="314"/>
      <c r="K253" s="449"/>
      <c r="M253" s="349" t="str">
        <f>N253&amp;AS[[#This Row],[Insurer Code]]&amp;"; "&amp;O253&amp;AS[[#This Row],[Reporting Year]]&amp;"; "&amp;P253&amp;AS[[#This Row],[Insurance Category Code]]&amp;"; "&amp;Q253&amp;AS[[#This Row],[Large Provider Entity Code]]&amp;"; "&amp;R253&amp;AS[[#This Row],[Age Band Code]]&amp;"; "&amp;S253&amp;AS[[#This Row],[Sex Code]]</f>
        <v xml:space="preserve">Insurer Code ; Reporting Year ; Insurance Category Code ; Large Provider Entity Code ; Age Band Code ; Sex Code </v>
      </c>
      <c r="N253" s="345" t="s">
        <v>207</v>
      </c>
      <c r="O253" s="345" t="s">
        <v>208</v>
      </c>
      <c r="P253" s="345" t="s">
        <v>209</v>
      </c>
      <c r="Q253" s="345" t="s">
        <v>210</v>
      </c>
      <c r="R253" s="345" t="s">
        <v>223</v>
      </c>
      <c r="S253" s="345" t="s">
        <v>224</v>
      </c>
    </row>
    <row r="254" spans="1:19" x14ac:dyDescent="0.25">
      <c r="A254" s="311"/>
      <c r="B254" s="312"/>
      <c r="C254" s="312"/>
      <c r="D254" s="312"/>
      <c r="E254" s="312"/>
      <c r="F254" s="312"/>
      <c r="G254" s="328"/>
      <c r="H254" s="337"/>
      <c r="I254" s="334"/>
      <c r="J254" s="314"/>
      <c r="K254" s="449"/>
      <c r="M254" s="349" t="str">
        <f>N254&amp;AS[[#This Row],[Insurer Code]]&amp;"; "&amp;O254&amp;AS[[#This Row],[Reporting Year]]&amp;"; "&amp;P254&amp;AS[[#This Row],[Insurance Category Code]]&amp;"; "&amp;Q254&amp;AS[[#This Row],[Large Provider Entity Code]]&amp;"; "&amp;R254&amp;AS[[#This Row],[Age Band Code]]&amp;"; "&amp;S254&amp;AS[[#This Row],[Sex Code]]</f>
        <v xml:space="preserve">Insurer Code ; Reporting Year ; Insurance Category Code ; Large Provider Entity Code ; Age Band Code ; Sex Code </v>
      </c>
      <c r="N254" s="345" t="s">
        <v>207</v>
      </c>
      <c r="O254" s="345" t="s">
        <v>208</v>
      </c>
      <c r="P254" s="345" t="s">
        <v>209</v>
      </c>
      <c r="Q254" s="345" t="s">
        <v>210</v>
      </c>
      <c r="R254" s="345" t="s">
        <v>223</v>
      </c>
      <c r="S254" s="345" t="s">
        <v>224</v>
      </c>
    </row>
    <row r="255" spans="1:19" x14ac:dyDescent="0.25">
      <c r="A255" s="311"/>
      <c r="B255" s="312"/>
      <c r="C255" s="312"/>
      <c r="D255" s="312"/>
      <c r="E255" s="312"/>
      <c r="F255" s="312"/>
      <c r="G255" s="328"/>
      <c r="H255" s="337"/>
      <c r="I255" s="334"/>
      <c r="J255" s="314"/>
      <c r="K255" s="449"/>
      <c r="M255" s="349" t="str">
        <f>N255&amp;AS[[#This Row],[Insurer Code]]&amp;"; "&amp;O255&amp;AS[[#This Row],[Reporting Year]]&amp;"; "&amp;P255&amp;AS[[#This Row],[Insurance Category Code]]&amp;"; "&amp;Q255&amp;AS[[#This Row],[Large Provider Entity Code]]&amp;"; "&amp;R255&amp;AS[[#This Row],[Age Band Code]]&amp;"; "&amp;S255&amp;AS[[#This Row],[Sex Code]]</f>
        <v xml:space="preserve">Insurer Code ; Reporting Year ; Insurance Category Code ; Large Provider Entity Code ; Age Band Code ; Sex Code </v>
      </c>
      <c r="N255" s="345" t="s">
        <v>207</v>
      </c>
      <c r="O255" s="345" t="s">
        <v>208</v>
      </c>
      <c r="P255" s="345" t="s">
        <v>209</v>
      </c>
      <c r="Q255" s="345" t="s">
        <v>210</v>
      </c>
      <c r="R255" s="345" t="s">
        <v>223</v>
      </c>
      <c r="S255" s="345" t="s">
        <v>224</v>
      </c>
    </row>
    <row r="256" spans="1:19" x14ac:dyDescent="0.25">
      <c r="A256" s="311"/>
      <c r="B256" s="312"/>
      <c r="C256" s="312"/>
      <c r="D256" s="312"/>
      <c r="E256" s="312"/>
      <c r="F256" s="312"/>
      <c r="G256" s="328"/>
      <c r="H256" s="337"/>
      <c r="I256" s="334"/>
      <c r="J256" s="314"/>
      <c r="K256" s="449"/>
      <c r="M256" s="349" t="str">
        <f>N256&amp;AS[[#This Row],[Insurer Code]]&amp;"; "&amp;O256&amp;AS[[#This Row],[Reporting Year]]&amp;"; "&amp;P256&amp;AS[[#This Row],[Insurance Category Code]]&amp;"; "&amp;Q256&amp;AS[[#This Row],[Large Provider Entity Code]]&amp;"; "&amp;R256&amp;AS[[#This Row],[Age Band Code]]&amp;"; "&amp;S256&amp;AS[[#This Row],[Sex Code]]</f>
        <v xml:space="preserve">Insurer Code ; Reporting Year ; Insurance Category Code ; Large Provider Entity Code ; Age Band Code ; Sex Code </v>
      </c>
      <c r="N256" s="345" t="s">
        <v>207</v>
      </c>
      <c r="O256" s="345" t="s">
        <v>208</v>
      </c>
      <c r="P256" s="345" t="s">
        <v>209</v>
      </c>
      <c r="Q256" s="345" t="s">
        <v>210</v>
      </c>
      <c r="R256" s="345" t="s">
        <v>223</v>
      </c>
      <c r="S256" s="345" t="s">
        <v>224</v>
      </c>
    </row>
    <row r="257" spans="1:19" x14ac:dyDescent="0.25">
      <c r="A257" s="311"/>
      <c r="B257" s="312"/>
      <c r="C257" s="312"/>
      <c r="D257" s="312"/>
      <c r="E257" s="312"/>
      <c r="F257" s="312"/>
      <c r="G257" s="328"/>
      <c r="H257" s="337"/>
      <c r="I257" s="334"/>
      <c r="J257" s="314"/>
      <c r="K257" s="449"/>
      <c r="M257" s="349" t="str">
        <f>N257&amp;AS[[#This Row],[Insurer Code]]&amp;"; "&amp;O257&amp;AS[[#This Row],[Reporting Year]]&amp;"; "&amp;P257&amp;AS[[#This Row],[Insurance Category Code]]&amp;"; "&amp;Q257&amp;AS[[#This Row],[Large Provider Entity Code]]&amp;"; "&amp;R257&amp;AS[[#This Row],[Age Band Code]]&amp;"; "&amp;S257&amp;AS[[#This Row],[Sex Code]]</f>
        <v xml:space="preserve">Insurer Code ; Reporting Year ; Insurance Category Code ; Large Provider Entity Code ; Age Band Code ; Sex Code </v>
      </c>
      <c r="N257" s="345" t="s">
        <v>207</v>
      </c>
      <c r="O257" s="345" t="s">
        <v>208</v>
      </c>
      <c r="P257" s="345" t="s">
        <v>209</v>
      </c>
      <c r="Q257" s="345" t="s">
        <v>210</v>
      </c>
      <c r="R257" s="345" t="s">
        <v>223</v>
      </c>
      <c r="S257" s="345" t="s">
        <v>224</v>
      </c>
    </row>
    <row r="258" spans="1:19" x14ac:dyDescent="0.25">
      <c r="A258" s="311"/>
      <c r="B258" s="312"/>
      <c r="C258" s="312"/>
      <c r="D258" s="312"/>
      <c r="E258" s="312"/>
      <c r="F258" s="312"/>
      <c r="G258" s="328"/>
      <c r="H258" s="337"/>
      <c r="I258" s="334"/>
      <c r="J258" s="314"/>
      <c r="K258" s="449"/>
      <c r="M258" s="349" t="str">
        <f>N258&amp;AS[[#This Row],[Insurer Code]]&amp;"; "&amp;O258&amp;AS[[#This Row],[Reporting Year]]&amp;"; "&amp;P258&amp;AS[[#This Row],[Insurance Category Code]]&amp;"; "&amp;Q258&amp;AS[[#This Row],[Large Provider Entity Code]]&amp;"; "&amp;R258&amp;AS[[#This Row],[Age Band Code]]&amp;"; "&amp;S258&amp;AS[[#This Row],[Sex Code]]</f>
        <v xml:space="preserve">Insurer Code ; Reporting Year ; Insurance Category Code ; Large Provider Entity Code ; Age Band Code ; Sex Code </v>
      </c>
      <c r="N258" s="345" t="s">
        <v>207</v>
      </c>
      <c r="O258" s="345" t="s">
        <v>208</v>
      </c>
      <c r="P258" s="345" t="s">
        <v>209</v>
      </c>
      <c r="Q258" s="345" t="s">
        <v>210</v>
      </c>
      <c r="R258" s="345" t="s">
        <v>223</v>
      </c>
      <c r="S258" s="345" t="s">
        <v>224</v>
      </c>
    </row>
    <row r="259" spans="1:19" x14ac:dyDescent="0.25">
      <c r="A259" s="311"/>
      <c r="B259" s="312"/>
      <c r="C259" s="312"/>
      <c r="D259" s="312"/>
      <c r="E259" s="312"/>
      <c r="F259" s="312"/>
      <c r="G259" s="328"/>
      <c r="H259" s="337"/>
      <c r="I259" s="334"/>
      <c r="J259" s="314"/>
      <c r="K259" s="449"/>
      <c r="M259" s="349" t="str">
        <f>N259&amp;AS[[#This Row],[Insurer Code]]&amp;"; "&amp;O259&amp;AS[[#This Row],[Reporting Year]]&amp;"; "&amp;P259&amp;AS[[#This Row],[Insurance Category Code]]&amp;"; "&amp;Q259&amp;AS[[#This Row],[Large Provider Entity Code]]&amp;"; "&amp;R259&amp;AS[[#This Row],[Age Band Code]]&amp;"; "&amp;S259&amp;AS[[#This Row],[Sex Code]]</f>
        <v xml:space="preserve">Insurer Code ; Reporting Year ; Insurance Category Code ; Large Provider Entity Code ; Age Band Code ; Sex Code </v>
      </c>
      <c r="N259" s="345" t="s">
        <v>207</v>
      </c>
      <c r="O259" s="345" t="s">
        <v>208</v>
      </c>
      <c r="P259" s="345" t="s">
        <v>209</v>
      </c>
      <c r="Q259" s="345" t="s">
        <v>210</v>
      </c>
      <c r="R259" s="345" t="s">
        <v>223</v>
      </c>
      <c r="S259" s="345" t="s">
        <v>224</v>
      </c>
    </row>
    <row r="260" spans="1:19" x14ac:dyDescent="0.25">
      <c r="A260" s="311"/>
      <c r="B260" s="312"/>
      <c r="C260" s="312"/>
      <c r="D260" s="312"/>
      <c r="E260" s="312"/>
      <c r="F260" s="312"/>
      <c r="G260" s="328"/>
      <c r="H260" s="337"/>
      <c r="I260" s="334"/>
      <c r="J260" s="314"/>
      <c r="K260" s="449"/>
      <c r="M260" s="349" t="str">
        <f>N260&amp;AS[[#This Row],[Insurer Code]]&amp;"; "&amp;O260&amp;AS[[#This Row],[Reporting Year]]&amp;"; "&amp;P260&amp;AS[[#This Row],[Insurance Category Code]]&amp;"; "&amp;Q260&amp;AS[[#This Row],[Large Provider Entity Code]]&amp;"; "&amp;R260&amp;AS[[#This Row],[Age Band Code]]&amp;"; "&amp;S260&amp;AS[[#This Row],[Sex Code]]</f>
        <v xml:space="preserve">Insurer Code ; Reporting Year ; Insurance Category Code ; Large Provider Entity Code ; Age Band Code ; Sex Code </v>
      </c>
      <c r="N260" s="345" t="s">
        <v>207</v>
      </c>
      <c r="O260" s="345" t="s">
        <v>208</v>
      </c>
      <c r="P260" s="345" t="s">
        <v>209</v>
      </c>
      <c r="Q260" s="345" t="s">
        <v>210</v>
      </c>
      <c r="R260" s="345" t="s">
        <v>223</v>
      </c>
      <c r="S260" s="345" t="s">
        <v>224</v>
      </c>
    </row>
    <row r="261" spans="1:19" x14ac:dyDescent="0.25">
      <c r="A261" s="311"/>
      <c r="B261" s="312"/>
      <c r="C261" s="312"/>
      <c r="D261" s="312"/>
      <c r="E261" s="312"/>
      <c r="F261" s="312"/>
      <c r="G261" s="328"/>
      <c r="H261" s="337"/>
      <c r="I261" s="334"/>
      <c r="J261" s="314"/>
      <c r="K261" s="449"/>
      <c r="M261" s="349" t="str">
        <f>N261&amp;AS[[#This Row],[Insurer Code]]&amp;"; "&amp;O261&amp;AS[[#This Row],[Reporting Year]]&amp;"; "&amp;P261&amp;AS[[#This Row],[Insurance Category Code]]&amp;"; "&amp;Q261&amp;AS[[#This Row],[Large Provider Entity Code]]&amp;"; "&amp;R261&amp;AS[[#This Row],[Age Band Code]]&amp;"; "&amp;S261&amp;AS[[#This Row],[Sex Code]]</f>
        <v xml:space="preserve">Insurer Code ; Reporting Year ; Insurance Category Code ; Large Provider Entity Code ; Age Band Code ; Sex Code </v>
      </c>
      <c r="N261" s="345" t="s">
        <v>207</v>
      </c>
      <c r="O261" s="345" t="s">
        <v>208</v>
      </c>
      <c r="P261" s="345" t="s">
        <v>209</v>
      </c>
      <c r="Q261" s="345" t="s">
        <v>210</v>
      </c>
      <c r="R261" s="345" t="s">
        <v>223</v>
      </c>
      <c r="S261" s="345" t="s">
        <v>224</v>
      </c>
    </row>
    <row r="262" spans="1:19" x14ac:dyDescent="0.25">
      <c r="A262" s="311"/>
      <c r="B262" s="312"/>
      <c r="C262" s="312"/>
      <c r="D262" s="312"/>
      <c r="E262" s="312"/>
      <c r="F262" s="312"/>
      <c r="G262" s="328"/>
      <c r="H262" s="337"/>
      <c r="I262" s="334"/>
      <c r="J262" s="314"/>
      <c r="K262" s="449"/>
      <c r="M262" s="349" t="str">
        <f>N262&amp;AS[[#This Row],[Insurer Code]]&amp;"; "&amp;O262&amp;AS[[#This Row],[Reporting Year]]&amp;"; "&amp;P262&amp;AS[[#This Row],[Insurance Category Code]]&amp;"; "&amp;Q262&amp;AS[[#This Row],[Large Provider Entity Code]]&amp;"; "&amp;R262&amp;AS[[#This Row],[Age Band Code]]&amp;"; "&amp;S262&amp;AS[[#This Row],[Sex Code]]</f>
        <v xml:space="preserve">Insurer Code ; Reporting Year ; Insurance Category Code ; Large Provider Entity Code ; Age Band Code ; Sex Code </v>
      </c>
      <c r="N262" s="345" t="s">
        <v>207</v>
      </c>
      <c r="O262" s="345" t="s">
        <v>208</v>
      </c>
      <c r="P262" s="345" t="s">
        <v>209</v>
      </c>
      <c r="Q262" s="345" t="s">
        <v>210</v>
      </c>
      <c r="R262" s="345" t="s">
        <v>223</v>
      </c>
      <c r="S262" s="345" t="s">
        <v>224</v>
      </c>
    </row>
    <row r="263" spans="1:19" x14ac:dyDescent="0.25">
      <c r="A263" s="311"/>
      <c r="B263" s="312"/>
      <c r="C263" s="312"/>
      <c r="D263" s="312"/>
      <c r="E263" s="312"/>
      <c r="F263" s="312"/>
      <c r="G263" s="328"/>
      <c r="H263" s="337"/>
      <c r="I263" s="334"/>
      <c r="J263" s="314"/>
      <c r="K263" s="449"/>
      <c r="M263" s="349" t="str">
        <f>N263&amp;AS[[#This Row],[Insurer Code]]&amp;"; "&amp;O263&amp;AS[[#This Row],[Reporting Year]]&amp;"; "&amp;P263&amp;AS[[#This Row],[Insurance Category Code]]&amp;"; "&amp;Q263&amp;AS[[#This Row],[Large Provider Entity Code]]&amp;"; "&amp;R263&amp;AS[[#This Row],[Age Band Code]]&amp;"; "&amp;S263&amp;AS[[#This Row],[Sex Code]]</f>
        <v xml:space="preserve">Insurer Code ; Reporting Year ; Insurance Category Code ; Large Provider Entity Code ; Age Band Code ; Sex Code </v>
      </c>
      <c r="N263" s="345" t="s">
        <v>207</v>
      </c>
      <c r="O263" s="345" t="s">
        <v>208</v>
      </c>
      <c r="P263" s="345" t="s">
        <v>209</v>
      </c>
      <c r="Q263" s="345" t="s">
        <v>210</v>
      </c>
      <c r="R263" s="345" t="s">
        <v>223</v>
      </c>
      <c r="S263" s="345" t="s">
        <v>224</v>
      </c>
    </row>
    <row r="264" spans="1:19" x14ac:dyDescent="0.25">
      <c r="A264" s="311"/>
      <c r="B264" s="312"/>
      <c r="C264" s="312"/>
      <c r="D264" s="312"/>
      <c r="E264" s="312"/>
      <c r="F264" s="312"/>
      <c r="G264" s="328"/>
      <c r="H264" s="337"/>
      <c r="I264" s="334"/>
      <c r="J264" s="314"/>
      <c r="K264" s="449"/>
      <c r="M264" s="349" t="str">
        <f>N264&amp;AS[[#This Row],[Insurer Code]]&amp;"; "&amp;O264&amp;AS[[#This Row],[Reporting Year]]&amp;"; "&amp;P264&amp;AS[[#This Row],[Insurance Category Code]]&amp;"; "&amp;Q264&amp;AS[[#This Row],[Large Provider Entity Code]]&amp;"; "&amp;R264&amp;AS[[#This Row],[Age Band Code]]&amp;"; "&amp;S264&amp;AS[[#This Row],[Sex Code]]</f>
        <v xml:space="preserve">Insurer Code ; Reporting Year ; Insurance Category Code ; Large Provider Entity Code ; Age Band Code ; Sex Code </v>
      </c>
      <c r="N264" s="345" t="s">
        <v>207</v>
      </c>
      <c r="O264" s="345" t="s">
        <v>208</v>
      </c>
      <c r="P264" s="345" t="s">
        <v>209</v>
      </c>
      <c r="Q264" s="345" t="s">
        <v>210</v>
      </c>
      <c r="R264" s="345" t="s">
        <v>223</v>
      </c>
      <c r="S264" s="345" t="s">
        <v>224</v>
      </c>
    </row>
    <row r="265" spans="1:19" x14ac:dyDescent="0.25">
      <c r="A265" s="311"/>
      <c r="B265" s="312"/>
      <c r="C265" s="312"/>
      <c r="D265" s="312"/>
      <c r="E265" s="312"/>
      <c r="F265" s="312"/>
      <c r="G265" s="328"/>
      <c r="H265" s="337"/>
      <c r="I265" s="334"/>
      <c r="J265" s="314"/>
      <c r="K265" s="449"/>
      <c r="M265" s="349" t="str">
        <f>N265&amp;AS[[#This Row],[Insurer Code]]&amp;"; "&amp;O265&amp;AS[[#This Row],[Reporting Year]]&amp;"; "&amp;P265&amp;AS[[#This Row],[Insurance Category Code]]&amp;"; "&amp;Q265&amp;AS[[#This Row],[Large Provider Entity Code]]&amp;"; "&amp;R265&amp;AS[[#This Row],[Age Band Code]]&amp;"; "&amp;S265&amp;AS[[#This Row],[Sex Code]]</f>
        <v xml:space="preserve">Insurer Code ; Reporting Year ; Insurance Category Code ; Large Provider Entity Code ; Age Band Code ; Sex Code </v>
      </c>
      <c r="N265" s="345" t="s">
        <v>207</v>
      </c>
      <c r="O265" s="345" t="s">
        <v>208</v>
      </c>
      <c r="P265" s="345" t="s">
        <v>209</v>
      </c>
      <c r="Q265" s="345" t="s">
        <v>210</v>
      </c>
      <c r="R265" s="345" t="s">
        <v>223</v>
      </c>
      <c r="S265" s="345" t="s">
        <v>224</v>
      </c>
    </row>
    <row r="266" spans="1:19" x14ac:dyDescent="0.25">
      <c r="A266" s="311"/>
      <c r="B266" s="312"/>
      <c r="C266" s="312"/>
      <c r="D266" s="312"/>
      <c r="E266" s="312"/>
      <c r="F266" s="312"/>
      <c r="G266" s="328"/>
      <c r="H266" s="337"/>
      <c r="I266" s="334"/>
      <c r="J266" s="314"/>
      <c r="K266" s="449"/>
      <c r="M266" s="349" t="str">
        <f>N266&amp;AS[[#This Row],[Insurer Code]]&amp;"; "&amp;O266&amp;AS[[#This Row],[Reporting Year]]&amp;"; "&amp;P266&amp;AS[[#This Row],[Insurance Category Code]]&amp;"; "&amp;Q266&amp;AS[[#This Row],[Large Provider Entity Code]]&amp;"; "&amp;R266&amp;AS[[#This Row],[Age Band Code]]&amp;"; "&amp;S266&amp;AS[[#This Row],[Sex Code]]</f>
        <v xml:space="preserve">Insurer Code ; Reporting Year ; Insurance Category Code ; Large Provider Entity Code ; Age Band Code ; Sex Code </v>
      </c>
      <c r="N266" s="345" t="s">
        <v>207</v>
      </c>
      <c r="O266" s="345" t="s">
        <v>208</v>
      </c>
      <c r="P266" s="345" t="s">
        <v>209</v>
      </c>
      <c r="Q266" s="345" t="s">
        <v>210</v>
      </c>
      <c r="R266" s="345" t="s">
        <v>223</v>
      </c>
      <c r="S266" s="345" t="s">
        <v>224</v>
      </c>
    </row>
    <row r="267" spans="1:19" x14ac:dyDescent="0.25">
      <c r="A267" s="311"/>
      <c r="B267" s="312"/>
      <c r="C267" s="312"/>
      <c r="D267" s="312"/>
      <c r="E267" s="312"/>
      <c r="F267" s="312"/>
      <c r="G267" s="328"/>
      <c r="H267" s="337"/>
      <c r="I267" s="334"/>
      <c r="J267" s="314"/>
      <c r="K267" s="449"/>
      <c r="M267" s="349" t="str">
        <f>N267&amp;AS[[#This Row],[Insurer Code]]&amp;"; "&amp;O267&amp;AS[[#This Row],[Reporting Year]]&amp;"; "&amp;P267&amp;AS[[#This Row],[Insurance Category Code]]&amp;"; "&amp;Q267&amp;AS[[#This Row],[Large Provider Entity Code]]&amp;"; "&amp;R267&amp;AS[[#This Row],[Age Band Code]]&amp;"; "&amp;S267&amp;AS[[#This Row],[Sex Code]]</f>
        <v xml:space="preserve">Insurer Code ; Reporting Year ; Insurance Category Code ; Large Provider Entity Code ; Age Band Code ; Sex Code </v>
      </c>
      <c r="N267" s="345" t="s">
        <v>207</v>
      </c>
      <c r="O267" s="345" t="s">
        <v>208</v>
      </c>
      <c r="P267" s="345" t="s">
        <v>209</v>
      </c>
      <c r="Q267" s="345" t="s">
        <v>210</v>
      </c>
      <c r="R267" s="345" t="s">
        <v>223</v>
      </c>
      <c r="S267" s="345" t="s">
        <v>224</v>
      </c>
    </row>
    <row r="268" spans="1:19" x14ac:dyDescent="0.25">
      <c r="A268" s="311"/>
      <c r="B268" s="312"/>
      <c r="C268" s="312"/>
      <c r="D268" s="312"/>
      <c r="E268" s="312"/>
      <c r="F268" s="312"/>
      <c r="G268" s="328"/>
      <c r="H268" s="337"/>
      <c r="I268" s="334"/>
      <c r="J268" s="314"/>
      <c r="K268" s="449"/>
      <c r="M268" s="349" t="str">
        <f>N268&amp;AS[[#This Row],[Insurer Code]]&amp;"; "&amp;O268&amp;AS[[#This Row],[Reporting Year]]&amp;"; "&amp;P268&amp;AS[[#This Row],[Insurance Category Code]]&amp;"; "&amp;Q268&amp;AS[[#This Row],[Large Provider Entity Code]]&amp;"; "&amp;R268&amp;AS[[#This Row],[Age Band Code]]&amp;"; "&amp;S268&amp;AS[[#This Row],[Sex Code]]</f>
        <v xml:space="preserve">Insurer Code ; Reporting Year ; Insurance Category Code ; Large Provider Entity Code ; Age Band Code ; Sex Code </v>
      </c>
      <c r="N268" s="345" t="s">
        <v>207</v>
      </c>
      <c r="O268" s="345" t="s">
        <v>208</v>
      </c>
      <c r="P268" s="345" t="s">
        <v>209</v>
      </c>
      <c r="Q268" s="345" t="s">
        <v>210</v>
      </c>
      <c r="R268" s="345" t="s">
        <v>223</v>
      </c>
      <c r="S268" s="345" t="s">
        <v>224</v>
      </c>
    </row>
    <row r="269" spans="1:19" x14ac:dyDescent="0.25">
      <c r="A269" s="311"/>
      <c r="B269" s="312"/>
      <c r="C269" s="312"/>
      <c r="D269" s="312"/>
      <c r="E269" s="312"/>
      <c r="F269" s="312"/>
      <c r="G269" s="328"/>
      <c r="H269" s="337"/>
      <c r="I269" s="334"/>
      <c r="J269" s="314"/>
      <c r="K269" s="449"/>
      <c r="M269" s="349" t="str">
        <f>N269&amp;AS[[#This Row],[Insurer Code]]&amp;"; "&amp;O269&amp;AS[[#This Row],[Reporting Year]]&amp;"; "&amp;P269&amp;AS[[#This Row],[Insurance Category Code]]&amp;"; "&amp;Q269&amp;AS[[#This Row],[Large Provider Entity Code]]&amp;"; "&amp;R269&amp;AS[[#This Row],[Age Band Code]]&amp;"; "&amp;S269&amp;AS[[#This Row],[Sex Code]]</f>
        <v xml:space="preserve">Insurer Code ; Reporting Year ; Insurance Category Code ; Large Provider Entity Code ; Age Band Code ; Sex Code </v>
      </c>
      <c r="N269" s="345" t="s">
        <v>207</v>
      </c>
      <c r="O269" s="345" t="s">
        <v>208</v>
      </c>
      <c r="P269" s="345" t="s">
        <v>209</v>
      </c>
      <c r="Q269" s="345" t="s">
        <v>210</v>
      </c>
      <c r="R269" s="345" t="s">
        <v>223</v>
      </c>
      <c r="S269" s="345" t="s">
        <v>224</v>
      </c>
    </row>
    <row r="270" spans="1:19" x14ac:dyDescent="0.25">
      <c r="A270" s="311"/>
      <c r="B270" s="312"/>
      <c r="C270" s="312"/>
      <c r="D270" s="312"/>
      <c r="E270" s="312"/>
      <c r="F270" s="312"/>
      <c r="G270" s="328"/>
      <c r="H270" s="337"/>
      <c r="I270" s="334"/>
      <c r="J270" s="314"/>
      <c r="K270" s="449"/>
      <c r="M270" s="349" t="str">
        <f>N270&amp;AS[[#This Row],[Insurer Code]]&amp;"; "&amp;O270&amp;AS[[#This Row],[Reporting Year]]&amp;"; "&amp;P270&amp;AS[[#This Row],[Insurance Category Code]]&amp;"; "&amp;Q270&amp;AS[[#This Row],[Large Provider Entity Code]]&amp;"; "&amp;R270&amp;AS[[#This Row],[Age Band Code]]&amp;"; "&amp;S270&amp;AS[[#This Row],[Sex Code]]</f>
        <v xml:space="preserve">Insurer Code ; Reporting Year ; Insurance Category Code ; Large Provider Entity Code ; Age Band Code ; Sex Code </v>
      </c>
      <c r="N270" s="345" t="s">
        <v>207</v>
      </c>
      <c r="O270" s="345" t="s">
        <v>208</v>
      </c>
      <c r="P270" s="345" t="s">
        <v>209</v>
      </c>
      <c r="Q270" s="345" t="s">
        <v>210</v>
      </c>
      <c r="R270" s="345" t="s">
        <v>223</v>
      </c>
      <c r="S270" s="345" t="s">
        <v>224</v>
      </c>
    </row>
    <row r="271" spans="1:19" x14ac:dyDescent="0.25">
      <c r="A271" s="311"/>
      <c r="B271" s="312"/>
      <c r="C271" s="312"/>
      <c r="D271" s="312"/>
      <c r="E271" s="312"/>
      <c r="F271" s="312"/>
      <c r="G271" s="328"/>
      <c r="H271" s="337"/>
      <c r="I271" s="334"/>
      <c r="J271" s="314"/>
      <c r="K271" s="449"/>
      <c r="M271" s="349" t="str">
        <f>N271&amp;AS[[#This Row],[Insurer Code]]&amp;"; "&amp;O271&amp;AS[[#This Row],[Reporting Year]]&amp;"; "&amp;P271&amp;AS[[#This Row],[Insurance Category Code]]&amp;"; "&amp;Q271&amp;AS[[#This Row],[Large Provider Entity Code]]&amp;"; "&amp;R271&amp;AS[[#This Row],[Age Band Code]]&amp;"; "&amp;S271&amp;AS[[#This Row],[Sex Code]]</f>
        <v xml:space="preserve">Insurer Code ; Reporting Year ; Insurance Category Code ; Large Provider Entity Code ; Age Band Code ; Sex Code </v>
      </c>
      <c r="N271" s="345" t="s">
        <v>207</v>
      </c>
      <c r="O271" s="345" t="s">
        <v>208</v>
      </c>
      <c r="P271" s="345" t="s">
        <v>209</v>
      </c>
      <c r="Q271" s="345" t="s">
        <v>210</v>
      </c>
      <c r="R271" s="345" t="s">
        <v>223</v>
      </c>
      <c r="S271" s="345" t="s">
        <v>224</v>
      </c>
    </row>
    <row r="272" spans="1:19" x14ac:dyDescent="0.25">
      <c r="A272" s="311"/>
      <c r="B272" s="312"/>
      <c r="C272" s="312"/>
      <c r="D272" s="312"/>
      <c r="E272" s="312"/>
      <c r="F272" s="312"/>
      <c r="G272" s="328"/>
      <c r="H272" s="337"/>
      <c r="I272" s="334"/>
      <c r="J272" s="314"/>
      <c r="K272" s="449"/>
      <c r="M272" s="349" t="str">
        <f>N272&amp;AS[[#This Row],[Insurer Code]]&amp;"; "&amp;O272&amp;AS[[#This Row],[Reporting Year]]&amp;"; "&amp;P272&amp;AS[[#This Row],[Insurance Category Code]]&amp;"; "&amp;Q272&amp;AS[[#This Row],[Large Provider Entity Code]]&amp;"; "&amp;R272&amp;AS[[#This Row],[Age Band Code]]&amp;"; "&amp;S272&amp;AS[[#This Row],[Sex Code]]</f>
        <v xml:space="preserve">Insurer Code ; Reporting Year ; Insurance Category Code ; Large Provider Entity Code ; Age Band Code ; Sex Code </v>
      </c>
      <c r="N272" s="345" t="s">
        <v>207</v>
      </c>
      <c r="O272" s="345" t="s">
        <v>208</v>
      </c>
      <c r="P272" s="345" t="s">
        <v>209</v>
      </c>
      <c r="Q272" s="345" t="s">
        <v>210</v>
      </c>
      <c r="R272" s="345" t="s">
        <v>223</v>
      </c>
      <c r="S272" s="345" t="s">
        <v>224</v>
      </c>
    </row>
    <row r="273" spans="1:19" x14ac:dyDescent="0.25">
      <c r="A273" s="311"/>
      <c r="B273" s="312"/>
      <c r="C273" s="312"/>
      <c r="D273" s="312"/>
      <c r="E273" s="312"/>
      <c r="F273" s="312"/>
      <c r="G273" s="328"/>
      <c r="H273" s="337"/>
      <c r="I273" s="334"/>
      <c r="J273" s="314"/>
      <c r="K273" s="449"/>
      <c r="M273" s="349" t="str">
        <f>N273&amp;AS[[#This Row],[Insurer Code]]&amp;"; "&amp;O273&amp;AS[[#This Row],[Reporting Year]]&amp;"; "&amp;P273&amp;AS[[#This Row],[Insurance Category Code]]&amp;"; "&amp;Q273&amp;AS[[#This Row],[Large Provider Entity Code]]&amp;"; "&amp;R273&amp;AS[[#This Row],[Age Band Code]]&amp;"; "&amp;S273&amp;AS[[#This Row],[Sex Code]]</f>
        <v xml:space="preserve">Insurer Code ; Reporting Year ; Insurance Category Code ; Large Provider Entity Code ; Age Band Code ; Sex Code </v>
      </c>
      <c r="N273" s="345" t="s">
        <v>207</v>
      </c>
      <c r="O273" s="345" t="s">
        <v>208</v>
      </c>
      <c r="P273" s="345" t="s">
        <v>209</v>
      </c>
      <c r="Q273" s="345" t="s">
        <v>210</v>
      </c>
      <c r="R273" s="345" t="s">
        <v>223</v>
      </c>
      <c r="S273" s="345" t="s">
        <v>224</v>
      </c>
    </row>
    <row r="274" spans="1:19" x14ac:dyDescent="0.25">
      <c r="A274" s="311"/>
      <c r="B274" s="312"/>
      <c r="C274" s="312"/>
      <c r="D274" s="312"/>
      <c r="E274" s="312"/>
      <c r="F274" s="312"/>
      <c r="G274" s="328"/>
      <c r="H274" s="337"/>
      <c r="I274" s="334"/>
      <c r="J274" s="314"/>
      <c r="K274" s="449"/>
      <c r="M274" s="349" t="str">
        <f>N274&amp;AS[[#This Row],[Insurer Code]]&amp;"; "&amp;O274&amp;AS[[#This Row],[Reporting Year]]&amp;"; "&amp;P274&amp;AS[[#This Row],[Insurance Category Code]]&amp;"; "&amp;Q274&amp;AS[[#This Row],[Large Provider Entity Code]]&amp;"; "&amp;R274&amp;AS[[#This Row],[Age Band Code]]&amp;"; "&amp;S274&amp;AS[[#This Row],[Sex Code]]</f>
        <v xml:space="preserve">Insurer Code ; Reporting Year ; Insurance Category Code ; Large Provider Entity Code ; Age Band Code ; Sex Code </v>
      </c>
      <c r="N274" s="345" t="s">
        <v>207</v>
      </c>
      <c r="O274" s="345" t="s">
        <v>208</v>
      </c>
      <c r="P274" s="345" t="s">
        <v>209</v>
      </c>
      <c r="Q274" s="345" t="s">
        <v>210</v>
      </c>
      <c r="R274" s="345" t="s">
        <v>223</v>
      </c>
      <c r="S274" s="345" t="s">
        <v>224</v>
      </c>
    </row>
    <row r="275" spans="1:19" x14ac:dyDescent="0.25">
      <c r="A275" s="311"/>
      <c r="B275" s="312"/>
      <c r="C275" s="312"/>
      <c r="D275" s="312"/>
      <c r="E275" s="312"/>
      <c r="F275" s="312"/>
      <c r="G275" s="328"/>
      <c r="H275" s="337"/>
      <c r="I275" s="334"/>
      <c r="J275" s="314"/>
      <c r="K275" s="449"/>
      <c r="M275" s="349" t="str">
        <f>N275&amp;AS[[#This Row],[Insurer Code]]&amp;"; "&amp;O275&amp;AS[[#This Row],[Reporting Year]]&amp;"; "&amp;P275&amp;AS[[#This Row],[Insurance Category Code]]&amp;"; "&amp;Q275&amp;AS[[#This Row],[Large Provider Entity Code]]&amp;"; "&amp;R275&amp;AS[[#This Row],[Age Band Code]]&amp;"; "&amp;S275&amp;AS[[#This Row],[Sex Code]]</f>
        <v xml:space="preserve">Insurer Code ; Reporting Year ; Insurance Category Code ; Large Provider Entity Code ; Age Band Code ; Sex Code </v>
      </c>
      <c r="N275" s="345" t="s">
        <v>207</v>
      </c>
      <c r="O275" s="345" t="s">
        <v>208</v>
      </c>
      <c r="P275" s="345" t="s">
        <v>209</v>
      </c>
      <c r="Q275" s="345" t="s">
        <v>210</v>
      </c>
      <c r="R275" s="345" t="s">
        <v>223</v>
      </c>
      <c r="S275" s="345" t="s">
        <v>224</v>
      </c>
    </row>
    <row r="276" spans="1:19" x14ac:dyDescent="0.25">
      <c r="A276" s="311"/>
      <c r="B276" s="312"/>
      <c r="C276" s="312"/>
      <c r="D276" s="312"/>
      <c r="E276" s="312"/>
      <c r="F276" s="312"/>
      <c r="G276" s="328"/>
      <c r="H276" s="337"/>
      <c r="I276" s="334"/>
      <c r="J276" s="314"/>
      <c r="K276" s="449"/>
      <c r="M276" s="349" t="str">
        <f>N276&amp;AS[[#This Row],[Insurer Code]]&amp;"; "&amp;O276&amp;AS[[#This Row],[Reporting Year]]&amp;"; "&amp;P276&amp;AS[[#This Row],[Insurance Category Code]]&amp;"; "&amp;Q276&amp;AS[[#This Row],[Large Provider Entity Code]]&amp;"; "&amp;R276&amp;AS[[#This Row],[Age Band Code]]&amp;"; "&amp;S276&amp;AS[[#This Row],[Sex Code]]</f>
        <v xml:space="preserve">Insurer Code ; Reporting Year ; Insurance Category Code ; Large Provider Entity Code ; Age Band Code ; Sex Code </v>
      </c>
      <c r="N276" s="345" t="s">
        <v>207</v>
      </c>
      <c r="O276" s="345" t="s">
        <v>208</v>
      </c>
      <c r="P276" s="345" t="s">
        <v>209</v>
      </c>
      <c r="Q276" s="345" t="s">
        <v>210</v>
      </c>
      <c r="R276" s="345" t="s">
        <v>223</v>
      </c>
      <c r="S276" s="345" t="s">
        <v>224</v>
      </c>
    </row>
    <row r="277" spans="1:19" x14ac:dyDescent="0.25">
      <c r="A277" s="311"/>
      <c r="B277" s="312"/>
      <c r="C277" s="312"/>
      <c r="D277" s="312"/>
      <c r="E277" s="312"/>
      <c r="F277" s="312"/>
      <c r="G277" s="328"/>
      <c r="H277" s="337"/>
      <c r="I277" s="334"/>
      <c r="J277" s="314"/>
      <c r="K277" s="449"/>
      <c r="M277" s="349" t="str">
        <f>N277&amp;AS[[#This Row],[Insurer Code]]&amp;"; "&amp;O277&amp;AS[[#This Row],[Reporting Year]]&amp;"; "&amp;P277&amp;AS[[#This Row],[Insurance Category Code]]&amp;"; "&amp;Q277&amp;AS[[#This Row],[Large Provider Entity Code]]&amp;"; "&amp;R277&amp;AS[[#This Row],[Age Band Code]]&amp;"; "&amp;S277&amp;AS[[#This Row],[Sex Code]]</f>
        <v xml:space="preserve">Insurer Code ; Reporting Year ; Insurance Category Code ; Large Provider Entity Code ; Age Band Code ; Sex Code </v>
      </c>
      <c r="N277" s="345" t="s">
        <v>207</v>
      </c>
      <c r="O277" s="345" t="s">
        <v>208</v>
      </c>
      <c r="P277" s="345" t="s">
        <v>209</v>
      </c>
      <c r="Q277" s="345" t="s">
        <v>210</v>
      </c>
      <c r="R277" s="345" t="s">
        <v>223</v>
      </c>
      <c r="S277" s="345" t="s">
        <v>224</v>
      </c>
    </row>
    <row r="278" spans="1:19" x14ac:dyDescent="0.25">
      <c r="A278" s="311"/>
      <c r="B278" s="312"/>
      <c r="C278" s="312"/>
      <c r="D278" s="312"/>
      <c r="E278" s="312"/>
      <c r="F278" s="312"/>
      <c r="G278" s="328"/>
      <c r="H278" s="337"/>
      <c r="I278" s="334"/>
      <c r="J278" s="314"/>
      <c r="K278" s="449"/>
      <c r="M278" s="349" t="str">
        <f>N278&amp;AS[[#This Row],[Insurer Code]]&amp;"; "&amp;O278&amp;AS[[#This Row],[Reporting Year]]&amp;"; "&amp;P278&amp;AS[[#This Row],[Insurance Category Code]]&amp;"; "&amp;Q278&amp;AS[[#This Row],[Large Provider Entity Code]]&amp;"; "&amp;R278&amp;AS[[#This Row],[Age Band Code]]&amp;"; "&amp;S278&amp;AS[[#This Row],[Sex Code]]</f>
        <v xml:space="preserve">Insurer Code ; Reporting Year ; Insurance Category Code ; Large Provider Entity Code ; Age Band Code ; Sex Code </v>
      </c>
      <c r="N278" s="345" t="s">
        <v>207</v>
      </c>
      <c r="O278" s="345" t="s">
        <v>208</v>
      </c>
      <c r="P278" s="345" t="s">
        <v>209</v>
      </c>
      <c r="Q278" s="345" t="s">
        <v>210</v>
      </c>
      <c r="R278" s="345" t="s">
        <v>223</v>
      </c>
      <c r="S278" s="345" t="s">
        <v>224</v>
      </c>
    </row>
    <row r="279" spans="1:19" x14ac:dyDescent="0.25">
      <c r="A279" s="311"/>
      <c r="B279" s="312"/>
      <c r="C279" s="312"/>
      <c r="D279" s="312"/>
      <c r="E279" s="312"/>
      <c r="F279" s="312"/>
      <c r="G279" s="328"/>
      <c r="H279" s="337"/>
      <c r="I279" s="334"/>
      <c r="J279" s="314"/>
      <c r="K279" s="449"/>
      <c r="M279" s="349" t="str">
        <f>N279&amp;AS[[#This Row],[Insurer Code]]&amp;"; "&amp;O279&amp;AS[[#This Row],[Reporting Year]]&amp;"; "&amp;P279&amp;AS[[#This Row],[Insurance Category Code]]&amp;"; "&amp;Q279&amp;AS[[#This Row],[Large Provider Entity Code]]&amp;"; "&amp;R279&amp;AS[[#This Row],[Age Band Code]]&amp;"; "&amp;S279&amp;AS[[#This Row],[Sex Code]]</f>
        <v xml:space="preserve">Insurer Code ; Reporting Year ; Insurance Category Code ; Large Provider Entity Code ; Age Band Code ; Sex Code </v>
      </c>
      <c r="N279" s="345" t="s">
        <v>207</v>
      </c>
      <c r="O279" s="345" t="s">
        <v>208</v>
      </c>
      <c r="P279" s="345" t="s">
        <v>209</v>
      </c>
      <c r="Q279" s="345" t="s">
        <v>210</v>
      </c>
      <c r="R279" s="345" t="s">
        <v>223</v>
      </c>
      <c r="S279" s="345" t="s">
        <v>224</v>
      </c>
    </row>
    <row r="280" spans="1:19" x14ac:dyDescent="0.25">
      <c r="A280" s="311"/>
      <c r="B280" s="312"/>
      <c r="C280" s="312"/>
      <c r="D280" s="312"/>
      <c r="E280" s="312"/>
      <c r="F280" s="312"/>
      <c r="G280" s="328"/>
      <c r="H280" s="337"/>
      <c r="I280" s="334"/>
      <c r="J280" s="314"/>
      <c r="K280" s="449"/>
      <c r="M280" s="349" t="str">
        <f>N280&amp;AS[[#This Row],[Insurer Code]]&amp;"; "&amp;O280&amp;AS[[#This Row],[Reporting Year]]&amp;"; "&amp;P280&amp;AS[[#This Row],[Insurance Category Code]]&amp;"; "&amp;Q280&amp;AS[[#This Row],[Large Provider Entity Code]]&amp;"; "&amp;R280&amp;AS[[#This Row],[Age Band Code]]&amp;"; "&amp;S280&amp;AS[[#This Row],[Sex Code]]</f>
        <v xml:space="preserve">Insurer Code ; Reporting Year ; Insurance Category Code ; Large Provider Entity Code ; Age Band Code ; Sex Code </v>
      </c>
      <c r="N280" s="345" t="s">
        <v>207</v>
      </c>
      <c r="O280" s="345" t="s">
        <v>208</v>
      </c>
      <c r="P280" s="345" t="s">
        <v>209</v>
      </c>
      <c r="Q280" s="345" t="s">
        <v>210</v>
      </c>
      <c r="R280" s="345" t="s">
        <v>223</v>
      </c>
      <c r="S280" s="345" t="s">
        <v>224</v>
      </c>
    </row>
    <row r="281" spans="1:19" x14ac:dyDescent="0.25">
      <c r="A281" s="311"/>
      <c r="B281" s="312"/>
      <c r="C281" s="312"/>
      <c r="D281" s="312"/>
      <c r="E281" s="312"/>
      <c r="F281" s="312"/>
      <c r="G281" s="328"/>
      <c r="H281" s="337"/>
      <c r="I281" s="334"/>
      <c r="J281" s="314"/>
      <c r="K281" s="449"/>
      <c r="M281" s="349" t="str">
        <f>N281&amp;AS[[#This Row],[Insurer Code]]&amp;"; "&amp;O281&amp;AS[[#This Row],[Reporting Year]]&amp;"; "&amp;P281&amp;AS[[#This Row],[Insurance Category Code]]&amp;"; "&amp;Q281&amp;AS[[#This Row],[Large Provider Entity Code]]&amp;"; "&amp;R281&amp;AS[[#This Row],[Age Band Code]]&amp;"; "&amp;S281&amp;AS[[#This Row],[Sex Code]]</f>
        <v xml:space="preserve">Insurer Code ; Reporting Year ; Insurance Category Code ; Large Provider Entity Code ; Age Band Code ; Sex Code </v>
      </c>
      <c r="N281" s="345" t="s">
        <v>207</v>
      </c>
      <c r="O281" s="345" t="s">
        <v>208</v>
      </c>
      <c r="P281" s="345" t="s">
        <v>209</v>
      </c>
      <c r="Q281" s="345" t="s">
        <v>210</v>
      </c>
      <c r="R281" s="345" t="s">
        <v>223</v>
      </c>
      <c r="S281" s="345" t="s">
        <v>224</v>
      </c>
    </row>
    <row r="282" spans="1:19" x14ac:dyDescent="0.25">
      <c r="A282" s="311"/>
      <c r="B282" s="312"/>
      <c r="C282" s="312"/>
      <c r="D282" s="312"/>
      <c r="E282" s="312"/>
      <c r="F282" s="312"/>
      <c r="G282" s="328"/>
      <c r="H282" s="337"/>
      <c r="I282" s="334"/>
      <c r="J282" s="314"/>
      <c r="K282" s="449"/>
      <c r="M282" s="349" t="str">
        <f>N282&amp;AS[[#This Row],[Insurer Code]]&amp;"; "&amp;O282&amp;AS[[#This Row],[Reporting Year]]&amp;"; "&amp;P282&amp;AS[[#This Row],[Insurance Category Code]]&amp;"; "&amp;Q282&amp;AS[[#This Row],[Large Provider Entity Code]]&amp;"; "&amp;R282&amp;AS[[#This Row],[Age Band Code]]&amp;"; "&amp;S282&amp;AS[[#This Row],[Sex Code]]</f>
        <v xml:space="preserve">Insurer Code ; Reporting Year ; Insurance Category Code ; Large Provider Entity Code ; Age Band Code ; Sex Code </v>
      </c>
      <c r="N282" s="345" t="s">
        <v>207</v>
      </c>
      <c r="O282" s="345" t="s">
        <v>208</v>
      </c>
      <c r="P282" s="345" t="s">
        <v>209</v>
      </c>
      <c r="Q282" s="345" t="s">
        <v>210</v>
      </c>
      <c r="R282" s="345" t="s">
        <v>223</v>
      </c>
      <c r="S282" s="345" t="s">
        <v>224</v>
      </c>
    </row>
    <row r="283" spans="1:19" x14ac:dyDescent="0.25">
      <c r="A283" s="311"/>
      <c r="B283" s="312"/>
      <c r="C283" s="312"/>
      <c r="D283" s="312"/>
      <c r="E283" s="312"/>
      <c r="F283" s="312"/>
      <c r="G283" s="328"/>
      <c r="H283" s="337"/>
      <c r="I283" s="334"/>
      <c r="J283" s="314"/>
      <c r="K283" s="449"/>
      <c r="M283" s="349" t="str">
        <f>N283&amp;AS[[#This Row],[Insurer Code]]&amp;"; "&amp;O283&amp;AS[[#This Row],[Reporting Year]]&amp;"; "&amp;P283&amp;AS[[#This Row],[Insurance Category Code]]&amp;"; "&amp;Q283&amp;AS[[#This Row],[Large Provider Entity Code]]&amp;"; "&amp;R283&amp;AS[[#This Row],[Age Band Code]]&amp;"; "&amp;S283&amp;AS[[#This Row],[Sex Code]]</f>
        <v xml:space="preserve">Insurer Code ; Reporting Year ; Insurance Category Code ; Large Provider Entity Code ; Age Band Code ; Sex Code </v>
      </c>
      <c r="N283" s="345" t="s">
        <v>207</v>
      </c>
      <c r="O283" s="345" t="s">
        <v>208</v>
      </c>
      <c r="P283" s="345" t="s">
        <v>209</v>
      </c>
      <c r="Q283" s="345" t="s">
        <v>210</v>
      </c>
      <c r="R283" s="345" t="s">
        <v>223</v>
      </c>
      <c r="S283" s="345" t="s">
        <v>224</v>
      </c>
    </row>
    <row r="284" spans="1:19" x14ac:dyDescent="0.25">
      <c r="A284" s="311"/>
      <c r="B284" s="312"/>
      <c r="C284" s="312"/>
      <c r="D284" s="312"/>
      <c r="E284" s="312"/>
      <c r="F284" s="312"/>
      <c r="G284" s="328"/>
      <c r="H284" s="337"/>
      <c r="I284" s="334"/>
      <c r="J284" s="314"/>
      <c r="K284" s="449"/>
      <c r="M284" s="349" t="str">
        <f>N284&amp;AS[[#This Row],[Insurer Code]]&amp;"; "&amp;O284&amp;AS[[#This Row],[Reporting Year]]&amp;"; "&amp;P284&amp;AS[[#This Row],[Insurance Category Code]]&amp;"; "&amp;Q284&amp;AS[[#This Row],[Large Provider Entity Code]]&amp;"; "&amp;R284&amp;AS[[#This Row],[Age Band Code]]&amp;"; "&amp;S284&amp;AS[[#This Row],[Sex Code]]</f>
        <v xml:space="preserve">Insurer Code ; Reporting Year ; Insurance Category Code ; Large Provider Entity Code ; Age Band Code ; Sex Code </v>
      </c>
      <c r="N284" s="345" t="s">
        <v>207</v>
      </c>
      <c r="O284" s="345" t="s">
        <v>208</v>
      </c>
      <c r="P284" s="345" t="s">
        <v>209</v>
      </c>
      <c r="Q284" s="345" t="s">
        <v>210</v>
      </c>
      <c r="R284" s="345" t="s">
        <v>223</v>
      </c>
      <c r="S284" s="345" t="s">
        <v>224</v>
      </c>
    </row>
    <row r="285" spans="1:19" x14ac:dyDescent="0.25">
      <c r="A285" s="311"/>
      <c r="B285" s="312"/>
      <c r="C285" s="312"/>
      <c r="D285" s="312"/>
      <c r="E285" s="312"/>
      <c r="F285" s="312"/>
      <c r="G285" s="328"/>
      <c r="H285" s="337"/>
      <c r="I285" s="334"/>
      <c r="J285" s="314"/>
      <c r="K285" s="449"/>
      <c r="M285" s="349" t="str">
        <f>N285&amp;AS[[#This Row],[Insurer Code]]&amp;"; "&amp;O285&amp;AS[[#This Row],[Reporting Year]]&amp;"; "&amp;P285&amp;AS[[#This Row],[Insurance Category Code]]&amp;"; "&amp;Q285&amp;AS[[#This Row],[Large Provider Entity Code]]&amp;"; "&amp;R285&amp;AS[[#This Row],[Age Band Code]]&amp;"; "&amp;S285&amp;AS[[#This Row],[Sex Code]]</f>
        <v xml:space="preserve">Insurer Code ; Reporting Year ; Insurance Category Code ; Large Provider Entity Code ; Age Band Code ; Sex Code </v>
      </c>
      <c r="N285" s="345" t="s">
        <v>207</v>
      </c>
      <c r="O285" s="345" t="s">
        <v>208</v>
      </c>
      <c r="P285" s="345" t="s">
        <v>209</v>
      </c>
      <c r="Q285" s="345" t="s">
        <v>210</v>
      </c>
      <c r="R285" s="345" t="s">
        <v>223</v>
      </c>
      <c r="S285" s="345" t="s">
        <v>224</v>
      </c>
    </row>
    <row r="286" spans="1:19" x14ac:dyDescent="0.25">
      <c r="A286" s="311"/>
      <c r="B286" s="312"/>
      <c r="C286" s="312"/>
      <c r="D286" s="312"/>
      <c r="E286" s="312"/>
      <c r="F286" s="312"/>
      <c r="G286" s="328"/>
      <c r="H286" s="337"/>
      <c r="I286" s="334"/>
      <c r="J286" s="314"/>
      <c r="K286" s="449"/>
      <c r="M286" s="349" t="str">
        <f>N286&amp;AS[[#This Row],[Insurer Code]]&amp;"; "&amp;O286&amp;AS[[#This Row],[Reporting Year]]&amp;"; "&amp;P286&amp;AS[[#This Row],[Insurance Category Code]]&amp;"; "&amp;Q286&amp;AS[[#This Row],[Large Provider Entity Code]]&amp;"; "&amp;R286&amp;AS[[#This Row],[Age Band Code]]&amp;"; "&amp;S286&amp;AS[[#This Row],[Sex Code]]</f>
        <v xml:space="preserve">Insurer Code ; Reporting Year ; Insurance Category Code ; Large Provider Entity Code ; Age Band Code ; Sex Code </v>
      </c>
      <c r="N286" s="345" t="s">
        <v>207</v>
      </c>
      <c r="O286" s="345" t="s">
        <v>208</v>
      </c>
      <c r="P286" s="345" t="s">
        <v>209</v>
      </c>
      <c r="Q286" s="345" t="s">
        <v>210</v>
      </c>
      <c r="R286" s="345" t="s">
        <v>223</v>
      </c>
      <c r="S286" s="345" t="s">
        <v>224</v>
      </c>
    </row>
    <row r="287" spans="1:19" x14ac:dyDescent="0.25">
      <c r="A287" s="311"/>
      <c r="B287" s="312"/>
      <c r="C287" s="312"/>
      <c r="D287" s="312"/>
      <c r="E287" s="312"/>
      <c r="F287" s="312"/>
      <c r="G287" s="328"/>
      <c r="H287" s="337"/>
      <c r="I287" s="334"/>
      <c r="J287" s="314"/>
      <c r="K287" s="449"/>
      <c r="M287" s="349" t="str">
        <f>N287&amp;AS[[#This Row],[Insurer Code]]&amp;"; "&amp;O287&amp;AS[[#This Row],[Reporting Year]]&amp;"; "&amp;P287&amp;AS[[#This Row],[Insurance Category Code]]&amp;"; "&amp;Q287&amp;AS[[#This Row],[Large Provider Entity Code]]&amp;"; "&amp;R287&amp;AS[[#This Row],[Age Band Code]]&amp;"; "&amp;S287&amp;AS[[#This Row],[Sex Code]]</f>
        <v xml:space="preserve">Insurer Code ; Reporting Year ; Insurance Category Code ; Large Provider Entity Code ; Age Band Code ; Sex Code </v>
      </c>
      <c r="N287" s="345" t="s">
        <v>207</v>
      </c>
      <c r="O287" s="345" t="s">
        <v>208</v>
      </c>
      <c r="P287" s="345" t="s">
        <v>209</v>
      </c>
      <c r="Q287" s="345" t="s">
        <v>210</v>
      </c>
      <c r="R287" s="345" t="s">
        <v>223</v>
      </c>
      <c r="S287" s="345" t="s">
        <v>224</v>
      </c>
    </row>
    <row r="288" spans="1:19" x14ac:dyDescent="0.25">
      <c r="A288" s="311"/>
      <c r="B288" s="312"/>
      <c r="C288" s="312"/>
      <c r="D288" s="312"/>
      <c r="E288" s="312"/>
      <c r="F288" s="312"/>
      <c r="G288" s="328"/>
      <c r="H288" s="337"/>
      <c r="I288" s="334"/>
      <c r="J288" s="314"/>
      <c r="K288" s="449"/>
      <c r="M288" s="349" t="str">
        <f>N288&amp;AS[[#This Row],[Insurer Code]]&amp;"; "&amp;O288&amp;AS[[#This Row],[Reporting Year]]&amp;"; "&amp;P288&amp;AS[[#This Row],[Insurance Category Code]]&amp;"; "&amp;Q288&amp;AS[[#This Row],[Large Provider Entity Code]]&amp;"; "&amp;R288&amp;AS[[#This Row],[Age Band Code]]&amp;"; "&amp;S288&amp;AS[[#This Row],[Sex Code]]</f>
        <v xml:space="preserve">Insurer Code ; Reporting Year ; Insurance Category Code ; Large Provider Entity Code ; Age Band Code ; Sex Code </v>
      </c>
      <c r="N288" s="345" t="s">
        <v>207</v>
      </c>
      <c r="O288" s="345" t="s">
        <v>208</v>
      </c>
      <c r="P288" s="345" t="s">
        <v>209</v>
      </c>
      <c r="Q288" s="345" t="s">
        <v>210</v>
      </c>
      <c r="R288" s="345" t="s">
        <v>223</v>
      </c>
      <c r="S288" s="345" t="s">
        <v>224</v>
      </c>
    </row>
    <row r="289" spans="1:19" x14ac:dyDescent="0.25">
      <c r="A289" s="311"/>
      <c r="B289" s="312"/>
      <c r="C289" s="312"/>
      <c r="D289" s="312"/>
      <c r="E289" s="312"/>
      <c r="F289" s="312"/>
      <c r="G289" s="328"/>
      <c r="H289" s="337"/>
      <c r="I289" s="334"/>
      <c r="J289" s="314"/>
      <c r="K289" s="449"/>
      <c r="M289" s="349" t="str">
        <f>N289&amp;AS[[#This Row],[Insurer Code]]&amp;"; "&amp;O289&amp;AS[[#This Row],[Reporting Year]]&amp;"; "&amp;P289&amp;AS[[#This Row],[Insurance Category Code]]&amp;"; "&amp;Q289&amp;AS[[#This Row],[Large Provider Entity Code]]&amp;"; "&amp;R289&amp;AS[[#This Row],[Age Band Code]]&amp;"; "&amp;S289&amp;AS[[#This Row],[Sex Code]]</f>
        <v xml:space="preserve">Insurer Code ; Reporting Year ; Insurance Category Code ; Large Provider Entity Code ; Age Band Code ; Sex Code </v>
      </c>
      <c r="N289" s="345" t="s">
        <v>207</v>
      </c>
      <c r="O289" s="345" t="s">
        <v>208</v>
      </c>
      <c r="P289" s="345" t="s">
        <v>209</v>
      </c>
      <c r="Q289" s="345" t="s">
        <v>210</v>
      </c>
      <c r="R289" s="345" t="s">
        <v>223</v>
      </c>
      <c r="S289" s="345" t="s">
        <v>224</v>
      </c>
    </row>
    <row r="290" spans="1:19" x14ac:dyDescent="0.25">
      <c r="A290" s="311"/>
      <c r="B290" s="312"/>
      <c r="C290" s="312"/>
      <c r="D290" s="312"/>
      <c r="E290" s="312"/>
      <c r="F290" s="312"/>
      <c r="G290" s="328"/>
      <c r="H290" s="337"/>
      <c r="I290" s="334"/>
      <c r="J290" s="314"/>
      <c r="K290" s="449"/>
      <c r="M290" s="349" t="str">
        <f>N290&amp;AS[[#This Row],[Insurer Code]]&amp;"; "&amp;O290&amp;AS[[#This Row],[Reporting Year]]&amp;"; "&amp;P290&amp;AS[[#This Row],[Insurance Category Code]]&amp;"; "&amp;Q290&amp;AS[[#This Row],[Large Provider Entity Code]]&amp;"; "&amp;R290&amp;AS[[#This Row],[Age Band Code]]&amp;"; "&amp;S290&amp;AS[[#This Row],[Sex Code]]</f>
        <v xml:space="preserve">Insurer Code ; Reporting Year ; Insurance Category Code ; Large Provider Entity Code ; Age Band Code ; Sex Code </v>
      </c>
      <c r="N290" s="345" t="s">
        <v>207</v>
      </c>
      <c r="O290" s="345" t="s">
        <v>208</v>
      </c>
      <c r="P290" s="345" t="s">
        <v>209</v>
      </c>
      <c r="Q290" s="345" t="s">
        <v>210</v>
      </c>
      <c r="R290" s="345" t="s">
        <v>223</v>
      </c>
      <c r="S290" s="345" t="s">
        <v>224</v>
      </c>
    </row>
    <row r="291" spans="1:19" x14ac:dyDescent="0.25">
      <c r="A291" s="311"/>
      <c r="B291" s="312"/>
      <c r="C291" s="312"/>
      <c r="D291" s="312"/>
      <c r="E291" s="312"/>
      <c r="F291" s="312"/>
      <c r="G291" s="328"/>
      <c r="H291" s="337"/>
      <c r="I291" s="334"/>
      <c r="J291" s="314"/>
      <c r="K291" s="449"/>
      <c r="M291" s="349" t="str">
        <f>N291&amp;AS[[#This Row],[Insurer Code]]&amp;"; "&amp;O291&amp;AS[[#This Row],[Reporting Year]]&amp;"; "&amp;P291&amp;AS[[#This Row],[Insurance Category Code]]&amp;"; "&amp;Q291&amp;AS[[#This Row],[Large Provider Entity Code]]&amp;"; "&amp;R291&amp;AS[[#This Row],[Age Band Code]]&amp;"; "&amp;S291&amp;AS[[#This Row],[Sex Code]]</f>
        <v xml:space="preserve">Insurer Code ; Reporting Year ; Insurance Category Code ; Large Provider Entity Code ; Age Band Code ; Sex Code </v>
      </c>
      <c r="N291" s="345" t="s">
        <v>207</v>
      </c>
      <c r="O291" s="345" t="s">
        <v>208</v>
      </c>
      <c r="P291" s="345" t="s">
        <v>209</v>
      </c>
      <c r="Q291" s="345" t="s">
        <v>210</v>
      </c>
      <c r="R291" s="345" t="s">
        <v>223</v>
      </c>
      <c r="S291" s="345" t="s">
        <v>224</v>
      </c>
    </row>
    <row r="292" spans="1:19" x14ac:dyDescent="0.25">
      <c r="A292" s="311"/>
      <c r="B292" s="312"/>
      <c r="C292" s="312"/>
      <c r="D292" s="312"/>
      <c r="E292" s="312"/>
      <c r="F292" s="312"/>
      <c r="G292" s="328"/>
      <c r="H292" s="337"/>
      <c r="I292" s="334"/>
      <c r="J292" s="314"/>
      <c r="K292" s="449"/>
      <c r="M292" s="349" t="str">
        <f>N292&amp;AS[[#This Row],[Insurer Code]]&amp;"; "&amp;O292&amp;AS[[#This Row],[Reporting Year]]&amp;"; "&amp;P292&amp;AS[[#This Row],[Insurance Category Code]]&amp;"; "&amp;Q292&amp;AS[[#This Row],[Large Provider Entity Code]]&amp;"; "&amp;R292&amp;AS[[#This Row],[Age Band Code]]&amp;"; "&amp;S292&amp;AS[[#This Row],[Sex Code]]</f>
        <v xml:space="preserve">Insurer Code ; Reporting Year ; Insurance Category Code ; Large Provider Entity Code ; Age Band Code ; Sex Code </v>
      </c>
      <c r="N292" s="345" t="s">
        <v>207</v>
      </c>
      <c r="O292" s="345" t="s">
        <v>208</v>
      </c>
      <c r="P292" s="345" t="s">
        <v>209</v>
      </c>
      <c r="Q292" s="345" t="s">
        <v>210</v>
      </c>
      <c r="R292" s="345" t="s">
        <v>223</v>
      </c>
      <c r="S292" s="345" t="s">
        <v>224</v>
      </c>
    </row>
    <row r="293" spans="1:19" x14ac:dyDescent="0.25">
      <c r="A293" s="311"/>
      <c r="B293" s="312"/>
      <c r="C293" s="312"/>
      <c r="D293" s="312"/>
      <c r="E293" s="312"/>
      <c r="F293" s="312"/>
      <c r="G293" s="328"/>
      <c r="H293" s="337"/>
      <c r="I293" s="334"/>
      <c r="J293" s="314"/>
      <c r="K293" s="449"/>
      <c r="M293" s="349" t="str">
        <f>N293&amp;AS[[#This Row],[Insurer Code]]&amp;"; "&amp;O293&amp;AS[[#This Row],[Reporting Year]]&amp;"; "&amp;P293&amp;AS[[#This Row],[Insurance Category Code]]&amp;"; "&amp;Q293&amp;AS[[#This Row],[Large Provider Entity Code]]&amp;"; "&amp;R293&amp;AS[[#This Row],[Age Band Code]]&amp;"; "&amp;S293&amp;AS[[#This Row],[Sex Code]]</f>
        <v xml:space="preserve">Insurer Code ; Reporting Year ; Insurance Category Code ; Large Provider Entity Code ; Age Band Code ; Sex Code </v>
      </c>
      <c r="N293" s="345" t="s">
        <v>207</v>
      </c>
      <c r="O293" s="345" t="s">
        <v>208</v>
      </c>
      <c r="P293" s="345" t="s">
        <v>209</v>
      </c>
      <c r="Q293" s="345" t="s">
        <v>210</v>
      </c>
      <c r="R293" s="345" t="s">
        <v>223</v>
      </c>
      <c r="S293" s="345" t="s">
        <v>224</v>
      </c>
    </row>
    <row r="294" spans="1:19" x14ac:dyDescent="0.25">
      <c r="A294" s="311"/>
      <c r="B294" s="312"/>
      <c r="C294" s="312"/>
      <c r="D294" s="312"/>
      <c r="E294" s="312"/>
      <c r="F294" s="312"/>
      <c r="G294" s="328"/>
      <c r="H294" s="337"/>
      <c r="I294" s="334"/>
      <c r="J294" s="314"/>
      <c r="K294" s="449"/>
      <c r="M294" s="349" t="str">
        <f>N294&amp;AS[[#This Row],[Insurer Code]]&amp;"; "&amp;O294&amp;AS[[#This Row],[Reporting Year]]&amp;"; "&amp;P294&amp;AS[[#This Row],[Insurance Category Code]]&amp;"; "&amp;Q294&amp;AS[[#This Row],[Large Provider Entity Code]]&amp;"; "&amp;R294&amp;AS[[#This Row],[Age Band Code]]&amp;"; "&amp;S294&amp;AS[[#This Row],[Sex Code]]</f>
        <v xml:space="preserve">Insurer Code ; Reporting Year ; Insurance Category Code ; Large Provider Entity Code ; Age Band Code ; Sex Code </v>
      </c>
      <c r="N294" s="345" t="s">
        <v>207</v>
      </c>
      <c r="O294" s="345" t="s">
        <v>208</v>
      </c>
      <c r="P294" s="345" t="s">
        <v>209</v>
      </c>
      <c r="Q294" s="345" t="s">
        <v>210</v>
      </c>
      <c r="R294" s="345" t="s">
        <v>223</v>
      </c>
      <c r="S294" s="345" t="s">
        <v>224</v>
      </c>
    </row>
    <row r="295" spans="1:19" x14ac:dyDescent="0.25">
      <c r="A295" s="311"/>
      <c r="B295" s="312"/>
      <c r="C295" s="312"/>
      <c r="D295" s="312"/>
      <c r="E295" s="312"/>
      <c r="F295" s="312"/>
      <c r="G295" s="328"/>
      <c r="H295" s="337"/>
      <c r="I295" s="334"/>
      <c r="J295" s="314"/>
      <c r="K295" s="449"/>
      <c r="M295" s="349" t="str">
        <f>N295&amp;AS[[#This Row],[Insurer Code]]&amp;"; "&amp;O295&amp;AS[[#This Row],[Reporting Year]]&amp;"; "&amp;P295&amp;AS[[#This Row],[Insurance Category Code]]&amp;"; "&amp;Q295&amp;AS[[#This Row],[Large Provider Entity Code]]&amp;"; "&amp;R295&amp;AS[[#This Row],[Age Band Code]]&amp;"; "&amp;S295&amp;AS[[#This Row],[Sex Code]]</f>
        <v xml:space="preserve">Insurer Code ; Reporting Year ; Insurance Category Code ; Large Provider Entity Code ; Age Band Code ; Sex Code </v>
      </c>
      <c r="N295" s="345" t="s">
        <v>207</v>
      </c>
      <c r="O295" s="345" t="s">
        <v>208</v>
      </c>
      <c r="P295" s="345" t="s">
        <v>209</v>
      </c>
      <c r="Q295" s="345" t="s">
        <v>210</v>
      </c>
      <c r="R295" s="345" t="s">
        <v>223</v>
      </c>
      <c r="S295" s="345" t="s">
        <v>224</v>
      </c>
    </row>
    <row r="296" spans="1:19" x14ac:dyDescent="0.25">
      <c r="A296" s="311"/>
      <c r="B296" s="312"/>
      <c r="C296" s="312"/>
      <c r="D296" s="312"/>
      <c r="E296" s="312"/>
      <c r="F296" s="312"/>
      <c r="G296" s="328"/>
      <c r="H296" s="337"/>
      <c r="I296" s="334"/>
      <c r="J296" s="314"/>
      <c r="K296" s="449"/>
      <c r="M296" s="349" t="str">
        <f>N296&amp;AS[[#This Row],[Insurer Code]]&amp;"; "&amp;O296&amp;AS[[#This Row],[Reporting Year]]&amp;"; "&amp;P296&amp;AS[[#This Row],[Insurance Category Code]]&amp;"; "&amp;Q296&amp;AS[[#This Row],[Large Provider Entity Code]]&amp;"; "&amp;R296&amp;AS[[#This Row],[Age Band Code]]&amp;"; "&amp;S296&amp;AS[[#This Row],[Sex Code]]</f>
        <v xml:space="preserve">Insurer Code ; Reporting Year ; Insurance Category Code ; Large Provider Entity Code ; Age Band Code ; Sex Code </v>
      </c>
      <c r="N296" s="345" t="s">
        <v>207</v>
      </c>
      <c r="O296" s="345" t="s">
        <v>208</v>
      </c>
      <c r="P296" s="345" t="s">
        <v>209</v>
      </c>
      <c r="Q296" s="345" t="s">
        <v>210</v>
      </c>
      <c r="R296" s="345" t="s">
        <v>223</v>
      </c>
      <c r="S296" s="345" t="s">
        <v>224</v>
      </c>
    </row>
    <row r="297" spans="1:19" x14ac:dyDescent="0.25">
      <c r="A297" s="311"/>
      <c r="B297" s="312"/>
      <c r="C297" s="312"/>
      <c r="D297" s="312"/>
      <c r="E297" s="312"/>
      <c r="F297" s="312"/>
      <c r="G297" s="328"/>
      <c r="H297" s="337"/>
      <c r="I297" s="334"/>
      <c r="J297" s="314"/>
      <c r="K297" s="449"/>
      <c r="M297" s="349" t="str">
        <f>N297&amp;AS[[#This Row],[Insurer Code]]&amp;"; "&amp;O297&amp;AS[[#This Row],[Reporting Year]]&amp;"; "&amp;P297&amp;AS[[#This Row],[Insurance Category Code]]&amp;"; "&amp;Q297&amp;AS[[#This Row],[Large Provider Entity Code]]&amp;"; "&amp;R297&amp;AS[[#This Row],[Age Band Code]]&amp;"; "&amp;S297&amp;AS[[#This Row],[Sex Code]]</f>
        <v xml:space="preserve">Insurer Code ; Reporting Year ; Insurance Category Code ; Large Provider Entity Code ; Age Band Code ; Sex Code </v>
      </c>
      <c r="N297" s="345" t="s">
        <v>207</v>
      </c>
      <c r="O297" s="345" t="s">
        <v>208</v>
      </c>
      <c r="P297" s="345" t="s">
        <v>209</v>
      </c>
      <c r="Q297" s="345" t="s">
        <v>210</v>
      </c>
      <c r="R297" s="345" t="s">
        <v>223</v>
      </c>
      <c r="S297" s="345" t="s">
        <v>224</v>
      </c>
    </row>
    <row r="298" spans="1:19" x14ac:dyDescent="0.25">
      <c r="A298" s="311"/>
      <c r="B298" s="312"/>
      <c r="C298" s="312"/>
      <c r="D298" s="312"/>
      <c r="E298" s="312"/>
      <c r="F298" s="312"/>
      <c r="G298" s="328"/>
      <c r="H298" s="337"/>
      <c r="I298" s="334"/>
      <c r="J298" s="314"/>
      <c r="K298" s="449"/>
      <c r="M298" s="349" t="str">
        <f>N298&amp;AS[[#This Row],[Insurer Code]]&amp;"; "&amp;O298&amp;AS[[#This Row],[Reporting Year]]&amp;"; "&amp;P298&amp;AS[[#This Row],[Insurance Category Code]]&amp;"; "&amp;Q298&amp;AS[[#This Row],[Large Provider Entity Code]]&amp;"; "&amp;R298&amp;AS[[#This Row],[Age Band Code]]&amp;"; "&amp;S298&amp;AS[[#This Row],[Sex Code]]</f>
        <v xml:space="preserve">Insurer Code ; Reporting Year ; Insurance Category Code ; Large Provider Entity Code ; Age Band Code ; Sex Code </v>
      </c>
      <c r="N298" s="345" t="s">
        <v>207</v>
      </c>
      <c r="O298" s="345" t="s">
        <v>208</v>
      </c>
      <c r="P298" s="345" t="s">
        <v>209</v>
      </c>
      <c r="Q298" s="345" t="s">
        <v>210</v>
      </c>
      <c r="R298" s="345" t="s">
        <v>223</v>
      </c>
      <c r="S298" s="345" t="s">
        <v>224</v>
      </c>
    </row>
    <row r="299" spans="1:19" x14ac:dyDescent="0.25">
      <c r="A299" s="311"/>
      <c r="B299" s="312"/>
      <c r="C299" s="312"/>
      <c r="D299" s="312"/>
      <c r="E299" s="312"/>
      <c r="F299" s="312"/>
      <c r="G299" s="328"/>
      <c r="H299" s="337"/>
      <c r="I299" s="334"/>
      <c r="J299" s="314"/>
      <c r="K299" s="449"/>
      <c r="M299" s="349" t="str">
        <f>N299&amp;AS[[#This Row],[Insurer Code]]&amp;"; "&amp;O299&amp;AS[[#This Row],[Reporting Year]]&amp;"; "&amp;P299&amp;AS[[#This Row],[Insurance Category Code]]&amp;"; "&amp;Q299&amp;AS[[#This Row],[Large Provider Entity Code]]&amp;"; "&amp;R299&amp;AS[[#This Row],[Age Band Code]]&amp;"; "&amp;S299&amp;AS[[#This Row],[Sex Code]]</f>
        <v xml:space="preserve">Insurer Code ; Reporting Year ; Insurance Category Code ; Large Provider Entity Code ; Age Band Code ; Sex Code </v>
      </c>
      <c r="N299" s="345" t="s">
        <v>207</v>
      </c>
      <c r="O299" s="345" t="s">
        <v>208</v>
      </c>
      <c r="P299" s="345" t="s">
        <v>209</v>
      </c>
      <c r="Q299" s="345" t="s">
        <v>210</v>
      </c>
      <c r="R299" s="345" t="s">
        <v>223</v>
      </c>
      <c r="S299" s="345" t="s">
        <v>224</v>
      </c>
    </row>
    <row r="300" spans="1:19" x14ac:dyDescent="0.25">
      <c r="A300" s="311"/>
      <c r="B300" s="312"/>
      <c r="C300" s="312"/>
      <c r="D300" s="312"/>
      <c r="E300" s="312"/>
      <c r="F300" s="312"/>
      <c r="G300" s="328"/>
      <c r="H300" s="337"/>
      <c r="I300" s="334"/>
      <c r="J300" s="314"/>
      <c r="K300" s="449"/>
      <c r="M300" s="349" t="str">
        <f>N300&amp;AS[[#This Row],[Insurer Code]]&amp;"; "&amp;O300&amp;AS[[#This Row],[Reporting Year]]&amp;"; "&amp;P300&amp;AS[[#This Row],[Insurance Category Code]]&amp;"; "&amp;Q300&amp;AS[[#This Row],[Large Provider Entity Code]]&amp;"; "&amp;R300&amp;AS[[#This Row],[Age Band Code]]&amp;"; "&amp;S300&amp;AS[[#This Row],[Sex Code]]</f>
        <v xml:space="preserve">Insurer Code ; Reporting Year ; Insurance Category Code ; Large Provider Entity Code ; Age Band Code ; Sex Code </v>
      </c>
      <c r="N300" s="345" t="s">
        <v>207</v>
      </c>
      <c r="O300" s="345" t="s">
        <v>208</v>
      </c>
      <c r="P300" s="345" t="s">
        <v>209</v>
      </c>
      <c r="Q300" s="345" t="s">
        <v>210</v>
      </c>
      <c r="R300" s="345" t="s">
        <v>223</v>
      </c>
      <c r="S300" s="345" t="s">
        <v>224</v>
      </c>
    </row>
    <row r="301" spans="1:19" x14ac:dyDescent="0.25">
      <c r="A301" s="311"/>
      <c r="B301" s="312"/>
      <c r="C301" s="312"/>
      <c r="D301" s="312"/>
      <c r="E301" s="312"/>
      <c r="F301" s="312"/>
      <c r="G301" s="328"/>
      <c r="H301" s="337"/>
      <c r="I301" s="334"/>
      <c r="J301" s="314"/>
      <c r="K301" s="449"/>
      <c r="M301" s="349" t="str">
        <f>N301&amp;AS[[#This Row],[Insurer Code]]&amp;"; "&amp;O301&amp;AS[[#This Row],[Reporting Year]]&amp;"; "&amp;P301&amp;AS[[#This Row],[Insurance Category Code]]&amp;"; "&amp;Q301&amp;AS[[#This Row],[Large Provider Entity Code]]&amp;"; "&amp;R301&amp;AS[[#This Row],[Age Band Code]]&amp;"; "&amp;S301&amp;AS[[#This Row],[Sex Code]]</f>
        <v xml:space="preserve">Insurer Code ; Reporting Year ; Insurance Category Code ; Large Provider Entity Code ; Age Band Code ; Sex Code </v>
      </c>
      <c r="N301" s="345" t="s">
        <v>207</v>
      </c>
      <c r="O301" s="345" t="s">
        <v>208</v>
      </c>
      <c r="P301" s="345" t="s">
        <v>209</v>
      </c>
      <c r="Q301" s="345" t="s">
        <v>210</v>
      </c>
      <c r="R301" s="345" t="s">
        <v>223</v>
      </c>
      <c r="S301" s="345" t="s">
        <v>224</v>
      </c>
    </row>
    <row r="302" spans="1:19" x14ac:dyDescent="0.25">
      <c r="A302" s="311"/>
      <c r="B302" s="312"/>
      <c r="C302" s="312"/>
      <c r="D302" s="312"/>
      <c r="E302" s="312"/>
      <c r="F302" s="312"/>
      <c r="G302" s="328"/>
      <c r="H302" s="337"/>
      <c r="I302" s="334"/>
      <c r="J302" s="314"/>
      <c r="K302" s="449"/>
      <c r="M302" s="349" t="str">
        <f>N302&amp;AS[[#This Row],[Insurer Code]]&amp;"; "&amp;O302&amp;AS[[#This Row],[Reporting Year]]&amp;"; "&amp;P302&amp;AS[[#This Row],[Insurance Category Code]]&amp;"; "&amp;Q302&amp;AS[[#This Row],[Large Provider Entity Code]]&amp;"; "&amp;R302&amp;AS[[#This Row],[Age Band Code]]&amp;"; "&amp;S302&amp;AS[[#This Row],[Sex Code]]</f>
        <v xml:space="preserve">Insurer Code ; Reporting Year ; Insurance Category Code ; Large Provider Entity Code ; Age Band Code ; Sex Code </v>
      </c>
      <c r="N302" s="345" t="s">
        <v>207</v>
      </c>
      <c r="O302" s="345" t="s">
        <v>208</v>
      </c>
      <c r="P302" s="345" t="s">
        <v>209</v>
      </c>
      <c r="Q302" s="345" t="s">
        <v>210</v>
      </c>
      <c r="R302" s="345" t="s">
        <v>223</v>
      </c>
      <c r="S302" s="345" t="s">
        <v>224</v>
      </c>
    </row>
    <row r="303" spans="1:19" x14ac:dyDescent="0.25">
      <c r="A303" s="311"/>
      <c r="B303" s="312"/>
      <c r="C303" s="312"/>
      <c r="D303" s="312"/>
      <c r="E303" s="312"/>
      <c r="F303" s="312"/>
      <c r="G303" s="328"/>
      <c r="H303" s="337"/>
      <c r="I303" s="334"/>
      <c r="J303" s="314"/>
      <c r="K303" s="449"/>
      <c r="M303" s="349" t="str">
        <f>N303&amp;AS[[#This Row],[Insurer Code]]&amp;"; "&amp;O303&amp;AS[[#This Row],[Reporting Year]]&amp;"; "&amp;P303&amp;AS[[#This Row],[Insurance Category Code]]&amp;"; "&amp;Q303&amp;AS[[#This Row],[Large Provider Entity Code]]&amp;"; "&amp;R303&amp;AS[[#This Row],[Age Band Code]]&amp;"; "&amp;S303&amp;AS[[#This Row],[Sex Code]]</f>
        <v xml:space="preserve">Insurer Code ; Reporting Year ; Insurance Category Code ; Large Provider Entity Code ; Age Band Code ; Sex Code </v>
      </c>
      <c r="N303" s="345" t="s">
        <v>207</v>
      </c>
      <c r="O303" s="345" t="s">
        <v>208</v>
      </c>
      <c r="P303" s="345" t="s">
        <v>209</v>
      </c>
      <c r="Q303" s="345" t="s">
        <v>210</v>
      </c>
      <c r="R303" s="345" t="s">
        <v>223</v>
      </c>
      <c r="S303" s="345" t="s">
        <v>224</v>
      </c>
    </row>
    <row r="304" spans="1:19" x14ac:dyDescent="0.25">
      <c r="A304" s="311"/>
      <c r="B304" s="312"/>
      <c r="C304" s="312"/>
      <c r="D304" s="312"/>
      <c r="E304" s="312"/>
      <c r="F304" s="312"/>
      <c r="G304" s="328"/>
      <c r="H304" s="337"/>
      <c r="I304" s="334"/>
      <c r="J304" s="314"/>
      <c r="K304" s="449"/>
      <c r="M304" s="349" t="str">
        <f>N304&amp;AS[[#This Row],[Insurer Code]]&amp;"; "&amp;O304&amp;AS[[#This Row],[Reporting Year]]&amp;"; "&amp;P304&amp;AS[[#This Row],[Insurance Category Code]]&amp;"; "&amp;Q304&amp;AS[[#This Row],[Large Provider Entity Code]]&amp;"; "&amp;R304&amp;AS[[#This Row],[Age Band Code]]&amp;"; "&amp;S304&amp;AS[[#This Row],[Sex Code]]</f>
        <v xml:space="preserve">Insurer Code ; Reporting Year ; Insurance Category Code ; Large Provider Entity Code ; Age Band Code ; Sex Code </v>
      </c>
      <c r="N304" s="345" t="s">
        <v>207</v>
      </c>
      <c r="O304" s="345" t="s">
        <v>208</v>
      </c>
      <c r="P304" s="345" t="s">
        <v>209</v>
      </c>
      <c r="Q304" s="345" t="s">
        <v>210</v>
      </c>
      <c r="R304" s="345" t="s">
        <v>223</v>
      </c>
      <c r="S304" s="345" t="s">
        <v>224</v>
      </c>
    </row>
    <row r="305" spans="1:19" x14ac:dyDescent="0.25">
      <c r="A305" s="311"/>
      <c r="B305" s="312"/>
      <c r="C305" s="312"/>
      <c r="D305" s="312"/>
      <c r="E305" s="312"/>
      <c r="F305" s="312"/>
      <c r="G305" s="328"/>
      <c r="H305" s="337"/>
      <c r="I305" s="334"/>
      <c r="J305" s="314"/>
      <c r="K305" s="449"/>
      <c r="M305" s="349" t="str">
        <f>N305&amp;AS[[#This Row],[Insurer Code]]&amp;"; "&amp;O305&amp;AS[[#This Row],[Reporting Year]]&amp;"; "&amp;P305&amp;AS[[#This Row],[Insurance Category Code]]&amp;"; "&amp;Q305&amp;AS[[#This Row],[Large Provider Entity Code]]&amp;"; "&amp;R305&amp;AS[[#This Row],[Age Band Code]]&amp;"; "&amp;S305&amp;AS[[#This Row],[Sex Code]]</f>
        <v xml:space="preserve">Insurer Code ; Reporting Year ; Insurance Category Code ; Large Provider Entity Code ; Age Band Code ; Sex Code </v>
      </c>
      <c r="N305" s="345" t="s">
        <v>207</v>
      </c>
      <c r="O305" s="345" t="s">
        <v>208</v>
      </c>
      <c r="P305" s="345" t="s">
        <v>209</v>
      </c>
      <c r="Q305" s="345" t="s">
        <v>210</v>
      </c>
      <c r="R305" s="345" t="s">
        <v>223</v>
      </c>
      <c r="S305" s="345" t="s">
        <v>224</v>
      </c>
    </row>
    <row r="306" spans="1:19" x14ac:dyDescent="0.25">
      <c r="A306" s="311"/>
      <c r="B306" s="312"/>
      <c r="C306" s="312"/>
      <c r="D306" s="312"/>
      <c r="E306" s="312"/>
      <c r="F306" s="312"/>
      <c r="G306" s="328"/>
      <c r="H306" s="337"/>
      <c r="I306" s="334"/>
      <c r="J306" s="314"/>
      <c r="K306" s="449"/>
      <c r="M306" s="349" t="str">
        <f>N306&amp;AS[[#This Row],[Insurer Code]]&amp;"; "&amp;O306&amp;AS[[#This Row],[Reporting Year]]&amp;"; "&amp;P306&amp;AS[[#This Row],[Insurance Category Code]]&amp;"; "&amp;Q306&amp;AS[[#This Row],[Large Provider Entity Code]]&amp;"; "&amp;R306&amp;AS[[#This Row],[Age Band Code]]&amp;"; "&amp;S306&amp;AS[[#This Row],[Sex Code]]</f>
        <v xml:space="preserve">Insurer Code ; Reporting Year ; Insurance Category Code ; Large Provider Entity Code ; Age Band Code ; Sex Code </v>
      </c>
      <c r="N306" s="345" t="s">
        <v>207</v>
      </c>
      <c r="O306" s="345" t="s">
        <v>208</v>
      </c>
      <c r="P306" s="345" t="s">
        <v>209</v>
      </c>
      <c r="Q306" s="345" t="s">
        <v>210</v>
      </c>
      <c r="R306" s="345" t="s">
        <v>223</v>
      </c>
      <c r="S306" s="345" t="s">
        <v>224</v>
      </c>
    </row>
    <row r="307" spans="1:19" x14ac:dyDescent="0.25">
      <c r="A307" s="311"/>
      <c r="B307" s="312"/>
      <c r="C307" s="312"/>
      <c r="D307" s="312"/>
      <c r="E307" s="312"/>
      <c r="F307" s="312"/>
      <c r="G307" s="328"/>
      <c r="H307" s="337"/>
      <c r="I307" s="334"/>
      <c r="J307" s="314"/>
      <c r="K307" s="449"/>
      <c r="M307" s="349" t="str">
        <f>N307&amp;AS[[#This Row],[Insurer Code]]&amp;"; "&amp;O307&amp;AS[[#This Row],[Reporting Year]]&amp;"; "&amp;P307&amp;AS[[#This Row],[Insurance Category Code]]&amp;"; "&amp;Q307&amp;AS[[#This Row],[Large Provider Entity Code]]&amp;"; "&amp;R307&amp;AS[[#This Row],[Age Band Code]]&amp;"; "&amp;S307&amp;AS[[#This Row],[Sex Code]]</f>
        <v xml:space="preserve">Insurer Code ; Reporting Year ; Insurance Category Code ; Large Provider Entity Code ; Age Band Code ; Sex Code </v>
      </c>
      <c r="N307" s="345" t="s">
        <v>207</v>
      </c>
      <c r="O307" s="345" t="s">
        <v>208</v>
      </c>
      <c r="P307" s="345" t="s">
        <v>209</v>
      </c>
      <c r="Q307" s="345" t="s">
        <v>210</v>
      </c>
      <c r="R307" s="345" t="s">
        <v>223</v>
      </c>
      <c r="S307" s="345" t="s">
        <v>224</v>
      </c>
    </row>
    <row r="308" spans="1:19" x14ac:dyDescent="0.25">
      <c r="A308" s="311"/>
      <c r="B308" s="312"/>
      <c r="C308" s="312"/>
      <c r="D308" s="312"/>
      <c r="E308" s="312"/>
      <c r="F308" s="312"/>
      <c r="G308" s="328"/>
      <c r="H308" s="337"/>
      <c r="I308" s="334"/>
      <c r="J308" s="314"/>
      <c r="K308" s="449"/>
      <c r="M308" s="349" t="str">
        <f>N308&amp;AS[[#This Row],[Insurer Code]]&amp;"; "&amp;O308&amp;AS[[#This Row],[Reporting Year]]&amp;"; "&amp;P308&amp;AS[[#This Row],[Insurance Category Code]]&amp;"; "&amp;Q308&amp;AS[[#This Row],[Large Provider Entity Code]]&amp;"; "&amp;R308&amp;AS[[#This Row],[Age Band Code]]&amp;"; "&amp;S308&amp;AS[[#This Row],[Sex Code]]</f>
        <v xml:space="preserve">Insurer Code ; Reporting Year ; Insurance Category Code ; Large Provider Entity Code ; Age Band Code ; Sex Code </v>
      </c>
      <c r="N308" s="345" t="s">
        <v>207</v>
      </c>
      <c r="O308" s="345" t="s">
        <v>208</v>
      </c>
      <c r="P308" s="345" t="s">
        <v>209</v>
      </c>
      <c r="Q308" s="345" t="s">
        <v>210</v>
      </c>
      <c r="R308" s="345" t="s">
        <v>223</v>
      </c>
      <c r="S308" s="345" t="s">
        <v>224</v>
      </c>
    </row>
    <row r="309" spans="1:19" x14ac:dyDescent="0.25">
      <c r="A309" s="311"/>
      <c r="B309" s="312"/>
      <c r="C309" s="312"/>
      <c r="D309" s="312"/>
      <c r="E309" s="312"/>
      <c r="F309" s="312"/>
      <c r="G309" s="328"/>
      <c r="H309" s="337"/>
      <c r="I309" s="334"/>
      <c r="J309" s="314"/>
      <c r="K309" s="449"/>
      <c r="M309" s="349" t="str">
        <f>N309&amp;AS[[#This Row],[Insurer Code]]&amp;"; "&amp;O309&amp;AS[[#This Row],[Reporting Year]]&amp;"; "&amp;P309&amp;AS[[#This Row],[Insurance Category Code]]&amp;"; "&amp;Q309&amp;AS[[#This Row],[Large Provider Entity Code]]&amp;"; "&amp;R309&amp;AS[[#This Row],[Age Band Code]]&amp;"; "&amp;S309&amp;AS[[#This Row],[Sex Code]]</f>
        <v xml:space="preserve">Insurer Code ; Reporting Year ; Insurance Category Code ; Large Provider Entity Code ; Age Band Code ; Sex Code </v>
      </c>
      <c r="N309" s="345" t="s">
        <v>207</v>
      </c>
      <c r="O309" s="345" t="s">
        <v>208</v>
      </c>
      <c r="P309" s="345" t="s">
        <v>209</v>
      </c>
      <c r="Q309" s="345" t="s">
        <v>210</v>
      </c>
      <c r="R309" s="345" t="s">
        <v>223</v>
      </c>
      <c r="S309" s="345" t="s">
        <v>224</v>
      </c>
    </row>
    <row r="310" spans="1:19" x14ac:dyDescent="0.25">
      <c r="A310" s="311"/>
      <c r="B310" s="312"/>
      <c r="C310" s="312"/>
      <c r="D310" s="312"/>
      <c r="E310" s="312"/>
      <c r="F310" s="312"/>
      <c r="G310" s="328"/>
      <c r="H310" s="337"/>
      <c r="I310" s="334"/>
      <c r="J310" s="314"/>
      <c r="K310" s="449"/>
      <c r="M310" s="349" t="str">
        <f>N310&amp;AS[[#This Row],[Insurer Code]]&amp;"; "&amp;O310&amp;AS[[#This Row],[Reporting Year]]&amp;"; "&amp;P310&amp;AS[[#This Row],[Insurance Category Code]]&amp;"; "&amp;Q310&amp;AS[[#This Row],[Large Provider Entity Code]]&amp;"; "&amp;R310&amp;AS[[#This Row],[Age Band Code]]&amp;"; "&amp;S310&amp;AS[[#This Row],[Sex Code]]</f>
        <v xml:space="preserve">Insurer Code ; Reporting Year ; Insurance Category Code ; Large Provider Entity Code ; Age Band Code ; Sex Code </v>
      </c>
      <c r="N310" s="345" t="s">
        <v>207</v>
      </c>
      <c r="O310" s="345" t="s">
        <v>208</v>
      </c>
      <c r="P310" s="345" t="s">
        <v>209</v>
      </c>
      <c r="Q310" s="345" t="s">
        <v>210</v>
      </c>
      <c r="R310" s="345" t="s">
        <v>223</v>
      </c>
      <c r="S310" s="345" t="s">
        <v>224</v>
      </c>
    </row>
    <row r="311" spans="1:19" x14ac:dyDescent="0.25">
      <c r="A311" s="311"/>
      <c r="B311" s="312"/>
      <c r="C311" s="312"/>
      <c r="D311" s="312"/>
      <c r="E311" s="312"/>
      <c r="F311" s="312"/>
      <c r="G311" s="328"/>
      <c r="H311" s="337"/>
      <c r="I311" s="334"/>
      <c r="J311" s="314"/>
      <c r="K311" s="449"/>
      <c r="M311" s="349" t="str">
        <f>N311&amp;AS[[#This Row],[Insurer Code]]&amp;"; "&amp;O311&amp;AS[[#This Row],[Reporting Year]]&amp;"; "&amp;P311&amp;AS[[#This Row],[Insurance Category Code]]&amp;"; "&amp;Q311&amp;AS[[#This Row],[Large Provider Entity Code]]&amp;"; "&amp;R311&amp;AS[[#This Row],[Age Band Code]]&amp;"; "&amp;S311&amp;AS[[#This Row],[Sex Code]]</f>
        <v xml:space="preserve">Insurer Code ; Reporting Year ; Insurance Category Code ; Large Provider Entity Code ; Age Band Code ; Sex Code </v>
      </c>
      <c r="N311" s="345" t="s">
        <v>207</v>
      </c>
      <c r="O311" s="345" t="s">
        <v>208</v>
      </c>
      <c r="P311" s="345" t="s">
        <v>209</v>
      </c>
      <c r="Q311" s="345" t="s">
        <v>210</v>
      </c>
      <c r="R311" s="345" t="s">
        <v>223</v>
      </c>
      <c r="S311" s="345" t="s">
        <v>224</v>
      </c>
    </row>
    <row r="312" spans="1:19" x14ac:dyDescent="0.25">
      <c r="A312" s="311"/>
      <c r="B312" s="312"/>
      <c r="C312" s="312"/>
      <c r="D312" s="312"/>
      <c r="E312" s="312"/>
      <c r="F312" s="312"/>
      <c r="G312" s="328"/>
      <c r="H312" s="337"/>
      <c r="I312" s="334"/>
      <c r="J312" s="314"/>
      <c r="K312" s="449"/>
      <c r="M312" s="349" t="str">
        <f>N312&amp;AS[[#This Row],[Insurer Code]]&amp;"; "&amp;O312&amp;AS[[#This Row],[Reporting Year]]&amp;"; "&amp;P312&amp;AS[[#This Row],[Insurance Category Code]]&amp;"; "&amp;Q312&amp;AS[[#This Row],[Large Provider Entity Code]]&amp;"; "&amp;R312&amp;AS[[#This Row],[Age Band Code]]&amp;"; "&amp;S312&amp;AS[[#This Row],[Sex Code]]</f>
        <v xml:space="preserve">Insurer Code ; Reporting Year ; Insurance Category Code ; Large Provider Entity Code ; Age Band Code ; Sex Code </v>
      </c>
      <c r="N312" s="345" t="s">
        <v>207</v>
      </c>
      <c r="O312" s="345" t="s">
        <v>208</v>
      </c>
      <c r="P312" s="345" t="s">
        <v>209</v>
      </c>
      <c r="Q312" s="345" t="s">
        <v>210</v>
      </c>
      <c r="R312" s="345" t="s">
        <v>223</v>
      </c>
      <c r="S312" s="345" t="s">
        <v>224</v>
      </c>
    </row>
    <row r="313" spans="1:19" x14ac:dyDescent="0.25">
      <c r="A313" s="311"/>
      <c r="B313" s="312"/>
      <c r="C313" s="312"/>
      <c r="D313" s="312"/>
      <c r="E313" s="312"/>
      <c r="F313" s="312"/>
      <c r="G313" s="328"/>
      <c r="H313" s="337"/>
      <c r="I313" s="334"/>
      <c r="J313" s="314"/>
      <c r="K313" s="449"/>
      <c r="M313" s="349" t="str">
        <f>N313&amp;AS[[#This Row],[Insurer Code]]&amp;"; "&amp;O313&amp;AS[[#This Row],[Reporting Year]]&amp;"; "&amp;P313&amp;AS[[#This Row],[Insurance Category Code]]&amp;"; "&amp;Q313&amp;AS[[#This Row],[Large Provider Entity Code]]&amp;"; "&amp;R313&amp;AS[[#This Row],[Age Band Code]]&amp;"; "&amp;S313&amp;AS[[#This Row],[Sex Code]]</f>
        <v xml:space="preserve">Insurer Code ; Reporting Year ; Insurance Category Code ; Large Provider Entity Code ; Age Band Code ; Sex Code </v>
      </c>
      <c r="N313" s="345" t="s">
        <v>207</v>
      </c>
      <c r="O313" s="345" t="s">
        <v>208</v>
      </c>
      <c r="P313" s="345" t="s">
        <v>209</v>
      </c>
      <c r="Q313" s="345" t="s">
        <v>210</v>
      </c>
      <c r="R313" s="345" t="s">
        <v>223</v>
      </c>
      <c r="S313" s="345" t="s">
        <v>224</v>
      </c>
    </row>
    <row r="314" spans="1:19" x14ac:dyDescent="0.25">
      <c r="A314" s="311"/>
      <c r="B314" s="312"/>
      <c r="C314" s="312"/>
      <c r="D314" s="312"/>
      <c r="E314" s="312"/>
      <c r="F314" s="312"/>
      <c r="G314" s="328"/>
      <c r="H314" s="337"/>
      <c r="I314" s="334"/>
      <c r="J314" s="314"/>
      <c r="K314" s="449"/>
      <c r="M314" s="349" t="str">
        <f>N314&amp;AS[[#This Row],[Insurer Code]]&amp;"; "&amp;O314&amp;AS[[#This Row],[Reporting Year]]&amp;"; "&amp;P314&amp;AS[[#This Row],[Insurance Category Code]]&amp;"; "&amp;Q314&amp;AS[[#This Row],[Large Provider Entity Code]]&amp;"; "&amp;R314&amp;AS[[#This Row],[Age Band Code]]&amp;"; "&amp;S314&amp;AS[[#This Row],[Sex Code]]</f>
        <v xml:space="preserve">Insurer Code ; Reporting Year ; Insurance Category Code ; Large Provider Entity Code ; Age Band Code ; Sex Code </v>
      </c>
      <c r="N314" s="345" t="s">
        <v>207</v>
      </c>
      <c r="O314" s="345" t="s">
        <v>208</v>
      </c>
      <c r="P314" s="345" t="s">
        <v>209</v>
      </c>
      <c r="Q314" s="345" t="s">
        <v>210</v>
      </c>
      <c r="R314" s="345" t="s">
        <v>223</v>
      </c>
      <c r="S314" s="345" t="s">
        <v>224</v>
      </c>
    </row>
    <row r="315" spans="1:19" x14ac:dyDescent="0.25">
      <c r="A315" s="311"/>
      <c r="B315" s="312"/>
      <c r="C315" s="312"/>
      <c r="D315" s="312"/>
      <c r="E315" s="312"/>
      <c r="F315" s="312"/>
      <c r="G315" s="328"/>
      <c r="H315" s="337"/>
      <c r="I315" s="334"/>
      <c r="J315" s="314"/>
      <c r="K315" s="449"/>
      <c r="M315" s="349" t="str">
        <f>N315&amp;AS[[#This Row],[Insurer Code]]&amp;"; "&amp;O315&amp;AS[[#This Row],[Reporting Year]]&amp;"; "&amp;P315&amp;AS[[#This Row],[Insurance Category Code]]&amp;"; "&amp;Q315&amp;AS[[#This Row],[Large Provider Entity Code]]&amp;"; "&amp;R315&amp;AS[[#This Row],[Age Band Code]]&amp;"; "&amp;S315&amp;AS[[#This Row],[Sex Code]]</f>
        <v xml:space="preserve">Insurer Code ; Reporting Year ; Insurance Category Code ; Large Provider Entity Code ; Age Band Code ; Sex Code </v>
      </c>
      <c r="N315" s="345" t="s">
        <v>207</v>
      </c>
      <c r="O315" s="345" t="s">
        <v>208</v>
      </c>
      <c r="P315" s="345" t="s">
        <v>209</v>
      </c>
      <c r="Q315" s="345" t="s">
        <v>210</v>
      </c>
      <c r="R315" s="345" t="s">
        <v>223</v>
      </c>
      <c r="S315" s="345" t="s">
        <v>224</v>
      </c>
    </row>
    <row r="316" spans="1:19" x14ac:dyDescent="0.25">
      <c r="A316" s="311"/>
      <c r="B316" s="312"/>
      <c r="C316" s="312"/>
      <c r="D316" s="312"/>
      <c r="E316" s="312"/>
      <c r="F316" s="312"/>
      <c r="G316" s="328"/>
      <c r="H316" s="337"/>
      <c r="I316" s="334"/>
      <c r="J316" s="314"/>
      <c r="K316" s="449"/>
      <c r="M316" s="349" t="str">
        <f>N316&amp;AS[[#This Row],[Insurer Code]]&amp;"; "&amp;O316&amp;AS[[#This Row],[Reporting Year]]&amp;"; "&amp;P316&amp;AS[[#This Row],[Insurance Category Code]]&amp;"; "&amp;Q316&amp;AS[[#This Row],[Large Provider Entity Code]]&amp;"; "&amp;R316&amp;AS[[#This Row],[Age Band Code]]&amp;"; "&amp;S316&amp;AS[[#This Row],[Sex Code]]</f>
        <v xml:space="preserve">Insurer Code ; Reporting Year ; Insurance Category Code ; Large Provider Entity Code ; Age Band Code ; Sex Code </v>
      </c>
      <c r="N316" s="345" t="s">
        <v>207</v>
      </c>
      <c r="O316" s="345" t="s">
        <v>208</v>
      </c>
      <c r="P316" s="345" t="s">
        <v>209</v>
      </c>
      <c r="Q316" s="345" t="s">
        <v>210</v>
      </c>
      <c r="R316" s="345" t="s">
        <v>223</v>
      </c>
      <c r="S316" s="345" t="s">
        <v>224</v>
      </c>
    </row>
    <row r="317" spans="1:19" x14ac:dyDescent="0.25">
      <c r="A317" s="311"/>
      <c r="B317" s="312"/>
      <c r="C317" s="312"/>
      <c r="D317" s="312"/>
      <c r="E317" s="312"/>
      <c r="F317" s="312"/>
      <c r="G317" s="328"/>
      <c r="H317" s="337"/>
      <c r="I317" s="334"/>
      <c r="J317" s="314"/>
      <c r="K317" s="449"/>
      <c r="M317" s="349" t="str">
        <f>N317&amp;AS[[#This Row],[Insurer Code]]&amp;"; "&amp;O317&amp;AS[[#This Row],[Reporting Year]]&amp;"; "&amp;P317&amp;AS[[#This Row],[Insurance Category Code]]&amp;"; "&amp;Q317&amp;AS[[#This Row],[Large Provider Entity Code]]&amp;"; "&amp;R317&amp;AS[[#This Row],[Age Band Code]]&amp;"; "&amp;S317&amp;AS[[#This Row],[Sex Code]]</f>
        <v xml:space="preserve">Insurer Code ; Reporting Year ; Insurance Category Code ; Large Provider Entity Code ; Age Band Code ; Sex Code </v>
      </c>
      <c r="N317" s="345" t="s">
        <v>207</v>
      </c>
      <c r="O317" s="345" t="s">
        <v>208</v>
      </c>
      <c r="P317" s="345" t="s">
        <v>209</v>
      </c>
      <c r="Q317" s="345" t="s">
        <v>210</v>
      </c>
      <c r="R317" s="345" t="s">
        <v>223</v>
      </c>
      <c r="S317" s="345" t="s">
        <v>224</v>
      </c>
    </row>
    <row r="318" spans="1:19" x14ac:dyDescent="0.25">
      <c r="A318" s="311"/>
      <c r="B318" s="312"/>
      <c r="C318" s="312"/>
      <c r="D318" s="312"/>
      <c r="E318" s="312"/>
      <c r="F318" s="312"/>
      <c r="G318" s="328"/>
      <c r="H318" s="337"/>
      <c r="I318" s="334"/>
      <c r="J318" s="314"/>
      <c r="K318" s="449"/>
      <c r="M318" s="349" t="str">
        <f>N318&amp;AS[[#This Row],[Insurer Code]]&amp;"; "&amp;O318&amp;AS[[#This Row],[Reporting Year]]&amp;"; "&amp;P318&amp;AS[[#This Row],[Insurance Category Code]]&amp;"; "&amp;Q318&amp;AS[[#This Row],[Large Provider Entity Code]]&amp;"; "&amp;R318&amp;AS[[#This Row],[Age Band Code]]&amp;"; "&amp;S318&amp;AS[[#This Row],[Sex Code]]</f>
        <v xml:space="preserve">Insurer Code ; Reporting Year ; Insurance Category Code ; Large Provider Entity Code ; Age Band Code ; Sex Code </v>
      </c>
      <c r="N318" s="345" t="s">
        <v>207</v>
      </c>
      <c r="O318" s="345" t="s">
        <v>208</v>
      </c>
      <c r="P318" s="345" t="s">
        <v>209</v>
      </c>
      <c r="Q318" s="345" t="s">
        <v>210</v>
      </c>
      <c r="R318" s="345" t="s">
        <v>223</v>
      </c>
      <c r="S318" s="345" t="s">
        <v>224</v>
      </c>
    </row>
    <row r="319" spans="1:19" x14ac:dyDescent="0.25">
      <c r="A319" s="311"/>
      <c r="B319" s="312"/>
      <c r="C319" s="312"/>
      <c r="D319" s="312"/>
      <c r="E319" s="312"/>
      <c r="F319" s="312"/>
      <c r="G319" s="328"/>
      <c r="H319" s="337"/>
      <c r="I319" s="334"/>
      <c r="J319" s="314"/>
      <c r="K319" s="449"/>
      <c r="M319" s="349" t="str">
        <f>N319&amp;AS[[#This Row],[Insurer Code]]&amp;"; "&amp;O319&amp;AS[[#This Row],[Reporting Year]]&amp;"; "&amp;P319&amp;AS[[#This Row],[Insurance Category Code]]&amp;"; "&amp;Q319&amp;AS[[#This Row],[Large Provider Entity Code]]&amp;"; "&amp;R319&amp;AS[[#This Row],[Age Band Code]]&amp;"; "&amp;S319&amp;AS[[#This Row],[Sex Code]]</f>
        <v xml:space="preserve">Insurer Code ; Reporting Year ; Insurance Category Code ; Large Provider Entity Code ; Age Band Code ; Sex Code </v>
      </c>
      <c r="N319" s="345" t="s">
        <v>207</v>
      </c>
      <c r="O319" s="345" t="s">
        <v>208</v>
      </c>
      <c r="P319" s="345" t="s">
        <v>209</v>
      </c>
      <c r="Q319" s="345" t="s">
        <v>210</v>
      </c>
      <c r="R319" s="345" t="s">
        <v>223</v>
      </c>
      <c r="S319" s="345" t="s">
        <v>224</v>
      </c>
    </row>
    <row r="320" spans="1:19" x14ac:dyDescent="0.25">
      <c r="A320" s="311"/>
      <c r="B320" s="312"/>
      <c r="C320" s="312"/>
      <c r="D320" s="312"/>
      <c r="E320" s="312"/>
      <c r="F320" s="312"/>
      <c r="G320" s="328"/>
      <c r="H320" s="337"/>
      <c r="I320" s="334"/>
      <c r="J320" s="314"/>
      <c r="K320" s="449"/>
      <c r="M320" s="349" t="str">
        <f>N320&amp;AS[[#This Row],[Insurer Code]]&amp;"; "&amp;O320&amp;AS[[#This Row],[Reporting Year]]&amp;"; "&amp;P320&amp;AS[[#This Row],[Insurance Category Code]]&amp;"; "&amp;Q320&amp;AS[[#This Row],[Large Provider Entity Code]]&amp;"; "&amp;R320&amp;AS[[#This Row],[Age Band Code]]&amp;"; "&amp;S320&amp;AS[[#This Row],[Sex Code]]</f>
        <v xml:space="preserve">Insurer Code ; Reporting Year ; Insurance Category Code ; Large Provider Entity Code ; Age Band Code ; Sex Code </v>
      </c>
      <c r="N320" s="345" t="s">
        <v>207</v>
      </c>
      <c r="O320" s="345" t="s">
        <v>208</v>
      </c>
      <c r="P320" s="345" t="s">
        <v>209</v>
      </c>
      <c r="Q320" s="345" t="s">
        <v>210</v>
      </c>
      <c r="R320" s="345" t="s">
        <v>223</v>
      </c>
      <c r="S320" s="345" t="s">
        <v>224</v>
      </c>
    </row>
    <row r="321" spans="1:19" x14ac:dyDescent="0.25">
      <c r="A321" s="311"/>
      <c r="B321" s="312"/>
      <c r="C321" s="312"/>
      <c r="D321" s="312"/>
      <c r="E321" s="312"/>
      <c r="F321" s="312"/>
      <c r="G321" s="328"/>
      <c r="H321" s="337"/>
      <c r="I321" s="334"/>
      <c r="J321" s="314"/>
      <c r="K321" s="449"/>
      <c r="M321" s="349" t="str">
        <f>N321&amp;AS[[#This Row],[Insurer Code]]&amp;"; "&amp;O321&amp;AS[[#This Row],[Reporting Year]]&amp;"; "&amp;P321&amp;AS[[#This Row],[Insurance Category Code]]&amp;"; "&amp;Q321&amp;AS[[#This Row],[Large Provider Entity Code]]&amp;"; "&amp;R321&amp;AS[[#This Row],[Age Band Code]]&amp;"; "&amp;S321&amp;AS[[#This Row],[Sex Code]]</f>
        <v xml:space="preserve">Insurer Code ; Reporting Year ; Insurance Category Code ; Large Provider Entity Code ; Age Band Code ; Sex Code </v>
      </c>
      <c r="N321" s="345" t="s">
        <v>207</v>
      </c>
      <c r="O321" s="345" t="s">
        <v>208</v>
      </c>
      <c r="P321" s="345" t="s">
        <v>209</v>
      </c>
      <c r="Q321" s="345" t="s">
        <v>210</v>
      </c>
      <c r="R321" s="345" t="s">
        <v>223</v>
      </c>
      <c r="S321" s="345" t="s">
        <v>224</v>
      </c>
    </row>
    <row r="322" spans="1:19" x14ac:dyDescent="0.25">
      <c r="A322" s="311"/>
      <c r="B322" s="312"/>
      <c r="C322" s="312"/>
      <c r="D322" s="312"/>
      <c r="E322" s="312"/>
      <c r="F322" s="312"/>
      <c r="G322" s="328"/>
      <c r="H322" s="337"/>
      <c r="I322" s="334"/>
      <c r="J322" s="314"/>
      <c r="K322" s="449"/>
      <c r="M322" s="349" t="str">
        <f>N322&amp;AS[[#This Row],[Insurer Code]]&amp;"; "&amp;O322&amp;AS[[#This Row],[Reporting Year]]&amp;"; "&amp;P322&amp;AS[[#This Row],[Insurance Category Code]]&amp;"; "&amp;Q322&amp;AS[[#This Row],[Large Provider Entity Code]]&amp;"; "&amp;R322&amp;AS[[#This Row],[Age Band Code]]&amp;"; "&amp;S322&amp;AS[[#This Row],[Sex Code]]</f>
        <v xml:space="preserve">Insurer Code ; Reporting Year ; Insurance Category Code ; Large Provider Entity Code ; Age Band Code ; Sex Code </v>
      </c>
      <c r="N322" s="345" t="s">
        <v>207</v>
      </c>
      <c r="O322" s="345" t="s">
        <v>208</v>
      </c>
      <c r="P322" s="345" t="s">
        <v>209</v>
      </c>
      <c r="Q322" s="345" t="s">
        <v>210</v>
      </c>
      <c r="R322" s="345" t="s">
        <v>223</v>
      </c>
      <c r="S322" s="345" t="s">
        <v>224</v>
      </c>
    </row>
    <row r="323" spans="1:19" x14ac:dyDescent="0.25">
      <c r="A323" s="311"/>
      <c r="B323" s="312"/>
      <c r="C323" s="312"/>
      <c r="D323" s="312"/>
      <c r="E323" s="312"/>
      <c r="F323" s="312"/>
      <c r="G323" s="328"/>
      <c r="H323" s="337"/>
      <c r="I323" s="334"/>
      <c r="J323" s="314"/>
      <c r="K323" s="449"/>
      <c r="M323" s="349" t="str">
        <f>N323&amp;AS[[#This Row],[Insurer Code]]&amp;"; "&amp;O323&amp;AS[[#This Row],[Reporting Year]]&amp;"; "&amp;P323&amp;AS[[#This Row],[Insurance Category Code]]&amp;"; "&amp;Q323&amp;AS[[#This Row],[Large Provider Entity Code]]&amp;"; "&amp;R323&amp;AS[[#This Row],[Age Band Code]]&amp;"; "&amp;S323&amp;AS[[#This Row],[Sex Code]]</f>
        <v xml:space="preserve">Insurer Code ; Reporting Year ; Insurance Category Code ; Large Provider Entity Code ; Age Band Code ; Sex Code </v>
      </c>
      <c r="N323" s="345" t="s">
        <v>207</v>
      </c>
      <c r="O323" s="345" t="s">
        <v>208</v>
      </c>
      <c r="P323" s="345" t="s">
        <v>209</v>
      </c>
      <c r="Q323" s="345" t="s">
        <v>210</v>
      </c>
      <c r="R323" s="345" t="s">
        <v>223</v>
      </c>
      <c r="S323" s="345" t="s">
        <v>224</v>
      </c>
    </row>
    <row r="324" spans="1:19" x14ac:dyDescent="0.25">
      <c r="A324" s="311"/>
      <c r="B324" s="312"/>
      <c r="C324" s="312"/>
      <c r="D324" s="312"/>
      <c r="E324" s="312"/>
      <c r="F324" s="312"/>
      <c r="G324" s="328"/>
      <c r="H324" s="337"/>
      <c r="I324" s="334"/>
      <c r="J324" s="314"/>
      <c r="K324" s="449"/>
      <c r="M324" s="349" t="str">
        <f>N324&amp;AS[[#This Row],[Insurer Code]]&amp;"; "&amp;O324&amp;AS[[#This Row],[Reporting Year]]&amp;"; "&amp;P324&amp;AS[[#This Row],[Insurance Category Code]]&amp;"; "&amp;Q324&amp;AS[[#This Row],[Large Provider Entity Code]]&amp;"; "&amp;R324&amp;AS[[#This Row],[Age Band Code]]&amp;"; "&amp;S324&amp;AS[[#This Row],[Sex Code]]</f>
        <v xml:space="preserve">Insurer Code ; Reporting Year ; Insurance Category Code ; Large Provider Entity Code ; Age Band Code ; Sex Code </v>
      </c>
      <c r="N324" s="345" t="s">
        <v>207</v>
      </c>
      <c r="O324" s="345" t="s">
        <v>208</v>
      </c>
      <c r="P324" s="345" t="s">
        <v>209</v>
      </c>
      <c r="Q324" s="345" t="s">
        <v>210</v>
      </c>
      <c r="R324" s="345" t="s">
        <v>223</v>
      </c>
      <c r="S324" s="345" t="s">
        <v>224</v>
      </c>
    </row>
    <row r="325" spans="1:19" x14ac:dyDescent="0.25">
      <c r="A325" s="311"/>
      <c r="B325" s="312"/>
      <c r="C325" s="312"/>
      <c r="D325" s="312"/>
      <c r="E325" s="312"/>
      <c r="F325" s="312"/>
      <c r="G325" s="328"/>
      <c r="H325" s="337"/>
      <c r="I325" s="334"/>
      <c r="J325" s="314"/>
      <c r="K325" s="449"/>
      <c r="M325" s="349" t="str">
        <f>N325&amp;AS[[#This Row],[Insurer Code]]&amp;"; "&amp;O325&amp;AS[[#This Row],[Reporting Year]]&amp;"; "&amp;P325&amp;AS[[#This Row],[Insurance Category Code]]&amp;"; "&amp;Q325&amp;AS[[#This Row],[Large Provider Entity Code]]&amp;"; "&amp;R325&amp;AS[[#This Row],[Age Band Code]]&amp;"; "&amp;S325&amp;AS[[#This Row],[Sex Code]]</f>
        <v xml:space="preserve">Insurer Code ; Reporting Year ; Insurance Category Code ; Large Provider Entity Code ; Age Band Code ; Sex Code </v>
      </c>
      <c r="N325" s="345" t="s">
        <v>207</v>
      </c>
      <c r="O325" s="345" t="s">
        <v>208</v>
      </c>
      <c r="P325" s="345" t="s">
        <v>209</v>
      </c>
      <c r="Q325" s="345" t="s">
        <v>210</v>
      </c>
      <c r="R325" s="345" t="s">
        <v>223</v>
      </c>
      <c r="S325" s="345" t="s">
        <v>224</v>
      </c>
    </row>
    <row r="326" spans="1:19" x14ac:dyDescent="0.25">
      <c r="A326" s="311"/>
      <c r="B326" s="312"/>
      <c r="C326" s="312"/>
      <c r="D326" s="312"/>
      <c r="E326" s="312"/>
      <c r="F326" s="312"/>
      <c r="G326" s="328"/>
      <c r="H326" s="337"/>
      <c r="I326" s="334"/>
      <c r="J326" s="314"/>
      <c r="K326" s="449"/>
      <c r="M326" s="349" t="str">
        <f>N326&amp;AS[[#This Row],[Insurer Code]]&amp;"; "&amp;O326&amp;AS[[#This Row],[Reporting Year]]&amp;"; "&amp;P326&amp;AS[[#This Row],[Insurance Category Code]]&amp;"; "&amp;Q326&amp;AS[[#This Row],[Large Provider Entity Code]]&amp;"; "&amp;R326&amp;AS[[#This Row],[Age Band Code]]&amp;"; "&amp;S326&amp;AS[[#This Row],[Sex Code]]</f>
        <v xml:space="preserve">Insurer Code ; Reporting Year ; Insurance Category Code ; Large Provider Entity Code ; Age Band Code ; Sex Code </v>
      </c>
      <c r="N326" s="345" t="s">
        <v>207</v>
      </c>
      <c r="O326" s="345" t="s">
        <v>208</v>
      </c>
      <c r="P326" s="345" t="s">
        <v>209</v>
      </c>
      <c r="Q326" s="345" t="s">
        <v>210</v>
      </c>
      <c r="R326" s="345" t="s">
        <v>223</v>
      </c>
      <c r="S326" s="345" t="s">
        <v>224</v>
      </c>
    </row>
    <row r="327" spans="1:19" x14ac:dyDescent="0.25">
      <c r="A327" s="311"/>
      <c r="B327" s="312"/>
      <c r="C327" s="312"/>
      <c r="D327" s="312"/>
      <c r="E327" s="312"/>
      <c r="F327" s="312"/>
      <c r="G327" s="328"/>
      <c r="H327" s="337"/>
      <c r="I327" s="334"/>
      <c r="J327" s="314"/>
      <c r="K327" s="449"/>
      <c r="M327" s="349" t="str">
        <f>N327&amp;AS[[#This Row],[Insurer Code]]&amp;"; "&amp;O327&amp;AS[[#This Row],[Reporting Year]]&amp;"; "&amp;P327&amp;AS[[#This Row],[Insurance Category Code]]&amp;"; "&amp;Q327&amp;AS[[#This Row],[Large Provider Entity Code]]&amp;"; "&amp;R327&amp;AS[[#This Row],[Age Band Code]]&amp;"; "&amp;S327&amp;AS[[#This Row],[Sex Code]]</f>
        <v xml:space="preserve">Insurer Code ; Reporting Year ; Insurance Category Code ; Large Provider Entity Code ; Age Band Code ; Sex Code </v>
      </c>
      <c r="N327" s="345" t="s">
        <v>207</v>
      </c>
      <c r="O327" s="345" t="s">
        <v>208</v>
      </c>
      <c r="P327" s="345" t="s">
        <v>209</v>
      </c>
      <c r="Q327" s="345" t="s">
        <v>210</v>
      </c>
      <c r="R327" s="345" t="s">
        <v>223</v>
      </c>
      <c r="S327" s="345" t="s">
        <v>224</v>
      </c>
    </row>
    <row r="328" spans="1:19" x14ac:dyDescent="0.25">
      <c r="A328" s="311"/>
      <c r="B328" s="312"/>
      <c r="C328" s="312"/>
      <c r="D328" s="312"/>
      <c r="E328" s="312"/>
      <c r="F328" s="312"/>
      <c r="G328" s="328"/>
      <c r="H328" s="337"/>
      <c r="I328" s="334"/>
      <c r="J328" s="314"/>
      <c r="K328" s="449"/>
      <c r="M328" s="349" t="str">
        <f>N328&amp;AS[[#This Row],[Insurer Code]]&amp;"; "&amp;O328&amp;AS[[#This Row],[Reporting Year]]&amp;"; "&amp;P328&amp;AS[[#This Row],[Insurance Category Code]]&amp;"; "&amp;Q328&amp;AS[[#This Row],[Large Provider Entity Code]]&amp;"; "&amp;R328&amp;AS[[#This Row],[Age Band Code]]&amp;"; "&amp;S328&amp;AS[[#This Row],[Sex Code]]</f>
        <v xml:space="preserve">Insurer Code ; Reporting Year ; Insurance Category Code ; Large Provider Entity Code ; Age Band Code ; Sex Code </v>
      </c>
      <c r="N328" s="345" t="s">
        <v>207</v>
      </c>
      <c r="O328" s="345" t="s">
        <v>208</v>
      </c>
      <c r="P328" s="345" t="s">
        <v>209</v>
      </c>
      <c r="Q328" s="345" t="s">
        <v>210</v>
      </c>
      <c r="R328" s="345" t="s">
        <v>223</v>
      </c>
      <c r="S328" s="345" t="s">
        <v>224</v>
      </c>
    </row>
    <row r="329" spans="1:19" x14ac:dyDescent="0.25">
      <c r="A329" s="311"/>
      <c r="B329" s="312"/>
      <c r="C329" s="312"/>
      <c r="D329" s="312"/>
      <c r="E329" s="312"/>
      <c r="F329" s="312"/>
      <c r="G329" s="328"/>
      <c r="H329" s="337"/>
      <c r="I329" s="334"/>
      <c r="J329" s="314"/>
      <c r="K329" s="449"/>
      <c r="M329" s="349" t="str">
        <f>N329&amp;AS[[#This Row],[Insurer Code]]&amp;"; "&amp;O329&amp;AS[[#This Row],[Reporting Year]]&amp;"; "&amp;P329&amp;AS[[#This Row],[Insurance Category Code]]&amp;"; "&amp;Q329&amp;AS[[#This Row],[Large Provider Entity Code]]&amp;"; "&amp;R329&amp;AS[[#This Row],[Age Band Code]]&amp;"; "&amp;S329&amp;AS[[#This Row],[Sex Code]]</f>
        <v xml:space="preserve">Insurer Code ; Reporting Year ; Insurance Category Code ; Large Provider Entity Code ; Age Band Code ; Sex Code </v>
      </c>
      <c r="N329" s="345" t="s">
        <v>207</v>
      </c>
      <c r="O329" s="345" t="s">
        <v>208</v>
      </c>
      <c r="P329" s="345" t="s">
        <v>209</v>
      </c>
      <c r="Q329" s="345" t="s">
        <v>210</v>
      </c>
      <c r="R329" s="345" t="s">
        <v>223</v>
      </c>
      <c r="S329" s="345" t="s">
        <v>224</v>
      </c>
    </row>
    <row r="330" spans="1:19" x14ac:dyDescent="0.25">
      <c r="A330" s="311"/>
      <c r="B330" s="312"/>
      <c r="C330" s="312"/>
      <c r="D330" s="312"/>
      <c r="E330" s="312"/>
      <c r="F330" s="312"/>
      <c r="G330" s="328"/>
      <c r="H330" s="337"/>
      <c r="I330" s="334"/>
      <c r="J330" s="314"/>
      <c r="K330" s="449"/>
      <c r="M330" s="349" t="str">
        <f>N330&amp;AS[[#This Row],[Insurer Code]]&amp;"; "&amp;O330&amp;AS[[#This Row],[Reporting Year]]&amp;"; "&amp;P330&amp;AS[[#This Row],[Insurance Category Code]]&amp;"; "&amp;Q330&amp;AS[[#This Row],[Large Provider Entity Code]]&amp;"; "&amp;R330&amp;AS[[#This Row],[Age Band Code]]&amp;"; "&amp;S330&amp;AS[[#This Row],[Sex Code]]</f>
        <v xml:space="preserve">Insurer Code ; Reporting Year ; Insurance Category Code ; Large Provider Entity Code ; Age Band Code ; Sex Code </v>
      </c>
      <c r="N330" s="345" t="s">
        <v>207</v>
      </c>
      <c r="O330" s="345" t="s">
        <v>208</v>
      </c>
      <c r="P330" s="345" t="s">
        <v>209</v>
      </c>
      <c r="Q330" s="345" t="s">
        <v>210</v>
      </c>
      <c r="R330" s="345" t="s">
        <v>223</v>
      </c>
      <c r="S330" s="345" t="s">
        <v>224</v>
      </c>
    </row>
    <row r="331" spans="1:19" x14ac:dyDescent="0.25">
      <c r="A331" s="311"/>
      <c r="B331" s="312"/>
      <c r="C331" s="312"/>
      <c r="D331" s="312"/>
      <c r="E331" s="312"/>
      <c r="F331" s="312"/>
      <c r="G331" s="328"/>
      <c r="H331" s="337"/>
      <c r="I331" s="334"/>
      <c r="J331" s="314"/>
      <c r="K331" s="449"/>
      <c r="M331" s="349" t="str">
        <f>N331&amp;AS[[#This Row],[Insurer Code]]&amp;"; "&amp;O331&amp;AS[[#This Row],[Reporting Year]]&amp;"; "&amp;P331&amp;AS[[#This Row],[Insurance Category Code]]&amp;"; "&amp;Q331&amp;AS[[#This Row],[Large Provider Entity Code]]&amp;"; "&amp;R331&amp;AS[[#This Row],[Age Band Code]]&amp;"; "&amp;S331&amp;AS[[#This Row],[Sex Code]]</f>
        <v xml:space="preserve">Insurer Code ; Reporting Year ; Insurance Category Code ; Large Provider Entity Code ; Age Band Code ; Sex Code </v>
      </c>
      <c r="N331" s="345" t="s">
        <v>207</v>
      </c>
      <c r="O331" s="345" t="s">
        <v>208</v>
      </c>
      <c r="P331" s="345" t="s">
        <v>209</v>
      </c>
      <c r="Q331" s="345" t="s">
        <v>210</v>
      </c>
      <c r="R331" s="345" t="s">
        <v>223</v>
      </c>
      <c r="S331" s="345" t="s">
        <v>224</v>
      </c>
    </row>
    <row r="332" spans="1:19" x14ac:dyDescent="0.25">
      <c r="A332" s="311"/>
      <c r="B332" s="312"/>
      <c r="C332" s="312"/>
      <c r="D332" s="312"/>
      <c r="E332" s="312"/>
      <c r="F332" s="312"/>
      <c r="G332" s="328"/>
      <c r="H332" s="337"/>
      <c r="I332" s="334"/>
      <c r="J332" s="314"/>
      <c r="K332" s="449"/>
      <c r="M332" s="349" t="str">
        <f>N332&amp;AS[[#This Row],[Insurer Code]]&amp;"; "&amp;O332&amp;AS[[#This Row],[Reporting Year]]&amp;"; "&amp;P332&amp;AS[[#This Row],[Insurance Category Code]]&amp;"; "&amp;Q332&amp;AS[[#This Row],[Large Provider Entity Code]]&amp;"; "&amp;R332&amp;AS[[#This Row],[Age Band Code]]&amp;"; "&amp;S332&amp;AS[[#This Row],[Sex Code]]</f>
        <v xml:space="preserve">Insurer Code ; Reporting Year ; Insurance Category Code ; Large Provider Entity Code ; Age Band Code ; Sex Code </v>
      </c>
      <c r="N332" s="345" t="s">
        <v>207</v>
      </c>
      <c r="O332" s="345" t="s">
        <v>208</v>
      </c>
      <c r="P332" s="345" t="s">
        <v>209</v>
      </c>
      <c r="Q332" s="345" t="s">
        <v>210</v>
      </c>
      <c r="R332" s="345" t="s">
        <v>223</v>
      </c>
      <c r="S332" s="345" t="s">
        <v>224</v>
      </c>
    </row>
    <row r="333" spans="1:19" x14ac:dyDescent="0.25">
      <c r="A333" s="311"/>
      <c r="B333" s="312"/>
      <c r="C333" s="312"/>
      <c r="D333" s="312"/>
      <c r="E333" s="312"/>
      <c r="F333" s="312"/>
      <c r="G333" s="328"/>
      <c r="H333" s="337"/>
      <c r="I333" s="334"/>
      <c r="J333" s="314"/>
      <c r="K333" s="449"/>
      <c r="M333" s="349" t="str">
        <f>N333&amp;AS[[#This Row],[Insurer Code]]&amp;"; "&amp;O333&amp;AS[[#This Row],[Reporting Year]]&amp;"; "&amp;P333&amp;AS[[#This Row],[Insurance Category Code]]&amp;"; "&amp;Q333&amp;AS[[#This Row],[Large Provider Entity Code]]&amp;"; "&amp;R333&amp;AS[[#This Row],[Age Band Code]]&amp;"; "&amp;S333&amp;AS[[#This Row],[Sex Code]]</f>
        <v xml:space="preserve">Insurer Code ; Reporting Year ; Insurance Category Code ; Large Provider Entity Code ; Age Band Code ; Sex Code </v>
      </c>
      <c r="N333" s="345" t="s">
        <v>207</v>
      </c>
      <c r="O333" s="345" t="s">
        <v>208</v>
      </c>
      <c r="P333" s="345" t="s">
        <v>209</v>
      </c>
      <c r="Q333" s="345" t="s">
        <v>210</v>
      </c>
      <c r="R333" s="345" t="s">
        <v>223</v>
      </c>
      <c r="S333" s="345" t="s">
        <v>224</v>
      </c>
    </row>
    <row r="334" spans="1:19" x14ac:dyDescent="0.25">
      <c r="A334" s="311"/>
      <c r="B334" s="312"/>
      <c r="C334" s="312"/>
      <c r="D334" s="312"/>
      <c r="E334" s="312"/>
      <c r="F334" s="312"/>
      <c r="G334" s="328"/>
      <c r="H334" s="337"/>
      <c r="I334" s="334"/>
      <c r="J334" s="314"/>
      <c r="K334" s="449"/>
      <c r="M334" s="349" t="str">
        <f>N334&amp;AS[[#This Row],[Insurer Code]]&amp;"; "&amp;O334&amp;AS[[#This Row],[Reporting Year]]&amp;"; "&amp;P334&amp;AS[[#This Row],[Insurance Category Code]]&amp;"; "&amp;Q334&amp;AS[[#This Row],[Large Provider Entity Code]]&amp;"; "&amp;R334&amp;AS[[#This Row],[Age Band Code]]&amp;"; "&amp;S334&amp;AS[[#This Row],[Sex Code]]</f>
        <v xml:space="preserve">Insurer Code ; Reporting Year ; Insurance Category Code ; Large Provider Entity Code ; Age Band Code ; Sex Code </v>
      </c>
      <c r="N334" s="345" t="s">
        <v>207</v>
      </c>
      <c r="O334" s="345" t="s">
        <v>208</v>
      </c>
      <c r="P334" s="345" t="s">
        <v>209</v>
      </c>
      <c r="Q334" s="345" t="s">
        <v>210</v>
      </c>
      <c r="R334" s="345" t="s">
        <v>223</v>
      </c>
      <c r="S334" s="345" t="s">
        <v>224</v>
      </c>
    </row>
    <row r="335" spans="1:19" x14ac:dyDescent="0.25">
      <c r="A335" s="311"/>
      <c r="B335" s="312"/>
      <c r="C335" s="312"/>
      <c r="D335" s="312"/>
      <c r="E335" s="312"/>
      <c r="F335" s="312"/>
      <c r="G335" s="328"/>
      <c r="H335" s="337"/>
      <c r="I335" s="334"/>
      <c r="J335" s="314"/>
      <c r="K335" s="449"/>
      <c r="M335" s="349" t="str">
        <f>N335&amp;AS[[#This Row],[Insurer Code]]&amp;"; "&amp;O335&amp;AS[[#This Row],[Reporting Year]]&amp;"; "&amp;P335&amp;AS[[#This Row],[Insurance Category Code]]&amp;"; "&amp;Q335&amp;AS[[#This Row],[Large Provider Entity Code]]&amp;"; "&amp;R335&amp;AS[[#This Row],[Age Band Code]]&amp;"; "&amp;S335&amp;AS[[#This Row],[Sex Code]]</f>
        <v xml:space="preserve">Insurer Code ; Reporting Year ; Insurance Category Code ; Large Provider Entity Code ; Age Band Code ; Sex Code </v>
      </c>
      <c r="N335" s="345" t="s">
        <v>207</v>
      </c>
      <c r="O335" s="345" t="s">
        <v>208</v>
      </c>
      <c r="P335" s="345" t="s">
        <v>209</v>
      </c>
      <c r="Q335" s="345" t="s">
        <v>210</v>
      </c>
      <c r="R335" s="345" t="s">
        <v>223</v>
      </c>
      <c r="S335" s="345" t="s">
        <v>224</v>
      </c>
    </row>
    <row r="336" spans="1:19" x14ac:dyDescent="0.25">
      <c r="A336" s="311"/>
      <c r="B336" s="312"/>
      <c r="C336" s="312"/>
      <c r="D336" s="312"/>
      <c r="E336" s="312"/>
      <c r="F336" s="312"/>
      <c r="G336" s="328"/>
      <c r="H336" s="337"/>
      <c r="I336" s="334"/>
      <c r="J336" s="314"/>
      <c r="K336" s="449"/>
      <c r="M336" s="349" t="str">
        <f>N336&amp;AS[[#This Row],[Insurer Code]]&amp;"; "&amp;O336&amp;AS[[#This Row],[Reporting Year]]&amp;"; "&amp;P336&amp;AS[[#This Row],[Insurance Category Code]]&amp;"; "&amp;Q336&amp;AS[[#This Row],[Large Provider Entity Code]]&amp;"; "&amp;R336&amp;AS[[#This Row],[Age Band Code]]&amp;"; "&amp;S336&amp;AS[[#This Row],[Sex Code]]</f>
        <v xml:space="preserve">Insurer Code ; Reporting Year ; Insurance Category Code ; Large Provider Entity Code ; Age Band Code ; Sex Code </v>
      </c>
      <c r="N336" s="345" t="s">
        <v>207</v>
      </c>
      <c r="O336" s="345" t="s">
        <v>208</v>
      </c>
      <c r="P336" s="345" t="s">
        <v>209</v>
      </c>
      <c r="Q336" s="345" t="s">
        <v>210</v>
      </c>
      <c r="R336" s="345" t="s">
        <v>223</v>
      </c>
      <c r="S336" s="345" t="s">
        <v>224</v>
      </c>
    </row>
    <row r="337" spans="1:19" x14ac:dyDescent="0.25">
      <c r="A337" s="311"/>
      <c r="B337" s="312"/>
      <c r="C337" s="312"/>
      <c r="D337" s="312"/>
      <c r="E337" s="312"/>
      <c r="F337" s="312"/>
      <c r="G337" s="328"/>
      <c r="H337" s="337"/>
      <c r="I337" s="334"/>
      <c r="J337" s="314"/>
      <c r="K337" s="449"/>
      <c r="M337" s="349" t="str">
        <f>N337&amp;AS[[#This Row],[Insurer Code]]&amp;"; "&amp;O337&amp;AS[[#This Row],[Reporting Year]]&amp;"; "&amp;P337&amp;AS[[#This Row],[Insurance Category Code]]&amp;"; "&amp;Q337&amp;AS[[#This Row],[Large Provider Entity Code]]&amp;"; "&amp;R337&amp;AS[[#This Row],[Age Band Code]]&amp;"; "&amp;S337&amp;AS[[#This Row],[Sex Code]]</f>
        <v xml:space="preserve">Insurer Code ; Reporting Year ; Insurance Category Code ; Large Provider Entity Code ; Age Band Code ; Sex Code </v>
      </c>
      <c r="N337" s="345" t="s">
        <v>207</v>
      </c>
      <c r="O337" s="345" t="s">
        <v>208</v>
      </c>
      <c r="P337" s="345" t="s">
        <v>209</v>
      </c>
      <c r="Q337" s="345" t="s">
        <v>210</v>
      </c>
      <c r="R337" s="345" t="s">
        <v>223</v>
      </c>
      <c r="S337" s="345" t="s">
        <v>224</v>
      </c>
    </row>
    <row r="338" spans="1:19" x14ac:dyDescent="0.25">
      <c r="A338" s="311"/>
      <c r="B338" s="312"/>
      <c r="C338" s="312"/>
      <c r="D338" s="312"/>
      <c r="E338" s="312"/>
      <c r="F338" s="312"/>
      <c r="G338" s="328"/>
      <c r="H338" s="337"/>
      <c r="I338" s="334"/>
      <c r="J338" s="314"/>
      <c r="K338" s="449"/>
      <c r="M338" s="349" t="str">
        <f>N338&amp;AS[[#This Row],[Insurer Code]]&amp;"; "&amp;O338&amp;AS[[#This Row],[Reporting Year]]&amp;"; "&amp;P338&amp;AS[[#This Row],[Insurance Category Code]]&amp;"; "&amp;Q338&amp;AS[[#This Row],[Large Provider Entity Code]]&amp;"; "&amp;R338&amp;AS[[#This Row],[Age Band Code]]&amp;"; "&amp;S338&amp;AS[[#This Row],[Sex Code]]</f>
        <v xml:space="preserve">Insurer Code ; Reporting Year ; Insurance Category Code ; Large Provider Entity Code ; Age Band Code ; Sex Code </v>
      </c>
      <c r="N338" s="345" t="s">
        <v>207</v>
      </c>
      <c r="O338" s="345" t="s">
        <v>208</v>
      </c>
      <c r="P338" s="345" t="s">
        <v>209</v>
      </c>
      <c r="Q338" s="345" t="s">
        <v>210</v>
      </c>
      <c r="R338" s="345" t="s">
        <v>223</v>
      </c>
      <c r="S338" s="345" t="s">
        <v>224</v>
      </c>
    </row>
    <row r="339" spans="1:19" x14ac:dyDescent="0.25">
      <c r="A339" s="311"/>
      <c r="B339" s="312"/>
      <c r="C339" s="312"/>
      <c r="D339" s="312"/>
      <c r="E339" s="312"/>
      <c r="F339" s="312"/>
      <c r="G339" s="328"/>
      <c r="H339" s="337"/>
      <c r="I339" s="334"/>
      <c r="J339" s="314"/>
      <c r="K339" s="449"/>
      <c r="M339" s="349" t="str">
        <f>N339&amp;AS[[#This Row],[Insurer Code]]&amp;"; "&amp;O339&amp;AS[[#This Row],[Reporting Year]]&amp;"; "&amp;P339&amp;AS[[#This Row],[Insurance Category Code]]&amp;"; "&amp;Q339&amp;AS[[#This Row],[Large Provider Entity Code]]&amp;"; "&amp;R339&amp;AS[[#This Row],[Age Band Code]]&amp;"; "&amp;S339&amp;AS[[#This Row],[Sex Code]]</f>
        <v xml:space="preserve">Insurer Code ; Reporting Year ; Insurance Category Code ; Large Provider Entity Code ; Age Band Code ; Sex Code </v>
      </c>
      <c r="N339" s="345" t="s">
        <v>207</v>
      </c>
      <c r="O339" s="345" t="s">
        <v>208</v>
      </c>
      <c r="P339" s="345" t="s">
        <v>209</v>
      </c>
      <c r="Q339" s="345" t="s">
        <v>210</v>
      </c>
      <c r="R339" s="345" t="s">
        <v>223</v>
      </c>
      <c r="S339" s="345" t="s">
        <v>224</v>
      </c>
    </row>
    <row r="340" spans="1:19" x14ac:dyDescent="0.25">
      <c r="A340" s="311"/>
      <c r="B340" s="312"/>
      <c r="C340" s="312"/>
      <c r="D340" s="312"/>
      <c r="E340" s="312"/>
      <c r="F340" s="312"/>
      <c r="G340" s="328"/>
      <c r="H340" s="337"/>
      <c r="I340" s="334"/>
      <c r="J340" s="314"/>
      <c r="K340" s="449"/>
      <c r="M340" s="349" t="str">
        <f>N340&amp;AS[[#This Row],[Insurer Code]]&amp;"; "&amp;O340&amp;AS[[#This Row],[Reporting Year]]&amp;"; "&amp;P340&amp;AS[[#This Row],[Insurance Category Code]]&amp;"; "&amp;Q340&amp;AS[[#This Row],[Large Provider Entity Code]]&amp;"; "&amp;R340&amp;AS[[#This Row],[Age Band Code]]&amp;"; "&amp;S340&amp;AS[[#This Row],[Sex Code]]</f>
        <v xml:space="preserve">Insurer Code ; Reporting Year ; Insurance Category Code ; Large Provider Entity Code ; Age Band Code ; Sex Code </v>
      </c>
      <c r="N340" s="345" t="s">
        <v>207</v>
      </c>
      <c r="O340" s="345" t="s">
        <v>208</v>
      </c>
      <c r="P340" s="345" t="s">
        <v>209</v>
      </c>
      <c r="Q340" s="345" t="s">
        <v>210</v>
      </c>
      <c r="R340" s="345" t="s">
        <v>223</v>
      </c>
      <c r="S340" s="345" t="s">
        <v>224</v>
      </c>
    </row>
    <row r="341" spans="1:19" x14ac:dyDescent="0.25">
      <c r="A341" s="311"/>
      <c r="B341" s="312"/>
      <c r="C341" s="312"/>
      <c r="D341" s="312"/>
      <c r="E341" s="312"/>
      <c r="F341" s="312"/>
      <c r="G341" s="328"/>
      <c r="H341" s="337"/>
      <c r="I341" s="334"/>
      <c r="J341" s="314"/>
      <c r="K341" s="449"/>
      <c r="M341" s="349" t="str">
        <f>N341&amp;AS[[#This Row],[Insurer Code]]&amp;"; "&amp;O341&amp;AS[[#This Row],[Reporting Year]]&amp;"; "&amp;P341&amp;AS[[#This Row],[Insurance Category Code]]&amp;"; "&amp;Q341&amp;AS[[#This Row],[Large Provider Entity Code]]&amp;"; "&amp;R341&amp;AS[[#This Row],[Age Band Code]]&amp;"; "&amp;S341&amp;AS[[#This Row],[Sex Code]]</f>
        <v xml:space="preserve">Insurer Code ; Reporting Year ; Insurance Category Code ; Large Provider Entity Code ; Age Band Code ; Sex Code </v>
      </c>
      <c r="N341" s="345" t="s">
        <v>207</v>
      </c>
      <c r="O341" s="345" t="s">
        <v>208</v>
      </c>
      <c r="P341" s="345" t="s">
        <v>209</v>
      </c>
      <c r="Q341" s="345" t="s">
        <v>210</v>
      </c>
      <c r="R341" s="345" t="s">
        <v>223</v>
      </c>
      <c r="S341" s="345" t="s">
        <v>224</v>
      </c>
    </row>
    <row r="342" spans="1:19" x14ac:dyDescent="0.25">
      <c r="A342" s="311"/>
      <c r="B342" s="312"/>
      <c r="C342" s="312"/>
      <c r="D342" s="312"/>
      <c r="E342" s="312"/>
      <c r="F342" s="312"/>
      <c r="G342" s="328"/>
      <c r="H342" s="337"/>
      <c r="I342" s="334"/>
      <c r="J342" s="314"/>
      <c r="K342" s="449"/>
      <c r="M342" s="349" t="str">
        <f>N342&amp;AS[[#This Row],[Insurer Code]]&amp;"; "&amp;O342&amp;AS[[#This Row],[Reporting Year]]&amp;"; "&amp;P342&amp;AS[[#This Row],[Insurance Category Code]]&amp;"; "&amp;Q342&amp;AS[[#This Row],[Large Provider Entity Code]]&amp;"; "&amp;R342&amp;AS[[#This Row],[Age Band Code]]&amp;"; "&amp;S342&amp;AS[[#This Row],[Sex Code]]</f>
        <v xml:space="preserve">Insurer Code ; Reporting Year ; Insurance Category Code ; Large Provider Entity Code ; Age Band Code ; Sex Code </v>
      </c>
      <c r="N342" s="345" t="s">
        <v>207</v>
      </c>
      <c r="O342" s="345" t="s">
        <v>208</v>
      </c>
      <c r="P342" s="345" t="s">
        <v>209</v>
      </c>
      <c r="Q342" s="345" t="s">
        <v>210</v>
      </c>
      <c r="R342" s="345" t="s">
        <v>223</v>
      </c>
      <c r="S342" s="345" t="s">
        <v>224</v>
      </c>
    </row>
    <row r="343" spans="1:19" x14ac:dyDescent="0.25">
      <c r="A343" s="311"/>
      <c r="B343" s="312"/>
      <c r="C343" s="312"/>
      <c r="D343" s="312"/>
      <c r="E343" s="312"/>
      <c r="F343" s="312"/>
      <c r="G343" s="328"/>
      <c r="H343" s="337"/>
      <c r="I343" s="334"/>
      <c r="J343" s="314"/>
      <c r="K343" s="449"/>
      <c r="M343" s="349" t="str">
        <f>N343&amp;AS[[#This Row],[Insurer Code]]&amp;"; "&amp;O343&amp;AS[[#This Row],[Reporting Year]]&amp;"; "&amp;P343&amp;AS[[#This Row],[Insurance Category Code]]&amp;"; "&amp;Q343&amp;AS[[#This Row],[Large Provider Entity Code]]&amp;"; "&amp;R343&amp;AS[[#This Row],[Age Band Code]]&amp;"; "&amp;S343&amp;AS[[#This Row],[Sex Code]]</f>
        <v xml:space="preserve">Insurer Code ; Reporting Year ; Insurance Category Code ; Large Provider Entity Code ; Age Band Code ; Sex Code </v>
      </c>
      <c r="N343" s="345" t="s">
        <v>207</v>
      </c>
      <c r="O343" s="345" t="s">
        <v>208</v>
      </c>
      <c r="P343" s="345" t="s">
        <v>209</v>
      </c>
      <c r="Q343" s="345" t="s">
        <v>210</v>
      </c>
      <c r="R343" s="345" t="s">
        <v>223</v>
      </c>
      <c r="S343" s="345" t="s">
        <v>224</v>
      </c>
    </row>
    <row r="344" spans="1:19" x14ac:dyDescent="0.25">
      <c r="A344" s="311"/>
      <c r="B344" s="312"/>
      <c r="C344" s="312"/>
      <c r="D344" s="312"/>
      <c r="E344" s="312"/>
      <c r="F344" s="312"/>
      <c r="G344" s="328"/>
      <c r="H344" s="337"/>
      <c r="I344" s="334"/>
      <c r="J344" s="314"/>
      <c r="K344" s="449"/>
      <c r="M344" s="349" t="str">
        <f>N344&amp;AS[[#This Row],[Insurer Code]]&amp;"; "&amp;O344&amp;AS[[#This Row],[Reporting Year]]&amp;"; "&amp;P344&amp;AS[[#This Row],[Insurance Category Code]]&amp;"; "&amp;Q344&amp;AS[[#This Row],[Large Provider Entity Code]]&amp;"; "&amp;R344&amp;AS[[#This Row],[Age Band Code]]&amp;"; "&amp;S344&amp;AS[[#This Row],[Sex Code]]</f>
        <v xml:space="preserve">Insurer Code ; Reporting Year ; Insurance Category Code ; Large Provider Entity Code ; Age Band Code ; Sex Code </v>
      </c>
      <c r="N344" s="345" t="s">
        <v>207</v>
      </c>
      <c r="O344" s="345" t="s">
        <v>208</v>
      </c>
      <c r="P344" s="345" t="s">
        <v>209</v>
      </c>
      <c r="Q344" s="345" t="s">
        <v>210</v>
      </c>
      <c r="R344" s="345" t="s">
        <v>223</v>
      </c>
      <c r="S344" s="345" t="s">
        <v>224</v>
      </c>
    </row>
    <row r="345" spans="1:19" x14ac:dyDescent="0.25">
      <c r="A345" s="311"/>
      <c r="B345" s="312"/>
      <c r="C345" s="312"/>
      <c r="D345" s="312"/>
      <c r="E345" s="312"/>
      <c r="F345" s="312"/>
      <c r="G345" s="328"/>
      <c r="H345" s="337"/>
      <c r="I345" s="334"/>
      <c r="J345" s="314"/>
      <c r="K345" s="449"/>
      <c r="M345" s="349" t="str">
        <f>N345&amp;AS[[#This Row],[Insurer Code]]&amp;"; "&amp;O345&amp;AS[[#This Row],[Reporting Year]]&amp;"; "&amp;P345&amp;AS[[#This Row],[Insurance Category Code]]&amp;"; "&amp;Q345&amp;AS[[#This Row],[Large Provider Entity Code]]&amp;"; "&amp;R345&amp;AS[[#This Row],[Age Band Code]]&amp;"; "&amp;S345&amp;AS[[#This Row],[Sex Code]]</f>
        <v xml:space="preserve">Insurer Code ; Reporting Year ; Insurance Category Code ; Large Provider Entity Code ; Age Band Code ; Sex Code </v>
      </c>
      <c r="N345" s="345" t="s">
        <v>207</v>
      </c>
      <c r="O345" s="345" t="s">
        <v>208</v>
      </c>
      <c r="P345" s="345" t="s">
        <v>209</v>
      </c>
      <c r="Q345" s="345" t="s">
        <v>210</v>
      </c>
      <c r="R345" s="345" t="s">
        <v>223</v>
      </c>
      <c r="S345" s="345" t="s">
        <v>224</v>
      </c>
    </row>
    <row r="346" spans="1:19" x14ac:dyDescent="0.25">
      <c r="A346" s="311"/>
      <c r="B346" s="312"/>
      <c r="C346" s="312"/>
      <c r="D346" s="312"/>
      <c r="E346" s="312"/>
      <c r="F346" s="312"/>
      <c r="G346" s="328"/>
      <c r="H346" s="337"/>
      <c r="I346" s="334"/>
      <c r="J346" s="314"/>
      <c r="K346" s="449"/>
      <c r="M346" s="349" t="str">
        <f>N346&amp;AS[[#This Row],[Insurer Code]]&amp;"; "&amp;O346&amp;AS[[#This Row],[Reporting Year]]&amp;"; "&amp;P346&amp;AS[[#This Row],[Insurance Category Code]]&amp;"; "&amp;Q346&amp;AS[[#This Row],[Large Provider Entity Code]]&amp;"; "&amp;R346&amp;AS[[#This Row],[Age Band Code]]&amp;"; "&amp;S346&amp;AS[[#This Row],[Sex Code]]</f>
        <v xml:space="preserve">Insurer Code ; Reporting Year ; Insurance Category Code ; Large Provider Entity Code ; Age Band Code ; Sex Code </v>
      </c>
      <c r="N346" s="345" t="s">
        <v>207</v>
      </c>
      <c r="O346" s="345" t="s">
        <v>208</v>
      </c>
      <c r="P346" s="345" t="s">
        <v>209</v>
      </c>
      <c r="Q346" s="345" t="s">
        <v>210</v>
      </c>
      <c r="R346" s="345" t="s">
        <v>223</v>
      </c>
      <c r="S346" s="345" t="s">
        <v>224</v>
      </c>
    </row>
    <row r="347" spans="1:19" x14ac:dyDescent="0.25">
      <c r="A347" s="311"/>
      <c r="B347" s="312"/>
      <c r="C347" s="312"/>
      <c r="D347" s="312"/>
      <c r="E347" s="312"/>
      <c r="F347" s="312"/>
      <c r="G347" s="328"/>
      <c r="H347" s="337"/>
      <c r="I347" s="334"/>
      <c r="J347" s="314"/>
      <c r="K347" s="449"/>
      <c r="M347" s="349" t="str">
        <f>N347&amp;AS[[#This Row],[Insurer Code]]&amp;"; "&amp;O347&amp;AS[[#This Row],[Reporting Year]]&amp;"; "&amp;P347&amp;AS[[#This Row],[Insurance Category Code]]&amp;"; "&amp;Q347&amp;AS[[#This Row],[Large Provider Entity Code]]&amp;"; "&amp;R347&amp;AS[[#This Row],[Age Band Code]]&amp;"; "&amp;S347&amp;AS[[#This Row],[Sex Code]]</f>
        <v xml:space="preserve">Insurer Code ; Reporting Year ; Insurance Category Code ; Large Provider Entity Code ; Age Band Code ; Sex Code </v>
      </c>
      <c r="N347" s="345" t="s">
        <v>207</v>
      </c>
      <c r="O347" s="345" t="s">
        <v>208</v>
      </c>
      <c r="P347" s="345" t="s">
        <v>209</v>
      </c>
      <c r="Q347" s="345" t="s">
        <v>210</v>
      </c>
      <c r="R347" s="345" t="s">
        <v>223</v>
      </c>
      <c r="S347" s="345" t="s">
        <v>224</v>
      </c>
    </row>
    <row r="348" spans="1:19" x14ac:dyDescent="0.25">
      <c r="A348" s="311"/>
      <c r="B348" s="312"/>
      <c r="C348" s="312"/>
      <c r="D348" s="312"/>
      <c r="E348" s="312"/>
      <c r="F348" s="312"/>
      <c r="G348" s="328"/>
      <c r="H348" s="337"/>
      <c r="I348" s="334"/>
      <c r="J348" s="314"/>
      <c r="K348" s="449"/>
      <c r="M348" s="349" t="str">
        <f>N348&amp;AS[[#This Row],[Insurer Code]]&amp;"; "&amp;O348&amp;AS[[#This Row],[Reporting Year]]&amp;"; "&amp;P348&amp;AS[[#This Row],[Insurance Category Code]]&amp;"; "&amp;Q348&amp;AS[[#This Row],[Large Provider Entity Code]]&amp;"; "&amp;R348&amp;AS[[#This Row],[Age Band Code]]&amp;"; "&amp;S348&amp;AS[[#This Row],[Sex Code]]</f>
        <v xml:space="preserve">Insurer Code ; Reporting Year ; Insurance Category Code ; Large Provider Entity Code ; Age Band Code ; Sex Code </v>
      </c>
      <c r="N348" s="345" t="s">
        <v>207</v>
      </c>
      <c r="O348" s="345" t="s">
        <v>208</v>
      </c>
      <c r="P348" s="345" t="s">
        <v>209</v>
      </c>
      <c r="Q348" s="345" t="s">
        <v>210</v>
      </c>
      <c r="R348" s="345" t="s">
        <v>223</v>
      </c>
      <c r="S348" s="345" t="s">
        <v>224</v>
      </c>
    </row>
    <row r="349" spans="1:19" x14ac:dyDescent="0.25">
      <c r="A349" s="311"/>
      <c r="B349" s="312"/>
      <c r="C349" s="312"/>
      <c r="D349" s="312"/>
      <c r="E349" s="312"/>
      <c r="F349" s="312"/>
      <c r="G349" s="328"/>
      <c r="H349" s="337"/>
      <c r="I349" s="334"/>
      <c r="J349" s="314"/>
      <c r="K349" s="449"/>
      <c r="M349" s="349" t="str">
        <f>N349&amp;AS[[#This Row],[Insurer Code]]&amp;"; "&amp;O349&amp;AS[[#This Row],[Reporting Year]]&amp;"; "&amp;P349&amp;AS[[#This Row],[Insurance Category Code]]&amp;"; "&amp;Q349&amp;AS[[#This Row],[Large Provider Entity Code]]&amp;"; "&amp;R349&amp;AS[[#This Row],[Age Band Code]]&amp;"; "&amp;S349&amp;AS[[#This Row],[Sex Code]]</f>
        <v xml:space="preserve">Insurer Code ; Reporting Year ; Insurance Category Code ; Large Provider Entity Code ; Age Band Code ; Sex Code </v>
      </c>
      <c r="N349" s="345" t="s">
        <v>207</v>
      </c>
      <c r="O349" s="345" t="s">
        <v>208</v>
      </c>
      <c r="P349" s="345" t="s">
        <v>209</v>
      </c>
      <c r="Q349" s="345" t="s">
        <v>210</v>
      </c>
      <c r="R349" s="345" t="s">
        <v>223</v>
      </c>
      <c r="S349" s="345" t="s">
        <v>224</v>
      </c>
    </row>
    <row r="350" spans="1:19" x14ac:dyDescent="0.25">
      <c r="A350" s="311"/>
      <c r="B350" s="312"/>
      <c r="C350" s="312"/>
      <c r="D350" s="312"/>
      <c r="E350" s="312"/>
      <c r="F350" s="312"/>
      <c r="G350" s="328"/>
      <c r="H350" s="337"/>
      <c r="I350" s="334"/>
      <c r="J350" s="314"/>
      <c r="K350" s="449"/>
      <c r="M350" s="349" t="str">
        <f>N350&amp;AS[[#This Row],[Insurer Code]]&amp;"; "&amp;O350&amp;AS[[#This Row],[Reporting Year]]&amp;"; "&amp;P350&amp;AS[[#This Row],[Insurance Category Code]]&amp;"; "&amp;Q350&amp;AS[[#This Row],[Large Provider Entity Code]]&amp;"; "&amp;R350&amp;AS[[#This Row],[Age Band Code]]&amp;"; "&amp;S350&amp;AS[[#This Row],[Sex Code]]</f>
        <v xml:space="preserve">Insurer Code ; Reporting Year ; Insurance Category Code ; Large Provider Entity Code ; Age Band Code ; Sex Code </v>
      </c>
      <c r="N350" s="345" t="s">
        <v>207</v>
      </c>
      <c r="O350" s="345" t="s">
        <v>208</v>
      </c>
      <c r="P350" s="345" t="s">
        <v>209</v>
      </c>
      <c r="Q350" s="345" t="s">
        <v>210</v>
      </c>
      <c r="R350" s="345" t="s">
        <v>223</v>
      </c>
      <c r="S350" s="345" t="s">
        <v>224</v>
      </c>
    </row>
    <row r="351" spans="1:19" x14ac:dyDescent="0.25">
      <c r="A351" s="311"/>
      <c r="B351" s="312"/>
      <c r="C351" s="312"/>
      <c r="D351" s="312"/>
      <c r="E351" s="312"/>
      <c r="F351" s="312"/>
      <c r="G351" s="328"/>
      <c r="H351" s="337"/>
      <c r="I351" s="334"/>
      <c r="J351" s="314"/>
      <c r="K351" s="449"/>
      <c r="M351" s="349" t="str">
        <f>N351&amp;AS[[#This Row],[Insurer Code]]&amp;"; "&amp;O351&amp;AS[[#This Row],[Reporting Year]]&amp;"; "&amp;P351&amp;AS[[#This Row],[Insurance Category Code]]&amp;"; "&amp;Q351&amp;AS[[#This Row],[Large Provider Entity Code]]&amp;"; "&amp;R351&amp;AS[[#This Row],[Age Band Code]]&amp;"; "&amp;S351&amp;AS[[#This Row],[Sex Code]]</f>
        <v xml:space="preserve">Insurer Code ; Reporting Year ; Insurance Category Code ; Large Provider Entity Code ; Age Band Code ; Sex Code </v>
      </c>
      <c r="N351" s="345" t="s">
        <v>207</v>
      </c>
      <c r="O351" s="345" t="s">
        <v>208</v>
      </c>
      <c r="P351" s="345" t="s">
        <v>209</v>
      </c>
      <c r="Q351" s="345" t="s">
        <v>210</v>
      </c>
      <c r="R351" s="345" t="s">
        <v>223</v>
      </c>
      <c r="S351" s="345" t="s">
        <v>224</v>
      </c>
    </row>
    <row r="352" spans="1:19" x14ac:dyDescent="0.25">
      <c r="A352" s="311"/>
      <c r="B352" s="312"/>
      <c r="C352" s="312"/>
      <c r="D352" s="312"/>
      <c r="E352" s="312"/>
      <c r="F352" s="312"/>
      <c r="G352" s="328"/>
      <c r="H352" s="337"/>
      <c r="I352" s="334"/>
      <c r="J352" s="314"/>
      <c r="K352" s="449"/>
      <c r="M352" s="349" t="str">
        <f>N352&amp;AS[[#This Row],[Insurer Code]]&amp;"; "&amp;O352&amp;AS[[#This Row],[Reporting Year]]&amp;"; "&amp;P352&amp;AS[[#This Row],[Insurance Category Code]]&amp;"; "&amp;Q352&amp;AS[[#This Row],[Large Provider Entity Code]]&amp;"; "&amp;R352&amp;AS[[#This Row],[Age Band Code]]&amp;"; "&amp;S352&amp;AS[[#This Row],[Sex Code]]</f>
        <v xml:space="preserve">Insurer Code ; Reporting Year ; Insurance Category Code ; Large Provider Entity Code ; Age Band Code ; Sex Code </v>
      </c>
      <c r="N352" s="345" t="s">
        <v>207</v>
      </c>
      <c r="O352" s="345" t="s">
        <v>208</v>
      </c>
      <c r="P352" s="345" t="s">
        <v>209</v>
      </c>
      <c r="Q352" s="345" t="s">
        <v>210</v>
      </c>
      <c r="R352" s="345" t="s">
        <v>223</v>
      </c>
      <c r="S352" s="345" t="s">
        <v>224</v>
      </c>
    </row>
    <row r="353" spans="1:19" x14ac:dyDescent="0.25">
      <c r="A353" s="311"/>
      <c r="B353" s="312"/>
      <c r="C353" s="312"/>
      <c r="D353" s="312"/>
      <c r="E353" s="312"/>
      <c r="F353" s="312"/>
      <c r="G353" s="328"/>
      <c r="H353" s="337"/>
      <c r="I353" s="334"/>
      <c r="J353" s="314"/>
      <c r="K353" s="449"/>
      <c r="M353" s="349" t="str">
        <f>N353&amp;AS[[#This Row],[Insurer Code]]&amp;"; "&amp;O353&amp;AS[[#This Row],[Reporting Year]]&amp;"; "&amp;P353&amp;AS[[#This Row],[Insurance Category Code]]&amp;"; "&amp;Q353&amp;AS[[#This Row],[Large Provider Entity Code]]&amp;"; "&amp;R353&amp;AS[[#This Row],[Age Band Code]]&amp;"; "&amp;S353&amp;AS[[#This Row],[Sex Code]]</f>
        <v xml:space="preserve">Insurer Code ; Reporting Year ; Insurance Category Code ; Large Provider Entity Code ; Age Band Code ; Sex Code </v>
      </c>
      <c r="N353" s="345" t="s">
        <v>207</v>
      </c>
      <c r="O353" s="345" t="s">
        <v>208</v>
      </c>
      <c r="P353" s="345" t="s">
        <v>209</v>
      </c>
      <c r="Q353" s="345" t="s">
        <v>210</v>
      </c>
      <c r="R353" s="345" t="s">
        <v>223</v>
      </c>
      <c r="S353" s="345" t="s">
        <v>224</v>
      </c>
    </row>
    <row r="354" spans="1:19" x14ac:dyDescent="0.25">
      <c r="A354" s="311"/>
      <c r="B354" s="312"/>
      <c r="C354" s="312"/>
      <c r="D354" s="312"/>
      <c r="E354" s="312"/>
      <c r="F354" s="312"/>
      <c r="G354" s="328"/>
      <c r="H354" s="337"/>
      <c r="I354" s="334"/>
      <c r="J354" s="314"/>
      <c r="K354" s="449"/>
      <c r="M354" s="349" t="str">
        <f>N354&amp;AS[[#This Row],[Insurer Code]]&amp;"; "&amp;O354&amp;AS[[#This Row],[Reporting Year]]&amp;"; "&amp;P354&amp;AS[[#This Row],[Insurance Category Code]]&amp;"; "&amp;Q354&amp;AS[[#This Row],[Large Provider Entity Code]]&amp;"; "&amp;R354&amp;AS[[#This Row],[Age Band Code]]&amp;"; "&amp;S354&amp;AS[[#This Row],[Sex Code]]</f>
        <v xml:space="preserve">Insurer Code ; Reporting Year ; Insurance Category Code ; Large Provider Entity Code ; Age Band Code ; Sex Code </v>
      </c>
      <c r="N354" s="345" t="s">
        <v>207</v>
      </c>
      <c r="O354" s="345" t="s">
        <v>208</v>
      </c>
      <c r="P354" s="345" t="s">
        <v>209</v>
      </c>
      <c r="Q354" s="345" t="s">
        <v>210</v>
      </c>
      <c r="R354" s="345" t="s">
        <v>223</v>
      </c>
      <c r="S354" s="345" t="s">
        <v>224</v>
      </c>
    </row>
    <row r="355" spans="1:19" x14ac:dyDescent="0.25">
      <c r="A355" s="311"/>
      <c r="B355" s="312"/>
      <c r="C355" s="312"/>
      <c r="D355" s="312"/>
      <c r="E355" s="333"/>
      <c r="F355" s="333"/>
      <c r="G355" s="313"/>
      <c r="H355" s="314"/>
      <c r="I355" s="334"/>
      <c r="J355" s="314"/>
      <c r="K355" s="449"/>
      <c r="M355" s="349" t="str">
        <f>N355&amp;AS[[#This Row],[Insurer Code]]&amp;"; "&amp;O355&amp;AS[[#This Row],[Reporting Year]]&amp;"; "&amp;P355&amp;AS[[#This Row],[Insurance Category Code]]&amp;"; "&amp;Q355&amp;AS[[#This Row],[Large Provider Entity Code]]&amp;"; "&amp;R355&amp;AS[[#This Row],[Age Band Code]]&amp;"; "&amp;S355&amp;AS[[#This Row],[Sex Code]]</f>
        <v xml:space="preserve">Insurer Code ; Reporting Year ; Insurance Category Code ; Large Provider Entity Code ; Age Band Code ; Sex Code </v>
      </c>
      <c r="N355" s="345" t="s">
        <v>207</v>
      </c>
      <c r="O355" s="345" t="s">
        <v>208</v>
      </c>
      <c r="P355" s="345" t="s">
        <v>209</v>
      </c>
      <c r="Q355" s="345" t="s">
        <v>210</v>
      </c>
      <c r="R355" s="345" t="s">
        <v>223</v>
      </c>
      <c r="S355" s="345" t="s">
        <v>224</v>
      </c>
    </row>
    <row r="356" spans="1:19" x14ac:dyDescent="0.25">
      <c r="A356" s="311"/>
      <c r="B356" s="312"/>
      <c r="C356" s="312"/>
      <c r="D356" s="312"/>
      <c r="E356" s="333"/>
      <c r="F356" s="333"/>
      <c r="G356" s="313"/>
      <c r="H356" s="314"/>
      <c r="I356" s="334"/>
      <c r="J356" s="314"/>
      <c r="K356" s="449"/>
      <c r="M356" s="349" t="str">
        <f>N356&amp;AS[[#This Row],[Insurer Code]]&amp;"; "&amp;O356&amp;AS[[#This Row],[Reporting Year]]&amp;"; "&amp;P356&amp;AS[[#This Row],[Insurance Category Code]]&amp;"; "&amp;Q356&amp;AS[[#This Row],[Large Provider Entity Code]]&amp;"; "&amp;R356&amp;AS[[#This Row],[Age Band Code]]&amp;"; "&amp;S356&amp;AS[[#This Row],[Sex Code]]</f>
        <v xml:space="preserve">Insurer Code ; Reporting Year ; Insurance Category Code ; Large Provider Entity Code ; Age Band Code ; Sex Code </v>
      </c>
      <c r="N356" s="345" t="s">
        <v>207</v>
      </c>
      <c r="O356" s="345" t="s">
        <v>208</v>
      </c>
      <c r="P356" s="345" t="s">
        <v>209</v>
      </c>
      <c r="Q356" s="345" t="s">
        <v>210</v>
      </c>
      <c r="R356" s="345" t="s">
        <v>223</v>
      </c>
      <c r="S356" s="345" t="s">
        <v>224</v>
      </c>
    </row>
    <row r="357" spans="1:19" x14ac:dyDescent="0.25">
      <c r="A357" s="311"/>
      <c r="B357" s="312"/>
      <c r="C357" s="312"/>
      <c r="D357" s="312"/>
      <c r="E357" s="333"/>
      <c r="F357" s="333"/>
      <c r="G357" s="313"/>
      <c r="H357" s="314"/>
      <c r="I357" s="334"/>
      <c r="J357" s="314"/>
      <c r="K357" s="449"/>
      <c r="M357" s="349" t="str">
        <f>N357&amp;AS[[#This Row],[Insurer Code]]&amp;"; "&amp;O357&amp;AS[[#This Row],[Reporting Year]]&amp;"; "&amp;P357&amp;AS[[#This Row],[Insurance Category Code]]&amp;"; "&amp;Q357&amp;AS[[#This Row],[Large Provider Entity Code]]&amp;"; "&amp;R357&amp;AS[[#This Row],[Age Band Code]]&amp;"; "&amp;S357&amp;AS[[#This Row],[Sex Code]]</f>
        <v xml:space="preserve">Insurer Code ; Reporting Year ; Insurance Category Code ; Large Provider Entity Code ; Age Band Code ; Sex Code </v>
      </c>
      <c r="N357" s="345" t="s">
        <v>207</v>
      </c>
      <c r="O357" s="345" t="s">
        <v>208</v>
      </c>
      <c r="P357" s="345" t="s">
        <v>209</v>
      </c>
      <c r="Q357" s="345" t="s">
        <v>210</v>
      </c>
      <c r="R357" s="345" t="s">
        <v>223</v>
      </c>
      <c r="S357" s="345" t="s">
        <v>224</v>
      </c>
    </row>
    <row r="358" spans="1:19" x14ac:dyDescent="0.25">
      <c r="A358" s="311"/>
      <c r="B358" s="312"/>
      <c r="C358" s="312"/>
      <c r="D358" s="312"/>
      <c r="E358" s="333"/>
      <c r="F358" s="333"/>
      <c r="G358" s="313"/>
      <c r="H358" s="314"/>
      <c r="I358" s="334"/>
      <c r="J358" s="314"/>
      <c r="K358" s="449"/>
      <c r="M358" s="349" t="str">
        <f>N358&amp;AS[[#This Row],[Insurer Code]]&amp;"; "&amp;O358&amp;AS[[#This Row],[Reporting Year]]&amp;"; "&amp;P358&amp;AS[[#This Row],[Insurance Category Code]]&amp;"; "&amp;Q358&amp;AS[[#This Row],[Large Provider Entity Code]]&amp;"; "&amp;R358&amp;AS[[#This Row],[Age Band Code]]&amp;"; "&amp;S358&amp;AS[[#This Row],[Sex Code]]</f>
        <v xml:space="preserve">Insurer Code ; Reporting Year ; Insurance Category Code ; Large Provider Entity Code ; Age Band Code ; Sex Code </v>
      </c>
      <c r="N358" s="345" t="s">
        <v>207</v>
      </c>
      <c r="O358" s="345" t="s">
        <v>208</v>
      </c>
      <c r="P358" s="345" t="s">
        <v>209</v>
      </c>
      <c r="Q358" s="345" t="s">
        <v>210</v>
      </c>
      <c r="R358" s="345" t="s">
        <v>223</v>
      </c>
      <c r="S358" s="345" t="s">
        <v>224</v>
      </c>
    </row>
    <row r="359" spans="1:19" x14ac:dyDescent="0.25">
      <c r="A359" s="311"/>
      <c r="B359" s="312"/>
      <c r="C359" s="312"/>
      <c r="D359" s="312"/>
      <c r="E359" s="333"/>
      <c r="F359" s="333"/>
      <c r="G359" s="313"/>
      <c r="H359" s="314"/>
      <c r="I359" s="334"/>
      <c r="J359" s="314"/>
      <c r="K359" s="449"/>
      <c r="M359" s="349" t="str">
        <f>N359&amp;AS[[#This Row],[Insurer Code]]&amp;"; "&amp;O359&amp;AS[[#This Row],[Reporting Year]]&amp;"; "&amp;P359&amp;AS[[#This Row],[Insurance Category Code]]&amp;"; "&amp;Q359&amp;AS[[#This Row],[Large Provider Entity Code]]&amp;"; "&amp;R359&amp;AS[[#This Row],[Age Band Code]]&amp;"; "&amp;S359&amp;AS[[#This Row],[Sex Code]]</f>
        <v xml:space="preserve">Insurer Code ; Reporting Year ; Insurance Category Code ; Large Provider Entity Code ; Age Band Code ; Sex Code </v>
      </c>
      <c r="N359" s="345" t="s">
        <v>207</v>
      </c>
      <c r="O359" s="345" t="s">
        <v>208</v>
      </c>
      <c r="P359" s="345" t="s">
        <v>209</v>
      </c>
      <c r="Q359" s="345" t="s">
        <v>210</v>
      </c>
      <c r="R359" s="345" t="s">
        <v>223</v>
      </c>
      <c r="S359" s="345" t="s">
        <v>224</v>
      </c>
    </row>
    <row r="360" spans="1:19" x14ac:dyDescent="0.25">
      <c r="A360" s="311"/>
      <c r="B360" s="312"/>
      <c r="C360" s="312"/>
      <c r="D360" s="312"/>
      <c r="E360" s="333"/>
      <c r="F360" s="333"/>
      <c r="G360" s="313"/>
      <c r="H360" s="314"/>
      <c r="I360" s="334"/>
      <c r="J360" s="314"/>
      <c r="K360" s="449"/>
      <c r="M360" s="349" t="str">
        <f>N360&amp;AS[[#This Row],[Insurer Code]]&amp;"; "&amp;O360&amp;AS[[#This Row],[Reporting Year]]&amp;"; "&amp;P360&amp;AS[[#This Row],[Insurance Category Code]]&amp;"; "&amp;Q360&amp;AS[[#This Row],[Large Provider Entity Code]]&amp;"; "&amp;R360&amp;AS[[#This Row],[Age Band Code]]&amp;"; "&amp;S360&amp;AS[[#This Row],[Sex Code]]</f>
        <v xml:space="preserve">Insurer Code ; Reporting Year ; Insurance Category Code ; Large Provider Entity Code ; Age Band Code ; Sex Code </v>
      </c>
      <c r="N360" s="345" t="s">
        <v>207</v>
      </c>
      <c r="O360" s="345" t="s">
        <v>208</v>
      </c>
      <c r="P360" s="345" t="s">
        <v>209</v>
      </c>
      <c r="Q360" s="345" t="s">
        <v>210</v>
      </c>
      <c r="R360" s="345" t="s">
        <v>223</v>
      </c>
      <c r="S360" s="345" t="s">
        <v>224</v>
      </c>
    </row>
    <row r="361" spans="1:19" x14ac:dyDescent="0.25">
      <c r="A361" s="311"/>
      <c r="B361" s="312"/>
      <c r="C361" s="312"/>
      <c r="D361" s="312"/>
      <c r="E361" s="333"/>
      <c r="F361" s="333"/>
      <c r="G361" s="313"/>
      <c r="H361" s="314"/>
      <c r="I361" s="334"/>
      <c r="J361" s="314"/>
      <c r="K361" s="449"/>
      <c r="M361" s="349" t="str">
        <f>N361&amp;AS[[#This Row],[Insurer Code]]&amp;"; "&amp;O361&amp;AS[[#This Row],[Reporting Year]]&amp;"; "&amp;P361&amp;AS[[#This Row],[Insurance Category Code]]&amp;"; "&amp;Q361&amp;AS[[#This Row],[Large Provider Entity Code]]&amp;"; "&amp;R361&amp;AS[[#This Row],[Age Band Code]]&amp;"; "&amp;S361&amp;AS[[#This Row],[Sex Code]]</f>
        <v xml:space="preserve">Insurer Code ; Reporting Year ; Insurance Category Code ; Large Provider Entity Code ; Age Band Code ; Sex Code </v>
      </c>
      <c r="N361" s="345" t="s">
        <v>207</v>
      </c>
      <c r="O361" s="345" t="s">
        <v>208</v>
      </c>
      <c r="P361" s="345" t="s">
        <v>209</v>
      </c>
      <c r="Q361" s="345" t="s">
        <v>210</v>
      </c>
      <c r="R361" s="345" t="s">
        <v>223</v>
      </c>
      <c r="S361" s="345" t="s">
        <v>224</v>
      </c>
    </row>
    <row r="362" spans="1:19" x14ac:dyDescent="0.25">
      <c r="A362" s="311"/>
      <c r="B362" s="312"/>
      <c r="C362" s="312"/>
      <c r="D362" s="312"/>
      <c r="E362" s="333"/>
      <c r="F362" s="333"/>
      <c r="G362" s="313"/>
      <c r="H362" s="314"/>
      <c r="I362" s="334"/>
      <c r="J362" s="314"/>
      <c r="K362" s="449"/>
      <c r="M362" s="349" t="str">
        <f>N362&amp;AS[[#This Row],[Insurer Code]]&amp;"; "&amp;O362&amp;AS[[#This Row],[Reporting Year]]&amp;"; "&amp;P362&amp;AS[[#This Row],[Insurance Category Code]]&amp;"; "&amp;Q362&amp;AS[[#This Row],[Large Provider Entity Code]]&amp;"; "&amp;R362&amp;AS[[#This Row],[Age Band Code]]&amp;"; "&amp;S362&amp;AS[[#This Row],[Sex Code]]</f>
        <v xml:space="preserve">Insurer Code ; Reporting Year ; Insurance Category Code ; Large Provider Entity Code ; Age Band Code ; Sex Code </v>
      </c>
      <c r="N362" s="345" t="s">
        <v>207</v>
      </c>
      <c r="O362" s="345" t="s">
        <v>208</v>
      </c>
      <c r="P362" s="345" t="s">
        <v>209</v>
      </c>
      <c r="Q362" s="345" t="s">
        <v>210</v>
      </c>
      <c r="R362" s="345" t="s">
        <v>223</v>
      </c>
      <c r="S362" s="345" t="s">
        <v>224</v>
      </c>
    </row>
    <row r="363" spans="1:19" x14ac:dyDescent="0.25">
      <c r="A363" s="311"/>
      <c r="B363" s="312"/>
      <c r="C363" s="312"/>
      <c r="D363" s="312"/>
      <c r="E363" s="333"/>
      <c r="F363" s="333"/>
      <c r="G363" s="313"/>
      <c r="H363" s="314"/>
      <c r="I363" s="334"/>
      <c r="J363" s="314"/>
      <c r="K363" s="449"/>
      <c r="M363" s="349" t="str">
        <f>N363&amp;AS[[#This Row],[Insurer Code]]&amp;"; "&amp;O363&amp;AS[[#This Row],[Reporting Year]]&amp;"; "&amp;P363&amp;AS[[#This Row],[Insurance Category Code]]&amp;"; "&amp;Q363&amp;AS[[#This Row],[Large Provider Entity Code]]&amp;"; "&amp;R363&amp;AS[[#This Row],[Age Band Code]]&amp;"; "&amp;S363&amp;AS[[#This Row],[Sex Code]]</f>
        <v xml:space="preserve">Insurer Code ; Reporting Year ; Insurance Category Code ; Large Provider Entity Code ; Age Band Code ; Sex Code </v>
      </c>
      <c r="N363" s="345" t="s">
        <v>207</v>
      </c>
      <c r="O363" s="345" t="s">
        <v>208</v>
      </c>
      <c r="P363" s="345" t="s">
        <v>209</v>
      </c>
      <c r="Q363" s="345" t="s">
        <v>210</v>
      </c>
      <c r="R363" s="345" t="s">
        <v>223</v>
      </c>
      <c r="S363" s="345" t="s">
        <v>224</v>
      </c>
    </row>
    <row r="364" spans="1:19" x14ac:dyDescent="0.25">
      <c r="A364" s="311"/>
      <c r="B364" s="312"/>
      <c r="C364" s="312"/>
      <c r="D364" s="312"/>
      <c r="E364" s="333"/>
      <c r="F364" s="333"/>
      <c r="G364" s="313"/>
      <c r="H364" s="314"/>
      <c r="I364" s="334"/>
      <c r="J364" s="314"/>
      <c r="K364" s="449"/>
      <c r="M364" s="349" t="str">
        <f>N364&amp;AS[[#This Row],[Insurer Code]]&amp;"; "&amp;O364&amp;AS[[#This Row],[Reporting Year]]&amp;"; "&amp;P364&amp;AS[[#This Row],[Insurance Category Code]]&amp;"; "&amp;Q364&amp;AS[[#This Row],[Large Provider Entity Code]]&amp;"; "&amp;R364&amp;AS[[#This Row],[Age Band Code]]&amp;"; "&amp;S364&amp;AS[[#This Row],[Sex Code]]</f>
        <v xml:space="preserve">Insurer Code ; Reporting Year ; Insurance Category Code ; Large Provider Entity Code ; Age Band Code ; Sex Code </v>
      </c>
      <c r="N364" s="345" t="s">
        <v>207</v>
      </c>
      <c r="O364" s="345" t="s">
        <v>208</v>
      </c>
      <c r="P364" s="345" t="s">
        <v>209</v>
      </c>
      <c r="Q364" s="345" t="s">
        <v>210</v>
      </c>
      <c r="R364" s="345" t="s">
        <v>223</v>
      </c>
      <c r="S364" s="345" t="s">
        <v>224</v>
      </c>
    </row>
    <row r="365" spans="1:19" x14ac:dyDescent="0.25">
      <c r="A365" s="311"/>
      <c r="B365" s="312"/>
      <c r="C365" s="312"/>
      <c r="D365" s="312"/>
      <c r="E365" s="333"/>
      <c r="F365" s="333"/>
      <c r="G365" s="313"/>
      <c r="H365" s="314"/>
      <c r="I365" s="334"/>
      <c r="J365" s="314"/>
      <c r="K365" s="449"/>
      <c r="M365" s="349" t="str">
        <f>N365&amp;AS[[#This Row],[Insurer Code]]&amp;"; "&amp;O365&amp;AS[[#This Row],[Reporting Year]]&amp;"; "&amp;P365&amp;AS[[#This Row],[Insurance Category Code]]&amp;"; "&amp;Q365&amp;AS[[#This Row],[Large Provider Entity Code]]&amp;"; "&amp;R365&amp;AS[[#This Row],[Age Band Code]]&amp;"; "&amp;S365&amp;AS[[#This Row],[Sex Code]]</f>
        <v xml:space="preserve">Insurer Code ; Reporting Year ; Insurance Category Code ; Large Provider Entity Code ; Age Band Code ; Sex Code </v>
      </c>
      <c r="N365" s="345" t="s">
        <v>207</v>
      </c>
      <c r="O365" s="345" t="s">
        <v>208</v>
      </c>
      <c r="P365" s="345" t="s">
        <v>209</v>
      </c>
      <c r="Q365" s="345" t="s">
        <v>210</v>
      </c>
      <c r="R365" s="345" t="s">
        <v>223</v>
      </c>
      <c r="S365" s="345" t="s">
        <v>224</v>
      </c>
    </row>
    <row r="366" spans="1:19" x14ac:dyDescent="0.25">
      <c r="A366" s="311"/>
      <c r="B366" s="312"/>
      <c r="C366" s="312"/>
      <c r="D366" s="312"/>
      <c r="E366" s="312"/>
      <c r="F366" s="312"/>
      <c r="G366" s="313"/>
      <c r="H366" s="336"/>
      <c r="I366" s="334"/>
      <c r="J366" s="332"/>
      <c r="K366" s="449"/>
      <c r="M366" s="349" t="str">
        <f>N366&amp;AS[[#This Row],[Insurer Code]]&amp;"; "&amp;O366&amp;AS[[#This Row],[Reporting Year]]&amp;"; "&amp;P366&amp;AS[[#This Row],[Insurance Category Code]]&amp;"; "&amp;Q366&amp;AS[[#This Row],[Large Provider Entity Code]]&amp;"; "&amp;R366&amp;AS[[#This Row],[Age Band Code]]&amp;"; "&amp;S366&amp;AS[[#This Row],[Sex Code]]</f>
        <v xml:space="preserve">Insurer Code ; Reporting Year ; Insurance Category Code ; Large Provider Entity Code ; Age Band Code ; Sex Code </v>
      </c>
      <c r="N366" s="345" t="s">
        <v>207</v>
      </c>
      <c r="O366" s="345" t="s">
        <v>208</v>
      </c>
      <c r="P366" s="345" t="s">
        <v>209</v>
      </c>
      <c r="Q366" s="345" t="s">
        <v>210</v>
      </c>
      <c r="R366" s="345" t="s">
        <v>223</v>
      </c>
      <c r="S366" s="345" t="s">
        <v>224</v>
      </c>
    </row>
    <row r="367" spans="1:19" x14ac:dyDescent="0.25">
      <c r="A367" s="311"/>
      <c r="B367" s="312"/>
      <c r="C367" s="312"/>
      <c r="D367" s="312"/>
      <c r="E367" s="312"/>
      <c r="F367" s="312"/>
      <c r="G367" s="335"/>
      <c r="H367" s="336"/>
      <c r="I367" s="334"/>
      <c r="J367" s="332"/>
      <c r="K367" s="449"/>
      <c r="M367" s="349" t="str">
        <f>N367&amp;AS[[#This Row],[Insurer Code]]&amp;"; "&amp;O367&amp;AS[[#This Row],[Reporting Year]]&amp;"; "&amp;P367&amp;AS[[#This Row],[Insurance Category Code]]&amp;"; "&amp;Q367&amp;AS[[#This Row],[Large Provider Entity Code]]&amp;"; "&amp;R367&amp;AS[[#This Row],[Age Band Code]]&amp;"; "&amp;S367&amp;AS[[#This Row],[Sex Code]]</f>
        <v xml:space="preserve">Insurer Code ; Reporting Year ; Insurance Category Code ; Large Provider Entity Code ; Age Band Code ; Sex Code </v>
      </c>
      <c r="N367" s="345" t="s">
        <v>207</v>
      </c>
      <c r="O367" s="345" t="s">
        <v>208</v>
      </c>
      <c r="P367" s="345" t="s">
        <v>209</v>
      </c>
      <c r="Q367" s="345" t="s">
        <v>210</v>
      </c>
      <c r="R367" s="345" t="s">
        <v>223</v>
      </c>
      <c r="S367" s="345" t="s">
        <v>224</v>
      </c>
    </row>
    <row r="368" spans="1:19" x14ac:dyDescent="0.25">
      <c r="A368" s="311"/>
      <c r="B368" s="312"/>
      <c r="C368" s="312"/>
      <c r="D368" s="312"/>
      <c r="E368" s="312"/>
      <c r="F368" s="312"/>
      <c r="G368" s="335"/>
      <c r="H368" s="336"/>
      <c r="I368" s="334"/>
      <c r="J368" s="332"/>
      <c r="K368" s="449"/>
      <c r="M368" s="349" t="str">
        <f>N368&amp;AS[[#This Row],[Insurer Code]]&amp;"; "&amp;O368&amp;AS[[#This Row],[Reporting Year]]&amp;"; "&amp;P368&amp;AS[[#This Row],[Insurance Category Code]]&amp;"; "&amp;Q368&amp;AS[[#This Row],[Large Provider Entity Code]]&amp;"; "&amp;R368&amp;AS[[#This Row],[Age Band Code]]&amp;"; "&amp;S368&amp;AS[[#This Row],[Sex Code]]</f>
        <v xml:space="preserve">Insurer Code ; Reporting Year ; Insurance Category Code ; Large Provider Entity Code ; Age Band Code ; Sex Code </v>
      </c>
      <c r="N368" s="345" t="s">
        <v>207</v>
      </c>
      <c r="O368" s="345" t="s">
        <v>208</v>
      </c>
      <c r="P368" s="345" t="s">
        <v>209</v>
      </c>
      <c r="Q368" s="345" t="s">
        <v>210</v>
      </c>
      <c r="R368" s="345" t="s">
        <v>223</v>
      </c>
      <c r="S368" s="345" t="s">
        <v>224</v>
      </c>
    </row>
    <row r="369" spans="1:19" x14ac:dyDescent="0.25">
      <c r="A369" s="311"/>
      <c r="B369" s="312"/>
      <c r="C369" s="312"/>
      <c r="D369" s="312"/>
      <c r="E369" s="312"/>
      <c r="F369" s="312"/>
      <c r="G369" s="313"/>
      <c r="H369" s="336"/>
      <c r="I369" s="334"/>
      <c r="J369" s="332"/>
      <c r="K369" s="449"/>
      <c r="M369" s="349" t="str">
        <f>N369&amp;AS[[#This Row],[Insurer Code]]&amp;"; "&amp;O369&amp;AS[[#This Row],[Reporting Year]]&amp;"; "&amp;P369&amp;AS[[#This Row],[Insurance Category Code]]&amp;"; "&amp;Q369&amp;AS[[#This Row],[Large Provider Entity Code]]&amp;"; "&amp;R369&amp;AS[[#This Row],[Age Band Code]]&amp;"; "&amp;S369&amp;AS[[#This Row],[Sex Code]]</f>
        <v xml:space="preserve">Insurer Code ; Reporting Year ; Insurance Category Code ; Large Provider Entity Code ; Age Band Code ; Sex Code </v>
      </c>
      <c r="N369" s="345" t="s">
        <v>207</v>
      </c>
      <c r="O369" s="345" t="s">
        <v>208</v>
      </c>
      <c r="P369" s="345" t="s">
        <v>209</v>
      </c>
      <c r="Q369" s="345" t="s">
        <v>210</v>
      </c>
      <c r="R369" s="345" t="s">
        <v>223</v>
      </c>
      <c r="S369" s="345" t="s">
        <v>224</v>
      </c>
    </row>
    <row r="370" spans="1:19" x14ac:dyDescent="0.25">
      <c r="A370" s="311"/>
      <c r="B370" s="312"/>
      <c r="C370" s="312"/>
      <c r="D370" s="312"/>
      <c r="E370" s="312"/>
      <c r="F370" s="312"/>
      <c r="G370" s="335"/>
      <c r="H370" s="336"/>
      <c r="I370" s="334"/>
      <c r="J370" s="332"/>
      <c r="K370" s="449"/>
      <c r="M370" s="349" t="str">
        <f>N370&amp;AS[[#This Row],[Insurer Code]]&amp;"; "&amp;O370&amp;AS[[#This Row],[Reporting Year]]&amp;"; "&amp;P370&amp;AS[[#This Row],[Insurance Category Code]]&amp;"; "&amp;Q370&amp;AS[[#This Row],[Large Provider Entity Code]]&amp;"; "&amp;R370&amp;AS[[#This Row],[Age Band Code]]&amp;"; "&amp;S370&amp;AS[[#This Row],[Sex Code]]</f>
        <v xml:space="preserve">Insurer Code ; Reporting Year ; Insurance Category Code ; Large Provider Entity Code ; Age Band Code ; Sex Code </v>
      </c>
      <c r="N370" s="345" t="s">
        <v>207</v>
      </c>
      <c r="O370" s="345" t="s">
        <v>208</v>
      </c>
      <c r="P370" s="345" t="s">
        <v>209</v>
      </c>
      <c r="Q370" s="345" t="s">
        <v>210</v>
      </c>
      <c r="R370" s="345" t="s">
        <v>223</v>
      </c>
      <c r="S370" s="345" t="s">
        <v>224</v>
      </c>
    </row>
    <row r="371" spans="1:19" x14ac:dyDescent="0.25">
      <c r="A371" s="311"/>
      <c r="B371" s="312"/>
      <c r="C371" s="312"/>
      <c r="D371" s="312"/>
      <c r="E371" s="312"/>
      <c r="F371" s="312"/>
      <c r="G371" s="313"/>
      <c r="H371" s="336"/>
      <c r="I371" s="334"/>
      <c r="J371" s="332"/>
      <c r="K371" s="449"/>
      <c r="M371" s="349" t="str">
        <f>N371&amp;AS[[#This Row],[Insurer Code]]&amp;"; "&amp;O371&amp;AS[[#This Row],[Reporting Year]]&amp;"; "&amp;P371&amp;AS[[#This Row],[Insurance Category Code]]&amp;"; "&amp;Q371&amp;AS[[#This Row],[Large Provider Entity Code]]&amp;"; "&amp;R371&amp;AS[[#This Row],[Age Band Code]]&amp;"; "&amp;S371&amp;AS[[#This Row],[Sex Code]]</f>
        <v xml:space="preserve">Insurer Code ; Reporting Year ; Insurance Category Code ; Large Provider Entity Code ; Age Band Code ; Sex Code </v>
      </c>
      <c r="N371" s="345" t="s">
        <v>207</v>
      </c>
      <c r="O371" s="345" t="s">
        <v>208</v>
      </c>
      <c r="P371" s="345" t="s">
        <v>209</v>
      </c>
      <c r="Q371" s="345" t="s">
        <v>210</v>
      </c>
      <c r="R371" s="345" t="s">
        <v>223</v>
      </c>
      <c r="S371" s="345" t="s">
        <v>224</v>
      </c>
    </row>
    <row r="372" spans="1:19" x14ac:dyDescent="0.25">
      <c r="A372" s="311"/>
      <c r="B372" s="312"/>
      <c r="C372" s="312"/>
      <c r="D372" s="312"/>
      <c r="E372" s="312"/>
      <c r="F372" s="312"/>
      <c r="G372" s="335"/>
      <c r="H372" s="336"/>
      <c r="I372" s="334"/>
      <c r="J372" s="332"/>
      <c r="K372" s="449"/>
      <c r="M372" s="349" t="str">
        <f>N372&amp;AS[[#This Row],[Insurer Code]]&amp;"; "&amp;O372&amp;AS[[#This Row],[Reporting Year]]&amp;"; "&amp;P372&amp;AS[[#This Row],[Insurance Category Code]]&amp;"; "&amp;Q372&amp;AS[[#This Row],[Large Provider Entity Code]]&amp;"; "&amp;R372&amp;AS[[#This Row],[Age Band Code]]&amp;"; "&amp;S372&amp;AS[[#This Row],[Sex Code]]</f>
        <v xml:space="preserve">Insurer Code ; Reporting Year ; Insurance Category Code ; Large Provider Entity Code ; Age Band Code ; Sex Code </v>
      </c>
      <c r="N372" s="345" t="s">
        <v>207</v>
      </c>
      <c r="O372" s="345" t="s">
        <v>208</v>
      </c>
      <c r="P372" s="345" t="s">
        <v>209</v>
      </c>
      <c r="Q372" s="345" t="s">
        <v>210</v>
      </c>
      <c r="R372" s="345" t="s">
        <v>223</v>
      </c>
      <c r="S372" s="345" t="s">
        <v>224</v>
      </c>
    </row>
    <row r="373" spans="1:19" x14ac:dyDescent="0.25">
      <c r="A373" s="311"/>
      <c r="B373" s="312"/>
      <c r="C373" s="312"/>
      <c r="D373" s="312"/>
      <c r="E373" s="312"/>
      <c r="F373" s="312"/>
      <c r="G373" s="313"/>
      <c r="H373" s="336"/>
      <c r="I373" s="334"/>
      <c r="J373" s="332"/>
      <c r="K373" s="449"/>
      <c r="M373" s="349" t="str">
        <f>N373&amp;AS[[#This Row],[Insurer Code]]&amp;"; "&amp;O373&amp;AS[[#This Row],[Reporting Year]]&amp;"; "&amp;P373&amp;AS[[#This Row],[Insurance Category Code]]&amp;"; "&amp;Q373&amp;AS[[#This Row],[Large Provider Entity Code]]&amp;"; "&amp;R373&amp;AS[[#This Row],[Age Band Code]]&amp;"; "&amp;S373&amp;AS[[#This Row],[Sex Code]]</f>
        <v xml:space="preserve">Insurer Code ; Reporting Year ; Insurance Category Code ; Large Provider Entity Code ; Age Band Code ; Sex Code </v>
      </c>
      <c r="N373" s="345" t="s">
        <v>207</v>
      </c>
      <c r="O373" s="345" t="s">
        <v>208</v>
      </c>
      <c r="P373" s="345" t="s">
        <v>209</v>
      </c>
      <c r="Q373" s="345" t="s">
        <v>210</v>
      </c>
      <c r="R373" s="345" t="s">
        <v>223</v>
      </c>
      <c r="S373" s="345" t="s">
        <v>224</v>
      </c>
    </row>
    <row r="374" spans="1:19" x14ac:dyDescent="0.25">
      <c r="A374" s="311"/>
      <c r="B374" s="312"/>
      <c r="C374" s="312"/>
      <c r="D374" s="312"/>
      <c r="E374" s="312"/>
      <c r="F374" s="312"/>
      <c r="G374" s="335"/>
      <c r="H374" s="336"/>
      <c r="I374" s="334"/>
      <c r="J374" s="332"/>
      <c r="K374" s="449"/>
      <c r="M374" s="349" t="str">
        <f>N374&amp;AS[[#This Row],[Insurer Code]]&amp;"; "&amp;O374&amp;AS[[#This Row],[Reporting Year]]&amp;"; "&amp;P374&amp;AS[[#This Row],[Insurance Category Code]]&amp;"; "&amp;Q374&amp;AS[[#This Row],[Large Provider Entity Code]]&amp;"; "&amp;R374&amp;AS[[#This Row],[Age Band Code]]&amp;"; "&amp;S374&amp;AS[[#This Row],[Sex Code]]</f>
        <v xml:space="preserve">Insurer Code ; Reporting Year ; Insurance Category Code ; Large Provider Entity Code ; Age Band Code ; Sex Code </v>
      </c>
      <c r="N374" s="345" t="s">
        <v>207</v>
      </c>
      <c r="O374" s="345" t="s">
        <v>208</v>
      </c>
      <c r="P374" s="345" t="s">
        <v>209</v>
      </c>
      <c r="Q374" s="345" t="s">
        <v>210</v>
      </c>
      <c r="R374" s="345" t="s">
        <v>223</v>
      </c>
      <c r="S374" s="345" t="s">
        <v>224</v>
      </c>
    </row>
    <row r="375" spans="1:19" x14ac:dyDescent="0.25">
      <c r="A375" s="311"/>
      <c r="B375" s="312"/>
      <c r="C375" s="312"/>
      <c r="D375" s="312"/>
      <c r="E375" s="312"/>
      <c r="F375" s="312"/>
      <c r="G375" s="313"/>
      <c r="H375" s="336"/>
      <c r="I375" s="334"/>
      <c r="J375" s="332"/>
      <c r="K375" s="449"/>
      <c r="M375" s="349" t="str">
        <f>N375&amp;AS[[#This Row],[Insurer Code]]&amp;"; "&amp;O375&amp;AS[[#This Row],[Reporting Year]]&amp;"; "&amp;P375&amp;AS[[#This Row],[Insurance Category Code]]&amp;"; "&amp;Q375&amp;AS[[#This Row],[Large Provider Entity Code]]&amp;"; "&amp;R375&amp;AS[[#This Row],[Age Band Code]]&amp;"; "&amp;S375&amp;AS[[#This Row],[Sex Code]]</f>
        <v xml:space="preserve">Insurer Code ; Reporting Year ; Insurance Category Code ; Large Provider Entity Code ; Age Band Code ; Sex Code </v>
      </c>
      <c r="N375" s="345" t="s">
        <v>207</v>
      </c>
      <c r="O375" s="345" t="s">
        <v>208</v>
      </c>
      <c r="P375" s="345" t="s">
        <v>209</v>
      </c>
      <c r="Q375" s="345" t="s">
        <v>210</v>
      </c>
      <c r="R375" s="345" t="s">
        <v>223</v>
      </c>
      <c r="S375" s="345" t="s">
        <v>224</v>
      </c>
    </row>
    <row r="376" spans="1:19" x14ac:dyDescent="0.25">
      <c r="A376" s="311"/>
      <c r="B376" s="312"/>
      <c r="C376" s="312"/>
      <c r="D376" s="312"/>
      <c r="E376" s="312"/>
      <c r="F376" s="312"/>
      <c r="G376" s="335"/>
      <c r="H376" s="336"/>
      <c r="I376" s="334"/>
      <c r="J376" s="332"/>
      <c r="K376" s="449"/>
      <c r="M376" s="349" t="str">
        <f>N376&amp;AS[[#This Row],[Insurer Code]]&amp;"; "&amp;O376&amp;AS[[#This Row],[Reporting Year]]&amp;"; "&amp;P376&amp;AS[[#This Row],[Insurance Category Code]]&amp;"; "&amp;Q376&amp;AS[[#This Row],[Large Provider Entity Code]]&amp;"; "&amp;R376&amp;AS[[#This Row],[Age Band Code]]&amp;"; "&amp;S376&amp;AS[[#This Row],[Sex Code]]</f>
        <v xml:space="preserve">Insurer Code ; Reporting Year ; Insurance Category Code ; Large Provider Entity Code ; Age Band Code ; Sex Code </v>
      </c>
      <c r="N376" s="345" t="s">
        <v>207</v>
      </c>
      <c r="O376" s="345" t="s">
        <v>208</v>
      </c>
      <c r="P376" s="345" t="s">
        <v>209</v>
      </c>
      <c r="Q376" s="345" t="s">
        <v>210</v>
      </c>
      <c r="R376" s="345" t="s">
        <v>223</v>
      </c>
      <c r="S376" s="345" t="s">
        <v>224</v>
      </c>
    </row>
    <row r="377" spans="1:19" x14ac:dyDescent="0.25">
      <c r="A377" s="311"/>
      <c r="B377" s="312"/>
      <c r="C377" s="312"/>
      <c r="D377" s="312"/>
      <c r="E377" s="312"/>
      <c r="F377" s="312"/>
      <c r="G377" s="313"/>
      <c r="H377" s="336"/>
      <c r="I377" s="334"/>
      <c r="J377" s="332"/>
      <c r="K377" s="449"/>
      <c r="M377" s="349" t="str">
        <f>N377&amp;AS[[#This Row],[Insurer Code]]&amp;"; "&amp;O377&amp;AS[[#This Row],[Reporting Year]]&amp;"; "&amp;P377&amp;AS[[#This Row],[Insurance Category Code]]&amp;"; "&amp;Q377&amp;AS[[#This Row],[Large Provider Entity Code]]&amp;"; "&amp;R377&amp;AS[[#This Row],[Age Band Code]]&amp;"; "&amp;S377&amp;AS[[#This Row],[Sex Code]]</f>
        <v xml:space="preserve">Insurer Code ; Reporting Year ; Insurance Category Code ; Large Provider Entity Code ; Age Band Code ; Sex Code </v>
      </c>
      <c r="N377" s="345" t="s">
        <v>207</v>
      </c>
      <c r="O377" s="345" t="s">
        <v>208</v>
      </c>
      <c r="P377" s="345" t="s">
        <v>209</v>
      </c>
      <c r="Q377" s="345" t="s">
        <v>210</v>
      </c>
      <c r="R377" s="345" t="s">
        <v>223</v>
      </c>
      <c r="S377" s="345" t="s">
        <v>224</v>
      </c>
    </row>
    <row r="378" spans="1:19" x14ac:dyDescent="0.25">
      <c r="A378" s="311"/>
      <c r="B378" s="312"/>
      <c r="C378" s="312"/>
      <c r="D378" s="312"/>
      <c r="E378" s="312"/>
      <c r="F378" s="312"/>
      <c r="G378" s="335"/>
      <c r="H378" s="336"/>
      <c r="I378" s="334"/>
      <c r="J378" s="332"/>
      <c r="K378" s="449"/>
      <c r="M378" s="349" t="str">
        <f>N378&amp;AS[[#This Row],[Insurer Code]]&amp;"; "&amp;O378&amp;AS[[#This Row],[Reporting Year]]&amp;"; "&amp;P378&amp;AS[[#This Row],[Insurance Category Code]]&amp;"; "&amp;Q378&amp;AS[[#This Row],[Large Provider Entity Code]]&amp;"; "&amp;R378&amp;AS[[#This Row],[Age Band Code]]&amp;"; "&amp;S378&amp;AS[[#This Row],[Sex Code]]</f>
        <v xml:space="preserve">Insurer Code ; Reporting Year ; Insurance Category Code ; Large Provider Entity Code ; Age Band Code ; Sex Code </v>
      </c>
      <c r="N378" s="345" t="s">
        <v>207</v>
      </c>
      <c r="O378" s="345" t="s">
        <v>208</v>
      </c>
      <c r="P378" s="345" t="s">
        <v>209</v>
      </c>
      <c r="Q378" s="345" t="s">
        <v>210</v>
      </c>
      <c r="R378" s="345" t="s">
        <v>223</v>
      </c>
      <c r="S378" s="345" t="s">
        <v>224</v>
      </c>
    </row>
    <row r="379" spans="1:19" x14ac:dyDescent="0.25">
      <c r="A379" s="311"/>
      <c r="B379" s="312"/>
      <c r="C379" s="312"/>
      <c r="D379" s="312"/>
      <c r="E379" s="312"/>
      <c r="F379" s="312"/>
      <c r="G379" s="335"/>
      <c r="H379" s="336"/>
      <c r="I379" s="334"/>
      <c r="J379" s="332"/>
      <c r="K379" s="449"/>
      <c r="M379" s="349" t="str">
        <f>N379&amp;AS[[#This Row],[Insurer Code]]&amp;"; "&amp;O379&amp;AS[[#This Row],[Reporting Year]]&amp;"; "&amp;P379&amp;AS[[#This Row],[Insurance Category Code]]&amp;"; "&amp;Q379&amp;AS[[#This Row],[Large Provider Entity Code]]&amp;"; "&amp;R379&amp;AS[[#This Row],[Age Band Code]]&amp;"; "&amp;S379&amp;AS[[#This Row],[Sex Code]]</f>
        <v xml:space="preserve">Insurer Code ; Reporting Year ; Insurance Category Code ; Large Provider Entity Code ; Age Band Code ; Sex Code </v>
      </c>
      <c r="N379" s="345" t="s">
        <v>207</v>
      </c>
      <c r="O379" s="345" t="s">
        <v>208</v>
      </c>
      <c r="P379" s="345" t="s">
        <v>209</v>
      </c>
      <c r="Q379" s="345" t="s">
        <v>210</v>
      </c>
      <c r="R379" s="345" t="s">
        <v>223</v>
      </c>
      <c r="S379" s="345" t="s">
        <v>224</v>
      </c>
    </row>
    <row r="380" spans="1:19" x14ac:dyDescent="0.25">
      <c r="A380" s="311"/>
      <c r="B380" s="312"/>
      <c r="C380" s="312"/>
      <c r="D380" s="312"/>
      <c r="E380" s="312"/>
      <c r="F380" s="312"/>
      <c r="G380" s="313"/>
      <c r="H380" s="336"/>
      <c r="I380" s="334"/>
      <c r="J380" s="332"/>
      <c r="K380" s="449"/>
      <c r="M380" s="349" t="str">
        <f>N380&amp;AS[[#This Row],[Insurer Code]]&amp;"; "&amp;O380&amp;AS[[#This Row],[Reporting Year]]&amp;"; "&amp;P380&amp;AS[[#This Row],[Insurance Category Code]]&amp;"; "&amp;Q380&amp;AS[[#This Row],[Large Provider Entity Code]]&amp;"; "&amp;R380&amp;AS[[#This Row],[Age Band Code]]&amp;"; "&amp;S380&amp;AS[[#This Row],[Sex Code]]</f>
        <v xml:space="preserve">Insurer Code ; Reporting Year ; Insurance Category Code ; Large Provider Entity Code ; Age Band Code ; Sex Code </v>
      </c>
      <c r="N380" s="345" t="s">
        <v>207</v>
      </c>
      <c r="O380" s="345" t="s">
        <v>208</v>
      </c>
      <c r="P380" s="345" t="s">
        <v>209</v>
      </c>
      <c r="Q380" s="345" t="s">
        <v>210</v>
      </c>
      <c r="R380" s="345" t="s">
        <v>223</v>
      </c>
      <c r="S380" s="345" t="s">
        <v>224</v>
      </c>
    </row>
    <row r="381" spans="1:19" x14ac:dyDescent="0.25">
      <c r="A381" s="311"/>
      <c r="B381" s="312"/>
      <c r="C381" s="312"/>
      <c r="D381" s="312"/>
      <c r="E381" s="312"/>
      <c r="F381" s="312"/>
      <c r="G381" s="335"/>
      <c r="H381" s="336"/>
      <c r="I381" s="334"/>
      <c r="J381" s="332"/>
      <c r="K381" s="449"/>
      <c r="M381" s="349" t="str">
        <f>N381&amp;AS[[#This Row],[Insurer Code]]&amp;"; "&amp;O381&amp;AS[[#This Row],[Reporting Year]]&amp;"; "&amp;P381&amp;AS[[#This Row],[Insurance Category Code]]&amp;"; "&amp;Q381&amp;AS[[#This Row],[Large Provider Entity Code]]&amp;"; "&amp;R381&amp;AS[[#This Row],[Age Band Code]]&amp;"; "&amp;S381&amp;AS[[#This Row],[Sex Code]]</f>
        <v xml:space="preserve">Insurer Code ; Reporting Year ; Insurance Category Code ; Large Provider Entity Code ; Age Band Code ; Sex Code </v>
      </c>
      <c r="N381" s="345" t="s">
        <v>207</v>
      </c>
      <c r="O381" s="345" t="s">
        <v>208</v>
      </c>
      <c r="P381" s="345" t="s">
        <v>209</v>
      </c>
      <c r="Q381" s="345" t="s">
        <v>210</v>
      </c>
      <c r="R381" s="345" t="s">
        <v>223</v>
      </c>
      <c r="S381" s="345" t="s">
        <v>224</v>
      </c>
    </row>
    <row r="382" spans="1:19" x14ac:dyDescent="0.25">
      <c r="A382" s="311"/>
      <c r="B382" s="312"/>
      <c r="C382" s="312"/>
      <c r="D382" s="312"/>
      <c r="E382" s="312"/>
      <c r="F382" s="312"/>
      <c r="G382" s="328"/>
      <c r="H382" s="337"/>
      <c r="I382" s="334"/>
      <c r="J382" s="314"/>
      <c r="K382" s="449"/>
      <c r="M382" s="349" t="str">
        <f>N382&amp;AS[[#This Row],[Insurer Code]]&amp;"; "&amp;O382&amp;AS[[#This Row],[Reporting Year]]&amp;"; "&amp;P382&amp;AS[[#This Row],[Insurance Category Code]]&amp;"; "&amp;Q382&amp;AS[[#This Row],[Large Provider Entity Code]]&amp;"; "&amp;R382&amp;AS[[#This Row],[Age Band Code]]&amp;"; "&amp;S382&amp;AS[[#This Row],[Sex Code]]</f>
        <v xml:space="preserve">Insurer Code ; Reporting Year ; Insurance Category Code ; Large Provider Entity Code ; Age Band Code ; Sex Code </v>
      </c>
      <c r="N382" s="345" t="s">
        <v>207</v>
      </c>
      <c r="O382" s="345" t="s">
        <v>208</v>
      </c>
      <c r="P382" s="345" t="s">
        <v>209</v>
      </c>
      <c r="Q382" s="345" t="s">
        <v>210</v>
      </c>
      <c r="R382" s="345" t="s">
        <v>223</v>
      </c>
      <c r="S382" s="345" t="s">
        <v>224</v>
      </c>
    </row>
    <row r="383" spans="1:19" x14ac:dyDescent="0.25">
      <c r="A383" s="311"/>
      <c r="B383" s="312"/>
      <c r="C383" s="312"/>
      <c r="D383" s="312"/>
      <c r="E383" s="312"/>
      <c r="F383" s="312"/>
      <c r="G383" s="328"/>
      <c r="H383" s="337"/>
      <c r="I383" s="334"/>
      <c r="J383" s="314"/>
      <c r="K383" s="449"/>
      <c r="M383" s="349" t="str">
        <f>N383&amp;AS[[#This Row],[Insurer Code]]&amp;"; "&amp;O383&amp;AS[[#This Row],[Reporting Year]]&amp;"; "&amp;P383&amp;AS[[#This Row],[Insurance Category Code]]&amp;"; "&amp;Q383&amp;AS[[#This Row],[Large Provider Entity Code]]&amp;"; "&amp;R383&amp;AS[[#This Row],[Age Band Code]]&amp;"; "&amp;S383&amp;AS[[#This Row],[Sex Code]]</f>
        <v xml:space="preserve">Insurer Code ; Reporting Year ; Insurance Category Code ; Large Provider Entity Code ; Age Band Code ; Sex Code </v>
      </c>
      <c r="N383" s="345" t="s">
        <v>207</v>
      </c>
      <c r="O383" s="345" t="s">
        <v>208</v>
      </c>
      <c r="P383" s="345" t="s">
        <v>209</v>
      </c>
      <c r="Q383" s="345" t="s">
        <v>210</v>
      </c>
      <c r="R383" s="345" t="s">
        <v>223</v>
      </c>
      <c r="S383" s="345" t="s">
        <v>224</v>
      </c>
    </row>
    <row r="384" spans="1:19" x14ac:dyDescent="0.25">
      <c r="A384" s="311"/>
      <c r="B384" s="312"/>
      <c r="C384" s="312"/>
      <c r="D384" s="312"/>
      <c r="E384" s="312"/>
      <c r="F384" s="312"/>
      <c r="G384" s="328"/>
      <c r="H384" s="337"/>
      <c r="I384" s="334"/>
      <c r="J384" s="314"/>
      <c r="K384" s="449"/>
      <c r="M384" s="349" t="str">
        <f>N384&amp;AS[[#This Row],[Insurer Code]]&amp;"; "&amp;O384&amp;AS[[#This Row],[Reporting Year]]&amp;"; "&amp;P384&amp;AS[[#This Row],[Insurance Category Code]]&amp;"; "&amp;Q384&amp;AS[[#This Row],[Large Provider Entity Code]]&amp;"; "&amp;R384&amp;AS[[#This Row],[Age Band Code]]&amp;"; "&amp;S384&amp;AS[[#This Row],[Sex Code]]</f>
        <v xml:space="preserve">Insurer Code ; Reporting Year ; Insurance Category Code ; Large Provider Entity Code ; Age Band Code ; Sex Code </v>
      </c>
      <c r="N384" s="345" t="s">
        <v>207</v>
      </c>
      <c r="O384" s="345" t="s">
        <v>208</v>
      </c>
      <c r="P384" s="345" t="s">
        <v>209</v>
      </c>
      <c r="Q384" s="345" t="s">
        <v>210</v>
      </c>
      <c r="R384" s="345" t="s">
        <v>223</v>
      </c>
      <c r="S384" s="345" t="s">
        <v>224</v>
      </c>
    </row>
    <row r="385" spans="1:19" x14ac:dyDescent="0.25">
      <c r="A385" s="311"/>
      <c r="B385" s="312"/>
      <c r="C385" s="312"/>
      <c r="D385" s="312"/>
      <c r="E385" s="312"/>
      <c r="F385" s="312"/>
      <c r="G385" s="328"/>
      <c r="H385" s="337"/>
      <c r="I385" s="334"/>
      <c r="J385" s="314"/>
      <c r="K385" s="449"/>
      <c r="M385" s="349" t="str">
        <f>N385&amp;AS[[#This Row],[Insurer Code]]&amp;"; "&amp;O385&amp;AS[[#This Row],[Reporting Year]]&amp;"; "&amp;P385&amp;AS[[#This Row],[Insurance Category Code]]&amp;"; "&amp;Q385&amp;AS[[#This Row],[Large Provider Entity Code]]&amp;"; "&amp;R385&amp;AS[[#This Row],[Age Band Code]]&amp;"; "&amp;S385&amp;AS[[#This Row],[Sex Code]]</f>
        <v xml:space="preserve">Insurer Code ; Reporting Year ; Insurance Category Code ; Large Provider Entity Code ; Age Band Code ; Sex Code </v>
      </c>
      <c r="N385" s="345" t="s">
        <v>207</v>
      </c>
      <c r="O385" s="345" t="s">
        <v>208</v>
      </c>
      <c r="P385" s="345" t="s">
        <v>209</v>
      </c>
      <c r="Q385" s="345" t="s">
        <v>210</v>
      </c>
      <c r="R385" s="345" t="s">
        <v>223</v>
      </c>
      <c r="S385" s="345" t="s">
        <v>224</v>
      </c>
    </row>
    <row r="386" spans="1:19" x14ac:dyDescent="0.25">
      <c r="A386" s="311"/>
      <c r="B386" s="312"/>
      <c r="C386" s="312"/>
      <c r="D386" s="312"/>
      <c r="E386" s="312"/>
      <c r="F386" s="312"/>
      <c r="G386" s="328"/>
      <c r="H386" s="337"/>
      <c r="I386" s="334"/>
      <c r="J386" s="314"/>
      <c r="K386" s="449"/>
      <c r="M386" s="349" t="str">
        <f>N386&amp;AS[[#This Row],[Insurer Code]]&amp;"; "&amp;O386&amp;AS[[#This Row],[Reporting Year]]&amp;"; "&amp;P386&amp;AS[[#This Row],[Insurance Category Code]]&amp;"; "&amp;Q386&amp;AS[[#This Row],[Large Provider Entity Code]]&amp;"; "&amp;R386&amp;AS[[#This Row],[Age Band Code]]&amp;"; "&amp;S386&amp;AS[[#This Row],[Sex Code]]</f>
        <v xml:space="preserve">Insurer Code ; Reporting Year ; Insurance Category Code ; Large Provider Entity Code ; Age Band Code ; Sex Code </v>
      </c>
      <c r="N386" s="345" t="s">
        <v>207</v>
      </c>
      <c r="O386" s="345" t="s">
        <v>208</v>
      </c>
      <c r="P386" s="345" t="s">
        <v>209</v>
      </c>
      <c r="Q386" s="345" t="s">
        <v>210</v>
      </c>
      <c r="R386" s="345" t="s">
        <v>223</v>
      </c>
      <c r="S386" s="345" t="s">
        <v>224</v>
      </c>
    </row>
    <row r="387" spans="1:19" x14ac:dyDescent="0.25">
      <c r="A387" s="311"/>
      <c r="B387" s="312"/>
      <c r="C387" s="312"/>
      <c r="D387" s="312"/>
      <c r="E387" s="312"/>
      <c r="F387" s="312"/>
      <c r="G387" s="328"/>
      <c r="H387" s="337"/>
      <c r="I387" s="334"/>
      <c r="J387" s="314"/>
      <c r="K387" s="449"/>
      <c r="M387" s="349" t="str">
        <f>N387&amp;AS[[#This Row],[Insurer Code]]&amp;"; "&amp;O387&amp;AS[[#This Row],[Reporting Year]]&amp;"; "&amp;P387&amp;AS[[#This Row],[Insurance Category Code]]&amp;"; "&amp;Q387&amp;AS[[#This Row],[Large Provider Entity Code]]&amp;"; "&amp;R387&amp;AS[[#This Row],[Age Band Code]]&amp;"; "&amp;S387&amp;AS[[#This Row],[Sex Code]]</f>
        <v xml:space="preserve">Insurer Code ; Reporting Year ; Insurance Category Code ; Large Provider Entity Code ; Age Band Code ; Sex Code </v>
      </c>
      <c r="N387" s="345" t="s">
        <v>207</v>
      </c>
      <c r="O387" s="345" t="s">
        <v>208</v>
      </c>
      <c r="P387" s="345" t="s">
        <v>209</v>
      </c>
      <c r="Q387" s="345" t="s">
        <v>210</v>
      </c>
      <c r="R387" s="345" t="s">
        <v>223</v>
      </c>
      <c r="S387" s="345" t="s">
        <v>224</v>
      </c>
    </row>
    <row r="388" spans="1:19" x14ac:dyDescent="0.25">
      <c r="A388" s="311"/>
      <c r="B388" s="312"/>
      <c r="C388" s="312"/>
      <c r="D388" s="312"/>
      <c r="E388" s="312"/>
      <c r="F388" s="312"/>
      <c r="G388" s="328"/>
      <c r="H388" s="337"/>
      <c r="I388" s="334"/>
      <c r="J388" s="314"/>
      <c r="K388" s="449"/>
      <c r="M388" s="349" t="str">
        <f>N388&amp;AS[[#This Row],[Insurer Code]]&amp;"; "&amp;O388&amp;AS[[#This Row],[Reporting Year]]&amp;"; "&amp;P388&amp;AS[[#This Row],[Insurance Category Code]]&amp;"; "&amp;Q388&amp;AS[[#This Row],[Large Provider Entity Code]]&amp;"; "&amp;R388&amp;AS[[#This Row],[Age Band Code]]&amp;"; "&amp;S388&amp;AS[[#This Row],[Sex Code]]</f>
        <v xml:space="preserve">Insurer Code ; Reporting Year ; Insurance Category Code ; Large Provider Entity Code ; Age Band Code ; Sex Code </v>
      </c>
      <c r="N388" s="345" t="s">
        <v>207</v>
      </c>
      <c r="O388" s="345" t="s">
        <v>208</v>
      </c>
      <c r="P388" s="345" t="s">
        <v>209</v>
      </c>
      <c r="Q388" s="345" t="s">
        <v>210</v>
      </c>
      <c r="R388" s="345" t="s">
        <v>223</v>
      </c>
      <c r="S388" s="345" t="s">
        <v>224</v>
      </c>
    </row>
    <row r="389" spans="1:19" x14ac:dyDescent="0.25">
      <c r="A389" s="311"/>
      <c r="B389" s="312"/>
      <c r="C389" s="312"/>
      <c r="D389" s="312"/>
      <c r="E389" s="312"/>
      <c r="F389" s="312"/>
      <c r="G389" s="328"/>
      <c r="H389" s="337"/>
      <c r="I389" s="334"/>
      <c r="J389" s="314"/>
      <c r="K389" s="449"/>
      <c r="M389" s="349" t="str">
        <f>N389&amp;AS[[#This Row],[Insurer Code]]&amp;"; "&amp;O389&amp;AS[[#This Row],[Reporting Year]]&amp;"; "&amp;P389&amp;AS[[#This Row],[Insurance Category Code]]&amp;"; "&amp;Q389&amp;AS[[#This Row],[Large Provider Entity Code]]&amp;"; "&amp;R389&amp;AS[[#This Row],[Age Band Code]]&amp;"; "&amp;S389&amp;AS[[#This Row],[Sex Code]]</f>
        <v xml:space="preserve">Insurer Code ; Reporting Year ; Insurance Category Code ; Large Provider Entity Code ; Age Band Code ; Sex Code </v>
      </c>
      <c r="N389" s="345" t="s">
        <v>207</v>
      </c>
      <c r="O389" s="345" t="s">
        <v>208</v>
      </c>
      <c r="P389" s="345" t="s">
        <v>209</v>
      </c>
      <c r="Q389" s="345" t="s">
        <v>210</v>
      </c>
      <c r="R389" s="345" t="s">
        <v>223</v>
      </c>
      <c r="S389" s="345" t="s">
        <v>224</v>
      </c>
    </row>
    <row r="390" spans="1:19" x14ac:dyDescent="0.25">
      <c r="A390" s="311"/>
      <c r="B390" s="312"/>
      <c r="C390" s="312"/>
      <c r="D390" s="312"/>
      <c r="E390" s="312"/>
      <c r="F390" s="312"/>
      <c r="G390" s="328"/>
      <c r="H390" s="337"/>
      <c r="I390" s="334"/>
      <c r="J390" s="314"/>
      <c r="K390" s="449"/>
      <c r="M390" s="349" t="str">
        <f>N390&amp;AS[[#This Row],[Insurer Code]]&amp;"; "&amp;O390&amp;AS[[#This Row],[Reporting Year]]&amp;"; "&amp;P390&amp;AS[[#This Row],[Insurance Category Code]]&amp;"; "&amp;Q390&amp;AS[[#This Row],[Large Provider Entity Code]]&amp;"; "&amp;R390&amp;AS[[#This Row],[Age Band Code]]&amp;"; "&amp;S390&amp;AS[[#This Row],[Sex Code]]</f>
        <v xml:space="preserve">Insurer Code ; Reporting Year ; Insurance Category Code ; Large Provider Entity Code ; Age Band Code ; Sex Code </v>
      </c>
      <c r="N390" s="345" t="s">
        <v>207</v>
      </c>
      <c r="O390" s="345" t="s">
        <v>208</v>
      </c>
      <c r="P390" s="345" t="s">
        <v>209</v>
      </c>
      <c r="Q390" s="345" t="s">
        <v>210</v>
      </c>
      <c r="R390" s="345" t="s">
        <v>223</v>
      </c>
      <c r="S390" s="345" t="s">
        <v>224</v>
      </c>
    </row>
    <row r="391" spans="1:19" x14ac:dyDescent="0.25">
      <c r="A391" s="311"/>
      <c r="B391" s="312"/>
      <c r="C391" s="312"/>
      <c r="D391" s="312"/>
      <c r="E391" s="312"/>
      <c r="F391" s="312"/>
      <c r="G391" s="328"/>
      <c r="H391" s="337"/>
      <c r="I391" s="334"/>
      <c r="J391" s="314"/>
      <c r="K391" s="449"/>
      <c r="M391" s="349" t="str">
        <f>N391&amp;AS[[#This Row],[Insurer Code]]&amp;"; "&amp;O391&amp;AS[[#This Row],[Reporting Year]]&amp;"; "&amp;P391&amp;AS[[#This Row],[Insurance Category Code]]&amp;"; "&amp;Q391&amp;AS[[#This Row],[Large Provider Entity Code]]&amp;"; "&amp;R391&amp;AS[[#This Row],[Age Band Code]]&amp;"; "&amp;S391&amp;AS[[#This Row],[Sex Code]]</f>
        <v xml:space="preserve">Insurer Code ; Reporting Year ; Insurance Category Code ; Large Provider Entity Code ; Age Band Code ; Sex Code </v>
      </c>
      <c r="N391" s="345" t="s">
        <v>207</v>
      </c>
      <c r="O391" s="345" t="s">
        <v>208</v>
      </c>
      <c r="P391" s="345" t="s">
        <v>209</v>
      </c>
      <c r="Q391" s="345" t="s">
        <v>210</v>
      </c>
      <c r="R391" s="345" t="s">
        <v>223</v>
      </c>
      <c r="S391" s="345" t="s">
        <v>224</v>
      </c>
    </row>
    <row r="392" spans="1:19" x14ac:dyDescent="0.25">
      <c r="A392" s="311"/>
      <c r="B392" s="312"/>
      <c r="C392" s="312"/>
      <c r="D392" s="312"/>
      <c r="E392" s="312"/>
      <c r="F392" s="312"/>
      <c r="G392" s="328"/>
      <c r="H392" s="337"/>
      <c r="I392" s="334"/>
      <c r="J392" s="314"/>
      <c r="K392" s="449"/>
      <c r="M392" s="349" t="str">
        <f>N392&amp;AS[[#This Row],[Insurer Code]]&amp;"; "&amp;O392&amp;AS[[#This Row],[Reporting Year]]&amp;"; "&amp;P392&amp;AS[[#This Row],[Insurance Category Code]]&amp;"; "&amp;Q392&amp;AS[[#This Row],[Large Provider Entity Code]]&amp;"; "&amp;R392&amp;AS[[#This Row],[Age Band Code]]&amp;"; "&amp;S392&amp;AS[[#This Row],[Sex Code]]</f>
        <v xml:space="preserve">Insurer Code ; Reporting Year ; Insurance Category Code ; Large Provider Entity Code ; Age Band Code ; Sex Code </v>
      </c>
      <c r="N392" s="345" t="s">
        <v>207</v>
      </c>
      <c r="O392" s="345" t="s">
        <v>208</v>
      </c>
      <c r="P392" s="345" t="s">
        <v>209</v>
      </c>
      <c r="Q392" s="345" t="s">
        <v>210</v>
      </c>
      <c r="R392" s="345" t="s">
        <v>223</v>
      </c>
      <c r="S392" s="345" t="s">
        <v>224</v>
      </c>
    </row>
    <row r="393" spans="1:19" x14ac:dyDescent="0.25">
      <c r="A393" s="311"/>
      <c r="B393" s="312"/>
      <c r="C393" s="312"/>
      <c r="D393" s="312"/>
      <c r="E393" s="312"/>
      <c r="F393" s="312"/>
      <c r="G393" s="328"/>
      <c r="H393" s="337"/>
      <c r="I393" s="334"/>
      <c r="J393" s="314"/>
      <c r="K393" s="449"/>
      <c r="M393" s="349" t="str">
        <f>N393&amp;AS[[#This Row],[Insurer Code]]&amp;"; "&amp;O393&amp;AS[[#This Row],[Reporting Year]]&amp;"; "&amp;P393&amp;AS[[#This Row],[Insurance Category Code]]&amp;"; "&amp;Q393&amp;AS[[#This Row],[Large Provider Entity Code]]&amp;"; "&amp;R393&amp;AS[[#This Row],[Age Band Code]]&amp;"; "&amp;S393&amp;AS[[#This Row],[Sex Code]]</f>
        <v xml:space="preserve">Insurer Code ; Reporting Year ; Insurance Category Code ; Large Provider Entity Code ; Age Band Code ; Sex Code </v>
      </c>
      <c r="N393" s="345" t="s">
        <v>207</v>
      </c>
      <c r="O393" s="345" t="s">
        <v>208</v>
      </c>
      <c r="P393" s="345" t="s">
        <v>209</v>
      </c>
      <c r="Q393" s="345" t="s">
        <v>210</v>
      </c>
      <c r="R393" s="345" t="s">
        <v>223</v>
      </c>
      <c r="S393" s="345" t="s">
        <v>224</v>
      </c>
    </row>
    <row r="394" spans="1:19" x14ac:dyDescent="0.25">
      <c r="A394" s="311"/>
      <c r="B394" s="312"/>
      <c r="C394" s="312"/>
      <c r="D394" s="312"/>
      <c r="E394" s="312"/>
      <c r="F394" s="312"/>
      <c r="G394" s="328"/>
      <c r="H394" s="337"/>
      <c r="I394" s="334"/>
      <c r="J394" s="314"/>
      <c r="K394" s="449"/>
      <c r="M394" s="349" t="str">
        <f>N394&amp;AS[[#This Row],[Insurer Code]]&amp;"; "&amp;O394&amp;AS[[#This Row],[Reporting Year]]&amp;"; "&amp;P394&amp;AS[[#This Row],[Insurance Category Code]]&amp;"; "&amp;Q394&amp;AS[[#This Row],[Large Provider Entity Code]]&amp;"; "&amp;R394&amp;AS[[#This Row],[Age Band Code]]&amp;"; "&amp;S394&amp;AS[[#This Row],[Sex Code]]</f>
        <v xml:space="preserve">Insurer Code ; Reporting Year ; Insurance Category Code ; Large Provider Entity Code ; Age Band Code ; Sex Code </v>
      </c>
      <c r="N394" s="345" t="s">
        <v>207</v>
      </c>
      <c r="O394" s="345" t="s">
        <v>208</v>
      </c>
      <c r="P394" s="345" t="s">
        <v>209</v>
      </c>
      <c r="Q394" s="345" t="s">
        <v>210</v>
      </c>
      <c r="R394" s="345" t="s">
        <v>223</v>
      </c>
      <c r="S394" s="345" t="s">
        <v>224</v>
      </c>
    </row>
    <row r="395" spans="1:19" x14ac:dyDescent="0.25">
      <c r="A395" s="311"/>
      <c r="B395" s="312"/>
      <c r="C395" s="312"/>
      <c r="D395" s="312"/>
      <c r="E395" s="312"/>
      <c r="F395" s="312"/>
      <c r="G395" s="328"/>
      <c r="H395" s="337"/>
      <c r="I395" s="334"/>
      <c r="J395" s="314"/>
      <c r="K395" s="449"/>
      <c r="M395" s="349" t="str">
        <f>N395&amp;AS[[#This Row],[Insurer Code]]&amp;"; "&amp;O395&amp;AS[[#This Row],[Reporting Year]]&amp;"; "&amp;P395&amp;AS[[#This Row],[Insurance Category Code]]&amp;"; "&amp;Q395&amp;AS[[#This Row],[Large Provider Entity Code]]&amp;"; "&amp;R395&amp;AS[[#This Row],[Age Band Code]]&amp;"; "&amp;S395&amp;AS[[#This Row],[Sex Code]]</f>
        <v xml:space="preserve">Insurer Code ; Reporting Year ; Insurance Category Code ; Large Provider Entity Code ; Age Band Code ; Sex Code </v>
      </c>
      <c r="N395" s="345" t="s">
        <v>207</v>
      </c>
      <c r="O395" s="345" t="s">
        <v>208</v>
      </c>
      <c r="P395" s="345" t="s">
        <v>209</v>
      </c>
      <c r="Q395" s="345" t="s">
        <v>210</v>
      </c>
      <c r="R395" s="345" t="s">
        <v>223</v>
      </c>
      <c r="S395" s="345" t="s">
        <v>224</v>
      </c>
    </row>
    <row r="396" spans="1:19" x14ac:dyDescent="0.25">
      <c r="A396" s="311"/>
      <c r="B396" s="312"/>
      <c r="C396" s="312"/>
      <c r="D396" s="312"/>
      <c r="E396" s="312"/>
      <c r="F396" s="312"/>
      <c r="G396" s="328"/>
      <c r="H396" s="337"/>
      <c r="I396" s="334"/>
      <c r="J396" s="314"/>
      <c r="K396" s="449"/>
      <c r="M396" s="349" t="str">
        <f>N396&amp;AS[[#This Row],[Insurer Code]]&amp;"; "&amp;O396&amp;AS[[#This Row],[Reporting Year]]&amp;"; "&amp;P396&amp;AS[[#This Row],[Insurance Category Code]]&amp;"; "&amp;Q396&amp;AS[[#This Row],[Large Provider Entity Code]]&amp;"; "&amp;R396&amp;AS[[#This Row],[Age Band Code]]&amp;"; "&amp;S396&amp;AS[[#This Row],[Sex Code]]</f>
        <v xml:space="preserve">Insurer Code ; Reporting Year ; Insurance Category Code ; Large Provider Entity Code ; Age Band Code ; Sex Code </v>
      </c>
      <c r="N396" s="345" t="s">
        <v>207</v>
      </c>
      <c r="O396" s="345" t="s">
        <v>208</v>
      </c>
      <c r="P396" s="345" t="s">
        <v>209</v>
      </c>
      <c r="Q396" s="345" t="s">
        <v>210</v>
      </c>
      <c r="R396" s="345" t="s">
        <v>223</v>
      </c>
      <c r="S396" s="345" t="s">
        <v>224</v>
      </c>
    </row>
    <row r="397" spans="1:19" x14ac:dyDescent="0.25">
      <c r="A397" s="311"/>
      <c r="B397" s="312"/>
      <c r="C397" s="312"/>
      <c r="D397" s="312"/>
      <c r="E397" s="312"/>
      <c r="F397" s="312"/>
      <c r="G397" s="328"/>
      <c r="H397" s="337"/>
      <c r="I397" s="334"/>
      <c r="J397" s="314"/>
      <c r="K397" s="449"/>
      <c r="M397" s="349" t="str">
        <f>N397&amp;AS[[#This Row],[Insurer Code]]&amp;"; "&amp;O397&amp;AS[[#This Row],[Reporting Year]]&amp;"; "&amp;P397&amp;AS[[#This Row],[Insurance Category Code]]&amp;"; "&amp;Q397&amp;AS[[#This Row],[Large Provider Entity Code]]&amp;"; "&amp;R397&amp;AS[[#This Row],[Age Band Code]]&amp;"; "&amp;S397&amp;AS[[#This Row],[Sex Code]]</f>
        <v xml:space="preserve">Insurer Code ; Reporting Year ; Insurance Category Code ; Large Provider Entity Code ; Age Band Code ; Sex Code </v>
      </c>
      <c r="N397" s="345" t="s">
        <v>207</v>
      </c>
      <c r="O397" s="345" t="s">
        <v>208</v>
      </c>
      <c r="P397" s="345" t="s">
        <v>209</v>
      </c>
      <c r="Q397" s="345" t="s">
        <v>210</v>
      </c>
      <c r="R397" s="345" t="s">
        <v>223</v>
      </c>
      <c r="S397" s="345" t="s">
        <v>224</v>
      </c>
    </row>
    <row r="398" spans="1:19" x14ac:dyDescent="0.25">
      <c r="A398" s="311"/>
      <c r="B398" s="312"/>
      <c r="C398" s="312"/>
      <c r="D398" s="312"/>
      <c r="E398" s="312"/>
      <c r="F398" s="312"/>
      <c r="G398" s="328"/>
      <c r="H398" s="337"/>
      <c r="I398" s="334"/>
      <c r="J398" s="314"/>
      <c r="K398" s="449"/>
      <c r="M398" s="349" t="str">
        <f>N398&amp;AS[[#This Row],[Insurer Code]]&amp;"; "&amp;O398&amp;AS[[#This Row],[Reporting Year]]&amp;"; "&amp;P398&amp;AS[[#This Row],[Insurance Category Code]]&amp;"; "&amp;Q398&amp;AS[[#This Row],[Large Provider Entity Code]]&amp;"; "&amp;R398&amp;AS[[#This Row],[Age Band Code]]&amp;"; "&amp;S398&amp;AS[[#This Row],[Sex Code]]</f>
        <v xml:space="preserve">Insurer Code ; Reporting Year ; Insurance Category Code ; Large Provider Entity Code ; Age Band Code ; Sex Code </v>
      </c>
      <c r="N398" s="345" t="s">
        <v>207</v>
      </c>
      <c r="O398" s="345" t="s">
        <v>208</v>
      </c>
      <c r="P398" s="345" t="s">
        <v>209</v>
      </c>
      <c r="Q398" s="345" t="s">
        <v>210</v>
      </c>
      <c r="R398" s="345" t="s">
        <v>223</v>
      </c>
      <c r="S398" s="345" t="s">
        <v>224</v>
      </c>
    </row>
    <row r="399" spans="1:19" x14ac:dyDescent="0.25">
      <c r="A399" s="311"/>
      <c r="B399" s="312"/>
      <c r="C399" s="312"/>
      <c r="D399" s="312"/>
      <c r="E399" s="312"/>
      <c r="F399" s="312"/>
      <c r="G399" s="328"/>
      <c r="H399" s="337"/>
      <c r="I399" s="334"/>
      <c r="J399" s="314"/>
      <c r="K399" s="449"/>
      <c r="M399" s="349" t="str">
        <f>N399&amp;AS[[#This Row],[Insurer Code]]&amp;"; "&amp;O399&amp;AS[[#This Row],[Reporting Year]]&amp;"; "&amp;P399&amp;AS[[#This Row],[Insurance Category Code]]&amp;"; "&amp;Q399&amp;AS[[#This Row],[Large Provider Entity Code]]&amp;"; "&amp;R399&amp;AS[[#This Row],[Age Band Code]]&amp;"; "&amp;S399&amp;AS[[#This Row],[Sex Code]]</f>
        <v xml:space="preserve">Insurer Code ; Reporting Year ; Insurance Category Code ; Large Provider Entity Code ; Age Band Code ; Sex Code </v>
      </c>
      <c r="N399" s="345" t="s">
        <v>207</v>
      </c>
      <c r="O399" s="345" t="s">
        <v>208</v>
      </c>
      <c r="P399" s="345" t="s">
        <v>209</v>
      </c>
      <c r="Q399" s="345" t="s">
        <v>210</v>
      </c>
      <c r="R399" s="345" t="s">
        <v>223</v>
      </c>
      <c r="S399" s="345" t="s">
        <v>224</v>
      </c>
    </row>
    <row r="400" spans="1:19" x14ac:dyDescent="0.25">
      <c r="A400" s="311"/>
      <c r="B400" s="312"/>
      <c r="C400" s="312"/>
      <c r="D400" s="312"/>
      <c r="E400" s="312"/>
      <c r="F400" s="312"/>
      <c r="G400" s="328"/>
      <c r="H400" s="337"/>
      <c r="I400" s="334"/>
      <c r="J400" s="314"/>
      <c r="K400" s="449"/>
      <c r="M400" s="349" t="str">
        <f>N400&amp;AS[[#This Row],[Insurer Code]]&amp;"; "&amp;O400&amp;AS[[#This Row],[Reporting Year]]&amp;"; "&amp;P400&amp;AS[[#This Row],[Insurance Category Code]]&amp;"; "&amp;Q400&amp;AS[[#This Row],[Large Provider Entity Code]]&amp;"; "&amp;R400&amp;AS[[#This Row],[Age Band Code]]&amp;"; "&amp;S400&amp;AS[[#This Row],[Sex Code]]</f>
        <v xml:space="preserve">Insurer Code ; Reporting Year ; Insurance Category Code ; Large Provider Entity Code ; Age Band Code ; Sex Code </v>
      </c>
      <c r="N400" s="345" t="s">
        <v>207</v>
      </c>
      <c r="O400" s="345" t="s">
        <v>208</v>
      </c>
      <c r="P400" s="345" t="s">
        <v>209</v>
      </c>
      <c r="Q400" s="345" t="s">
        <v>210</v>
      </c>
      <c r="R400" s="345" t="s">
        <v>223</v>
      </c>
      <c r="S400" s="345" t="s">
        <v>224</v>
      </c>
    </row>
    <row r="401" spans="1:19" x14ac:dyDescent="0.25">
      <c r="A401" s="311"/>
      <c r="B401" s="312"/>
      <c r="C401" s="312"/>
      <c r="D401" s="312"/>
      <c r="E401" s="312"/>
      <c r="F401" s="312"/>
      <c r="G401" s="328"/>
      <c r="H401" s="337"/>
      <c r="I401" s="334"/>
      <c r="J401" s="314"/>
      <c r="K401" s="449"/>
      <c r="M401" s="349" t="str">
        <f>N401&amp;AS[[#This Row],[Insurer Code]]&amp;"; "&amp;O401&amp;AS[[#This Row],[Reporting Year]]&amp;"; "&amp;P401&amp;AS[[#This Row],[Insurance Category Code]]&amp;"; "&amp;Q401&amp;AS[[#This Row],[Large Provider Entity Code]]&amp;"; "&amp;R401&amp;AS[[#This Row],[Age Band Code]]&amp;"; "&amp;S401&amp;AS[[#This Row],[Sex Code]]</f>
        <v xml:space="preserve">Insurer Code ; Reporting Year ; Insurance Category Code ; Large Provider Entity Code ; Age Band Code ; Sex Code </v>
      </c>
      <c r="N401" s="345" t="s">
        <v>207</v>
      </c>
      <c r="O401" s="345" t="s">
        <v>208</v>
      </c>
      <c r="P401" s="345" t="s">
        <v>209</v>
      </c>
      <c r="Q401" s="345" t="s">
        <v>210</v>
      </c>
      <c r="R401" s="345" t="s">
        <v>223</v>
      </c>
      <c r="S401" s="345" t="s">
        <v>224</v>
      </c>
    </row>
    <row r="402" spans="1:19" x14ac:dyDescent="0.25">
      <c r="A402" s="311"/>
      <c r="B402" s="312"/>
      <c r="C402" s="312"/>
      <c r="D402" s="312"/>
      <c r="E402" s="312"/>
      <c r="F402" s="312"/>
      <c r="G402" s="328"/>
      <c r="H402" s="337"/>
      <c r="I402" s="334"/>
      <c r="J402" s="314"/>
      <c r="K402" s="449"/>
      <c r="M402" s="349" t="str">
        <f>N402&amp;AS[[#This Row],[Insurer Code]]&amp;"; "&amp;O402&amp;AS[[#This Row],[Reporting Year]]&amp;"; "&amp;P402&amp;AS[[#This Row],[Insurance Category Code]]&amp;"; "&amp;Q402&amp;AS[[#This Row],[Large Provider Entity Code]]&amp;"; "&amp;R402&amp;AS[[#This Row],[Age Band Code]]&amp;"; "&amp;S402&amp;AS[[#This Row],[Sex Code]]</f>
        <v xml:space="preserve">Insurer Code ; Reporting Year ; Insurance Category Code ; Large Provider Entity Code ; Age Band Code ; Sex Code </v>
      </c>
      <c r="N402" s="345" t="s">
        <v>207</v>
      </c>
      <c r="O402" s="345" t="s">
        <v>208</v>
      </c>
      <c r="P402" s="345" t="s">
        <v>209</v>
      </c>
      <c r="Q402" s="345" t="s">
        <v>210</v>
      </c>
      <c r="R402" s="345" t="s">
        <v>223</v>
      </c>
      <c r="S402" s="345" t="s">
        <v>224</v>
      </c>
    </row>
    <row r="403" spans="1:19" x14ac:dyDescent="0.25">
      <c r="A403" s="311"/>
      <c r="B403" s="312"/>
      <c r="C403" s="312"/>
      <c r="D403" s="312"/>
      <c r="E403" s="312"/>
      <c r="F403" s="312"/>
      <c r="G403" s="328"/>
      <c r="H403" s="337"/>
      <c r="I403" s="334"/>
      <c r="J403" s="314"/>
      <c r="K403" s="449"/>
      <c r="M403" s="349" t="str">
        <f>N403&amp;AS[[#This Row],[Insurer Code]]&amp;"; "&amp;O403&amp;AS[[#This Row],[Reporting Year]]&amp;"; "&amp;P403&amp;AS[[#This Row],[Insurance Category Code]]&amp;"; "&amp;Q403&amp;AS[[#This Row],[Large Provider Entity Code]]&amp;"; "&amp;R403&amp;AS[[#This Row],[Age Band Code]]&amp;"; "&amp;S403&amp;AS[[#This Row],[Sex Code]]</f>
        <v xml:space="preserve">Insurer Code ; Reporting Year ; Insurance Category Code ; Large Provider Entity Code ; Age Band Code ; Sex Code </v>
      </c>
      <c r="N403" s="345" t="s">
        <v>207</v>
      </c>
      <c r="O403" s="345" t="s">
        <v>208</v>
      </c>
      <c r="P403" s="345" t="s">
        <v>209</v>
      </c>
      <c r="Q403" s="345" t="s">
        <v>210</v>
      </c>
      <c r="R403" s="345" t="s">
        <v>223</v>
      </c>
      <c r="S403" s="345" t="s">
        <v>224</v>
      </c>
    </row>
    <row r="404" spans="1:19" x14ac:dyDescent="0.25">
      <c r="A404" s="311"/>
      <c r="B404" s="312"/>
      <c r="C404" s="312"/>
      <c r="D404" s="312"/>
      <c r="E404" s="312"/>
      <c r="F404" s="312"/>
      <c r="G404" s="328"/>
      <c r="H404" s="337"/>
      <c r="I404" s="334"/>
      <c r="J404" s="314"/>
      <c r="K404" s="449"/>
      <c r="M404" s="349" t="str">
        <f>N404&amp;AS[[#This Row],[Insurer Code]]&amp;"; "&amp;O404&amp;AS[[#This Row],[Reporting Year]]&amp;"; "&amp;P404&amp;AS[[#This Row],[Insurance Category Code]]&amp;"; "&amp;Q404&amp;AS[[#This Row],[Large Provider Entity Code]]&amp;"; "&amp;R404&amp;AS[[#This Row],[Age Band Code]]&amp;"; "&amp;S404&amp;AS[[#This Row],[Sex Code]]</f>
        <v xml:space="preserve">Insurer Code ; Reporting Year ; Insurance Category Code ; Large Provider Entity Code ; Age Band Code ; Sex Code </v>
      </c>
      <c r="N404" s="345" t="s">
        <v>207</v>
      </c>
      <c r="O404" s="345" t="s">
        <v>208</v>
      </c>
      <c r="P404" s="345" t="s">
        <v>209</v>
      </c>
      <c r="Q404" s="345" t="s">
        <v>210</v>
      </c>
      <c r="R404" s="345" t="s">
        <v>223</v>
      </c>
      <c r="S404" s="345" t="s">
        <v>224</v>
      </c>
    </row>
    <row r="405" spans="1:19" x14ac:dyDescent="0.25">
      <c r="A405" s="311"/>
      <c r="B405" s="312"/>
      <c r="C405" s="312"/>
      <c r="D405" s="312"/>
      <c r="E405" s="312"/>
      <c r="F405" s="312"/>
      <c r="G405" s="328"/>
      <c r="H405" s="337"/>
      <c r="I405" s="334"/>
      <c r="J405" s="314"/>
      <c r="K405" s="449"/>
      <c r="M405" s="349" t="str">
        <f>N405&amp;AS[[#This Row],[Insurer Code]]&amp;"; "&amp;O405&amp;AS[[#This Row],[Reporting Year]]&amp;"; "&amp;P405&amp;AS[[#This Row],[Insurance Category Code]]&amp;"; "&amp;Q405&amp;AS[[#This Row],[Large Provider Entity Code]]&amp;"; "&amp;R405&amp;AS[[#This Row],[Age Band Code]]&amp;"; "&amp;S405&amp;AS[[#This Row],[Sex Code]]</f>
        <v xml:space="preserve">Insurer Code ; Reporting Year ; Insurance Category Code ; Large Provider Entity Code ; Age Band Code ; Sex Code </v>
      </c>
      <c r="N405" s="345" t="s">
        <v>207</v>
      </c>
      <c r="O405" s="345" t="s">
        <v>208</v>
      </c>
      <c r="P405" s="345" t="s">
        <v>209</v>
      </c>
      <c r="Q405" s="345" t="s">
        <v>210</v>
      </c>
      <c r="R405" s="345" t="s">
        <v>223</v>
      </c>
      <c r="S405" s="345" t="s">
        <v>224</v>
      </c>
    </row>
    <row r="406" spans="1:19" x14ac:dyDescent="0.25">
      <c r="A406" s="311"/>
      <c r="B406" s="312"/>
      <c r="C406" s="312"/>
      <c r="D406" s="312"/>
      <c r="E406" s="312"/>
      <c r="F406" s="312"/>
      <c r="G406" s="328"/>
      <c r="H406" s="337"/>
      <c r="I406" s="334"/>
      <c r="J406" s="314"/>
      <c r="K406" s="449"/>
      <c r="M406" s="349" t="str">
        <f>N406&amp;AS[[#This Row],[Insurer Code]]&amp;"; "&amp;O406&amp;AS[[#This Row],[Reporting Year]]&amp;"; "&amp;P406&amp;AS[[#This Row],[Insurance Category Code]]&amp;"; "&amp;Q406&amp;AS[[#This Row],[Large Provider Entity Code]]&amp;"; "&amp;R406&amp;AS[[#This Row],[Age Band Code]]&amp;"; "&amp;S406&amp;AS[[#This Row],[Sex Code]]</f>
        <v xml:space="preserve">Insurer Code ; Reporting Year ; Insurance Category Code ; Large Provider Entity Code ; Age Band Code ; Sex Code </v>
      </c>
      <c r="N406" s="345" t="s">
        <v>207</v>
      </c>
      <c r="O406" s="345" t="s">
        <v>208</v>
      </c>
      <c r="P406" s="345" t="s">
        <v>209</v>
      </c>
      <c r="Q406" s="345" t="s">
        <v>210</v>
      </c>
      <c r="R406" s="345" t="s">
        <v>223</v>
      </c>
      <c r="S406" s="345" t="s">
        <v>224</v>
      </c>
    </row>
    <row r="407" spans="1:19" x14ac:dyDescent="0.25">
      <c r="A407" s="311"/>
      <c r="B407" s="312"/>
      <c r="C407" s="312"/>
      <c r="D407" s="312"/>
      <c r="E407" s="312"/>
      <c r="F407" s="312"/>
      <c r="G407" s="328"/>
      <c r="H407" s="337"/>
      <c r="I407" s="334"/>
      <c r="J407" s="314"/>
      <c r="K407" s="449"/>
      <c r="M407" s="349" t="str">
        <f>N407&amp;AS[[#This Row],[Insurer Code]]&amp;"; "&amp;O407&amp;AS[[#This Row],[Reporting Year]]&amp;"; "&amp;P407&amp;AS[[#This Row],[Insurance Category Code]]&amp;"; "&amp;Q407&amp;AS[[#This Row],[Large Provider Entity Code]]&amp;"; "&amp;R407&amp;AS[[#This Row],[Age Band Code]]&amp;"; "&amp;S407&amp;AS[[#This Row],[Sex Code]]</f>
        <v xml:space="preserve">Insurer Code ; Reporting Year ; Insurance Category Code ; Large Provider Entity Code ; Age Band Code ; Sex Code </v>
      </c>
      <c r="N407" s="345" t="s">
        <v>207</v>
      </c>
      <c r="O407" s="345" t="s">
        <v>208</v>
      </c>
      <c r="P407" s="345" t="s">
        <v>209</v>
      </c>
      <c r="Q407" s="345" t="s">
        <v>210</v>
      </c>
      <c r="R407" s="345" t="s">
        <v>223</v>
      </c>
      <c r="S407" s="345" t="s">
        <v>224</v>
      </c>
    </row>
    <row r="408" spans="1:19" x14ac:dyDescent="0.25">
      <c r="A408" s="311"/>
      <c r="B408" s="312"/>
      <c r="C408" s="312"/>
      <c r="D408" s="312"/>
      <c r="E408" s="312"/>
      <c r="F408" s="312"/>
      <c r="G408" s="328"/>
      <c r="H408" s="337"/>
      <c r="I408" s="334"/>
      <c r="J408" s="314"/>
      <c r="K408" s="449"/>
      <c r="M408" s="349" t="str">
        <f>N408&amp;AS[[#This Row],[Insurer Code]]&amp;"; "&amp;O408&amp;AS[[#This Row],[Reporting Year]]&amp;"; "&amp;P408&amp;AS[[#This Row],[Insurance Category Code]]&amp;"; "&amp;Q408&amp;AS[[#This Row],[Large Provider Entity Code]]&amp;"; "&amp;R408&amp;AS[[#This Row],[Age Band Code]]&amp;"; "&amp;S408&amp;AS[[#This Row],[Sex Code]]</f>
        <v xml:space="preserve">Insurer Code ; Reporting Year ; Insurance Category Code ; Large Provider Entity Code ; Age Band Code ; Sex Code </v>
      </c>
      <c r="N408" s="345" t="s">
        <v>207</v>
      </c>
      <c r="O408" s="345" t="s">
        <v>208</v>
      </c>
      <c r="P408" s="345" t="s">
        <v>209</v>
      </c>
      <c r="Q408" s="345" t="s">
        <v>210</v>
      </c>
      <c r="R408" s="345" t="s">
        <v>223</v>
      </c>
      <c r="S408" s="345" t="s">
        <v>224</v>
      </c>
    </row>
    <row r="409" spans="1:19" x14ac:dyDescent="0.25">
      <c r="A409" s="311"/>
      <c r="B409" s="312"/>
      <c r="C409" s="312"/>
      <c r="D409" s="312"/>
      <c r="E409" s="312"/>
      <c r="F409" s="312"/>
      <c r="G409" s="328"/>
      <c r="H409" s="337"/>
      <c r="I409" s="334"/>
      <c r="J409" s="314"/>
      <c r="K409" s="449"/>
      <c r="M409" s="349" t="str">
        <f>N409&amp;AS[[#This Row],[Insurer Code]]&amp;"; "&amp;O409&amp;AS[[#This Row],[Reporting Year]]&amp;"; "&amp;P409&amp;AS[[#This Row],[Insurance Category Code]]&amp;"; "&amp;Q409&amp;AS[[#This Row],[Large Provider Entity Code]]&amp;"; "&amp;R409&amp;AS[[#This Row],[Age Band Code]]&amp;"; "&amp;S409&amp;AS[[#This Row],[Sex Code]]</f>
        <v xml:space="preserve">Insurer Code ; Reporting Year ; Insurance Category Code ; Large Provider Entity Code ; Age Band Code ; Sex Code </v>
      </c>
      <c r="N409" s="345" t="s">
        <v>207</v>
      </c>
      <c r="O409" s="345" t="s">
        <v>208</v>
      </c>
      <c r="P409" s="345" t="s">
        <v>209</v>
      </c>
      <c r="Q409" s="345" t="s">
        <v>210</v>
      </c>
      <c r="R409" s="345" t="s">
        <v>223</v>
      </c>
      <c r="S409" s="345" t="s">
        <v>224</v>
      </c>
    </row>
    <row r="410" spans="1:19" x14ac:dyDescent="0.25">
      <c r="A410" s="311"/>
      <c r="B410" s="312"/>
      <c r="C410" s="312"/>
      <c r="D410" s="312"/>
      <c r="E410" s="312"/>
      <c r="F410" s="312"/>
      <c r="G410" s="328"/>
      <c r="H410" s="337"/>
      <c r="I410" s="334"/>
      <c r="J410" s="314"/>
      <c r="K410" s="449"/>
      <c r="M410" s="349" t="str">
        <f>N410&amp;AS[[#This Row],[Insurer Code]]&amp;"; "&amp;O410&amp;AS[[#This Row],[Reporting Year]]&amp;"; "&amp;P410&amp;AS[[#This Row],[Insurance Category Code]]&amp;"; "&amp;Q410&amp;AS[[#This Row],[Large Provider Entity Code]]&amp;"; "&amp;R410&amp;AS[[#This Row],[Age Band Code]]&amp;"; "&amp;S410&amp;AS[[#This Row],[Sex Code]]</f>
        <v xml:space="preserve">Insurer Code ; Reporting Year ; Insurance Category Code ; Large Provider Entity Code ; Age Band Code ; Sex Code </v>
      </c>
      <c r="N410" s="345" t="s">
        <v>207</v>
      </c>
      <c r="O410" s="345" t="s">
        <v>208</v>
      </c>
      <c r="P410" s="345" t="s">
        <v>209</v>
      </c>
      <c r="Q410" s="345" t="s">
        <v>210</v>
      </c>
      <c r="R410" s="345" t="s">
        <v>223</v>
      </c>
      <c r="S410" s="345" t="s">
        <v>224</v>
      </c>
    </row>
    <row r="411" spans="1:19" x14ac:dyDescent="0.25">
      <c r="A411" s="311"/>
      <c r="B411" s="312"/>
      <c r="C411" s="312"/>
      <c r="D411" s="312"/>
      <c r="E411" s="312"/>
      <c r="F411" s="312"/>
      <c r="G411" s="328"/>
      <c r="H411" s="337"/>
      <c r="I411" s="334"/>
      <c r="J411" s="314"/>
      <c r="K411" s="449"/>
      <c r="M411" s="349" t="str">
        <f>N411&amp;AS[[#This Row],[Insurer Code]]&amp;"; "&amp;O411&amp;AS[[#This Row],[Reporting Year]]&amp;"; "&amp;P411&amp;AS[[#This Row],[Insurance Category Code]]&amp;"; "&amp;Q411&amp;AS[[#This Row],[Large Provider Entity Code]]&amp;"; "&amp;R411&amp;AS[[#This Row],[Age Band Code]]&amp;"; "&amp;S411&amp;AS[[#This Row],[Sex Code]]</f>
        <v xml:space="preserve">Insurer Code ; Reporting Year ; Insurance Category Code ; Large Provider Entity Code ; Age Band Code ; Sex Code </v>
      </c>
      <c r="N411" s="345" t="s">
        <v>207</v>
      </c>
      <c r="O411" s="345" t="s">
        <v>208</v>
      </c>
      <c r="P411" s="345" t="s">
        <v>209</v>
      </c>
      <c r="Q411" s="345" t="s">
        <v>210</v>
      </c>
      <c r="R411" s="345" t="s">
        <v>223</v>
      </c>
      <c r="S411" s="345" t="s">
        <v>224</v>
      </c>
    </row>
    <row r="412" spans="1:19" x14ac:dyDescent="0.25">
      <c r="A412" s="311"/>
      <c r="B412" s="312"/>
      <c r="C412" s="312"/>
      <c r="D412" s="312"/>
      <c r="E412" s="312"/>
      <c r="F412" s="312"/>
      <c r="G412" s="328"/>
      <c r="H412" s="337"/>
      <c r="I412" s="334"/>
      <c r="J412" s="314"/>
      <c r="K412" s="449"/>
      <c r="M412" s="349" t="str">
        <f>N412&amp;AS[[#This Row],[Insurer Code]]&amp;"; "&amp;O412&amp;AS[[#This Row],[Reporting Year]]&amp;"; "&amp;P412&amp;AS[[#This Row],[Insurance Category Code]]&amp;"; "&amp;Q412&amp;AS[[#This Row],[Large Provider Entity Code]]&amp;"; "&amp;R412&amp;AS[[#This Row],[Age Band Code]]&amp;"; "&amp;S412&amp;AS[[#This Row],[Sex Code]]</f>
        <v xml:space="preserve">Insurer Code ; Reporting Year ; Insurance Category Code ; Large Provider Entity Code ; Age Band Code ; Sex Code </v>
      </c>
      <c r="N412" s="345" t="s">
        <v>207</v>
      </c>
      <c r="O412" s="345" t="s">
        <v>208</v>
      </c>
      <c r="P412" s="345" t="s">
        <v>209</v>
      </c>
      <c r="Q412" s="345" t="s">
        <v>210</v>
      </c>
      <c r="R412" s="345" t="s">
        <v>223</v>
      </c>
      <c r="S412" s="345" t="s">
        <v>224</v>
      </c>
    </row>
    <row r="413" spans="1:19" x14ac:dyDescent="0.25">
      <c r="A413" s="311"/>
      <c r="B413" s="312"/>
      <c r="C413" s="312"/>
      <c r="D413" s="312"/>
      <c r="E413" s="312"/>
      <c r="F413" s="312"/>
      <c r="G413" s="328"/>
      <c r="H413" s="337"/>
      <c r="I413" s="334"/>
      <c r="J413" s="314"/>
      <c r="K413" s="449"/>
      <c r="M413" s="349" t="str">
        <f>N413&amp;AS[[#This Row],[Insurer Code]]&amp;"; "&amp;O413&amp;AS[[#This Row],[Reporting Year]]&amp;"; "&amp;P413&amp;AS[[#This Row],[Insurance Category Code]]&amp;"; "&amp;Q413&amp;AS[[#This Row],[Large Provider Entity Code]]&amp;"; "&amp;R413&amp;AS[[#This Row],[Age Band Code]]&amp;"; "&amp;S413&amp;AS[[#This Row],[Sex Code]]</f>
        <v xml:space="preserve">Insurer Code ; Reporting Year ; Insurance Category Code ; Large Provider Entity Code ; Age Band Code ; Sex Code </v>
      </c>
      <c r="N413" s="345" t="s">
        <v>207</v>
      </c>
      <c r="O413" s="345" t="s">
        <v>208</v>
      </c>
      <c r="P413" s="345" t="s">
        <v>209</v>
      </c>
      <c r="Q413" s="345" t="s">
        <v>210</v>
      </c>
      <c r="R413" s="345" t="s">
        <v>223</v>
      </c>
      <c r="S413" s="345" t="s">
        <v>224</v>
      </c>
    </row>
    <row r="414" spans="1:19" x14ac:dyDescent="0.25">
      <c r="A414" s="311"/>
      <c r="B414" s="312"/>
      <c r="C414" s="312"/>
      <c r="D414" s="312"/>
      <c r="E414" s="312"/>
      <c r="F414" s="312"/>
      <c r="G414" s="328"/>
      <c r="H414" s="337"/>
      <c r="I414" s="334"/>
      <c r="J414" s="314"/>
      <c r="K414" s="449"/>
      <c r="M414" s="349" t="str">
        <f>N414&amp;AS[[#This Row],[Insurer Code]]&amp;"; "&amp;O414&amp;AS[[#This Row],[Reporting Year]]&amp;"; "&amp;P414&amp;AS[[#This Row],[Insurance Category Code]]&amp;"; "&amp;Q414&amp;AS[[#This Row],[Large Provider Entity Code]]&amp;"; "&amp;R414&amp;AS[[#This Row],[Age Band Code]]&amp;"; "&amp;S414&amp;AS[[#This Row],[Sex Code]]</f>
        <v xml:space="preserve">Insurer Code ; Reporting Year ; Insurance Category Code ; Large Provider Entity Code ; Age Band Code ; Sex Code </v>
      </c>
      <c r="N414" s="345" t="s">
        <v>207</v>
      </c>
      <c r="O414" s="345" t="s">
        <v>208</v>
      </c>
      <c r="P414" s="345" t="s">
        <v>209</v>
      </c>
      <c r="Q414" s="345" t="s">
        <v>210</v>
      </c>
      <c r="R414" s="345" t="s">
        <v>223</v>
      </c>
      <c r="S414" s="345" t="s">
        <v>224</v>
      </c>
    </row>
    <row r="415" spans="1:19" x14ac:dyDescent="0.25">
      <c r="A415" s="311"/>
      <c r="B415" s="312"/>
      <c r="C415" s="312"/>
      <c r="D415" s="312"/>
      <c r="E415" s="312"/>
      <c r="F415" s="312"/>
      <c r="G415" s="328"/>
      <c r="H415" s="337"/>
      <c r="I415" s="334"/>
      <c r="J415" s="314"/>
      <c r="K415" s="449"/>
      <c r="M415" s="349" t="str">
        <f>N415&amp;AS[[#This Row],[Insurer Code]]&amp;"; "&amp;O415&amp;AS[[#This Row],[Reporting Year]]&amp;"; "&amp;P415&amp;AS[[#This Row],[Insurance Category Code]]&amp;"; "&amp;Q415&amp;AS[[#This Row],[Large Provider Entity Code]]&amp;"; "&amp;R415&amp;AS[[#This Row],[Age Band Code]]&amp;"; "&amp;S415&amp;AS[[#This Row],[Sex Code]]</f>
        <v xml:space="preserve">Insurer Code ; Reporting Year ; Insurance Category Code ; Large Provider Entity Code ; Age Band Code ; Sex Code </v>
      </c>
      <c r="N415" s="345" t="s">
        <v>207</v>
      </c>
      <c r="O415" s="345" t="s">
        <v>208</v>
      </c>
      <c r="P415" s="345" t="s">
        <v>209</v>
      </c>
      <c r="Q415" s="345" t="s">
        <v>210</v>
      </c>
      <c r="R415" s="345" t="s">
        <v>223</v>
      </c>
      <c r="S415" s="345" t="s">
        <v>224</v>
      </c>
    </row>
    <row r="416" spans="1:19" x14ac:dyDescent="0.25">
      <c r="A416" s="311"/>
      <c r="B416" s="312"/>
      <c r="C416" s="312"/>
      <c r="D416" s="312"/>
      <c r="E416" s="312"/>
      <c r="F416" s="312"/>
      <c r="G416" s="328"/>
      <c r="H416" s="337"/>
      <c r="I416" s="334"/>
      <c r="J416" s="314"/>
      <c r="K416" s="449"/>
      <c r="M416" s="349" t="str">
        <f>N416&amp;AS[[#This Row],[Insurer Code]]&amp;"; "&amp;O416&amp;AS[[#This Row],[Reporting Year]]&amp;"; "&amp;P416&amp;AS[[#This Row],[Insurance Category Code]]&amp;"; "&amp;Q416&amp;AS[[#This Row],[Large Provider Entity Code]]&amp;"; "&amp;R416&amp;AS[[#This Row],[Age Band Code]]&amp;"; "&amp;S416&amp;AS[[#This Row],[Sex Code]]</f>
        <v xml:space="preserve">Insurer Code ; Reporting Year ; Insurance Category Code ; Large Provider Entity Code ; Age Band Code ; Sex Code </v>
      </c>
      <c r="N416" s="345" t="s">
        <v>207</v>
      </c>
      <c r="O416" s="345" t="s">
        <v>208</v>
      </c>
      <c r="P416" s="345" t="s">
        <v>209</v>
      </c>
      <c r="Q416" s="345" t="s">
        <v>210</v>
      </c>
      <c r="R416" s="345" t="s">
        <v>223</v>
      </c>
      <c r="S416" s="345" t="s">
        <v>224</v>
      </c>
    </row>
    <row r="417" spans="1:19" x14ac:dyDescent="0.25">
      <c r="A417" s="311"/>
      <c r="B417" s="312"/>
      <c r="C417" s="312"/>
      <c r="D417" s="312"/>
      <c r="E417" s="312"/>
      <c r="F417" s="312"/>
      <c r="G417" s="328"/>
      <c r="H417" s="337"/>
      <c r="I417" s="334"/>
      <c r="J417" s="314"/>
      <c r="K417" s="449"/>
      <c r="M417" s="349" t="str">
        <f>N417&amp;AS[[#This Row],[Insurer Code]]&amp;"; "&amp;O417&amp;AS[[#This Row],[Reporting Year]]&amp;"; "&amp;P417&amp;AS[[#This Row],[Insurance Category Code]]&amp;"; "&amp;Q417&amp;AS[[#This Row],[Large Provider Entity Code]]&amp;"; "&amp;R417&amp;AS[[#This Row],[Age Band Code]]&amp;"; "&amp;S417&amp;AS[[#This Row],[Sex Code]]</f>
        <v xml:space="preserve">Insurer Code ; Reporting Year ; Insurance Category Code ; Large Provider Entity Code ; Age Band Code ; Sex Code </v>
      </c>
      <c r="N417" s="345" t="s">
        <v>207</v>
      </c>
      <c r="O417" s="345" t="s">
        <v>208</v>
      </c>
      <c r="P417" s="345" t="s">
        <v>209</v>
      </c>
      <c r="Q417" s="345" t="s">
        <v>210</v>
      </c>
      <c r="R417" s="345" t="s">
        <v>223</v>
      </c>
      <c r="S417" s="345" t="s">
        <v>224</v>
      </c>
    </row>
    <row r="418" spans="1:19" x14ac:dyDescent="0.25">
      <c r="A418" s="311"/>
      <c r="B418" s="312"/>
      <c r="C418" s="312"/>
      <c r="D418" s="312"/>
      <c r="E418" s="312"/>
      <c r="F418" s="312"/>
      <c r="G418" s="328"/>
      <c r="H418" s="337"/>
      <c r="I418" s="334"/>
      <c r="J418" s="314"/>
      <c r="K418" s="449"/>
      <c r="M418" s="349" t="str">
        <f>N418&amp;AS[[#This Row],[Insurer Code]]&amp;"; "&amp;O418&amp;AS[[#This Row],[Reporting Year]]&amp;"; "&amp;P418&amp;AS[[#This Row],[Insurance Category Code]]&amp;"; "&amp;Q418&amp;AS[[#This Row],[Large Provider Entity Code]]&amp;"; "&amp;R418&amp;AS[[#This Row],[Age Band Code]]&amp;"; "&amp;S418&amp;AS[[#This Row],[Sex Code]]</f>
        <v xml:space="preserve">Insurer Code ; Reporting Year ; Insurance Category Code ; Large Provider Entity Code ; Age Band Code ; Sex Code </v>
      </c>
      <c r="N418" s="345" t="s">
        <v>207</v>
      </c>
      <c r="O418" s="345" t="s">
        <v>208</v>
      </c>
      <c r="P418" s="345" t="s">
        <v>209</v>
      </c>
      <c r="Q418" s="345" t="s">
        <v>210</v>
      </c>
      <c r="R418" s="345" t="s">
        <v>223</v>
      </c>
      <c r="S418" s="345" t="s">
        <v>224</v>
      </c>
    </row>
    <row r="419" spans="1:19" x14ac:dyDescent="0.25">
      <c r="A419" s="311"/>
      <c r="B419" s="312"/>
      <c r="C419" s="312"/>
      <c r="D419" s="312"/>
      <c r="E419" s="312"/>
      <c r="F419" s="312"/>
      <c r="G419" s="328"/>
      <c r="H419" s="337"/>
      <c r="I419" s="334"/>
      <c r="J419" s="314"/>
      <c r="K419" s="449"/>
      <c r="M419" s="349" t="str">
        <f>N419&amp;AS[[#This Row],[Insurer Code]]&amp;"; "&amp;O419&amp;AS[[#This Row],[Reporting Year]]&amp;"; "&amp;P419&amp;AS[[#This Row],[Insurance Category Code]]&amp;"; "&amp;Q419&amp;AS[[#This Row],[Large Provider Entity Code]]&amp;"; "&amp;R419&amp;AS[[#This Row],[Age Band Code]]&amp;"; "&amp;S419&amp;AS[[#This Row],[Sex Code]]</f>
        <v xml:space="preserve">Insurer Code ; Reporting Year ; Insurance Category Code ; Large Provider Entity Code ; Age Band Code ; Sex Code </v>
      </c>
      <c r="N419" s="345" t="s">
        <v>207</v>
      </c>
      <c r="O419" s="345" t="s">
        <v>208</v>
      </c>
      <c r="P419" s="345" t="s">
        <v>209</v>
      </c>
      <c r="Q419" s="345" t="s">
        <v>210</v>
      </c>
      <c r="R419" s="345" t="s">
        <v>223</v>
      </c>
      <c r="S419" s="345" t="s">
        <v>224</v>
      </c>
    </row>
    <row r="420" spans="1:19" x14ac:dyDescent="0.25">
      <c r="A420" s="311"/>
      <c r="B420" s="312"/>
      <c r="C420" s="312"/>
      <c r="D420" s="312"/>
      <c r="E420" s="312"/>
      <c r="F420" s="312"/>
      <c r="G420" s="328"/>
      <c r="H420" s="337"/>
      <c r="I420" s="334"/>
      <c r="J420" s="314"/>
      <c r="K420" s="449"/>
      <c r="M420" s="349" t="str">
        <f>N420&amp;AS[[#This Row],[Insurer Code]]&amp;"; "&amp;O420&amp;AS[[#This Row],[Reporting Year]]&amp;"; "&amp;P420&amp;AS[[#This Row],[Insurance Category Code]]&amp;"; "&amp;Q420&amp;AS[[#This Row],[Large Provider Entity Code]]&amp;"; "&amp;R420&amp;AS[[#This Row],[Age Band Code]]&amp;"; "&amp;S420&amp;AS[[#This Row],[Sex Code]]</f>
        <v xml:space="preserve">Insurer Code ; Reporting Year ; Insurance Category Code ; Large Provider Entity Code ; Age Band Code ; Sex Code </v>
      </c>
      <c r="N420" s="345" t="s">
        <v>207</v>
      </c>
      <c r="O420" s="345" t="s">
        <v>208</v>
      </c>
      <c r="P420" s="345" t="s">
        <v>209</v>
      </c>
      <c r="Q420" s="345" t="s">
        <v>210</v>
      </c>
      <c r="R420" s="345" t="s">
        <v>223</v>
      </c>
      <c r="S420" s="345" t="s">
        <v>224</v>
      </c>
    </row>
    <row r="421" spans="1:19" x14ac:dyDescent="0.25">
      <c r="A421" s="311"/>
      <c r="B421" s="312"/>
      <c r="C421" s="312"/>
      <c r="D421" s="312"/>
      <c r="E421" s="312"/>
      <c r="F421" s="312"/>
      <c r="G421" s="328"/>
      <c r="H421" s="337"/>
      <c r="I421" s="334"/>
      <c r="J421" s="314"/>
      <c r="K421" s="449"/>
      <c r="M421" s="349" t="str">
        <f>N421&amp;AS[[#This Row],[Insurer Code]]&amp;"; "&amp;O421&amp;AS[[#This Row],[Reporting Year]]&amp;"; "&amp;P421&amp;AS[[#This Row],[Insurance Category Code]]&amp;"; "&amp;Q421&amp;AS[[#This Row],[Large Provider Entity Code]]&amp;"; "&amp;R421&amp;AS[[#This Row],[Age Band Code]]&amp;"; "&amp;S421&amp;AS[[#This Row],[Sex Code]]</f>
        <v xml:space="preserve">Insurer Code ; Reporting Year ; Insurance Category Code ; Large Provider Entity Code ; Age Band Code ; Sex Code </v>
      </c>
      <c r="N421" s="345" t="s">
        <v>207</v>
      </c>
      <c r="O421" s="345" t="s">
        <v>208</v>
      </c>
      <c r="P421" s="345" t="s">
        <v>209</v>
      </c>
      <c r="Q421" s="345" t="s">
        <v>210</v>
      </c>
      <c r="R421" s="345" t="s">
        <v>223</v>
      </c>
      <c r="S421" s="345" t="s">
        <v>224</v>
      </c>
    </row>
    <row r="422" spans="1:19" x14ac:dyDescent="0.25">
      <c r="A422" s="311"/>
      <c r="B422" s="312"/>
      <c r="C422" s="312"/>
      <c r="D422" s="312"/>
      <c r="E422" s="312"/>
      <c r="F422" s="312"/>
      <c r="G422" s="328"/>
      <c r="H422" s="337"/>
      <c r="I422" s="334"/>
      <c r="J422" s="314"/>
      <c r="K422" s="449"/>
      <c r="M422" s="349" t="str">
        <f>N422&amp;AS[[#This Row],[Insurer Code]]&amp;"; "&amp;O422&amp;AS[[#This Row],[Reporting Year]]&amp;"; "&amp;P422&amp;AS[[#This Row],[Insurance Category Code]]&amp;"; "&amp;Q422&amp;AS[[#This Row],[Large Provider Entity Code]]&amp;"; "&amp;R422&amp;AS[[#This Row],[Age Band Code]]&amp;"; "&amp;S422&amp;AS[[#This Row],[Sex Code]]</f>
        <v xml:space="preserve">Insurer Code ; Reporting Year ; Insurance Category Code ; Large Provider Entity Code ; Age Band Code ; Sex Code </v>
      </c>
      <c r="N422" s="345" t="s">
        <v>207</v>
      </c>
      <c r="O422" s="345" t="s">
        <v>208</v>
      </c>
      <c r="P422" s="345" t="s">
        <v>209</v>
      </c>
      <c r="Q422" s="345" t="s">
        <v>210</v>
      </c>
      <c r="R422" s="345" t="s">
        <v>223</v>
      </c>
      <c r="S422" s="345" t="s">
        <v>224</v>
      </c>
    </row>
    <row r="423" spans="1:19" x14ac:dyDescent="0.25">
      <c r="A423" s="311"/>
      <c r="B423" s="312"/>
      <c r="C423" s="312"/>
      <c r="D423" s="312"/>
      <c r="E423" s="312"/>
      <c r="F423" s="312"/>
      <c r="G423" s="328"/>
      <c r="H423" s="337"/>
      <c r="I423" s="334"/>
      <c r="J423" s="314"/>
      <c r="K423" s="449"/>
      <c r="M423" s="349" t="str">
        <f>N423&amp;AS[[#This Row],[Insurer Code]]&amp;"; "&amp;O423&amp;AS[[#This Row],[Reporting Year]]&amp;"; "&amp;P423&amp;AS[[#This Row],[Insurance Category Code]]&amp;"; "&amp;Q423&amp;AS[[#This Row],[Large Provider Entity Code]]&amp;"; "&amp;R423&amp;AS[[#This Row],[Age Band Code]]&amp;"; "&amp;S423&amp;AS[[#This Row],[Sex Code]]</f>
        <v xml:space="preserve">Insurer Code ; Reporting Year ; Insurance Category Code ; Large Provider Entity Code ; Age Band Code ; Sex Code </v>
      </c>
      <c r="N423" s="345" t="s">
        <v>207</v>
      </c>
      <c r="O423" s="345" t="s">
        <v>208</v>
      </c>
      <c r="P423" s="345" t="s">
        <v>209</v>
      </c>
      <c r="Q423" s="345" t="s">
        <v>210</v>
      </c>
      <c r="R423" s="345" t="s">
        <v>223</v>
      </c>
      <c r="S423" s="345" t="s">
        <v>224</v>
      </c>
    </row>
    <row r="424" spans="1:19" x14ac:dyDescent="0.25">
      <c r="A424" s="311"/>
      <c r="B424" s="312"/>
      <c r="C424" s="312"/>
      <c r="D424" s="312"/>
      <c r="E424" s="312"/>
      <c r="F424" s="312"/>
      <c r="G424" s="328"/>
      <c r="H424" s="337"/>
      <c r="I424" s="334"/>
      <c r="J424" s="314"/>
      <c r="K424" s="449"/>
      <c r="M424" s="349" t="str">
        <f>N424&amp;AS[[#This Row],[Insurer Code]]&amp;"; "&amp;O424&amp;AS[[#This Row],[Reporting Year]]&amp;"; "&amp;P424&amp;AS[[#This Row],[Insurance Category Code]]&amp;"; "&amp;Q424&amp;AS[[#This Row],[Large Provider Entity Code]]&amp;"; "&amp;R424&amp;AS[[#This Row],[Age Band Code]]&amp;"; "&amp;S424&amp;AS[[#This Row],[Sex Code]]</f>
        <v xml:space="preserve">Insurer Code ; Reporting Year ; Insurance Category Code ; Large Provider Entity Code ; Age Band Code ; Sex Code </v>
      </c>
      <c r="N424" s="345" t="s">
        <v>207</v>
      </c>
      <c r="O424" s="345" t="s">
        <v>208</v>
      </c>
      <c r="P424" s="345" t="s">
        <v>209</v>
      </c>
      <c r="Q424" s="345" t="s">
        <v>210</v>
      </c>
      <c r="R424" s="345" t="s">
        <v>223</v>
      </c>
      <c r="S424" s="345" t="s">
        <v>224</v>
      </c>
    </row>
    <row r="425" spans="1:19" x14ac:dyDescent="0.25">
      <c r="A425" s="311"/>
      <c r="B425" s="312"/>
      <c r="C425" s="312"/>
      <c r="D425" s="312"/>
      <c r="E425" s="312"/>
      <c r="F425" s="312"/>
      <c r="G425" s="328"/>
      <c r="H425" s="337"/>
      <c r="I425" s="334"/>
      <c r="J425" s="314"/>
      <c r="K425" s="449"/>
      <c r="M425" s="349" t="str">
        <f>N425&amp;AS[[#This Row],[Insurer Code]]&amp;"; "&amp;O425&amp;AS[[#This Row],[Reporting Year]]&amp;"; "&amp;P425&amp;AS[[#This Row],[Insurance Category Code]]&amp;"; "&amp;Q425&amp;AS[[#This Row],[Large Provider Entity Code]]&amp;"; "&amp;R425&amp;AS[[#This Row],[Age Band Code]]&amp;"; "&amp;S425&amp;AS[[#This Row],[Sex Code]]</f>
        <v xml:space="preserve">Insurer Code ; Reporting Year ; Insurance Category Code ; Large Provider Entity Code ; Age Band Code ; Sex Code </v>
      </c>
      <c r="N425" s="345" t="s">
        <v>207</v>
      </c>
      <c r="O425" s="345" t="s">
        <v>208</v>
      </c>
      <c r="P425" s="345" t="s">
        <v>209</v>
      </c>
      <c r="Q425" s="345" t="s">
        <v>210</v>
      </c>
      <c r="R425" s="345" t="s">
        <v>223</v>
      </c>
      <c r="S425" s="345" t="s">
        <v>224</v>
      </c>
    </row>
    <row r="426" spans="1:19" x14ac:dyDescent="0.25">
      <c r="A426" s="311"/>
      <c r="B426" s="312"/>
      <c r="C426" s="312"/>
      <c r="D426" s="312"/>
      <c r="E426" s="312"/>
      <c r="F426" s="312"/>
      <c r="G426" s="328"/>
      <c r="H426" s="337"/>
      <c r="I426" s="334"/>
      <c r="J426" s="314"/>
      <c r="K426" s="449"/>
      <c r="M426" s="349" t="str">
        <f>N426&amp;AS[[#This Row],[Insurer Code]]&amp;"; "&amp;O426&amp;AS[[#This Row],[Reporting Year]]&amp;"; "&amp;P426&amp;AS[[#This Row],[Insurance Category Code]]&amp;"; "&amp;Q426&amp;AS[[#This Row],[Large Provider Entity Code]]&amp;"; "&amp;R426&amp;AS[[#This Row],[Age Band Code]]&amp;"; "&amp;S426&amp;AS[[#This Row],[Sex Code]]</f>
        <v xml:space="preserve">Insurer Code ; Reporting Year ; Insurance Category Code ; Large Provider Entity Code ; Age Band Code ; Sex Code </v>
      </c>
      <c r="N426" s="345" t="s">
        <v>207</v>
      </c>
      <c r="O426" s="345" t="s">
        <v>208</v>
      </c>
      <c r="P426" s="345" t="s">
        <v>209</v>
      </c>
      <c r="Q426" s="345" t="s">
        <v>210</v>
      </c>
      <c r="R426" s="345" t="s">
        <v>223</v>
      </c>
      <c r="S426" s="345" t="s">
        <v>224</v>
      </c>
    </row>
    <row r="427" spans="1:19" x14ac:dyDescent="0.25">
      <c r="A427" s="311"/>
      <c r="B427" s="312"/>
      <c r="C427" s="312"/>
      <c r="D427" s="312"/>
      <c r="E427" s="312"/>
      <c r="F427" s="312"/>
      <c r="G427" s="328"/>
      <c r="H427" s="337"/>
      <c r="I427" s="334"/>
      <c r="J427" s="314"/>
      <c r="K427" s="449"/>
      <c r="M427" s="349" t="str">
        <f>N427&amp;AS[[#This Row],[Insurer Code]]&amp;"; "&amp;O427&amp;AS[[#This Row],[Reporting Year]]&amp;"; "&amp;P427&amp;AS[[#This Row],[Insurance Category Code]]&amp;"; "&amp;Q427&amp;AS[[#This Row],[Large Provider Entity Code]]&amp;"; "&amp;R427&amp;AS[[#This Row],[Age Band Code]]&amp;"; "&amp;S427&amp;AS[[#This Row],[Sex Code]]</f>
        <v xml:space="preserve">Insurer Code ; Reporting Year ; Insurance Category Code ; Large Provider Entity Code ; Age Band Code ; Sex Code </v>
      </c>
      <c r="N427" s="345" t="s">
        <v>207</v>
      </c>
      <c r="O427" s="345" t="s">
        <v>208</v>
      </c>
      <c r="P427" s="345" t="s">
        <v>209</v>
      </c>
      <c r="Q427" s="345" t="s">
        <v>210</v>
      </c>
      <c r="R427" s="345" t="s">
        <v>223</v>
      </c>
      <c r="S427" s="345" t="s">
        <v>224</v>
      </c>
    </row>
    <row r="428" spans="1:19" x14ac:dyDescent="0.25">
      <c r="A428" s="311"/>
      <c r="B428" s="312"/>
      <c r="C428" s="312"/>
      <c r="D428" s="312"/>
      <c r="E428" s="312"/>
      <c r="F428" s="312"/>
      <c r="G428" s="328"/>
      <c r="H428" s="337"/>
      <c r="I428" s="334"/>
      <c r="J428" s="314"/>
      <c r="K428" s="449"/>
      <c r="M428" s="349" t="str">
        <f>N428&amp;AS[[#This Row],[Insurer Code]]&amp;"; "&amp;O428&amp;AS[[#This Row],[Reporting Year]]&amp;"; "&amp;P428&amp;AS[[#This Row],[Insurance Category Code]]&amp;"; "&amp;Q428&amp;AS[[#This Row],[Large Provider Entity Code]]&amp;"; "&amp;R428&amp;AS[[#This Row],[Age Band Code]]&amp;"; "&amp;S428&amp;AS[[#This Row],[Sex Code]]</f>
        <v xml:space="preserve">Insurer Code ; Reporting Year ; Insurance Category Code ; Large Provider Entity Code ; Age Band Code ; Sex Code </v>
      </c>
      <c r="N428" s="345" t="s">
        <v>207</v>
      </c>
      <c r="O428" s="345" t="s">
        <v>208</v>
      </c>
      <c r="P428" s="345" t="s">
        <v>209</v>
      </c>
      <c r="Q428" s="345" t="s">
        <v>210</v>
      </c>
      <c r="R428" s="345" t="s">
        <v>223</v>
      </c>
      <c r="S428" s="345" t="s">
        <v>224</v>
      </c>
    </row>
    <row r="429" spans="1:19" x14ac:dyDescent="0.25">
      <c r="A429" s="311"/>
      <c r="B429" s="312"/>
      <c r="C429" s="312"/>
      <c r="D429" s="312"/>
      <c r="E429" s="312"/>
      <c r="F429" s="312"/>
      <c r="G429" s="328"/>
      <c r="H429" s="337"/>
      <c r="I429" s="334"/>
      <c r="J429" s="314"/>
      <c r="K429" s="449"/>
      <c r="M429" s="349" t="str">
        <f>N429&amp;AS[[#This Row],[Insurer Code]]&amp;"; "&amp;O429&amp;AS[[#This Row],[Reporting Year]]&amp;"; "&amp;P429&amp;AS[[#This Row],[Insurance Category Code]]&amp;"; "&amp;Q429&amp;AS[[#This Row],[Large Provider Entity Code]]&amp;"; "&amp;R429&amp;AS[[#This Row],[Age Band Code]]&amp;"; "&amp;S429&amp;AS[[#This Row],[Sex Code]]</f>
        <v xml:space="preserve">Insurer Code ; Reporting Year ; Insurance Category Code ; Large Provider Entity Code ; Age Band Code ; Sex Code </v>
      </c>
      <c r="N429" s="345" t="s">
        <v>207</v>
      </c>
      <c r="O429" s="345" t="s">
        <v>208</v>
      </c>
      <c r="P429" s="345" t="s">
        <v>209</v>
      </c>
      <c r="Q429" s="345" t="s">
        <v>210</v>
      </c>
      <c r="R429" s="345" t="s">
        <v>223</v>
      </c>
      <c r="S429" s="345" t="s">
        <v>224</v>
      </c>
    </row>
    <row r="430" spans="1:19" x14ac:dyDescent="0.25">
      <c r="A430" s="311"/>
      <c r="B430" s="312"/>
      <c r="C430" s="312"/>
      <c r="D430" s="312"/>
      <c r="E430" s="312"/>
      <c r="F430" s="312"/>
      <c r="G430" s="328"/>
      <c r="H430" s="337"/>
      <c r="I430" s="334"/>
      <c r="J430" s="314"/>
      <c r="K430" s="449"/>
      <c r="M430" s="349" t="str">
        <f>N430&amp;AS[[#This Row],[Insurer Code]]&amp;"; "&amp;O430&amp;AS[[#This Row],[Reporting Year]]&amp;"; "&amp;P430&amp;AS[[#This Row],[Insurance Category Code]]&amp;"; "&amp;Q430&amp;AS[[#This Row],[Large Provider Entity Code]]&amp;"; "&amp;R430&amp;AS[[#This Row],[Age Band Code]]&amp;"; "&amp;S430&amp;AS[[#This Row],[Sex Code]]</f>
        <v xml:space="preserve">Insurer Code ; Reporting Year ; Insurance Category Code ; Large Provider Entity Code ; Age Band Code ; Sex Code </v>
      </c>
      <c r="N430" s="345" t="s">
        <v>207</v>
      </c>
      <c r="O430" s="345" t="s">
        <v>208</v>
      </c>
      <c r="P430" s="345" t="s">
        <v>209</v>
      </c>
      <c r="Q430" s="345" t="s">
        <v>210</v>
      </c>
      <c r="R430" s="345" t="s">
        <v>223</v>
      </c>
      <c r="S430" s="345" t="s">
        <v>224</v>
      </c>
    </row>
    <row r="431" spans="1:19" x14ac:dyDescent="0.25">
      <c r="A431" s="311"/>
      <c r="B431" s="312"/>
      <c r="C431" s="312"/>
      <c r="D431" s="312"/>
      <c r="E431" s="312"/>
      <c r="F431" s="312"/>
      <c r="G431" s="328"/>
      <c r="H431" s="337"/>
      <c r="I431" s="334"/>
      <c r="J431" s="314"/>
      <c r="K431" s="449"/>
      <c r="M431" s="349" t="str">
        <f>N431&amp;AS[[#This Row],[Insurer Code]]&amp;"; "&amp;O431&amp;AS[[#This Row],[Reporting Year]]&amp;"; "&amp;P431&amp;AS[[#This Row],[Insurance Category Code]]&amp;"; "&amp;Q431&amp;AS[[#This Row],[Large Provider Entity Code]]&amp;"; "&amp;R431&amp;AS[[#This Row],[Age Band Code]]&amp;"; "&amp;S431&amp;AS[[#This Row],[Sex Code]]</f>
        <v xml:space="preserve">Insurer Code ; Reporting Year ; Insurance Category Code ; Large Provider Entity Code ; Age Band Code ; Sex Code </v>
      </c>
      <c r="N431" s="345" t="s">
        <v>207</v>
      </c>
      <c r="O431" s="345" t="s">
        <v>208</v>
      </c>
      <c r="P431" s="345" t="s">
        <v>209</v>
      </c>
      <c r="Q431" s="345" t="s">
        <v>210</v>
      </c>
      <c r="R431" s="345" t="s">
        <v>223</v>
      </c>
      <c r="S431" s="345" t="s">
        <v>224</v>
      </c>
    </row>
    <row r="432" spans="1:19" x14ac:dyDescent="0.25">
      <c r="A432" s="311"/>
      <c r="B432" s="312"/>
      <c r="C432" s="312"/>
      <c r="D432" s="312"/>
      <c r="E432" s="312"/>
      <c r="F432" s="312"/>
      <c r="G432" s="328"/>
      <c r="H432" s="337"/>
      <c r="I432" s="334"/>
      <c r="J432" s="314"/>
      <c r="K432" s="449"/>
      <c r="M432" s="349" t="str">
        <f>N432&amp;AS[[#This Row],[Insurer Code]]&amp;"; "&amp;O432&amp;AS[[#This Row],[Reporting Year]]&amp;"; "&amp;P432&amp;AS[[#This Row],[Insurance Category Code]]&amp;"; "&amp;Q432&amp;AS[[#This Row],[Large Provider Entity Code]]&amp;"; "&amp;R432&amp;AS[[#This Row],[Age Band Code]]&amp;"; "&amp;S432&amp;AS[[#This Row],[Sex Code]]</f>
        <v xml:space="preserve">Insurer Code ; Reporting Year ; Insurance Category Code ; Large Provider Entity Code ; Age Band Code ; Sex Code </v>
      </c>
      <c r="N432" s="345" t="s">
        <v>207</v>
      </c>
      <c r="O432" s="345" t="s">
        <v>208</v>
      </c>
      <c r="P432" s="345" t="s">
        <v>209</v>
      </c>
      <c r="Q432" s="345" t="s">
        <v>210</v>
      </c>
      <c r="R432" s="345" t="s">
        <v>223</v>
      </c>
      <c r="S432" s="345" t="s">
        <v>224</v>
      </c>
    </row>
    <row r="433" spans="1:19" x14ac:dyDescent="0.25">
      <c r="A433" s="311"/>
      <c r="B433" s="312"/>
      <c r="C433" s="312"/>
      <c r="D433" s="312"/>
      <c r="E433" s="312"/>
      <c r="F433" s="312"/>
      <c r="G433" s="328"/>
      <c r="H433" s="337"/>
      <c r="I433" s="334"/>
      <c r="J433" s="314"/>
      <c r="K433" s="449"/>
      <c r="M433" s="349" t="str">
        <f>N433&amp;AS[[#This Row],[Insurer Code]]&amp;"; "&amp;O433&amp;AS[[#This Row],[Reporting Year]]&amp;"; "&amp;P433&amp;AS[[#This Row],[Insurance Category Code]]&amp;"; "&amp;Q433&amp;AS[[#This Row],[Large Provider Entity Code]]&amp;"; "&amp;R433&amp;AS[[#This Row],[Age Band Code]]&amp;"; "&amp;S433&amp;AS[[#This Row],[Sex Code]]</f>
        <v xml:space="preserve">Insurer Code ; Reporting Year ; Insurance Category Code ; Large Provider Entity Code ; Age Band Code ; Sex Code </v>
      </c>
      <c r="N433" s="345" t="s">
        <v>207</v>
      </c>
      <c r="O433" s="345" t="s">
        <v>208</v>
      </c>
      <c r="P433" s="345" t="s">
        <v>209</v>
      </c>
      <c r="Q433" s="345" t="s">
        <v>210</v>
      </c>
      <c r="R433" s="345" t="s">
        <v>223</v>
      </c>
      <c r="S433" s="345" t="s">
        <v>224</v>
      </c>
    </row>
    <row r="434" spans="1:19" x14ac:dyDescent="0.25">
      <c r="A434" s="311"/>
      <c r="B434" s="312"/>
      <c r="C434" s="312"/>
      <c r="D434" s="312"/>
      <c r="E434" s="312"/>
      <c r="F434" s="312"/>
      <c r="G434" s="328"/>
      <c r="H434" s="337"/>
      <c r="I434" s="334"/>
      <c r="J434" s="314"/>
      <c r="K434" s="449"/>
      <c r="M434" s="349" t="str">
        <f>N434&amp;AS[[#This Row],[Insurer Code]]&amp;"; "&amp;O434&amp;AS[[#This Row],[Reporting Year]]&amp;"; "&amp;P434&amp;AS[[#This Row],[Insurance Category Code]]&amp;"; "&amp;Q434&amp;AS[[#This Row],[Large Provider Entity Code]]&amp;"; "&amp;R434&amp;AS[[#This Row],[Age Band Code]]&amp;"; "&amp;S434&amp;AS[[#This Row],[Sex Code]]</f>
        <v xml:space="preserve">Insurer Code ; Reporting Year ; Insurance Category Code ; Large Provider Entity Code ; Age Band Code ; Sex Code </v>
      </c>
      <c r="N434" s="345" t="s">
        <v>207</v>
      </c>
      <c r="O434" s="345" t="s">
        <v>208</v>
      </c>
      <c r="P434" s="345" t="s">
        <v>209</v>
      </c>
      <c r="Q434" s="345" t="s">
        <v>210</v>
      </c>
      <c r="R434" s="345" t="s">
        <v>223</v>
      </c>
      <c r="S434" s="345" t="s">
        <v>224</v>
      </c>
    </row>
    <row r="435" spans="1:19" x14ac:dyDescent="0.25">
      <c r="A435" s="311"/>
      <c r="B435" s="312"/>
      <c r="C435" s="312"/>
      <c r="D435" s="312"/>
      <c r="E435" s="312"/>
      <c r="F435" s="312"/>
      <c r="G435" s="328"/>
      <c r="H435" s="337"/>
      <c r="I435" s="334"/>
      <c r="J435" s="314"/>
      <c r="K435" s="449"/>
      <c r="M435" s="349" t="str">
        <f>N435&amp;AS[[#This Row],[Insurer Code]]&amp;"; "&amp;O435&amp;AS[[#This Row],[Reporting Year]]&amp;"; "&amp;P435&amp;AS[[#This Row],[Insurance Category Code]]&amp;"; "&amp;Q435&amp;AS[[#This Row],[Large Provider Entity Code]]&amp;"; "&amp;R435&amp;AS[[#This Row],[Age Band Code]]&amp;"; "&amp;S435&amp;AS[[#This Row],[Sex Code]]</f>
        <v xml:space="preserve">Insurer Code ; Reporting Year ; Insurance Category Code ; Large Provider Entity Code ; Age Band Code ; Sex Code </v>
      </c>
      <c r="N435" s="345" t="s">
        <v>207</v>
      </c>
      <c r="O435" s="345" t="s">
        <v>208</v>
      </c>
      <c r="P435" s="345" t="s">
        <v>209</v>
      </c>
      <c r="Q435" s="345" t="s">
        <v>210</v>
      </c>
      <c r="R435" s="345" t="s">
        <v>223</v>
      </c>
      <c r="S435" s="345" t="s">
        <v>224</v>
      </c>
    </row>
    <row r="436" spans="1:19" x14ac:dyDescent="0.25">
      <c r="A436" s="311"/>
      <c r="B436" s="312"/>
      <c r="C436" s="312"/>
      <c r="D436" s="312"/>
      <c r="E436" s="312"/>
      <c r="F436" s="312"/>
      <c r="G436" s="328"/>
      <c r="H436" s="337"/>
      <c r="I436" s="334"/>
      <c r="J436" s="314"/>
      <c r="K436" s="449"/>
      <c r="M436" s="349" t="str">
        <f>N436&amp;AS[[#This Row],[Insurer Code]]&amp;"; "&amp;O436&amp;AS[[#This Row],[Reporting Year]]&amp;"; "&amp;P436&amp;AS[[#This Row],[Insurance Category Code]]&amp;"; "&amp;Q436&amp;AS[[#This Row],[Large Provider Entity Code]]&amp;"; "&amp;R436&amp;AS[[#This Row],[Age Band Code]]&amp;"; "&amp;S436&amp;AS[[#This Row],[Sex Code]]</f>
        <v xml:space="preserve">Insurer Code ; Reporting Year ; Insurance Category Code ; Large Provider Entity Code ; Age Band Code ; Sex Code </v>
      </c>
      <c r="N436" s="345" t="s">
        <v>207</v>
      </c>
      <c r="O436" s="345" t="s">
        <v>208</v>
      </c>
      <c r="P436" s="345" t="s">
        <v>209</v>
      </c>
      <c r="Q436" s="345" t="s">
        <v>210</v>
      </c>
      <c r="R436" s="345" t="s">
        <v>223</v>
      </c>
      <c r="S436" s="345" t="s">
        <v>224</v>
      </c>
    </row>
    <row r="437" spans="1:19" x14ac:dyDescent="0.25">
      <c r="A437" s="311"/>
      <c r="B437" s="312"/>
      <c r="C437" s="312"/>
      <c r="D437" s="312"/>
      <c r="E437" s="312"/>
      <c r="F437" s="312"/>
      <c r="G437" s="328"/>
      <c r="H437" s="337"/>
      <c r="I437" s="334"/>
      <c r="J437" s="314"/>
      <c r="K437" s="449"/>
      <c r="M437" s="349" t="str">
        <f>N437&amp;AS[[#This Row],[Insurer Code]]&amp;"; "&amp;O437&amp;AS[[#This Row],[Reporting Year]]&amp;"; "&amp;P437&amp;AS[[#This Row],[Insurance Category Code]]&amp;"; "&amp;Q437&amp;AS[[#This Row],[Large Provider Entity Code]]&amp;"; "&amp;R437&amp;AS[[#This Row],[Age Band Code]]&amp;"; "&amp;S437&amp;AS[[#This Row],[Sex Code]]</f>
        <v xml:space="preserve">Insurer Code ; Reporting Year ; Insurance Category Code ; Large Provider Entity Code ; Age Band Code ; Sex Code </v>
      </c>
      <c r="N437" s="345" t="s">
        <v>207</v>
      </c>
      <c r="O437" s="345" t="s">
        <v>208</v>
      </c>
      <c r="P437" s="345" t="s">
        <v>209</v>
      </c>
      <c r="Q437" s="345" t="s">
        <v>210</v>
      </c>
      <c r="R437" s="345" t="s">
        <v>223</v>
      </c>
      <c r="S437" s="345" t="s">
        <v>224</v>
      </c>
    </row>
    <row r="438" spans="1:19" x14ac:dyDescent="0.25">
      <c r="A438" s="311"/>
      <c r="B438" s="312"/>
      <c r="C438" s="312"/>
      <c r="D438" s="312"/>
      <c r="E438" s="312"/>
      <c r="F438" s="312"/>
      <c r="G438" s="328"/>
      <c r="H438" s="337"/>
      <c r="I438" s="334"/>
      <c r="J438" s="314"/>
      <c r="K438" s="449"/>
      <c r="M438" s="349" t="str">
        <f>N438&amp;AS[[#This Row],[Insurer Code]]&amp;"; "&amp;O438&amp;AS[[#This Row],[Reporting Year]]&amp;"; "&amp;P438&amp;AS[[#This Row],[Insurance Category Code]]&amp;"; "&amp;Q438&amp;AS[[#This Row],[Large Provider Entity Code]]&amp;"; "&amp;R438&amp;AS[[#This Row],[Age Band Code]]&amp;"; "&amp;S438&amp;AS[[#This Row],[Sex Code]]</f>
        <v xml:space="preserve">Insurer Code ; Reporting Year ; Insurance Category Code ; Large Provider Entity Code ; Age Band Code ; Sex Code </v>
      </c>
      <c r="N438" s="345" t="s">
        <v>207</v>
      </c>
      <c r="O438" s="345" t="s">
        <v>208</v>
      </c>
      <c r="P438" s="345" t="s">
        <v>209</v>
      </c>
      <c r="Q438" s="345" t="s">
        <v>210</v>
      </c>
      <c r="R438" s="345" t="s">
        <v>223</v>
      </c>
      <c r="S438" s="345" t="s">
        <v>224</v>
      </c>
    </row>
    <row r="439" spans="1:19" x14ac:dyDescent="0.25">
      <c r="A439" s="311"/>
      <c r="B439" s="312"/>
      <c r="C439" s="312"/>
      <c r="D439" s="312"/>
      <c r="E439" s="312"/>
      <c r="F439" s="312"/>
      <c r="G439" s="328"/>
      <c r="H439" s="337"/>
      <c r="I439" s="334"/>
      <c r="J439" s="314"/>
      <c r="K439" s="449"/>
      <c r="M439" s="349" t="str">
        <f>N439&amp;AS[[#This Row],[Insurer Code]]&amp;"; "&amp;O439&amp;AS[[#This Row],[Reporting Year]]&amp;"; "&amp;P439&amp;AS[[#This Row],[Insurance Category Code]]&amp;"; "&amp;Q439&amp;AS[[#This Row],[Large Provider Entity Code]]&amp;"; "&amp;R439&amp;AS[[#This Row],[Age Band Code]]&amp;"; "&amp;S439&amp;AS[[#This Row],[Sex Code]]</f>
        <v xml:space="preserve">Insurer Code ; Reporting Year ; Insurance Category Code ; Large Provider Entity Code ; Age Band Code ; Sex Code </v>
      </c>
      <c r="N439" s="345" t="s">
        <v>207</v>
      </c>
      <c r="O439" s="345" t="s">
        <v>208</v>
      </c>
      <c r="P439" s="345" t="s">
        <v>209</v>
      </c>
      <c r="Q439" s="345" t="s">
        <v>210</v>
      </c>
      <c r="R439" s="345" t="s">
        <v>223</v>
      </c>
      <c r="S439" s="345" t="s">
        <v>224</v>
      </c>
    </row>
    <row r="440" spans="1:19" x14ac:dyDescent="0.25">
      <c r="A440" s="311"/>
      <c r="B440" s="312"/>
      <c r="C440" s="312"/>
      <c r="D440" s="312"/>
      <c r="E440" s="312"/>
      <c r="F440" s="312"/>
      <c r="G440" s="328"/>
      <c r="H440" s="337"/>
      <c r="I440" s="334"/>
      <c r="J440" s="314"/>
      <c r="K440" s="449"/>
      <c r="M440" s="349" t="str">
        <f>N440&amp;AS[[#This Row],[Insurer Code]]&amp;"; "&amp;O440&amp;AS[[#This Row],[Reporting Year]]&amp;"; "&amp;P440&amp;AS[[#This Row],[Insurance Category Code]]&amp;"; "&amp;Q440&amp;AS[[#This Row],[Large Provider Entity Code]]&amp;"; "&amp;R440&amp;AS[[#This Row],[Age Band Code]]&amp;"; "&amp;S440&amp;AS[[#This Row],[Sex Code]]</f>
        <v xml:space="preserve">Insurer Code ; Reporting Year ; Insurance Category Code ; Large Provider Entity Code ; Age Band Code ; Sex Code </v>
      </c>
      <c r="N440" s="345" t="s">
        <v>207</v>
      </c>
      <c r="O440" s="345" t="s">
        <v>208</v>
      </c>
      <c r="P440" s="345" t="s">
        <v>209</v>
      </c>
      <c r="Q440" s="345" t="s">
        <v>210</v>
      </c>
      <c r="R440" s="345" t="s">
        <v>223</v>
      </c>
      <c r="S440" s="345" t="s">
        <v>224</v>
      </c>
    </row>
    <row r="441" spans="1:19" x14ac:dyDescent="0.25">
      <c r="A441" s="311"/>
      <c r="B441" s="312"/>
      <c r="C441" s="312"/>
      <c r="D441" s="312"/>
      <c r="E441" s="312"/>
      <c r="F441" s="312"/>
      <c r="G441" s="328"/>
      <c r="H441" s="337"/>
      <c r="I441" s="334"/>
      <c r="J441" s="314"/>
      <c r="K441" s="449"/>
      <c r="M441" s="349" t="str">
        <f>N441&amp;AS[[#This Row],[Insurer Code]]&amp;"; "&amp;O441&amp;AS[[#This Row],[Reporting Year]]&amp;"; "&amp;P441&amp;AS[[#This Row],[Insurance Category Code]]&amp;"; "&amp;Q441&amp;AS[[#This Row],[Large Provider Entity Code]]&amp;"; "&amp;R441&amp;AS[[#This Row],[Age Band Code]]&amp;"; "&amp;S441&amp;AS[[#This Row],[Sex Code]]</f>
        <v xml:space="preserve">Insurer Code ; Reporting Year ; Insurance Category Code ; Large Provider Entity Code ; Age Band Code ; Sex Code </v>
      </c>
      <c r="N441" s="345" t="s">
        <v>207</v>
      </c>
      <c r="O441" s="345" t="s">
        <v>208</v>
      </c>
      <c r="P441" s="345" t="s">
        <v>209</v>
      </c>
      <c r="Q441" s="345" t="s">
        <v>210</v>
      </c>
      <c r="R441" s="345" t="s">
        <v>223</v>
      </c>
      <c r="S441" s="345" t="s">
        <v>224</v>
      </c>
    </row>
    <row r="442" spans="1:19" x14ac:dyDescent="0.25">
      <c r="A442" s="311"/>
      <c r="B442" s="312"/>
      <c r="C442" s="312"/>
      <c r="D442" s="312"/>
      <c r="E442" s="312"/>
      <c r="F442" s="312"/>
      <c r="G442" s="328"/>
      <c r="H442" s="337"/>
      <c r="I442" s="334"/>
      <c r="J442" s="314"/>
      <c r="K442" s="449"/>
      <c r="M442" s="349" t="str">
        <f>N442&amp;AS[[#This Row],[Insurer Code]]&amp;"; "&amp;O442&amp;AS[[#This Row],[Reporting Year]]&amp;"; "&amp;P442&amp;AS[[#This Row],[Insurance Category Code]]&amp;"; "&amp;Q442&amp;AS[[#This Row],[Large Provider Entity Code]]&amp;"; "&amp;R442&amp;AS[[#This Row],[Age Band Code]]&amp;"; "&amp;S442&amp;AS[[#This Row],[Sex Code]]</f>
        <v xml:space="preserve">Insurer Code ; Reporting Year ; Insurance Category Code ; Large Provider Entity Code ; Age Band Code ; Sex Code </v>
      </c>
      <c r="N442" s="345" t="s">
        <v>207</v>
      </c>
      <c r="O442" s="345" t="s">
        <v>208</v>
      </c>
      <c r="P442" s="345" t="s">
        <v>209</v>
      </c>
      <c r="Q442" s="345" t="s">
        <v>210</v>
      </c>
      <c r="R442" s="345" t="s">
        <v>223</v>
      </c>
      <c r="S442" s="345" t="s">
        <v>224</v>
      </c>
    </row>
    <row r="443" spans="1:19" x14ac:dyDescent="0.25">
      <c r="A443" s="311"/>
      <c r="B443" s="312"/>
      <c r="C443" s="312"/>
      <c r="D443" s="312"/>
      <c r="E443" s="312"/>
      <c r="F443" s="312"/>
      <c r="G443" s="328"/>
      <c r="H443" s="337"/>
      <c r="I443" s="334"/>
      <c r="J443" s="314"/>
      <c r="K443" s="449"/>
      <c r="M443" s="349" t="str">
        <f>N443&amp;AS[[#This Row],[Insurer Code]]&amp;"; "&amp;O443&amp;AS[[#This Row],[Reporting Year]]&amp;"; "&amp;P443&amp;AS[[#This Row],[Insurance Category Code]]&amp;"; "&amp;Q443&amp;AS[[#This Row],[Large Provider Entity Code]]&amp;"; "&amp;R443&amp;AS[[#This Row],[Age Band Code]]&amp;"; "&amp;S443&amp;AS[[#This Row],[Sex Code]]</f>
        <v xml:space="preserve">Insurer Code ; Reporting Year ; Insurance Category Code ; Large Provider Entity Code ; Age Band Code ; Sex Code </v>
      </c>
      <c r="N443" s="345" t="s">
        <v>207</v>
      </c>
      <c r="O443" s="345" t="s">
        <v>208</v>
      </c>
      <c r="P443" s="345" t="s">
        <v>209</v>
      </c>
      <c r="Q443" s="345" t="s">
        <v>210</v>
      </c>
      <c r="R443" s="345" t="s">
        <v>223</v>
      </c>
      <c r="S443" s="345" t="s">
        <v>224</v>
      </c>
    </row>
    <row r="444" spans="1:19" x14ac:dyDescent="0.25">
      <c r="A444" s="311"/>
      <c r="B444" s="312"/>
      <c r="C444" s="312"/>
      <c r="D444" s="312"/>
      <c r="E444" s="312"/>
      <c r="F444" s="312"/>
      <c r="G444" s="328"/>
      <c r="H444" s="337"/>
      <c r="I444" s="334"/>
      <c r="J444" s="314"/>
      <c r="K444" s="449"/>
      <c r="M444" s="349" t="str">
        <f>N444&amp;AS[[#This Row],[Insurer Code]]&amp;"; "&amp;O444&amp;AS[[#This Row],[Reporting Year]]&amp;"; "&amp;P444&amp;AS[[#This Row],[Insurance Category Code]]&amp;"; "&amp;Q444&amp;AS[[#This Row],[Large Provider Entity Code]]&amp;"; "&amp;R444&amp;AS[[#This Row],[Age Band Code]]&amp;"; "&amp;S444&amp;AS[[#This Row],[Sex Code]]</f>
        <v xml:space="preserve">Insurer Code ; Reporting Year ; Insurance Category Code ; Large Provider Entity Code ; Age Band Code ; Sex Code </v>
      </c>
      <c r="N444" s="345" t="s">
        <v>207</v>
      </c>
      <c r="O444" s="345" t="s">
        <v>208</v>
      </c>
      <c r="P444" s="345" t="s">
        <v>209</v>
      </c>
      <c r="Q444" s="345" t="s">
        <v>210</v>
      </c>
      <c r="R444" s="345" t="s">
        <v>223</v>
      </c>
      <c r="S444" s="345" t="s">
        <v>224</v>
      </c>
    </row>
    <row r="445" spans="1:19" x14ac:dyDescent="0.25">
      <c r="A445" s="311"/>
      <c r="B445" s="312"/>
      <c r="C445" s="312"/>
      <c r="D445" s="312"/>
      <c r="E445" s="312"/>
      <c r="F445" s="312"/>
      <c r="G445" s="328"/>
      <c r="H445" s="337"/>
      <c r="I445" s="334"/>
      <c r="J445" s="314"/>
      <c r="K445" s="449"/>
      <c r="M445" s="349" t="str">
        <f>N445&amp;AS[[#This Row],[Insurer Code]]&amp;"; "&amp;O445&amp;AS[[#This Row],[Reporting Year]]&amp;"; "&amp;P445&amp;AS[[#This Row],[Insurance Category Code]]&amp;"; "&amp;Q445&amp;AS[[#This Row],[Large Provider Entity Code]]&amp;"; "&amp;R445&amp;AS[[#This Row],[Age Band Code]]&amp;"; "&amp;S445&amp;AS[[#This Row],[Sex Code]]</f>
        <v xml:space="preserve">Insurer Code ; Reporting Year ; Insurance Category Code ; Large Provider Entity Code ; Age Band Code ; Sex Code </v>
      </c>
      <c r="N445" s="345" t="s">
        <v>207</v>
      </c>
      <c r="O445" s="345" t="s">
        <v>208</v>
      </c>
      <c r="P445" s="345" t="s">
        <v>209</v>
      </c>
      <c r="Q445" s="345" t="s">
        <v>210</v>
      </c>
      <c r="R445" s="345" t="s">
        <v>223</v>
      </c>
      <c r="S445" s="345" t="s">
        <v>224</v>
      </c>
    </row>
    <row r="446" spans="1:19" x14ac:dyDescent="0.25">
      <c r="A446" s="311"/>
      <c r="B446" s="312"/>
      <c r="C446" s="312"/>
      <c r="D446" s="312"/>
      <c r="E446" s="312"/>
      <c r="F446" s="312"/>
      <c r="G446" s="328"/>
      <c r="H446" s="337"/>
      <c r="I446" s="334"/>
      <c r="J446" s="314"/>
      <c r="K446" s="449"/>
      <c r="M446" s="349" t="str">
        <f>N446&amp;AS[[#This Row],[Insurer Code]]&amp;"; "&amp;O446&amp;AS[[#This Row],[Reporting Year]]&amp;"; "&amp;P446&amp;AS[[#This Row],[Insurance Category Code]]&amp;"; "&amp;Q446&amp;AS[[#This Row],[Large Provider Entity Code]]&amp;"; "&amp;R446&amp;AS[[#This Row],[Age Band Code]]&amp;"; "&amp;S446&amp;AS[[#This Row],[Sex Code]]</f>
        <v xml:space="preserve">Insurer Code ; Reporting Year ; Insurance Category Code ; Large Provider Entity Code ; Age Band Code ; Sex Code </v>
      </c>
      <c r="N446" s="345" t="s">
        <v>207</v>
      </c>
      <c r="O446" s="345" t="s">
        <v>208</v>
      </c>
      <c r="P446" s="345" t="s">
        <v>209</v>
      </c>
      <c r="Q446" s="345" t="s">
        <v>210</v>
      </c>
      <c r="R446" s="345" t="s">
        <v>223</v>
      </c>
      <c r="S446" s="345" t="s">
        <v>224</v>
      </c>
    </row>
    <row r="447" spans="1:19" x14ac:dyDescent="0.25">
      <c r="A447" s="311"/>
      <c r="B447" s="312"/>
      <c r="C447" s="312"/>
      <c r="D447" s="312"/>
      <c r="E447" s="312"/>
      <c r="F447" s="312"/>
      <c r="G447" s="328"/>
      <c r="H447" s="337"/>
      <c r="I447" s="334"/>
      <c r="J447" s="314"/>
      <c r="K447" s="449"/>
      <c r="M447" s="349" t="str">
        <f>N447&amp;AS[[#This Row],[Insurer Code]]&amp;"; "&amp;O447&amp;AS[[#This Row],[Reporting Year]]&amp;"; "&amp;P447&amp;AS[[#This Row],[Insurance Category Code]]&amp;"; "&amp;Q447&amp;AS[[#This Row],[Large Provider Entity Code]]&amp;"; "&amp;R447&amp;AS[[#This Row],[Age Band Code]]&amp;"; "&amp;S447&amp;AS[[#This Row],[Sex Code]]</f>
        <v xml:space="preserve">Insurer Code ; Reporting Year ; Insurance Category Code ; Large Provider Entity Code ; Age Band Code ; Sex Code </v>
      </c>
      <c r="N447" s="345" t="s">
        <v>207</v>
      </c>
      <c r="O447" s="345" t="s">
        <v>208</v>
      </c>
      <c r="P447" s="345" t="s">
        <v>209</v>
      </c>
      <c r="Q447" s="345" t="s">
        <v>210</v>
      </c>
      <c r="R447" s="345" t="s">
        <v>223</v>
      </c>
      <c r="S447" s="345" t="s">
        <v>224</v>
      </c>
    </row>
    <row r="448" spans="1:19" x14ac:dyDescent="0.25">
      <c r="A448" s="311"/>
      <c r="B448" s="312"/>
      <c r="C448" s="312"/>
      <c r="D448" s="312"/>
      <c r="E448" s="312"/>
      <c r="F448" s="312"/>
      <c r="G448" s="328"/>
      <c r="H448" s="337"/>
      <c r="I448" s="334"/>
      <c r="J448" s="314"/>
      <c r="K448" s="449"/>
      <c r="M448" s="349" t="str">
        <f>N448&amp;AS[[#This Row],[Insurer Code]]&amp;"; "&amp;O448&amp;AS[[#This Row],[Reporting Year]]&amp;"; "&amp;P448&amp;AS[[#This Row],[Insurance Category Code]]&amp;"; "&amp;Q448&amp;AS[[#This Row],[Large Provider Entity Code]]&amp;"; "&amp;R448&amp;AS[[#This Row],[Age Band Code]]&amp;"; "&amp;S448&amp;AS[[#This Row],[Sex Code]]</f>
        <v xml:space="preserve">Insurer Code ; Reporting Year ; Insurance Category Code ; Large Provider Entity Code ; Age Band Code ; Sex Code </v>
      </c>
      <c r="N448" s="345" t="s">
        <v>207</v>
      </c>
      <c r="O448" s="345" t="s">
        <v>208</v>
      </c>
      <c r="P448" s="345" t="s">
        <v>209</v>
      </c>
      <c r="Q448" s="345" t="s">
        <v>210</v>
      </c>
      <c r="R448" s="345" t="s">
        <v>223</v>
      </c>
      <c r="S448" s="345" t="s">
        <v>224</v>
      </c>
    </row>
    <row r="449" spans="1:19" x14ac:dyDescent="0.25">
      <c r="A449" s="311"/>
      <c r="B449" s="312"/>
      <c r="C449" s="312"/>
      <c r="D449" s="312"/>
      <c r="E449" s="312"/>
      <c r="F449" s="312"/>
      <c r="G449" s="328"/>
      <c r="H449" s="337"/>
      <c r="I449" s="334"/>
      <c r="J449" s="314"/>
      <c r="K449" s="449"/>
      <c r="M449" s="349" t="str">
        <f>N449&amp;AS[[#This Row],[Insurer Code]]&amp;"; "&amp;O449&amp;AS[[#This Row],[Reporting Year]]&amp;"; "&amp;P449&amp;AS[[#This Row],[Insurance Category Code]]&amp;"; "&amp;Q449&amp;AS[[#This Row],[Large Provider Entity Code]]&amp;"; "&amp;R449&amp;AS[[#This Row],[Age Band Code]]&amp;"; "&amp;S449&amp;AS[[#This Row],[Sex Code]]</f>
        <v xml:space="preserve">Insurer Code ; Reporting Year ; Insurance Category Code ; Large Provider Entity Code ; Age Band Code ; Sex Code </v>
      </c>
      <c r="N449" s="345" t="s">
        <v>207</v>
      </c>
      <c r="O449" s="345" t="s">
        <v>208</v>
      </c>
      <c r="P449" s="345" t="s">
        <v>209</v>
      </c>
      <c r="Q449" s="345" t="s">
        <v>210</v>
      </c>
      <c r="R449" s="345" t="s">
        <v>223</v>
      </c>
      <c r="S449" s="345" t="s">
        <v>224</v>
      </c>
    </row>
    <row r="450" spans="1:19" x14ac:dyDescent="0.25">
      <c r="A450" s="311"/>
      <c r="B450" s="312"/>
      <c r="C450" s="312"/>
      <c r="D450" s="312"/>
      <c r="E450" s="312"/>
      <c r="F450" s="312"/>
      <c r="G450" s="328"/>
      <c r="H450" s="337"/>
      <c r="I450" s="334"/>
      <c r="J450" s="314"/>
      <c r="K450" s="449"/>
      <c r="M450" s="349" t="str">
        <f>N450&amp;AS[[#This Row],[Insurer Code]]&amp;"; "&amp;O450&amp;AS[[#This Row],[Reporting Year]]&amp;"; "&amp;P450&amp;AS[[#This Row],[Insurance Category Code]]&amp;"; "&amp;Q450&amp;AS[[#This Row],[Large Provider Entity Code]]&amp;"; "&amp;R450&amp;AS[[#This Row],[Age Band Code]]&amp;"; "&amp;S450&amp;AS[[#This Row],[Sex Code]]</f>
        <v xml:space="preserve">Insurer Code ; Reporting Year ; Insurance Category Code ; Large Provider Entity Code ; Age Band Code ; Sex Code </v>
      </c>
      <c r="N450" s="345" t="s">
        <v>207</v>
      </c>
      <c r="O450" s="345" t="s">
        <v>208</v>
      </c>
      <c r="P450" s="345" t="s">
        <v>209</v>
      </c>
      <c r="Q450" s="345" t="s">
        <v>210</v>
      </c>
      <c r="R450" s="345" t="s">
        <v>223</v>
      </c>
      <c r="S450" s="345" t="s">
        <v>224</v>
      </c>
    </row>
    <row r="451" spans="1:19" x14ac:dyDescent="0.25">
      <c r="A451" s="311"/>
      <c r="B451" s="312"/>
      <c r="C451" s="312"/>
      <c r="D451" s="312"/>
      <c r="E451" s="312"/>
      <c r="F451" s="312"/>
      <c r="G451" s="328"/>
      <c r="H451" s="337"/>
      <c r="I451" s="334"/>
      <c r="J451" s="314"/>
      <c r="K451" s="449"/>
      <c r="M451" s="349" t="str">
        <f>N451&amp;AS[[#This Row],[Insurer Code]]&amp;"; "&amp;O451&amp;AS[[#This Row],[Reporting Year]]&amp;"; "&amp;P451&amp;AS[[#This Row],[Insurance Category Code]]&amp;"; "&amp;Q451&amp;AS[[#This Row],[Large Provider Entity Code]]&amp;"; "&amp;R451&amp;AS[[#This Row],[Age Band Code]]&amp;"; "&amp;S451&amp;AS[[#This Row],[Sex Code]]</f>
        <v xml:space="preserve">Insurer Code ; Reporting Year ; Insurance Category Code ; Large Provider Entity Code ; Age Band Code ; Sex Code </v>
      </c>
      <c r="N451" s="345" t="s">
        <v>207</v>
      </c>
      <c r="O451" s="345" t="s">
        <v>208</v>
      </c>
      <c r="P451" s="345" t="s">
        <v>209</v>
      </c>
      <c r="Q451" s="345" t="s">
        <v>210</v>
      </c>
      <c r="R451" s="345" t="s">
        <v>223</v>
      </c>
      <c r="S451" s="345" t="s">
        <v>224</v>
      </c>
    </row>
    <row r="452" spans="1:19" x14ac:dyDescent="0.25">
      <c r="A452" s="311"/>
      <c r="B452" s="312"/>
      <c r="C452" s="312"/>
      <c r="D452" s="312"/>
      <c r="E452" s="312"/>
      <c r="F452" s="312"/>
      <c r="G452" s="328"/>
      <c r="H452" s="337"/>
      <c r="I452" s="334"/>
      <c r="J452" s="314"/>
      <c r="K452" s="449"/>
      <c r="M452" s="349" t="str">
        <f>N452&amp;AS[[#This Row],[Insurer Code]]&amp;"; "&amp;O452&amp;AS[[#This Row],[Reporting Year]]&amp;"; "&amp;P452&amp;AS[[#This Row],[Insurance Category Code]]&amp;"; "&amp;Q452&amp;AS[[#This Row],[Large Provider Entity Code]]&amp;"; "&amp;R452&amp;AS[[#This Row],[Age Band Code]]&amp;"; "&amp;S452&amp;AS[[#This Row],[Sex Code]]</f>
        <v xml:space="preserve">Insurer Code ; Reporting Year ; Insurance Category Code ; Large Provider Entity Code ; Age Band Code ; Sex Code </v>
      </c>
      <c r="N452" s="345" t="s">
        <v>207</v>
      </c>
      <c r="O452" s="345" t="s">
        <v>208</v>
      </c>
      <c r="P452" s="345" t="s">
        <v>209</v>
      </c>
      <c r="Q452" s="345" t="s">
        <v>210</v>
      </c>
      <c r="R452" s="345" t="s">
        <v>223</v>
      </c>
      <c r="S452" s="345" t="s">
        <v>224</v>
      </c>
    </row>
    <row r="453" spans="1:19" x14ac:dyDescent="0.25">
      <c r="A453" s="311"/>
      <c r="B453" s="312"/>
      <c r="C453" s="312"/>
      <c r="D453" s="312"/>
      <c r="E453" s="312"/>
      <c r="F453" s="312"/>
      <c r="G453" s="328"/>
      <c r="H453" s="337"/>
      <c r="I453" s="334"/>
      <c r="J453" s="314"/>
      <c r="K453" s="449"/>
      <c r="M453" s="349" t="str">
        <f>N453&amp;AS[[#This Row],[Insurer Code]]&amp;"; "&amp;O453&amp;AS[[#This Row],[Reporting Year]]&amp;"; "&amp;P453&amp;AS[[#This Row],[Insurance Category Code]]&amp;"; "&amp;Q453&amp;AS[[#This Row],[Large Provider Entity Code]]&amp;"; "&amp;R453&amp;AS[[#This Row],[Age Band Code]]&amp;"; "&amp;S453&amp;AS[[#This Row],[Sex Code]]</f>
        <v xml:space="preserve">Insurer Code ; Reporting Year ; Insurance Category Code ; Large Provider Entity Code ; Age Band Code ; Sex Code </v>
      </c>
      <c r="N453" s="345" t="s">
        <v>207</v>
      </c>
      <c r="O453" s="345" t="s">
        <v>208</v>
      </c>
      <c r="P453" s="345" t="s">
        <v>209</v>
      </c>
      <c r="Q453" s="345" t="s">
        <v>210</v>
      </c>
      <c r="R453" s="345" t="s">
        <v>223</v>
      </c>
      <c r="S453" s="345" t="s">
        <v>224</v>
      </c>
    </row>
    <row r="454" spans="1:19" x14ac:dyDescent="0.25">
      <c r="A454" s="311"/>
      <c r="B454" s="312"/>
      <c r="C454" s="312"/>
      <c r="D454" s="312"/>
      <c r="E454" s="312"/>
      <c r="F454" s="312"/>
      <c r="G454" s="328"/>
      <c r="H454" s="337"/>
      <c r="I454" s="334"/>
      <c r="J454" s="314"/>
      <c r="K454" s="449"/>
      <c r="M454" s="349" t="str">
        <f>N454&amp;AS[[#This Row],[Insurer Code]]&amp;"; "&amp;O454&amp;AS[[#This Row],[Reporting Year]]&amp;"; "&amp;P454&amp;AS[[#This Row],[Insurance Category Code]]&amp;"; "&amp;Q454&amp;AS[[#This Row],[Large Provider Entity Code]]&amp;"; "&amp;R454&amp;AS[[#This Row],[Age Band Code]]&amp;"; "&amp;S454&amp;AS[[#This Row],[Sex Code]]</f>
        <v xml:space="preserve">Insurer Code ; Reporting Year ; Insurance Category Code ; Large Provider Entity Code ; Age Band Code ; Sex Code </v>
      </c>
      <c r="N454" s="345" t="s">
        <v>207</v>
      </c>
      <c r="O454" s="345" t="s">
        <v>208</v>
      </c>
      <c r="P454" s="345" t="s">
        <v>209</v>
      </c>
      <c r="Q454" s="345" t="s">
        <v>210</v>
      </c>
      <c r="R454" s="345" t="s">
        <v>223</v>
      </c>
      <c r="S454" s="345" t="s">
        <v>224</v>
      </c>
    </row>
    <row r="455" spans="1:19" x14ac:dyDescent="0.25">
      <c r="A455" s="311"/>
      <c r="B455" s="312"/>
      <c r="C455" s="312"/>
      <c r="D455" s="312"/>
      <c r="E455" s="312"/>
      <c r="F455" s="312"/>
      <c r="G455" s="328"/>
      <c r="H455" s="337"/>
      <c r="I455" s="334"/>
      <c r="J455" s="314"/>
      <c r="K455" s="449"/>
      <c r="M455" s="349" t="str">
        <f>N455&amp;AS[[#This Row],[Insurer Code]]&amp;"; "&amp;O455&amp;AS[[#This Row],[Reporting Year]]&amp;"; "&amp;P455&amp;AS[[#This Row],[Insurance Category Code]]&amp;"; "&amp;Q455&amp;AS[[#This Row],[Large Provider Entity Code]]&amp;"; "&amp;R455&amp;AS[[#This Row],[Age Band Code]]&amp;"; "&amp;S455&amp;AS[[#This Row],[Sex Code]]</f>
        <v xml:space="preserve">Insurer Code ; Reporting Year ; Insurance Category Code ; Large Provider Entity Code ; Age Band Code ; Sex Code </v>
      </c>
      <c r="N455" s="345" t="s">
        <v>207</v>
      </c>
      <c r="O455" s="345" t="s">
        <v>208</v>
      </c>
      <c r="P455" s="345" t="s">
        <v>209</v>
      </c>
      <c r="Q455" s="345" t="s">
        <v>210</v>
      </c>
      <c r="R455" s="345" t="s">
        <v>223</v>
      </c>
      <c r="S455" s="345" t="s">
        <v>224</v>
      </c>
    </row>
    <row r="456" spans="1:19" x14ac:dyDescent="0.25">
      <c r="A456" s="311"/>
      <c r="B456" s="312"/>
      <c r="C456" s="312"/>
      <c r="D456" s="312"/>
      <c r="E456" s="312"/>
      <c r="F456" s="312"/>
      <c r="G456" s="328"/>
      <c r="H456" s="337"/>
      <c r="I456" s="334"/>
      <c r="J456" s="314"/>
      <c r="K456" s="449"/>
      <c r="M456" s="349" t="str">
        <f>N456&amp;AS[[#This Row],[Insurer Code]]&amp;"; "&amp;O456&amp;AS[[#This Row],[Reporting Year]]&amp;"; "&amp;P456&amp;AS[[#This Row],[Insurance Category Code]]&amp;"; "&amp;Q456&amp;AS[[#This Row],[Large Provider Entity Code]]&amp;"; "&amp;R456&amp;AS[[#This Row],[Age Band Code]]&amp;"; "&amp;S456&amp;AS[[#This Row],[Sex Code]]</f>
        <v xml:space="preserve">Insurer Code ; Reporting Year ; Insurance Category Code ; Large Provider Entity Code ; Age Band Code ; Sex Code </v>
      </c>
      <c r="N456" s="345" t="s">
        <v>207</v>
      </c>
      <c r="O456" s="345" t="s">
        <v>208</v>
      </c>
      <c r="P456" s="345" t="s">
        <v>209</v>
      </c>
      <c r="Q456" s="345" t="s">
        <v>210</v>
      </c>
      <c r="R456" s="345" t="s">
        <v>223</v>
      </c>
      <c r="S456" s="345" t="s">
        <v>224</v>
      </c>
    </row>
    <row r="457" spans="1:19" x14ac:dyDescent="0.25">
      <c r="A457" s="311"/>
      <c r="B457" s="312"/>
      <c r="C457" s="312"/>
      <c r="D457" s="312"/>
      <c r="E457" s="312"/>
      <c r="F457" s="312"/>
      <c r="G457" s="328"/>
      <c r="H457" s="337"/>
      <c r="I457" s="334"/>
      <c r="J457" s="314"/>
      <c r="K457" s="449"/>
      <c r="M457" s="349" t="str">
        <f>N457&amp;AS[[#This Row],[Insurer Code]]&amp;"; "&amp;O457&amp;AS[[#This Row],[Reporting Year]]&amp;"; "&amp;P457&amp;AS[[#This Row],[Insurance Category Code]]&amp;"; "&amp;Q457&amp;AS[[#This Row],[Large Provider Entity Code]]&amp;"; "&amp;R457&amp;AS[[#This Row],[Age Band Code]]&amp;"; "&amp;S457&amp;AS[[#This Row],[Sex Code]]</f>
        <v xml:space="preserve">Insurer Code ; Reporting Year ; Insurance Category Code ; Large Provider Entity Code ; Age Band Code ; Sex Code </v>
      </c>
      <c r="N457" s="345" t="s">
        <v>207</v>
      </c>
      <c r="O457" s="345" t="s">
        <v>208</v>
      </c>
      <c r="P457" s="345" t="s">
        <v>209</v>
      </c>
      <c r="Q457" s="345" t="s">
        <v>210</v>
      </c>
      <c r="R457" s="345" t="s">
        <v>223</v>
      </c>
      <c r="S457" s="345" t="s">
        <v>224</v>
      </c>
    </row>
    <row r="458" spans="1:19" x14ac:dyDescent="0.25">
      <c r="A458" s="311"/>
      <c r="B458" s="312"/>
      <c r="C458" s="312"/>
      <c r="D458" s="312"/>
      <c r="E458" s="312"/>
      <c r="F458" s="312"/>
      <c r="G458" s="328"/>
      <c r="H458" s="337"/>
      <c r="I458" s="334"/>
      <c r="J458" s="314"/>
      <c r="K458" s="449"/>
      <c r="M458" s="349" t="str">
        <f>N458&amp;AS[[#This Row],[Insurer Code]]&amp;"; "&amp;O458&amp;AS[[#This Row],[Reporting Year]]&amp;"; "&amp;P458&amp;AS[[#This Row],[Insurance Category Code]]&amp;"; "&amp;Q458&amp;AS[[#This Row],[Large Provider Entity Code]]&amp;"; "&amp;R458&amp;AS[[#This Row],[Age Band Code]]&amp;"; "&amp;S458&amp;AS[[#This Row],[Sex Code]]</f>
        <v xml:space="preserve">Insurer Code ; Reporting Year ; Insurance Category Code ; Large Provider Entity Code ; Age Band Code ; Sex Code </v>
      </c>
      <c r="N458" s="345" t="s">
        <v>207</v>
      </c>
      <c r="O458" s="345" t="s">
        <v>208</v>
      </c>
      <c r="P458" s="345" t="s">
        <v>209</v>
      </c>
      <c r="Q458" s="345" t="s">
        <v>210</v>
      </c>
      <c r="R458" s="345" t="s">
        <v>223</v>
      </c>
      <c r="S458" s="345" t="s">
        <v>224</v>
      </c>
    </row>
    <row r="459" spans="1:19" x14ac:dyDescent="0.25">
      <c r="A459" s="311"/>
      <c r="B459" s="312"/>
      <c r="C459" s="312"/>
      <c r="D459" s="312"/>
      <c r="E459" s="312"/>
      <c r="F459" s="312"/>
      <c r="G459" s="328"/>
      <c r="H459" s="337"/>
      <c r="I459" s="334"/>
      <c r="J459" s="314"/>
      <c r="K459" s="449"/>
      <c r="M459" s="349" t="str">
        <f>N459&amp;AS[[#This Row],[Insurer Code]]&amp;"; "&amp;O459&amp;AS[[#This Row],[Reporting Year]]&amp;"; "&amp;P459&amp;AS[[#This Row],[Insurance Category Code]]&amp;"; "&amp;Q459&amp;AS[[#This Row],[Large Provider Entity Code]]&amp;"; "&amp;R459&amp;AS[[#This Row],[Age Band Code]]&amp;"; "&amp;S459&amp;AS[[#This Row],[Sex Code]]</f>
        <v xml:space="preserve">Insurer Code ; Reporting Year ; Insurance Category Code ; Large Provider Entity Code ; Age Band Code ; Sex Code </v>
      </c>
      <c r="N459" s="345" t="s">
        <v>207</v>
      </c>
      <c r="O459" s="345" t="s">
        <v>208</v>
      </c>
      <c r="P459" s="345" t="s">
        <v>209</v>
      </c>
      <c r="Q459" s="345" t="s">
        <v>210</v>
      </c>
      <c r="R459" s="345" t="s">
        <v>223</v>
      </c>
      <c r="S459" s="345" t="s">
        <v>224</v>
      </c>
    </row>
    <row r="460" spans="1:19" x14ac:dyDescent="0.25">
      <c r="A460" s="311"/>
      <c r="B460" s="312"/>
      <c r="C460" s="312"/>
      <c r="D460" s="312"/>
      <c r="E460" s="312"/>
      <c r="F460" s="312"/>
      <c r="G460" s="328"/>
      <c r="H460" s="337"/>
      <c r="I460" s="334"/>
      <c r="J460" s="314"/>
      <c r="K460" s="449"/>
      <c r="M460" s="349" t="str">
        <f>N460&amp;AS[[#This Row],[Insurer Code]]&amp;"; "&amp;O460&amp;AS[[#This Row],[Reporting Year]]&amp;"; "&amp;P460&amp;AS[[#This Row],[Insurance Category Code]]&amp;"; "&amp;Q460&amp;AS[[#This Row],[Large Provider Entity Code]]&amp;"; "&amp;R460&amp;AS[[#This Row],[Age Band Code]]&amp;"; "&amp;S460&amp;AS[[#This Row],[Sex Code]]</f>
        <v xml:space="preserve">Insurer Code ; Reporting Year ; Insurance Category Code ; Large Provider Entity Code ; Age Band Code ; Sex Code </v>
      </c>
      <c r="N460" s="345" t="s">
        <v>207</v>
      </c>
      <c r="O460" s="345" t="s">
        <v>208</v>
      </c>
      <c r="P460" s="345" t="s">
        <v>209</v>
      </c>
      <c r="Q460" s="345" t="s">
        <v>210</v>
      </c>
      <c r="R460" s="345" t="s">
        <v>223</v>
      </c>
      <c r="S460" s="345" t="s">
        <v>224</v>
      </c>
    </row>
    <row r="461" spans="1:19" x14ac:dyDescent="0.25">
      <c r="A461" s="311"/>
      <c r="B461" s="312"/>
      <c r="C461" s="312"/>
      <c r="D461" s="312"/>
      <c r="E461" s="312"/>
      <c r="F461" s="312"/>
      <c r="G461" s="328"/>
      <c r="H461" s="337"/>
      <c r="I461" s="334"/>
      <c r="J461" s="314"/>
      <c r="K461" s="449"/>
      <c r="M461" s="349" t="str">
        <f>N461&amp;AS[[#This Row],[Insurer Code]]&amp;"; "&amp;O461&amp;AS[[#This Row],[Reporting Year]]&amp;"; "&amp;P461&amp;AS[[#This Row],[Insurance Category Code]]&amp;"; "&amp;Q461&amp;AS[[#This Row],[Large Provider Entity Code]]&amp;"; "&amp;R461&amp;AS[[#This Row],[Age Band Code]]&amp;"; "&amp;S461&amp;AS[[#This Row],[Sex Code]]</f>
        <v xml:space="preserve">Insurer Code ; Reporting Year ; Insurance Category Code ; Large Provider Entity Code ; Age Band Code ; Sex Code </v>
      </c>
      <c r="N461" s="345" t="s">
        <v>207</v>
      </c>
      <c r="O461" s="345" t="s">
        <v>208</v>
      </c>
      <c r="P461" s="345" t="s">
        <v>209</v>
      </c>
      <c r="Q461" s="345" t="s">
        <v>210</v>
      </c>
      <c r="R461" s="345" t="s">
        <v>223</v>
      </c>
      <c r="S461" s="345" t="s">
        <v>224</v>
      </c>
    </row>
    <row r="462" spans="1:19" x14ac:dyDescent="0.25">
      <c r="A462" s="311"/>
      <c r="B462" s="312"/>
      <c r="C462" s="312"/>
      <c r="D462" s="312"/>
      <c r="E462" s="312"/>
      <c r="F462" s="312"/>
      <c r="G462" s="328"/>
      <c r="H462" s="337"/>
      <c r="I462" s="334"/>
      <c r="J462" s="314"/>
      <c r="K462" s="449"/>
      <c r="M462" s="349" t="str">
        <f>N462&amp;AS[[#This Row],[Insurer Code]]&amp;"; "&amp;O462&amp;AS[[#This Row],[Reporting Year]]&amp;"; "&amp;P462&amp;AS[[#This Row],[Insurance Category Code]]&amp;"; "&amp;Q462&amp;AS[[#This Row],[Large Provider Entity Code]]&amp;"; "&amp;R462&amp;AS[[#This Row],[Age Band Code]]&amp;"; "&amp;S462&amp;AS[[#This Row],[Sex Code]]</f>
        <v xml:space="preserve">Insurer Code ; Reporting Year ; Insurance Category Code ; Large Provider Entity Code ; Age Band Code ; Sex Code </v>
      </c>
      <c r="N462" s="345" t="s">
        <v>207</v>
      </c>
      <c r="O462" s="345" t="s">
        <v>208</v>
      </c>
      <c r="P462" s="345" t="s">
        <v>209</v>
      </c>
      <c r="Q462" s="345" t="s">
        <v>210</v>
      </c>
      <c r="R462" s="345" t="s">
        <v>223</v>
      </c>
      <c r="S462" s="345" t="s">
        <v>224</v>
      </c>
    </row>
    <row r="463" spans="1:19" x14ac:dyDescent="0.25">
      <c r="A463" s="311"/>
      <c r="B463" s="312"/>
      <c r="C463" s="312"/>
      <c r="D463" s="312"/>
      <c r="E463" s="312"/>
      <c r="F463" s="312"/>
      <c r="G463" s="328"/>
      <c r="H463" s="337"/>
      <c r="I463" s="334"/>
      <c r="J463" s="314"/>
      <c r="K463" s="449"/>
      <c r="M463" s="349" t="str">
        <f>N463&amp;AS[[#This Row],[Insurer Code]]&amp;"; "&amp;O463&amp;AS[[#This Row],[Reporting Year]]&amp;"; "&amp;P463&amp;AS[[#This Row],[Insurance Category Code]]&amp;"; "&amp;Q463&amp;AS[[#This Row],[Large Provider Entity Code]]&amp;"; "&amp;R463&amp;AS[[#This Row],[Age Band Code]]&amp;"; "&amp;S463&amp;AS[[#This Row],[Sex Code]]</f>
        <v xml:space="preserve">Insurer Code ; Reporting Year ; Insurance Category Code ; Large Provider Entity Code ; Age Band Code ; Sex Code </v>
      </c>
      <c r="N463" s="345" t="s">
        <v>207</v>
      </c>
      <c r="O463" s="345" t="s">
        <v>208</v>
      </c>
      <c r="P463" s="345" t="s">
        <v>209</v>
      </c>
      <c r="Q463" s="345" t="s">
        <v>210</v>
      </c>
      <c r="R463" s="345" t="s">
        <v>223</v>
      </c>
      <c r="S463" s="345" t="s">
        <v>224</v>
      </c>
    </row>
    <row r="464" spans="1:19" x14ac:dyDescent="0.25">
      <c r="A464" s="311"/>
      <c r="B464" s="312"/>
      <c r="C464" s="312"/>
      <c r="D464" s="312"/>
      <c r="E464" s="312"/>
      <c r="F464" s="312"/>
      <c r="G464" s="328"/>
      <c r="H464" s="337"/>
      <c r="I464" s="334"/>
      <c r="J464" s="314"/>
      <c r="K464" s="449"/>
      <c r="M464" s="349" t="str">
        <f>N464&amp;AS[[#This Row],[Insurer Code]]&amp;"; "&amp;O464&amp;AS[[#This Row],[Reporting Year]]&amp;"; "&amp;P464&amp;AS[[#This Row],[Insurance Category Code]]&amp;"; "&amp;Q464&amp;AS[[#This Row],[Large Provider Entity Code]]&amp;"; "&amp;R464&amp;AS[[#This Row],[Age Band Code]]&amp;"; "&amp;S464&amp;AS[[#This Row],[Sex Code]]</f>
        <v xml:space="preserve">Insurer Code ; Reporting Year ; Insurance Category Code ; Large Provider Entity Code ; Age Band Code ; Sex Code </v>
      </c>
      <c r="N464" s="345" t="s">
        <v>207</v>
      </c>
      <c r="O464" s="345" t="s">
        <v>208</v>
      </c>
      <c r="P464" s="345" t="s">
        <v>209</v>
      </c>
      <c r="Q464" s="345" t="s">
        <v>210</v>
      </c>
      <c r="R464" s="345" t="s">
        <v>223</v>
      </c>
      <c r="S464" s="345" t="s">
        <v>224</v>
      </c>
    </row>
    <row r="465" spans="1:19" x14ac:dyDescent="0.25">
      <c r="A465" s="311"/>
      <c r="B465" s="312"/>
      <c r="C465" s="312"/>
      <c r="D465" s="312"/>
      <c r="E465" s="312"/>
      <c r="F465" s="312"/>
      <c r="G465" s="328"/>
      <c r="H465" s="337"/>
      <c r="I465" s="334"/>
      <c r="J465" s="314"/>
      <c r="K465" s="449"/>
      <c r="M465" s="349" t="str">
        <f>N465&amp;AS[[#This Row],[Insurer Code]]&amp;"; "&amp;O465&amp;AS[[#This Row],[Reporting Year]]&amp;"; "&amp;P465&amp;AS[[#This Row],[Insurance Category Code]]&amp;"; "&amp;Q465&amp;AS[[#This Row],[Large Provider Entity Code]]&amp;"; "&amp;R465&amp;AS[[#This Row],[Age Band Code]]&amp;"; "&amp;S465&amp;AS[[#This Row],[Sex Code]]</f>
        <v xml:space="preserve">Insurer Code ; Reporting Year ; Insurance Category Code ; Large Provider Entity Code ; Age Band Code ; Sex Code </v>
      </c>
      <c r="N465" s="345" t="s">
        <v>207</v>
      </c>
      <c r="O465" s="345" t="s">
        <v>208</v>
      </c>
      <c r="P465" s="345" t="s">
        <v>209</v>
      </c>
      <c r="Q465" s="345" t="s">
        <v>210</v>
      </c>
      <c r="R465" s="345" t="s">
        <v>223</v>
      </c>
      <c r="S465" s="345" t="s">
        <v>224</v>
      </c>
    </row>
    <row r="466" spans="1:19" x14ac:dyDescent="0.25">
      <c r="A466" s="311"/>
      <c r="B466" s="312"/>
      <c r="C466" s="312"/>
      <c r="D466" s="312"/>
      <c r="E466" s="312"/>
      <c r="F466" s="312"/>
      <c r="G466" s="328"/>
      <c r="H466" s="337"/>
      <c r="I466" s="334"/>
      <c r="J466" s="314"/>
      <c r="K466" s="449"/>
      <c r="M466" s="349" t="str">
        <f>N466&amp;AS[[#This Row],[Insurer Code]]&amp;"; "&amp;O466&amp;AS[[#This Row],[Reporting Year]]&amp;"; "&amp;P466&amp;AS[[#This Row],[Insurance Category Code]]&amp;"; "&amp;Q466&amp;AS[[#This Row],[Large Provider Entity Code]]&amp;"; "&amp;R466&amp;AS[[#This Row],[Age Band Code]]&amp;"; "&amp;S466&amp;AS[[#This Row],[Sex Code]]</f>
        <v xml:space="preserve">Insurer Code ; Reporting Year ; Insurance Category Code ; Large Provider Entity Code ; Age Band Code ; Sex Code </v>
      </c>
      <c r="N466" s="345" t="s">
        <v>207</v>
      </c>
      <c r="O466" s="345" t="s">
        <v>208</v>
      </c>
      <c r="P466" s="345" t="s">
        <v>209</v>
      </c>
      <c r="Q466" s="345" t="s">
        <v>210</v>
      </c>
      <c r="R466" s="345" t="s">
        <v>223</v>
      </c>
      <c r="S466" s="345" t="s">
        <v>224</v>
      </c>
    </row>
    <row r="467" spans="1:19" x14ac:dyDescent="0.25">
      <c r="A467" s="311"/>
      <c r="B467" s="312"/>
      <c r="C467" s="312"/>
      <c r="D467" s="312"/>
      <c r="E467" s="312"/>
      <c r="F467" s="312"/>
      <c r="G467" s="328"/>
      <c r="H467" s="337"/>
      <c r="I467" s="334"/>
      <c r="J467" s="314"/>
      <c r="K467" s="449"/>
      <c r="M467" s="349" t="str">
        <f>N467&amp;AS[[#This Row],[Insurer Code]]&amp;"; "&amp;O467&amp;AS[[#This Row],[Reporting Year]]&amp;"; "&amp;P467&amp;AS[[#This Row],[Insurance Category Code]]&amp;"; "&amp;Q467&amp;AS[[#This Row],[Large Provider Entity Code]]&amp;"; "&amp;R467&amp;AS[[#This Row],[Age Band Code]]&amp;"; "&amp;S467&amp;AS[[#This Row],[Sex Code]]</f>
        <v xml:space="preserve">Insurer Code ; Reporting Year ; Insurance Category Code ; Large Provider Entity Code ; Age Band Code ; Sex Code </v>
      </c>
      <c r="N467" s="345" t="s">
        <v>207</v>
      </c>
      <c r="O467" s="345" t="s">
        <v>208</v>
      </c>
      <c r="P467" s="345" t="s">
        <v>209</v>
      </c>
      <c r="Q467" s="345" t="s">
        <v>210</v>
      </c>
      <c r="R467" s="345" t="s">
        <v>223</v>
      </c>
      <c r="S467" s="345" t="s">
        <v>224</v>
      </c>
    </row>
    <row r="468" spans="1:19" x14ac:dyDescent="0.25">
      <c r="A468" s="311"/>
      <c r="B468" s="312"/>
      <c r="C468" s="312"/>
      <c r="D468" s="312"/>
      <c r="E468" s="312"/>
      <c r="F468" s="312"/>
      <c r="G468" s="328"/>
      <c r="H468" s="337"/>
      <c r="I468" s="334"/>
      <c r="J468" s="314"/>
      <c r="K468" s="449"/>
      <c r="M468" s="349" t="str">
        <f>N468&amp;AS[[#This Row],[Insurer Code]]&amp;"; "&amp;O468&amp;AS[[#This Row],[Reporting Year]]&amp;"; "&amp;P468&amp;AS[[#This Row],[Insurance Category Code]]&amp;"; "&amp;Q468&amp;AS[[#This Row],[Large Provider Entity Code]]&amp;"; "&amp;R468&amp;AS[[#This Row],[Age Band Code]]&amp;"; "&amp;S468&amp;AS[[#This Row],[Sex Code]]</f>
        <v xml:space="preserve">Insurer Code ; Reporting Year ; Insurance Category Code ; Large Provider Entity Code ; Age Band Code ; Sex Code </v>
      </c>
      <c r="N468" s="345" t="s">
        <v>207</v>
      </c>
      <c r="O468" s="345" t="s">
        <v>208</v>
      </c>
      <c r="P468" s="345" t="s">
        <v>209</v>
      </c>
      <c r="Q468" s="345" t="s">
        <v>210</v>
      </c>
      <c r="R468" s="345" t="s">
        <v>223</v>
      </c>
      <c r="S468" s="345" t="s">
        <v>224</v>
      </c>
    </row>
    <row r="469" spans="1:19" x14ac:dyDescent="0.25">
      <c r="A469" s="311"/>
      <c r="B469" s="312"/>
      <c r="C469" s="312"/>
      <c r="D469" s="312"/>
      <c r="E469" s="312"/>
      <c r="F469" s="312"/>
      <c r="G469" s="328"/>
      <c r="H469" s="337"/>
      <c r="I469" s="334"/>
      <c r="J469" s="314"/>
      <c r="K469" s="449"/>
      <c r="M469" s="349" t="str">
        <f>N469&amp;AS[[#This Row],[Insurer Code]]&amp;"; "&amp;O469&amp;AS[[#This Row],[Reporting Year]]&amp;"; "&amp;P469&amp;AS[[#This Row],[Insurance Category Code]]&amp;"; "&amp;Q469&amp;AS[[#This Row],[Large Provider Entity Code]]&amp;"; "&amp;R469&amp;AS[[#This Row],[Age Band Code]]&amp;"; "&amp;S469&amp;AS[[#This Row],[Sex Code]]</f>
        <v xml:space="preserve">Insurer Code ; Reporting Year ; Insurance Category Code ; Large Provider Entity Code ; Age Band Code ; Sex Code </v>
      </c>
      <c r="N469" s="345" t="s">
        <v>207</v>
      </c>
      <c r="O469" s="345" t="s">
        <v>208</v>
      </c>
      <c r="P469" s="345" t="s">
        <v>209</v>
      </c>
      <c r="Q469" s="345" t="s">
        <v>210</v>
      </c>
      <c r="R469" s="345" t="s">
        <v>223</v>
      </c>
      <c r="S469" s="345" t="s">
        <v>224</v>
      </c>
    </row>
    <row r="470" spans="1:19" x14ac:dyDescent="0.25">
      <c r="A470" s="311"/>
      <c r="B470" s="312"/>
      <c r="C470" s="312"/>
      <c r="D470" s="312"/>
      <c r="E470" s="312"/>
      <c r="F470" s="312"/>
      <c r="G470" s="328"/>
      <c r="H470" s="337"/>
      <c r="I470" s="334"/>
      <c r="J470" s="314"/>
      <c r="K470" s="449"/>
      <c r="M470" s="349" t="str">
        <f>N470&amp;AS[[#This Row],[Insurer Code]]&amp;"; "&amp;O470&amp;AS[[#This Row],[Reporting Year]]&amp;"; "&amp;P470&amp;AS[[#This Row],[Insurance Category Code]]&amp;"; "&amp;Q470&amp;AS[[#This Row],[Large Provider Entity Code]]&amp;"; "&amp;R470&amp;AS[[#This Row],[Age Band Code]]&amp;"; "&amp;S470&amp;AS[[#This Row],[Sex Code]]</f>
        <v xml:space="preserve">Insurer Code ; Reporting Year ; Insurance Category Code ; Large Provider Entity Code ; Age Band Code ; Sex Code </v>
      </c>
      <c r="N470" s="345" t="s">
        <v>207</v>
      </c>
      <c r="O470" s="345" t="s">
        <v>208</v>
      </c>
      <c r="P470" s="345" t="s">
        <v>209</v>
      </c>
      <c r="Q470" s="345" t="s">
        <v>210</v>
      </c>
      <c r="R470" s="345" t="s">
        <v>223</v>
      </c>
      <c r="S470" s="345" t="s">
        <v>224</v>
      </c>
    </row>
    <row r="471" spans="1:19" x14ac:dyDescent="0.25">
      <c r="A471" s="311"/>
      <c r="B471" s="312"/>
      <c r="C471" s="312"/>
      <c r="D471" s="312"/>
      <c r="E471" s="312"/>
      <c r="F471" s="312"/>
      <c r="G471" s="328"/>
      <c r="H471" s="337"/>
      <c r="I471" s="334"/>
      <c r="J471" s="314"/>
      <c r="K471" s="449"/>
      <c r="M471" s="349" t="str">
        <f>N471&amp;AS[[#This Row],[Insurer Code]]&amp;"; "&amp;O471&amp;AS[[#This Row],[Reporting Year]]&amp;"; "&amp;P471&amp;AS[[#This Row],[Insurance Category Code]]&amp;"; "&amp;Q471&amp;AS[[#This Row],[Large Provider Entity Code]]&amp;"; "&amp;R471&amp;AS[[#This Row],[Age Band Code]]&amp;"; "&amp;S471&amp;AS[[#This Row],[Sex Code]]</f>
        <v xml:space="preserve">Insurer Code ; Reporting Year ; Insurance Category Code ; Large Provider Entity Code ; Age Band Code ; Sex Code </v>
      </c>
      <c r="N471" s="345" t="s">
        <v>207</v>
      </c>
      <c r="O471" s="345" t="s">
        <v>208</v>
      </c>
      <c r="P471" s="345" t="s">
        <v>209</v>
      </c>
      <c r="Q471" s="345" t="s">
        <v>210</v>
      </c>
      <c r="R471" s="345" t="s">
        <v>223</v>
      </c>
      <c r="S471" s="345" t="s">
        <v>224</v>
      </c>
    </row>
    <row r="472" spans="1:19" x14ac:dyDescent="0.25">
      <c r="A472" s="311"/>
      <c r="B472" s="312"/>
      <c r="C472" s="312"/>
      <c r="D472" s="312"/>
      <c r="E472" s="312"/>
      <c r="F472" s="312"/>
      <c r="G472" s="328"/>
      <c r="H472" s="337"/>
      <c r="I472" s="334"/>
      <c r="J472" s="314"/>
      <c r="K472" s="449"/>
      <c r="M472" s="349" t="str">
        <f>N472&amp;AS[[#This Row],[Insurer Code]]&amp;"; "&amp;O472&amp;AS[[#This Row],[Reporting Year]]&amp;"; "&amp;P472&amp;AS[[#This Row],[Insurance Category Code]]&amp;"; "&amp;Q472&amp;AS[[#This Row],[Large Provider Entity Code]]&amp;"; "&amp;R472&amp;AS[[#This Row],[Age Band Code]]&amp;"; "&amp;S472&amp;AS[[#This Row],[Sex Code]]</f>
        <v xml:space="preserve">Insurer Code ; Reporting Year ; Insurance Category Code ; Large Provider Entity Code ; Age Band Code ; Sex Code </v>
      </c>
      <c r="N472" s="345" t="s">
        <v>207</v>
      </c>
      <c r="O472" s="345" t="s">
        <v>208</v>
      </c>
      <c r="P472" s="345" t="s">
        <v>209</v>
      </c>
      <c r="Q472" s="345" t="s">
        <v>210</v>
      </c>
      <c r="R472" s="345" t="s">
        <v>223</v>
      </c>
      <c r="S472" s="345" t="s">
        <v>224</v>
      </c>
    </row>
    <row r="473" spans="1:19" x14ac:dyDescent="0.25">
      <c r="A473" s="311"/>
      <c r="B473" s="312"/>
      <c r="C473" s="312"/>
      <c r="D473" s="312"/>
      <c r="E473" s="312"/>
      <c r="F473" s="312"/>
      <c r="G473" s="328"/>
      <c r="H473" s="337"/>
      <c r="I473" s="334"/>
      <c r="J473" s="314"/>
      <c r="K473" s="449"/>
      <c r="M473" s="349" t="str">
        <f>N473&amp;AS[[#This Row],[Insurer Code]]&amp;"; "&amp;O473&amp;AS[[#This Row],[Reporting Year]]&amp;"; "&amp;P473&amp;AS[[#This Row],[Insurance Category Code]]&amp;"; "&amp;Q473&amp;AS[[#This Row],[Large Provider Entity Code]]&amp;"; "&amp;R473&amp;AS[[#This Row],[Age Band Code]]&amp;"; "&amp;S473&amp;AS[[#This Row],[Sex Code]]</f>
        <v xml:space="preserve">Insurer Code ; Reporting Year ; Insurance Category Code ; Large Provider Entity Code ; Age Band Code ; Sex Code </v>
      </c>
      <c r="N473" s="345" t="s">
        <v>207</v>
      </c>
      <c r="O473" s="345" t="s">
        <v>208</v>
      </c>
      <c r="P473" s="345" t="s">
        <v>209</v>
      </c>
      <c r="Q473" s="345" t="s">
        <v>210</v>
      </c>
      <c r="R473" s="345" t="s">
        <v>223</v>
      </c>
      <c r="S473" s="345" t="s">
        <v>224</v>
      </c>
    </row>
    <row r="474" spans="1:19" x14ac:dyDescent="0.25">
      <c r="A474" s="311"/>
      <c r="B474" s="312"/>
      <c r="C474" s="312"/>
      <c r="D474" s="312"/>
      <c r="E474" s="312"/>
      <c r="F474" s="312"/>
      <c r="G474" s="328"/>
      <c r="H474" s="337"/>
      <c r="I474" s="334"/>
      <c r="J474" s="314"/>
      <c r="K474" s="449"/>
      <c r="M474" s="349" t="str">
        <f>N474&amp;AS[[#This Row],[Insurer Code]]&amp;"; "&amp;O474&amp;AS[[#This Row],[Reporting Year]]&amp;"; "&amp;P474&amp;AS[[#This Row],[Insurance Category Code]]&amp;"; "&amp;Q474&amp;AS[[#This Row],[Large Provider Entity Code]]&amp;"; "&amp;R474&amp;AS[[#This Row],[Age Band Code]]&amp;"; "&amp;S474&amp;AS[[#This Row],[Sex Code]]</f>
        <v xml:space="preserve">Insurer Code ; Reporting Year ; Insurance Category Code ; Large Provider Entity Code ; Age Band Code ; Sex Code </v>
      </c>
      <c r="N474" s="345" t="s">
        <v>207</v>
      </c>
      <c r="O474" s="345" t="s">
        <v>208</v>
      </c>
      <c r="P474" s="345" t="s">
        <v>209</v>
      </c>
      <c r="Q474" s="345" t="s">
        <v>210</v>
      </c>
      <c r="R474" s="345" t="s">
        <v>223</v>
      </c>
      <c r="S474" s="345" t="s">
        <v>224</v>
      </c>
    </row>
    <row r="475" spans="1:19" x14ac:dyDescent="0.25">
      <c r="A475" s="311"/>
      <c r="B475" s="312"/>
      <c r="C475" s="312"/>
      <c r="D475" s="312"/>
      <c r="E475" s="312"/>
      <c r="F475" s="312"/>
      <c r="G475" s="328"/>
      <c r="H475" s="337"/>
      <c r="I475" s="334"/>
      <c r="J475" s="314"/>
      <c r="K475" s="449"/>
      <c r="M475" s="349" t="str">
        <f>N475&amp;AS[[#This Row],[Insurer Code]]&amp;"; "&amp;O475&amp;AS[[#This Row],[Reporting Year]]&amp;"; "&amp;P475&amp;AS[[#This Row],[Insurance Category Code]]&amp;"; "&amp;Q475&amp;AS[[#This Row],[Large Provider Entity Code]]&amp;"; "&amp;R475&amp;AS[[#This Row],[Age Band Code]]&amp;"; "&amp;S475&amp;AS[[#This Row],[Sex Code]]</f>
        <v xml:space="preserve">Insurer Code ; Reporting Year ; Insurance Category Code ; Large Provider Entity Code ; Age Band Code ; Sex Code </v>
      </c>
      <c r="N475" s="345" t="s">
        <v>207</v>
      </c>
      <c r="O475" s="345" t="s">
        <v>208</v>
      </c>
      <c r="P475" s="345" t="s">
        <v>209</v>
      </c>
      <c r="Q475" s="345" t="s">
        <v>210</v>
      </c>
      <c r="R475" s="345" t="s">
        <v>223</v>
      </c>
      <c r="S475" s="345" t="s">
        <v>224</v>
      </c>
    </row>
    <row r="476" spans="1:19" x14ac:dyDescent="0.25">
      <c r="A476" s="311"/>
      <c r="B476" s="312"/>
      <c r="C476" s="312"/>
      <c r="D476" s="312"/>
      <c r="E476" s="312"/>
      <c r="F476" s="312"/>
      <c r="G476" s="328"/>
      <c r="H476" s="337"/>
      <c r="I476" s="334"/>
      <c r="J476" s="314"/>
      <c r="K476" s="449"/>
      <c r="M476" s="349" t="str">
        <f>N476&amp;AS[[#This Row],[Insurer Code]]&amp;"; "&amp;O476&amp;AS[[#This Row],[Reporting Year]]&amp;"; "&amp;P476&amp;AS[[#This Row],[Insurance Category Code]]&amp;"; "&amp;Q476&amp;AS[[#This Row],[Large Provider Entity Code]]&amp;"; "&amp;R476&amp;AS[[#This Row],[Age Band Code]]&amp;"; "&amp;S476&amp;AS[[#This Row],[Sex Code]]</f>
        <v xml:space="preserve">Insurer Code ; Reporting Year ; Insurance Category Code ; Large Provider Entity Code ; Age Band Code ; Sex Code </v>
      </c>
      <c r="N476" s="345" t="s">
        <v>207</v>
      </c>
      <c r="O476" s="345" t="s">
        <v>208</v>
      </c>
      <c r="P476" s="345" t="s">
        <v>209</v>
      </c>
      <c r="Q476" s="345" t="s">
        <v>210</v>
      </c>
      <c r="R476" s="345" t="s">
        <v>223</v>
      </c>
      <c r="S476" s="345" t="s">
        <v>224</v>
      </c>
    </row>
    <row r="477" spans="1:19" x14ac:dyDescent="0.25">
      <c r="A477" s="311"/>
      <c r="B477" s="312"/>
      <c r="C477" s="312"/>
      <c r="D477" s="312"/>
      <c r="E477" s="312"/>
      <c r="F477" s="312"/>
      <c r="G477" s="328"/>
      <c r="H477" s="337"/>
      <c r="I477" s="334"/>
      <c r="J477" s="314"/>
      <c r="K477" s="449"/>
      <c r="M477" s="349" t="str">
        <f>N477&amp;AS[[#This Row],[Insurer Code]]&amp;"; "&amp;O477&amp;AS[[#This Row],[Reporting Year]]&amp;"; "&amp;P477&amp;AS[[#This Row],[Insurance Category Code]]&amp;"; "&amp;Q477&amp;AS[[#This Row],[Large Provider Entity Code]]&amp;"; "&amp;R477&amp;AS[[#This Row],[Age Band Code]]&amp;"; "&amp;S477&amp;AS[[#This Row],[Sex Code]]</f>
        <v xml:space="preserve">Insurer Code ; Reporting Year ; Insurance Category Code ; Large Provider Entity Code ; Age Band Code ; Sex Code </v>
      </c>
      <c r="N477" s="345" t="s">
        <v>207</v>
      </c>
      <c r="O477" s="345" t="s">
        <v>208</v>
      </c>
      <c r="P477" s="345" t="s">
        <v>209</v>
      </c>
      <c r="Q477" s="345" t="s">
        <v>210</v>
      </c>
      <c r="R477" s="345" t="s">
        <v>223</v>
      </c>
      <c r="S477" s="345" t="s">
        <v>224</v>
      </c>
    </row>
    <row r="478" spans="1:19" x14ac:dyDescent="0.25">
      <c r="A478" s="311"/>
      <c r="B478" s="312"/>
      <c r="C478" s="312"/>
      <c r="D478" s="312"/>
      <c r="E478" s="312"/>
      <c r="F478" s="312"/>
      <c r="G478" s="328"/>
      <c r="H478" s="337"/>
      <c r="I478" s="334"/>
      <c r="J478" s="314"/>
      <c r="K478" s="449"/>
      <c r="M478" s="349" t="str">
        <f>N478&amp;AS[[#This Row],[Insurer Code]]&amp;"; "&amp;O478&amp;AS[[#This Row],[Reporting Year]]&amp;"; "&amp;P478&amp;AS[[#This Row],[Insurance Category Code]]&amp;"; "&amp;Q478&amp;AS[[#This Row],[Large Provider Entity Code]]&amp;"; "&amp;R478&amp;AS[[#This Row],[Age Band Code]]&amp;"; "&amp;S478&amp;AS[[#This Row],[Sex Code]]</f>
        <v xml:space="preserve">Insurer Code ; Reporting Year ; Insurance Category Code ; Large Provider Entity Code ; Age Band Code ; Sex Code </v>
      </c>
      <c r="N478" s="345" t="s">
        <v>207</v>
      </c>
      <c r="O478" s="345" t="s">
        <v>208</v>
      </c>
      <c r="P478" s="345" t="s">
        <v>209</v>
      </c>
      <c r="Q478" s="345" t="s">
        <v>210</v>
      </c>
      <c r="R478" s="345" t="s">
        <v>223</v>
      </c>
      <c r="S478" s="345" t="s">
        <v>224</v>
      </c>
    </row>
    <row r="479" spans="1:19" x14ac:dyDescent="0.25">
      <c r="A479" s="311"/>
      <c r="B479" s="312"/>
      <c r="C479" s="312"/>
      <c r="D479" s="312"/>
      <c r="E479" s="312"/>
      <c r="F479" s="312"/>
      <c r="G479" s="328"/>
      <c r="H479" s="337"/>
      <c r="I479" s="334"/>
      <c r="J479" s="314"/>
      <c r="K479" s="449"/>
      <c r="M479" s="349" t="str">
        <f>N479&amp;AS[[#This Row],[Insurer Code]]&amp;"; "&amp;O479&amp;AS[[#This Row],[Reporting Year]]&amp;"; "&amp;P479&amp;AS[[#This Row],[Insurance Category Code]]&amp;"; "&amp;Q479&amp;AS[[#This Row],[Large Provider Entity Code]]&amp;"; "&amp;R479&amp;AS[[#This Row],[Age Band Code]]&amp;"; "&amp;S479&amp;AS[[#This Row],[Sex Code]]</f>
        <v xml:space="preserve">Insurer Code ; Reporting Year ; Insurance Category Code ; Large Provider Entity Code ; Age Band Code ; Sex Code </v>
      </c>
      <c r="N479" s="345" t="s">
        <v>207</v>
      </c>
      <c r="O479" s="345" t="s">
        <v>208</v>
      </c>
      <c r="P479" s="345" t="s">
        <v>209</v>
      </c>
      <c r="Q479" s="345" t="s">
        <v>210</v>
      </c>
      <c r="R479" s="345" t="s">
        <v>223</v>
      </c>
      <c r="S479" s="345" t="s">
        <v>224</v>
      </c>
    </row>
    <row r="480" spans="1:19" x14ac:dyDescent="0.25">
      <c r="A480" s="311"/>
      <c r="B480" s="312"/>
      <c r="C480" s="312"/>
      <c r="D480" s="312"/>
      <c r="E480" s="312"/>
      <c r="F480" s="312"/>
      <c r="G480" s="328"/>
      <c r="H480" s="337"/>
      <c r="I480" s="334"/>
      <c r="J480" s="314"/>
      <c r="K480" s="449"/>
      <c r="M480" s="349" t="str">
        <f>N480&amp;AS[[#This Row],[Insurer Code]]&amp;"; "&amp;O480&amp;AS[[#This Row],[Reporting Year]]&amp;"; "&amp;P480&amp;AS[[#This Row],[Insurance Category Code]]&amp;"; "&amp;Q480&amp;AS[[#This Row],[Large Provider Entity Code]]&amp;"; "&amp;R480&amp;AS[[#This Row],[Age Band Code]]&amp;"; "&amp;S480&amp;AS[[#This Row],[Sex Code]]</f>
        <v xml:space="preserve">Insurer Code ; Reporting Year ; Insurance Category Code ; Large Provider Entity Code ; Age Band Code ; Sex Code </v>
      </c>
      <c r="N480" s="345" t="s">
        <v>207</v>
      </c>
      <c r="O480" s="345" t="s">
        <v>208</v>
      </c>
      <c r="P480" s="345" t="s">
        <v>209</v>
      </c>
      <c r="Q480" s="345" t="s">
        <v>210</v>
      </c>
      <c r="R480" s="345" t="s">
        <v>223</v>
      </c>
      <c r="S480" s="345" t="s">
        <v>224</v>
      </c>
    </row>
    <row r="481" spans="1:19" x14ac:dyDescent="0.25">
      <c r="A481" s="311"/>
      <c r="B481" s="312"/>
      <c r="C481" s="312"/>
      <c r="D481" s="312"/>
      <c r="E481" s="312"/>
      <c r="F481" s="312"/>
      <c r="G481" s="328"/>
      <c r="H481" s="337"/>
      <c r="I481" s="334"/>
      <c r="J481" s="314"/>
      <c r="K481" s="449"/>
      <c r="M481" s="349" t="str">
        <f>N481&amp;AS[[#This Row],[Insurer Code]]&amp;"; "&amp;O481&amp;AS[[#This Row],[Reporting Year]]&amp;"; "&amp;P481&amp;AS[[#This Row],[Insurance Category Code]]&amp;"; "&amp;Q481&amp;AS[[#This Row],[Large Provider Entity Code]]&amp;"; "&amp;R481&amp;AS[[#This Row],[Age Band Code]]&amp;"; "&amp;S481&amp;AS[[#This Row],[Sex Code]]</f>
        <v xml:space="preserve">Insurer Code ; Reporting Year ; Insurance Category Code ; Large Provider Entity Code ; Age Band Code ; Sex Code </v>
      </c>
      <c r="N481" s="345" t="s">
        <v>207</v>
      </c>
      <c r="O481" s="345" t="s">
        <v>208</v>
      </c>
      <c r="P481" s="345" t="s">
        <v>209</v>
      </c>
      <c r="Q481" s="345" t="s">
        <v>210</v>
      </c>
      <c r="R481" s="345" t="s">
        <v>223</v>
      </c>
      <c r="S481" s="345" t="s">
        <v>224</v>
      </c>
    </row>
    <row r="482" spans="1:19" x14ac:dyDescent="0.25">
      <c r="A482" s="311"/>
      <c r="B482" s="312"/>
      <c r="C482" s="312"/>
      <c r="D482" s="312"/>
      <c r="E482" s="312"/>
      <c r="F482" s="312"/>
      <c r="G482" s="328"/>
      <c r="H482" s="337"/>
      <c r="I482" s="334"/>
      <c r="J482" s="314"/>
      <c r="K482" s="449"/>
      <c r="M482" s="349" t="str">
        <f>N482&amp;AS[[#This Row],[Insurer Code]]&amp;"; "&amp;O482&amp;AS[[#This Row],[Reporting Year]]&amp;"; "&amp;P482&amp;AS[[#This Row],[Insurance Category Code]]&amp;"; "&amp;Q482&amp;AS[[#This Row],[Large Provider Entity Code]]&amp;"; "&amp;R482&amp;AS[[#This Row],[Age Band Code]]&amp;"; "&amp;S482&amp;AS[[#This Row],[Sex Code]]</f>
        <v xml:space="preserve">Insurer Code ; Reporting Year ; Insurance Category Code ; Large Provider Entity Code ; Age Band Code ; Sex Code </v>
      </c>
      <c r="N482" s="345" t="s">
        <v>207</v>
      </c>
      <c r="O482" s="345" t="s">
        <v>208</v>
      </c>
      <c r="P482" s="345" t="s">
        <v>209</v>
      </c>
      <c r="Q482" s="345" t="s">
        <v>210</v>
      </c>
      <c r="R482" s="345" t="s">
        <v>223</v>
      </c>
      <c r="S482" s="345" t="s">
        <v>224</v>
      </c>
    </row>
    <row r="483" spans="1:19" x14ac:dyDescent="0.25">
      <c r="A483" s="311"/>
      <c r="B483" s="312"/>
      <c r="C483" s="312"/>
      <c r="D483" s="312"/>
      <c r="E483" s="312"/>
      <c r="F483" s="312"/>
      <c r="G483" s="328"/>
      <c r="H483" s="337"/>
      <c r="I483" s="334"/>
      <c r="J483" s="314"/>
      <c r="K483" s="449"/>
      <c r="M483" s="349" t="str">
        <f>N483&amp;AS[[#This Row],[Insurer Code]]&amp;"; "&amp;O483&amp;AS[[#This Row],[Reporting Year]]&amp;"; "&amp;P483&amp;AS[[#This Row],[Insurance Category Code]]&amp;"; "&amp;Q483&amp;AS[[#This Row],[Large Provider Entity Code]]&amp;"; "&amp;R483&amp;AS[[#This Row],[Age Band Code]]&amp;"; "&amp;S483&amp;AS[[#This Row],[Sex Code]]</f>
        <v xml:space="preserve">Insurer Code ; Reporting Year ; Insurance Category Code ; Large Provider Entity Code ; Age Band Code ; Sex Code </v>
      </c>
      <c r="N483" s="345" t="s">
        <v>207</v>
      </c>
      <c r="O483" s="345" t="s">
        <v>208</v>
      </c>
      <c r="P483" s="345" t="s">
        <v>209</v>
      </c>
      <c r="Q483" s="345" t="s">
        <v>210</v>
      </c>
      <c r="R483" s="345" t="s">
        <v>223</v>
      </c>
      <c r="S483" s="345" t="s">
        <v>224</v>
      </c>
    </row>
    <row r="484" spans="1:19" x14ac:dyDescent="0.25">
      <c r="A484" s="311"/>
      <c r="B484" s="312"/>
      <c r="C484" s="312"/>
      <c r="D484" s="312"/>
      <c r="E484" s="312"/>
      <c r="F484" s="312"/>
      <c r="G484" s="328"/>
      <c r="H484" s="337"/>
      <c r="I484" s="334"/>
      <c r="J484" s="314"/>
      <c r="K484" s="449"/>
      <c r="M484" s="349" t="str">
        <f>N484&amp;AS[[#This Row],[Insurer Code]]&amp;"; "&amp;O484&amp;AS[[#This Row],[Reporting Year]]&amp;"; "&amp;P484&amp;AS[[#This Row],[Insurance Category Code]]&amp;"; "&amp;Q484&amp;AS[[#This Row],[Large Provider Entity Code]]&amp;"; "&amp;R484&amp;AS[[#This Row],[Age Band Code]]&amp;"; "&amp;S484&amp;AS[[#This Row],[Sex Code]]</f>
        <v xml:space="preserve">Insurer Code ; Reporting Year ; Insurance Category Code ; Large Provider Entity Code ; Age Band Code ; Sex Code </v>
      </c>
      <c r="N484" s="345" t="s">
        <v>207</v>
      </c>
      <c r="O484" s="345" t="s">
        <v>208</v>
      </c>
      <c r="P484" s="345" t="s">
        <v>209</v>
      </c>
      <c r="Q484" s="345" t="s">
        <v>210</v>
      </c>
      <c r="R484" s="345" t="s">
        <v>223</v>
      </c>
      <c r="S484" s="345" t="s">
        <v>224</v>
      </c>
    </row>
    <row r="485" spans="1:19" x14ac:dyDescent="0.25">
      <c r="A485" s="311"/>
      <c r="B485" s="312"/>
      <c r="C485" s="312"/>
      <c r="D485" s="312"/>
      <c r="E485" s="312"/>
      <c r="F485" s="312"/>
      <c r="G485" s="328"/>
      <c r="H485" s="337"/>
      <c r="I485" s="334"/>
      <c r="J485" s="314"/>
      <c r="K485" s="449"/>
      <c r="M485" s="349" t="str">
        <f>N485&amp;AS[[#This Row],[Insurer Code]]&amp;"; "&amp;O485&amp;AS[[#This Row],[Reporting Year]]&amp;"; "&amp;P485&amp;AS[[#This Row],[Insurance Category Code]]&amp;"; "&amp;Q485&amp;AS[[#This Row],[Large Provider Entity Code]]&amp;"; "&amp;R485&amp;AS[[#This Row],[Age Band Code]]&amp;"; "&amp;S485&amp;AS[[#This Row],[Sex Code]]</f>
        <v xml:space="preserve">Insurer Code ; Reporting Year ; Insurance Category Code ; Large Provider Entity Code ; Age Band Code ; Sex Code </v>
      </c>
      <c r="N485" s="345" t="s">
        <v>207</v>
      </c>
      <c r="O485" s="345" t="s">
        <v>208</v>
      </c>
      <c r="P485" s="345" t="s">
        <v>209</v>
      </c>
      <c r="Q485" s="345" t="s">
        <v>210</v>
      </c>
      <c r="R485" s="345" t="s">
        <v>223</v>
      </c>
      <c r="S485" s="345" t="s">
        <v>224</v>
      </c>
    </row>
    <row r="486" spans="1:19" x14ac:dyDescent="0.25">
      <c r="A486" s="311"/>
      <c r="B486" s="312"/>
      <c r="C486" s="312"/>
      <c r="D486" s="312"/>
      <c r="E486" s="312"/>
      <c r="F486" s="312"/>
      <c r="G486" s="328"/>
      <c r="H486" s="337"/>
      <c r="I486" s="334"/>
      <c r="J486" s="314"/>
      <c r="K486" s="449"/>
      <c r="M486" s="349" t="str">
        <f>N486&amp;AS[[#This Row],[Insurer Code]]&amp;"; "&amp;O486&amp;AS[[#This Row],[Reporting Year]]&amp;"; "&amp;P486&amp;AS[[#This Row],[Insurance Category Code]]&amp;"; "&amp;Q486&amp;AS[[#This Row],[Large Provider Entity Code]]&amp;"; "&amp;R486&amp;AS[[#This Row],[Age Band Code]]&amp;"; "&amp;S486&amp;AS[[#This Row],[Sex Code]]</f>
        <v xml:space="preserve">Insurer Code ; Reporting Year ; Insurance Category Code ; Large Provider Entity Code ; Age Band Code ; Sex Code </v>
      </c>
      <c r="N486" s="345" t="s">
        <v>207</v>
      </c>
      <c r="O486" s="345" t="s">
        <v>208</v>
      </c>
      <c r="P486" s="345" t="s">
        <v>209</v>
      </c>
      <c r="Q486" s="345" t="s">
        <v>210</v>
      </c>
      <c r="R486" s="345" t="s">
        <v>223</v>
      </c>
      <c r="S486" s="345" t="s">
        <v>224</v>
      </c>
    </row>
    <row r="487" spans="1:19" x14ac:dyDescent="0.25">
      <c r="A487" s="311"/>
      <c r="B487" s="312"/>
      <c r="C487" s="312"/>
      <c r="D487" s="312"/>
      <c r="E487" s="312"/>
      <c r="F487" s="312"/>
      <c r="G487" s="328"/>
      <c r="H487" s="337"/>
      <c r="I487" s="334"/>
      <c r="J487" s="314"/>
      <c r="K487" s="449"/>
      <c r="M487" s="349" t="str">
        <f>N487&amp;AS[[#This Row],[Insurer Code]]&amp;"; "&amp;O487&amp;AS[[#This Row],[Reporting Year]]&amp;"; "&amp;P487&amp;AS[[#This Row],[Insurance Category Code]]&amp;"; "&amp;Q487&amp;AS[[#This Row],[Large Provider Entity Code]]&amp;"; "&amp;R487&amp;AS[[#This Row],[Age Band Code]]&amp;"; "&amp;S487&amp;AS[[#This Row],[Sex Code]]</f>
        <v xml:space="preserve">Insurer Code ; Reporting Year ; Insurance Category Code ; Large Provider Entity Code ; Age Band Code ; Sex Code </v>
      </c>
      <c r="N487" s="345" t="s">
        <v>207</v>
      </c>
      <c r="O487" s="345" t="s">
        <v>208</v>
      </c>
      <c r="P487" s="345" t="s">
        <v>209</v>
      </c>
      <c r="Q487" s="345" t="s">
        <v>210</v>
      </c>
      <c r="R487" s="345" t="s">
        <v>223</v>
      </c>
      <c r="S487" s="345" t="s">
        <v>224</v>
      </c>
    </row>
    <row r="488" spans="1:19" x14ac:dyDescent="0.25">
      <c r="A488" s="311"/>
      <c r="B488" s="312"/>
      <c r="C488" s="312"/>
      <c r="D488" s="312"/>
      <c r="E488" s="312"/>
      <c r="F488" s="312"/>
      <c r="G488" s="328"/>
      <c r="H488" s="337"/>
      <c r="I488" s="334"/>
      <c r="J488" s="314"/>
      <c r="K488" s="449"/>
      <c r="M488" s="349" t="str">
        <f>N488&amp;AS[[#This Row],[Insurer Code]]&amp;"; "&amp;O488&amp;AS[[#This Row],[Reporting Year]]&amp;"; "&amp;P488&amp;AS[[#This Row],[Insurance Category Code]]&amp;"; "&amp;Q488&amp;AS[[#This Row],[Large Provider Entity Code]]&amp;"; "&amp;R488&amp;AS[[#This Row],[Age Band Code]]&amp;"; "&amp;S488&amp;AS[[#This Row],[Sex Code]]</f>
        <v xml:space="preserve">Insurer Code ; Reporting Year ; Insurance Category Code ; Large Provider Entity Code ; Age Band Code ; Sex Code </v>
      </c>
      <c r="N488" s="345" t="s">
        <v>207</v>
      </c>
      <c r="O488" s="345" t="s">
        <v>208</v>
      </c>
      <c r="P488" s="345" t="s">
        <v>209</v>
      </c>
      <c r="Q488" s="345" t="s">
        <v>210</v>
      </c>
      <c r="R488" s="345" t="s">
        <v>223</v>
      </c>
      <c r="S488" s="345" t="s">
        <v>224</v>
      </c>
    </row>
    <row r="489" spans="1:19" x14ac:dyDescent="0.25">
      <c r="A489" s="311"/>
      <c r="B489" s="312"/>
      <c r="C489" s="312"/>
      <c r="D489" s="312"/>
      <c r="E489" s="312"/>
      <c r="F489" s="312"/>
      <c r="G489" s="328"/>
      <c r="H489" s="337"/>
      <c r="I489" s="334"/>
      <c r="J489" s="314"/>
      <c r="K489" s="449"/>
      <c r="M489" s="349" t="str">
        <f>N489&amp;AS[[#This Row],[Insurer Code]]&amp;"; "&amp;O489&amp;AS[[#This Row],[Reporting Year]]&amp;"; "&amp;P489&amp;AS[[#This Row],[Insurance Category Code]]&amp;"; "&amp;Q489&amp;AS[[#This Row],[Large Provider Entity Code]]&amp;"; "&amp;R489&amp;AS[[#This Row],[Age Band Code]]&amp;"; "&amp;S489&amp;AS[[#This Row],[Sex Code]]</f>
        <v xml:space="preserve">Insurer Code ; Reporting Year ; Insurance Category Code ; Large Provider Entity Code ; Age Band Code ; Sex Code </v>
      </c>
      <c r="N489" s="345" t="s">
        <v>207</v>
      </c>
      <c r="O489" s="345" t="s">
        <v>208</v>
      </c>
      <c r="P489" s="345" t="s">
        <v>209</v>
      </c>
      <c r="Q489" s="345" t="s">
        <v>210</v>
      </c>
      <c r="R489" s="345" t="s">
        <v>223</v>
      </c>
      <c r="S489" s="345" t="s">
        <v>224</v>
      </c>
    </row>
    <row r="490" spans="1:19" x14ac:dyDescent="0.25">
      <c r="A490" s="311"/>
      <c r="B490" s="312"/>
      <c r="C490" s="312"/>
      <c r="D490" s="312"/>
      <c r="E490" s="312"/>
      <c r="F490" s="312"/>
      <c r="G490" s="328"/>
      <c r="H490" s="337"/>
      <c r="I490" s="334"/>
      <c r="J490" s="314"/>
      <c r="K490" s="449"/>
      <c r="M490" s="349" t="str">
        <f>N490&amp;AS[[#This Row],[Insurer Code]]&amp;"; "&amp;O490&amp;AS[[#This Row],[Reporting Year]]&amp;"; "&amp;P490&amp;AS[[#This Row],[Insurance Category Code]]&amp;"; "&amp;Q490&amp;AS[[#This Row],[Large Provider Entity Code]]&amp;"; "&amp;R490&amp;AS[[#This Row],[Age Band Code]]&amp;"; "&amp;S490&amp;AS[[#This Row],[Sex Code]]</f>
        <v xml:space="preserve">Insurer Code ; Reporting Year ; Insurance Category Code ; Large Provider Entity Code ; Age Band Code ; Sex Code </v>
      </c>
      <c r="N490" s="345" t="s">
        <v>207</v>
      </c>
      <c r="O490" s="345" t="s">
        <v>208</v>
      </c>
      <c r="P490" s="345" t="s">
        <v>209</v>
      </c>
      <c r="Q490" s="345" t="s">
        <v>210</v>
      </c>
      <c r="R490" s="345" t="s">
        <v>223</v>
      </c>
      <c r="S490" s="345" t="s">
        <v>224</v>
      </c>
    </row>
    <row r="491" spans="1:19" x14ac:dyDescent="0.25">
      <c r="A491" s="311"/>
      <c r="B491" s="312"/>
      <c r="C491" s="312"/>
      <c r="D491" s="312"/>
      <c r="E491" s="312"/>
      <c r="F491" s="312"/>
      <c r="G491" s="328"/>
      <c r="H491" s="337"/>
      <c r="I491" s="334"/>
      <c r="J491" s="314"/>
      <c r="K491" s="449"/>
      <c r="M491" s="349" t="str">
        <f>N491&amp;AS[[#This Row],[Insurer Code]]&amp;"; "&amp;O491&amp;AS[[#This Row],[Reporting Year]]&amp;"; "&amp;P491&amp;AS[[#This Row],[Insurance Category Code]]&amp;"; "&amp;Q491&amp;AS[[#This Row],[Large Provider Entity Code]]&amp;"; "&amp;R491&amp;AS[[#This Row],[Age Band Code]]&amp;"; "&amp;S491&amp;AS[[#This Row],[Sex Code]]</f>
        <v xml:space="preserve">Insurer Code ; Reporting Year ; Insurance Category Code ; Large Provider Entity Code ; Age Band Code ; Sex Code </v>
      </c>
      <c r="N491" s="345" t="s">
        <v>207</v>
      </c>
      <c r="O491" s="345" t="s">
        <v>208</v>
      </c>
      <c r="P491" s="345" t="s">
        <v>209</v>
      </c>
      <c r="Q491" s="345" t="s">
        <v>210</v>
      </c>
      <c r="R491" s="345" t="s">
        <v>223</v>
      </c>
      <c r="S491" s="345" t="s">
        <v>224</v>
      </c>
    </row>
    <row r="492" spans="1:19" x14ac:dyDescent="0.25">
      <c r="A492" s="311"/>
      <c r="B492" s="312"/>
      <c r="C492" s="312"/>
      <c r="D492" s="312"/>
      <c r="E492" s="312"/>
      <c r="F492" s="312"/>
      <c r="G492" s="328"/>
      <c r="H492" s="337"/>
      <c r="I492" s="334"/>
      <c r="J492" s="314"/>
      <c r="K492" s="449"/>
      <c r="M492" s="349" t="str">
        <f>N492&amp;AS[[#This Row],[Insurer Code]]&amp;"; "&amp;O492&amp;AS[[#This Row],[Reporting Year]]&amp;"; "&amp;P492&amp;AS[[#This Row],[Insurance Category Code]]&amp;"; "&amp;Q492&amp;AS[[#This Row],[Large Provider Entity Code]]&amp;"; "&amp;R492&amp;AS[[#This Row],[Age Band Code]]&amp;"; "&amp;S492&amp;AS[[#This Row],[Sex Code]]</f>
        <v xml:space="preserve">Insurer Code ; Reporting Year ; Insurance Category Code ; Large Provider Entity Code ; Age Band Code ; Sex Code </v>
      </c>
      <c r="N492" s="345" t="s">
        <v>207</v>
      </c>
      <c r="O492" s="345" t="s">
        <v>208</v>
      </c>
      <c r="P492" s="345" t="s">
        <v>209</v>
      </c>
      <c r="Q492" s="345" t="s">
        <v>210</v>
      </c>
      <c r="R492" s="345" t="s">
        <v>223</v>
      </c>
      <c r="S492" s="345" t="s">
        <v>224</v>
      </c>
    </row>
    <row r="493" spans="1:19" x14ac:dyDescent="0.25">
      <c r="A493" s="311"/>
      <c r="B493" s="312"/>
      <c r="C493" s="312"/>
      <c r="D493" s="312"/>
      <c r="E493" s="312"/>
      <c r="F493" s="312"/>
      <c r="G493" s="328"/>
      <c r="H493" s="337"/>
      <c r="I493" s="334"/>
      <c r="J493" s="314"/>
      <c r="K493" s="449"/>
      <c r="M493" s="349" t="str">
        <f>N493&amp;AS[[#This Row],[Insurer Code]]&amp;"; "&amp;O493&amp;AS[[#This Row],[Reporting Year]]&amp;"; "&amp;P493&amp;AS[[#This Row],[Insurance Category Code]]&amp;"; "&amp;Q493&amp;AS[[#This Row],[Large Provider Entity Code]]&amp;"; "&amp;R493&amp;AS[[#This Row],[Age Band Code]]&amp;"; "&amp;S493&amp;AS[[#This Row],[Sex Code]]</f>
        <v xml:space="preserve">Insurer Code ; Reporting Year ; Insurance Category Code ; Large Provider Entity Code ; Age Band Code ; Sex Code </v>
      </c>
      <c r="N493" s="345" t="s">
        <v>207</v>
      </c>
      <c r="O493" s="345" t="s">
        <v>208</v>
      </c>
      <c r="P493" s="345" t="s">
        <v>209</v>
      </c>
      <c r="Q493" s="345" t="s">
        <v>210</v>
      </c>
      <c r="R493" s="345" t="s">
        <v>223</v>
      </c>
      <c r="S493" s="345" t="s">
        <v>224</v>
      </c>
    </row>
    <row r="494" spans="1:19" x14ac:dyDescent="0.25">
      <c r="A494" s="311"/>
      <c r="B494" s="312"/>
      <c r="C494" s="312"/>
      <c r="D494" s="312"/>
      <c r="E494" s="312"/>
      <c r="F494" s="312"/>
      <c r="G494" s="328"/>
      <c r="H494" s="337"/>
      <c r="I494" s="334"/>
      <c r="J494" s="314"/>
      <c r="K494" s="449"/>
      <c r="M494" s="349" t="str">
        <f>N494&amp;AS[[#This Row],[Insurer Code]]&amp;"; "&amp;O494&amp;AS[[#This Row],[Reporting Year]]&amp;"; "&amp;P494&amp;AS[[#This Row],[Insurance Category Code]]&amp;"; "&amp;Q494&amp;AS[[#This Row],[Large Provider Entity Code]]&amp;"; "&amp;R494&amp;AS[[#This Row],[Age Band Code]]&amp;"; "&amp;S494&amp;AS[[#This Row],[Sex Code]]</f>
        <v xml:space="preserve">Insurer Code ; Reporting Year ; Insurance Category Code ; Large Provider Entity Code ; Age Band Code ; Sex Code </v>
      </c>
      <c r="N494" s="345" t="s">
        <v>207</v>
      </c>
      <c r="O494" s="345" t="s">
        <v>208</v>
      </c>
      <c r="P494" s="345" t="s">
        <v>209</v>
      </c>
      <c r="Q494" s="345" t="s">
        <v>210</v>
      </c>
      <c r="R494" s="345" t="s">
        <v>223</v>
      </c>
      <c r="S494" s="345" t="s">
        <v>224</v>
      </c>
    </row>
    <row r="495" spans="1:19" x14ac:dyDescent="0.25">
      <c r="A495" s="311"/>
      <c r="B495" s="312"/>
      <c r="C495" s="312"/>
      <c r="D495" s="312"/>
      <c r="E495" s="312"/>
      <c r="F495" s="312"/>
      <c r="G495" s="328"/>
      <c r="H495" s="337"/>
      <c r="I495" s="334"/>
      <c r="J495" s="314"/>
      <c r="K495" s="449"/>
      <c r="M495" s="349" t="str">
        <f>N495&amp;AS[[#This Row],[Insurer Code]]&amp;"; "&amp;O495&amp;AS[[#This Row],[Reporting Year]]&amp;"; "&amp;P495&amp;AS[[#This Row],[Insurance Category Code]]&amp;"; "&amp;Q495&amp;AS[[#This Row],[Large Provider Entity Code]]&amp;"; "&amp;R495&amp;AS[[#This Row],[Age Band Code]]&amp;"; "&amp;S495&amp;AS[[#This Row],[Sex Code]]</f>
        <v xml:space="preserve">Insurer Code ; Reporting Year ; Insurance Category Code ; Large Provider Entity Code ; Age Band Code ; Sex Code </v>
      </c>
      <c r="N495" s="345" t="s">
        <v>207</v>
      </c>
      <c r="O495" s="345" t="s">
        <v>208</v>
      </c>
      <c r="P495" s="345" t="s">
        <v>209</v>
      </c>
      <c r="Q495" s="345" t="s">
        <v>210</v>
      </c>
      <c r="R495" s="345" t="s">
        <v>223</v>
      </c>
      <c r="S495" s="345" t="s">
        <v>224</v>
      </c>
    </row>
    <row r="496" spans="1:19" x14ac:dyDescent="0.25">
      <c r="A496" s="311"/>
      <c r="B496" s="312"/>
      <c r="C496" s="312"/>
      <c r="D496" s="312"/>
      <c r="E496" s="312"/>
      <c r="F496" s="312"/>
      <c r="G496" s="328"/>
      <c r="H496" s="337"/>
      <c r="I496" s="334"/>
      <c r="J496" s="314"/>
      <c r="K496" s="449"/>
      <c r="M496" s="349" t="str">
        <f>N496&amp;AS[[#This Row],[Insurer Code]]&amp;"; "&amp;O496&amp;AS[[#This Row],[Reporting Year]]&amp;"; "&amp;P496&amp;AS[[#This Row],[Insurance Category Code]]&amp;"; "&amp;Q496&amp;AS[[#This Row],[Large Provider Entity Code]]&amp;"; "&amp;R496&amp;AS[[#This Row],[Age Band Code]]&amp;"; "&amp;S496&amp;AS[[#This Row],[Sex Code]]</f>
        <v xml:space="preserve">Insurer Code ; Reporting Year ; Insurance Category Code ; Large Provider Entity Code ; Age Band Code ; Sex Code </v>
      </c>
      <c r="N496" s="345" t="s">
        <v>207</v>
      </c>
      <c r="O496" s="345" t="s">
        <v>208</v>
      </c>
      <c r="P496" s="345" t="s">
        <v>209</v>
      </c>
      <c r="Q496" s="345" t="s">
        <v>210</v>
      </c>
      <c r="R496" s="345" t="s">
        <v>223</v>
      </c>
      <c r="S496" s="345" t="s">
        <v>224</v>
      </c>
    </row>
    <row r="497" spans="1:19" x14ac:dyDescent="0.25">
      <c r="A497" s="311"/>
      <c r="B497" s="312"/>
      <c r="C497" s="312"/>
      <c r="D497" s="312"/>
      <c r="E497" s="312"/>
      <c r="F497" s="312"/>
      <c r="G497" s="328"/>
      <c r="H497" s="337"/>
      <c r="I497" s="334"/>
      <c r="J497" s="314"/>
      <c r="K497" s="449"/>
      <c r="M497" s="349" t="str">
        <f>N497&amp;AS[[#This Row],[Insurer Code]]&amp;"; "&amp;O497&amp;AS[[#This Row],[Reporting Year]]&amp;"; "&amp;P497&amp;AS[[#This Row],[Insurance Category Code]]&amp;"; "&amp;Q497&amp;AS[[#This Row],[Large Provider Entity Code]]&amp;"; "&amp;R497&amp;AS[[#This Row],[Age Band Code]]&amp;"; "&amp;S497&amp;AS[[#This Row],[Sex Code]]</f>
        <v xml:space="preserve">Insurer Code ; Reporting Year ; Insurance Category Code ; Large Provider Entity Code ; Age Band Code ; Sex Code </v>
      </c>
      <c r="N497" s="345" t="s">
        <v>207</v>
      </c>
      <c r="O497" s="345" t="s">
        <v>208</v>
      </c>
      <c r="P497" s="345" t="s">
        <v>209</v>
      </c>
      <c r="Q497" s="345" t="s">
        <v>210</v>
      </c>
      <c r="R497" s="345" t="s">
        <v>223</v>
      </c>
      <c r="S497" s="345" t="s">
        <v>224</v>
      </c>
    </row>
    <row r="498" spans="1:19" x14ac:dyDescent="0.25">
      <c r="A498" s="311"/>
      <c r="B498" s="312"/>
      <c r="C498" s="312"/>
      <c r="D498" s="312"/>
      <c r="E498" s="312"/>
      <c r="F498" s="312"/>
      <c r="G498" s="328"/>
      <c r="H498" s="337"/>
      <c r="I498" s="334"/>
      <c r="J498" s="314"/>
      <c r="K498" s="449"/>
      <c r="M498" s="349" t="str">
        <f>N498&amp;AS[[#This Row],[Insurer Code]]&amp;"; "&amp;O498&amp;AS[[#This Row],[Reporting Year]]&amp;"; "&amp;P498&amp;AS[[#This Row],[Insurance Category Code]]&amp;"; "&amp;Q498&amp;AS[[#This Row],[Large Provider Entity Code]]&amp;"; "&amp;R498&amp;AS[[#This Row],[Age Band Code]]&amp;"; "&amp;S498&amp;AS[[#This Row],[Sex Code]]</f>
        <v xml:space="preserve">Insurer Code ; Reporting Year ; Insurance Category Code ; Large Provider Entity Code ; Age Band Code ; Sex Code </v>
      </c>
      <c r="N498" s="345" t="s">
        <v>207</v>
      </c>
      <c r="O498" s="345" t="s">
        <v>208</v>
      </c>
      <c r="P498" s="345" t="s">
        <v>209</v>
      </c>
      <c r="Q498" s="345" t="s">
        <v>210</v>
      </c>
      <c r="R498" s="345" t="s">
        <v>223</v>
      </c>
      <c r="S498" s="345" t="s">
        <v>224</v>
      </c>
    </row>
    <row r="499" spans="1:19" x14ac:dyDescent="0.25">
      <c r="A499" s="311"/>
      <c r="B499" s="312"/>
      <c r="C499" s="312"/>
      <c r="D499" s="312"/>
      <c r="E499" s="312"/>
      <c r="F499" s="312"/>
      <c r="G499" s="328"/>
      <c r="H499" s="337"/>
      <c r="I499" s="334"/>
      <c r="J499" s="314"/>
      <c r="K499" s="449"/>
      <c r="M499" s="349" t="str">
        <f>N499&amp;AS[[#This Row],[Insurer Code]]&amp;"; "&amp;O499&amp;AS[[#This Row],[Reporting Year]]&amp;"; "&amp;P499&amp;AS[[#This Row],[Insurance Category Code]]&amp;"; "&amp;Q499&amp;AS[[#This Row],[Large Provider Entity Code]]&amp;"; "&amp;R499&amp;AS[[#This Row],[Age Band Code]]&amp;"; "&amp;S499&amp;AS[[#This Row],[Sex Code]]</f>
        <v xml:space="preserve">Insurer Code ; Reporting Year ; Insurance Category Code ; Large Provider Entity Code ; Age Band Code ; Sex Code </v>
      </c>
      <c r="N499" s="345" t="s">
        <v>207</v>
      </c>
      <c r="O499" s="345" t="s">
        <v>208</v>
      </c>
      <c r="P499" s="345" t="s">
        <v>209</v>
      </c>
      <c r="Q499" s="345" t="s">
        <v>210</v>
      </c>
      <c r="R499" s="345" t="s">
        <v>223</v>
      </c>
      <c r="S499" s="345" t="s">
        <v>224</v>
      </c>
    </row>
    <row r="500" spans="1:19" x14ac:dyDescent="0.25">
      <c r="A500" s="311"/>
      <c r="B500" s="312"/>
      <c r="C500" s="312"/>
      <c r="D500" s="312"/>
      <c r="E500" s="312"/>
      <c r="F500" s="312"/>
      <c r="G500" s="328"/>
      <c r="H500" s="337"/>
      <c r="I500" s="334"/>
      <c r="J500" s="314"/>
      <c r="K500" s="449"/>
      <c r="M500" s="349" t="str">
        <f>N500&amp;AS[[#This Row],[Insurer Code]]&amp;"; "&amp;O500&amp;AS[[#This Row],[Reporting Year]]&amp;"; "&amp;P500&amp;AS[[#This Row],[Insurance Category Code]]&amp;"; "&amp;Q500&amp;AS[[#This Row],[Large Provider Entity Code]]&amp;"; "&amp;R500&amp;AS[[#This Row],[Age Band Code]]&amp;"; "&amp;S500&amp;AS[[#This Row],[Sex Code]]</f>
        <v xml:space="preserve">Insurer Code ; Reporting Year ; Insurance Category Code ; Large Provider Entity Code ; Age Band Code ; Sex Code </v>
      </c>
      <c r="N500" s="345" t="s">
        <v>207</v>
      </c>
      <c r="O500" s="345" t="s">
        <v>208</v>
      </c>
      <c r="P500" s="345" t="s">
        <v>209</v>
      </c>
      <c r="Q500" s="345" t="s">
        <v>210</v>
      </c>
      <c r="R500" s="345" t="s">
        <v>223</v>
      </c>
      <c r="S500" s="345" t="s">
        <v>224</v>
      </c>
    </row>
    <row r="501" spans="1:19" x14ac:dyDescent="0.25">
      <c r="A501" s="311"/>
      <c r="B501" s="312"/>
      <c r="C501" s="312"/>
      <c r="D501" s="312"/>
      <c r="E501" s="312"/>
      <c r="F501" s="312"/>
      <c r="G501" s="328"/>
      <c r="H501" s="337"/>
      <c r="I501" s="334"/>
      <c r="J501" s="314"/>
      <c r="K501" s="449"/>
      <c r="M501" s="349" t="str">
        <f>N501&amp;AS[[#This Row],[Insurer Code]]&amp;"; "&amp;O501&amp;AS[[#This Row],[Reporting Year]]&amp;"; "&amp;P501&amp;AS[[#This Row],[Insurance Category Code]]&amp;"; "&amp;Q501&amp;AS[[#This Row],[Large Provider Entity Code]]&amp;"; "&amp;R501&amp;AS[[#This Row],[Age Band Code]]&amp;"; "&amp;S501&amp;AS[[#This Row],[Sex Code]]</f>
        <v xml:space="preserve">Insurer Code ; Reporting Year ; Insurance Category Code ; Large Provider Entity Code ; Age Band Code ; Sex Code </v>
      </c>
      <c r="N501" s="345" t="s">
        <v>207</v>
      </c>
      <c r="O501" s="345" t="s">
        <v>208</v>
      </c>
      <c r="P501" s="345" t="s">
        <v>209</v>
      </c>
      <c r="Q501" s="345" t="s">
        <v>210</v>
      </c>
      <c r="R501" s="345" t="s">
        <v>223</v>
      </c>
      <c r="S501" s="345" t="s">
        <v>224</v>
      </c>
    </row>
    <row r="502" spans="1:19" x14ac:dyDescent="0.25">
      <c r="A502" s="311"/>
      <c r="B502" s="312"/>
      <c r="C502" s="312"/>
      <c r="D502" s="312"/>
      <c r="E502" s="312"/>
      <c r="F502" s="312"/>
      <c r="G502" s="328"/>
      <c r="H502" s="337"/>
      <c r="I502" s="334"/>
      <c r="J502" s="314"/>
      <c r="K502" s="449"/>
      <c r="M502" s="349" t="str">
        <f>N502&amp;AS[[#This Row],[Insurer Code]]&amp;"; "&amp;O502&amp;AS[[#This Row],[Reporting Year]]&amp;"; "&amp;P502&amp;AS[[#This Row],[Insurance Category Code]]&amp;"; "&amp;Q502&amp;AS[[#This Row],[Large Provider Entity Code]]&amp;"; "&amp;R502&amp;AS[[#This Row],[Age Band Code]]&amp;"; "&amp;S502&amp;AS[[#This Row],[Sex Code]]</f>
        <v xml:space="preserve">Insurer Code ; Reporting Year ; Insurance Category Code ; Large Provider Entity Code ; Age Band Code ; Sex Code </v>
      </c>
      <c r="N502" s="345" t="s">
        <v>207</v>
      </c>
      <c r="O502" s="345" t="s">
        <v>208</v>
      </c>
      <c r="P502" s="345" t="s">
        <v>209</v>
      </c>
      <c r="Q502" s="345" t="s">
        <v>210</v>
      </c>
      <c r="R502" s="345" t="s">
        <v>223</v>
      </c>
      <c r="S502" s="345" t="s">
        <v>224</v>
      </c>
    </row>
    <row r="503" spans="1:19" x14ac:dyDescent="0.25">
      <c r="A503" s="311"/>
      <c r="B503" s="312"/>
      <c r="C503" s="312"/>
      <c r="D503" s="312"/>
      <c r="E503" s="312"/>
      <c r="F503" s="312"/>
      <c r="G503" s="328"/>
      <c r="H503" s="337"/>
      <c r="I503" s="334"/>
      <c r="J503" s="314"/>
      <c r="K503" s="449"/>
      <c r="M503" s="349" t="str">
        <f>N503&amp;AS[[#This Row],[Insurer Code]]&amp;"; "&amp;O503&amp;AS[[#This Row],[Reporting Year]]&amp;"; "&amp;P503&amp;AS[[#This Row],[Insurance Category Code]]&amp;"; "&amp;Q503&amp;AS[[#This Row],[Large Provider Entity Code]]&amp;"; "&amp;R503&amp;AS[[#This Row],[Age Band Code]]&amp;"; "&amp;S503&amp;AS[[#This Row],[Sex Code]]</f>
        <v xml:space="preserve">Insurer Code ; Reporting Year ; Insurance Category Code ; Large Provider Entity Code ; Age Band Code ; Sex Code </v>
      </c>
      <c r="N503" s="345" t="s">
        <v>207</v>
      </c>
      <c r="O503" s="345" t="s">
        <v>208</v>
      </c>
      <c r="P503" s="345" t="s">
        <v>209</v>
      </c>
      <c r="Q503" s="345" t="s">
        <v>210</v>
      </c>
      <c r="R503" s="345" t="s">
        <v>223</v>
      </c>
      <c r="S503" s="345" t="s">
        <v>224</v>
      </c>
    </row>
    <row r="504" spans="1:19" x14ac:dyDescent="0.25">
      <c r="A504" s="311"/>
      <c r="B504" s="312"/>
      <c r="C504" s="312"/>
      <c r="D504" s="312"/>
      <c r="E504" s="312"/>
      <c r="F504" s="312"/>
      <c r="G504" s="328"/>
      <c r="H504" s="337"/>
      <c r="I504" s="334"/>
      <c r="J504" s="314"/>
      <c r="K504" s="449"/>
      <c r="M504" s="349" t="str">
        <f>N504&amp;AS[[#This Row],[Insurer Code]]&amp;"; "&amp;O504&amp;AS[[#This Row],[Reporting Year]]&amp;"; "&amp;P504&amp;AS[[#This Row],[Insurance Category Code]]&amp;"; "&amp;Q504&amp;AS[[#This Row],[Large Provider Entity Code]]&amp;"; "&amp;R504&amp;AS[[#This Row],[Age Band Code]]&amp;"; "&amp;S504&amp;AS[[#This Row],[Sex Code]]</f>
        <v xml:space="preserve">Insurer Code ; Reporting Year ; Insurance Category Code ; Large Provider Entity Code ; Age Band Code ; Sex Code </v>
      </c>
      <c r="N504" s="345" t="s">
        <v>207</v>
      </c>
      <c r="O504" s="345" t="s">
        <v>208</v>
      </c>
      <c r="P504" s="345" t="s">
        <v>209</v>
      </c>
      <c r="Q504" s="345" t="s">
        <v>210</v>
      </c>
      <c r="R504" s="345" t="s">
        <v>223</v>
      </c>
      <c r="S504" s="345" t="s">
        <v>224</v>
      </c>
    </row>
    <row r="505" spans="1:19" x14ac:dyDescent="0.25">
      <c r="A505" s="311"/>
      <c r="B505" s="312"/>
      <c r="C505" s="312"/>
      <c r="D505" s="312"/>
      <c r="E505" s="312"/>
      <c r="F505" s="312"/>
      <c r="G505" s="328"/>
      <c r="H505" s="337"/>
      <c r="I505" s="334"/>
      <c r="J505" s="314"/>
      <c r="K505" s="449"/>
      <c r="M505" s="349" t="str">
        <f>N505&amp;AS[[#This Row],[Insurer Code]]&amp;"; "&amp;O505&amp;AS[[#This Row],[Reporting Year]]&amp;"; "&amp;P505&amp;AS[[#This Row],[Insurance Category Code]]&amp;"; "&amp;Q505&amp;AS[[#This Row],[Large Provider Entity Code]]&amp;"; "&amp;R505&amp;AS[[#This Row],[Age Band Code]]&amp;"; "&amp;S505&amp;AS[[#This Row],[Sex Code]]</f>
        <v xml:space="preserve">Insurer Code ; Reporting Year ; Insurance Category Code ; Large Provider Entity Code ; Age Band Code ; Sex Code </v>
      </c>
      <c r="N505" s="345" t="s">
        <v>207</v>
      </c>
      <c r="O505" s="345" t="s">
        <v>208</v>
      </c>
      <c r="P505" s="345" t="s">
        <v>209</v>
      </c>
      <c r="Q505" s="345" t="s">
        <v>210</v>
      </c>
      <c r="R505" s="345" t="s">
        <v>223</v>
      </c>
      <c r="S505" s="345" t="s">
        <v>224</v>
      </c>
    </row>
    <row r="506" spans="1:19" x14ac:dyDescent="0.25">
      <c r="A506" s="311"/>
      <c r="B506" s="312"/>
      <c r="C506" s="312"/>
      <c r="D506" s="312"/>
      <c r="E506" s="312"/>
      <c r="F506" s="312"/>
      <c r="G506" s="328"/>
      <c r="H506" s="337"/>
      <c r="I506" s="334"/>
      <c r="J506" s="314"/>
      <c r="K506" s="449"/>
      <c r="M506" s="349" t="str">
        <f>N506&amp;AS[[#This Row],[Insurer Code]]&amp;"; "&amp;O506&amp;AS[[#This Row],[Reporting Year]]&amp;"; "&amp;P506&amp;AS[[#This Row],[Insurance Category Code]]&amp;"; "&amp;Q506&amp;AS[[#This Row],[Large Provider Entity Code]]&amp;"; "&amp;R506&amp;AS[[#This Row],[Age Band Code]]&amp;"; "&amp;S506&amp;AS[[#This Row],[Sex Code]]</f>
        <v xml:space="preserve">Insurer Code ; Reporting Year ; Insurance Category Code ; Large Provider Entity Code ; Age Band Code ; Sex Code </v>
      </c>
      <c r="N506" s="345" t="s">
        <v>207</v>
      </c>
      <c r="O506" s="345" t="s">
        <v>208</v>
      </c>
      <c r="P506" s="345" t="s">
        <v>209</v>
      </c>
      <c r="Q506" s="345" t="s">
        <v>210</v>
      </c>
      <c r="R506" s="345" t="s">
        <v>223</v>
      </c>
      <c r="S506" s="345" t="s">
        <v>224</v>
      </c>
    </row>
    <row r="507" spans="1:19" x14ac:dyDescent="0.25">
      <c r="A507" s="311"/>
      <c r="B507" s="312"/>
      <c r="C507" s="312"/>
      <c r="D507" s="312"/>
      <c r="E507" s="312"/>
      <c r="F507" s="312"/>
      <c r="G507" s="328"/>
      <c r="H507" s="337"/>
      <c r="I507" s="334"/>
      <c r="J507" s="314"/>
      <c r="K507" s="449"/>
      <c r="M507" s="349" t="str">
        <f>N507&amp;AS[[#This Row],[Insurer Code]]&amp;"; "&amp;O507&amp;AS[[#This Row],[Reporting Year]]&amp;"; "&amp;P507&amp;AS[[#This Row],[Insurance Category Code]]&amp;"; "&amp;Q507&amp;AS[[#This Row],[Large Provider Entity Code]]&amp;"; "&amp;R507&amp;AS[[#This Row],[Age Band Code]]&amp;"; "&amp;S507&amp;AS[[#This Row],[Sex Code]]</f>
        <v xml:space="preserve">Insurer Code ; Reporting Year ; Insurance Category Code ; Large Provider Entity Code ; Age Band Code ; Sex Code </v>
      </c>
      <c r="N507" s="345" t="s">
        <v>207</v>
      </c>
      <c r="O507" s="345" t="s">
        <v>208</v>
      </c>
      <c r="P507" s="345" t="s">
        <v>209</v>
      </c>
      <c r="Q507" s="345" t="s">
        <v>210</v>
      </c>
      <c r="R507" s="345" t="s">
        <v>223</v>
      </c>
      <c r="S507" s="345" t="s">
        <v>224</v>
      </c>
    </row>
    <row r="508" spans="1:19" x14ac:dyDescent="0.25">
      <c r="A508" s="311"/>
      <c r="B508" s="312"/>
      <c r="C508" s="312"/>
      <c r="D508" s="312"/>
      <c r="E508" s="312"/>
      <c r="F508" s="312"/>
      <c r="G508" s="328"/>
      <c r="H508" s="337"/>
      <c r="I508" s="334"/>
      <c r="J508" s="314"/>
      <c r="K508" s="449"/>
      <c r="M508" s="349" t="str">
        <f>N508&amp;AS[[#This Row],[Insurer Code]]&amp;"; "&amp;O508&amp;AS[[#This Row],[Reporting Year]]&amp;"; "&amp;P508&amp;AS[[#This Row],[Insurance Category Code]]&amp;"; "&amp;Q508&amp;AS[[#This Row],[Large Provider Entity Code]]&amp;"; "&amp;R508&amp;AS[[#This Row],[Age Band Code]]&amp;"; "&amp;S508&amp;AS[[#This Row],[Sex Code]]</f>
        <v xml:space="preserve">Insurer Code ; Reporting Year ; Insurance Category Code ; Large Provider Entity Code ; Age Band Code ; Sex Code </v>
      </c>
      <c r="N508" s="345" t="s">
        <v>207</v>
      </c>
      <c r="O508" s="345" t="s">
        <v>208</v>
      </c>
      <c r="P508" s="345" t="s">
        <v>209</v>
      </c>
      <c r="Q508" s="345" t="s">
        <v>210</v>
      </c>
      <c r="R508" s="345" t="s">
        <v>223</v>
      </c>
      <c r="S508" s="345" t="s">
        <v>224</v>
      </c>
    </row>
    <row r="509" spans="1:19" x14ac:dyDescent="0.25">
      <c r="A509" s="311"/>
      <c r="B509" s="312"/>
      <c r="C509" s="312"/>
      <c r="D509" s="312"/>
      <c r="E509" s="312"/>
      <c r="F509" s="312"/>
      <c r="G509" s="328"/>
      <c r="H509" s="337"/>
      <c r="I509" s="334"/>
      <c r="J509" s="314"/>
      <c r="K509" s="449"/>
      <c r="M509" s="349" t="str">
        <f>N509&amp;AS[[#This Row],[Insurer Code]]&amp;"; "&amp;O509&amp;AS[[#This Row],[Reporting Year]]&amp;"; "&amp;P509&amp;AS[[#This Row],[Insurance Category Code]]&amp;"; "&amp;Q509&amp;AS[[#This Row],[Large Provider Entity Code]]&amp;"; "&amp;R509&amp;AS[[#This Row],[Age Band Code]]&amp;"; "&amp;S509&amp;AS[[#This Row],[Sex Code]]</f>
        <v xml:space="preserve">Insurer Code ; Reporting Year ; Insurance Category Code ; Large Provider Entity Code ; Age Band Code ; Sex Code </v>
      </c>
      <c r="N509" s="345" t="s">
        <v>207</v>
      </c>
      <c r="O509" s="345" t="s">
        <v>208</v>
      </c>
      <c r="P509" s="345" t="s">
        <v>209</v>
      </c>
      <c r="Q509" s="345" t="s">
        <v>210</v>
      </c>
      <c r="R509" s="345" t="s">
        <v>223</v>
      </c>
      <c r="S509" s="345" t="s">
        <v>224</v>
      </c>
    </row>
    <row r="510" spans="1:19" x14ac:dyDescent="0.25">
      <c r="A510" s="311"/>
      <c r="B510" s="312"/>
      <c r="C510" s="312"/>
      <c r="D510" s="312"/>
      <c r="E510" s="312"/>
      <c r="F510" s="312"/>
      <c r="G510" s="328"/>
      <c r="H510" s="337"/>
      <c r="I510" s="334"/>
      <c r="J510" s="314"/>
      <c r="K510" s="449"/>
      <c r="M510" s="349" t="str">
        <f>N510&amp;AS[[#This Row],[Insurer Code]]&amp;"; "&amp;O510&amp;AS[[#This Row],[Reporting Year]]&amp;"; "&amp;P510&amp;AS[[#This Row],[Insurance Category Code]]&amp;"; "&amp;Q510&amp;AS[[#This Row],[Large Provider Entity Code]]&amp;"; "&amp;R510&amp;AS[[#This Row],[Age Band Code]]&amp;"; "&amp;S510&amp;AS[[#This Row],[Sex Code]]</f>
        <v xml:space="preserve">Insurer Code ; Reporting Year ; Insurance Category Code ; Large Provider Entity Code ; Age Band Code ; Sex Code </v>
      </c>
      <c r="N510" s="345" t="s">
        <v>207</v>
      </c>
      <c r="O510" s="345" t="s">
        <v>208</v>
      </c>
      <c r="P510" s="345" t="s">
        <v>209</v>
      </c>
      <c r="Q510" s="345" t="s">
        <v>210</v>
      </c>
      <c r="R510" s="345" t="s">
        <v>223</v>
      </c>
      <c r="S510" s="345" t="s">
        <v>224</v>
      </c>
    </row>
    <row r="511" spans="1:19" x14ac:dyDescent="0.25">
      <c r="A511" s="311"/>
      <c r="B511" s="312"/>
      <c r="C511" s="312"/>
      <c r="D511" s="312"/>
      <c r="E511" s="312"/>
      <c r="F511" s="312"/>
      <c r="G511" s="328"/>
      <c r="H511" s="337"/>
      <c r="I511" s="334"/>
      <c r="J511" s="314"/>
      <c r="K511" s="449"/>
      <c r="M511" s="349" t="str">
        <f>N511&amp;AS[[#This Row],[Insurer Code]]&amp;"; "&amp;O511&amp;AS[[#This Row],[Reporting Year]]&amp;"; "&amp;P511&amp;AS[[#This Row],[Insurance Category Code]]&amp;"; "&amp;Q511&amp;AS[[#This Row],[Large Provider Entity Code]]&amp;"; "&amp;R511&amp;AS[[#This Row],[Age Band Code]]&amp;"; "&amp;S511&amp;AS[[#This Row],[Sex Code]]</f>
        <v xml:space="preserve">Insurer Code ; Reporting Year ; Insurance Category Code ; Large Provider Entity Code ; Age Band Code ; Sex Code </v>
      </c>
      <c r="N511" s="345" t="s">
        <v>207</v>
      </c>
      <c r="O511" s="345" t="s">
        <v>208</v>
      </c>
      <c r="P511" s="345" t="s">
        <v>209</v>
      </c>
      <c r="Q511" s="345" t="s">
        <v>210</v>
      </c>
      <c r="R511" s="345" t="s">
        <v>223</v>
      </c>
      <c r="S511" s="345" t="s">
        <v>224</v>
      </c>
    </row>
    <row r="512" spans="1:19" x14ac:dyDescent="0.25">
      <c r="A512" s="311"/>
      <c r="B512" s="312"/>
      <c r="C512" s="312"/>
      <c r="D512" s="312"/>
      <c r="E512" s="312"/>
      <c r="F512" s="312"/>
      <c r="G512" s="328"/>
      <c r="H512" s="337"/>
      <c r="I512" s="334"/>
      <c r="J512" s="314"/>
      <c r="K512" s="449"/>
      <c r="M512" s="349" t="str">
        <f>N512&amp;AS[[#This Row],[Insurer Code]]&amp;"; "&amp;O512&amp;AS[[#This Row],[Reporting Year]]&amp;"; "&amp;P512&amp;AS[[#This Row],[Insurance Category Code]]&amp;"; "&amp;Q512&amp;AS[[#This Row],[Large Provider Entity Code]]&amp;"; "&amp;R512&amp;AS[[#This Row],[Age Band Code]]&amp;"; "&amp;S512&amp;AS[[#This Row],[Sex Code]]</f>
        <v xml:space="preserve">Insurer Code ; Reporting Year ; Insurance Category Code ; Large Provider Entity Code ; Age Band Code ; Sex Code </v>
      </c>
      <c r="N512" s="345" t="s">
        <v>207</v>
      </c>
      <c r="O512" s="345" t="s">
        <v>208</v>
      </c>
      <c r="P512" s="345" t="s">
        <v>209</v>
      </c>
      <c r="Q512" s="345" t="s">
        <v>210</v>
      </c>
      <c r="R512" s="345" t="s">
        <v>223</v>
      </c>
      <c r="S512" s="345" t="s">
        <v>224</v>
      </c>
    </row>
    <row r="513" spans="1:19" x14ac:dyDescent="0.25">
      <c r="A513" s="311"/>
      <c r="B513" s="312"/>
      <c r="C513" s="312"/>
      <c r="D513" s="312"/>
      <c r="E513" s="312"/>
      <c r="F513" s="312"/>
      <c r="G513" s="328"/>
      <c r="H513" s="337"/>
      <c r="I513" s="334"/>
      <c r="J513" s="314"/>
      <c r="K513" s="449"/>
      <c r="M513" s="349" t="str">
        <f>N513&amp;AS[[#This Row],[Insurer Code]]&amp;"; "&amp;O513&amp;AS[[#This Row],[Reporting Year]]&amp;"; "&amp;P513&amp;AS[[#This Row],[Insurance Category Code]]&amp;"; "&amp;Q513&amp;AS[[#This Row],[Large Provider Entity Code]]&amp;"; "&amp;R513&amp;AS[[#This Row],[Age Band Code]]&amp;"; "&amp;S513&amp;AS[[#This Row],[Sex Code]]</f>
        <v xml:space="preserve">Insurer Code ; Reporting Year ; Insurance Category Code ; Large Provider Entity Code ; Age Band Code ; Sex Code </v>
      </c>
      <c r="N513" s="345" t="s">
        <v>207</v>
      </c>
      <c r="O513" s="345" t="s">
        <v>208</v>
      </c>
      <c r="P513" s="345" t="s">
        <v>209</v>
      </c>
      <c r="Q513" s="345" t="s">
        <v>210</v>
      </c>
      <c r="R513" s="345" t="s">
        <v>223</v>
      </c>
      <c r="S513" s="345" t="s">
        <v>224</v>
      </c>
    </row>
    <row r="514" spans="1:19" x14ac:dyDescent="0.25">
      <c r="A514" s="311"/>
      <c r="B514" s="312"/>
      <c r="C514" s="312"/>
      <c r="D514" s="312"/>
      <c r="E514" s="312"/>
      <c r="F514" s="312"/>
      <c r="G514" s="328"/>
      <c r="H514" s="337"/>
      <c r="I514" s="334"/>
      <c r="J514" s="314"/>
      <c r="K514" s="449"/>
      <c r="M514" s="349" t="str">
        <f>N514&amp;AS[[#This Row],[Insurer Code]]&amp;"; "&amp;O514&amp;AS[[#This Row],[Reporting Year]]&amp;"; "&amp;P514&amp;AS[[#This Row],[Insurance Category Code]]&amp;"; "&amp;Q514&amp;AS[[#This Row],[Large Provider Entity Code]]&amp;"; "&amp;R514&amp;AS[[#This Row],[Age Band Code]]&amp;"; "&amp;S514&amp;AS[[#This Row],[Sex Code]]</f>
        <v xml:space="preserve">Insurer Code ; Reporting Year ; Insurance Category Code ; Large Provider Entity Code ; Age Band Code ; Sex Code </v>
      </c>
      <c r="N514" s="345" t="s">
        <v>207</v>
      </c>
      <c r="O514" s="345" t="s">
        <v>208</v>
      </c>
      <c r="P514" s="345" t="s">
        <v>209</v>
      </c>
      <c r="Q514" s="345" t="s">
        <v>210</v>
      </c>
      <c r="R514" s="345" t="s">
        <v>223</v>
      </c>
      <c r="S514" s="345" t="s">
        <v>224</v>
      </c>
    </row>
    <row r="515" spans="1:19" x14ac:dyDescent="0.25">
      <c r="A515" s="311"/>
      <c r="B515" s="312"/>
      <c r="C515" s="312"/>
      <c r="D515" s="312"/>
      <c r="E515" s="312"/>
      <c r="F515" s="312"/>
      <c r="G515" s="328"/>
      <c r="H515" s="337"/>
      <c r="I515" s="334"/>
      <c r="J515" s="314"/>
      <c r="K515" s="449"/>
      <c r="M515" s="349" t="str">
        <f>N515&amp;AS[[#This Row],[Insurer Code]]&amp;"; "&amp;O515&amp;AS[[#This Row],[Reporting Year]]&amp;"; "&amp;P515&amp;AS[[#This Row],[Insurance Category Code]]&amp;"; "&amp;Q515&amp;AS[[#This Row],[Large Provider Entity Code]]&amp;"; "&amp;R515&amp;AS[[#This Row],[Age Band Code]]&amp;"; "&amp;S515&amp;AS[[#This Row],[Sex Code]]</f>
        <v xml:space="preserve">Insurer Code ; Reporting Year ; Insurance Category Code ; Large Provider Entity Code ; Age Band Code ; Sex Code </v>
      </c>
      <c r="N515" s="345" t="s">
        <v>207</v>
      </c>
      <c r="O515" s="345" t="s">
        <v>208</v>
      </c>
      <c r="P515" s="345" t="s">
        <v>209</v>
      </c>
      <c r="Q515" s="345" t="s">
        <v>210</v>
      </c>
      <c r="R515" s="345" t="s">
        <v>223</v>
      </c>
      <c r="S515" s="345" t="s">
        <v>224</v>
      </c>
    </row>
    <row r="516" spans="1:19" x14ac:dyDescent="0.25">
      <c r="A516" s="311"/>
      <c r="B516" s="312"/>
      <c r="C516" s="312"/>
      <c r="D516" s="312"/>
      <c r="E516" s="312"/>
      <c r="F516" s="312"/>
      <c r="G516" s="328"/>
      <c r="H516" s="337"/>
      <c r="I516" s="334"/>
      <c r="J516" s="314"/>
      <c r="K516" s="449"/>
      <c r="M516" s="349" t="str">
        <f>N516&amp;AS[[#This Row],[Insurer Code]]&amp;"; "&amp;O516&amp;AS[[#This Row],[Reporting Year]]&amp;"; "&amp;P516&amp;AS[[#This Row],[Insurance Category Code]]&amp;"; "&amp;Q516&amp;AS[[#This Row],[Large Provider Entity Code]]&amp;"; "&amp;R516&amp;AS[[#This Row],[Age Band Code]]&amp;"; "&amp;S516&amp;AS[[#This Row],[Sex Code]]</f>
        <v xml:space="preserve">Insurer Code ; Reporting Year ; Insurance Category Code ; Large Provider Entity Code ; Age Band Code ; Sex Code </v>
      </c>
      <c r="N516" s="345" t="s">
        <v>207</v>
      </c>
      <c r="O516" s="345" t="s">
        <v>208</v>
      </c>
      <c r="P516" s="345" t="s">
        <v>209</v>
      </c>
      <c r="Q516" s="345" t="s">
        <v>210</v>
      </c>
      <c r="R516" s="345" t="s">
        <v>223</v>
      </c>
      <c r="S516" s="345" t="s">
        <v>224</v>
      </c>
    </row>
    <row r="517" spans="1:19" x14ac:dyDescent="0.25">
      <c r="A517" s="311"/>
      <c r="B517" s="312"/>
      <c r="C517" s="312"/>
      <c r="D517" s="312"/>
      <c r="E517" s="312"/>
      <c r="F517" s="312"/>
      <c r="G517" s="328"/>
      <c r="H517" s="337"/>
      <c r="I517" s="334"/>
      <c r="J517" s="314"/>
      <c r="K517" s="449"/>
      <c r="M517" s="349" t="str">
        <f>N517&amp;AS[[#This Row],[Insurer Code]]&amp;"; "&amp;O517&amp;AS[[#This Row],[Reporting Year]]&amp;"; "&amp;P517&amp;AS[[#This Row],[Insurance Category Code]]&amp;"; "&amp;Q517&amp;AS[[#This Row],[Large Provider Entity Code]]&amp;"; "&amp;R517&amp;AS[[#This Row],[Age Band Code]]&amp;"; "&amp;S517&amp;AS[[#This Row],[Sex Code]]</f>
        <v xml:space="preserve">Insurer Code ; Reporting Year ; Insurance Category Code ; Large Provider Entity Code ; Age Band Code ; Sex Code </v>
      </c>
      <c r="N517" s="345" t="s">
        <v>207</v>
      </c>
      <c r="O517" s="345" t="s">
        <v>208</v>
      </c>
      <c r="P517" s="345" t="s">
        <v>209</v>
      </c>
      <c r="Q517" s="345" t="s">
        <v>210</v>
      </c>
      <c r="R517" s="345" t="s">
        <v>223</v>
      </c>
      <c r="S517" s="345" t="s">
        <v>224</v>
      </c>
    </row>
    <row r="518" spans="1:19" x14ac:dyDescent="0.25">
      <c r="A518" s="311"/>
      <c r="B518" s="312"/>
      <c r="C518" s="312"/>
      <c r="D518" s="312"/>
      <c r="E518" s="312"/>
      <c r="F518" s="312"/>
      <c r="G518" s="328"/>
      <c r="H518" s="337"/>
      <c r="I518" s="334"/>
      <c r="J518" s="314"/>
      <c r="K518" s="449"/>
      <c r="M518" s="349" t="str">
        <f>N518&amp;AS[[#This Row],[Insurer Code]]&amp;"; "&amp;O518&amp;AS[[#This Row],[Reporting Year]]&amp;"; "&amp;P518&amp;AS[[#This Row],[Insurance Category Code]]&amp;"; "&amp;Q518&amp;AS[[#This Row],[Large Provider Entity Code]]&amp;"; "&amp;R518&amp;AS[[#This Row],[Age Band Code]]&amp;"; "&amp;S518&amp;AS[[#This Row],[Sex Code]]</f>
        <v xml:space="preserve">Insurer Code ; Reporting Year ; Insurance Category Code ; Large Provider Entity Code ; Age Band Code ; Sex Code </v>
      </c>
      <c r="N518" s="345" t="s">
        <v>207</v>
      </c>
      <c r="O518" s="345" t="s">
        <v>208</v>
      </c>
      <c r="P518" s="345" t="s">
        <v>209</v>
      </c>
      <c r="Q518" s="345" t="s">
        <v>210</v>
      </c>
      <c r="R518" s="345" t="s">
        <v>223</v>
      </c>
      <c r="S518" s="345" t="s">
        <v>224</v>
      </c>
    </row>
    <row r="519" spans="1:19" x14ac:dyDescent="0.25">
      <c r="A519" s="311"/>
      <c r="B519" s="312"/>
      <c r="C519" s="312"/>
      <c r="D519" s="312"/>
      <c r="E519" s="312"/>
      <c r="F519" s="312"/>
      <c r="G519" s="328"/>
      <c r="H519" s="337"/>
      <c r="I519" s="334"/>
      <c r="J519" s="314"/>
      <c r="K519" s="449"/>
      <c r="M519" s="349" t="str">
        <f>N519&amp;AS[[#This Row],[Insurer Code]]&amp;"; "&amp;O519&amp;AS[[#This Row],[Reporting Year]]&amp;"; "&amp;P519&amp;AS[[#This Row],[Insurance Category Code]]&amp;"; "&amp;Q519&amp;AS[[#This Row],[Large Provider Entity Code]]&amp;"; "&amp;R519&amp;AS[[#This Row],[Age Band Code]]&amp;"; "&amp;S519&amp;AS[[#This Row],[Sex Code]]</f>
        <v xml:space="preserve">Insurer Code ; Reporting Year ; Insurance Category Code ; Large Provider Entity Code ; Age Band Code ; Sex Code </v>
      </c>
      <c r="N519" s="345" t="s">
        <v>207</v>
      </c>
      <c r="O519" s="345" t="s">
        <v>208</v>
      </c>
      <c r="P519" s="345" t="s">
        <v>209</v>
      </c>
      <c r="Q519" s="345" t="s">
        <v>210</v>
      </c>
      <c r="R519" s="345" t="s">
        <v>223</v>
      </c>
      <c r="S519" s="345" t="s">
        <v>224</v>
      </c>
    </row>
    <row r="520" spans="1:19" x14ac:dyDescent="0.25">
      <c r="A520" s="311"/>
      <c r="B520" s="312"/>
      <c r="C520" s="312"/>
      <c r="D520" s="312"/>
      <c r="E520" s="312"/>
      <c r="F520" s="312"/>
      <c r="G520" s="328"/>
      <c r="H520" s="337"/>
      <c r="I520" s="334"/>
      <c r="J520" s="314"/>
      <c r="K520" s="449"/>
      <c r="M520" s="349" t="str">
        <f>N520&amp;AS[[#This Row],[Insurer Code]]&amp;"; "&amp;O520&amp;AS[[#This Row],[Reporting Year]]&amp;"; "&amp;P520&amp;AS[[#This Row],[Insurance Category Code]]&amp;"; "&amp;Q520&amp;AS[[#This Row],[Large Provider Entity Code]]&amp;"; "&amp;R520&amp;AS[[#This Row],[Age Band Code]]&amp;"; "&amp;S520&amp;AS[[#This Row],[Sex Code]]</f>
        <v xml:space="preserve">Insurer Code ; Reporting Year ; Insurance Category Code ; Large Provider Entity Code ; Age Band Code ; Sex Code </v>
      </c>
      <c r="N520" s="345" t="s">
        <v>207</v>
      </c>
      <c r="O520" s="345" t="s">
        <v>208</v>
      </c>
      <c r="P520" s="345" t="s">
        <v>209</v>
      </c>
      <c r="Q520" s="345" t="s">
        <v>210</v>
      </c>
      <c r="R520" s="345" t="s">
        <v>223</v>
      </c>
      <c r="S520" s="345" t="s">
        <v>224</v>
      </c>
    </row>
    <row r="521" spans="1:19" x14ac:dyDescent="0.25">
      <c r="A521" s="311"/>
      <c r="B521" s="312"/>
      <c r="C521" s="312"/>
      <c r="D521" s="312"/>
      <c r="E521" s="312"/>
      <c r="F521" s="312"/>
      <c r="G521" s="328"/>
      <c r="H521" s="337"/>
      <c r="I521" s="334"/>
      <c r="J521" s="314"/>
      <c r="K521" s="449"/>
      <c r="M521" s="349" t="str">
        <f>N521&amp;AS[[#This Row],[Insurer Code]]&amp;"; "&amp;O521&amp;AS[[#This Row],[Reporting Year]]&amp;"; "&amp;P521&amp;AS[[#This Row],[Insurance Category Code]]&amp;"; "&amp;Q521&amp;AS[[#This Row],[Large Provider Entity Code]]&amp;"; "&amp;R521&amp;AS[[#This Row],[Age Band Code]]&amp;"; "&amp;S521&amp;AS[[#This Row],[Sex Code]]</f>
        <v xml:space="preserve">Insurer Code ; Reporting Year ; Insurance Category Code ; Large Provider Entity Code ; Age Band Code ; Sex Code </v>
      </c>
      <c r="N521" s="345" t="s">
        <v>207</v>
      </c>
      <c r="O521" s="345" t="s">
        <v>208</v>
      </c>
      <c r="P521" s="345" t="s">
        <v>209</v>
      </c>
      <c r="Q521" s="345" t="s">
        <v>210</v>
      </c>
      <c r="R521" s="345" t="s">
        <v>223</v>
      </c>
      <c r="S521" s="345" t="s">
        <v>224</v>
      </c>
    </row>
    <row r="522" spans="1:19" x14ac:dyDescent="0.25">
      <c r="A522" s="311"/>
      <c r="B522" s="312"/>
      <c r="C522" s="312"/>
      <c r="D522" s="312"/>
      <c r="E522" s="312"/>
      <c r="F522" s="312"/>
      <c r="G522" s="328"/>
      <c r="H522" s="337"/>
      <c r="I522" s="334"/>
      <c r="J522" s="314"/>
      <c r="K522" s="449"/>
      <c r="M522" s="349" t="str">
        <f>N522&amp;AS[[#This Row],[Insurer Code]]&amp;"; "&amp;O522&amp;AS[[#This Row],[Reporting Year]]&amp;"; "&amp;P522&amp;AS[[#This Row],[Insurance Category Code]]&amp;"; "&amp;Q522&amp;AS[[#This Row],[Large Provider Entity Code]]&amp;"; "&amp;R522&amp;AS[[#This Row],[Age Band Code]]&amp;"; "&amp;S522&amp;AS[[#This Row],[Sex Code]]</f>
        <v xml:space="preserve">Insurer Code ; Reporting Year ; Insurance Category Code ; Large Provider Entity Code ; Age Band Code ; Sex Code </v>
      </c>
      <c r="N522" s="345" t="s">
        <v>207</v>
      </c>
      <c r="O522" s="345" t="s">
        <v>208</v>
      </c>
      <c r="P522" s="345" t="s">
        <v>209</v>
      </c>
      <c r="Q522" s="345" t="s">
        <v>210</v>
      </c>
      <c r="R522" s="345" t="s">
        <v>223</v>
      </c>
      <c r="S522" s="345" t="s">
        <v>224</v>
      </c>
    </row>
    <row r="523" spans="1:19" x14ac:dyDescent="0.25">
      <c r="A523" s="311"/>
      <c r="B523" s="312"/>
      <c r="C523" s="312"/>
      <c r="D523" s="312"/>
      <c r="E523" s="312"/>
      <c r="F523" s="312"/>
      <c r="G523" s="328"/>
      <c r="H523" s="337"/>
      <c r="I523" s="334"/>
      <c r="J523" s="314"/>
      <c r="K523" s="449"/>
      <c r="M523" s="349" t="str">
        <f>N523&amp;AS[[#This Row],[Insurer Code]]&amp;"; "&amp;O523&amp;AS[[#This Row],[Reporting Year]]&amp;"; "&amp;P523&amp;AS[[#This Row],[Insurance Category Code]]&amp;"; "&amp;Q523&amp;AS[[#This Row],[Large Provider Entity Code]]&amp;"; "&amp;R523&amp;AS[[#This Row],[Age Band Code]]&amp;"; "&amp;S523&amp;AS[[#This Row],[Sex Code]]</f>
        <v xml:space="preserve">Insurer Code ; Reporting Year ; Insurance Category Code ; Large Provider Entity Code ; Age Band Code ; Sex Code </v>
      </c>
      <c r="N523" s="345" t="s">
        <v>207</v>
      </c>
      <c r="O523" s="345" t="s">
        <v>208</v>
      </c>
      <c r="P523" s="345" t="s">
        <v>209</v>
      </c>
      <c r="Q523" s="345" t="s">
        <v>210</v>
      </c>
      <c r="R523" s="345" t="s">
        <v>223</v>
      </c>
      <c r="S523" s="345" t="s">
        <v>224</v>
      </c>
    </row>
    <row r="524" spans="1:19" x14ac:dyDescent="0.25">
      <c r="A524" s="311"/>
      <c r="B524" s="312"/>
      <c r="C524" s="312"/>
      <c r="D524" s="312"/>
      <c r="E524" s="312"/>
      <c r="F524" s="312"/>
      <c r="G524" s="328"/>
      <c r="H524" s="337"/>
      <c r="I524" s="334"/>
      <c r="J524" s="314"/>
      <c r="K524" s="449"/>
      <c r="M524" s="349" t="str">
        <f>N524&amp;AS[[#This Row],[Insurer Code]]&amp;"; "&amp;O524&amp;AS[[#This Row],[Reporting Year]]&amp;"; "&amp;P524&amp;AS[[#This Row],[Insurance Category Code]]&amp;"; "&amp;Q524&amp;AS[[#This Row],[Large Provider Entity Code]]&amp;"; "&amp;R524&amp;AS[[#This Row],[Age Band Code]]&amp;"; "&amp;S524&amp;AS[[#This Row],[Sex Code]]</f>
        <v xml:space="preserve">Insurer Code ; Reporting Year ; Insurance Category Code ; Large Provider Entity Code ; Age Band Code ; Sex Code </v>
      </c>
      <c r="N524" s="345" t="s">
        <v>207</v>
      </c>
      <c r="O524" s="345" t="s">
        <v>208</v>
      </c>
      <c r="P524" s="345" t="s">
        <v>209</v>
      </c>
      <c r="Q524" s="345" t="s">
        <v>210</v>
      </c>
      <c r="R524" s="345" t="s">
        <v>223</v>
      </c>
      <c r="S524" s="345" t="s">
        <v>224</v>
      </c>
    </row>
    <row r="525" spans="1:19" x14ac:dyDescent="0.25">
      <c r="A525" s="311"/>
      <c r="B525" s="312"/>
      <c r="C525" s="312"/>
      <c r="D525" s="312"/>
      <c r="E525" s="312"/>
      <c r="F525" s="312"/>
      <c r="G525" s="328"/>
      <c r="H525" s="337"/>
      <c r="I525" s="334"/>
      <c r="J525" s="314"/>
      <c r="K525" s="449"/>
      <c r="M525" s="349" t="str">
        <f>N525&amp;AS[[#This Row],[Insurer Code]]&amp;"; "&amp;O525&amp;AS[[#This Row],[Reporting Year]]&amp;"; "&amp;P525&amp;AS[[#This Row],[Insurance Category Code]]&amp;"; "&amp;Q525&amp;AS[[#This Row],[Large Provider Entity Code]]&amp;"; "&amp;R525&amp;AS[[#This Row],[Age Band Code]]&amp;"; "&amp;S525&amp;AS[[#This Row],[Sex Code]]</f>
        <v xml:space="preserve">Insurer Code ; Reporting Year ; Insurance Category Code ; Large Provider Entity Code ; Age Band Code ; Sex Code </v>
      </c>
      <c r="N525" s="345" t="s">
        <v>207</v>
      </c>
      <c r="O525" s="345" t="s">
        <v>208</v>
      </c>
      <c r="P525" s="345" t="s">
        <v>209</v>
      </c>
      <c r="Q525" s="345" t="s">
        <v>210</v>
      </c>
      <c r="R525" s="345" t="s">
        <v>223</v>
      </c>
      <c r="S525" s="345" t="s">
        <v>224</v>
      </c>
    </row>
    <row r="526" spans="1:19" x14ac:dyDescent="0.25">
      <c r="A526" s="311"/>
      <c r="B526" s="312"/>
      <c r="C526" s="312"/>
      <c r="D526" s="312"/>
      <c r="E526" s="312"/>
      <c r="F526" s="312"/>
      <c r="G526" s="328"/>
      <c r="H526" s="337"/>
      <c r="I526" s="334"/>
      <c r="J526" s="314"/>
      <c r="K526" s="449"/>
      <c r="M526" s="349" t="str">
        <f>N526&amp;AS[[#This Row],[Insurer Code]]&amp;"; "&amp;O526&amp;AS[[#This Row],[Reporting Year]]&amp;"; "&amp;P526&amp;AS[[#This Row],[Insurance Category Code]]&amp;"; "&amp;Q526&amp;AS[[#This Row],[Large Provider Entity Code]]&amp;"; "&amp;R526&amp;AS[[#This Row],[Age Band Code]]&amp;"; "&amp;S526&amp;AS[[#This Row],[Sex Code]]</f>
        <v xml:space="preserve">Insurer Code ; Reporting Year ; Insurance Category Code ; Large Provider Entity Code ; Age Band Code ; Sex Code </v>
      </c>
      <c r="N526" s="345" t="s">
        <v>207</v>
      </c>
      <c r="O526" s="345" t="s">
        <v>208</v>
      </c>
      <c r="P526" s="345" t="s">
        <v>209</v>
      </c>
      <c r="Q526" s="345" t="s">
        <v>210</v>
      </c>
      <c r="R526" s="345" t="s">
        <v>223</v>
      </c>
      <c r="S526" s="345" t="s">
        <v>224</v>
      </c>
    </row>
    <row r="527" spans="1:19" x14ac:dyDescent="0.25">
      <c r="A527" s="311"/>
      <c r="B527" s="312"/>
      <c r="C527" s="312"/>
      <c r="D527" s="312"/>
      <c r="E527" s="312"/>
      <c r="F527" s="312"/>
      <c r="G527" s="328"/>
      <c r="H527" s="337"/>
      <c r="I527" s="334"/>
      <c r="J527" s="314"/>
      <c r="K527" s="449"/>
      <c r="M527" s="349" t="str">
        <f>N527&amp;AS[[#This Row],[Insurer Code]]&amp;"; "&amp;O527&amp;AS[[#This Row],[Reporting Year]]&amp;"; "&amp;P527&amp;AS[[#This Row],[Insurance Category Code]]&amp;"; "&amp;Q527&amp;AS[[#This Row],[Large Provider Entity Code]]&amp;"; "&amp;R527&amp;AS[[#This Row],[Age Band Code]]&amp;"; "&amp;S527&amp;AS[[#This Row],[Sex Code]]</f>
        <v xml:space="preserve">Insurer Code ; Reporting Year ; Insurance Category Code ; Large Provider Entity Code ; Age Band Code ; Sex Code </v>
      </c>
      <c r="N527" s="345" t="s">
        <v>207</v>
      </c>
      <c r="O527" s="345" t="s">
        <v>208</v>
      </c>
      <c r="P527" s="345" t="s">
        <v>209</v>
      </c>
      <c r="Q527" s="345" t="s">
        <v>210</v>
      </c>
      <c r="R527" s="345" t="s">
        <v>223</v>
      </c>
      <c r="S527" s="345" t="s">
        <v>224</v>
      </c>
    </row>
    <row r="528" spans="1:19" x14ac:dyDescent="0.25">
      <c r="A528" s="311"/>
      <c r="B528" s="312"/>
      <c r="C528" s="312"/>
      <c r="D528" s="312"/>
      <c r="E528" s="312"/>
      <c r="F528" s="312"/>
      <c r="G528" s="328"/>
      <c r="H528" s="337"/>
      <c r="I528" s="334"/>
      <c r="J528" s="314"/>
      <c r="K528" s="449"/>
      <c r="M528" s="349" t="str">
        <f>N528&amp;AS[[#This Row],[Insurer Code]]&amp;"; "&amp;O528&amp;AS[[#This Row],[Reporting Year]]&amp;"; "&amp;P528&amp;AS[[#This Row],[Insurance Category Code]]&amp;"; "&amp;Q528&amp;AS[[#This Row],[Large Provider Entity Code]]&amp;"; "&amp;R528&amp;AS[[#This Row],[Age Band Code]]&amp;"; "&amp;S528&amp;AS[[#This Row],[Sex Code]]</f>
        <v xml:space="preserve">Insurer Code ; Reporting Year ; Insurance Category Code ; Large Provider Entity Code ; Age Band Code ; Sex Code </v>
      </c>
      <c r="N528" s="345" t="s">
        <v>207</v>
      </c>
      <c r="O528" s="345" t="s">
        <v>208</v>
      </c>
      <c r="P528" s="345" t="s">
        <v>209</v>
      </c>
      <c r="Q528" s="345" t="s">
        <v>210</v>
      </c>
      <c r="R528" s="345" t="s">
        <v>223</v>
      </c>
      <c r="S528" s="345" t="s">
        <v>224</v>
      </c>
    </row>
    <row r="529" spans="1:19" x14ac:dyDescent="0.25">
      <c r="A529" s="311"/>
      <c r="B529" s="312"/>
      <c r="C529" s="312"/>
      <c r="D529" s="312"/>
      <c r="E529" s="312"/>
      <c r="F529" s="312"/>
      <c r="G529" s="328"/>
      <c r="H529" s="337"/>
      <c r="I529" s="334"/>
      <c r="J529" s="314"/>
      <c r="K529" s="449"/>
      <c r="M529" s="349" t="str">
        <f>N529&amp;AS[[#This Row],[Insurer Code]]&amp;"; "&amp;O529&amp;AS[[#This Row],[Reporting Year]]&amp;"; "&amp;P529&amp;AS[[#This Row],[Insurance Category Code]]&amp;"; "&amp;Q529&amp;AS[[#This Row],[Large Provider Entity Code]]&amp;"; "&amp;R529&amp;AS[[#This Row],[Age Band Code]]&amp;"; "&amp;S529&amp;AS[[#This Row],[Sex Code]]</f>
        <v xml:space="preserve">Insurer Code ; Reporting Year ; Insurance Category Code ; Large Provider Entity Code ; Age Band Code ; Sex Code </v>
      </c>
      <c r="N529" s="345" t="s">
        <v>207</v>
      </c>
      <c r="O529" s="345" t="s">
        <v>208</v>
      </c>
      <c r="P529" s="345" t="s">
        <v>209</v>
      </c>
      <c r="Q529" s="345" t="s">
        <v>210</v>
      </c>
      <c r="R529" s="345" t="s">
        <v>223</v>
      </c>
      <c r="S529" s="345" t="s">
        <v>224</v>
      </c>
    </row>
    <row r="530" spans="1:19" x14ac:dyDescent="0.25">
      <c r="A530" s="311"/>
      <c r="B530" s="312"/>
      <c r="C530" s="312"/>
      <c r="D530" s="312"/>
      <c r="E530" s="312"/>
      <c r="F530" s="312"/>
      <c r="G530" s="328"/>
      <c r="H530" s="337"/>
      <c r="I530" s="334"/>
      <c r="J530" s="314"/>
      <c r="K530" s="449"/>
      <c r="M530" s="349" t="str">
        <f>N530&amp;AS[[#This Row],[Insurer Code]]&amp;"; "&amp;O530&amp;AS[[#This Row],[Reporting Year]]&amp;"; "&amp;P530&amp;AS[[#This Row],[Insurance Category Code]]&amp;"; "&amp;Q530&amp;AS[[#This Row],[Large Provider Entity Code]]&amp;"; "&amp;R530&amp;AS[[#This Row],[Age Band Code]]&amp;"; "&amp;S530&amp;AS[[#This Row],[Sex Code]]</f>
        <v xml:space="preserve">Insurer Code ; Reporting Year ; Insurance Category Code ; Large Provider Entity Code ; Age Band Code ; Sex Code </v>
      </c>
      <c r="N530" s="345" t="s">
        <v>207</v>
      </c>
      <c r="O530" s="345" t="s">
        <v>208</v>
      </c>
      <c r="P530" s="345" t="s">
        <v>209</v>
      </c>
      <c r="Q530" s="345" t="s">
        <v>210</v>
      </c>
      <c r="R530" s="345" t="s">
        <v>223</v>
      </c>
      <c r="S530" s="345" t="s">
        <v>224</v>
      </c>
    </row>
    <row r="531" spans="1:19" x14ac:dyDescent="0.25">
      <c r="A531" s="311"/>
      <c r="B531" s="312"/>
      <c r="C531" s="312"/>
      <c r="D531" s="312"/>
      <c r="E531" s="312"/>
      <c r="F531" s="312"/>
      <c r="G531" s="328"/>
      <c r="H531" s="337"/>
      <c r="I531" s="334"/>
      <c r="J531" s="314"/>
      <c r="K531" s="449"/>
      <c r="M531" s="349" t="str">
        <f>N531&amp;AS[[#This Row],[Insurer Code]]&amp;"; "&amp;O531&amp;AS[[#This Row],[Reporting Year]]&amp;"; "&amp;P531&amp;AS[[#This Row],[Insurance Category Code]]&amp;"; "&amp;Q531&amp;AS[[#This Row],[Large Provider Entity Code]]&amp;"; "&amp;R531&amp;AS[[#This Row],[Age Band Code]]&amp;"; "&amp;S531&amp;AS[[#This Row],[Sex Code]]</f>
        <v xml:space="preserve">Insurer Code ; Reporting Year ; Insurance Category Code ; Large Provider Entity Code ; Age Band Code ; Sex Code </v>
      </c>
      <c r="N531" s="345" t="s">
        <v>207</v>
      </c>
      <c r="O531" s="345" t="s">
        <v>208</v>
      </c>
      <c r="P531" s="345" t="s">
        <v>209</v>
      </c>
      <c r="Q531" s="345" t="s">
        <v>210</v>
      </c>
      <c r="R531" s="345" t="s">
        <v>223</v>
      </c>
      <c r="S531" s="345" t="s">
        <v>224</v>
      </c>
    </row>
    <row r="532" spans="1:19" x14ac:dyDescent="0.25">
      <c r="A532" s="311"/>
      <c r="B532" s="312"/>
      <c r="C532" s="312"/>
      <c r="D532" s="312"/>
      <c r="E532" s="312"/>
      <c r="F532" s="312"/>
      <c r="G532" s="328"/>
      <c r="H532" s="337"/>
      <c r="I532" s="334"/>
      <c r="J532" s="314"/>
      <c r="K532" s="449"/>
      <c r="M532" s="349" t="str">
        <f>N532&amp;AS[[#This Row],[Insurer Code]]&amp;"; "&amp;O532&amp;AS[[#This Row],[Reporting Year]]&amp;"; "&amp;P532&amp;AS[[#This Row],[Insurance Category Code]]&amp;"; "&amp;Q532&amp;AS[[#This Row],[Large Provider Entity Code]]&amp;"; "&amp;R532&amp;AS[[#This Row],[Age Band Code]]&amp;"; "&amp;S532&amp;AS[[#This Row],[Sex Code]]</f>
        <v xml:space="preserve">Insurer Code ; Reporting Year ; Insurance Category Code ; Large Provider Entity Code ; Age Band Code ; Sex Code </v>
      </c>
      <c r="N532" s="345" t="s">
        <v>207</v>
      </c>
      <c r="O532" s="345" t="s">
        <v>208</v>
      </c>
      <c r="P532" s="345" t="s">
        <v>209</v>
      </c>
      <c r="Q532" s="345" t="s">
        <v>210</v>
      </c>
      <c r="R532" s="345" t="s">
        <v>223</v>
      </c>
      <c r="S532" s="345" t="s">
        <v>224</v>
      </c>
    </row>
    <row r="533" spans="1:19" x14ac:dyDescent="0.25">
      <c r="A533" s="311"/>
      <c r="B533" s="312"/>
      <c r="C533" s="312"/>
      <c r="D533" s="312"/>
      <c r="E533" s="312"/>
      <c r="F533" s="312"/>
      <c r="G533" s="328"/>
      <c r="H533" s="337"/>
      <c r="I533" s="334"/>
      <c r="J533" s="314"/>
      <c r="K533" s="449"/>
      <c r="M533" s="349" t="str">
        <f>N533&amp;AS[[#This Row],[Insurer Code]]&amp;"; "&amp;O533&amp;AS[[#This Row],[Reporting Year]]&amp;"; "&amp;P533&amp;AS[[#This Row],[Insurance Category Code]]&amp;"; "&amp;Q533&amp;AS[[#This Row],[Large Provider Entity Code]]&amp;"; "&amp;R533&amp;AS[[#This Row],[Age Band Code]]&amp;"; "&amp;S533&amp;AS[[#This Row],[Sex Code]]</f>
        <v xml:space="preserve">Insurer Code ; Reporting Year ; Insurance Category Code ; Large Provider Entity Code ; Age Band Code ; Sex Code </v>
      </c>
      <c r="N533" s="345" t="s">
        <v>207</v>
      </c>
      <c r="O533" s="345" t="s">
        <v>208</v>
      </c>
      <c r="P533" s="345" t="s">
        <v>209</v>
      </c>
      <c r="Q533" s="345" t="s">
        <v>210</v>
      </c>
      <c r="R533" s="345" t="s">
        <v>223</v>
      </c>
      <c r="S533" s="345" t="s">
        <v>224</v>
      </c>
    </row>
    <row r="534" spans="1:19" x14ac:dyDescent="0.25">
      <c r="A534" s="311"/>
      <c r="B534" s="312"/>
      <c r="C534" s="312"/>
      <c r="D534" s="312"/>
      <c r="E534" s="312"/>
      <c r="F534" s="312"/>
      <c r="G534" s="328"/>
      <c r="H534" s="337"/>
      <c r="I534" s="334"/>
      <c r="J534" s="314"/>
      <c r="K534" s="449"/>
      <c r="M534" s="349" t="str">
        <f>N534&amp;AS[[#This Row],[Insurer Code]]&amp;"; "&amp;O534&amp;AS[[#This Row],[Reporting Year]]&amp;"; "&amp;P534&amp;AS[[#This Row],[Insurance Category Code]]&amp;"; "&amp;Q534&amp;AS[[#This Row],[Large Provider Entity Code]]&amp;"; "&amp;R534&amp;AS[[#This Row],[Age Band Code]]&amp;"; "&amp;S534&amp;AS[[#This Row],[Sex Code]]</f>
        <v xml:space="preserve">Insurer Code ; Reporting Year ; Insurance Category Code ; Large Provider Entity Code ; Age Band Code ; Sex Code </v>
      </c>
      <c r="N534" s="345" t="s">
        <v>207</v>
      </c>
      <c r="O534" s="345" t="s">
        <v>208</v>
      </c>
      <c r="P534" s="345" t="s">
        <v>209</v>
      </c>
      <c r="Q534" s="345" t="s">
        <v>210</v>
      </c>
      <c r="R534" s="345" t="s">
        <v>223</v>
      </c>
      <c r="S534" s="345" t="s">
        <v>224</v>
      </c>
    </row>
    <row r="535" spans="1:19" x14ac:dyDescent="0.25">
      <c r="A535" s="311"/>
      <c r="B535" s="312"/>
      <c r="C535" s="312"/>
      <c r="D535" s="312"/>
      <c r="E535" s="312"/>
      <c r="F535" s="312"/>
      <c r="G535" s="328"/>
      <c r="H535" s="337"/>
      <c r="I535" s="334"/>
      <c r="J535" s="314"/>
      <c r="K535" s="449"/>
      <c r="M535" s="349" t="str">
        <f>N535&amp;AS[[#This Row],[Insurer Code]]&amp;"; "&amp;O535&amp;AS[[#This Row],[Reporting Year]]&amp;"; "&amp;P535&amp;AS[[#This Row],[Insurance Category Code]]&amp;"; "&amp;Q535&amp;AS[[#This Row],[Large Provider Entity Code]]&amp;"; "&amp;R535&amp;AS[[#This Row],[Age Band Code]]&amp;"; "&amp;S535&amp;AS[[#This Row],[Sex Code]]</f>
        <v xml:space="preserve">Insurer Code ; Reporting Year ; Insurance Category Code ; Large Provider Entity Code ; Age Band Code ; Sex Code </v>
      </c>
      <c r="N535" s="345" t="s">
        <v>207</v>
      </c>
      <c r="O535" s="345" t="s">
        <v>208</v>
      </c>
      <c r="P535" s="345" t="s">
        <v>209</v>
      </c>
      <c r="Q535" s="345" t="s">
        <v>210</v>
      </c>
      <c r="R535" s="345" t="s">
        <v>223</v>
      </c>
      <c r="S535" s="345" t="s">
        <v>224</v>
      </c>
    </row>
    <row r="536" spans="1:19" x14ac:dyDescent="0.25">
      <c r="A536" s="311"/>
      <c r="B536" s="312"/>
      <c r="C536" s="312"/>
      <c r="D536" s="312"/>
      <c r="E536" s="312"/>
      <c r="F536" s="312"/>
      <c r="G536" s="328"/>
      <c r="H536" s="337"/>
      <c r="I536" s="334"/>
      <c r="J536" s="314"/>
      <c r="K536" s="449"/>
      <c r="M536" s="349" t="str">
        <f>N536&amp;AS[[#This Row],[Insurer Code]]&amp;"; "&amp;O536&amp;AS[[#This Row],[Reporting Year]]&amp;"; "&amp;P536&amp;AS[[#This Row],[Insurance Category Code]]&amp;"; "&amp;Q536&amp;AS[[#This Row],[Large Provider Entity Code]]&amp;"; "&amp;R536&amp;AS[[#This Row],[Age Band Code]]&amp;"; "&amp;S536&amp;AS[[#This Row],[Sex Code]]</f>
        <v xml:space="preserve">Insurer Code ; Reporting Year ; Insurance Category Code ; Large Provider Entity Code ; Age Band Code ; Sex Code </v>
      </c>
      <c r="N536" s="345" t="s">
        <v>207</v>
      </c>
      <c r="O536" s="345" t="s">
        <v>208</v>
      </c>
      <c r="P536" s="345" t="s">
        <v>209</v>
      </c>
      <c r="Q536" s="345" t="s">
        <v>210</v>
      </c>
      <c r="R536" s="345" t="s">
        <v>223</v>
      </c>
      <c r="S536" s="345" t="s">
        <v>224</v>
      </c>
    </row>
    <row r="537" spans="1:19" x14ac:dyDescent="0.25">
      <c r="A537" s="311"/>
      <c r="B537" s="312"/>
      <c r="C537" s="312"/>
      <c r="D537" s="312"/>
      <c r="E537" s="312"/>
      <c r="F537" s="312"/>
      <c r="G537" s="328"/>
      <c r="H537" s="337"/>
      <c r="I537" s="334"/>
      <c r="J537" s="314"/>
      <c r="K537" s="449"/>
      <c r="M537" s="349" t="str">
        <f>N537&amp;AS[[#This Row],[Insurer Code]]&amp;"; "&amp;O537&amp;AS[[#This Row],[Reporting Year]]&amp;"; "&amp;P537&amp;AS[[#This Row],[Insurance Category Code]]&amp;"; "&amp;Q537&amp;AS[[#This Row],[Large Provider Entity Code]]&amp;"; "&amp;R537&amp;AS[[#This Row],[Age Band Code]]&amp;"; "&amp;S537&amp;AS[[#This Row],[Sex Code]]</f>
        <v xml:space="preserve">Insurer Code ; Reporting Year ; Insurance Category Code ; Large Provider Entity Code ; Age Band Code ; Sex Code </v>
      </c>
      <c r="N537" s="345" t="s">
        <v>207</v>
      </c>
      <c r="O537" s="345" t="s">
        <v>208</v>
      </c>
      <c r="P537" s="345" t="s">
        <v>209</v>
      </c>
      <c r="Q537" s="345" t="s">
        <v>210</v>
      </c>
      <c r="R537" s="345" t="s">
        <v>223</v>
      </c>
      <c r="S537" s="345" t="s">
        <v>224</v>
      </c>
    </row>
    <row r="538" spans="1:19" x14ac:dyDescent="0.25">
      <c r="A538" s="311"/>
      <c r="B538" s="312"/>
      <c r="C538" s="312"/>
      <c r="D538" s="312"/>
      <c r="E538" s="312"/>
      <c r="F538" s="312"/>
      <c r="G538" s="328"/>
      <c r="H538" s="337"/>
      <c r="I538" s="334"/>
      <c r="J538" s="314"/>
      <c r="K538" s="449"/>
      <c r="M538" s="349" t="str">
        <f>N538&amp;AS[[#This Row],[Insurer Code]]&amp;"; "&amp;O538&amp;AS[[#This Row],[Reporting Year]]&amp;"; "&amp;P538&amp;AS[[#This Row],[Insurance Category Code]]&amp;"; "&amp;Q538&amp;AS[[#This Row],[Large Provider Entity Code]]&amp;"; "&amp;R538&amp;AS[[#This Row],[Age Band Code]]&amp;"; "&amp;S538&amp;AS[[#This Row],[Sex Code]]</f>
        <v xml:space="preserve">Insurer Code ; Reporting Year ; Insurance Category Code ; Large Provider Entity Code ; Age Band Code ; Sex Code </v>
      </c>
      <c r="N538" s="345" t="s">
        <v>207</v>
      </c>
      <c r="O538" s="345" t="s">
        <v>208</v>
      </c>
      <c r="P538" s="345" t="s">
        <v>209</v>
      </c>
      <c r="Q538" s="345" t="s">
        <v>210</v>
      </c>
      <c r="R538" s="345" t="s">
        <v>223</v>
      </c>
      <c r="S538" s="345" t="s">
        <v>224</v>
      </c>
    </row>
    <row r="539" spans="1:19" x14ac:dyDescent="0.25">
      <c r="A539" s="311"/>
      <c r="B539" s="312"/>
      <c r="C539" s="312"/>
      <c r="D539" s="312"/>
      <c r="E539" s="312"/>
      <c r="F539" s="312"/>
      <c r="G539" s="328"/>
      <c r="H539" s="337"/>
      <c r="I539" s="334"/>
      <c r="J539" s="314"/>
      <c r="K539" s="449"/>
      <c r="M539" s="349" t="str">
        <f>N539&amp;AS[[#This Row],[Insurer Code]]&amp;"; "&amp;O539&amp;AS[[#This Row],[Reporting Year]]&amp;"; "&amp;P539&amp;AS[[#This Row],[Insurance Category Code]]&amp;"; "&amp;Q539&amp;AS[[#This Row],[Large Provider Entity Code]]&amp;"; "&amp;R539&amp;AS[[#This Row],[Age Band Code]]&amp;"; "&amp;S539&amp;AS[[#This Row],[Sex Code]]</f>
        <v xml:space="preserve">Insurer Code ; Reporting Year ; Insurance Category Code ; Large Provider Entity Code ; Age Band Code ; Sex Code </v>
      </c>
      <c r="N539" s="345" t="s">
        <v>207</v>
      </c>
      <c r="O539" s="345" t="s">
        <v>208</v>
      </c>
      <c r="P539" s="345" t="s">
        <v>209</v>
      </c>
      <c r="Q539" s="345" t="s">
        <v>210</v>
      </c>
      <c r="R539" s="345" t="s">
        <v>223</v>
      </c>
      <c r="S539" s="345" t="s">
        <v>224</v>
      </c>
    </row>
    <row r="540" spans="1:19" x14ac:dyDescent="0.25">
      <c r="A540" s="311"/>
      <c r="B540" s="312"/>
      <c r="C540" s="312"/>
      <c r="D540" s="312"/>
      <c r="E540" s="312"/>
      <c r="F540" s="312"/>
      <c r="G540" s="328"/>
      <c r="H540" s="337"/>
      <c r="I540" s="334"/>
      <c r="J540" s="314"/>
      <c r="K540" s="449"/>
      <c r="M540" s="349" t="str">
        <f>N540&amp;AS[[#This Row],[Insurer Code]]&amp;"; "&amp;O540&amp;AS[[#This Row],[Reporting Year]]&amp;"; "&amp;P540&amp;AS[[#This Row],[Insurance Category Code]]&amp;"; "&amp;Q540&amp;AS[[#This Row],[Large Provider Entity Code]]&amp;"; "&amp;R540&amp;AS[[#This Row],[Age Band Code]]&amp;"; "&amp;S540&amp;AS[[#This Row],[Sex Code]]</f>
        <v xml:space="preserve">Insurer Code ; Reporting Year ; Insurance Category Code ; Large Provider Entity Code ; Age Band Code ; Sex Code </v>
      </c>
      <c r="N540" s="345" t="s">
        <v>207</v>
      </c>
      <c r="O540" s="345" t="s">
        <v>208</v>
      </c>
      <c r="P540" s="345" t="s">
        <v>209</v>
      </c>
      <c r="Q540" s="345" t="s">
        <v>210</v>
      </c>
      <c r="R540" s="345" t="s">
        <v>223</v>
      </c>
      <c r="S540" s="345" t="s">
        <v>224</v>
      </c>
    </row>
    <row r="541" spans="1:19" x14ac:dyDescent="0.25">
      <c r="A541" s="311"/>
      <c r="B541" s="312"/>
      <c r="C541" s="312"/>
      <c r="D541" s="312"/>
      <c r="E541" s="312"/>
      <c r="F541" s="312"/>
      <c r="G541" s="328"/>
      <c r="H541" s="337"/>
      <c r="I541" s="334"/>
      <c r="J541" s="314"/>
      <c r="K541" s="449"/>
      <c r="M541" s="349" t="str">
        <f>N541&amp;AS[[#This Row],[Insurer Code]]&amp;"; "&amp;O541&amp;AS[[#This Row],[Reporting Year]]&amp;"; "&amp;P541&amp;AS[[#This Row],[Insurance Category Code]]&amp;"; "&amp;Q541&amp;AS[[#This Row],[Large Provider Entity Code]]&amp;"; "&amp;R541&amp;AS[[#This Row],[Age Band Code]]&amp;"; "&amp;S541&amp;AS[[#This Row],[Sex Code]]</f>
        <v xml:space="preserve">Insurer Code ; Reporting Year ; Insurance Category Code ; Large Provider Entity Code ; Age Band Code ; Sex Code </v>
      </c>
      <c r="N541" s="345" t="s">
        <v>207</v>
      </c>
      <c r="O541" s="345" t="s">
        <v>208</v>
      </c>
      <c r="P541" s="345" t="s">
        <v>209</v>
      </c>
      <c r="Q541" s="345" t="s">
        <v>210</v>
      </c>
      <c r="R541" s="345" t="s">
        <v>223</v>
      </c>
      <c r="S541" s="345" t="s">
        <v>224</v>
      </c>
    </row>
    <row r="542" spans="1:19" x14ac:dyDescent="0.25">
      <c r="A542" s="311"/>
      <c r="B542" s="312"/>
      <c r="C542" s="312"/>
      <c r="D542" s="312"/>
      <c r="E542" s="312"/>
      <c r="F542" s="312"/>
      <c r="G542" s="328"/>
      <c r="H542" s="337"/>
      <c r="I542" s="334"/>
      <c r="J542" s="314"/>
      <c r="K542" s="449"/>
      <c r="M542" s="349" t="str">
        <f>N542&amp;AS[[#This Row],[Insurer Code]]&amp;"; "&amp;O542&amp;AS[[#This Row],[Reporting Year]]&amp;"; "&amp;P542&amp;AS[[#This Row],[Insurance Category Code]]&amp;"; "&amp;Q542&amp;AS[[#This Row],[Large Provider Entity Code]]&amp;"; "&amp;R542&amp;AS[[#This Row],[Age Band Code]]&amp;"; "&amp;S542&amp;AS[[#This Row],[Sex Code]]</f>
        <v xml:space="preserve">Insurer Code ; Reporting Year ; Insurance Category Code ; Large Provider Entity Code ; Age Band Code ; Sex Code </v>
      </c>
      <c r="N542" s="345" t="s">
        <v>207</v>
      </c>
      <c r="O542" s="345" t="s">
        <v>208</v>
      </c>
      <c r="P542" s="345" t="s">
        <v>209</v>
      </c>
      <c r="Q542" s="345" t="s">
        <v>210</v>
      </c>
      <c r="R542" s="345" t="s">
        <v>223</v>
      </c>
      <c r="S542" s="345" t="s">
        <v>224</v>
      </c>
    </row>
    <row r="543" spans="1:19" x14ac:dyDescent="0.25">
      <c r="A543" s="311"/>
      <c r="B543" s="312"/>
      <c r="C543" s="312"/>
      <c r="D543" s="312"/>
      <c r="E543" s="312"/>
      <c r="F543" s="312"/>
      <c r="G543" s="328"/>
      <c r="H543" s="337"/>
      <c r="I543" s="334"/>
      <c r="J543" s="314"/>
      <c r="K543" s="449"/>
      <c r="M543" s="349" t="str">
        <f>N543&amp;AS[[#This Row],[Insurer Code]]&amp;"; "&amp;O543&amp;AS[[#This Row],[Reporting Year]]&amp;"; "&amp;P543&amp;AS[[#This Row],[Insurance Category Code]]&amp;"; "&amp;Q543&amp;AS[[#This Row],[Large Provider Entity Code]]&amp;"; "&amp;R543&amp;AS[[#This Row],[Age Band Code]]&amp;"; "&amp;S543&amp;AS[[#This Row],[Sex Code]]</f>
        <v xml:space="preserve">Insurer Code ; Reporting Year ; Insurance Category Code ; Large Provider Entity Code ; Age Band Code ; Sex Code </v>
      </c>
      <c r="N543" s="345" t="s">
        <v>207</v>
      </c>
      <c r="O543" s="345" t="s">
        <v>208</v>
      </c>
      <c r="P543" s="345" t="s">
        <v>209</v>
      </c>
      <c r="Q543" s="345" t="s">
        <v>210</v>
      </c>
      <c r="R543" s="345" t="s">
        <v>223</v>
      </c>
      <c r="S543" s="345" t="s">
        <v>224</v>
      </c>
    </row>
    <row r="544" spans="1:19" x14ac:dyDescent="0.25">
      <c r="A544" s="311"/>
      <c r="B544" s="312"/>
      <c r="C544" s="312"/>
      <c r="D544" s="312"/>
      <c r="E544" s="312"/>
      <c r="F544" s="312"/>
      <c r="G544" s="328"/>
      <c r="H544" s="337"/>
      <c r="I544" s="334"/>
      <c r="J544" s="314"/>
      <c r="K544" s="449"/>
      <c r="M544" s="349" t="str">
        <f>N544&amp;AS[[#This Row],[Insurer Code]]&amp;"; "&amp;O544&amp;AS[[#This Row],[Reporting Year]]&amp;"; "&amp;P544&amp;AS[[#This Row],[Insurance Category Code]]&amp;"; "&amp;Q544&amp;AS[[#This Row],[Large Provider Entity Code]]&amp;"; "&amp;R544&amp;AS[[#This Row],[Age Band Code]]&amp;"; "&amp;S544&amp;AS[[#This Row],[Sex Code]]</f>
        <v xml:space="preserve">Insurer Code ; Reporting Year ; Insurance Category Code ; Large Provider Entity Code ; Age Band Code ; Sex Code </v>
      </c>
      <c r="N544" s="345" t="s">
        <v>207</v>
      </c>
      <c r="O544" s="345" t="s">
        <v>208</v>
      </c>
      <c r="P544" s="345" t="s">
        <v>209</v>
      </c>
      <c r="Q544" s="345" t="s">
        <v>210</v>
      </c>
      <c r="R544" s="345" t="s">
        <v>223</v>
      </c>
      <c r="S544" s="345" t="s">
        <v>224</v>
      </c>
    </row>
    <row r="545" spans="1:19" x14ac:dyDescent="0.25">
      <c r="A545" s="311"/>
      <c r="B545" s="312"/>
      <c r="C545" s="312"/>
      <c r="D545" s="312"/>
      <c r="E545" s="312"/>
      <c r="F545" s="312"/>
      <c r="G545" s="328"/>
      <c r="H545" s="337"/>
      <c r="I545" s="334"/>
      <c r="J545" s="314"/>
      <c r="K545" s="449"/>
      <c r="M545" s="349" t="str">
        <f>N545&amp;AS[[#This Row],[Insurer Code]]&amp;"; "&amp;O545&amp;AS[[#This Row],[Reporting Year]]&amp;"; "&amp;P545&amp;AS[[#This Row],[Insurance Category Code]]&amp;"; "&amp;Q545&amp;AS[[#This Row],[Large Provider Entity Code]]&amp;"; "&amp;R545&amp;AS[[#This Row],[Age Band Code]]&amp;"; "&amp;S545&amp;AS[[#This Row],[Sex Code]]</f>
        <v xml:space="preserve">Insurer Code ; Reporting Year ; Insurance Category Code ; Large Provider Entity Code ; Age Band Code ; Sex Code </v>
      </c>
      <c r="N545" s="345" t="s">
        <v>207</v>
      </c>
      <c r="O545" s="345" t="s">
        <v>208</v>
      </c>
      <c r="P545" s="345" t="s">
        <v>209</v>
      </c>
      <c r="Q545" s="345" t="s">
        <v>210</v>
      </c>
      <c r="R545" s="345" t="s">
        <v>223</v>
      </c>
      <c r="S545" s="345" t="s">
        <v>224</v>
      </c>
    </row>
    <row r="546" spans="1:19" x14ac:dyDescent="0.25">
      <c r="A546" s="311"/>
      <c r="B546" s="312"/>
      <c r="C546" s="312"/>
      <c r="D546" s="312"/>
      <c r="E546" s="312"/>
      <c r="F546" s="312"/>
      <c r="G546" s="328"/>
      <c r="H546" s="337"/>
      <c r="I546" s="334"/>
      <c r="J546" s="314"/>
      <c r="K546" s="449"/>
      <c r="M546" s="349" t="str">
        <f>N546&amp;AS[[#This Row],[Insurer Code]]&amp;"; "&amp;O546&amp;AS[[#This Row],[Reporting Year]]&amp;"; "&amp;P546&amp;AS[[#This Row],[Insurance Category Code]]&amp;"; "&amp;Q546&amp;AS[[#This Row],[Large Provider Entity Code]]&amp;"; "&amp;R546&amp;AS[[#This Row],[Age Band Code]]&amp;"; "&amp;S546&amp;AS[[#This Row],[Sex Code]]</f>
        <v xml:space="preserve">Insurer Code ; Reporting Year ; Insurance Category Code ; Large Provider Entity Code ; Age Band Code ; Sex Code </v>
      </c>
      <c r="N546" s="345" t="s">
        <v>207</v>
      </c>
      <c r="O546" s="345" t="s">
        <v>208</v>
      </c>
      <c r="P546" s="345" t="s">
        <v>209</v>
      </c>
      <c r="Q546" s="345" t="s">
        <v>210</v>
      </c>
      <c r="R546" s="345" t="s">
        <v>223</v>
      </c>
      <c r="S546" s="345" t="s">
        <v>224</v>
      </c>
    </row>
    <row r="547" spans="1:19" x14ac:dyDescent="0.25">
      <c r="A547" s="311"/>
      <c r="B547" s="312"/>
      <c r="C547" s="312"/>
      <c r="D547" s="312"/>
      <c r="E547" s="312"/>
      <c r="F547" s="312"/>
      <c r="G547" s="328"/>
      <c r="H547" s="337"/>
      <c r="I547" s="334"/>
      <c r="J547" s="314"/>
      <c r="K547" s="449"/>
      <c r="M547" s="349" t="str">
        <f>N547&amp;AS[[#This Row],[Insurer Code]]&amp;"; "&amp;O547&amp;AS[[#This Row],[Reporting Year]]&amp;"; "&amp;P547&amp;AS[[#This Row],[Insurance Category Code]]&amp;"; "&amp;Q547&amp;AS[[#This Row],[Large Provider Entity Code]]&amp;"; "&amp;R547&amp;AS[[#This Row],[Age Band Code]]&amp;"; "&amp;S547&amp;AS[[#This Row],[Sex Code]]</f>
        <v xml:space="preserve">Insurer Code ; Reporting Year ; Insurance Category Code ; Large Provider Entity Code ; Age Band Code ; Sex Code </v>
      </c>
      <c r="N547" s="345" t="s">
        <v>207</v>
      </c>
      <c r="O547" s="345" t="s">
        <v>208</v>
      </c>
      <c r="P547" s="345" t="s">
        <v>209</v>
      </c>
      <c r="Q547" s="345" t="s">
        <v>210</v>
      </c>
      <c r="R547" s="345" t="s">
        <v>223</v>
      </c>
      <c r="S547" s="345" t="s">
        <v>224</v>
      </c>
    </row>
    <row r="548" spans="1:19" x14ac:dyDescent="0.25">
      <c r="A548" s="311"/>
      <c r="B548" s="312"/>
      <c r="C548" s="312"/>
      <c r="D548" s="312"/>
      <c r="E548" s="312"/>
      <c r="F548" s="312"/>
      <c r="G548" s="328"/>
      <c r="H548" s="337"/>
      <c r="I548" s="334"/>
      <c r="J548" s="314"/>
      <c r="K548" s="449"/>
      <c r="M548" s="349" t="str">
        <f>N548&amp;AS[[#This Row],[Insurer Code]]&amp;"; "&amp;O548&amp;AS[[#This Row],[Reporting Year]]&amp;"; "&amp;P548&amp;AS[[#This Row],[Insurance Category Code]]&amp;"; "&amp;Q548&amp;AS[[#This Row],[Large Provider Entity Code]]&amp;"; "&amp;R548&amp;AS[[#This Row],[Age Band Code]]&amp;"; "&amp;S548&amp;AS[[#This Row],[Sex Code]]</f>
        <v xml:space="preserve">Insurer Code ; Reporting Year ; Insurance Category Code ; Large Provider Entity Code ; Age Band Code ; Sex Code </v>
      </c>
      <c r="N548" s="345" t="s">
        <v>207</v>
      </c>
      <c r="O548" s="345" t="s">
        <v>208</v>
      </c>
      <c r="P548" s="345" t="s">
        <v>209</v>
      </c>
      <c r="Q548" s="345" t="s">
        <v>210</v>
      </c>
      <c r="R548" s="345" t="s">
        <v>223</v>
      </c>
      <c r="S548" s="345" t="s">
        <v>224</v>
      </c>
    </row>
    <row r="549" spans="1:19" x14ac:dyDescent="0.25">
      <c r="A549" s="311"/>
      <c r="B549" s="312"/>
      <c r="C549" s="312"/>
      <c r="D549" s="312"/>
      <c r="E549" s="312"/>
      <c r="F549" s="312"/>
      <c r="G549" s="328"/>
      <c r="H549" s="337"/>
      <c r="I549" s="334"/>
      <c r="J549" s="314"/>
      <c r="K549" s="449"/>
      <c r="M549" s="349" t="str">
        <f>N549&amp;AS[[#This Row],[Insurer Code]]&amp;"; "&amp;O549&amp;AS[[#This Row],[Reporting Year]]&amp;"; "&amp;P549&amp;AS[[#This Row],[Insurance Category Code]]&amp;"; "&amp;Q549&amp;AS[[#This Row],[Large Provider Entity Code]]&amp;"; "&amp;R549&amp;AS[[#This Row],[Age Band Code]]&amp;"; "&amp;S549&amp;AS[[#This Row],[Sex Code]]</f>
        <v xml:space="preserve">Insurer Code ; Reporting Year ; Insurance Category Code ; Large Provider Entity Code ; Age Band Code ; Sex Code </v>
      </c>
      <c r="N549" s="345" t="s">
        <v>207</v>
      </c>
      <c r="O549" s="345" t="s">
        <v>208</v>
      </c>
      <c r="P549" s="345" t="s">
        <v>209</v>
      </c>
      <c r="Q549" s="345" t="s">
        <v>210</v>
      </c>
      <c r="R549" s="345" t="s">
        <v>223</v>
      </c>
      <c r="S549" s="345" t="s">
        <v>224</v>
      </c>
    </row>
    <row r="550" spans="1:19" x14ac:dyDescent="0.25">
      <c r="A550" s="311"/>
      <c r="B550" s="312"/>
      <c r="C550" s="312"/>
      <c r="D550" s="312"/>
      <c r="E550" s="312"/>
      <c r="F550" s="312"/>
      <c r="G550" s="328"/>
      <c r="H550" s="337"/>
      <c r="I550" s="334"/>
      <c r="J550" s="314"/>
      <c r="K550" s="449"/>
      <c r="M550" s="349" t="str">
        <f>N550&amp;AS[[#This Row],[Insurer Code]]&amp;"; "&amp;O550&amp;AS[[#This Row],[Reporting Year]]&amp;"; "&amp;P550&amp;AS[[#This Row],[Insurance Category Code]]&amp;"; "&amp;Q550&amp;AS[[#This Row],[Large Provider Entity Code]]&amp;"; "&amp;R550&amp;AS[[#This Row],[Age Band Code]]&amp;"; "&amp;S550&amp;AS[[#This Row],[Sex Code]]</f>
        <v xml:space="preserve">Insurer Code ; Reporting Year ; Insurance Category Code ; Large Provider Entity Code ; Age Band Code ; Sex Code </v>
      </c>
      <c r="N550" s="345" t="s">
        <v>207</v>
      </c>
      <c r="O550" s="345" t="s">
        <v>208</v>
      </c>
      <c r="P550" s="345" t="s">
        <v>209</v>
      </c>
      <c r="Q550" s="345" t="s">
        <v>210</v>
      </c>
      <c r="R550" s="345" t="s">
        <v>223</v>
      </c>
      <c r="S550" s="345" t="s">
        <v>224</v>
      </c>
    </row>
    <row r="551" spans="1:19" x14ac:dyDescent="0.25">
      <c r="A551" s="311"/>
      <c r="B551" s="312"/>
      <c r="C551" s="312"/>
      <c r="D551" s="312"/>
      <c r="E551" s="312"/>
      <c r="F551" s="312"/>
      <c r="G551" s="328"/>
      <c r="H551" s="337"/>
      <c r="I551" s="334"/>
      <c r="J551" s="314"/>
      <c r="K551" s="449"/>
      <c r="M551" s="349" t="str">
        <f>N551&amp;AS[[#This Row],[Insurer Code]]&amp;"; "&amp;O551&amp;AS[[#This Row],[Reporting Year]]&amp;"; "&amp;P551&amp;AS[[#This Row],[Insurance Category Code]]&amp;"; "&amp;Q551&amp;AS[[#This Row],[Large Provider Entity Code]]&amp;"; "&amp;R551&amp;AS[[#This Row],[Age Band Code]]&amp;"; "&amp;S551&amp;AS[[#This Row],[Sex Code]]</f>
        <v xml:space="preserve">Insurer Code ; Reporting Year ; Insurance Category Code ; Large Provider Entity Code ; Age Band Code ; Sex Code </v>
      </c>
      <c r="N551" s="345" t="s">
        <v>207</v>
      </c>
      <c r="O551" s="345" t="s">
        <v>208</v>
      </c>
      <c r="P551" s="345" t="s">
        <v>209</v>
      </c>
      <c r="Q551" s="345" t="s">
        <v>210</v>
      </c>
      <c r="R551" s="345" t="s">
        <v>223</v>
      </c>
      <c r="S551" s="345" t="s">
        <v>224</v>
      </c>
    </row>
    <row r="552" spans="1:19" x14ac:dyDescent="0.25">
      <c r="A552" s="311"/>
      <c r="B552" s="312"/>
      <c r="C552" s="312"/>
      <c r="D552" s="312"/>
      <c r="E552" s="312"/>
      <c r="F552" s="312"/>
      <c r="G552" s="328"/>
      <c r="H552" s="337"/>
      <c r="I552" s="334"/>
      <c r="J552" s="314"/>
      <c r="K552" s="449"/>
      <c r="M552" s="349" t="str">
        <f>N552&amp;AS[[#This Row],[Insurer Code]]&amp;"; "&amp;O552&amp;AS[[#This Row],[Reporting Year]]&amp;"; "&amp;P552&amp;AS[[#This Row],[Insurance Category Code]]&amp;"; "&amp;Q552&amp;AS[[#This Row],[Large Provider Entity Code]]&amp;"; "&amp;R552&amp;AS[[#This Row],[Age Band Code]]&amp;"; "&amp;S552&amp;AS[[#This Row],[Sex Code]]</f>
        <v xml:space="preserve">Insurer Code ; Reporting Year ; Insurance Category Code ; Large Provider Entity Code ; Age Band Code ; Sex Code </v>
      </c>
      <c r="N552" s="345" t="s">
        <v>207</v>
      </c>
      <c r="O552" s="345" t="s">
        <v>208</v>
      </c>
      <c r="P552" s="345" t="s">
        <v>209</v>
      </c>
      <c r="Q552" s="345" t="s">
        <v>210</v>
      </c>
      <c r="R552" s="345" t="s">
        <v>223</v>
      </c>
      <c r="S552" s="345" t="s">
        <v>224</v>
      </c>
    </row>
    <row r="553" spans="1:19" x14ac:dyDescent="0.25">
      <c r="A553" s="311"/>
      <c r="B553" s="312"/>
      <c r="C553" s="312"/>
      <c r="D553" s="312"/>
      <c r="E553" s="312"/>
      <c r="F553" s="312"/>
      <c r="G553" s="328"/>
      <c r="H553" s="337"/>
      <c r="I553" s="334"/>
      <c r="J553" s="314"/>
      <c r="K553" s="449"/>
      <c r="M553" s="349" t="str">
        <f>N553&amp;AS[[#This Row],[Insurer Code]]&amp;"; "&amp;O553&amp;AS[[#This Row],[Reporting Year]]&amp;"; "&amp;P553&amp;AS[[#This Row],[Insurance Category Code]]&amp;"; "&amp;Q553&amp;AS[[#This Row],[Large Provider Entity Code]]&amp;"; "&amp;R553&amp;AS[[#This Row],[Age Band Code]]&amp;"; "&amp;S553&amp;AS[[#This Row],[Sex Code]]</f>
        <v xml:space="preserve">Insurer Code ; Reporting Year ; Insurance Category Code ; Large Provider Entity Code ; Age Band Code ; Sex Code </v>
      </c>
      <c r="N553" s="345" t="s">
        <v>207</v>
      </c>
      <c r="O553" s="345" t="s">
        <v>208</v>
      </c>
      <c r="P553" s="345" t="s">
        <v>209</v>
      </c>
      <c r="Q553" s="345" t="s">
        <v>210</v>
      </c>
      <c r="R553" s="345" t="s">
        <v>223</v>
      </c>
      <c r="S553" s="345" t="s">
        <v>224</v>
      </c>
    </row>
    <row r="554" spans="1:19" x14ac:dyDescent="0.25">
      <c r="A554" s="311"/>
      <c r="B554" s="312"/>
      <c r="C554" s="312"/>
      <c r="D554" s="312"/>
      <c r="E554" s="312"/>
      <c r="F554" s="312"/>
      <c r="G554" s="328"/>
      <c r="H554" s="337"/>
      <c r="I554" s="334"/>
      <c r="J554" s="314"/>
      <c r="K554" s="449"/>
      <c r="M554" s="349" t="str">
        <f>N554&amp;AS[[#This Row],[Insurer Code]]&amp;"; "&amp;O554&amp;AS[[#This Row],[Reporting Year]]&amp;"; "&amp;P554&amp;AS[[#This Row],[Insurance Category Code]]&amp;"; "&amp;Q554&amp;AS[[#This Row],[Large Provider Entity Code]]&amp;"; "&amp;R554&amp;AS[[#This Row],[Age Band Code]]&amp;"; "&amp;S554&amp;AS[[#This Row],[Sex Code]]</f>
        <v xml:space="preserve">Insurer Code ; Reporting Year ; Insurance Category Code ; Large Provider Entity Code ; Age Band Code ; Sex Code </v>
      </c>
      <c r="N554" s="345" t="s">
        <v>207</v>
      </c>
      <c r="O554" s="345" t="s">
        <v>208</v>
      </c>
      <c r="P554" s="345" t="s">
        <v>209</v>
      </c>
      <c r="Q554" s="345" t="s">
        <v>210</v>
      </c>
      <c r="R554" s="345" t="s">
        <v>223</v>
      </c>
      <c r="S554" s="345" t="s">
        <v>224</v>
      </c>
    </row>
    <row r="555" spans="1:19" x14ac:dyDescent="0.25">
      <c r="A555" s="311"/>
      <c r="B555" s="312"/>
      <c r="C555" s="312"/>
      <c r="D555" s="312"/>
      <c r="E555" s="312"/>
      <c r="F555" s="312"/>
      <c r="G555" s="328"/>
      <c r="H555" s="337"/>
      <c r="I555" s="334"/>
      <c r="J555" s="314"/>
      <c r="K555" s="449"/>
      <c r="M555" s="349" t="str">
        <f>N555&amp;AS[[#This Row],[Insurer Code]]&amp;"; "&amp;O555&amp;AS[[#This Row],[Reporting Year]]&amp;"; "&amp;P555&amp;AS[[#This Row],[Insurance Category Code]]&amp;"; "&amp;Q555&amp;AS[[#This Row],[Large Provider Entity Code]]&amp;"; "&amp;R555&amp;AS[[#This Row],[Age Band Code]]&amp;"; "&amp;S555&amp;AS[[#This Row],[Sex Code]]</f>
        <v xml:space="preserve">Insurer Code ; Reporting Year ; Insurance Category Code ; Large Provider Entity Code ; Age Band Code ; Sex Code </v>
      </c>
      <c r="N555" s="345" t="s">
        <v>207</v>
      </c>
      <c r="O555" s="345" t="s">
        <v>208</v>
      </c>
      <c r="P555" s="345" t="s">
        <v>209</v>
      </c>
      <c r="Q555" s="345" t="s">
        <v>210</v>
      </c>
      <c r="R555" s="345" t="s">
        <v>223</v>
      </c>
      <c r="S555" s="345" t="s">
        <v>224</v>
      </c>
    </row>
    <row r="556" spans="1:19" x14ac:dyDescent="0.25">
      <c r="A556" s="311"/>
      <c r="B556" s="312"/>
      <c r="C556" s="312"/>
      <c r="D556" s="312"/>
      <c r="E556" s="312"/>
      <c r="F556" s="312"/>
      <c r="G556" s="328"/>
      <c r="H556" s="337"/>
      <c r="I556" s="334"/>
      <c r="J556" s="314"/>
      <c r="K556" s="449"/>
      <c r="M556" s="349" t="str">
        <f>N556&amp;AS[[#This Row],[Insurer Code]]&amp;"; "&amp;O556&amp;AS[[#This Row],[Reporting Year]]&amp;"; "&amp;P556&amp;AS[[#This Row],[Insurance Category Code]]&amp;"; "&amp;Q556&amp;AS[[#This Row],[Large Provider Entity Code]]&amp;"; "&amp;R556&amp;AS[[#This Row],[Age Band Code]]&amp;"; "&amp;S556&amp;AS[[#This Row],[Sex Code]]</f>
        <v xml:space="preserve">Insurer Code ; Reporting Year ; Insurance Category Code ; Large Provider Entity Code ; Age Band Code ; Sex Code </v>
      </c>
      <c r="N556" s="345" t="s">
        <v>207</v>
      </c>
      <c r="O556" s="345" t="s">
        <v>208</v>
      </c>
      <c r="P556" s="345" t="s">
        <v>209</v>
      </c>
      <c r="Q556" s="345" t="s">
        <v>210</v>
      </c>
      <c r="R556" s="345" t="s">
        <v>223</v>
      </c>
      <c r="S556" s="345" t="s">
        <v>224</v>
      </c>
    </row>
    <row r="557" spans="1:19" x14ac:dyDescent="0.25">
      <c r="A557" s="311"/>
      <c r="B557" s="312"/>
      <c r="C557" s="312"/>
      <c r="D557" s="312"/>
      <c r="E557" s="312"/>
      <c r="F557" s="312"/>
      <c r="G557" s="328"/>
      <c r="H557" s="337"/>
      <c r="I557" s="334"/>
      <c r="J557" s="314"/>
      <c r="K557" s="449"/>
      <c r="M557" s="349" t="str">
        <f>N557&amp;AS[[#This Row],[Insurer Code]]&amp;"; "&amp;O557&amp;AS[[#This Row],[Reporting Year]]&amp;"; "&amp;P557&amp;AS[[#This Row],[Insurance Category Code]]&amp;"; "&amp;Q557&amp;AS[[#This Row],[Large Provider Entity Code]]&amp;"; "&amp;R557&amp;AS[[#This Row],[Age Band Code]]&amp;"; "&amp;S557&amp;AS[[#This Row],[Sex Code]]</f>
        <v xml:space="preserve">Insurer Code ; Reporting Year ; Insurance Category Code ; Large Provider Entity Code ; Age Band Code ; Sex Code </v>
      </c>
      <c r="N557" s="345" t="s">
        <v>207</v>
      </c>
      <c r="O557" s="345" t="s">
        <v>208</v>
      </c>
      <c r="P557" s="345" t="s">
        <v>209</v>
      </c>
      <c r="Q557" s="345" t="s">
        <v>210</v>
      </c>
      <c r="R557" s="345" t="s">
        <v>223</v>
      </c>
      <c r="S557" s="345" t="s">
        <v>224</v>
      </c>
    </row>
    <row r="558" spans="1:19" x14ac:dyDescent="0.25">
      <c r="A558" s="311"/>
      <c r="B558" s="312"/>
      <c r="C558" s="312"/>
      <c r="D558" s="312"/>
      <c r="E558" s="312"/>
      <c r="F558" s="312"/>
      <c r="G558" s="328"/>
      <c r="H558" s="337"/>
      <c r="I558" s="334"/>
      <c r="J558" s="314"/>
      <c r="K558" s="449"/>
      <c r="M558" s="349" t="str">
        <f>N558&amp;AS[[#This Row],[Insurer Code]]&amp;"; "&amp;O558&amp;AS[[#This Row],[Reporting Year]]&amp;"; "&amp;P558&amp;AS[[#This Row],[Insurance Category Code]]&amp;"; "&amp;Q558&amp;AS[[#This Row],[Large Provider Entity Code]]&amp;"; "&amp;R558&amp;AS[[#This Row],[Age Band Code]]&amp;"; "&amp;S558&amp;AS[[#This Row],[Sex Code]]</f>
        <v xml:space="preserve">Insurer Code ; Reporting Year ; Insurance Category Code ; Large Provider Entity Code ; Age Band Code ; Sex Code </v>
      </c>
      <c r="N558" s="345" t="s">
        <v>207</v>
      </c>
      <c r="O558" s="345" t="s">
        <v>208</v>
      </c>
      <c r="P558" s="345" t="s">
        <v>209</v>
      </c>
      <c r="Q558" s="345" t="s">
        <v>210</v>
      </c>
      <c r="R558" s="345" t="s">
        <v>223</v>
      </c>
      <c r="S558" s="345" t="s">
        <v>224</v>
      </c>
    </row>
    <row r="559" spans="1:19" x14ac:dyDescent="0.25">
      <c r="A559" s="311"/>
      <c r="B559" s="312"/>
      <c r="C559" s="312"/>
      <c r="D559" s="312"/>
      <c r="E559" s="312"/>
      <c r="F559" s="312"/>
      <c r="G559" s="328"/>
      <c r="H559" s="337"/>
      <c r="I559" s="334"/>
      <c r="J559" s="314"/>
      <c r="K559" s="449"/>
      <c r="M559" s="349" t="str">
        <f>N559&amp;AS[[#This Row],[Insurer Code]]&amp;"; "&amp;O559&amp;AS[[#This Row],[Reporting Year]]&amp;"; "&amp;P559&amp;AS[[#This Row],[Insurance Category Code]]&amp;"; "&amp;Q559&amp;AS[[#This Row],[Large Provider Entity Code]]&amp;"; "&amp;R559&amp;AS[[#This Row],[Age Band Code]]&amp;"; "&amp;S559&amp;AS[[#This Row],[Sex Code]]</f>
        <v xml:space="preserve">Insurer Code ; Reporting Year ; Insurance Category Code ; Large Provider Entity Code ; Age Band Code ; Sex Code </v>
      </c>
      <c r="N559" s="345" t="s">
        <v>207</v>
      </c>
      <c r="O559" s="345" t="s">
        <v>208</v>
      </c>
      <c r="P559" s="345" t="s">
        <v>209</v>
      </c>
      <c r="Q559" s="345" t="s">
        <v>210</v>
      </c>
      <c r="R559" s="345" t="s">
        <v>223</v>
      </c>
      <c r="S559" s="345" t="s">
        <v>224</v>
      </c>
    </row>
    <row r="560" spans="1:19" x14ac:dyDescent="0.25">
      <c r="A560" s="311"/>
      <c r="B560" s="312"/>
      <c r="C560" s="312"/>
      <c r="D560" s="312"/>
      <c r="E560" s="312"/>
      <c r="F560" s="312"/>
      <c r="G560" s="328"/>
      <c r="H560" s="337"/>
      <c r="I560" s="334"/>
      <c r="J560" s="314"/>
      <c r="K560" s="449"/>
      <c r="M560" s="349" t="str">
        <f>N560&amp;AS[[#This Row],[Insurer Code]]&amp;"; "&amp;O560&amp;AS[[#This Row],[Reporting Year]]&amp;"; "&amp;P560&amp;AS[[#This Row],[Insurance Category Code]]&amp;"; "&amp;Q560&amp;AS[[#This Row],[Large Provider Entity Code]]&amp;"; "&amp;R560&amp;AS[[#This Row],[Age Band Code]]&amp;"; "&amp;S560&amp;AS[[#This Row],[Sex Code]]</f>
        <v xml:space="preserve">Insurer Code ; Reporting Year ; Insurance Category Code ; Large Provider Entity Code ; Age Band Code ; Sex Code </v>
      </c>
      <c r="N560" s="345" t="s">
        <v>207</v>
      </c>
      <c r="O560" s="345" t="s">
        <v>208</v>
      </c>
      <c r="P560" s="345" t="s">
        <v>209</v>
      </c>
      <c r="Q560" s="345" t="s">
        <v>210</v>
      </c>
      <c r="R560" s="345" t="s">
        <v>223</v>
      </c>
      <c r="S560" s="345" t="s">
        <v>224</v>
      </c>
    </row>
    <row r="561" spans="1:19" x14ac:dyDescent="0.25">
      <c r="A561" s="311"/>
      <c r="B561" s="312"/>
      <c r="C561" s="312"/>
      <c r="D561" s="312"/>
      <c r="E561" s="312"/>
      <c r="F561" s="312"/>
      <c r="G561" s="328"/>
      <c r="H561" s="337"/>
      <c r="I561" s="334"/>
      <c r="J561" s="314"/>
      <c r="K561" s="449"/>
      <c r="M561" s="349" t="str">
        <f>N561&amp;AS[[#This Row],[Insurer Code]]&amp;"; "&amp;O561&amp;AS[[#This Row],[Reporting Year]]&amp;"; "&amp;P561&amp;AS[[#This Row],[Insurance Category Code]]&amp;"; "&amp;Q561&amp;AS[[#This Row],[Large Provider Entity Code]]&amp;"; "&amp;R561&amp;AS[[#This Row],[Age Band Code]]&amp;"; "&amp;S561&amp;AS[[#This Row],[Sex Code]]</f>
        <v xml:space="preserve">Insurer Code ; Reporting Year ; Insurance Category Code ; Large Provider Entity Code ; Age Band Code ; Sex Code </v>
      </c>
      <c r="N561" s="345" t="s">
        <v>207</v>
      </c>
      <c r="O561" s="345" t="s">
        <v>208</v>
      </c>
      <c r="P561" s="345" t="s">
        <v>209</v>
      </c>
      <c r="Q561" s="345" t="s">
        <v>210</v>
      </c>
      <c r="R561" s="345" t="s">
        <v>223</v>
      </c>
      <c r="S561" s="345" t="s">
        <v>224</v>
      </c>
    </row>
    <row r="562" spans="1:19" x14ac:dyDescent="0.25">
      <c r="A562" s="311"/>
      <c r="B562" s="312"/>
      <c r="C562" s="312"/>
      <c r="D562" s="312"/>
      <c r="E562" s="312"/>
      <c r="F562" s="312"/>
      <c r="G562" s="328"/>
      <c r="H562" s="337"/>
      <c r="I562" s="334"/>
      <c r="J562" s="314"/>
      <c r="K562" s="449"/>
      <c r="M562" s="349" t="str">
        <f>N562&amp;AS[[#This Row],[Insurer Code]]&amp;"; "&amp;O562&amp;AS[[#This Row],[Reporting Year]]&amp;"; "&amp;P562&amp;AS[[#This Row],[Insurance Category Code]]&amp;"; "&amp;Q562&amp;AS[[#This Row],[Large Provider Entity Code]]&amp;"; "&amp;R562&amp;AS[[#This Row],[Age Band Code]]&amp;"; "&amp;S562&amp;AS[[#This Row],[Sex Code]]</f>
        <v xml:space="preserve">Insurer Code ; Reporting Year ; Insurance Category Code ; Large Provider Entity Code ; Age Band Code ; Sex Code </v>
      </c>
      <c r="N562" s="345" t="s">
        <v>207</v>
      </c>
      <c r="O562" s="345" t="s">
        <v>208</v>
      </c>
      <c r="P562" s="345" t="s">
        <v>209</v>
      </c>
      <c r="Q562" s="345" t="s">
        <v>210</v>
      </c>
      <c r="R562" s="345" t="s">
        <v>223</v>
      </c>
      <c r="S562" s="345" t="s">
        <v>224</v>
      </c>
    </row>
    <row r="563" spans="1:19" x14ac:dyDescent="0.25">
      <c r="A563" s="311"/>
      <c r="B563" s="312"/>
      <c r="C563" s="312"/>
      <c r="D563" s="312"/>
      <c r="E563" s="312"/>
      <c r="F563" s="312"/>
      <c r="G563" s="328"/>
      <c r="H563" s="337"/>
      <c r="I563" s="334"/>
      <c r="J563" s="314"/>
      <c r="K563" s="449"/>
      <c r="M563" s="349" t="str">
        <f>N563&amp;AS[[#This Row],[Insurer Code]]&amp;"; "&amp;O563&amp;AS[[#This Row],[Reporting Year]]&amp;"; "&amp;P563&amp;AS[[#This Row],[Insurance Category Code]]&amp;"; "&amp;Q563&amp;AS[[#This Row],[Large Provider Entity Code]]&amp;"; "&amp;R563&amp;AS[[#This Row],[Age Band Code]]&amp;"; "&amp;S563&amp;AS[[#This Row],[Sex Code]]</f>
        <v xml:space="preserve">Insurer Code ; Reporting Year ; Insurance Category Code ; Large Provider Entity Code ; Age Band Code ; Sex Code </v>
      </c>
      <c r="N563" s="345" t="s">
        <v>207</v>
      </c>
      <c r="O563" s="345" t="s">
        <v>208</v>
      </c>
      <c r="P563" s="345" t="s">
        <v>209</v>
      </c>
      <c r="Q563" s="345" t="s">
        <v>210</v>
      </c>
      <c r="R563" s="345" t="s">
        <v>223</v>
      </c>
      <c r="S563" s="345" t="s">
        <v>224</v>
      </c>
    </row>
    <row r="564" spans="1:19" x14ac:dyDescent="0.25">
      <c r="A564" s="311"/>
      <c r="B564" s="312"/>
      <c r="C564" s="312"/>
      <c r="D564" s="312"/>
      <c r="E564" s="312"/>
      <c r="F564" s="312"/>
      <c r="G564" s="328"/>
      <c r="H564" s="337"/>
      <c r="I564" s="334"/>
      <c r="J564" s="314"/>
      <c r="K564" s="449"/>
      <c r="M564" s="349" t="str">
        <f>N564&amp;AS[[#This Row],[Insurer Code]]&amp;"; "&amp;O564&amp;AS[[#This Row],[Reporting Year]]&amp;"; "&amp;P564&amp;AS[[#This Row],[Insurance Category Code]]&amp;"; "&amp;Q564&amp;AS[[#This Row],[Large Provider Entity Code]]&amp;"; "&amp;R564&amp;AS[[#This Row],[Age Band Code]]&amp;"; "&amp;S564&amp;AS[[#This Row],[Sex Code]]</f>
        <v xml:space="preserve">Insurer Code ; Reporting Year ; Insurance Category Code ; Large Provider Entity Code ; Age Band Code ; Sex Code </v>
      </c>
      <c r="N564" s="345" t="s">
        <v>207</v>
      </c>
      <c r="O564" s="345" t="s">
        <v>208</v>
      </c>
      <c r="P564" s="345" t="s">
        <v>209</v>
      </c>
      <c r="Q564" s="345" t="s">
        <v>210</v>
      </c>
      <c r="R564" s="345" t="s">
        <v>223</v>
      </c>
      <c r="S564" s="345" t="s">
        <v>224</v>
      </c>
    </row>
    <row r="565" spans="1:19" x14ac:dyDescent="0.25">
      <c r="A565" s="311"/>
      <c r="B565" s="312"/>
      <c r="C565" s="312"/>
      <c r="D565" s="312"/>
      <c r="E565" s="312"/>
      <c r="F565" s="312"/>
      <c r="G565" s="328"/>
      <c r="H565" s="337"/>
      <c r="I565" s="334"/>
      <c r="J565" s="314"/>
      <c r="K565" s="449"/>
      <c r="M565" s="349" t="str">
        <f>N565&amp;AS[[#This Row],[Insurer Code]]&amp;"; "&amp;O565&amp;AS[[#This Row],[Reporting Year]]&amp;"; "&amp;P565&amp;AS[[#This Row],[Insurance Category Code]]&amp;"; "&amp;Q565&amp;AS[[#This Row],[Large Provider Entity Code]]&amp;"; "&amp;R565&amp;AS[[#This Row],[Age Band Code]]&amp;"; "&amp;S565&amp;AS[[#This Row],[Sex Code]]</f>
        <v xml:space="preserve">Insurer Code ; Reporting Year ; Insurance Category Code ; Large Provider Entity Code ; Age Band Code ; Sex Code </v>
      </c>
      <c r="N565" s="345" t="s">
        <v>207</v>
      </c>
      <c r="O565" s="345" t="s">
        <v>208</v>
      </c>
      <c r="P565" s="345" t="s">
        <v>209</v>
      </c>
      <c r="Q565" s="345" t="s">
        <v>210</v>
      </c>
      <c r="R565" s="345" t="s">
        <v>223</v>
      </c>
      <c r="S565" s="345" t="s">
        <v>224</v>
      </c>
    </row>
    <row r="566" spans="1:19" x14ac:dyDescent="0.25">
      <c r="A566" s="311"/>
      <c r="B566" s="312"/>
      <c r="C566" s="312"/>
      <c r="D566" s="312"/>
      <c r="E566" s="312"/>
      <c r="F566" s="312"/>
      <c r="G566" s="328"/>
      <c r="H566" s="337"/>
      <c r="I566" s="334"/>
      <c r="J566" s="314"/>
      <c r="K566" s="449"/>
      <c r="M566" s="349" t="str">
        <f>N566&amp;AS[[#This Row],[Insurer Code]]&amp;"; "&amp;O566&amp;AS[[#This Row],[Reporting Year]]&amp;"; "&amp;P566&amp;AS[[#This Row],[Insurance Category Code]]&amp;"; "&amp;Q566&amp;AS[[#This Row],[Large Provider Entity Code]]&amp;"; "&amp;R566&amp;AS[[#This Row],[Age Band Code]]&amp;"; "&amp;S566&amp;AS[[#This Row],[Sex Code]]</f>
        <v xml:space="preserve">Insurer Code ; Reporting Year ; Insurance Category Code ; Large Provider Entity Code ; Age Band Code ; Sex Code </v>
      </c>
      <c r="N566" s="345" t="s">
        <v>207</v>
      </c>
      <c r="O566" s="345" t="s">
        <v>208</v>
      </c>
      <c r="P566" s="345" t="s">
        <v>209</v>
      </c>
      <c r="Q566" s="345" t="s">
        <v>210</v>
      </c>
      <c r="R566" s="345" t="s">
        <v>223</v>
      </c>
      <c r="S566" s="345" t="s">
        <v>224</v>
      </c>
    </row>
    <row r="567" spans="1:19" x14ac:dyDescent="0.25">
      <c r="A567" s="311"/>
      <c r="B567" s="312"/>
      <c r="C567" s="312"/>
      <c r="D567" s="312"/>
      <c r="E567" s="312"/>
      <c r="F567" s="312"/>
      <c r="G567" s="328"/>
      <c r="H567" s="337"/>
      <c r="I567" s="334"/>
      <c r="J567" s="314"/>
      <c r="K567" s="449"/>
      <c r="M567" s="349" t="str">
        <f>N567&amp;AS[[#This Row],[Insurer Code]]&amp;"; "&amp;O567&amp;AS[[#This Row],[Reporting Year]]&amp;"; "&amp;P567&amp;AS[[#This Row],[Insurance Category Code]]&amp;"; "&amp;Q567&amp;AS[[#This Row],[Large Provider Entity Code]]&amp;"; "&amp;R567&amp;AS[[#This Row],[Age Band Code]]&amp;"; "&amp;S567&amp;AS[[#This Row],[Sex Code]]</f>
        <v xml:space="preserve">Insurer Code ; Reporting Year ; Insurance Category Code ; Large Provider Entity Code ; Age Band Code ; Sex Code </v>
      </c>
      <c r="N567" s="345" t="s">
        <v>207</v>
      </c>
      <c r="O567" s="345" t="s">
        <v>208</v>
      </c>
      <c r="P567" s="345" t="s">
        <v>209</v>
      </c>
      <c r="Q567" s="345" t="s">
        <v>210</v>
      </c>
      <c r="R567" s="345" t="s">
        <v>223</v>
      </c>
      <c r="S567" s="345" t="s">
        <v>224</v>
      </c>
    </row>
    <row r="568" spans="1:19" x14ac:dyDescent="0.25">
      <c r="A568" s="311"/>
      <c r="B568" s="312"/>
      <c r="C568" s="312"/>
      <c r="D568" s="312"/>
      <c r="E568" s="312"/>
      <c r="F568" s="312"/>
      <c r="G568" s="328"/>
      <c r="H568" s="337"/>
      <c r="I568" s="334"/>
      <c r="J568" s="314"/>
      <c r="K568" s="449"/>
      <c r="M568" s="349" t="str">
        <f>N568&amp;AS[[#This Row],[Insurer Code]]&amp;"; "&amp;O568&amp;AS[[#This Row],[Reporting Year]]&amp;"; "&amp;P568&amp;AS[[#This Row],[Insurance Category Code]]&amp;"; "&amp;Q568&amp;AS[[#This Row],[Large Provider Entity Code]]&amp;"; "&amp;R568&amp;AS[[#This Row],[Age Band Code]]&amp;"; "&amp;S568&amp;AS[[#This Row],[Sex Code]]</f>
        <v xml:space="preserve">Insurer Code ; Reporting Year ; Insurance Category Code ; Large Provider Entity Code ; Age Band Code ; Sex Code </v>
      </c>
      <c r="N568" s="345" t="s">
        <v>207</v>
      </c>
      <c r="O568" s="345" t="s">
        <v>208</v>
      </c>
      <c r="P568" s="345" t="s">
        <v>209</v>
      </c>
      <c r="Q568" s="345" t="s">
        <v>210</v>
      </c>
      <c r="R568" s="345" t="s">
        <v>223</v>
      </c>
      <c r="S568" s="345" t="s">
        <v>224</v>
      </c>
    </row>
    <row r="569" spans="1:19" x14ac:dyDescent="0.25">
      <c r="A569" s="311"/>
      <c r="B569" s="312"/>
      <c r="C569" s="312"/>
      <c r="D569" s="312"/>
      <c r="E569" s="312"/>
      <c r="F569" s="312"/>
      <c r="G569" s="328"/>
      <c r="H569" s="337"/>
      <c r="I569" s="334"/>
      <c r="J569" s="314"/>
      <c r="K569" s="449"/>
      <c r="M569" s="349" t="str">
        <f>N569&amp;AS[[#This Row],[Insurer Code]]&amp;"; "&amp;O569&amp;AS[[#This Row],[Reporting Year]]&amp;"; "&amp;P569&amp;AS[[#This Row],[Insurance Category Code]]&amp;"; "&amp;Q569&amp;AS[[#This Row],[Large Provider Entity Code]]&amp;"; "&amp;R569&amp;AS[[#This Row],[Age Band Code]]&amp;"; "&amp;S569&amp;AS[[#This Row],[Sex Code]]</f>
        <v xml:space="preserve">Insurer Code ; Reporting Year ; Insurance Category Code ; Large Provider Entity Code ; Age Band Code ; Sex Code </v>
      </c>
      <c r="N569" s="345" t="s">
        <v>207</v>
      </c>
      <c r="O569" s="345" t="s">
        <v>208</v>
      </c>
      <c r="P569" s="345" t="s">
        <v>209</v>
      </c>
      <c r="Q569" s="345" t="s">
        <v>210</v>
      </c>
      <c r="R569" s="345" t="s">
        <v>223</v>
      </c>
      <c r="S569" s="345" t="s">
        <v>224</v>
      </c>
    </row>
    <row r="570" spans="1:19" x14ac:dyDescent="0.25">
      <c r="A570" s="311"/>
      <c r="B570" s="312"/>
      <c r="C570" s="312"/>
      <c r="D570" s="312"/>
      <c r="E570" s="312"/>
      <c r="F570" s="312"/>
      <c r="G570" s="328"/>
      <c r="H570" s="337"/>
      <c r="I570" s="334"/>
      <c r="J570" s="314"/>
      <c r="K570" s="449"/>
      <c r="M570" s="349" t="str">
        <f>N570&amp;AS[[#This Row],[Insurer Code]]&amp;"; "&amp;O570&amp;AS[[#This Row],[Reporting Year]]&amp;"; "&amp;P570&amp;AS[[#This Row],[Insurance Category Code]]&amp;"; "&amp;Q570&amp;AS[[#This Row],[Large Provider Entity Code]]&amp;"; "&amp;R570&amp;AS[[#This Row],[Age Band Code]]&amp;"; "&amp;S570&amp;AS[[#This Row],[Sex Code]]</f>
        <v xml:space="preserve">Insurer Code ; Reporting Year ; Insurance Category Code ; Large Provider Entity Code ; Age Band Code ; Sex Code </v>
      </c>
      <c r="N570" s="345" t="s">
        <v>207</v>
      </c>
      <c r="O570" s="345" t="s">
        <v>208</v>
      </c>
      <c r="P570" s="345" t="s">
        <v>209</v>
      </c>
      <c r="Q570" s="345" t="s">
        <v>210</v>
      </c>
      <c r="R570" s="345" t="s">
        <v>223</v>
      </c>
      <c r="S570" s="345" t="s">
        <v>224</v>
      </c>
    </row>
    <row r="571" spans="1:19" x14ac:dyDescent="0.25">
      <c r="A571" s="311"/>
      <c r="B571" s="312"/>
      <c r="C571" s="312"/>
      <c r="D571" s="312"/>
      <c r="E571" s="312"/>
      <c r="F571" s="312"/>
      <c r="G571" s="328"/>
      <c r="H571" s="337"/>
      <c r="I571" s="334"/>
      <c r="J571" s="314"/>
      <c r="K571" s="449"/>
      <c r="M571" s="349" t="str">
        <f>N571&amp;AS[[#This Row],[Insurer Code]]&amp;"; "&amp;O571&amp;AS[[#This Row],[Reporting Year]]&amp;"; "&amp;P571&amp;AS[[#This Row],[Insurance Category Code]]&amp;"; "&amp;Q571&amp;AS[[#This Row],[Large Provider Entity Code]]&amp;"; "&amp;R571&amp;AS[[#This Row],[Age Band Code]]&amp;"; "&amp;S571&amp;AS[[#This Row],[Sex Code]]</f>
        <v xml:space="preserve">Insurer Code ; Reporting Year ; Insurance Category Code ; Large Provider Entity Code ; Age Band Code ; Sex Code </v>
      </c>
      <c r="N571" s="345" t="s">
        <v>207</v>
      </c>
      <c r="O571" s="345" t="s">
        <v>208</v>
      </c>
      <c r="P571" s="345" t="s">
        <v>209</v>
      </c>
      <c r="Q571" s="345" t="s">
        <v>210</v>
      </c>
      <c r="R571" s="345" t="s">
        <v>223</v>
      </c>
      <c r="S571" s="345" t="s">
        <v>224</v>
      </c>
    </row>
    <row r="572" spans="1:19" x14ac:dyDescent="0.25">
      <c r="A572" s="311"/>
      <c r="B572" s="312"/>
      <c r="C572" s="312"/>
      <c r="D572" s="312"/>
      <c r="E572" s="312"/>
      <c r="F572" s="312"/>
      <c r="G572" s="328"/>
      <c r="H572" s="337"/>
      <c r="I572" s="334"/>
      <c r="J572" s="314"/>
      <c r="K572" s="449"/>
      <c r="M572" s="349" t="str">
        <f>N572&amp;AS[[#This Row],[Insurer Code]]&amp;"; "&amp;O572&amp;AS[[#This Row],[Reporting Year]]&amp;"; "&amp;P572&amp;AS[[#This Row],[Insurance Category Code]]&amp;"; "&amp;Q572&amp;AS[[#This Row],[Large Provider Entity Code]]&amp;"; "&amp;R572&amp;AS[[#This Row],[Age Band Code]]&amp;"; "&amp;S572&amp;AS[[#This Row],[Sex Code]]</f>
        <v xml:space="preserve">Insurer Code ; Reporting Year ; Insurance Category Code ; Large Provider Entity Code ; Age Band Code ; Sex Code </v>
      </c>
      <c r="N572" s="345" t="s">
        <v>207</v>
      </c>
      <c r="O572" s="345" t="s">
        <v>208</v>
      </c>
      <c r="P572" s="345" t="s">
        <v>209</v>
      </c>
      <c r="Q572" s="345" t="s">
        <v>210</v>
      </c>
      <c r="R572" s="345" t="s">
        <v>223</v>
      </c>
      <c r="S572" s="345" t="s">
        <v>224</v>
      </c>
    </row>
    <row r="573" spans="1:19" x14ac:dyDescent="0.25">
      <c r="A573" s="311"/>
      <c r="B573" s="312"/>
      <c r="C573" s="312"/>
      <c r="D573" s="312"/>
      <c r="E573" s="312"/>
      <c r="F573" s="312"/>
      <c r="G573" s="328"/>
      <c r="H573" s="337"/>
      <c r="I573" s="334"/>
      <c r="J573" s="314"/>
      <c r="K573" s="449"/>
      <c r="M573" s="349" t="str">
        <f>N573&amp;AS[[#This Row],[Insurer Code]]&amp;"; "&amp;O573&amp;AS[[#This Row],[Reporting Year]]&amp;"; "&amp;P573&amp;AS[[#This Row],[Insurance Category Code]]&amp;"; "&amp;Q573&amp;AS[[#This Row],[Large Provider Entity Code]]&amp;"; "&amp;R573&amp;AS[[#This Row],[Age Band Code]]&amp;"; "&amp;S573&amp;AS[[#This Row],[Sex Code]]</f>
        <v xml:space="preserve">Insurer Code ; Reporting Year ; Insurance Category Code ; Large Provider Entity Code ; Age Band Code ; Sex Code </v>
      </c>
      <c r="N573" s="345" t="s">
        <v>207</v>
      </c>
      <c r="O573" s="345" t="s">
        <v>208</v>
      </c>
      <c r="P573" s="345" t="s">
        <v>209</v>
      </c>
      <c r="Q573" s="345" t="s">
        <v>210</v>
      </c>
      <c r="R573" s="345" t="s">
        <v>223</v>
      </c>
      <c r="S573" s="345" t="s">
        <v>224</v>
      </c>
    </row>
    <row r="574" spans="1:19" x14ac:dyDescent="0.25">
      <c r="A574" s="311"/>
      <c r="B574" s="312"/>
      <c r="C574" s="312"/>
      <c r="D574" s="312"/>
      <c r="E574" s="312"/>
      <c r="F574" s="312"/>
      <c r="G574" s="328"/>
      <c r="H574" s="337"/>
      <c r="I574" s="334"/>
      <c r="J574" s="314"/>
      <c r="K574" s="449"/>
      <c r="M574" s="349" t="str">
        <f>N574&amp;AS[[#This Row],[Insurer Code]]&amp;"; "&amp;O574&amp;AS[[#This Row],[Reporting Year]]&amp;"; "&amp;P574&amp;AS[[#This Row],[Insurance Category Code]]&amp;"; "&amp;Q574&amp;AS[[#This Row],[Large Provider Entity Code]]&amp;"; "&amp;R574&amp;AS[[#This Row],[Age Band Code]]&amp;"; "&amp;S574&amp;AS[[#This Row],[Sex Code]]</f>
        <v xml:space="preserve">Insurer Code ; Reporting Year ; Insurance Category Code ; Large Provider Entity Code ; Age Band Code ; Sex Code </v>
      </c>
      <c r="N574" s="345" t="s">
        <v>207</v>
      </c>
      <c r="O574" s="345" t="s">
        <v>208</v>
      </c>
      <c r="P574" s="345" t="s">
        <v>209</v>
      </c>
      <c r="Q574" s="345" t="s">
        <v>210</v>
      </c>
      <c r="R574" s="345" t="s">
        <v>223</v>
      </c>
      <c r="S574" s="345" t="s">
        <v>224</v>
      </c>
    </row>
    <row r="575" spans="1:19" x14ac:dyDescent="0.25">
      <c r="A575" s="311"/>
      <c r="B575" s="312"/>
      <c r="C575" s="312"/>
      <c r="D575" s="312"/>
      <c r="E575" s="312"/>
      <c r="F575" s="312"/>
      <c r="G575" s="328"/>
      <c r="H575" s="337"/>
      <c r="I575" s="334"/>
      <c r="J575" s="314"/>
      <c r="K575" s="449"/>
      <c r="M575" s="349" t="str">
        <f>N575&amp;AS[[#This Row],[Insurer Code]]&amp;"; "&amp;O575&amp;AS[[#This Row],[Reporting Year]]&amp;"; "&amp;P575&amp;AS[[#This Row],[Insurance Category Code]]&amp;"; "&amp;Q575&amp;AS[[#This Row],[Large Provider Entity Code]]&amp;"; "&amp;R575&amp;AS[[#This Row],[Age Band Code]]&amp;"; "&amp;S575&amp;AS[[#This Row],[Sex Code]]</f>
        <v xml:space="preserve">Insurer Code ; Reporting Year ; Insurance Category Code ; Large Provider Entity Code ; Age Band Code ; Sex Code </v>
      </c>
      <c r="N575" s="345" t="s">
        <v>207</v>
      </c>
      <c r="O575" s="345" t="s">
        <v>208</v>
      </c>
      <c r="P575" s="345" t="s">
        <v>209</v>
      </c>
      <c r="Q575" s="345" t="s">
        <v>210</v>
      </c>
      <c r="R575" s="345" t="s">
        <v>223</v>
      </c>
      <c r="S575" s="345" t="s">
        <v>224</v>
      </c>
    </row>
    <row r="576" spans="1:19" x14ac:dyDescent="0.25">
      <c r="A576" s="311"/>
      <c r="B576" s="312"/>
      <c r="C576" s="312"/>
      <c r="D576" s="312"/>
      <c r="E576" s="312"/>
      <c r="F576" s="312"/>
      <c r="G576" s="328"/>
      <c r="H576" s="337"/>
      <c r="I576" s="334"/>
      <c r="J576" s="314"/>
      <c r="K576" s="449"/>
      <c r="M576" s="349" t="str">
        <f>N576&amp;AS[[#This Row],[Insurer Code]]&amp;"; "&amp;O576&amp;AS[[#This Row],[Reporting Year]]&amp;"; "&amp;P576&amp;AS[[#This Row],[Insurance Category Code]]&amp;"; "&amp;Q576&amp;AS[[#This Row],[Large Provider Entity Code]]&amp;"; "&amp;R576&amp;AS[[#This Row],[Age Band Code]]&amp;"; "&amp;S576&amp;AS[[#This Row],[Sex Code]]</f>
        <v xml:space="preserve">Insurer Code ; Reporting Year ; Insurance Category Code ; Large Provider Entity Code ; Age Band Code ; Sex Code </v>
      </c>
      <c r="N576" s="345" t="s">
        <v>207</v>
      </c>
      <c r="O576" s="345" t="s">
        <v>208</v>
      </c>
      <c r="P576" s="345" t="s">
        <v>209</v>
      </c>
      <c r="Q576" s="345" t="s">
        <v>210</v>
      </c>
      <c r="R576" s="345" t="s">
        <v>223</v>
      </c>
      <c r="S576" s="345" t="s">
        <v>224</v>
      </c>
    </row>
    <row r="577" spans="1:19" x14ac:dyDescent="0.25">
      <c r="A577" s="311"/>
      <c r="B577" s="312"/>
      <c r="C577" s="312"/>
      <c r="D577" s="312"/>
      <c r="E577" s="312"/>
      <c r="F577" s="312"/>
      <c r="G577" s="328"/>
      <c r="H577" s="337"/>
      <c r="I577" s="334"/>
      <c r="J577" s="314"/>
      <c r="K577" s="449"/>
      <c r="M577" s="349" t="str">
        <f>N577&amp;AS[[#This Row],[Insurer Code]]&amp;"; "&amp;O577&amp;AS[[#This Row],[Reporting Year]]&amp;"; "&amp;P577&amp;AS[[#This Row],[Insurance Category Code]]&amp;"; "&amp;Q577&amp;AS[[#This Row],[Large Provider Entity Code]]&amp;"; "&amp;R577&amp;AS[[#This Row],[Age Band Code]]&amp;"; "&amp;S577&amp;AS[[#This Row],[Sex Code]]</f>
        <v xml:space="preserve">Insurer Code ; Reporting Year ; Insurance Category Code ; Large Provider Entity Code ; Age Band Code ; Sex Code </v>
      </c>
      <c r="N577" s="345" t="s">
        <v>207</v>
      </c>
      <c r="O577" s="345" t="s">
        <v>208</v>
      </c>
      <c r="P577" s="345" t="s">
        <v>209</v>
      </c>
      <c r="Q577" s="345" t="s">
        <v>210</v>
      </c>
      <c r="R577" s="345" t="s">
        <v>223</v>
      </c>
      <c r="S577" s="345" t="s">
        <v>224</v>
      </c>
    </row>
    <row r="578" spans="1:19" x14ac:dyDescent="0.25">
      <c r="A578" s="311"/>
      <c r="B578" s="312"/>
      <c r="C578" s="312"/>
      <c r="D578" s="312"/>
      <c r="E578" s="312"/>
      <c r="F578" s="312"/>
      <c r="G578" s="328"/>
      <c r="H578" s="337"/>
      <c r="I578" s="334"/>
      <c r="J578" s="314"/>
      <c r="K578" s="449"/>
      <c r="M578" s="349" t="str">
        <f>N578&amp;AS[[#This Row],[Insurer Code]]&amp;"; "&amp;O578&amp;AS[[#This Row],[Reporting Year]]&amp;"; "&amp;P578&amp;AS[[#This Row],[Insurance Category Code]]&amp;"; "&amp;Q578&amp;AS[[#This Row],[Large Provider Entity Code]]&amp;"; "&amp;R578&amp;AS[[#This Row],[Age Band Code]]&amp;"; "&amp;S578&amp;AS[[#This Row],[Sex Code]]</f>
        <v xml:space="preserve">Insurer Code ; Reporting Year ; Insurance Category Code ; Large Provider Entity Code ; Age Band Code ; Sex Code </v>
      </c>
      <c r="N578" s="345" t="s">
        <v>207</v>
      </c>
      <c r="O578" s="345" t="s">
        <v>208</v>
      </c>
      <c r="P578" s="345" t="s">
        <v>209</v>
      </c>
      <c r="Q578" s="345" t="s">
        <v>210</v>
      </c>
      <c r="R578" s="345" t="s">
        <v>223</v>
      </c>
      <c r="S578" s="345" t="s">
        <v>224</v>
      </c>
    </row>
    <row r="579" spans="1:19" x14ac:dyDescent="0.25">
      <c r="A579" s="311"/>
      <c r="B579" s="312"/>
      <c r="C579" s="312"/>
      <c r="D579" s="312"/>
      <c r="E579" s="312"/>
      <c r="F579" s="312"/>
      <c r="G579" s="328"/>
      <c r="H579" s="337"/>
      <c r="I579" s="334"/>
      <c r="J579" s="314"/>
      <c r="K579" s="449"/>
      <c r="M579" s="349" t="str">
        <f>N579&amp;AS[[#This Row],[Insurer Code]]&amp;"; "&amp;O579&amp;AS[[#This Row],[Reporting Year]]&amp;"; "&amp;P579&amp;AS[[#This Row],[Insurance Category Code]]&amp;"; "&amp;Q579&amp;AS[[#This Row],[Large Provider Entity Code]]&amp;"; "&amp;R579&amp;AS[[#This Row],[Age Band Code]]&amp;"; "&amp;S579&amp;AS[[#This Row],[Sex Code]]</f>
        <v xml:space="preserve">Insurer Code ; Reporting Year ; Insurance Category Code ; Large Provider Entity Code ; Age Band Code ; Sex Code </v>
      </c>
      <c r="N579" s="345" t="s">
        <v>207</v>
      </c>
      <c r="O579" s="345" t="s">
        <v>208</v>
      </c>
      <c r="P579" s="345" t="s">
        <v>209</v>
      </c>
      <c r="Q579" s="345" t="s">
        <v>210</v>
      </c>
      <c r="R579" s="345" t="s">
        <v>223</v>
      </c>
      <c r="S579" s="345" t="s">
        <v>224</v>
      </c>
    </row>
    <row r="580" spans="1:19" x14ac:dyDescent="0.25">
      <c r="A580" s="311"/>
      <c r="B580" s="312"/>
      <c r="C580" s="312"/>
      <c r="D580" s="312"/>
      <c r="E580" s="312"/>
      <c r="F580" s="312"/>
      <c r="G580" s="328"/>
      <c r="H580" s="337"/>
      <c r="I580" s="334"/>
      <c r="J580" s="314"/>
      <c r="K580" s="449"/>
      <c r="M580" s="349" t="str">
        <f>N580&amp;AS[[#This Row],[Insurer Code]]&amp;"; "&amp;O580&amp;AS[[#This Row],[Reporting Year]]&amp;"; "&amp;P580&amp;AS[[#This Row],[Insurance Category Code]]&amp;"; "&amp;Q580&amp;AS[[#This Row],[Large Provider Entity Code]]&amp;"; "&amp;R580&amp;AS[[#This Row],[Age Band Code]]&amp;"; "&amp;S580&amp;AS[[#This Row],[Sex Code]]</f>
        <v xml:space="preserve">Insurer Code ; Reporting Year ; Insurance Category Code ; Large Provider Entity Code ; Age Band Code ; Sex Code </v>
      </c>
      <c r="N580" s="345" t="s">
        <v>207</v>
      </c>
      <c r="O580" s="345" t="s">
        <v>208</v>
      </c>
      <c r="P580" s="345" t="s">
        <v>209</v>
      </c>
      <c r="Q580" s="345" t="s">
        <v>210</v>
      </c>
      <c r="R580" s="345" t="s">
        <v>223</v>
      </c>
      <c r="S580" s="345" t="s">
        <v>224</v>
      </c>
    </row>
    <row r="581" spans="1:19" x14ac:dyDescent="0.25">
      <c r="A581" s="311"/>
      <c r="B581" s="312"/>
      <c r="C581" s="312"/>
      <c r="D581" s="312"/>
      <c r="E581" s="312"/>
      <c r="F581" s="312"/>
      <c r="G581" s="328"/>
      <c r="H581" s="337"/>
      <c r="I581" s="334"/>
      <c r="J581" s="314"/>
      <c r="K581" s="449"/>
      <c r="M581" s="349" t="str">
        <f>N581&amp;AS[[#This Row],[Insurer Code]]&amp;"; "&amp;O581&amp;AS[[#This Row],[Reporting Year]]&amp;"; "&amp;P581&amp;AS[[#This Row],[Insurance Category Code]]&amp;"; "&amp;Q581&amp;AS[[#This Row],[Large Provider Entity Code]]&amp;"; "&amp;R581&amp;AS[[#This Row],[Age Band Code]]&amp;"; "&amp;S581&amp;AS[[#This Row],[Sex Code]]</f>
        <v xml:space="preserve">Insurer Code ; Reporting Year ; Insurance Category Code ; Large Provider Entity Code ; Age Band Code ; Sex Code </v>
      </c>
      <c r="N581" s="345" t="s">
        <v>207</v>
      </c>
      <c r="O581" s="345" t="s">
        <v>208</v>
      </c>
      <c r="P581" s="345" t="s">
        <v>209</v>
      </c>
      <c r="Q581" s="345" t="s">
        <v>210</v>
      </c>
      <c r="R581" s="345" t="s">
        <v>223</v>
      </c>
      <c r="S581" s="345" t="s">
        <v>224</v>
      </c>
    </row>
    <row r="582" spans="1:19" x14ac:dyDescent="0.25">
      <c r="A582" s="311"/>
      <c r="B582" s="312"/>
      <c r="C582" s="312"/>
      <c r="D582" s="312"/>
      <c r="E582" s="312"/>
      <c r="F582" s="312"/>
      <c r="G582" s="328"/>
      <c r="H582" s="337"/>
      <c r="I582" s="334"/>
      <c r="J582" s="314"/>
      <c r="K582" s="449"/>
      <c r="M582" s="349" t="str">
        <f>N582&amp;AS[[#This Row],[Insurer Code]]&amp;"; "&amp;O582&amp;AS[[#This Row],[Reporting Year]]&amp;"; "&amp;P582&amp;AS[[#This Row],[Insurance Category Code]]&amp;"; "&amp;Q582&amp;AS[[#This Row],[Large Provider Entity Code]]&amp;"; "&amp;R582&amp;AS[[#This Row],[Age Band Code]]&amp;"; "&amp;S582&amp;AS[[#This Row],[Sex Code]]</f>
        <v xml:space="preserve">Insurer Code ; Reporting Year ; Insurance Category Code ; Large Provider Entity Code ; Age Band Code ; Sex Code </v>
      </c>
      <c r="N582" s="345" t="s">
        <v>207</v>
      </c>
      <c r="O582" s="345" t="s">
        <v>208</v>
      </c>
      <c r="P582" s="345" t="s">
        <v>209</v>
      </c>
      <c r="Q582" s="345" t="s">
        <v>210</v>
      </c>
      <c r="R582" s="345" t="s">
        <v>223</v>
      </c>
      <c r="S582" s="345" t="s">
        <v>224</v>
      </c>
    </row>
    <row r="583" spans="1:19" x14ac:dyDescent="0.25">
      <c r="A583" s="311"/>
      <c r="B583" s="312"/>
      <c r="C583" s="312"/>
      <c r="D583" s="312"/>
      <c r="E583" s="312"/>
      <c r="F583" s="312"/>
      <c r="G583" s="328"/>
      <c r="H583" s="337"/>
      <c r="I583" s="334"/>
      <c r="J583" s="314"/>
      <c r="K583" s="449"/>
      <c r="M583" s="349" t="str">
        <f>N583&amp;AS[[#This Row],[Insurer Code]]&amp;"; "&amp;O583&amp;AS[[#This Row],[Reporting Year]]&amp;"; "&amp;P583&amp;AS[[#This Row],[Insurance Category Code]]&amp;"; "&amp;Q583&amp;AS[[#This Row],[Large Provider Entity Code]]&amp;"; "&amp;R583&amp;AS[[#This Row],[Age Band Code]]&amp;"; "&amp;S583&amp;AS[[#This Row],[Sex Code]]</f>
        <v xml:space="preserve">Insurer Code ; Reporting Year ; Insurance Category Code ; Large Provider Entity Code ; Age Band Code ; Sex Code </v>
      </c>
      <c r="N583" s="345" t="s">
        <v>207</v>
      </c>
      <c r="O583" s="345" t="s">
        <v>208</v>
      </c>
      <c r="P583" s="345" t="s">
        <v>209</v>
      </c>
      <c r="Q583" s="345" t="s">
        <v>210</v>
      </c>
      <c r="R583" s="345" t="s">
        <v>223</v>
      </c>
      <c r="S583" s="345" t="s">
        <v>224</v>
      </c>
    </row>
    <row r="584" spans="1:19" x14ac:dyDescent="0.25">
      <c r="A584" s="311"/>
      <c r="B584" s="312"/>
      <c r="C584" s="312"/>
      <c r="D584" s="312"/>
      <c r="E584" s="312"/>
      <c r="F584" s="312"/>
      <c r="G584" s="328"/>
      <c r="H584" s="337"/>
      <c r="I584" s="334"/>
      <c r="J584" s="314"/>
      <c r="K584" s="449"/>
      <c r="M584" s="349" t="str">
        <f>N584&amp;AS[[#This Row],[Insurer Code]]&amp;"; "&amp;O584&amp;AS[[#This Row],[Reporting Year]]&amp;"; "&amp;P584&amp;AS[[#This Row],[Insurance Category Code]]&amp;"; "&amp;Q584&amp;AS[[#This Row],[Large Provider Entity Code]]&amp;"; "&amp;R584&amp;AS[[#This Row],[Age Band Code]]&amp;"; "&amp;S584&amp;AS[[#This Row],[Sex Code]]</f>
        <v xml:space="preserve">Insurer Code ; Reporting Year ; Insurance Category Code ; Large Provider Entity Code ; Age Band Code ; Sex Code </v>
      </c>
      <c r="N584" s="345" t="s">
        <v>207</v>
      </c>
      <c r="O584" s="345" t="s">
        <v>208</v>
      </c>
      <c r="P584" s="345" t="s">
        <v>209</v>
      </c>
      <c r="Q584" s="345" t="s">
        <v>210</v>
      </c>
      <c r="R584" s="345" t="s">
        <v>223</v>
      </c>
      <c r="S584" s="345" t="s">
        <v>224</v>
      </c>
    </row>
    <row r="585" spans="1:19" x14ac:dyDescent="0.25">
      <c r="A585" s="311"/>
      <c r="B585" s="312"/>
      <c r="C585" s="312"/>
      <c r="D585" s="312"/>
      <c r="E585" s="312"/>
      <c r="F585" s="312"/>
      <c r="G585" s="328"/>
      <c r="H585" s="337"/>
      <c r="I585" s="334"/>
      <c r="J585" s="314"/>
      <c r="K585" s="449"/>
      <c r="M585" s="349" t="str">
        <f>N585&amp;AS[[#This Row],[Insurer Code]]&amp;"; "&amp;O585&amp;AS[[#This Row],[Reporting Year]]&amp;"; "&amp;P585&amp;AS[[#This Row],[Insurance Category Code]]&amp;"; "&amp;Q585&amp;AS[[#This Row],[Large Provider Entity Code]]&amp;"; "&amp;R585&amp;AS[[#This Row],[Age Band Code]]&amp;"; "&amp;S585&amp;AS[[#This Row],[Sex Code]]</f>
        <v xml:space="preserve">Insurer Code ; Reporting Year ; Insurance Category Code ; Large Provider Entity Code ; Age Band Code ; Sex Code </v>
      </c>
      <c r="N585" s="345" t="s">
        <v>207</v>
      </c>
      <c r="O585" s="345" t="s">
        <v>208</v>
      </c>
      <c r="P585" s="345" t="s">
        <v>209</v>
      </c>
      <c r="Q585" s="345" t="s">
        <v>210</v>
      </c>
      <c r="R585" s="345" t="s">
        <v>223</v>
      </c>
      <c r="S585" s="345" t="s">
        <v>224</v>
      </c>
    </row>
    <row r="586" spans="1:19" x14ac:dyDescent="0.25">
      <c r="A586" s="311"/>
      <c r="B586" s="312"/>
      <c r="C586" s="312"/>
      <c r="D586" s="312"/>
      <c r="E586" s="312"/>
      <c r="F586" s="312"/>
      <c r="G586" s="328"/>
      <c r="H586" s="337"/>
      <c r="I586" s="334"/>
      <c r="J586" s="314"/>
      <c r="K586" s="449"/>
      <c r="M586" s="349" t="str">
        <f>N586&amp;AS[[#This Row],[Insurer Code]]&amp;"; "&amp;O586&amp;AS[[#This Row],[Reporting Year]]&amp;"; "&amp;P586&amp;AS[[#This Row],[Insurance Category Code]]&amp;"; "&amp;Q586&amp;AS[[#This Row],[Large Provider Entity Code]]&amp;"; "&amp;R586&amp;AS[[#This Row],[Age Band Code]]&amp;"; "&amp;S586&amp;AS[[#This Row],[Sex Code]]</f>
        <v xml:space="preserve">Insurer Code ; Reporting Year ; Insurance Category Code ; Large Provider Entity Code ; Age Band Code ; Sex Code </v>
      </c>
      <c r="N586" s="345" t="s">
        <v>207</v>
      </c>
      <c r="O586" s="345" t="s">
        <v>208</v>
      </c>
      <c r="P586" s="345" t="s">
        <v>209</v>
      </c>
      <c r="Q586" s="345" t="s">
        <v>210</v>
      </c>
      <c r="R586" s="345" t="s">
        <v>223</v>
      </c>
      <c r="S586" s="345" t="s">
        <v>224</v>
      </c>
    </row>
    <row r="587" spans="1:19" x14ac:dyDescent="0.25">
      <c r="A587" s="311"/>
      <c r="B587" s="312"/>
      <c r="C587" s="312"/>
      <c r="D587" s="312"/>
      <c r="E587" s="312"/>
      <c r="F587" s="312"/>
      <c r="G587" s="328"/>
      <c r="H587" s="337"/>
      <c r="I587" s="334"/>
      <c r="J587" s="314"/>
      <c r="K587" s="449"/>
      <c r="M587" s="349" t="str">
        <f>N587&amp;AS[[#This Row],[Insurer Code]]&amp;"; "&amp;O587&amp;AS[[#This Row],[Reporting Year]]&amp;"; "&amp;P587&amp;AS[[#This Row],[Insurance Category Code]]&amp;"; "&amp;Q587&amp;AS[[#This Row],[Large Provider Entity Code]]&amp;"; "&amp;R587&amp;AS[[#This Row],[Age Band Code]]&amp;"; "&amp;S587&amp;AS[[#This Row],[Sex Code]]</f>
        <v xml:space="preserve">Insurer Code ; Reporting Year ; Insurance Category Code ; Large Provider Entity Code ; Age Band Code ; Sex Code </v>
      </c>
      <c r="N587" s="345" t="s">
        <v>207</v>
      </c>
      <c r="O587" s="345" t="s">
        <v>208</v>
      </c>
      <c r="P587" s="345" t="s">
        <v>209</v>
      </c>
      <c r="Q587" s="345" t="s">
        <v>210</v>
      </c>
      <c r="R587" s="345" t="s">
        <v>223</v>
      </c>
      <c r="S587" s="345" t="s">
        <v>224</v>
      </c>
    </row>
    <row r="588" spans="1:19" x14ac:dyDescent="0.25">
      <c r="A588" s="311"/>
      <c r="B588" s="312"/>
      <c r="C588" s="312"/>
      <c r="D588" s="312"/>
      <c r="E588" s="312"/>
      <c r="F588" s="312"/>
      <c r="G588" s="328"/>
      <c r="H588" s="337"/>
      <c r="I588" s="334"/>
      <c r="J588" s="314"/>
      <c r="K588" s="449"/>
      <c r="M588" s="349" t="str">
        <f>N588&amp;AS[[#This Row],[Insurer Code]]&amp;"; "&amp;O588&amp;AS[[#This Row],[Reporting Year]]&amp;"; "&amp;P588&amp;AS[[#This Row],[Insurance Category Code]]&amp;"; "&amp;Q588&amp;AS[[#This Row],[Large Provider Entity Code]]&amp;"; "&amp;R588&amp;AS[[#This Row],[Age Band Code]]&amp;"; "&amp;S588&amp;AS[[#This Row],[Sex Code]]</f>
        <v xml:space="preserve">Insurer Code ; Reporting Year ; Insurance Category Code ; Large Provider Entity Code ; Age Band Code ; Sex Code </v>
      </c>
      <c r="N588" s="345" t="s">
        <v>207</v>
      </c>
      <c r="O588" s="345" t="s">
        <v>208</v>
      </c>
      <c r="P588" s="345" t="s">
        <v>209</v>
      </c>
      <c r="Q588" s="345" t="s">
        <v>210</v>
      </c>
      <c r="R588" s="345" t="s">
        <v>223</v>
      </c>
      <c r="S588" s="345" t="s">
        <v>224</v>
      </c>
    </row>
    <row r="589" spans="1:19" x14ac:dyDescent="0.25">
      <c r="A589" s="311"/>
      <c r="B589" s="312"/>
      <c r="C589" s="312"/>
      <c r="D589" s="312"/>
      <c r="E589" s="312"/>
      <c r="F589" s="312"/>
      <c r="G589" s="328"/>
      <c r="H589" s="337"/>
      <c r="I589" s="334"/>
      <c r="J589" s="314"/>
      <c r="K589" s="449"/>
      <c r="M589" s="349" t="str">
        <f>N589&amp;AS[[#This Row],[Insurer Code]]&amp;"; "&amp;O589&amp;AS[[#This Row],[Reporting Year]]&amp;"; "&amp;P589&amp;AS[[#This Row],[Insurance Category Code]]&amp;"; "&amp;Q589&amp;AS[[#This Row],[Large Provider Entity Code]]&amp;"; "&amp;R589&amp;AS[[#This Row],[Age Band Code]]&amp;"; "&amp;S589&amp;AS[[#This Row],[Sex Code]]</f>
        <v xml:space="preserve">Insurer Code ; Reporting Year ; Insurance Category Code ; Large Provider Entity Code ; Age Band Code ; Sex Code </v>
      </c>
      <c r="N589" s="345" t="s">
        <v>207</v>
      </c>
      <c r="O589" s="345" t="s">
        <v>208</v>
      </c>
      <c r="P589" s="345" t="s">
        <v>209</v>
      </c>
      <c r="Q589" s="345" t="s">
        <v>210</v>
      </c>
      <c r="R589" s="345" t="s">
        <v>223</v>
      </c>
      <c r="S589" s="345" t="s">
        <v>224</v>
      </c>
    </row>
    <row r="590" spans="1:19" x14ac:dyDescent="0.25">
      <c r="A590" s="311"/>
      <c r="B590" s="312"/>
      <c r="C590" s="312"/>
      <c r="D590" s="312"/>
      <c r="E590" s="312"/>
      <c r="F590" s="312"/>
      <c r="G590" s="328"/>
      <c r="H590" s="337"/>
      <c r="I590" s="334"/>
      <c r="J590" s="314"/>
      <c r="K590" s="449"/>
      <c r="M590" s="349" t="str">
        <f>N590&amp;AS[[#This Row],[Insurer Code]]&amp;"; "&amp;O590&amp;AS[[#This Row],[Reporting Year]]&amp;"; "&amp;P590&amp;AS[[#This Row],[Insurance Category Code]]&amp;"; "&amp;Q590&amp;AS[[#This Row],[Large Provider Entity Code]]&amp;"; "&amp;R590&amp;AS[[#This Row],[Age Band Code]]&amp;"; "&amp;S590&amp;AS[[#This Row],[Sex Code]]</f>
        <v xml:space="preserve">Insurer Code ; Reporting Year ; Insurance Category Code ; Large Provider Entity Code ; Age Band Code ; Sex Code </v>
      </c>
      <c r="N590" s="345" t="s">
        <v>207</v>
      </c>
      <c r="O590" s="345" t="s">
        <v>208</v>
      </c>
      <c r="P590" s="345" t="s">
        <v>209</v>
      </c>
      <c r="Q590" s="345" t="s">
        <v>210</v>
      </c>
      <c r="R590" s="345" t="s">
        <v>223</v>
      </c>
      <c r="S590" s="345" t="s">
        <v>224</v>
      </c>
    </row>
    <row r="591" spans="1:19" x14ac:dyDescent="0.25">
      <c r="A591" s="311"/>
      <c r="B591" s="312"/>
      <c r="C591" s="312"/>
      <c r="D591" s="312"/>
      <c r="E591" s="312"/>
      <c r="F591" s="312"/>
      <c r="G591" s="328"/>
      <c r="H591" s="337"/>
      <c r="I591" s="334"/>
      <c r="J591" s="314"/>
      <c r="K591" s="449"/>
      <c r="M591" s="349" t="str">
        <f>N591&amp;AS[[#This Row],[Insurer Code]]&amp;"; "&amp;O591&amp;AS[[#This Row],[Reporting Year]]&amp;"; "&amp;P591&amp;AS[[#This Row],[Insurance Category Code]]&amp;"; "&amp;Q591&amp;AS[[#This Row],[Large Provider Entity Code]]&amp;"; "&amp;R591&amp;AS[[#This Row],[Age Band Code]]&amp;"; "&amp;S591&amp;AS[[#This Row],[Sex Code]]</f>
        <v xml:space="preserve">Insurer Code ; Reporting Year ; Insurance Category Code ; Large Provider Entity Code ; Age Band Code ; Sex Code </v>
      </c>
      <c r="N591" s="345" t="s">
        <v>207</v>
      </c>
      <c r="O591" s="345" t="s">
        <v>208</v>
      </c>
      <c r="P591" s="345" t="s">
        <v>209</v>
      </c>
      <c r="Q591" s="345" t="s">
        <v>210</v>
      </c>
      <c r="R591" s="345" t="s">
        <v>223</v>
      </c>
      <c r="S591" s="345" t="s">
        <v>224</v>
      </c>
    </row>
    <row r="592" spans="1:19" x14ac:dyDescent="0.25">
      <c r="A592" s="311"/>
      <c r="B592" s="312"/>
      <c r="C592" s="312"/>
      <c r="D592" s="312"/>
      <c r="E592" s="312"/>
      <c r="F592" s="312"/>
      <c r="G592" s="328"/>
      <c r="H592" s="337"/>
      <c r="I592" s="334"/>
      <c r="J592" s="314"/>
      <c r="K592" s="449"/>
      <c r="M592" s="349" t="str">
        <f>N592&amp;AS[[#This Row],[Insurer Code]]&amp;"; "&amp;O592&amp;AS[[#This Row],[Reporting Year]]&amp;"; "&amp;P592&amp;AS[[#This Row],[Insurance Category Code]]&amp;"; "&amp;Q592&amp;AS[[#This Row],[Large Provider Entity Code]]&amp;"; "&amp;R592&amp;AS[[#This Row],[Age Band Code]]&amp;"; "&amp;S592&amp;AS[[#This Row],[Sex Code]]</f>
        <v xml:space="preserve">Insurer Code ; Reporting Year ; Insurance Category Code ; Large Provider Entity Code ; Age Band Code ; Sex Code </v>
      </c>
      <c r="N592" s="345" t="s">
        <v>207</v>
      </c>
      <c r="O592" s="345" t="s">
        <v>208</v>
      </c>
      <c r="P592" s="345" t="s">
        <v>209</v>
      </c>
      <c r="Q592" s="345" t="s">
        <v>210</v>
      </c>
      <c r="R592" s="345" t="s">
        <v>223</v>
      </c>
      <c r="S592" s="345" t="s">
        <v>224</v>
      </c>
    </row>
    <row r="593" spans="1:19" x14ac:dyDescent="0.25">
      <c r="A593" s="311"/>
      <c r="B593" s="312"/>
      <c r="C593" s="312"/>
      <c r="D593" s="312"/>
      <c r="E593" s="312"/>
      <c r="F593" s="312"/>
      <c r="G593" s="328"/>
      <c r="H593" s="337"/>
      <c r="I593" s="334"/>
      <c r="J593" s="314"/>
      <c r="K593" s="449"/>
      <c r="M593" s="349" t="str">
        <f>N593&amp;AS[[#This Row],[Insurer Code]]&amp;"; "&amp;O593&amp;AS[[#This Row],[Reporting Year]]&amp;"; "&amp;P593&amp;AS[[#This Row],[Insurance Category Code]]&amp;"; "&amp;Q593&amp;AS[[#This Row],[Large Provider Entity Code]]&amp;"; "&amp;R593&amp;AS[[#This Row],[Age Band Code]]&amp;"; "&amp;S593&amp;AS[[#This Row],[Sex Code]]</f>
        <v xml:space="preserve">Insurer Code ; Reporting Year ; Insurance Category Code ; Large Provider Entity Code ; Age Band Code ; Sex Code </v>
      </c>
      <c r="N593" s="345" t="s">
        <v>207</v>
      </c>
      <c r="O593" s="345" t="s">
        <v>208</v>
      </c>
      <c r="P593" s="345" t="s">
        <v>209</v>
      </c>
      <c r="Q593" s="345" t="s">
        <v>210</v>
      </c>
      <c r="R593" s="345" t="s">
        <v>223</v>
      </c>
      <c r="S593" s="345" t="s">
        <v>224</v>
      </c>
    </row>
    <row r="594" spans="1:19" x14ac:dyDescent="0.25">
      <c r="A594" s="311"/>
      <c r="B594" s="312"/>
      <c r="C594" s="312"/>
      <c r="D594" s="312"/>
      <c r="E594" s="312"/>
      <c r="F594" s="312"/>
      <c r="G594" s="328"/>
      <c r="H594" s="337"/>
      <c r="I594" s="334"/>
      <c r="J594" s="314"/>
      <c r="K594" s="449"/>
      <c r="M594" s="349" t="str">
        <f>N594&amp;AS[[#This Row],[Insurer Code]]&amp;"; "&amp;O594&amp;AS[[#This Row],[Reporting Year]]&amp;"; "&amp;P594&amp;AS[[#This Row],[Insurance Category Code]]&amp;"; "&amp;Q594&amp;AS[[#This Row],[Large Provider Entity Code]]&amp;"; "&amp;R594&amp;AS[[#This Row],[Age Band Code]]&amp;"; "&amp;S594&amp;AS[[#This Row],[Sex Code]]</f>
        <v xml:space="preserve">Insurer Code ; Reporting Year ; Insurance Category Code ; Large Provider Entity Code ; Age Band Code ; Sex Code </v>
      </c>
      <c r="N594" s="345" t="s">
        <v>207</v>
      </c>
      <c r="O594" s="345" t="s">
        <v>208</v>
      </c>
      <c r="P594" s="345" t="s">
        <v>209</v>
      </c>
      <c r="Q594" s="345" t="s">
        <v>210</v>
      </c>
      <c r="R594" s="345" t="s">
        <v>223</v>
      </c>
      <c r="S594" s="345" t="s">
        <v>224</v>
      </c>
    </row>
    <row r="595" spans="1:19" x14ac:dyDescent="0.25">
      <c r="A595" s="311"/>
      <c r="B595" s="312"/>
      <c r="C595" s="312"/>
      <c r="D595" s="312"/>
      <c r="E595" s="312"/>
      <c r="F595" s="312"/>
      <c r="G595" s="328"/>
      <c r="H595" s="337"/>
      <c r="I595" s="334"/>
      <c r="J595" s="314"/>
      <c r="K595" s="449"/>
      <c r="M595" s="349" t="str">
        <f>N595&amp;AS[[#This Row],[Insurer Code]]&amp;"; "&amp;O595&amp;AS[[#This Row],[Reporting Year]]&amp;"; "&amp;P595&amp;AS[[#This Row],[Insurance Category Code]]&amp;"; "&amp;Q595&amp;AS[[#This Row],[Large Provider Entity Code]]&amp;"; "&amp;R595&amp;AS[[#This Row],[Age Band Code]]&amp;"; "&amp;S595&amp;AS[[#This Row],[Sex Code]]</f>
        <v xml:space="preserve">Insurer Code ; Reporting Year ; Insurance Category Code ; Large Provider Entity Code ; Age Band Code ; Sex Code </v>
      </c>
      <c r="N595" s="345" t="s">
        <v>207</v>
      </c>
      <c r="O595" s="345" t="s">
        <v>208</v>
      </c>
      <c r="P595" s="345" t="s">
        <v>209</v>
      </c>
      <c r="Q595" s="345" t="s">
        <v>210</v>
      </c>
      <c r="R595" s="345" t="s">
        <v>223</v>
      </c>
      <c r="S595" s="345" t="s">
        <v>224</v>
      </c>
    </row>
    <row r="596" spans="1:19" x14ac:dyDescent="0.25">
      <c r="A596" s="311"/>
      <c r="B596" s="312"/>
      <c r="C596" s="312"/>
      <c r="D596" s="312"/>
      <c r="E596" s="312"/>
      <c r="F596" s="312"/>
      <c r="G596" s="328"/>
      <c r="H596" s="337"/>
      <c r="I596" s="334"/>
      <c r="J596" s="314"/>
      <c r="K596" s="449"/>
      <c r="M596" s="349" t="str">
        <f>N596&amp;AS[[#This Row],[Insurer Code]]&amp;"; "&amp;O596&amp;AS[[#This Row],[Reporting Year]]&amp;"; "&amp;P596&amp;AS[[#This Row],[Insurance Category Code]]&amp;"; "&amp;Q596&amp;AS[[#This Row],[Large Provider Entity Code]]&amp;"; "&amp;R596&amp;AS[[#This Row],[Age Band Code]]&amp;"; "&amp;S596&amp;AS[[#This Row],[Sex Code]]</f>
        <v xml:space="preserve">Insurer Code ; Reporting Year ; Insurance Category Code ; Large Provider Entity Code ; Age Band Code ; Sex Code </v>
      </c>
      <c r="N596" s="345" t="s">
        <v>207</v>
      </c>
      <c r="O596" s="345" t="s">
        <v>208</v>
      </c>
      <c r="P596" s="345" t="s">
        <v>209</v>
      </c>
      <c r="Q596" s="345" t="s">
        <v>210</v>
      </c>
      <c r="R596" s="345" t="s">
        <v>223</v>
      </c>
      <c r="S596" s="345" t="s">
        <v>224</v>
      </c>
    </row>
    <row r="597" spans="1:19" x14ac:dyDescent="0.25">
      <c r="A597" s="311"/>
      <c r="B597" s="312"/>
      <c r="C597" s="312"/>
      <c r="D597" s="312"/>
      <c r="E597" s="312"/>
      <c r="F597" s="312"/>
      <c r="G597" s="328"/>
      <c r="H597" s="337"/>
      <c r="I597" s="334"/>
      <c r="J597" s="314"/>
      <c r="K597" s="449"/>
      <c r="M597" s="349" t="str">
        <f>N597&amp;AS[[#This Row],[Insurer Code]]&amp;"; "&amp;O597&amp;AS[[#This Row],[Reporting Year]]&amp;"; "&amp;P597&amp;AS[[#This Row],[Insurance Category Code]]&amp;"; "&amp;Q597&amp;AS[[#This Row],[Large Provider Entity Code]]&amp;"; "&amp;R597&amp;AS[[#This Row],[Age Band Code]]&amp;"; "&amp;S597&amp;AS[[#This Row],[Sex Code]]</f>
        <v xml:space="preserve">Insurer Code ; Reporting Year ; Insurance Category Code ; Large Provider Entity Code ; Age Band Code ; Sex Code </v>
      </c>
      <c r="N597" s="345" t="s">
        <v>207</v>
      </c>
      <c r="O597" s="345" t="s">
        <v>208</v>
      </c>
      <c r="P597" s="345" t="s">
        <v>209</v>
      </c>
      <c r="Q597" s="345" t="s">
        <v>210</v>
      </c>
      <c r="R597" s="345" t="s">
        <v>223</v>
      </c>
      <c r="S597" s="345" t="s">
        <v>224</v>
      </c>
    </row>
    <row r="598" spans="1:19" x14ac:dyDescent="0.25">
      <c r="A598" s="311"/>
      <c r="B598" s="312"/>
      <c r="C598" s="312"/>
      <c r="D598" s="312"/>
      <c r="E598" s="312"/>
      <c r="F598" s="312"/>
      <c r="G598" s="328"/>
      <c r="H598" s="337"/>
      <c r="I598" s="334"/>
      <c r="J598" s="314"/>
      <c r="K598" s="449"/>
      <c r="M598" s="349" t="str">
        <f>N598&amp;AS[[#This Row],[Insurer Code]]&amp;"; "&amp;O598&amp;AS[[#This Row],[Reporting Year]]&amp;"; "&amp;P598&amp;AS[[#This Row],[Insurance Category Code]]&amp;"; "&amp;Q598&amp;AS[[#This Row],[Large Provider Entity Code]]&amp;"; "&amp;R598&amp;AS[[#This Row],[Age Band Code]]&amp;"; "&amp;S598&amp;AS[[#This Row],[Sex Code]]</f>
        <v xml:space="preserve">Insurer Code ; Reporting Year ; Insurance Category Code ; Large Provider Entity Code ; Age Band Code ; Sex Code </v>
      </c>
      <c r="N598" s="345" t="s">
        <v>207</v>
      </c>
      <c r="O598" s="345" t="s">
        <v>208</v>
      </c>
      <c r="P598" s="345" t="s">
        <v>209</v>
      </c>
      <c r="Q598" s="345" t="s">
        <v>210</v>
      </c>
      <c r="R598" s="345" t="s">
        <v>223</v>
      </c>
      <c r="S598" s="345" t="s">
        <v>224</v>
      </c>
    </row>
    <row r="599" spans="1:19" x14ac:dyDescent="0.25">
      <c r="A599" s="311"/>
      <c r="B599" s="312"/>
      <c r="C599" s="312"/>
      <c r="D599" s="312"/>
      <c r="E599" s="312"/>
      <c r="F599" s="312"/>
      <c r="G599" s="328"/>
      <c r="H599" s="337"/>
      <c r="I599" s="334"/>
      <c r="J599" s="314"/>
      <c r="K599" s="449"/>
      <c r="M599" s="349" t="str">
        <f>N599&amp;AS[[#This Row],[Insurer Code]]&amp;"; "&amp;O599&amp;AS[[#This Row],[Reporting Year]]&amp;"; "&amp;P599&amp;AS[[#This Row],[Insurance Category Code]]&amp;"; "&amp;Q599&amp;AS[[#This Row],[Large Provider Entity Code]]&amp;"; "&amp;R599&amp;AS[[#This Row],[Age Band Code]]&amp;"; "&amp;S599&amp;AS[[#This Row],[Sex Code]]</f>
        <v xml:space="preserve">Insurer Code ; Reporting Year ; Insurance Category Code ; Large Provider Entity Code ; Age Band Code ; Sex Code </v>
      </c>
      <c r="N599" s="345" t="s">
        <v>207</v>
      </c>
      <c r="O599" s="345" t="s">
        <v>208</v>
      </c>
      <c r="P599" s="345" t="s">
        <v>209</v>
      </c>
      <c r="Q599" s="345" t="s">
        <v>210</v>
      </c>
      <c r="R599" s="345" t="s">
        <v>223</v>
      </c>
      <c r="S599" s="345" t="s">
        <v>224</v>
      </c>
    </row>
    <row r="600" spans="1:19" x14ac:dyDescent="0.25">
      <c r="A600" s="311"/>
      <c r="B600" s="312"/>
      <c r="C600" s="312"/>
      <c r="D600" s="312"/>
      <c r="E600" s="312"/>
      <c r="F600" s="312"/>
      <c r="G600" s="328"/>
      <c r="H600" s="337"/>
      <c r="I600" s="334"/>
      <c r="J600" s="314"/>
      <c r="K600" s="449"/>
      <c r="M600" s="349" t="str">
        <f>N600&amp;AS[[#This Row],[Insurer Code]]&amp;"; "&amp;O600&amp;AS[[#This Row],[Reporting Year]]&amp;"; "&amp;P600&amp;AS[[#This Row],[Insurance Category Code]]&amp;"; "&amp;Q600&amp;AS[[#This Row],[Large Provider Entity Code]]&amp;"; "&amp;R600&amp;AS[[#This Row],[Age Band Code]]&amp;"; "&amp;S600&amp;AS[[#This Row],[Sex Code]]</f>
        <v xml:space="preserve">Insurer Code ; Reporting Year ; Insurance Category Code ; Large Provider Entity Code ; Age Band Code ; Sex Code </v>
      </c>
      <c r="N600" s="345" t="s">
        <v>207</v>
      </c>
      <c r="O600" s="345" t="s">
        <v>208</v>
      </c>
      <c r="P600" s="345" t="s">
        <v>209</v>
      </c>
      <c r="Q600" s="345" t="s">
        <v>210</v>
      </c>
      <c r="R600" s="345" t="s">
        <v>223</v>
      </c>
      <c r="S600" s="345" t="s">
        <v>224</v>
      </c>
    </row>
    <row r="601" spans="1:19" x14ac:dyDescent="0.25">
      <c r="A601" s="311"/>
      <c r="B601" s="312"/>
      <c r="C601" s="312"/>
      <c r="D601" s="312"/>
      <c r="E601" s="312"/>
      <c r="F601" s="312"/>
      <c r="G601" s="328"/>
      <c r="H601" s="337"/>
      <c r="I601" s="334"/>
      <c r="J601" s="314"/>
      <c r="K601" s="449"/>
      <c r="M601" s="349" t="str">
        <f>N601&amp;AS[[#This Row],[Insurer Code]]&amp;"; "&amp;O601&amp;AS[[#This Row],[Reporting Year]]&amp;"; "&amp;P601&amp;AS[[#This Row],[Insurance Category Code]]&amp;"; "&amp;Q601&amp;AS[[#This Row],[Large Provider Entity Code]]&amp;"; "&amp;R601&amp;AS[[#This Row],[Age Band Code]]&amp;"; "&amp;S601&amp;AS[[#This Row],[Sex Code]]</f>
        <v xml:space="preserve">Insurer Code ; Reporting Year ; Insurance Category Code ; Large Provider Entity Code ; Age Band Code ; Sex Code </v>
      </c>
      <c r="N601" s="345" t="s">
        <v>207</v>
      </c>
      <c r="O601" s="345" t="s">
        <v>208</v>
      </c>
      <c r="P601" s="345" t="s">
        <v>209</v>
      </c>
      <c r="Q601" s="345" t="s">
        <v>210</v>
      </c>
      <c r="R601" s="345" t="s">
        <v>223</v>
      </c>
      <c r="S601" s="345" t="s">
        <v>224</v>
      </c>
    </row>
    <row r="602" spans="1:19" x14ac:dyDescent="0.25">
      <c r="A602" s="311"/>
      <c r="B602" s="312"/>
      <c r="C602" s="312"/>
      <c r="D602" s="312"/>
      <c r="E602" s="312"/>
      <c r="F602" s="312"/>
      <c r="G602" s="328"/>
      <c r="H602" s="337"/>
      <c r="I602" s="334"/>
      <c r="J602" s="314"/>
      <c r="K602" s="449"/>
      <c r="M602" s="349" t="str">
        <f>N602&amp;AS[[#This Row],[Insurer Code]]&amp;"; "&amp;O602&amp;AS[[#This Row],[Reporting Year]]&amp;"; "&amp;P602&amp;AS[[#This Row],[Insurance Category Code]]&amp;"; "&amp;Q602&amp;AS[[#This Row],[Large Provider Entity Code]]&amp;"; "&amp;R602&amp;AS[[#This Row],[Age Band Code]]&amp;"; "&amp;S602&amp;AS[[#This Row],[Sex Code]]</f>
        <v xml:space="preserve">Insurer Code ; Reporting Year ; Insurance Category Code ; Large Provider Entity Code ; Age Band Code ; Sex Code </v>
      </c>
      <c r="N602" s="345" t="s">
        <v>207</v>
      </c>
      <c r="O602" s="345" t="s">
        <v>208</v>
      </c>
      <c r="P602" s="345" t="s">
        <v>209</v>
      </c>
      <c r="Q602" s="345" t="s">
        <v>210</v>
      </c>
      <c r="R602" s="345" t="s">
        <v>223</v>
      </c>
      <c r="S602" s="345" t="s">
        <v>224</v>
      </c>
    </row>
    <row r="603" spans="1:19" x14ac:dyDescent="0.25">
      <c r="A603" s="311"/>
      <c r="B603" s="312"/>
      <c r="C603" s="312"/>
      <c r="D603" s="312"/>
      <c r="E603" s="312"/>
      <c r="F603" s="312"/>
      <c r="G603" s="328"/>
      <c r="H603" s="337"/>
      <c r="I603" s="334"/>
      <c r="J603" s="314"/>
      <c r="K603" s="449"/>
      <c r="M603" s="349" t="str">
        <f>N603&amp;AS[[#This Row],[Insurer Code]]&amp;"; "&amp;O603&amp;AS[[#This Row],[Reporting Year]]&amp;"; "&amp;P603&amp;AS[[#This Row],[Insurance Category Code]]&amp;"; "&amp;Q603&amp;AS[[#This Row],[Large Provider Entity Code]]&amp;"; "&amp;R603&amp;AS[[#This Row],[Age Band Code]]&amp;"; "&amp;S603&amp;AS[[#This Row],[Sex Code]]</f>
        <v xml:space="preserve">Insurer Code ; Reporting Year ; Insurance Category Code ; Large Provider Entity Code ; Age Band Code ; Sex Code </v>
      </c>
      <c r="N603" s="345" t="s">
        <v>207</v>
      </c>
      <c r="O603" s="345" t="s">
        <v>208</v>
      </c>
      <c r="P603" s="345" t="s">
        <v>209</v>
      </c>
      <c r="Q603" s="345" t="s">
        <v>210</v>
      </c>
      <c r="R603" s="345" t="s">
        <v>223</v>
      </c>
      <c r="S603" s="345" t="s">
        <v>224</v>
      </c>
    </row>
    <row r="604" spans="1:19" x14ac:dyDescent="0.25">
      <c r="A604" s="311"/>
      <c r="B604" s="312"/>
      <c r="C604" s="312"/>
      <c r="D604" s="312"/>
      <c r="E604" s="312"/>
      <c r="F604" s="312"/>
      <c r="G604" s="328"/>
      <c r="H604" s="337"/>
      <c r="I604" s="334"/>
      <c r="J604" s="314"/>
      <c r="K604" s="449"/>
      <c r="M604" s="349" t="str">
        <f>N604&amp;AS[[#This Row],[Insurer Code]]&amp;"; "&amp;O604&amp;AS[[#This Row],[Reporting Year]]&amp;"; "&amp;P604&amp;AS[[#This Row],[Insurance Category Code]]&amp;"; "&amp;Q604&amp;AS[[#This Row],[Large Provider Entity Code]]&amp;"; "&amp;R604&amp;AS[[#This Row],[Age Band Code]]&amp;"; "&amp;S604&amp;AS[[#This Row],[Sex Code]]</f>
        <v xml:space="preserve">Insurer Code ; Reporting Year ; Insurance Category Code ; Large Provider Entity Code ; Age Band Code ; Sex Code </v>
      </c>
      <c r="N604" s="345" t="s">
        <v>207</v>
      </c>
      <c r="O604" s="345" t="s">
        <v>208</v>
      </c>
      <c r="P604" s="345" t="s">
        <v>209</v>
      </c>
      <c r="Q604" s="345" t="s">
        <v>210</v>
      </c>
      <c r="R604" s="345" t="s">
        <v>223</v>
      </c>
      <c r="S604" s="345" t="s">
        <v>224</v>
      </c>
    </row>
    <row r="605" spans="1:19" x14ac:dyDescent="0.25">
      <c r="A605" s="311"/>
      <c r="B605" s="312"/>
      <c r="C605" s="312"/>
      <c r="D605" s="312"/>
      <c r="E605" s="312"/>
      <c r="F605" s="312"/>
      <c r="G605" s="328"/>
      <c r="H605" s="337"/>
      <c r="I605" s="334"/>
      <c r="J605" s="314"/>
      <c r="K605" s="449"/>
      <c r="M605" s="349" t="str">
        <f>N605&amp;AS[[#This Row],[Insurer Code]]&amp;"; "&amp;O605&amp;AS[[#This Row],[Reporting Year]]&amp;"; "&amp;P605&amp;AS[[#This Row],[Insurance Category Code]]&amp;"; "&amp;Q605&amp;AS[[#This Row],[Large Provider Entity Code]]&amp;"; "&amp;R605&amp;AS[[#This Row],[Age Band Code]]&amp;"; "&amp;S605&amp;AS[[#This Row],[Sex Code]]</f>
        <v xml:space="preserve">Insurer Code ; Reporting Year ; Insurance Category Code ; Large Provider Entity Code ; Age Band Code ; Sex Code </v>
      </c>
      <c r="N605" s="345" t="s">
        <v>207</v>
      </c>
      <c r="O605" s="345" t="s">
        <v>208</v>
      </c>
      <c r="P605" s="345" t="s">
        <v>209</v>
      </c>
      <c r="Q605" s="345" t="s">
        <v>210</v>
      </c>
      <c r="R605" s="345" t="s">
        <v>223</v>
      </c>
      <c r="S605" s="345" t="s">
        <v>224</v>
      </c>
    </row>
    <row r="606" spans="1:19" x14ac:dyDescent="0.25">
      <c r="A606" s="311"/>
      <c r="B606" s="312"/>
      <c r="C606" s="312"/>
      <c r="D606" s="312"/>
      <c r="E606" s="312"/>
      <c r="F606" s="312"/>
      <c r="G606" s="328"/>
      <c r="H606" s="337"/>
      <c r="I606" s="334"/>
      <c r="J606" s="314"/>
      <c r="K606" s="449"/>
      <c r="M606" s="349" t="str">
        <f>N606&amp;AS[[#This Row],[Insurer Code]]&amp;"; "&amp;O606&amp;AS[[#This Row],[Reporting Year]]&amp;"; "&amp;P606&amp;AS[[#This Row],[Insurance Category Code]]&amp;"; "&amp;Q606&amp;AS[[#This Row],[Large Provider Entity Code]]&amp;"; "&amp;R606&amp;AS[[#This Row],[Age Band Code]]&amp;"; "&amp;S606&amp;AS[[#This Row],[Sex Code]]</f>
        <v xml:space="preserve">Insurer Code ; Reporting Year ; Insurance Category Code ; Large Provider Entity Code ; Age Band Code ; Sex Code </v>
      </c>
      <c r="N606" s="345" t="s">
        <v>207</v>
      </c>
      <c r="O606" s="345" t="s">
        <v>208</v>
      </c>
      <c r="P606" s="345" t="s">
        <v>209</v>
      </c>
      <c r="Q606" s="345" t="s">
        <v>210</v>
      </c>
      <c r="R606" s="345" t="s">
        <v>223</v>
      </c>
      <c r="S606" s="345" t="s">
        <v>224</v>
      </c>
    </row>
    <row r="607" spans="1:19" x14ac:dyDescent="0.25">
      <c r="A607" s="311"/>
      <c r="B607" s="312"/>
      <c r="C607" s="312"/>
      <c r="D607" s="312"/>
      <c r="E607" s="312"/>
      <c r="F607" s="312"/>
      <c r="G607" s="328"/>
      <c r="H607" s="337"/>
      <c r="I607" s="334"/>
      <c r="J607" s="314"/>
      <c r="K607" s="449"/>
      <c r="M607" s="349" t="str">
        <f>N607&amp;AS[[#This Row],[Insurer Code]]&amp;"; "&amp;O607&amp;AS[[#This Row],[Reporting Year]]&amp;"; "&amp;P607&amp;AS[[#This Row],[Insurance Category Code]]&amp;"; "&amp;Q607&amp;AS[[#This Row],[Large Provider Entity Code]]&amp;"; "&amp;R607&amp;AS[[#This Row],[Age Band Code]]&amp;"; "&amp;S607&amp;AS[[#This Row],[Sex Code]]</f>
        <v xml:space="preserve">Insurer Code ; Reporting Year ; Insurance Category Code ; Large Provider Entity Code ; Age Band Code ; Sex Code </v>
      </c>
      <c r="N607" s="345" t="s">
        <v>207</v>
      </c>
      <c r="O607" s="345" t="s">
        <v>208</v>
      </c>
      <c r="P607" s="345" t="s">
        <v>209</v>
      </c>
      <c r="Q607" s="345" t="s">
        <v>210</v>
      </c>
      <c r="R607" s="345" t="s">
        <v>223</v>
      </c>
      <c r="S607" s="345" t="s">
        <v>224</v>
      </c>
    </row>
    <row r="608" spans="1:19" x14ac:dyDescent="0.25">
      <c r="A608" s="311"/>
      <c r="B608" s="312"/>
      <c r="C608" s="312"/>
      <c r="D608" s="312"/>
      <c r="E608" s="312"/>
      <c r="F608" s="312"/>
      <c r="G608" s="328"/>
      <c r="H608" s="337"/>
      <c r="I608" s="334"/>
      <c r="J608" s="314"/>
      <c r="K608" s="449"/>
      <c r="M608" s="349" t="str">
        <f>N608&amp;AS[[#This Row],[Insurer Code]]&amp;"; "&amp;O608&amp;AS[[#This Row],[Reporting Year]]&amp;"; "&amp;P608&amp;AS[[#This Row],[Insurance Category Code]]&amp;"; "&amp;Q608&amp;AS[[#This Row],[Large Provider Entity Code]]&amp;"; "&amp;R608&amp;AS[[#This Row],[Age Band Code]]&amp;"; "&amp;S608&amp;AS[[#This Row],[Sex Code]]</f>
        <v xml:space="preserve">Insurer Code ; Reporting Year ; Insurance Category Code ; Large Provider Entity Code ; Age Band Code ; Sex Code </v>
      </c>
      <c r="N608" s="345" t="s">
        <v>207</v>
      </c>
      <c r="O608" s="345" t="s">
        <v>208</v>
      </c>
      <c r="P608" s="345" t="s">
        <v>209</v>
      </c>
      <c r="Q608" s="345" t="s">
        <v>210</v>
      </c>
      <c r="R608" s="345" t="s">
        <v>223</v>
      </c>
      <c r="S608" s="345" t="s">
        <v>224</v>
      </c>
    </row>
    <row r="609" spans="1:19" x14ac:dyDescent="0.25">
      <c r="A609" s="311"/>
      <c r="B609" s="312"/>
      <c r="C609" s="312"/>
      <c r="D609" s="312"/>
      <c r="E609" s="312"/>
      <c r="F609" s="312"/>
      <c r="G609" s="328"/>
      <c r="H609" s="337"/>
      <c r="I609" s="334"/>
      <c r="J609" s="314"/>
      <c r="K609" s="449"/>
      <c r="M609" s="349" t="str">
        <f>N609&amp;AS[[#This Row],[Insurer Code]]&amp;"; "&amp;O609&amp;AS[[#This Row],[Reporting Year]]&amp;"; "&amp;P609&amp;AS[[#This Row],[Insurance Category Code]]&amp;"; "&amp;Q609&amp;AS[[#This Row],[Large Provider Entity Code]]&amp;"; "&amp;R609&amp;AS[[#This Row],[Age Band Code]]&amp;"; "&amp;S609&amp;AS[[#This Row],[Sex Code]]</f>
        <v xml:space="preserve">Insurer Code ; Reporting Year ; Insurance Category Code ; Large Provider Entity Code ; Age Band Code ; Sex Code </v>
      </c>
      <c r="N609" s="345" t="s">
        <v>207</v>
      </c>
      <c r="O609" s="345" t="s">
        <v>208</v>
      </c>
      <c r="P609" s="345" t="s">
        <v>209</v>
      </c>
      <c r="Q609" s="345" t="s">
        <v>210</v>
      </c>
      <c r="R609" s="345" t="s">
        <v>223</v>
      </c>
      <c r="S609" s="345" t="s">
        <v>224</v>
      </c>
    </row>
    <row r="610" spans="1:19" x14ac:dyDescent="0.25">
      <c r="A610" s="311"/>
      <c r="B610" s="312"/>
      <c r="C610" s="312"/>
      <c r="D610" s="312"/>
      <c r="E610" s="312"/>
      <c r="F610" s="312"/>
      <c r="G610" s="328"/>
      <c r="H610" s="337"/>
      <c r="I610" s="334"/>
      <c r="J610" s="314"/>
      <c r="K610" s="449"/>
      <c r="M610" s="349" t="str">
        <f>N610&amp;AS[[#This Row],[Insurer Code]]&amp;"; "&amp;O610&amp;AS[[#This Row],[Reporting Year]]&amp;"; "&amp;P610&amp;AS[[#This Row],[Insurance Category Code]]&amp;"; "&amp;Q610&amp;AS[[#This Row],[Large Provider Entity Code]]&amp;"; "&amp;R610&amp;AS[[#This Row],[Age Band Code]]&amp;"; "&amp;S610&amp;AS[[#This Row],[Sex Code]]</f>
        <v xml:space="preserve">Insurer Code ; Reporting Year ; Insurance Category Code ; Large Provider Entity Code ; Age Band Code ; Sex Code </v>
      </c>
      <c r="N610" s="345" t="s">
        <v>207</v>
      </c>
      <c r="O610" s="345" t="s">
        <v>208</v>
      </c>
      <c r="P610" s="345" t="s">
        <v>209</v>
      </c>
      <c r="Q610" s="345" t="s">
        <v>210</v>
      </c>
      <c r="R610" s="345" t="s">
        <v>223</v>
      </c>
      <c r="S610" s="345" t="s">
        <v>224</v>
      </c>
    </row>
    <row r="611" spans="1:19" x14ac:dyDescent="0.25">
      <c r="A611" s="311"/>
      <c r="B611" s="312"/>
      <c r="C611" s="312"/>
      <c r="D611" s="312"/>
      <c r="E611" s="312"/>
      <c r="F611" s="312"/>
      <c r="G611" s="328"/>
      <c r="H611" s="337"/>
      <c r="I611" s="334"/>
      <c r="J611" s="314"/>
      <c r="K611" s="449"/>
      <c r="M611" s="349" t="str">
        <f>N611&amp;AS[[#This Row],[Insurer Code]]&amp;"; "&amp;O611&amp;AS[[#This Row],[Reporting Year]]&amp;"; "&amp;P611&amp;AS[[#This Row],[Insurance Category Code]]&amp;"; "&amp;Q611&amp;AS[[#This Row],[Large Provider Entity Code]]&amp;"; "&amp;R611&amp;AS[[#This Row],[Age Band Code]]&amp;"; "&amp;S611&amp;AS[[#This Row],[Sex Code]]</f>
        <v xml:space="preserve">Insurer Code ; Reporting Year ; Insurance Category Code ; Large Provider Entity Code ; Age Band Code ; Sex Code </v>
      </c>
      <c r="N611" s="345" t="s">
        <v>207</v>
      </c>
      <c r="O611" s="345" t="s">
        <v>208</v>
      </c>
      <c r="P611" s="345" t="s">
        <v>209</v>
      </c>
      <c r="Q611" s="345" t="s">
        <v>210</v>
      </c>
      <c r="R611" s="345" t="s">
        <v>223</v>
      </c>
      <c r="S611" s="345" t="s">
        <v>224</v>
      </c>
    </row>
    <row r="612" spans="1:19" x14ac:dyDescent="0.25">
      <c r="A612" s="311"/>
      <c r="B612" s="312"/>
      <c r="C612" s="312"/>
      <c r="D612" s="312"/>
      <c r="E612" s="312"/>
      <c r="F612" s="312"/>
      <c r="G612" s="328"/>
      <c r="H612" s="337"/>
      <c r="I612" s="334"/>
      <c r="J612" s="314"/>
      <c r="K612" s="449"/>
      <c r="M612" s="349" t="str">
        <f>N612&amp;AS[[#This Row],[Insurer Code]]&amp;"; "&amp;O612&amp;AS[[#This Row],[Reporting Year]]&amp;"; "&amp;P612&amp;AS[[#This Row],[Insurance Category Code]]&amp;"; "&amp;Q612&amp;AS[[#This Row],[Large Provider Entity Code]]&amp;"; "&amp;R612&amp;AS[[#This Row],[Age Band Code]]&amp;"; "&amp;S612&amp;AS[[#This Row],[Sex Code]]</f>
        <v xml:space="preserve">Insurer Code ; Reporting Year ; Insurance Category Code ; Large Provider Entity Code ; Age Band Code ; Sex Code </v>
      </c>
      <c r="N612" s="345" t="s">
        <v>207</v>
      </c>
      <c r="O612" s="345" t="s">
        <v>208</v>
      </c>
      <c r="P612" s="345" t="s">
        <v>209</v>
      </c>
      <c r="Q612" s="345" t="s">
        <v>210</v>
      </c>
      <c r="R612" s="345" t="s">
        <v>223</v>
      </c>
      <c r="S612" s="345" t="s">
        <v>224</v>
      </c>
    </row>
    <row r="613" spans="1:19" x14ac:dyDescent="0.25">
      <c r="A613" s="311"/>
      <c r="B613" s="312"/>
      <c r="C613" s="312"/>
      <c r="D613" s="312"/>
      <c r="E613" s="312"/>
      <c r="F613" s="312"/>
      <c r="G613" s="328"/>
      <c r="H613" s="337"/>
      <c r="I613" s="334"/>
      <c r="J613" s="314"/>
      <c r="K613" s="449"/>
      <c r="M613" s="349" t="str">
        <f>N613&amp;AS[[#This Row],[Insurer Code]]&amp;"; "&amp;O613&amp;AS[[#This Row],[Reporting Year]]&amp;"; "&amp;P613&amp;AS[[#This Row],[Insurance Category Code]]&amp;"; "&amp;Q613&amp;AS[[#This Row],[Large Provider Entity Code]]&amp;"; "&amp;R613&amp;AS[[#This Row],[Age Band Code]]&amp;"; "&amp;S613&amp;AS[[#This Row],[Sex Code]]</f>
        <v xml:space="preserve">Insurer Code ; Reporting Year ; Insurance Category Code ; Large Provider Entity Code ; Age Band Code ; Sex Code </v>
      </c>
      <c r="N613" s="345" t="s">
        <v>207</v>
      </c>
      <c r="O613" s="345" t="s">
        <v>208</v>
      </c>
      <c r="P613" s="345" t="s">
        <v>209</v>
      </c>
      <c r="Q613" s="345" t="s">
        <v>210</v>
      </c>
      <c r="R613" s="345" t="s">
        <v>223</v>
      </c>
      <c r="S613" s="345" t="s">
        <v>224</v>
      </c>
    </row>
    <row r="614" spans="1:19" x14ac:dyDescent="0.25">
      <c r="A614" s="311"/>
      <c r="B614" s="312"/>
      <c r="C614" s="312"/>
      <c r="D614" s="312"/>
      <c r="E614" s="312"/>
      <c r="F614" s="312"/>
      <c r="G614" s="328"/>
      <c r="H614" s="337"/>
      <c r="I614" s="334"/>
      <c r="J614" s="314"/>
      <c r="K614" s="449"/>
      <c r="M614" s="349" t="str">
        <f>N614&amp;AS[[#This Row],[Insurer Code]]&amp;"; "&amp;O614&amp;AS[[#This Row],[Reporting Year]]&amp;"; "&amp;P614&amp;AS[[#This Row],[Insurance Category Code]]&amp;"; "&amp;Q614&amp;AS[[#This Row],[Large Provider Entity Code]]&amp;"; "&amp;R614&amp;AS[[#This Row],[Age Band Code]]&amp;"; "&amp;S614&amp;AS[[#This Row],[Sex Code]]</f>
        <v xml:space="preserve">Insurer Code ; Reporting Year ; Insurance Category Code ; Large Provider Entity Code ; Age Band Code ; Sex Code </v>
      </c>
      <c r="N614" s="345" t="s">
        <v>207</v>
      </c>
      <c r="O614" s="345" t="s">
        <v>208</v>
      </c>
      <c r="P614" s="345" t="s">
        <v>209</v>
      </c>
      <c r="Q614" s="345" t="s">
        <v>210</v>
      </c>
      <c r="R614" s="345" t="s">
        <v>223</v>
      </c>
      <c r="S614" s="345" t="s">
        <v>224</v>
      </c>
    </row>
    <row r="615" spans="1:19" x14ac:dyDescent="0.25">
      <c r="A615" s="311"/>
      <c r="B615" s="312"/>
      <c r="C615" s="312"/>
      <c r="D615" s="312"/>
      <c r="E615" s="312"/>
      <c r="F615" s="312"/>
      <c r="G615" s="328"/>
      <c r="H615" s="337"/>
      <c r="I615" s="334"/>
      <c r="J615" s="314"/>
      <c r="K615" s="449"/>
      <c r="M615" s="349" t="str">
        <f>N615&amp;AS[[#This Row],[Insurer Code]]&amp;"; "&amp;O615&amp;AS[[#This Row],[Reporting Year]]&amp;"; "&amp;P615&amp;AS[[#This Row],[Insurance Category Code]]&amp;"; "&amp;Q615&amp;AS[[#This Row],[Large Provider Entity Code]]&amp;"; "&amp;R615&amp;AS[[#This Row],[Age Band Code]]&amp;"; "&amp;S615&amp;AS[[#This Row],[Sex Code]]</f>
        <v xml:space="preserve">Insurer Code ; Reporting Year ; Insurance Category Code ; Large Provider Entity Code ; Age Band Code ; Sex Code </v>
      </c>
      <c r="N615" s="345" t="s">
        <v>207</v>
      </c>
      <c r="O615" s="345" t="s">
        <v>208</v>
      </c>
      <c r="P615" s="345" t="s">
        <v>209</v>
      </c>
      <c r="Q615" s="345" t="s">
        <v>210</v>
      </c>
      <c r="R615" s="345" t="s">
        <v>223</v>
      </c>
      <c r="S615" s="345" t="s">
        <v>224</v>
      </c>
    </row>
    <row r="616" spans="1:19" x14ac:dyDescent="0.25">
      <c r="A616" s="311"/>
      <c r="B616" s="312"/>
      <c r="C616" s="312"/>
      <c r="D616" s="312"/>
      <c r="E616" s="312"/>
      <c r="F616" s="312"/>
      <c r="G616" s="328"/>
      <c r="H616" s="337"/>
      <c r="I616" s="334"/>
      <c r="J616" s="314"/>
      <c r="K616" s="449"/>
      <c r="M616" s="349" t="str">
        <f>N616&amp;AS[[#This Row],[Insurer Code]]&amp;"; "&amp;O616&amp;AS[[#This Row],[Reporting Year]]&amp;"; "&amp;P616&amp;AS[[#This Row],[Insurance Category Code]]&amp;"; "&amp;Q616&amp;AS[[#This Row],[Large Provider Entity Code]]&amp;"; "&amp;R616&amp;AS[[#This Row],[Age Band Code]]&amp;"; "&amp;S616&amp;AS[[#This Row],[Sex Code]]</f>
        <v xml:space="preserve">Insurer Code ; Reporting Year ; Insurance Category Code ; Large Provider Entity Code ; Age Band Code ; Sex Code </v>
      </c>
      <c r="N616" s="345" t="s">
        <v>207</v>
      </c>
      <c r="O616" s="345" t="s">
        <v>208</v>
      </c>
      <c r="P616" s="345" t="s">
        <v>209</v>
      </c>
      <c r="Q616" s="345" t="s">
        <v>210</v>
      </c>
      <c r="R616" s="345" t="s">
        <v>223</v>
      </c>
      <c r="S616" s="345" t="s">
        <v>224</v>
      </c>
    </row>
    <row r="617" spans="1:19" x14ac:dyDescent="0.25">
      <c r="A617" s="311"/>
      <c r="B617" s="312"/>
      <c r="C617" s="312"/>
      <c r="D617" s="312"/>
      <c r="E617" s="312"/>
      <c r="F617" s="312"/>
      <c r="G617" s="328"/>
      <c r="H617" s="337"/>
      <c r="I617" s="334"/>
      <c r="J617" s="314"/>
      <c r="K617" s="449"/>
      <c r="M617" s="349" t="str">
        <f>N617&amp;AS[[#This Row],[Insurer Code]]&amp;"; "&amp;O617&amp;AS[[#This Row],[Reporting Year]]&amp;"; "&amp;P617&amp;AS[[#This Row],[Insurance Category Code]]&amp;"; "&amp;Q617&amp;AS[[#This Row],[Large Provider Entity Code]]&amp;"; "&amp;R617&amp;AS[[#This Row],[Age Band Code]]&amp;"; "&amp;S617&amp;AS[[#This Row],[Sex Code]]</f>
        <v xml:space="preserve">Insurer Code ; Reporting Year ; Insurance Category Code ; Large Provider Entity Code ; Age Band Code ; Sex Code </v>
      </c>
      <c r="N617" s="345" t="s">
        <v>207</v>
      </c>
      <c r="O617" s="345" t="s">
        <v>208</v>
      </c>
      <c r="P617" s="345" t="s">
        <v>209</v>
      </c>
      <c r="Q617" s="345" t="s">
        <v>210</v>
      </c>
      <c r="R617" s="345" t="s">
        <v>223</v>
      </c>
      <c r="S617" s="345" t="s">
        <v>224</v>
      </c>
    </row>
    <row r="618" spans="1:19" x14ac:dyDescent="0.25">
      <c r="A618" s="311"/>
      <c r="B618" s="312"/>
      <c r="C618" s="312"/>
      <c r="D618" s="312"/>
      <c r="E618" s="312"/>
      <c r="F618" s="312"/>
      <c r="G618" s="328"/>
      <c r="H618" s="337"/>
      <c r="I618" s="334"/>
      <c r="J618" s="314"/>
      <c r="K618" s="449"/>
      <c r="M618" s="349" t="str">
        <f>N618&amp;AS[[#This Row],[Insurer Code]]&amp;"; "&amp;O618&amp;AS[[#This Row],[Reporting Year]]&amp;"; "&amp;P618&amp;AS[[#This Row],[Insurance Category Code]]&amp;"; "&amp;Q618&amp;AS[[#This Row],[Large Provider Entity Code]]&amp;"; "&amp;R618&amp;AS[[#This Row],[Age Band Code]]&amp;"; "&amp;S618&amp;AS[[#This Row],[Sex Code]]</f>
        <v xml:space="preserve">Insurer Code ; Reporting Year ; Insurance Category Code ; Large Provider Entity Code ; Age Band Code ; Sex Code </v>
      </c>
      <c r="N618" s="345" t="s">
        <v>207</v>
      </c>
      <c r="O618" s="345" t="s">
        <v>208</v>
      </c>
      <c r="P618" s="345" t="s">
        <v>209</v>
      </c>
      <c r="Q618" s="345" t="s">
        <v>210</v>
      </c>
      <c r="R618" s="345" t="s">
        <v>223</v>
      </c>
      <c r="S618" s="345" t="s">
        <v>224</v>
      </c>
    </row>
    <row r="619" spans="1:19" x14ac:dyDescent="0.25">
      <c r="A619" s="311"/>
      <c r="B619" s="312"/>
      <c r="C619" s="312"/>
      <c r="D619" s="312"/>
      <c r="E619" s="312"/>
      <c r="F619" s="312"/>
      <c r="G619" s="328"/>
      <c r="H619" s="337"/>
      <c r="I619" s="334"/>
      <c r="J619" s="314"/>
      <c r="K619" s="449"/>
      <c r="M619" s="349" t="str">
        <f>N619&amp;AS[[#This Row],[Insurer Code]]&amp;"; "&amp;O619&amp;AS[[#This Row],[Reporting Year]]&amp;"; "&amp;P619&amp;AS[[#This Row],[Insurance Category Code]]&amp;"; "&amp;Q619&amp;AS[[#This Row],[Large Provider Entity Code]]&amp;"; "&amp;R619&amp;AS[[#This Row],[Age Band Code]]&amp;"; "&amp;S619&amp;AS[[#This Row],[Sex Code]]</f>
        <v xml:space="preserve">Insurer Code ; Reporting Year ; Insurance Category Code ; Large Provider Entity Code ; Age Band Code ; Sex Code </v>
      </c>
      <c r="N619" s="345" t="s">
        <v>207</v>
      </c>
      <c r="O619" s="345" t="s">
        <v>208</v>
      </c>
      <c r="P619" s="345" t="s">
        <v>209</v>
      </c>
      <c r="Q619" s="345" t="s">
        <v>210</v>
      </c>
      <c r="R619" s="345" t="s">
        <v>223</v>
      </c>
      <c r="S619" s="345" t="s">
        <v>224</v>
      </c>
    </row>
    <row r="620" spans="1:19" x14ac:dyDescent="0.25">
      <c r="A620" s="311"/>
      <c r="B620" s="312"/>
      <c r="C620" s="312"/>
      <c r="D620" s="312"/>
      <c r="E620" s="312"/>
      <c r="F620" s="312"/>
      <c r="G620" s="328"/>
      <c r="H620" s="337"/>
      <c r="I620" s="334"/>
      <c r="J620" s="314"/>
      <c r="K620" s="449"/>
      <c r="M620" s="349" t="str">
        <f>N620&amp;AS[[#This Row],[Insurer Code]]&amp;"; "&amp;O620&amp;AS[[#This Row],[Reporting Year]]&amp;"; "&amp;P620&amp;AS[[#This Row],[Insurance Category Code]]&amp;"; "&amp;Q620&amp;AS[[#This Row],[Large Provider Entity Code]]&amp;"; "&amp;R620&amp;AS[[#This Row],[Age Band Code]]&amp;"; "&amp;S620&amp;AS[[#This Row],[Sex Code]]</f>
        <v xml:space="preserve">Insurer Code ; Reporting Year ; Insurance Category Code ; Large Provider Entity Code ; Age Band Code ; Sex Code </v>
      </c>
      <c r="N620" s="345" t="s">
        <v>207</v>
      </c>
      <c r="O620" s="345" t="s">
        <v>208</v>
      </c>
      <c r="P620" s="345" t="s">
        <v>209</v>
      </c>
      <c r="Q620" s="345" t="s">
        <v>210</v>
      </c>
      <c r="R620" s="345" t="s">
        <v>223</v>
      </c>
      <c r="S620" s="345" t="s">
        <v>224</v>
      </c>
    </row>
    <row r="621" spans="1:19" x14ac:dyDescent="0.25">
      <c r="A621" s="311"/>
      <c r="B621" s="312"/>
      <c r="C621" s="312"/>
      <c r="D621" s="312"/>
      <c r="E621" s="312"/>
      <c r="F621" s="312"/>
      <c r="G621" s="328"/>
      <c r="H621" s="337"/>
      <c r="I621" s="334"/>
      <c r="J621" s="314"/>
      <c r="K621" s="449"/>
      <c r="M621" s="349" t="str">
        <f>N621&amp;AS[[#This Row],[Insurer Code]]&amp;"; "&amp;O621&amp;AS[[#This Row],[Reporting Year]]&amp;"; "&amp;P621&amp;AS[[#This Row],[Insurance Category Code]]&amp;"; "&amp;Q621&amp;AS[[#This Row],[Large Provider Entity Code]]&amp;"; "&amp;R621&amp;AS[[#This Row],[Age Band Code]]&amp;"; "&amp;S621&amp;AS[[#This Row],[Sex Code]]</f>
        <v xml:space="preserve">Insurer Code ; Reporting Year ; Insurance Category Code ; Large Provider Entity Code ; Age Band Code ; Sex Code </v>
      </c>
      <c r="N621" s="345" t="s">
        <v>207</v>
      </c>
      <c r="O621" s="345" t="s">
        <v>208</v>
      </c>
      <c r="P621" s="345" t="s">
        <v>209</v>
      </c>
      <c r="Q621" s="345" t="s">
        <v>210</v>
      </c>
      <c r="R621" s="345" t="s">
        <v>223</v>
      </c>
      <c r="S621" s="345" t="s">
        <v>224</v>
      </c>
    </row>
    <row r="622" spans="1:19" x14ac:dyDescent="0.25">
      <c r="A622" s="311"/>
      <c r="B622" s="312"/>
      <c r="C622" s="312"/>
      <c r="D622" s="312"/>
      <c r="E622" s="312"/>
      <c r="F622" s="312"/>
      <c r="G622" s="328"/>
      <c r="H622" s="337"/>
      <c r="I622" s="334"/>
      <c r="J622" s="314"/>
      <c r="K622" s="449"/>
      <c r="M622" s="349" t="str">
        <f>N622&amp;AS[[#This Row],[Insurer Code]]&amp;"; "&amp;O622&amp;AS[[#This Row],[Reporting Year]]&amp;"; "&amp;P622&amp;AS[[#This Row],[Insurance Category Code]]&amp;"; "&amp;Q622&amp;AS[[#This Row],[Large Provider Entity Code]]&amp;"; "&amp;R622&amp;AS[[#This Row],[Age Band Code]]&amp;"; "&amp;S622&amp;AS[[#This Row],[Sex Code]]</f>
        <v xml:space="preserve">Insurer Code ; Reporting Year ; Insurance Category Code ; Large Provider Entity Code ; Age Band Code ; Sex Code </v>
      </c>
      <c r="N622" s="345" t="s">
        <v>207</v>
      </c>
      <c r="O622" s="345" t="s">
        <v>208</v>
      </c>
      <c r="P622" s="345" t="s">
        <v>209</v>
      </c>
      <c r="Q622" s="345" t="s">
        <v>210</v>
      </c>
      <c r="R622" s="345" t="s">
        <v>223</v>
      </c>
      <c r="S622" s="345" t="s">
        <v>224</v>
      </c>
    </row>
    <row r="623" spans="1:19" x14ac:dyDescent="0.25">
      <c r="A623" s="311"/>
      <c r="B623" s="312"/>
      <c r="C623" s="312"/>
      <c r="D623" s="312"/>
      <c r="E623" s="312"/>
      <c r="F623" s="312"/>
      <c r="G623" s="328"/>
      <c r="H623" s="337"/>
      <c r="I623" s="334"/>
      <c r="J623" s="314"/>
      <c r="K623" s="449"/>
      <c r="M623" s="349" t="str">
        <f>N623&amp;AS[[#This Row],[Insurer Code]]&amp;"; "&amp;O623&amp;AS[[#This Row],[Reporting Year]]&amp;"; "&amp;P623&amp;AS[[#This Row],[Insurance Category Code]]&amp;"; "&amp;Q623&amp;AS[[#This Row],[Large Provider Entity Code]]&amp;"; "&amp;R623&amp;AS[[#This Row],[Age Band Code]]&amp;"; "&amp;S623&amp;AS[[#This Row],[Sex Code]]</f>
        <v xml:space="preserve">Insurer Code ; Reporting Year ; Insurance Category Code ; Large Provider Entity Code ; Age Band Code ; Sex Code </v>
      </c>
      <c r="N623" s="345" t="s">
        <v>207</v>
      </c>
      <c r="O623" s="345" t="s">
        <v>208</v>
      </c>
      <c r="P623" s="345" t="s">
        <v>209</v>
      </c>
      <c r="Q623" s="345" t="s">
        <v>210</v>
      </c>
      <c r="R623" s="345" t="s">
        <v>223</v>
      </c>
      <c r="S623" s="345" t="s">
        <v>224</v>
      </c>
    </row>
    <row r="624" spans="1:19" x14ac:dyDescent="0.25">
      <c r="A624" s="311"/>
      <c r="B624" s="312"/>
      <c r="C624" s="312"/>
      <c r="D624" s="312"/>
      <c r="E624" s="312"/>
      <c r="F624" s="312"/>
      <c r="G624" s="328"/>
      <c r="H624" s="337"/>
      <c r="I624" s="334"/>
      <c r="J624" s="314"/>
      <c r="K624" s="449"/>
      <c r="M624" s="349" t="str">
        <f>N624&amp;AS[[#This Row],[Insurer Code]]&amp;"; "&amp;O624&amp;AS[[#This Row],[Reporting Year]]&amp;"; "&amp;P624&amp;AS[[#This Row],[Insurance Category Code]]&amp;"; "&amp;Q624&amp;AS[[#This Row],[Large Provider Entity Code]]&amp;"; "&amp;R624&amp;AS[[#This Row],[Age Band Code]]&amp;"; "&amp;S624&amp;AS[[#This Row],[Sex Code]]</f>
        <v xml:space="preserve">Insurer Code ; Reporting Year ; Insurance Category Code ; Large Provider Entity Code ; Age Band Code ; Sex Code </v>
      </c>
      <c r="N624" s="345" t="s">
        <v>207</v>
      </c>
      <c r="O624" s="345" t="s">
        <v>208</v>
      </c>
      <c r="P624" s="345" t="s">
        <v>209</v>
      </c>
      <c r="Q624" s="345" t="s">
        <v>210</v>
      </c>
      <c r="R624" s="345" t="s">
        <v>223</v>
      </c>
      <c r="S624" s="345" t="s">
        <v>224</v>
      </c>
    </row>
    <row r="625" spans="1:19" x14ac:dyDescent="0.25">
      <c r="A625" s="311"/>
      <c r="B625" s="312"/>
      <c r="C625" s="312"/>
      <c r="D625" s="312"/>
      <c r="E625" s="312"/>
      <c r="F625" s="312"/>
      <c r="G625" s="328"/>
      <c r="H625" s="337"/>
      <c r="I625" s="334"/>
      <c r="J625" s="314"/>
      <c r="K625" s="449"/>
      <c r="M625" s="349" t="str">
        <f>N625&amp;AS[[#This Row],[Insurer Code]]&amp;"; "&amp;O625&amp;AS[[#This Row],[Reporting Year]]&amp;"; "&amp;P625&amp;AS[[#This Row],[Insurance Category Code]]&amp;"; "&amp;Q625&amp;AS[[#This Row],[Large Provider Entity Code]]&amp;"; "&amp;R625&amp;AS[[#This Row],[Age Band Code]]&amp;"; "&amp;S625&amp;AS[[#This Row],[Sex Code]]</f>
        <v xml:space="preserve">Insurer Code ; Reporting Year ; Insurance Category Code ; Large Provider Entity Code ; Age Band Code ; Sex Code </v>
      </c>
      <c r="N625" s="345" t="s">
        <v>207</v>
      </c>
      <c r="O625" s="345" t="s">
        <v>208</v>
      </c>
      <c r="P625" s="345" t="s">
        <v>209</v>
      </c>
      <c r="Q625" s="345" t="s">
        <v>210</v>
      </c>
      <c r="R625" s="345" t="s">
        <v>223</v>
      </c>
      <c r="S625" s="345" t="s">
        <v>224</v>
      </c>
    </row>
    <row r="626" spans="1:19" x14ac:dyDescent="0.25">
      <c r="A626" s="311"/>
      <c r="B626" s="312"/>
      <c r="C626" s="312"/>
      <c r="D626" s="312"/>
      <c r="E626" s="312"/>
      <c r="F626" s="312"/>
      <c r="G626" s="328"/>
      <c r="H626" s="337"/>
      <c r="I626" s="334"/>
      <c r="J626" s="314"/>
      <c r="K626" s="449"/>
      <c r="M626" s="349" t="str">
        <f>N626&amp;AS[[#This Row],[Insurer Code]]&amp;"; "&amp;O626&amp;AS[[#This Row],[Reporting Year]]&amp;"; "&amp;P626&amp;AS[[#This Row],[Insurance Category Code]]&amp;"; "&amp;Q626&amp;AS[[#This Row],[Large Provider Entity Code]]&amp;"; "&amp;R626&amp;AS[[#This Row],[Age Band Code]]&amp;"; "&amp;S626&amp;AS[[#This Row],[Sex Code]]</f>
        <v xml:space="preserve">Insurer Code ; Reporting Year ; Insurance Category Code ; Large Provider Entity Code ; Age Band Code ; Sex Code </v>
      </c>
      <c r="N626" s="345" t="s">
        <v>207</v>
      </c>
      <c r="O626" s="345" t="s">
        <v>208</v>
      </c>
      <c r="P626" s="345" t="s">
        <v>209</v>
      </c>
      <c r="Q626" s="345" t="s">
        <v>210</v>
      </c>
      <c r="R626" s="345" t="s">
        <v>223</v>
      </c>
      <c r="S626" s="345" t="s">
        <v>224</v>
      </c>
    </row>
    <row r="627" spans="1:19" x14ac:dyDescent="0.25">
      <c r="A627" s="311"/>
      <c r="B627" s="312"/>
      <c r="C627" s="312"/>
      <c r="D627" s="312"/>
      <c r="E627" s="312"/>
      <c r="F627" s="312"/>
      <c r="G627" s="328"/>
      <c r="H627" s="337"/>
      <c r="I627" s="334"/>
      <c r="J627" s="314"/>
      <c r="K627" s="449"/>
      <c r="M627" s="349" t="str">
        <f>N627&amp;AS[[#This Row],[Insurer Code]]&amp;"; "&amp;O627&amp;AS[[#This Row],[Reporting Year]]&amp;"; "&amp;P627&amp;AS[[#This Row],[Insurance Category Code]]&amp;"; "&amp;Q627&amp;AS[[#This Row],[Large Provider Entity Code]]&amp;"; "&amp;R627&amp;AS[[#This Row],[Age Band Code]]&amp;"; "&amp;S627&amp;AS[[#This Row],[Sex Code]]</f>
        <v xml:space="preserve">Insurer Code ; Reporting Year ; Insurance Category Code ; Large Provider Entity Code ; Age Band Code ; Sex Code </v>
      </c>
      <c r="N627" s="345" t="s">
        <v>207</v>
      </c>
      <c r="O627" s="345" t="s">
        <v>208</v>
      </c>
      <c r="P627" s="345" t="s">
        <v>209</v>
      </c>
      <c r="Q627" s="345" t="s">
        <v>210</v>
      </c>
      <c r="R627" s="345" t="s">
        <v>223</v>
      </c>
      <c r="S627" s="345" t="s">
        <v>224</v>
      </c>
    </row>
    <row r="628" spans="1:19" x14ac:dyDescent="0.25">
      <c r="A628" s="311"/>
      <c r="B628" s="312"/>
      <c r="C628" s="312"/>
      <c r="D628" s="312"/>
      <c r="E628" s="312"/>
      <c r="F628" s="312"/>
      <c r="G628" s="328"/>
      <c r="H628" s="337"/>
      <c r="I628" s="334"/>
      <c r="J628" s="314"/>
      <c r="K628" s="449"/>
      <c r="M628" s="349" t="str">
        <f>N628&amp;AS[[#This Row],[Insurer Code]]&amp;"; "&amp;O628&amp;AS[[#This Row],[Reporting Year]]&amp;"; "&amp;P628&amp;AS[[#This Row],[Insurance Category Code]]&amp;"; "&amp;Q628&amp;AS[[#This Row],[Large Provider Entity Code]]&amp;"; "&amp;R628&amp;AS[[#This Row],[Age Band Code]]&amp;"; "&amp;S628&amp;AS[[#This Row],[Sex Code]]</f>
        <v xml:space="preserve">Insurer Code ; Reporting Year ; Insurance Category Code ; Large Provider Entity Code ; Age Band Code ; Sex Code </v>
      </c>
      <c r="N628" s="345" t="s">
        <v>207</v>
      </c>
      <c r="O628" s="345" t="s">
        <v>208</v>
      </c>
      <c r="P628" s="345" t="s">
        <v>209</v>
      </c>
      <c r="Q628" s="345" t="s">
        <v>210</v>
      </c>
      <c r="R628" s="345" t="s">
        <v>223</v>
      </c>
      <c r="S628" s="345" t="s">
        <v>224</v>
      </c>
    </row>
    <row r="629" spans="1:19" x14ac:dyDescent="0.25">
      <c r="A629" s="311"/>
      <c r="B629" s="312"/>
      <c r="C629" s="312"/>
      <c r="D629" s="312"/>
      <c r="E629" s="312"/>
      <c r="F629" s="312"/>
      <c r="G629" s="328"/>
      <c r="H629" s="337"/>
      <c r="I629" s="334"/>
      <c r="J629" s="314"/>
      <c r="K629" s="449"/>
      <c r="M629" s="349" t="str">
        <f>N629&amp;AS[[#This Row],[Insurer Code]]&amp;"; "&amp;O629&amp;AS[[#This Row],[Reporting Year]]&amp;"; "&amp;P629&amp;AS[[#This Row],[Insurance Category Code]]&amp;"; "&amp;Q629&amp;AS[[#This Row],[Large Provider Entity Code]]&amp;"; "&amp;R629&amp;AS[[#This Row],[Age Band Code]]&amp;"; "&amp;S629&amp;AS[[#This Row],[Sex Code]]</f>
        <v xml:space="preserve">Insurer Code ; Reporting Year ; Insurance Category Code ; Large Provider Entity Code ; Age Band Code ; Sex Code </v>
      </c>
      <c r="N629" s="345" t="s">
        <v>207</v>
      </c>
      <c r="O629" s="345" t="s">
        <v>208</v>
      </c>
      <c r="P629" s="345" t="s">
        <v>209</v>
      </c>
      <c r="Q629" s="345" t="s">
        <v>210</v>
      </c>
      <c r="R629" s="345" t="s">
        <v>223</v>
      </c>
      <c r="S629" s="345" t="s">
        <v>224</v>
      </c>
    </row>
    <row r="630" spans="1:19" x14ac:dyDescent="0.25">
      <c r="A630" s="311"/>
      <c r="B630" s="312"/>
      <c r="C630" s="312"/>
      <c r="D630" s="312"/>
      <c r="E630" s="312"/>
      <c r="F630" s="312"/>
      <c r="G630" s="328"/>
      <c r="H630" s="337"/>
      <c r="I630" s="334"/>
      <c r="J630" s="314"/>
      <c r="K630" s="449"/>
      <c r="M630" s="349" t="str">
        <f>N630&amp;AS[[#This Row],[Insurer Code]]&amp;"; "&amp;O630&amp;AS[[#This Row],[Reporting Year]]&amp;"; "&amp;P630&amp;AS[[#This Row],[Insurance Category Code]]&amp;"; "&amp;Q630&amp;AS[[#This Row],[Large Provider Entity Code]]&amp;"; "&amp;R630&amp;AS[[#This Row],[Age Band Code]]&amp;"; "&amp;S630&amp;AS[[#This Row],[Sex Code]]</f>
        <v xml:space="preserve">Insurer Code ; Reporting Year ; Insurance Category Code ; Large Provider Entity Code ; Age Band Code ; Sex Code </v>
      </c>
      <c r="N630" s="345" t="s">
        <v>207</v>
      </c>
      <c r="O630" s="345" t="s">
        <v>208</v>
      </c>
      <c r="P630" s="345" t="s">
        <v>209</v>
      </c>
      <c r="Q630" s="345" t="s">
        <v>210</v>
      </c>
      <c r="R630" s="345" t="s">
        <v>223</v>
      </c>
      <c r="S630" s="345" t="s">
        <v>224</v>
      </c>
    </row>
    <row r="631" spans="1:19" x14ac:dyDescent="0.25">
      <c r="A631" s="311"/>
      <c r="B631" s="312"/>
      <c r="C631" s="312"/>
      <c r="D631" s="312"/>
      <c r="E631" s="312"/>
      <c r="F631" s="312"/>
      <c r="G631" s="328"/>
      <c r="H631" s="337"/>
      <c r="I631" s="334"/>
      <c r="J631" s="314"/>
      <c r="K631" s="449"/>
      <c r="M631" s="349" t="str">
        <f>N631&amp;AS[[#This Row],[Insurer Code]]&amp;"; "&amp;O631&amp;AS[[#This Row],[Reporting Year]]&amp;"; "&amp;P631&amp;AS[[#This Row],[Insurance Category Code]]&amp;"; "&amp;Q631&amp;AS[[#This Row],[Large Provider Entity Code]]&amp;"; "&amp;R631&amp;AS[[#This Row],[Age Band Code]]&amp;"; "&amp;S631&amp;AS[[#This Row],[Sex Code]]</f>
        <v xml:space="preserve">Insurer Code ; Reporting Year ; Insurance Category Code ; Large Provider Entity Code ; Age Band Code ; Sex Code </v>
      </c>
      <c r="N631" s="345" t="s">
        <v>207</v>
      </c>
      <c r="O631" s="345" t="s">
        <v>208</v>
      </c>
      <c r="P631" s="345" t="s">
        <v>209</v>
      </c>
      <c r="Q631" s="345" t="s">
        <v>210</v>
      </c>
      <c r="R631" s="345" t="s">
        <v>223</v>
      </c>
      <c r="S631" s="345" t="s">
        <v>224</v>
      </c>
    </row>
    <row r="632" spans="1:19" x14ac:dyDescent="0.25">
      <c r="A632" s="311"/>
      <c r="B632" s="312"/>
      <c r="C632" s="312"/>
      <c r="D632" s="312"/>
      <c r="E632" s="312"/>
      <c r="F632" s="312"/>
      <c r="G632" s="328"/>
      <c r="H632" s="337"/>
      <c r="I632" s="334"/>
      <c r="J632" s="314"/>
      <c r="K632" s="449"/>
      <c r="M632" s="349" t="str">
        <f>N632&amp;AS[[#This Row],[Insurer Code]]&amp;"; "&amp;O632&amp;AS[[#This Row],[Reporting Year]]&amp;"; "&amp;P632&amp;AS[[#This Row],[Insurance Category Code]]&amp;"; "&amp;Q632&amp;AS[[#This Row],[Large Provider Entity Code]]&amp;"; "&amp;R632&amp;AS[[#This Row],[Age Band Code]]&amp;"; "&amp;S632&amp;AS[[#This Row],[Sex Code]]</f>
        <v xml:space="preserve">Insurer Code ; Reporting Year ; Insurance Category Code ; Large Provider Entity Code ; Age Band Code ; Sex Code </v>
      </c>
      <c r="N632" s="345" t="s">
        <v>207</v>
      </c>
      <c r="O632" s="345" t="s">
        <v>208</v>
      </c>
      <c r="P632" s="345" t="s">
        <v>209</v>
      </c>
      <c r="Q632" s="345" t="s">
        <v>210</v>
      </c>
      <c r="R632" s="345" t="s">
        <v>223</v>
      </c>
      <c r="S632" s="345" t="s">
        <v>224</v>
      </c>
    </row>
    <row r="633" spans="1:19" x14ac:dyDescent="0.25">
      <c r="A633" s="311"/>
      <c r="B633" s="312"/>
      <c r="C633" s="312"/>
      <c r="D633" s="312"/>
      <c r="E633" s="312"/>
      <c r="F633" s="312"/>
      <c r="G633" s="328"/>
      <c r="H633" s="337"/>
      <c r="I633" s="334"/>
      <c r="J633" s="314"/>
      <c r="K633" s="449"/>
      <c r="M633" s="349" t="str">
        <f>N633&amp;AS[[#This Row],[Insurer Code]]&amp;"; "&amp;O633&amp;AS[[#This Row],[Reporting Year]]&amp;"; "&amp;P633&amp;AS[[#This Row],[Insurance Category Code]]&amp;"; "&amp;Q633&amp;AS[[#This Row],[Large Provider Entity Code]]&amp;"; "&amp;R633&amp;AS[[#This Row],[Age Band Code]]&amp;"; "&amp;S633&amp;AS[[#This Row],[Sex Code]]</f>
        <v xml:space="preserve">Insurer Code ; Reporting Year ; Insurance Category Code ; Large Provider Entity Code ; Age Band Code ; Sex Code </v>
      </c>
      <c r="N633" s="345" t="s">
        <v>207</v>
      </c>
      <c r="O633" s="345" t="s">
        <v>208</v>
      </c>
      <c r="P633" s="345" t="s">
        <v>209</v>
      </c>
      <c r="Q633" s="345" t="s">
        <v>210</v>
      </c>
      <c r="R633" s="345" t="s">
        <v>223</v>
      </c>
      <c r="S633" s="345" t="s">
        <v>224</v>
      </c>
    </row>
    <row r="634" spans="1:19" x14ac:dyDescent="0.25">
      <c r="A634" s="311"/>
      <c r="B634" s="312"/>
      <c r="C634" s="312"/>
      <c r="D634" s="312"/>
      <c r="E634" s="312"/>
      <c r="F634" s="312"/>
      <c r="G634" s="328"/>
      <c r="H634" s="337"/>
      <c r="I634" s="334"/>
      <c r="J634" s="314"/>
      <c r="K634" s="449"/>
      <c r="M634" s="349" t="str">
        <f>N634&amp;AS[[#This Row],[Insurer Code]]&amp;"; "&amp;O634&amp;AS[[#This Row],[Reporting Year]]&amp;"; "&amp;P634&amp;AS[[#This Row],[Insurance Category Code]]&amp;"; "&amp;Q634&amp;AS[[#This Row],[Large Provider Entity Code]]&amp;"; "&amp;R634&amp;AS[[#This Row],[Age Band Code]]&amp;"; "&amp;S634&amp;AS[[#This Row],[Sex Code]]</f>
        <v xml:space="preserve">Insurer Code ; Reporting Year ; Insurance Category Code ; Large Provider Entity Code ; Age Band Code ; Sex Code </v>
      </c>
      <c r="N634" s="345" t="s">
        <v>207</v>
      </c>
      <c r="O634" s="345" t="s">
        <v>208</v>
      </c>
      <c r="P634" s="345" t="s">
        <v>209</v>
      </c>
      <c r="Q634" s="345" t="s">
        <v>210</v>
      </c>
      <c r="R634" s="345" t="s">
        <v>223</v>
      </c>
      <c r="S634" s="345" t="s">
        <v>224</v>
      </c>
    </row>
    <row r="635" spans="1:19" x14ac:dyDescent="0.25">
      <c r="A635" s="311"/>
      <c r="B635" s="312"/>
      <c r="C635" s="312"/>
      <c r="D635" s="312"/>
      <c r="E635" s="312"/>
      <c r="F635" s="312"/>
      <c r="G635" s="328"/>
      <c r="H635" s="337"/>
      <c r="I635" s="334"/>
      <c r="J635" s="314"/>
      <c r="K635" s="449"/>
      <c r="M635" s="349" t="str">
        <f>N635&amp;AS[[#This Row],[Insurer Code]]&amp;"; "&amp;O635&amp;AS[[#This Row],[Reporting Year]]&amp;"; "&amp;P635&amp;AS[[#This Row],[Insurance Category Code]]&amp;"; "&amp;Q635&amp;AS[[#This Row],[Large Provider Entity Code]]&amp;"; "&amp;R635&amp;AS[[#This Row],[Age Band Code]]&amp;"; "&amp;S635&amp;AS[[#This Row],[Sex Code]]</f>
        <v xml:space="preserve">Insurer Code ; Reporting Year ; Insurance Category Code ; Large Provider Entity Code ; Age Band Code ; Sex Code </v>
      </c>
      <c r="N635" s="345" t="s">
        <v>207</v>
      </c>
      <c r="O635" s="345" t="s">
        <v>208</v>
      </c>
      <c r="P635" s="345" t="s">
        <v>209</v>
      </c>
      <c r="Q635" s="345" t="s">
        <v>210</v>
      </c>
      <c r="R635" s="345" t="s">
        <v>223</v>
      </c>
      <c r="S635" s="345" t="s">
        <v>224</v>
      </c>
    </row>
    <row r="636" spans="1:19" x14ac:dyDescent="0.25">
      <c r="A636" s="311"/>
      <c r="B636" s="312"/>
      <c r="C636" s="312"/>
      <c r="D636" s="312"/>
      <c r="E636" s="312"/>
      <c r="F636" s="312"/>
      <c r="G636" s="328"/>
      <c r="H636" s="337"/>
      <c r="I636" s="334"/>
      <c r="J636" s="314"/>
      <c r="K636" s="449"/>
      <c r="M636" s="349" t="str">
        <f>N636&amp;AS[[#This Row],[Insurer Code]]&amp;"; "&amp;O636&amp;AS[[#This Row],[Reporting Year]]&amp;"; "&amp;P636&amp;AS[[#This Row],[Insurance Category Code]]&amp;"; "&amp;Q636&amp;AS[[#This Row],[Large Provider Entity Code]]&amp;"; "&amp;R636&amp;AS[[#This Row],[Age Band Code]]&amp;"; "&amp;S636&amp;AS[[#This Row],[Sex Code]]</f>
        <v xml:space="preserve">Insurer Code ; Reporting Year ; Insurance Category Code ; Large Provider Entity Code ; Age Band Code ; Sex Code </v>
      </c>
      <c r="N636" s="345" t="s">
        <v>207</v>
      </c>
      <c r="O636" s="345" t="s">
        <v>208</v>
      </c>
      <c r="P636" s="345" t="s">
        <v>209</v>
      </c>
      <c r="Q636" s="345" t="s">
        <v>210</v>
      </c>
      <c r="R636" s="345" t="s">
        <v>223</v>
      </c>
      <c r="S636" s="345" t="s">
        <v>224</v>
      </c>
    </row>
    <row r="637" spans="1:19" x14ac:dyDescent="0.25">
      <c r="A637" s="311"/>
      <c r="B637" s="312"/>
      <c r="C637" s="312"/>
      <c r="D637" s="312"/>
      <c r="E637" s="312"/>
      <c r="F637" s="312"/>
      <c r="G637" s="328"/>
      <c r="H637" s="337"/>
      <c r="I637" s="334"/>
      <c r="J637" s="314"/>
      <c r="K637" s="449"/>
      <c r="M637" s="349" t="str">
        <f>N637&amp;AS[[#This Row],[Insurer Code]]&amp;"; "&amp;O637&amp;AS[[#This Row],[Reporting Year]]&amp;"; "&amp;P637&amp;AS[[#This Row],[Insurance Category Code]]&amp;"; "&amp;Q637&amp;AS[[#This Row],[Large Provider Entity Code]]&amp;"; "&amp;R637&amp;AS[[#This Row],[Age Band Code]]&amp;"; "&amp;S637&amp;AS[[#This Row],[Sex Code]]</f>
        <v xml:space="preserve">Insurer Code ; Reporting Year ; Insurance Category Code ; Large Provider Entity Code ; Age Band Code ; Sex Code </v>
      </c>
      <c r="N637" s="345" t="s">
        <v>207</v>
      </c>
      <c r="O637" s="345" t="s">
        <v>208</v>
      </c>
      <c r="P637" s="345" t="s">
        <v>209</v>
      </c>
      <c r="Q637" s="345" t="s">
        <v>210</v>
      </c>
      <c r="R637" s="345" t="s">
        <v>223</v>
      </c>
      <c r="S637" s="345" t="s">
        <v>224</v>
      </c>
    </row>
    <row r="638" spans="1:19" x14ac:dyDescent="0.25">
      <c r="A638" s="311"/>
      <c r="B638" s="312"/>
      <c r="C638" s="312"/>
      <c r="D638" s="312"/>
      <c r="E638" s="312"/>
      <c r="F638" s="312"/>
      <c r="G638" s="328"/>
      <c r="H638" s="337"/>
      <c r="I638" s="334"/>
      <c r="J638" s="314"/>
      <c r="K638" s="449"/>
      <c r="M638" s="349" t="str">
        <f>N638&amp;AS[[#This Row],[Insurer Code]]&amp;"; "&amp;O638&amp;AS[[#This Row],[Reporting Year]]&amp;"; "&amp;P638&amp;AS[[#This Row],[Insurance Category Code]]&amp;"; "&amp;Q638&amp;AS[[#This Row],[Large Provider Entity Code]]&amp;"; "&amp;R638&amp;AS[[#This Row],[Age Band Code]]&amp;"; "&amp;S638&amp;AS[[#This Row],[Sex Code]]</f>
        <v xml:space="preserve">Insurer Code ; Reporting Year ; Insurance Category Code ; Large Provider Entity Code ; Age Band Code ; Sex Code </v>
      </c>
      <c r="N638" s="345" t="s">
        <v>207</v>
      </c>
      <c r="O638" s="345" t="s">
        <v>208</v>
      </c>
      <c r="P638" s="345" t="s">
        <v>209</v>
      </c>
      <c r="Q638" s="345" t="s">
        <v>210</v>
      </c>
      <c r="R638" s="345" t="s">
        <v>223</v>
      </c>
      <c r="S638" s="345" t="s">
        <v>224</v>
      </c>
    </row>
    <row r="639" spans="1:19" x14ac:dyDescent="0.25">
      <c r="A639" s="311"/>
      <c r="B639" s="312"/>
      <c r="C639" s="312"/>
      <c r="D639" s="312"/>
      <c r="E639" s="312"/>
      <c r="F639" s="312"/>
      <c r="G639" s="328"/>
      <c r="H639" s="337"/>
      <c r="I639" s="334"/>
      <c r="J639" s="314"/>
      <c r="K639" s="449"/>
      <c r="M639" s="349" t="str">
        <f>N639&amp;AS[[#This Row],[Insurer Code]]&amp;"; "&amp;O639&amp;AS[[#This Row],[Reporting Year]]&amp;"; "&amp;P639&amp;AS[[#This Row],[Insurance Category Code]]&amp;"; "&amp;Q639&amp;AS[[#This Row],[Large Provider Entity Code]]&amp;"; "&amp;R639&amp;AS[[#This Row],[Age Band Code]]&amp;"; "&amp;S639&amp;AS[[#This Row],[Sex Code]]</f>
        <v xml:space="preserve">Insurer Code ; Reporting Year ; Insurance Category Code ; Large Provider Entity Code ; Age Band Code ; Sex Code </v>
      </c>
      <c r="N639" s="345" t="s">
        <v>207</v>
      </c>
      <c r="O639" s="345" t="s">
        <v>208</v>
      </c>
      <c r="P639" s="345" t="s">
        <v>209</v>
      </c>
      <c r="Q639" s="345" t="s">
        <v>210</v>
      </c>
      <c r="R639" s="345" t="s">
        <v>223</v>
      </c>
      <c r="S639" s="345" t="s">
        <v>224</v>
      </c>
    </row>
    <row r="640" spans="1:19" x14ac:dyDescent="0.25">
      <c r="A640" s="311"/>
      <c r="B640" s="312"/>
      <c r="C640" s="312"/>
      <c r="D640" s="312"/>
      <c r="E640" s="312"/>
      <c r="F640" s="312"/>
      <c r="G640" s="328"/>
      <c r="H640" s="337"/>
      <c r="I640" s="334"/>
      <c r="J640" s="314"/>
      <c r="K640" s="449"/>
      <c r="M640" s="349" t="str">
        <f>N640&amp;AS[[#This Row],[Insurer Code]]&amp;"; "&amp;O640&amp;AS[[#This Row],[Reporting Year]]&amp;"; "&amp;P640&amp;AS[[#This Row],[Insurance Category Code]]&amp;"; "&amp;Q640&amp;AS[[#This Row],[Large Provider Entity Code]]&amp;"; "&amp;R640&amp;AS[[#This Row],[Age Band Code]]&amp;"; "&amp;S640&amp;AS[[#This Row],[Sex Code]]</f>
        <v xml:space="preserve">Insurer Code ; Reporting Year ; Insurance Category Code ; Large Provider Entity Code ; Age Band Code ; Sex Code </v>
      </c>
      <c r="N640" s="345" t="s">
        <v>207</v>
      </c>
      <c r="O640" s="345" t="s">
        <v>208</v>
      </c>
      <c r="P640" s="345" t="s">
        <v>209</v>
      </c>
      <c r="Q640" s="345" t="s">
        <v>210</v>
      </c>
      <c r="R640" s="345" t="s">
        <v>223</v>
      </c>
      <c r="S640" s="345" t="s">
        <v>224</v>
      </c>
    </row>
    <row r="641" spans="1:19" x14ac:dyDescent="0.25">
      <c r="A641" s="311"/>
      <c r="B641" s="312"/>
      <c r="C641" s="312"/>
      <c r="D641" s="312"/>
      <c r="E641" s="312"/>
      <c r="F641" s="312"/>
      <c r="G641" s="328"/>
      <c r="H641" s="337"/>
      <c r="I641" s="334"/>
      <c r="J641" s="314"/>
      <c r="K641" s="449"/>
      <c r="M641" s="349" t="str">
        <f>N641&amp;AS[[#This Row],[Insurer Code]]&amp;"; "&amp;O641&amp;AS[[#This Row],[Reporting Year]]&amp;"; "&amp;P641&amp;AS[[#This Row],[Insurance Category Code]]&amp;"; "&amp;Q641&amp;AS[[#This Row],[Large Provider Entity Code]]&amp;"; "&amp;R641&amp;AS[[#This Row],[Age Band Code]]&amp;"; "&amp;S641&amp;AS[[#This Row],[Sex Code]]</f>
        <v xml:space="preserve">Insurer Code ; Reporting Year ; Insurance Category Code ; Large Provider Entity Code ; Age Band Code ; Sex Code </v>
      </c>
      <c r="N641" s="345" t="s">
        <v>207</v>
      </c>
      <c r="O641" s="345" t="s">
        <v>208</v>
      </c>
      <c r="P641" s="345" t="s">
        <v>209</v>
      </c>
      <c r="Q641" s="345" t="s">
        <v>210</v>
      </c>
      <c r="R641" s="345" t="s">
        <v>223</v>
      </c>
      <c r="S641" s="345" t="s">
        <v>224</v>
      </c>
    </row>
    <row r="642" spans="1:19" x14ac:dyDescent="0.25">
      <c r="A642" s="311"/>
      <c r="B642" s="312"/>
      <c r="C642" s="312"/>
      <c r="D642" s="312"/>
      <c r="E642" s="312"/>
      <c r="F642" s="312"/>
      <c r="G642" s="328"/>
      <c r="H642" s="337"/>
      <c r="I642" s="334"/>
      <c r="J642" s="314"/>
      <c r="K642" s="449"/>
      <c r="M642" s="349" t="str">
        <f>N642&amp;AS[[#This Row],[Insurer Code]]&amp;"; "&amp;O642&amp;AS[[#This Row],[Reporting Year]]&amp;"; "&amp;P642&amp;AS[[#This Row],[Insurance Category Code]]&amp;"; "&amp;Q642&amp;AS[[#This Row],[Large Provider Entity Code]]&amp;"; "&amp;R642&amp;AS[[#This Row],[Age Band Code]]&amp;"; "&amp;S642&amp;AS[[#This Row],[Sex Code]]</f>
        <v xml:space="preserve">Insurer Code ; Reporting Year ; Insurance Category Code ; Large Provider Entity Code ; Age Band Code ; Sex Code </v>
      </c>
      <c r="N642" s="345" t="s">
        <v>207</v>
      </c>
      <c r="O642" s="345" t="s">
        <v>208</v>
      </c>
      <c r="P642" s="345" t="s">
        <v>209</v>
      </c>
      <c r="Q642" s="345" t="s">
        <v>210</v>
      </c>
      <c r="R642" s="345" t="s">
        <v>223</v>
      </c>
      <c r="S642" s="345" t="s">
        <v>224</v>
      </c>
    </row>
    <row r="643" spans="1:19" x14ac:dyDescent="0.25">
      <c r="A643" s="311"/>
      <c r="B643" s="312"/>
      <c r="C643" s="312"/>
      <c r="D643" s="312"/>
      <c r="E643" s="312"/>
      <c r="F643" s="312"/>
      <c r="G643" s="328"/>
      <c r="H643" s="337"/>
      <c r="I643" s="334"/>
      <c r="J643" s="314"/>
      <c r="K643" s="449"/>
      <c r="M643" s="349" t="str">
        <f>N643&amp;AS[[#This Row],[Insurer Code]]&amp;"; "&amp;O643&amp;AS[[#This Row],[Reporting Year]]&amp;"; "&amp;P643&amp;AS[[#This Row],[Insurance Category Code]]&amp;"; "&amp;Q643&amp;AS[[#This Row],[Large Provider Entity Code]]&amp;"; "&amp;R643&amp;AS[[#This Row],[Age Band Code]]&amp;"; "&amp;S643&amp;AS[[#This Row],[Sex Code]]</f>
        <v xml:space="preserve">Insurer Code ; Reporting Year ; Insurance Category Code ; Large Provider Entity Code ; Age Band Code ; Sex Code </v>
      </c>
      <c r="N643" s="345" t="s">
        <v>207</v>
      </c>
      <c r="O643" s="345" t="s">
        <v>208</v>
      </c>
      <c r="P643" s="345" t="s">
        <v>209</v>
      </c>
      <c r="Q643" s="345" t="s">
        <v>210</v>
      </c>
      <c r="R643" s="345" t="s">
        <v>223</v>
      </c>
      <c r="S643" s="345" t="s">
        <v>224</v>
      </c>
    </row>
    <row r="644" spans="1:19" x14ac:dyDescent="0.25">
      <c r="A644" s="311"/>
      <c r="B644" s="312"/>
      <c r="C644" s="312"/>
      <c r="D644" s="312"/>
      <c r="E644" s="312"/>
      <c r="F644" s="312"/>
      <c r="G644" s="328"/>
      <c r="H644" s="337"/>
      <c r="I644" s="334"/>
      <c r="J644" s="314"/>
      <c r="K644" s="449"/>
      <c r="M644" s="349" t="str">
        <f>N644&amp;AS[[#This Row],[Insurer Code]]&amp;"; "&amp;O644&amp;AS[[#This Row],[Reporting Year]]&amp;"; "&amp;P644&amp;AS[[#This Row],[Insurance Category Code]]&amp;"; "&amp;Q644&amp;AS[[#This Row],[Large Provider Entity Code]]&amp;"; "&amp;R644&amp;AS[[#This Row],[Age Band Code]]&amp;"; "&amp;S644&amp;AS[[#This Row],[Sex Code]]</f>
        <v xml:space="preserve">Insurer Code ; Reporting Year ; Insurance Category Code ; Large Provider Entity Code ; Age Band Code ; Sex Code </v>
      </c>
      <c r="N644" s="345" t="s">
        <v>207</v>
      </c>
      <c r="O644" s="345" t="s">
        <v>208</v>
      </c>
      <c r="P644" s="345" t="s">
        <v>209</v>
      </c>
      <c r="Q644" s="345" t="s">
        <v>210</v>
      </c>
      <c r="R644" s="345" t="s">
        <v>223</v>
      </c>
      <c r="S644" s="345" t="s">
        <v>224</v>
      </c>
    </row>
    <row r="645" spans="1:19" x14ac:dyDescent="0.25">
      <c r="A645" s="311"/>
      <c r="B645" s="312"/>
      <c r="C645" s="312"/>
      <c r="D645" s="312"/>
      <c r="E645" s="312"/>
      <c r="F645" s="312"/>
      <c r="G645" s="328"/>
      <c r="H645" s="337"/>
      <c r="I645" s="334"/>
      <c r="J645" s="314"/>
      <c r="K645" s="449"/>
      <c r="M645" s="349" t="str">
        <f>N645&amp;AS[[#This Row],[Insurer Code]]&amp;"; "&amp;O645&amp;AS[[#This Row],[Reporting Year]]&amp;"; "&amp;P645&amp;AS[[#This Row],[Insurance Category Code]]&amp;"; "&amp;Q645&amp;AS[[#This Row],[Large Provider Entity Code]]&amp;"; "&amp;R645&amp;AS[[#This Row],[Age Band Code]]&amp;"; "&amp;S645&amp;AS[[#This Row],[Sex Code]]</f>
        <v xml:space="preserve">Insurer Code ; Reporting Year ; Insurance Category Code ; Large Provider Entity Code ; Age Band Code ; Sex Code </v>
      </c>
      <c r="N645" s="345" t="s">
        <v>207</v>
      </c>
      <c r="O645" s="345" t="s">
        <v>208</v>
      </c>
      <c r="P645" s="345" t="s">
        <v>209</v>
      </c>
      <c r="Q645" s="345" t="s">
        <v>210</v>
      </c>
      <c r="R645" s="345" t="s">
        <v>223</v>
      </c>
      <c r="S645" s="345" t="s">
        <v>224</v>
      </c>
    </row>
    <row r="646" spans="1:19" x14ac:dyDescent="0.25">
      <c r="A646" s="311"/>
      <c r="B646" s="312"/>
      <c r="C646" s="312"/>
      <c r="D646" s="312"/>
      <c r="E646" s="312"/>
      <c r="F646" s="312"/>
      <c r="G646" s="328"/>
      <c r="H646" s="337"/>
      <c r="I646" s="334"/>
      <c r="J646" s="314"/>
      <c r="K646" s="449"/>
      <c r="M646" s="349" t="str">
        <f>N646&amp;AS[[#This Row],[Insurer Code]]&amp;"; "&amp;O646&amp;AS[[#This Row],[Reporting Year]]&amp;"; "&amp;P646&amp;AS[[#This Row],[Insurance Category Code]]&amp;"; "&amp;Q646&amp;AS[[#This Row],[Large Provider Entity Code]]&amp;"; "&amp;R646&amp;AS[[#This Row],[Age Band Code]]&amp;"; "&amp;S646&amp;AS[[#This Row],[Sex Code]]</f>
        <v xml:space="preserve">Insurer Code ; Reporting Year ; Insurance Category Code ; Large Provider Entity Code ; Age Band Code ; Sex Code </v>
      </c>
      <c r="N646" s="345" t="s">
        <v>207</v>
      </c>
      <c r="O646" s="345" t="s">
        <v>208</v>
      </c>
      <c r="P646" s="345" t="s">
        <v>209</v>
      </c>
      <c r="Q646" s="345" t="s">
        <v>210</v>
      </c>
      <c r="R646" s="345" t="s">
        <v>223</v>
      </c>
      <c r="S646" s="345" t="s">
        <v>224</v>
      </c>
    </row>
    <row r="647" spans="1:19" x14ac:dyDescent="0.25">
      <c r="A647" s="311"/>
      <c r="B647" s="312"/>
      <c r="C647" s="312"/>
      <c r="D647" s="312"/>
      <c r="E647" s="312"/>
      <c r="F647" s="312"/>
      <c r="G647" s="328"/>
      <c r="H647" s="337"/>
      <c r="I647" s="334"/>
      <c r="J647" s="314"/>
      <c r="K647" s="449"/>
      <c r="M647" s="349" t="str">
        <f>N647&amp;AS[[#This Row],[Insurer Code]]&amp;"; "&amp;O647&amp;AS[[#This Row],[Reporting Year]]&amp;"; "&amp;P647&amp;AS[[#This Row],[Insurance Category Code]]&amp;"; "&amp;Q647&amp;AS[[#This Row],[Large Provider Entity Code]]&amp;"; "&amp;R647&amp;AS[[#This Row],[Age Band Code]]&amp;"; "&amp;S647&amp;AS[[#This Row],[Sex Code]]</f>
        <v xml:space="preserve">Insurer Code ; Reporting Year ; Insurance Category Code ; Large Provider Entity Code ; Age Band Code ; Sex Code </v>
      </c>
      <c r="N647" s="345" t="s">
        <v>207</v>
      </c>
      <c r="O647" s="345" t="s">
        <v>208</v>
      </c>
      <c r="P647" s="345" t="s">
        <v>209</v>
      </c>
      <c r="Q647" s="345" t="s">
        <v>210</v>
      </c>
      <c r="R647" s="345" t="s">
        <v>223</v>
      </c>
      <c r="S647" s="345" t="s">
        <v>224</v>
      </c>
    </row>
    <row r="648" spans="1:19" x14ac:dyDescent="0.25">
      <c r="A648" s="311"/>
      <c r="B648" s="312"/>
      <c r="C648" s="312"/>
      <c r="D648" s="312"/>
      <c r="E648" s="312"/>
      <c r="F648" s="312"/>
      <c r="G648" s="328"/>
      <c r="H648" s="337"/>
      <c r="I648" s="334"/>
      <c r="J648" s="314"/>
      <c r="K648" s="449"/>
      <c r="M648" s="349" t="str">
        <f>N648&amp;AS[[#This Row],[Insurer Code]]&amp;"; "&amp;O648&amp;AS[[#This Row],[Reporting Year]]&amp;"; "&amp;P648&amp;AS[[#This Row],[Insurance Category Code]]&amp;"; "&amp;Q648&amp;AS[[#This Row],[Large Provider Entity Code]]&amp;"; "&amp;R648&amp;AS[[#This Row],[Age Band Code]]&amp;"; "&amp;S648&amp;AS[[#This Row],[Sex Code]]</f>
        <v xml:space="preserve">Insurer Code ; Reporting Year ; Insurance Category Code ; Large Provider Entity Code ; Age Band Code ; Sex Code </v>
      </c>
      <c r="N648" s="345" t="s">
        <v>207</v>
      </c>
      <c r="O648" s="345" t="s">
        <v>208</v>
      </c>
      <c r="P648" s="345" t="s">
        <v>209</v>
      </c>
      <c r="Q648" s="345" t="s">
        <v>210</v>
      </c>
      <c r="R648" s="345" t="s">
        <v>223</v>
      </c>
      <c r="S648" s="345" t="s">
        <v>224</v>
      </c>
    </row>
    <row r="649" spans="1:19" x14ac:dyDescent="0.25">
      <c r="A649" s="311"/>
      <c r="B649" s="312"/>
      <c r="C649" s="312"/>
      <c r="D649" s="312"/>
      <c r="E649" s="312"/>
      <c r="F649" s="312"/>
      <c r="G649" s="328"/>
      <c r="H649" s="337"/>
      <c r="I649" s="334"/>
      <c r="J649" s="314"/>
      <c r="K649" s="449"/>
      <c r="M649" s="349" t="str">
        <f>N649&amp;AS[[#This Row],[Insurer Code]]&amp;"; "&amp;O649&amp;AS[[#This Row],[Reporting Year]]&amp;"; "&amp;P649&amp;AS[[#This Row],[Insurance Category Code]]&amp;"; "&amp;Q649&amp;AS[[#This Row],[Large Provider Entity Code]]&amp;"; "&amp;R649&amp;AS[[#This Row],[Age Band Code]]&amp;"; "&amp;S649&amp;AS[[#This Row],[Sex Code]]</f>
        <v xml:space="preserve">Insurer Code ; Reporting Year ; Insurance Category Code ; Large Provider Entity Code ; Age Band Code ; Sex Code </v>
      </c>
      <c r="N649" s="345" t="s">
        <v>207</v>
      </c>
      <c r="O649" s="345" t="s">
        <v>208</v>
      </c>
      <c r="P649" s="345" t="s">
        <v>209</v>
      </c>
      <c r="Q649" s="345" t="s">
        <v>210</v>
      </c>
      <c r="R649" s="345" t="s">
        <v>223</v>
      </c>
      <c r="S649" s="345" t="s">
        <v>224</v>
      </c>
    </row>
    <row r="650" spans="1:19" x14ac:dyDescent="0.25">
      <c r="A650" s="311"/>
      <c r="B650" s="312"/>
      <c r="C650" s="312"/>
      <c r="D650" s="312"/>
      <c r="E650" s="312"/>
      <c r="F650" s="312"/>
      <c r="G650" s="328"/>
      <c r="H650" s="337"/>
      <c r="I650" s="334"/>
      <c r="J650" s="314"/>
      <c r="K650" s="449"/>
      <c r="M650" s="349" t="str">
        <f>N650&amp;AS[[#This Row],[Insurer Code]]&amp;"; "&amp;O650&amp;AS[[#This Row],[Reporting Year]]&amp;"; "&amp;P650&amp;AS[[#This Row],[Insurance Category Code]]&amp;"; "&amp;Q650&amp;AS[[#This Row],[Large Provider Entity Code]]&amp;"; "&amp;R650&amp;AS[[#This Row],[Age Band Code]]&amp;"; "&amp;S650&amp;AS[[#This Row],[Sex Code]]</f>
        <v xml:space="preserve">Insurer Code ; Reporting Year ; Insurance Category Code ; Large Provider Entity Code ; Age Band Code ; Sex Code </v>
      </c>
      <c r="N650" s="345" t="s">
        <v>207</v>
      </c>
      <c r="O650" s="345" t="s">
        <v>208</v>
      </c>
      <c r="P650" s="345" t="s">
        <v>209</v>
      </c>
      <c r="Q650" s="345" t="s">
        <v>210</v>
      </c>
      <c r="R650" s="345" t="s">
        <v>223</v>
      </c>
      <c r="S650" s="345" t="s">
        <v>224</v>
      </c>
    </row>
    <row r="651" spans="1:19" x14ac:dyDescent="0.25">
      <c r="A651" s="311"/>
      <c r="B651" s="312"/>
      <c r="C651" s="312"/>
      <c r="D651" s="312"/>
      <c r="E651" s="312"/>
      <c r="F651" s="312"/>
      <c r="G651" s="328"/>
      <c r="H651" s="337"/>
      <c r="I651" s="334"/>
      <c r="J651" s="314"/>
      <c r="K651" s="449"/>
      <c r="M651" s="349" t="str">
        <f>N651&amp;AS[[#This Row],[Insurer Code]]&amp;"; "&amp;O651&amp;AS[[#This Row],[Reporting Year]]&amp;"; "&amp;P651&amp;AS[[#This Row],[Insurance Category Code]]&amp;"; "&amp;Q651&amp;AS[[#This Row],[Large Provider Entity Code]]&amp;"; "&amp;R651&amp;AS[[#This Row],[Age Band Code]]&amp;"; "&amp;S651&amp;AS[[#This Row],[Sex Code]]</f>
        <v xml:space="preserve">Insurer Code ; Reporting Year ; Insurance Category Code ; Large Provider Entity Code ; Age Band Code ; Sex Code </v>
      </c>
      <c r="N651" s="345" t="s">
        <v>207</v>
      </c>
      <c r="O651" s="345" t="s">
        <v>208</v>
      </c>
      <c r="P651" s="345" t="s">
        <v>209</v>
      </c>
      <c r="Q651" s="345" t="s">
        <v>210</v>
      </c>
      <c r="R651" s="345" t="s">
        <v>223</v>
      </c>
      <c r="S651" s="345" t="s">
        <v>224</v>
      </c>
    </row>
    <row r="652" spans="1:19" x14ac:dyDescent="0.25">
      <c r="A652" s="311"/>
      <c r="B652" s="312"/>
      <c r="C652" s="312"/>
      <c r="D652" s="312"/>
      <c r="E652" s="312"/>
      <c r="F652" s="312"/>
      <c r="G652" s="328"/>
      <c r="H652" s="337"/>
      <c r="I652" s="334"/>
      <c r="J652" s="314"/>
      <c r="K652" s="449"/>
      <c r="M652" s="349" t="str">
        <f>N652&amp;AS[[#This Row],[Insurer Code]]&amp;"; "&amp;O652&amp;AS[[#This Row],[Reporting Year]]&amp;"; "&amp;P652&amp;AS[[#This Row],[Insurance Category Code]]&amp;"; "&amp;Q652&amp;AS[[#This Row],[Large Provider Entity Code]]&amp;"; "&amp;R652&amp;AS[[#This Row],[Age Band Code]]&amp;"; "&amp;S652&amp;AS[[#This Row],[Sex Code]]</f>
        <v xml:space="preserve">Insurer Code ; Reporting Year ; Insurance Category Code ; Large Provider Entity Code ; Age Band Code ; Sex Code </v>
      </c>
      <c r="N652" s="345" t="s">
        <v>207</v>
      </c>
      <c r="O652" s="345" t="s">
        <v>208</v>
      </c>
      <c r="P652" s="345" t="s">
        <v>209</v>
      </c>
      <c r="Q652" s="345" t="s">
        <v>210</v>
      </c>
      <c r="R652" s="345" t="s">
        <v>223</v>
      </c>
      <c r="S652" s="345" t="s">
        <v>224</v>
      </c>
    </row>
    <row r="653" spans="1:19" x14ac:dyDescent="0.25">
      <c r="A653" s="311"/>
      <c r="B653" s="312"/>
      <c r="C653" s="312"/>
      <c r="D653" s="312"/>
      <c r="E653" s="312"/>
      <c r="F653" s="312"/>
      <c r="G653" s="328"/>
      <c r="H653" s="337"/>
      <c r="I653" s="334"/>
      <c r="J653" s="314"/>
      <c r="K653" s="449"/>
      <c r="M653" s="349" t="str">
        <f>N653&amp;AS[[#This Row],[Insurer Code]]&amp;"; "&amp;O653&amp;AS[[#This Row],[Reporting Year]]&amp;"; "&amp;P653&amp;AS[[#This Row],[Insurance Category Code]]&amp;"; "&amp;Q653&amp;AS[[#This Row],[Large Provider Entity Code]]&amp;"; "&amp;R653&amp;AS[[#This Row],[Age Band Code]]&amp;"; "&amp;S653&amp;AS[[#This Row],[Sex Code]]</f>
        <v xml:space="preserve">Insurer Code ; Reporting Year ; Insurance Category Code ; Large Provider Entity Code ; Age Band Code ; Sex Code </v>
      </c>
      <c r="N653" s="345" t="s">
        <v>207</v>
      </c>
      <c r="O653" s="345" t="s">
        <v>208</v>
      </c>
      <c r="P653" s="345" t="s">
        <v>209</v>
      </c>
      <c r="Q653" s="345" t="s">
        <v>210</v>
      </c>
      <c r="R653" s="345" t="s">
        <v>223</v>
      </c>
      <c r="S653" s="345" t="s">
        <v>224</v>
      </c>
    </row>
    <row r="654" spans="1:19" x14ac:dyDescent="0.25">
      <c r="A654" s="311"/>
      <c r="B654" s="312"/>
      <c r="C654" s="312"/>
      <c r="D654" s="312"/>
      <c r="E654" s="312"/>
      <c r="F654" s="312"/>
      <c r="G654" s="328"/>
      <c r="H654" s="337"/>
      <c r="I654" s="334"/>
      <c r="J654" s="314"/>
      <c r="K654" s="449"/>
      <c r="M654" s="349" t="str">
        <f>N654&amp;AS[[#This Row],[Insurer Code]]&amp;"; "&amp;O654&amp;AS[[#This Row],[Reporting Year]]&amp;"; "&amp;P654&amp;AS[[#This Row],[Insurance Category Code]]&amp;"; "&amp;Q654&amp;AS[[#This Row],[Large Provider Entity Code]]&amp;"; "&amp;R654&amp;AS[[#This Row],[Age Band Code]]&amp;"; "&amp;S654&amp;AS[[#This Row],[Sex Code]]</f>
        <v xml:space="preserve">Insurer Code ; Reporting Year ; Insurance Category Code ; Large Provider Entity Code ; Age Band Code ; Sex Code </v>
      </c>
      <c r="N654" s="345" t="s">
        <v>207</v>
      </c>
      <c r="O654" s="345" t="s">
        <v>208</v>
      </c>
      <c r="P654" s="345" t="s">
        <v>209</v>
      </c>
      <c r="Q654" s="345" t="s">
        <v>210</v>
      </c>
      <c r="R654" s="345" t="s">
        <v>223</v>
      </c>
      <c r="S654" s="345" t="s">
        <v>224</v>
      </c>
    </row>
    <row r="655" spans="1:19" x14ac:dyDescent="0.25">
      <c r="A655" s="311"/>
      <c r="B655" s="312"/>
      <c r="C655" s="312"/>
      <c r="D655" s="312"/>
      <c r="E655" s="312"/>
      <c r="F655" s="312"/>
      <c r="G655" s="328"/>
      <c r="H655" s="337"/>
      <c r="I655" s="334"/>
      <c r="J655" s="314"/>
      <c r="K655" s="449"/>
      <c r="M655" s="349" t="str">
        <f>N655&amp;AS[[#This Row],[Insurer Code]]&amp;"; "&amp;O655&amp;AS[[#This Row],[Reporting Year]]&amp;"; "&amp;P655&amp;AS[[#This Row],[Insurance Category Code]]&amp;"; "&amp;Q655&amp;AS[[#This Row],[Large Provider Entity Code]]&amp;"; "&amp;R655&amp;AS[[#This Row],[Age Band Code]]&amp;"; "&amp;S655&amp;AS[[#This Row],[Sex Code]]</f>
        <v xml:space="preserve">Insurer Code ; Reporting Year ; Insurance Category Code ; Large Provider Entity Code ; Age Band Code ; Sex Code </v>
      </c>
      <c r="N655" s="345" t="s">
        <v>207</v>
      </c>
      <c r="O655" s="345" t="s">
        <v>208</v>
      </c>
      <c r="P655" s="345" t="s">
        <v>209</v>
      </c>
      <c r="Q655" s="345" t="s">
        <v>210</v>
      </c>
      <c r="R655" s="345" t="s">
        <v>223</v>
      </c>
      <c r="S655" s="345" t="s">
        <v>224</v>
      </c>
    </row>
    <row r="656" spans="1:19" x14ac:dyDescent="0.25">
      <c r="A656" s="311"/>
      <c r="B656" s="312"/>
      <c r="C656" s="312"/>
      <c r="D656" s="312"/>
      <c r="E656" s="312"/>
      <c r="F656" s="312"/>
      <c r="G656" s="328"/>
      <c r="H656" s="337"/>
      <c r="I656" s="334"/>
      <c r="J656" s="314"/>
      <c r="K656" s="449"/>
      <c r="M656" s="349" t="str">
        <f>N656&amp;AS[[#This Row],[Insurer Code]]&amp;"; "&amp;O656&amp;AS[[#This Row],[Reporting Year]]&amp;"; "&amp;P656&amp;AS[[#This Row],[Insurance Category Code]]&amp;"; "&amp;Q656&amp;AS[[#This Row],[Large Provider Entity Code]]&amp;"; "&amp;R656&amp;AS[[#This Row],[Age Band Code]]&amp;"; "&amp;S656&amp;AS[[#This Row],[Sex Code]]</f>
        <v xml:space="preserve">Insurer Code ; Reporting Year ; Insurance Category Code ; Large Provider Entity Code ; Age Band Code ; Sex Code </v>
      </c>
      <c r="N656" s="345" t="s">
        <v>207</v>
      </c>
      <c r="O656" s="345" t="s">
        <v>208</v>
      </c>
      <c r="P656" s="345" t="s">
        <v>209</v>
      </c>
      <c r="Q656" s="345" t="s">
        <v>210</v>
      </c>
      <c r="R656" s="345" t="s">
        <v>223</v>
      </c>
      <c r="S656" s="345" t="s">
        <v>224</v>
      </c>
    </row>
    <row r="657" spans="1:19" x14ac:dyDescent="0.25">
      <c r="A657" s="311"/>
      <c r="B657" s="312"/>
      <c r="C657" s="312"/>
      <c r="D657" s="312"/>
      <c r="E657" s="333"/>
      <c r="F657" s="333"/>
      <c r="G657" s="313"/>
      <c r="H657" s="314"/>
      <c r="I657" s="334"/>
      <c r="J657" s="314"/>
      <c r="K657" s="449"/>
      <c r="M657" s="349" t="str">
        <f>N657&amp;AS[[#This Row],[Insurer Code]]&amp;"; "&amp;O657&amp;AS[[#This Row],[Reporting Year]]&amp;"; "&amp;P657&amp;AS[[#This Row],[Insurance Category Code]]&amp;"; "&amp;Q657&amp;AS[[#This Row],[Large Provider Entity Code]]&amp;"; "&amp;R657&amp;AS[[#This Row],[Age Band Code]]&amp;"; "&amp;S657&amp;AS[[#This Row],[Sex Code]]</f>
        <v xml:space="preserve">Insurer Code ; Reporting Year ; Insurance Category Code ; Large Provider Entity Code ; Age Band Code ; Sex Code </v>
      </c>
      <c r="N657" s="345" t="s">
        <v>207</v>
      </c>
      <c r="O657" s="345" t="s">
        <v>208</v>
      </c>
      <c r="P657" s="345" t="s">
        <v>209</v>
      </c>
      <c r="Q657" s="345" t="s">
        <v>210</v>
      </c>
      <c r="R657" s="345" t="s">
        <v>223</v>
      </c>
      <c r="S657" s="345" t="s">
        <v>224</v>
      </c>
    </row>
    <row r="658" spans="1:19" x14ac:dyDescent="0.25">
      <c r="A658" s="311"/>
      <c r="B658" s="312"/>
      <c r="C658" s="312"/>
      <c r="D658" s="312"/>
      <c r="E658" s="312"/>
      <c r="F658" s="312"/>
      <c r="G658" s="335"/>
      <c r="H658" s="336"/>
      <c r="I658" s="334"/>
      <c r="J658" s="332"/>
      <c r="K658" s="449"/>
      <c r="M658" s="349" t="str">
        <f>N658&amp;AS[[#This Row],[Insurer Code]]&amp;"; "&amp;O658&amp;AS[[#This Row],[Reporting Year]]&amp;"; "&amp;P658&amp;AS[[#This Row],[Insurance Category Code]]&amp;"; "&amp;Q658&amp;AS[[#This Row],[Large Provider Entity Code]]&amp;"; "&amp;R658&amp;AS[[#This Row],[Age Band Code]]&amp;"; "&amp;S658&amp;AS[[#This Row],[Sex Code]]</f>
        <v xml:space="preserve">Insurer Code ; Reporting Year ; Insurance Category Code ; Large Provider Entity Code ; Age Band Code ; Sex Code </v>
      </c>
      <c r="N658" s="345" t="s">
        <v>207</v>
      </c>
      <c r="O658" s="345" t="s">
        <v>208</v>
      </c>
      <c r="P658" s="345" t="s">
        <v>209</v>
      </c>
      <c r="Q658" s="345" t="s">
        <v>210</v>
      </c>
      <c r="R658" s="345" t="s">
        <v>223</v>
      </c>
      <c r="S658" s="345" t="s">
        <v>224</v>
      </c>
    </row>
    <row r="659" spans="1:19" x14ac:dyDescent="0.25">
      <c r="A659" s="311"/>
      <c r="B659" s="312"/>
      <c r="C659" s="312"/>
      <c r="D659" s="312"/>
      <c r="E659" s="312"/>
      <c r="F659" s="312"/>
      <c r="G659" s="335"/>
      <c r="H659" s="336"/>
      <c r="I659" s="334"/>
      <c r="J659" s="332"/>
      <c r="K659" s="449"/>
      <c r="M659" s="349" t="str">
        <f>N659&amp;AS[[#This Row],[Insurer Code]]&amp;"; "&amp;O659&amp;AS[[#This Row],[Reporting Year]]&amp;"; "&amp;P659&amp;AS[[#This Row],[Insurance Category Code]]&amp;"; "&amp;Q659&amp;AS[[#This Row],[Large Provider Entity Code]]&amp;"; "&amp;R659&amp;AS[[#This Row],[Age Band Code]]&amp;"; "&amp;S659&amp;AS[[#This Row],[Sex Code]]</f>
        <v xml:space="preserve">Insurer Code ; Reporting Year ; Insurance Category Code ; Large Provider Entity Code ; Age Band Code ; Sex Code </v>
      </c>
      <c r="N659" s="345" t="s">
        <v>207</v>
      </c>
      <c r="O659" s="345" t="s">
        <v>208</v>
      </c>
      <c r="P659" s="345" t="s">
        <v>209</v>
      </c>
      <c r="Q659" s="345" t="s">
        <v>210</v>
      </c>
      <c r="R659" s="345" t="s">
        <v>223</v>
      </c>
      <c r="S659" s="345" t="s">
        <v>224</v>
      </c>
    </row>
    <row r="660" spans="1:19" x14ac:dyDescent="0.25">
      <c r="A660" s="311"/>
      <c r="B660" s="312"/>
      <c r="C660" s="312"/>
      <c r="D660" s="312"/>
      <c r="E660" s="312"/>
      <c r="F660" s="312"/>
      <c r="G660" s="313"/>
      <c r="H660" s="336"/>
      <c r="I660" s="334"/>
      <c r="J660" s="332"/>
      <c r="K660" s="449"/>
      <c r="M660" s="349" t="str">
        <f>N660&amp;AS[[#This Row],[Insurer Code]]&amp;"; "&amp;O660&amp;AS[[#This Row],[Reporting Year]]&amp;"; "&amp;P660&amp;AS[[#This Row],[Insurance Category Code]]&amp;"; "&amp;Q660&amp;AS[[#This Row],[Large Provider Entity Code]]&amp;"; "&amp;R660&amp;AS[[#This Row],[Age Band Code]]&amp;"; "&amp;S660&amp;AS[[#This Row],[Sex Code]]</f>
        <v xml:space="preserve">Insurer Code ; Reporting Year ; Insurance Category Code ; Large Provider Entity Code ; Age Band Code ; Sex Code </v>
      </c>
      <c r="N660" s="345" t="s">
        <v>207</v>
      </c>
      <c r="O660" s="345" t="s">
        <v>208</v>
      </c>
      <c r="P660" s="345" t="s">
        <v>209</v>
      </c>
      <c r="Q660" s="345" t="s">
        <v>210</v>
      </c>
      <c r="R660" s="345" t="s">
        <v>223</v>
      </c>
      <c r="S660" s="345" t="s">
        <v>224</v>
      </c>
    </row>
    <row r="661" spans="1:19" x14ac:dyDescent="0.25">
      <c r="A661" s="311"/>
      <c r="B661" s="312"/>
      <c r="C661" s="312"/>
      <c r="D661" s="312"/>
      <c r="E661" s="312"/>
      <c r="F661" s="312"/>
      <c r="G661" s="335"/>
      <c r="H661" s="336"/>
      <c r="I661" s="334"/>
      <c r="J661" s="332"/>
      <c r="K661" s="449"/>
      <c r="M661" s="349" t="str">
        <f>N661&amp;AS[[#This Row],[Insurer Code]]&amp;"; "&amp;O661&amp;AS[[#This Row],[Reporting Year]]&amp;"; "&amp;P661&amp;AS[[#This Row],[Insurance Category Code]]&amp;"; "&amp;Q661&amp;AS[[#This Row],[Large Provider Entity Code]]&amp;"; "&amp;R661&amp;AS[[#This Row],[Age Band Code]]&amp;"; "&amp;S661&amp;AS[[#This Row],[Sex Code]]</f>
        <v xml:space="preserve">Insurer Code ; Reporting Year ; Insurance Category Code ; Large Provider Entity Code ; Age Band Code ; Sex Code </v>
      </c>
      <c r="N661" s="345" t="s">
        <v>207</v>
      </c>
      <c r="O661" s="345" t="s">
        <v>208</v>
      </c>
      <c r="P661" s="345" t="s">
        <v>209</v>
      </c>
      <c r="Q661" s="345" t="s">
        <v>210</v>
      </c>
      <c r="R661" s="345" t="s">
        <v>223</v>
      </c>
      <c r="S661" s="345" t="s">
        <v>224</v>
      </c>
    </row>
    <row r="662" spans="1:19" x14ac:dyDescent="0.25">
      <c r="A662" s="311"/>
      <c r="B662" s="312"/>
      <c r="C662" s="312"/>
      <c r="D662" s="312"/>
      <c r="E662" s="312"/>
      <c r="F662" s="312"/>
      <c r="G662" s="313"/>
      <c r="H662" s="336"/>
      <c r="I662" s="334"/>
      <c r="J662" s="332"/>
      <c r="K662" s="449"/>
      <c r="M662" s="349" t="str">
        <f>N662&amp;AS[[#This Row],[Insurer Code]]&amp;"; "&amp;O662&amp;AS[[#This Row],[Reporting Year]]&amp;"; "&amp;P662&amp;AS[[#This Row],[Insurance Category Code]]&amp;"; "&amp;Q662&amp;AS[[#This Row],[Large Provider Entity Code]]&amp;"; "&amp;R662&amp;AS[[#This Row],[Age Band Code]]&amp;"; "&amp;S662&amp;AS[[#This Row],[Sex Code]]</f>
        <v xml:space="preserve">Insurer Code ; Reporting Year ; Insurance Category Code ; Large Provider Entity Code ; Age Band Code ; Sex Code </v>
      </c>
      <c r="N662" s="345" t="s">
        <v>207</v>
      </c>
      <c r="O662" s="345" t="s">
        <v>208</v>
      </c>
      <c r="P662" s="345" t="s">
        <v>209</v>
      </c>
      <c r="Q662" s="345" t="s">
        <v>210</v>
      </c>
      <c r="R662" s="345" t="s">
        <v>223</v>
      </c>
      <c r="S662" s="345" t="s">
        <v>224</v>
      </c>
    </row>
    <row r="663" spans="1:19" x14ac:dyDescent="0.25">
      <c r="A663" s="311"/>
      <c r="B663" s="312"/>
      <c r="C663" s="312"/>
      <c r="D663" s="312"/>
      <c r="E663" s="312"/>
      <c r="F663" s="312"/>
      <c r="G663" s="335"/>
      <c r="H663" s="336"/>
      <c r="I663" s="334"/>
      <c r="J663" s="332"/>
      <c r="K663" s="449"/>
      <c r="M663" s="349" t="str">
        <f>N663&amp;AS[[#This Row],[Insurer Code]]&amp;"; "&amp;O663&amp;AS[[#This Row],[Reporting Year]]&amp;"; "&amp;P663&amp;AS[[#This Row],[Insurance Category Code]]&amp;"; "&amp;Q663&amp;AS[[#This Row],[Large Provider Entity Code]]&amp;"; "&amp;R663&amp;AS[[#This Row],[Age Band Code]]&amp;"; "&amp;S663&amp;AS[[#This Row],[Sex Code]]</f>
        <v xml:space="preserve">Insurer Code ; Reporting Year ; Insurance Category Code ; Large Provider Entity Code ; Age Band Code ; Sex Code </v>
      </c>
      <c r="N663" s="345" t="s">
        <v>207</v>
      </c>
      <c r="O663" s="345" t="s">
        <v>208</v>
      </c>
      <c r="P663" s="345" t="s">
        <v>209</v>
      </c>
      <c r="Q663" s="345" t="s">
        <v>210</v>
      </c>
      <c r="R663" s="345" t="s">
        <v>223</v>
      </c>
      <c r="S663" s="345" t="s">
        <v>224</v>
      </c>
    </row>
    <row r="664" spans="1:19" x14ac:dyDescent="0.25">
      <c r="A664" s="311"/>
      <c r="B664" s="312"/>
      <c r="C664" s="312"/>
      <c r="D664" s="312"/>
      <c r="E664" s="312"/>
      <c r="F664" s="312"/>
      <c r="G664" s="335"/>
      <c r="H664" s="336"/>
      <c r="I664" s="334"/>
      <c r="J664" s="332"/>
      <c r="K664" s="449"/>
      <c r="M664" s="349" t="str">
        <f>N664&amp;AS[[#This Row],[Insurer Code]]&amp;"; "&amp;O664&amp;AS[[#This Row],[Reporting Year]]&amp;"; "&amp;P664&amp;AS[[#This Row],[Insurance Category Code]]&amp;"; "&amp;Q664&amp;AS[[#This Row],[Large Provider Entity Code]]&amp;"; "&amp;R664&amp;AS[[#This Row],[Age Band Code]]&amp;"; "&amp;S664&amp;AS[[#This Row],[Sex Code]]</f>
        <v xml:space="preserve">Insurer Code ; Reporting Year ; Insurance Category Code ; Large Provider Entity Code ; Age Band Code ; Sex Code </v>
      </c>
      <c r="N664" s="345" t="s">
        <v>207</v>
      </c>
      <c r="O664" s="345" t="s">
        <v>208</v>
      </c>
      <c r="P664" s="345" t="s">
        <v>209</v>
      </c>
      <c r="Q664" s="345" t="s">
        <v>210</v>
      </c>
      <c r="R664" s="345" t="s">
        <v>223</v>
      </c>
      <c r="S664" s="345" t="s">
        <v>224</v>
      </c>
    </row>
    <row r="665" spans="1:19" x14ac:dyDescent="0.25">
      <c r="A665" s="311"/>
      <c r="B665" s="312"/>
      <c r="C665" s="312"/>
      <c r="D665" s="312"/>
      <c r="E665" s="312"/>
      <c r="F665" s="312"/>
      <c r="G665" s="313"/>
      <c r="H665" s="336"/>
      <c r="I665" s="334"/>
      <c r="J665" s="332"/>
      <c r="K665" s="449"/>
      <c r="M665" s="349" t="str">
        <f>N665&amp;AS[[#This Row],[Insurer Code]]&amp;"; "&amp;O665&amp;AS[[#This Row],[Reporting Year]]&amp;"; "&amp;P665&amp;AS[[#This Row],[Insurance Category Code]]&amp;"; "&amp;Q665&amp;AS[[#This Row],[Large Provider Entity Code]]&amp;"; "&amp;R665&amp;AS[[#This Row],[Age Band Code]]&amp;"; "&amp;S665&amp;AS[[#This Row],[Sex Code]]</f>
        <v xml:space="preserve">Insurer Code ; Reporting Year ; Insurance Category Code ; Large Provider Entity Code ; Age Band Code ; Sex Code </v>
      </c>
      <c r="N665" s="345" t="s">
        <v>207</v>
      </c>
      <c r="O665" s="345" t="s">
        <v>208</v>
      </c>
      <c r="P665" s="345" t="s">
        <v>209</v>
      </c>
      <c r="Q665" s="345" t="s">
        <v>210</v>
      </c>
      <c r="R665" s="345" t="s">
        <v>223</v>
      </c>
      <c r="S665" s="345" t="s">
        <v>224</v>
      </c>
    </row>
    <row r="666" spans="1:19" x14ac:dyDescent="0.25">
      <c r="A666" s="311"/>
      <c r="B666" s="312"/>
      <c r="C666" s="312"/>
      <c r="D666" s="312"/>
      <c r="E666" s="312"/>
      <c r="F666" s="312"/>
      <c r="G666" s="335"/>
      <c r="H666" s="336"/>
      <c r="I666" s="334"/>
      <c r="J666" s="332"/>
      <c r="K666" s="449"/>
      <c r="M666" s="349" t="str">
        <f>N666&amp;AS[[#This Row],[Insurer Code]]&amp;"; "&amp;O666&amp;AS[[#This Row],[Reporting Year]]&amp;"; "&amp;P666&amp;AS[[#This Row],[Insurance Category Code]]&amp;"; "&amp;Q666&amp;AS[[#This Row],[Large Provider Entity Code]]&amp;"; "&amp;R666&amp;AS[[#This Row],[Age Band Code]]&amp;"; "&amp;S666&amp;AS[[#This Row],[Sex Code]]</f>
        <v xml:space="preserve">Insurer Code ; Reporting Year ; Insurance Category Code ; Large Provider Entity Code ; Age Band Code ; Sex Code </v>
      </c>
      <c r="N666" s="345" t="s">
        <v>207</v>
      </c>
      <c r="O666" s="345" t="s">
        <v>208</v>
      </c>
      <c r="P666" s="345" t="s">
        <v>209</v>
      </c>
      <c r="Q666" s="345" t="s">
        <v>210</v>
      </c>
      <c r="R666" s="345" t="s">
        <v>223</v>
      </c>
      <c r="S666" s="345" t="s">
        <v>224</v>
      </c>
    </row>
    <row r="667" spans="1:19" x14ac:dyDescent="0.25">
      <c r="A667" s="311"/>
      <c r="B667" s="312"/>
      <c r="C667" s="312"/>
      <c r="D667" s="312"/>
      <c r="E667" s="312"/>
      <c r="F667" s="312"/>
      <c r="G667" s="313"/>
      <c r="H667" s="336"/>
      <c r="I667" s="334"/>
      <c r="J667" s="332"/>
      <c r="K667" s="449"/>
      <c r="M667" s="349" t="str">
        <f>N667&amp;AS[[#This Row],[Insurer Code]]&amp;"; "&amp;O667&amp;AS[[#This Row],[Reporting Year]]&amp;"; "&amp;P667&amp;AS[[#This Row],[Insurance Category Code]]&amp;"; "&amp;Q667&amp;AS[[#This Row],[Large Provider Entity Code]]&amp;"; "&amp;R667&amp;AS[[#This Row],[Age Band Code]]&amp;"; "&amp;S667&amp;AS[[#This Row],[Sex Code]]</f>
        <v xml:space="preserve">Insurer Code ; Reporting Year ; Insurance Category Code ; Large Provider Entity Code ; Age Band Code ; Sex Code </v>
      </c>
      <c r="N667" s="345" t="s">
        <v>207</v>
      </c>
      <c r="O667" s="345" t="s">
        <v>208</v>
      </c>
      <c r="P667" s="345" t="s">
        <v>209</v>
      </c>
      <c r="Q667" s="345" t="s">
        <v>210</v>
      </c>
      <c r="R667" s="345" t="s">
        <v>223</v>
      </c>
      <c r="S667" s="345" t="s">
        <v>224</v>
      </c>
    </row>
    <row r="668" spans="1:19" x14ac:dyDescent="0.25">
      <c r="A668" s="311"/>
      <c r="B668" s="312"/>
      <c r="C668" s="312"/>
      <c r="D668" s="312"/>
      <c r="E668" s="312"/>
      <c r="F668" s="312"/>
      <c r="G668" s="335"/>
      <c r="H668" s="336"/>
      <c r="I668" s="334"/>
      <c r="J668" s="332"/>
      <c r="K668" s="449"/>
      <c r="M668" s="349" t="str">
        <f>N668&amp;AS[[#This Row],[Insurer Code]]&amp;"; "&amp;O668&amp;AS[[#This Row],[Reporting Year]]&amp;"; "&amp;P668&amp;AS[[#This Row],[Insurance Category Code]]&amp;"; "&amp;Q668&amp;AS[[#This Row],[Large Provider Entity Code]]&amp;"; "&amp;R668&amp;AS[[#This Row],[Age Band Code]]&amp;"; "&amp;S668&amp;AS[[#This Row],[Sex Code]]</f>
        <v xml:space="preserve">Insurer Code ; Reporting Year ; Insurance Category Code ; Large Provider Entity Code ; Age Band Code ; Sex Code </v>
      </c>
      <c r="N668" s="345" t="s">
        <v>207</v>
      </c>
      <c r="O668" s="345" t="s">
        <v>208</v>
      </c>
      <c r="P668" s="345" t="s">
        <v>209</v>
      </c>
      <c r="Q668" s="345" t="s">
        <v>210</v>
      </c>
      <c r="R668" s="345" t="s">
        <v>223</v>
      </c>
      <c r="S668" s="345" t="s">
        <v>224</v>
      </c>
    </row>
    <row r="669" spans="1:19" x14ac:dyDescent="0.25">
      <c r="A669" s="311"/>
      <c r="B669" s="312"/>
      <c r="C669" s="312"/>
      <c r="D669" s="312"/>
      <c r="E669" s="312"/>
      <c r="F669" s="312"/>
      <c r="G669" s="313"/>
      <c r="H669" s="336"/>
      <c r="I669" s="334"/>
      <c r="J669" s="332"/>
      <c r="K669" s="449"/>
      <c r="M669" s="349" t="str">
        <f>N669&amp;AS[[#This Row],[Insurer Code]]&amp;"; "&amp;O669&amp;AS[[#This Row],[Reporting Year]]&amp;"; "&amp;P669&amp;AS[[#This Row],[Insurance Category Code]]&amp;"; "&amp;Q669&amp;AS[[#This Row],[Large Provider Entity Code]]&amp;"; "&amp;R669&amp;AS[[#This Row],[Age Band Code]]&amp;"; "&amp;S669&amp;AS[[#This Row],[Sex Code]]</f>
        <v xml:space="preserve">Insurer Code ; Reporting Year ; Insurance Category Code ; Large Provider Entity Code ; Age Band Code ; Sex Code </v>
      </c>
      <c r="N669" s="345" t="s">
        <v>207</v>
      </c>
      <c r="O669" s="345" t="s">
        <v>208</v>
      </c>
      <c r="P669" s="345" t="s">
        <v>209</v>
      </c>
      <c r="Q669" s="345" t="s">
        <v>210</v>
      </c>
      <c r="R669" s="345" t="s">
        <v>223</v>
      </c>
      <c r="S669" s="345" t="s">
        <v>224</v>
      </c>
    </row>
    <row r="670" spans="1:19" x14ac:dyDescent="0.25">
      <c r="A670" s="311"/>
      <c r="B670" s="312"/>
      <c r="C670" s="312"/>
      <c r="D670" s="312"/>
      <c r="E670" s="312"/>
      <c r="F670" s="312"/>
      <c r="G670" s="335"/>
      <c r="H670" s="336"/>
      <c r="I670" s="334"/>
      <c r="J670" s="332"/>
      <c r="K670" s="449"/>
      <c r="M670" s="349" t="str">
        <f>N670&amp;AS[[#This Row],[Insurer Code]]&amp;"; "&amp;O670&amp;AS[[#This Row],[Reporting Year]]&amp;"; "&amp;P670&amp;AS[[#This Row],[Insurance Category Code]]&amp;"; "&amp;Q670&amp;AS[[#This Row],[Large Provider Entity Code]]&amp;"; "&amp;R670&amp;AS[[#This Row],[Age Band Code]]&amp;"; "&amp;S670&amp;AS[[#This Row],[Sex Code]]</f>
        <v xml:space="preserve">Insurer Code ; Reporting Year ; Insurance Category Code ; Large Provider Entity Code ; Age Band Code ; Sex Code </v>
      </c>
      <c r="N670" s="345" t="s">
        <v>207</v>
      </c>
      <c r="O670" s="345" t="s">
        <v>208</v>
      </c>
      <c r="P670" s="345" t="s">
        <v>209</v>
      </c>
      <c r="Q670" s="345" t="s">
        <v>210</v>
      </c>
      <c r="R670" s="345" t="s">
        <v>223</v>
      </c>
      <c r="S670" s="345" t="s">
        <v>224</v>
      </c>
    </row>
    <row r="671" spans="1:19" x14ac:dyDescent="0.25">
      <c r="A671" s="311"/>
      <c r="B671" s="312"/>
      <c r="C671" s="312"/>
      <c r="D671" s="312"/>
      <c r="E671" s="312"/>
      <c r="F671" s="312"/>
      <c r="G671" s="313"/>
      <c r="H671" s="336"/>
      <c r="I671" s="334"/>
      <c r="J671" s="332"/>
      <c r="K671" s="449"/>
      <c r="M671" s="349" t="str">
        <f>N671&amp;AS[[#This Row],[Insurer Code]]&amp;"; "&amp;O671&amp;AS[[#This Row],[Reporting Year]]&amp;"; "&amp;P671&amp;AS[[#This Row],[Insurance Category Code]]&amp;"; "&amp;Q671&amp;AS[[#This Row],[Large Provider Entity Code]]&amp;"; "&amp;R671&amp;AS[[#This Row],[Age Band Code]]&amp;"; "&amp;S671&amp;AS[[#This Row],[Sex Code]]</f>
        <v xml:space="preserve">Insurer Code ; Reporting Year ; Insurance Category Code ; Large Provider Entity Code ; Age Band Code ; Sex Code </v>
      </c>
      <c r="N671" s="345" t="s">
        <v>207</v>
      </c>
      <c r="O671" s="345" t="s">
        <v>208</v>
      </c>
      <c r="P671" s="345" t="s">
        <v>209</v>
      </c>
      <c r="Q671" s="345" t="s">
        <v>210</v>
      </c>
      <c r="R671" s="345" t="s">
        <v>223</v>
      </c>
      <c r="S671" s="345" t="s">
        <v>224</v>
      </c>
    </row>
    <row r="672" spans="1:19" x14ac:dyDescent="0.25">
      <c r="A672" s="311"/>
      <c r="B672" s="312"/>
      <c r="C672" s="312"/>
      <c r="D672" s="312"/>
      <c r="E672" s="312"/>
      <c r="F672" s="312"/>
      <c r="G672" s="335"/>
      <c r="H672" s="336"/>
      <c r="I672" s="334"/>
      <c r="J672" s="332"/>
      <c r="K672" s="449"/>
      <c r="M672" s="349" t="str">
        <f>N672&amp;AS[[#This Row],[Insurer Code]]&amp;"; "&amp;O672&amp;AS[[#This Row],[Reporting Year]]&amp;"; "&amp;P672&amp;AS[[#This Row],[Insurance Category Code]]&amp;"; "&amp;Q672&amp;AS[[#This Row],[Large Provider Entity Code]]&amp;"; "&amp;R672&amp;AS[[#This Row],[Age Band Code]]&amp;"; "&amp;S672&amp;AS[[#This Row],[Sex Code]]</f>
        <v xml:space="preserve">Insurer Code ; Reporting Year ; Insurance Category Code ; Large Provider Entity Code ; Age Band Code ; Sex Code </v>
      </c>
      <c r="N672" s="345" t="s">
        <v>207</v>
      </c>
      <c r="O672" s="345" t="s">
        <v>208</v>
      </c>
      <c r="P672" s="345" t="s">
        <v>209</v>
      </c>
      <c r="Q672" s="345" t="s">
        <v>210</v>
      </c>
      <c r="R672" s="345" t="s">
        <v>223</v>
      </c>
      <c r="S672" s="345" t="s">
        <v>224</v>
      </c>
    </row>
    <row r="673" spans="1:19" x14ac:dyDescent="0.25">
      <c r="A673" s="311"/>
      <c r="B673" s="312"/>
      <c r="C673" s="312"/>
      <c r="D673" s="312"/>
      <c r="E673" s="312"/>
      <c r="F673" s="312"/>
      <c r="G673" s="313"/>
      <c r="H673" s="336"/>
      <c r="I673" s="334"/>
      <c r="J673" s="332"/>
      <c r="K673" s="449"/>
      <c r="M673" s="349" t="str">
        <f>N673&amp;AS[[#This Row],[Insurer Code]]&amp;"; "&amp;O673&amp;AS[[#This Row],[Reporting Year]]&amp;"; "&amp;P673&amp;AS[[#This Row],[Insurance Category Code]]&amp;"; "&amp;Q673&amp;AS[[#This Row],[Large Provider Entity Code]]&amp;"; "&amp;R673&amp;AS[[#This Row],[Age Band Code]]&amp;"; "&amp;S673&amp;AS[[#This Row],[Sex Code]]</f>
        <v xml:space="preserve">Insurer Code ; Reporting Year ; Insurance Category Code ; Large Provider Entity Code ; Age Band Code ; Sex Code </v>
      </c>
      <c r="N673" s="345" t="s">
        <v>207</v>
      </c>
      <c r="O673" s="345" t="s">
        <v>208</v>
      </c>
      <c r="P673" s="345" t="s">
        <v>209</v>
      </c>
      <c r="Q673" s="345" t="s">
        <v>210</v>
      </c>
      <c r="R673" s="345" t="s">
        <v>223</v>
      </c>
      <c r="S673" s="345" t="s">
        <v>224</v>
      </c>
    </row>
    <row r="674" spans="1:19" x14ac:dyDescent="0.25">
      <c r="A674" s="311"/>
      <c r="B674" s="312"/>
      <c r="C674" s="312"/>
      <c r="D674" s="312"/>
      <c r="E674" s="312"/>
      <c r="F674" s="312"/>
      <c r="G674" s="335"/>
      <c r="H674" s="336"/>
      <c r="I674" s="334"/>
      <c r="J674" s="332"/>
      <c r="K674" s="449"/>
      <c r="M674" s="349" t="str">
        <f>N674&amp;AS[[#This Row],[Insurer Code]]&amp;"; "&amp;O674&amp;AS[[#This Row],[Reporting Year]]&amp;"; "&amp;P674&amp;AS[[#This Row],[Insurance Category Code]]&amp;"; "&amp;Q674&amp;AS[[#This Row],[Large Provider Entity Code]]&amp;"; "&amp;R674&amp;AS[[#This Row],[Age Band Code]]&amp;"; "&amp;S674&amp;AS[[#This Row],[Sex Code]]</f>
        <v xml:space="preserve">Insurer Code ; Reporting Year ; Insurance Category Code ; Large Provider Entity Code ; Age Band Code ; Sex Code </v>
      </c>
      <c r="N674" s="345" t="s">
        <v>207</v>
      </c>
      <c r="O674" s="345" t="s">
        <v>208</v>
      </c>
      <c r="P674" s="345" t="s">
        <v>209</v>
      </c>
      <c r="Q674" s="345" t="s">
        <v>210</v>
      </c>
      <c r="R674" s="345" t="s">
        <v>223</v>
      </c>
      <c r="S674" s="345" t="s">
        <v>224</v>
      </c>
    </row>
    <row r="675" spans="1:19" x14ac:dyDescent="0.25">
      <c r="A675" s="311"/>
      <c r="B675" s="312"/>
      <c r="C675" s="312"/>
      <c r="D675" s="312"/>
      <c r="E675" s="312"/>
      <c r="F675" s="312"/>
      <c r="G675" s="313"/>
      <c r="H675" s="336"/>
      <c r="I675" s="334"/>
      <c r="J675" s="332"/>
      <c r="K675" s="449"/>
      <c r="M675" s="349" t="str">
        <f>N675&amp;AS[[#This Row],[Insurer Code]]&amp;"; "&amp;O675&amp;AS[[#This Row],[Reporting Year]]&amp;"; "&amp;P675&amp;AS[[#This Row],[Insurance Category Code]]&amp;"; "&amp;Q675&amp;AS[[#This Row],[Large Provider Entity Code]]&amp;"; "&amp;R675&amp;AS[[#This Row],[Age Band Code]]&amp;"; "&amp;S675&amp;AS[[#This Row],[Sex Code]]</f>
        <v xml:space="preserve">Insurer Code ; Reporting Year ; Insurance Category Code ; Large Provider Entity Code ; Age Band Code ; Sex Code </v>
      </c>
      <c r="N675" s="345" t="s">
        <v>207</v>
      </c>
      <c r="O675" s="345" t="s">
        <v>208</v>
      </c>
      <c r="P675" s="345" t="s">
        <v>209</v>
      </c>
      <c r="Q675" s="345" t="s">
        <v>210</v>
      </c>
      <c r="R675" s="345" t="s">
        <v>223</v>
      </c>
      <c r="S675" s="345" t="s">
        <v>224</v>
      </c>
    </row>
    <row r="676" spans="1:19" x14ac:dyDescent="0.25">
      <c r="A676" s="311"/>
      <c r="B676" s="312"/>
      <c r="C676" s="312"/>
      <c r="D676" s="312"/>
      <c r="E676" s="312"/>
      <c r="F676" s="312"/>
      <c r="G676" s="335"/>
      <c r="H676" s="336"/>
      <c r="I676" s="334"/>
      <c r="J676" s="332"/>
      <c r="K676" s="449"/>
      <c r="M676" s="349" t="str">
        <f>N676&amp;AS[[#This Row],[Insurer Code]]&amp;"; "&amp;O676&amp;AS[[#This Row],[Reporting Year]]&amp;"; "&amp;P676&amp;AS[[#This Row],[Insurance Category Code]]&amp;"; "&amp;Q676&amp;AS[[#This Row],[Large Provider Entity Code]]&amp;"; "&amp;R676&amp;AS[[#This Row],[Age Band Code]]&amp;"; "&amp;S676&amp;AS[[#This Row],[Sex Code]]</f>
        <v xml:space="preserve">Insurer Code ; Reporting Year ; Insurance Category Code ; Large Provider Entity Code ; Age Band Code ; Sex Code </v>
      </c>
      <c r="N676" s="345" t="s">
        <v>207</v>
      </c>
      <c r="O676" s="345" t="s">
        <v>208</v>
      </c>
      <c r="P676" s="345" t="s">
        <v>209</v>
      </c>
      <c r="Q676" s="345" t="s">
        <v>210</v>
      </c>
      <c r="R676" s="345" t="s">
        <v>223</v>
      </c>
      <c r="S676" s="345" t="s">
        <v>224</v>
      </c>
    </row>
    <row r="677" spans="1:19" x14ac:dyDescent="0.25">
      <c r="A677" s="311"/>
      <c r="B677" s="312"/>
      <c r="C677" s="312"/>
      <c r="D677" s="312"/>
      <c r="E677" s="312"/>
      <c r="F677" s="312"/>
      <c r="G677" s="313"/>
      <c r="H677" s="336"/>
      <c r="I677" s="334"/>
      <c r="J677" s="332"/>
      <c r="K677" s="449"/>
      <c r="M677" s="349" t="str">
        <f>N677&amp;AS[[#This Row],[Insurer Code]]&amp;"; "&amp;O677&amp;AS[[#This Row],[Reporting Year]]&amp;"; "&amp;P677&amp;AS[[#This Row],[Insurance Category Code]]&amp;"; "&amp;Q677&amp;AS[[#This Row],[Large Provider Entity Code]]&amp;"; "&amp;R677&amp;AS[[#This Row],[Age Band Code]]&amp;"; "&amp;S677&amp;AS[[#This Row],[Sex Code]]</f>
        <v xml:space="preserve">Insurer Code ; Reporting Year ; Insurance Category Code ; Large Provider Entity Code ; Age Band Code ; Sex Code </v>
      </c>
      <c r="N677" s="345" t="s">
        <v>207</v>
      </c>
      <c r="O677" s="345" t="s">
        <v>208</v>
      </c>
      <c r="P677" s="345" t="s">
        <v>209</v>
      </c>
      <c r="Q677" s="345" t="s">
        <v>210</v>
      </c>
      <c r="R677" s="345" t="s">
        <v>223</v>
      </c>
      <c r="S677" s="345" t="s">
        <v>224</v>
      </c>
    </row>
    <row r="678" spans="1:19" x14ac:dyDescent="0.25">
      <c r="A678" s="311"/>
      <c r="B678" s="312"/>
      <c r="C678" s="312"/>
      <c r="D678" s="312"/>
      <c r="E678" s="312"/>
      <c r="F678" s="312"/>
      <c r="G678" s="335"/>
      <c r="H678" s="336"/>
      <c r="I678" s="334"/>
      <c r="J678" s="332"/>
      <c r="K678" s="449"/>
      <c r="M678" s="349" t="str">
        <f>N678&amp;AS[[#This Row],[Insurer Code]]&amp;"; "&amp;O678&amp;AS[[#This Row],[Reporting Year]]&amp;"; "&amp;P678&amp;AS[[#This Row],[Insurance Category Code]]&amp;"; "&amp;Q678&amp;AS[[#This Row],[Large Provider Entity Code]]&amp;"; "&amp;R678&amp;AS[[#This Row],[Age Band Code]]&amp;"; "&amp;S678&amp;AS[[#This Row],[Sex Code]]</f>
        <v xml:space="preserve">Insurer Code ; Reporting Year ; Insurance Category Code ; Large Provider Entity Code ; Age Band Code ; Sex Code </v>
      </c>
      <c r="N678" s="345" t="s">
        <v>207</v>
      </c>
      <c r="O678" s="345" t="s">
        <v>208</v>
      </c>
      <c r="P678" s="345" t="s">
        <v>209</v>
      </c>
      <c r="Q678" s="345" t="s">
        <v>210</v>
      </c>
      <c r="R678" s="345" t="s">
        <v>223</v>
      </c>
      <c r="S678" s="345" t="s">
        <v>224</v>
      </c>
    </row>
    <row r="679" spans="1:19" x14ac:dyDescent="0.25">
      <c r="A679" s="311"/>
      <c r="B679" s="312"/>
      <c r="C679" s="312"/>
      <c r="D679" s="312"/>
      <c r="E679" s="312"/>
      <c r="F679" s="312"/>
      <c r="G679" s="335"/>
      <c r="H679" s="336"/>
      <c r="I679" s="334"/>
      <c r="J679" s="332"/>
      <c r="K679" s="449"/>
      <c r="M679" s="349" t="str">
        <f>N679&amp;AS[[#This Row],[Insurer Code]]&amp;"; "&amp;O679&amp;AS[[#This Row],[Reporting Year]]&amp;"; "&amp;P679&amp;AS[[#This Row],[Insurance Category Code]]&amp;"; "&amp;Q679&amp;AS[[#This Row],[Large Provider Entity Code]]&amp;"; "&amp;R679&amp;AS[[#This Row],[Age Band Code]]&amp;"; "&amp;S679&amp;AS[[#This Row],[Sex Code]]</f>
        <v xml:space="preserve">Insurer Code ; Reporting Year ; Insurance Category Code ; Large Provider Entity Code ; Age Band Code ; Sex Code </v>
      </c>
      <c r="N679" s="345" t="s">
        <v>207</v>
      </c>
      <c r="O679" s="345" t="s">
        <v>208</v>
      </c>
      <c r="P679" s="345" t="s">
        <v>209</v>
      </c>
      <c r="Q679" s="345" t="s">
        <v>210</v>
      </c>
      <c r="R679" s="345" t="s">
        <v>223</v>
      </c>
      <c r="S679" s="345" t="s">
        <v>224</v>
      </c>
    </row>
    <row r="680" spans="1:19" x14ac:dyDescent="0.25">
      <c r="A680" s="311"/>
      <c r="B680" s="312"/>
      <c r="C680" s="312"/>
      <c r="D680" s="312"/>
      <c r="E680" s="312"/>
      <c r="F680" s="312"/>
      <c r="G680" s="313"/>
      <c r="H680" s="336"/>
      <c r="I680" s="334"/>
      <c r="J680" s="332"/>
      <c r="K680" s="449"/>
      <c r="M680" s="349" t="str">
        <f>N680&amp;AS[[#This Row],[Insurer Code]]&amp;"; "&amp;O680&amp;AS[[#This Row],[Reporting Year]]&amp;"; "&amp;P680&amp;AS[[#This Row],[Insurance Category Code]]&amp;"; "&amp;Q680&amp;AS[[#This Row],[Large Provider Entity Code]]&amp;"; "&amp;R680&amp;AS[[#This Row],[Age Band Code]]&amp;"; "&amp;S680&amp;AS[[#This Row],[Sex Code]]</f>
        <v xml:space="preserve">Insurer Code ; Reporting Year ; Insurance Category Code ; Large Provider Entity Code ; Age Band Code ; Sex Code </v>
      </c>
      <c r="N680" s="345" t="s">
        <v>207</v>
      </c>
      <c r="O680" s="345" t="s">
        <v>208</v>
      </c>
      <c r="P680" s="345" t="s">
        <v>209</v>
      </c>
      <c r="Q680" s="345" t="s">
        <v>210</v>
      </c>
      <c r="R680" s="345" t="s">
        <v>223</v>
      </c>
      <c r="S680" s="345" t="s">
        <v>224</v>
      </c>
    </row>
    <row r="681" spans="1:19" x14ac:dyDescent="0.25">
      <c r="A681" s="311"/>
      <c r="B681" s="312"/>
      <c r="C681" s="312"/>
      <c r="D681" s="312"/>
      <c r="E681" s="312"/>
      <c r="F681" s="312"/>
      <c r="G681" s="335"/>
      <c r="H681" s="336"/>
      <c r="I681" s="334"/>
      <c r="J681" s="332"/>
      <c r="K681" s="449"/>
      <c r="M681" s="349" t="str">
        <f>N681&amp;AS[[#This Row],[Insurer Code]]&amp;"; "&amp;O681&amp;AS[[#This Row],[Reporting Year]]&amp;"; "&amp;P681&amp;AS[[#This Row],[Insurance Category Code]]&amp;"; "&amp;Q681&amp;AS[[#This Row],[Large Provider Entity Code]]&amp;"; "&amp;R681&amp;AS[[#This Row],[Age Band Code]]&amp;"; "&amp;S681&amp;AS[[#This Row],[Sex Code]]</f>
        <v xml:space="preserve">Insurer Code ; Reporting Year ; Insurance Category Code ; Large Provider Entity Code ; Age Band Code ; Sex Code </v>
      </c>
      <c r="N681" s="345" t="s">
        <v>207</v>
      </c>
      <c r="O681" s="345" t="s">
        <v>208</v>
      </c>
      <c r="P681" s="345" t="s">
        <v>209</v>
      </c>
      <c r="Q681" s="345" t="s">
        <v>210</v>
      </c>
      <c r="R681" s="345" t="s">
        <v>223</v>
      </c>
      <c r="S681" s="345" t="s">
        <v>224</v>
      </c>
    </row>
    <row r="682" spans="1:19" x14ac:dyDescent="0.25">
      <c r="A682" s="311"/>
      <c r="B682" s="312"/>
      <c r="C682" s="312"/>
      <c r="D682" s="312"/>
      <c r="E682" s="312"/>
      <c r="F682" s="312"/>
      <c r="G682" s="313"/>
      <c r="H682" s="336"/>
      <c r="I682" s="334"/>
      <c r="J682" s="332"/>
      <c r="K682" s="449"/>
      <c r="M682" s="349" t="str">
        <f>N682&amp;AS[[#This Row],[Insurer Code]]&amp;"; "&amp;O682&amp;AS[[#This Row],[Reporting Year]]&amp;"; "&amp;P682&amp;AS[[#This Row],[Insurance Category Code]]&amp;"; "&amp;Q682&amp;AS[[#This Row],[Large Provider Entity Code]]&amp;"; "&amp;R682&amp;AS[[#This Row],[Age Band Code]]&amp;"; "&amp;S682&amp;AS[[#This Row],[Sex Code]]</f>
        <v xml:space="preserve">Insurer Code ; Reporting Year ; Insurance Category Code ; Large Provider Entity Code ; Age Band Code ; Sex Code </v>
      </c>
      <c r="N682" s="345" t="s">
        <v>207</v>
      </c>
      <c r="O682" s="345" t="s">
        <v>208</v>
      </c>
      <c r="P682" s="345" t="s">
        <v>209</v>
      </c>
      <c r="Q682" s="345" t="s">
        <v>210</v>
      </c>
      <c r="R682" s="345" t="s">
        <v>223</v>
      </c>
      <c r="S682" s="345" t="s">
        <v>224</v>
      </c>
    </row>
    <row r="683" spans="1:19" x14ac:dyDescent="0.25">
      <c r="A683" s="311"/>
      <c r="B683" s="312"/>
      <c r="C683" s="312"/>
      <c r="D683" s="312"/>
      <c r="E683" s="312"/>
      <c r="F683" s="312"/>
      <c r="G683" s="328"/>
      <c r="H683" s="337"/>
      <c r="I683" s="334"/>
      <c r="J683" s="314"/>
      <c r="K683" s="449"/>
      <c r="M683" s="349" t="str">
        <f>N683&amp;AS[[#This Row],[Insurer Code]]&amp;"; "&amp;O683&amp;AS[[#This Row],[Reporting Year]]&amp;"; "&amp;P683&amp;AS[[#This Row],[Insurance Category Code]]&amp;"; "&amp;Q683&amp;AS[[#This Row],[Large Provider Entity Code]]&amp;"; "&amp;R683&amp;AS[[#This Row],[Age Band Code]]&amp;"; "&amp;S683&amp;AS[[#This Row],[Sex Code]]</f>
        <v xml:space="preserve">Insurer Code ; Reporting Year ; Insurance Category Code ; Large Provider Entity Code ; Age Band Code ; Sex Code </v>
      </c>
      <c r="N683" s="345" t="s">
        <v>207</v>
      </c>
      <c r="O683" s="345" t="s">
        <v>208</v>
      </c>
      <c r="P683" s="345" t="s">
        <v>209</v>
      </c>
      <c r="Q683" s="345" t="s">
        <v>210</v>
      </c>
      <c r="R683" s="345" t="s">
        <v>223</v>
      </c>
      <c r="S683" s="345" t="s">
        <v>224</v>
      </c>
    </row>
    <row r="684" spans="1:19" x14ac:dyDescent="0.25">
      <c r="A684" s="311"/>
      <c r="B684" s="312"/>
      <c r="C684" s="312"/>
      <c r="D684" s="312"/>
      <c r="E684" s="312"/>
      <c r="F684" s="312"/>
      <c r="G684" s="328"/>
      <c r="H684" s="337"/>
      <c r="I684" s="334"/>
      <c r="J684" s="314"/>
      <c r="K684" s="449"/>
      <c r="M684" s="349" t="str">
        <f>N684&amp;AS[[#This Row],[Insurer Code]]&amp;"; "&amp;O684&amp;AS[[#This Row],[Reporting Year]]&amp;"; "&amp;P684&amp;AS[[#This Row],[Insurance Category Code]]&amp;"; "&amp;Q684&amp;AS[[#This Row],[Large Provider Entity Code]]&amp;"; "&amp;R684&amp;AS[[#This Row],[Age Band Code]]&amp;"; "&amp;S684&amp;AS[[#This Row],[Sex Code]]</f>
        <v xml:space="preserve">Insurer Code ; Reporting Year ; Insurance Category Code ; Large Provider Entity Code ; Age Band Code ; Sex Code </v>
      </c>
      <c r="N684" s="345" t="s">
        <v>207</v>
      </c>
      <c r="O684" s="345" t="s">
        <v>208</v>
      </c>
      <c r="P684" s="345" t="s">
        <v>209</v>
      </c>
      <c r="Q684" s="345" t="s">
        <v>210</v>
      </c>
      <c r="R684" s="345" t="s">
        <v>223</v>
      </c>
      <c r="S684" s="345" t="s">
        <v>224</v>
      </c>
    </row>
    <row r="685" spans="1:19" x14ac:dyDescent="0.25">
      <c r="A685" s="311"/>
      <c r="B685" s="312"/>
      <c r="C685" s="312"/>
      <c r="D685" s="312"/>
      <c r="E685" s="312"/>
      <c r="F685" s="312"/>
      <c r="G685" s="328"/>
      <c r="H685" s="337"/>
      <c r="I685" s="334"/>
      <c r="J685" s="314"/>
      <c r="K685" s="449"/>
      <c r="M685" s="349" t="str">
        <f>N685&amp;AS[[#This Row],[Insurer Code]]&amp;"; "&amp;O685&amp;AS[[#This Row],[Reporting Year]]&amp;"; "&amp;P685&amp;AS[[#This Row],[Insurance Category Code]]&amp;"; "&amp;Q685&amp;AS[[#This Row],[Large Provider Entity Code]]&amp;"; "&amp;R685&amp;AS[[#This Row],[Age Band Code]]&amp;"; "&amp;S685&amp;AS[[#This Row],[Sex Code]]</f>
        <v xml:space="preserve">Insurer Code ; Reporting Year ; Insurance Category Code ; Large Provider Entity Code ; Age Band Code ; Sex Code </v>
      </c>
      <c r="N685" s="345" t="s">
        <v>207</v>
      </c>
      <c r="O685" s="345" t="s">
        <v>208</v>
      </c>
      <c r="P685" s="345" t="s">
        <v>209</v>
      </c>
      <c r="Q685" s="345" t="s">
        <v>210</v>
      </c>
      <c r="R685" s="345" t="s">
        <v>223</v>
      </c>
      <c r="S685" s="345" t="s">
        <v>224</v>
      </c>
    </row>
    <row r="686" spans="1:19" x14ac:dyDescent="0.25">
      <c r="A686" s="311"/>
      <c r="B686" s="312"/>
      <c r="C686" s="312"/>
      <c r="D686" s="312"/>
      <c r="E686" s="312"/>
      <c r="F686" s="312"/>
      <c r="G686" s="328"/>
      <c r="H686" s="337"/>
      <c r="I686" s="334"/>
      <c r="J686" s="314"/>
      <c r="K686" s="449"/>
      <c r="M686" s="349" t="str">
        <f>N686&amp;AS[[#This Row],[Insurer Code]]&amp;"; "&amp;O686&amp;AS[[#This Row],[Reporting Year]]&amp;"; "&amp;P686&amp;AS[[#This Row],[Insurance Category Code]]&amp;"; "&amp;Q686&amp;AS[[#This Row],[Large Provider Entity Code]]&amp;"; "&amp;R686&amp;AS[[#This Row],[Age Band Code]]&amp;"; "&amp;S686&amp;AS[[#This Row],[Sex Code]]</f>
        <v xml:space="preserve">Insurer Code ; Reporting Year ; Insurance Category Code ; Large Provider Entity Code ; Age Band Code ; Sex Code </v>
      </c>
      <c r="N686" s="345" t="s">
        <v>207</v>
      </c>
      <c r="O686" s="345" t="s">
        <v>208</v>
      </c>
      <c r="P686" s="345" t="s">
        <v>209</v>
      </c>
      <c r="Q686" s="345" t="s">
        <v>210</v>
      </c>
      <c r="R686" s="345" t="s">
        <v>223</v>
      </c>
      <c r="S686" s="345" t="s">
        <v>224</v>
      </c>
    </row>
    <row r="687" spans="1:19" x14ac:dyDescent="0.25">
      <c r="A687" s="311"/>
      <c r="B687" s="312"/>
      <c r="C687" s="312"/>
      <c r="D687" s="312"/>
      <c r="E687" s="312"/>
      <c r="F687" s="312"/>
      <c r="G687" s="328"/>
      <c r="H687" s="337"/>
      <c r="I687" s="334"/>
      <c r="J687" s="314"/>
      <c r="K687" s="449"/>
      <c r="M687" s="349" t="str">
        <f>N687&amp;AS[[#This Row],[Insurer Code]]&amp;"; "&amp;O687&amp;AS[[#This Row],[Reporting Year]]&amp;"; "&amp;P687&amp;AS[[#This Row],[Insurance Category Code]]&amp;"; "&amp;Q687&amp;AS[[#This Row],[Large Provider Entity Code]]&amp;"; "&amp;R687&amp;AS[[#This Row],[Age Band Code]]&amp;"; "&amp;S687&amp;AS[[#This Row],[Sex Code]]</f>
        <v xml:space="preserve">Insurer Code ; Reporting Year ; Insurance Category Code ; Large Provider Entity Code ; Age Band Code ; Sex Code </v>
      </c>
      <c r="N687" s="345" t="s">
        <v>207</v>
      </c>
      <c r="O687" s="345" t="s">
        <v>208</v>
      </c>
      <c r="P687" s="345" t="s">
        <v>209</v>
      </c>
      <c r="Q687" s="345" t="s">
        <v>210</v>
      </c>
      <c r="R687" s="345" t="s">
        <v>223</v>
      </c>
      <c r="S687" s="345" t="s">
        <v>224</v>
      </c>
    </row>
    <row r="688" spans="1:19" x14ac:dyDescent="0.25">
      <c r="A688" s="311"/>
      <c r="B688" s="312"/>
      <c r="C688" s="312"/>
      <c r="D688" s="312"/>
      <c r="E688" s="312"/>
      <c r="F688" s="312"/>
      <c r="G688" s="328"/>
      <c r="H688" s="337"/>
      <c r="I688" s="334"/>
      <c r="J688" s="314"/>
      <c r="K688" s="449"/>
      <c r="M688" s="349" t="str">
        <f>N688&amp;AS[[#This Row],[Insurer Code]]&amp;"; "&amp;O688&amp;AS[[#This Row],[Reporting Year]]&amp;"; "&amp;P688&amp;AS[[#This Row],[Insurance Category Code]]&amp;"; "&amp;Q688&amp;AS[[#This Row],[Large Provider Entity Code]]&amp;"; "&amp;R688&amp;AS[[#This Row],[Age Band Code]]&amp;"; "&amp;S688&amp;AS[[#This Row],[Sex Code]]</f>
        <v xml:space="preserve">Insurer Code ; Reporting Year ; Insurance Category Code ; Large Provider Entity Code ; Age Band Code ; Sex Code </v>
      </c>
      <c r="N688" s="345" t="s">
        <v>207</v>
      </c>
      <c r="O688" s="345" t="s">
        <v>208</v>
      </c>
      <c r="P688" s="345" t="s">
        <v>209</v>
      </c>
      <c r="Q688" s="345" t="s">
        <v>210</v>
      </c>
      <c r="R688" s="345" t="s">
        <v>223</v>
      </c>
      <c r="S688" s="345" t="s">
        <v>224</v>
      </c>
    </row>
    <row r="689" spans="1:19" x14ac:dyDescent="0.25">
      <c r="A689" s="311"/>
      <c r="B689" s="312"/>
      <c r="C689" s="312"/>
      <c r="D689" s="312"/>
      <c r="E689" s="312"/>
      <c r="F689" s="312"/>
      <c r="G689" s="328"/>
      <c r="H689" s="337"/>
      <c r="I689" s="334"/>
      <c r="J689" s="314"/>
      <c r="K689" s="449"/>
      <c r="M689" s="349" t="str">
        <f>N689&amp;AS[[#This Row],[Insurer Code]]&amp;"; "&amp;O689&amp;AS[[#This Row],[Reporting Year]]&amp;"; "&amp;P689&amp;AS[[#This Row],[Insurance Category Code]]&amp;"; "&amp;Q689&amp;AS[[#This Row],[Large Provider Entity Code]]&amp;"; "&amp;R689&amp;AS[[#This Row],[Age Band Code]]&amp;"; "&amp;S689&amp;AS[[#This Row],[Sex Code]]</f>
        <v xml:space="preserve">Insurer Code ; Reporting Year ; Insurance Category Code ; Large Provider Entity Code ; Age Band Code ; Sex Code </v>
      </c>
      <c r="N689" s="345" t="s">
        <v>207</v>
      </c>
      <c r="O689" s="345" t="s">
        <v>208</v>
      </c>
      <c r="P689" s="345" t="s">
        <v>209</v>
      </c>
      <c r="Q689" s="345" t="s">
        <v>210</v>
      </c>
      <c r="R689" s="345" t="s">
        <v>223</v>
      </c>
      <c r="S689" s="345" t="s">
        <v>224</v>
      </c>
    </row>
    <row r="690" spans="1:19" x14ac:dyDescent="0.25">
      <c r="A690" s="311"/>
      <c r="B690" s="312"/>
      <c r="C690" s="312"/>
      <c r="D690" s="312"/>
      <c r="E690" s="312"/>
      <c r="F690" s="312"/>
      <c r="G690" s="328"/>
      <c r="H690" s="337"/>
      <c r="I690" s="334"/>
      <c r="J690" s="314"/>
      <c r="K690" s="449"/>
      <c r="M690" s="349" t="str">
        <f>N690&amp;AS[[#This Row],[Insurer Code]]&amp;"; "&amp;O690&amp;AS[[#This Row],[Reporting Year]]&amp;"; "&amp;P690&amp;AS[[#This Row],[Insurance Category Code]]&amp;"; "&amp;Q690&amp;AS[[#This Row],[Large Provider Entity Code]]&amp;"; "&amp;R690&amp;AS[[#This Row],[Age Band Code]]&amp;"; "&amp;S690&amp;AS[[#This Row],[Sex Code]]</f>
        <v xml:space="preserve">Insurer Code ; Reporting Year ; Insurance Category Code ; Large Provider Entity Code ; Age Band Code ; Sex Code </v>
      </c>
      <c r="N690" s="345" t="s">
        <v>207</v>
      </c>
      <c r="O690" s="345" t="s">
        <v>208</v>
      </c>
      <c r="P690" s="345" t="s">
        <v>209</v>
      </c>
      <c r="Q690" s="345" t="s">
        <v>210</v>
      </c>
      <c r="R690" s="345" t="s">
        <v>223</v>
      </c>
      <c r="S690" s="345" t="s">
        <v>224</v>
      </c>
    </row>
    <row r="691" spans="1:19" x14ac:dyDescent="0.25">
      <c r="A691" s="311"/>
      <c r="B691" s="312"/>
      <c r="C691" s="312"/>
      <c r="D691" s="312"/>
      <c r="E691" s="312"/>
      <c r="F691" s="312"/>
      <c r="G691" s="328"/>
      <c r="H691" s="337"/>
      <c r="I691" s="334"/>
      <c r="J691" s="314"/>
      <c r="K691" s="449"/>
      <c r="M691" s="349" t="str">
        <f>N691&amp;AS[[#This Row],[Insurer Code]]&amp;"; "&amp;O691&amp;AS[[#This Row],[Reporting Year]]&amp;"; "&amp;P691&amp;AS[[#This Row],[Insurance Category Code]]&amp;"; "&amp;Q691&amp;AS[[#This Row],[Large Provider Entity Code]]&amp;"; "&amp;R691&amp;AS[[#This Row],[Age Band Code]]&amp;"; "&amp;S691&amp;AS[[#This Row],[Sex Code]]</f>
        <v xml:space="preserve">Insurer Code ; Reporting Year ; Insurance Category Code ; Large Provider Entity Code ; Age Band Code ; Sex Code </v>
      </c>
      <c r="N691" s="345" t="s">
        <v>207</v>
      </c>
      <c r="O691" s="345" t="s">
        <v>208</v>
      </c>
      <c r="P691" s="345" t="s">
        <v>209</v>
      </c>
      <c r="Q691" s="345" t="s">
        <v>210</v>
      </c>
      <c r="R691" s="345" t="s">
        <v>223</v>
      </c>
      <c r="S691" s="345" t="s">
        <v>224</v>
      </c>
    </row>
    <row r="692" spans="1:19" x14ac:dyDescent="0.25">
      <c r="A692" s="311"/>
      <c r="B692" s="312"/>
      <c r="C692" s="312"/>
      <c r="D692" s="312"/>
      <c r="E692" s="312"/>
      <c r="F692" s="312"/>
      <c r="G692" s="328"/>
      <c r="H692" s="337"/>
      <c r="I692" s="334"/>
      <c r="J692" s="314"/>
      <c r="K692" s="449"/>
      <c r="M692" s="349" t="str">
        <f>N692&amp;AS[[#This Row],[Insurer Code]]&amp;"; "&amp;O692&amp;AS[[#This Row],[Reporting Year]]&amp;"; "&amp;P692&amp;AS[[#This Row],[Insurance Category Code]]&amp;"; "&amp;Q692&amp;AS[[#This Row],[Large Provider Entity Code]]&amp;"; "&amp;R692&amp;AS[[#This Row],[Age Band Code]]&amp;"; "&amp;S692&amp;AS[[#This Row],[Sex Code]]</f>
        <v xml:space="preserve">Insurer Code ; Reporting Year ; Insurance Category Code ; Large Provider Entity Code ; Age Band Code ; Sex Code </v>
      </c>
      <c r="N692" s="345" t="s">
        <v>207</v>
      </c>
      <c r="O692" s="345" t="s">
        <v>208</v>
      </c>
      <c r="P692" s="345" t="s">
        <v>209</v>
      </c>
      <c r="Q692" s="345" t="s">
        <v>210</v>
      </c>
      <c r="R692" s="345" t="s">
        <v>223</v>
      </c>
      <c r="S692" s="345" t="s">
        <v>224</v>
      </c>
    </row>
    <row r="693" spans="1:19" x14ac:dyDescent="0.25">
      <c r="A693" s="311"/>
      <c r="B693" s="312"/>
      <c r="C693" s="312"/>
      <c r="D693" s="312"/>
      <c r="E693" s="312"/>
      <c r="F693" s="312"/>
      <c r="G693" s="328"/>
      <c r="H693" s="337"/>
      <c r="I693" s="334"/>
      <c r="J693" s="314"/>
      <c r="K693" s="449"/>
      <c r="M693" s="349" t="str">
        <f>N693&amp;AS[[#This Row],[Insurer Code]]&amp;"; "&amp;O693&amp;AS[[#This Row],[Reporting Year]]&amp;"; "&amp;P693&amp;AS[[#This Row],[Insurance Category Code]]&amp;"; "&amp;Q693&amp;AS[[#This Row],[Large Provider Entity Code]]&amp;"; "&amp;R693&amp;AS[[#This Row],[Age Band Code]]&amp;"; "&amp;S693&amp;AS[[#This Row],[Sex Code]]</f>
        <v xml:space="preserve">Insurer Code ; Reporting Year ; Insurance Category Code ; Large Provider Entity Code ; Age Band Code ; Sex Code </v>
      </c>
      <c r="N693" s="345" t="s">
        <v>207</v>
      </c>
      <c r="O693" s="345" t="s">
        <v>208</v>
      </c>
      <c r="P693" s="345" t="s">
        <v>209</v>
      </c>
      <c r="Q693" s="345" t="s">
        <v>210</v>
      </c>
      <c r="R693" s="345" t="s">
        <v>223</v>
      </c>
      <c r="S693" s="345" t="s">
        <v>224</v>
      </c>
    </row>
    <row r="694" spans="1:19" x14ac:dyDescent="0.25">
      <c r="A694" s="311"/>
      <c r="B694" s="312"/>
      <c r="C694" s="312"/>
      <c r="D694" s="312"/>
      <c r="E694" s="312"/>
      <c r="F694" s="312"/>
      <c r="G694" s="328"/>
      <c r="H694" s="337"/>
      <c r="I694" s="334"/>
      <c r="J694" s="314"/>
      <c r="K694" s="449"/>
      <c r="M694" s="349" t="str">
        <f>N694&amp;AS[[#This Row],[Insurer Code]]&amp;"; "&amp;O694&amp;AS[[#This Row],[Reporting Year]]&amp;"; "&amp;P694&amp;AS[[#This Row],[Insurance Category Code]]&amp;"; "&amp;Q694&amp;AS[[#This Row],[Large Provider Entity Code]]&amp;"; "&amp;R694&amp;AS[[#This Row],[Age Band Code]]&amp;"; "&amp;S694&amp;AS[[#This Row],[Sex Code]]</f>
        <v xml:space="preserve">Insurer Code ; Reporting Year ; Insurance Category Code ; Large Provider Entity Code ; Age Band Code ; Sex Code </v>
      </c>
      <c r="N694" s="345" t="s">
        <v>207</v>
      </c>
      <c r="O694" s="345" t="s">
        <v>208</v>
      </c>
      <c r="P694" s="345" t="s">
        <v>209</v>
      </c>
      <c r="Q694" s="345" t="s">
        <v>210</v>
      </c>
      <c r="R694" s="345" t="s">
        <v>223</v>
      </c>
      <c r="S694" s="345" t="s">
        <v>224</v>
      </c>
    </row>
    <row r="695" spans="1:19" x14ac:dyDescent="0.25">
      <c r="A695" s="311"/>
      <c r="B695" s="312"/>
      <c r="C695" s="312"/>
      <c r="D695" s="312"/>
      <c r="E695" s="312"/>
      <c r="F695" s="312"/>
      <c r="G695" s="328"/>
      <c r="H695" s="337"/>
      <c r="I695" s="334"/>
      <c r="J695" s="314"/>
      <c r="K695" s="449"/>
      <c r="M695" s="349" t="str">
        <f>N695&amp;AS[[#This Row],[Insurer Code]]&amp;"; "&amp;O695&amp;AS[[#This Row],[Reporting Year]]&amp;"; "&amp;P695&amp;AS[[#This Row],[Insurance Category Code]]&amp;"; "&amp;Q695&amp;AS[[#This Row],[Large Provider Entity Code]]&amp;"; "&amp;R695&amp;AS[[#This Row],[Age Band Code]]&amp;"; "&amp;S695&amp;AS[[#This Row],[Sex Code]]</f>
        <v xml:space="preserve">Insurer Code ; Reporting Year ; Insurance Category Code ; Large Provider Entity Code ; Age Band Code ; Sex Code </v>
      </c>
      <c r="N695" s="345" t="s">
        <v>207</v>
      </c>
      <c r="O695" s="345" t="s">
        <v>208</v>
      </c>
      <c r="P695" s="345" t="s">
        <v>209</v>
      </c>
      <c r="Q695" s="345" t="s">
        <v>210</v>
      </c>
      <c r="R695" s="345" t="s">
        <v>223</v>
      </c>
      <c r="S695" s="345" t="s">
        <v>224</v>
      </c>
    </row>
    <row r="696" spans="1:19" x14ac:dyDescent="0.25">
      <c r="A696" s="311"/>
      <c r="B696" s="312"/>
      <c r="C696" s="312"/>
      <c r="D696" s="312"/>
      <c r="E696" s="312"/>
      <c r="F696" s="312"/>
      <c r="G696" s="328"/>
      <c r="H696" s="337"/>
      <c r="I696" s="334"/>
      <c r="J696" s="314"/>
      <c r="K696" s="449"/>
      <c r="M696" s="349" t="str">
        <f>N696&amp;AS[[#This Row],[Insurer Code]]&amp;"; "&amp;O696&amp;AS[[#This Row],[Reporting Year]]&amp;"; "&amp;P696&amp;AS[[#This Row],[Insurance Category Code]]&amp;"; "&amp;Q696&amp;AS[[#This Row],[Large Provider Entity Code]]&amp;"; "&amp;R696&amp;AS[[#This Row],[Age Band Code]]&amp;"; "&amp;S696&amp;AS[[#This Row],[Sex Code]]</f>
        <v xml:space="preserve">Insurer Code ; Reporting Year ; Insurance Category Code ; Large Provider Entity Code ; Age Band Code ; Sex Code </v>
      </c>
      <c r="N696" s="345" t="s">
        <v>207</v>
      </c>
      <c r="O696" s="345" t="s">
        <v>208</v>
      </c>
      <c r="P696" s="345" t="s">
        <v>209</v>
      </c>
      <c r="Q696" s="345" t="s">
        <v>210</v>
      </c>
      <c r="R696" s="345" t="s">
        <v>223</v>
      </c>
      <c r="S696" s="345" t="s">
        <v>224</v>
      </c>
    </row>
    <row r="697" spans="1:19" x14ac:dyDescent="0.25">
      <c r="A697" s="311"/>
      <c r="B697" s="312"/>
      <c r="C697" s="312"/>
      <c r="D697" s="312"/>
      <c r="E697" s="312"/>
      <c r="F697" s="312"/>
      <c r="G697" s="328"/>
      <c r="H697" s="337"/>
      <c r="I697" s="334"/>
      <c r="J697" s="314"/>
      <c r="K697" s="449"/>
      <c r="M697" s="349" t="str">
        <f>N697&amp;AS[[#This Row],[Insurer Code]]&amp;"; "&amp;O697&amp;AS[[#This Row],[Reporting Year]]&amp;"; "&amp;P697&amp;AS[[#This Row],[Insurance Category Code]]&amp;"; "&amp;Q697&amp;AS[[#This Row],[Large Provider Entity Code]]&amp;"; "&amp;R697&amp;AS[[#This Row],[Age Band Code]]&amp;"; "&amp;S697&amp;AS[[#This Row],[Sex Code]]</f>
        <v xml:space="preserve">Insurer Code ; Reporting Year ; Insurance Category Code ; Large Provider Entity Code ; Age Band Code ; Sex Code </v>
      </c>
      <c r="N697" s="345" t="s">
        <v>207</v>
      </c>
      <c r="O697" s="345" t="s">
        <v>208</v>
      </c>
      <c r="P697" s="345" t="s">
        <v>209</v>
      </c>
      <c r="Q697" s="345" t="s">
        <v>210</v>
      </c>
      <c r="R697" s="345" t="s">
        <v>223</v>
      </c>
      <c r="S697" s="345" t="s">
        <v>224</v>
      </c>
    </row>
    <row r="698" spans="1:19" x14ac:dyDescent="0.25">
      <c r="A698" s="311"/>
      <c r="B698" s="312"/>
      <c r="C698" s="312"/>
      <c r="D698" s="312"/>
      <c r="E698" s="312"/>
      <c r="F698" s="312"/>
      <c r="G698" s="328"/>
      <c r="H698" s="337"/>
      <c r="I698" s="334"/>
      <c r="J698" s="314"/>
      <c r="K698" s="449"/>
      <c r="M698" s="349" t="str">
        <f>N698&amp;AS[[#This Row],[Insurer Code]]&amp;"; "&amp;O698&amp;AS[[#This Row],[Reporting Year]]&amp;"; "&amp;P698&amp;AS[[#This Row],[Insurance Category Code]]&amp;"; "&amp;Q698&amp;AS[[#This Row],[Large Provider Entity Code]]&amp;"; "&amp;R698&amp;AS[[#This Row],[Age Band Code]]&amp;"; "&amp;S698&amp;AS[[#This Row],[Sex Code]]</f>
        <v xml:space="preserve">Insurer Code ; Reporting Year ; Insurance Category Code ; Large Provider Entity Code ; Age Band Code ; Sex Code </v>
      </c>
      <c r="N698" s="345" t="s">
        <v>207</v>
      </c>
      <c r="O698" s="345" t="s">
        <v>208</v>
      </c>
      <c r="P698" s="345" t="s">
        <v>209</v>
      </c>
      <c r="Q698" s="345" t="s">
        <v>210</v>
      </c>
      <c r="R698" s="345" t="s">
        <v>223</v>
      </c>
      <c r="S698" s="345" t="s">
        <v>224</v>
      </c>
    </row>
    <row r="699" spans="1:19" x14ac:dyDescent="0.25">
      <c r="A699" s="311"/>
      <c r="B699" s="312"/>
      <c r="C699" s="312"/>
      <c r="D699" s="312"/>
      <c r="E699" s="312"/>
      <c r="F699" s="312"/>
      <c r="G699" s="328"/>
      <c r="H699" s="337"/>
      <c r="I699" s="334"/>
      <c r="J699" s="314"/>
      <c r="K699" s="449"/>
      <c r="M699" s="349" t="str">
        <f>N699&amp;AS[[#This Row],[Insurer Code]]&amp;"; "&amp;O699&amp;AS[[#This Row],[Reporting Year]]&amp;"; "&amp;P699&amp;AS[[#This Row],[Insurance Category Code]]&amp;"; "&amp;Q699&amp;AS[[#This Row],[Large Provider Entity Code]]&amp;"; "&amp;R699&amp;AS[[#This Row],[Age Band Code]]&amp;"; "&amp;S699&amp;AS[[#This Row],[Sex Code]]</f>
        <v xml:space="preserve">Insurer Code ; Reporting Year ; Insurance Category Code ; Large Provider Entity Code ; Age Band Code ; Sex Code </v>
      </c>
      <c r="N699" s="345" t="s">
        <v>207</v>
      </c>
      <c r="O699" s="345" t="s">
        <v>208</v>
      </c>
      <c r="P699" s="345" t="s">
        <v>209</v>
      </c>
      <c r="Q699" s="345" t="s">
        <v>210</v>
      </c>
      <c r="R699" s="345" t="s">
        <v>223</v>
      </c>
      <c r="S699" s="345" t="s">
        <v>224</v>
      </c>
    </row>
    <row r="700" spans="1:19" x14ac:dyDescent="0.25">
      <c r="A700" s="311"/>
      <c r="B700" s="312"/>
      <c r="C700" s="312"/>
      <c r="D700" s="312"/>
      <c r="E700" s="312"/>
      <c r="F700" s="312"/>
      <c r="G700" s="328"/>
      <c r="H700" s="337"/>
      <c r="I700" s="334"/>
      <c r="J700" s="314"/>
      <c r="K700" s="449"/>
      <c r="M700" s="349" t="str">
        <f>N700&amp;AS[[#This Row],[Insurer Code]]&amp;"; "&amp;O700&amp;AS[[#This Row],[Reporting Year]]&amp;"; "&amp;P700&amp;AS[[#This Row],[Insurance Category Code]]&amp;"; "&amp;Q700&amp;AS[[#This Row],[Large Provider Entity Code]]&amp;"; "&amp;R700&amp;AS[[#This Row],[Age Band Code]]&amp;"; "&amp;S700&amp;AS[[#This Row],[Sex Code]]</f>
        <v xml:space="preserve">Insurer Code ; Reporting Year ; Insurance Category Code ; Large Provider Entity Code ; Age Band Code ; Sex Code </v>
      </c>
      <c r="N700" s="345" t="s">
        <v>207</v>
      </c>
      <c r="O700" s="345" t="s">
        <v>208</v>
      </c>
      <c r="P700" s="345" t="s">
        <v>209</v>
      </c>
      <c r="Q700" s="345" t="s">
        <v>210</v>
      </c>
      <c r="R700" s="345" t="s">
        <v>223</v>
      </c>
      <c r="S700" s="345" t="s">
        <v>224</v>
      </c>
    </row>
    <row r="701" spans="1:19" x14ac:dyDescent="0.25">
      <c r="A701" s="311"/>
      <c r="B701" s="312"/>
      <c r="C701" s="312"/>
      <c r="D701" s="312"/>
      <c r="E701" s="312"/>
      <c r="F701" s="312"/>
      <c r="G701" s="328"/>
      <c r="H701" s="337"/>
      <c r="I701" s="334"/>
      <c r="J701" s="314"/>
      <c r="K701" s="449"/>
      <c r="M701" s="349" t="str">
        <f>N701&amp;AS[[#This Row],[Insurer Code]]&amp;"; "&amp;O701&amp;AS[[#This Row],[Reporting Year]]&amp;"; "&amp;P701&amp;AS[[#This Row],[Insurance Category Code]]&amp;"; "&amp;Q701&amp;AS[[#This Row],[Large Provider Entity Code]]&amp;"; "&amp;R701&amp;AS[[#This Row],[Age Band Code]]&amp;"; "&amp;S701&amp;AS[[#This Row],[Sex Code]]</f>
        <v xml:space="preserve">Insurer Code ; Reporting Year ; Insurance Category Code ; Large Provider Entity Code ; Age Band Code ; Sex Code </v>
      </c>
      <c r="N701" s="345" t="s">
        <v>207</v>
      </c>
      <c r="O701" s="345" t="s">
        <v>208</v>
      </c>
      <c r="P701" s="345" t="s">
        <v>209</v>
      </c>
      <c r="Q701" s="345" t="s">
        <v>210</v>
      </c>
      <c r="R701" s="345" t="s">
        <v>223</v>
      </c>
      <c r="S701" s="345" t="s">
        <v>224</v>
      </c>
    </row>
    <row r="702" spans="1:19" x14ac:dyDescent="0.25">
      <c r="A702" s="311"/>
      <c r="B702" s="312"/>
      <c r="C702" s="312"/>
      <c r="D702" s="312"/>
      <c r="E702" s="312"/>
      <c r="F702" s="312"/>
      <c r="G702" s="328"/>
      <c r="H702" s="337"/>
      <c r="I702" s="334"/>
      <c r="J702" s="314"/>
      <c r="K702" s="449"/>
      <c r="M702" s="349" t="str">
        <f>N702&amp;AS[[#This Row],[Insurer Code]]&amp;"; "&amp;O702&amp;AS[[#This Row],[Reporting Year]]&amp;"; "&amp;P702&amp;AS[[#This Row],[Insurance Category Code]]&amp;"; "&amp;Q702&amp;AS[[#This Row],[Large Provider Entity Code]]&amp;"; "&amp;R702&amp;AS[[#This Row],[Age Band Code]]&amp;"; "&amp;S702&amp;AS[[#This Row],[Sex Code]]</f>
        <v xml:space="preserve">Insurer Code ; Reporting Year ; Insurance Category Code ; Large Provider Entity Code ; Age Band Code ; Sex Code </v>
      </c>
      <c r="N702" s="345" t="s">
        <v>207</v>
      </c>
      <c r="O702" s="345" t="s">
        <v>208</v>
      </c>
      <c r="P702" s="345" t="s">
        <v>209</v>
      </c>
      <c r="Q702" s="345" t="s">
        <v>210</v>
      </c>
      <c r="R702" s="345" t="s">
        <v>223</v>
      </c>
      <c r="S702" s="345" t="s">
        <v>224</v>
      </c>
    </row>
    <row r="703" spans="1:19" x14ac:dyDescent="0.25">
      <c r="A703" s="311"/>
      <c r="B703" s="312"/>
      <c r="C703" s="312"/>
      <c r="D703" s="312"/>
      <c r="E703" s="312"/>
      <c r="F703" s="312"/>
      <c r="G703" s="328"/>
      <c r="H703" s="337"/>
      <c r="I703" s="334"/>
      <c r="J703" s="314"/>
      <c r="K703" s="449"/>
      <c r="M703" s="349" t="str">
        <f>N703&amp;AS[[#This Row],[Insurer Code]]&amp;"; "&amp;O703&amp;AS[[#This Row],[Reporting Year]]&amp;"; "&amp;P703&amp;AS[[#This Row],[Insurance Category Code]]&amp;"; "&amp;Q703&amp;AS[[#This Row],[Large Provider Entity Code]]&amp;"; "&amp;R703&amp;AS[[#This Row],[Age Band Code]]&amp;"; "&amp;S703&amp;AS[[#This Row],[Sex Code]]</f>
        <v xml:space="preserve">Insurer Code ; Reporting Year ; Insurance Category Code ; Large Provider Entity Code ; Age Band Code ; Sex Code </v>
      </c>
      <c r="N703" s="345" t="s">
        <v>207</v>
      </c>
      <c r="O703" s="345" t="s">
        <v>208</v>
      </c>
      <c r="P703" s="345" t="s">
        <v>209</v>
      </c>
      <c r="Q703" s="345" t="s">
        <v>210</v>
      </c>
      <c r="R703" s="345" t="s">
        <v>223</v>
      </c>
      <c r="S703" s="345" t="s">
        <v>224</v>
      </c>
    </row>
    <row r="704" spans="1:19" x14ac:dyDescent="0.25">
      <c r="A704" s="311"/>
      <c r="B704" s="312"/>
      <c r="C704" s="312"/>
      <c r="D704" s="312"/>
      <c r="E704" s="312"/>
      <c r="F704" s="312"/>
      <c r="G704" s="328"/>
      <c r="H704" s="337"/>
      <c r="I704" s="334"/>
      <c r="J704" s="314"/>
      <c r="K704" s="449"/>
      <c r="M704" s="349" t="str">
        <f>N704&amp;AS[[#This Row],[Insurer Code]]&amp;"; "&amp;O704&amp;AS[[#This Row],[Reporting Year]]&amp;"; "&amp;P704&amp;AS[[#This Row],[Insurance Category Code]]&amp;"; "&amp;Q704&amp;AS[[#This Row],[Large Provider Entity Code]]&amp;"; "&amp;R704&amp;AS[[#This Row],[Age Band Code]]&amp;"; "&amp;S704&amp;AS[[#This Row],[Sex Code]]</f>
        <v xml:space="preserve">Insurer Code ; Reporting Year ; Insurance Category Code ; Large Provider Entity Code ; Age Band Code ; Sex Code </v>
      </c>
      <c r="N704" s="345" t="s">
        <v>207</v>
      </c>
      <c r="O704" s="345" t="s">
        <v>208</v>
      </c>
      <c r="P704" s="345" t="s">
        <v>209</v>
      </c>
      <c r="Q704" s="345" t="s">
        <v>210</v>
      </c>
      <c r="R704" s="345" t="s">
        <v>223</v>
      </c>
      <c r="S704" s="345" t="s">
        <v>224</v>
      </c>
    </row>
    <row r="705" spans="1:19" x14ac:dyDescent="0.25">
      <c r="A705" s="311"/>
      <c r="B705" s="312"/>
      <c r="C705" s="312"/>
      <c r="D705" s="312"/>
      <c r="E705" s="312"/>
      <c r="F705" s="312"/>
      <c r="G705" s="328"/>
      <c r="H705" s="337"/>
      <c r="I705" s="334"/>
      <c r="J705" s="314"/>
      <c r="K705" s="449"/>
      <c r="M705" s="349" t="str">
        <f>N705&amp;AS[[#This Row],[Insurer Code]]&amp;"; "&amp;O705&amp;AS[[#This Row],[Reporting Year]]&amp;"; "&amp;P705&amp;AS[[#This Row],[Insurance Category Code]]&amp;"; "&amp;Q705&amp;AS[[#This Row],[Large Provider Entity Code]]&amp;"; "&amp;R705&amp;AS[[#This Row],[Age Band Code]]&amp;"; "&amp;S705&amp;AS[[#This Row],[Sex Code]]</f>
        <v xml:space="preserve">Insurer Code ; Reporting Year ; Insurance Category Code ; Large Provider Entity Code ; Age Band Code ; Sex Code </v>
      </c>
      <c r="N705" s="345" t="s">
        <v>207</v>
      </c>
      <c r="O705" s="345" t="s">
        <v>208</v>
      </c>
      <c r="P705" s="345" t="s">
        <v>209</v>
      </c>
      <c r="Q705" s="345" t="s">
        <v>210</v>
      </c>
      <c r="R705" s="345" t="s">
        <v>223</v>
      </c>
      <c r="S705" s="345" t="s">
        <v>224</v>
      </c>
    </row>
    <row r="706" spans="1:19" x14ac:dyDescent="0.25">
      <c r="A706" s="311"/>
      <c r="B706" s="312"/>
      <c r="C706" s="312"/>
      <c r="D706" s="312"/>
      <c r="E706" s="312"/>
      <c r="F706" s="312"/>
      <c r="G706" s="328"/>
      <c r="H706" s="337"/>
      <c r="I706" s="334"/>
      <c r="J706" s="314"/>
      <c r="K706" s="449"/>
      <c r="M706" s="349" t="str">
        <f>N706&amp;AS[[#This Row],[Insurer Code]]&amp;"; "&amp;O706&amp;AS[[#This Row],[Reporting Year]]&amp;"; "&amp;P706&amp;AS[[#This Row],[Insurance Category Code]]&amp;"; "&amp;Q706&amp;AS[[#This Row],[Large Provider Entity Code]]&amp;"; "&amp;R706&amp;AS[[#This Row],[Age Band Code]]&amp;"; "&amp;S706&amp;AS[[#This Row],[Sex Code]]</f>
        <v xml:space="preserve">Insurer Code ; Reporting Year ; Insurance Category Code ; Large Provider Entity Code ; Age Band Code ; Sex Code </v>
      </c>
      <c r="N706" s="345" t="s">
        <v>207</v>
      </c>
      <c r="O706" s="345" t="s">
        <v>208</v>
      </c>
      <c r="P706" s="345" t="s">
        <v>209</v>
      </c>
      <c r="Q706" s="345" t="s">
        <v>210</v>
      </c>
      <c r="R706" s="345" t="s">
        <v>223</v>
      </c>
      <c r="S706" s="345" t="s">
        <v>224</v>
      </c>
    </row>
    <row r="707" spans="1:19" x14ac:dyDescent="0.25">
      <c r="A707" s="311"/>
      <c r="B707" s="312"/>
      <c r="C707" s="312"/>
      <c r="D707" s="312"/>
      <c r="E707" s="312"/>
      <c r="F707" s="312"/>
      <c r="G707" s="328"/>
      <c r="H707" s="337"/>
      <c r="I707" s="334"/>
      <c r="J707" s="314"/>
      <c r="K707" s="449"/>
      <c r="M707" s="349" t="str">
        <f>N707&amp;AS[[#This Row],[Insurer Code]]&amp;"; "&amp;O707&amp;AS[[#This Row],[Reporting Year]]&amp;"; "&amp;P707&amp;AS[[#This Row],[Insurance Category Code]]&amp;"; "&amp;Q707&amp;AS[[#This Row],[Large Provider Entity Code]]&amp;"; "&amp;R707&amp;AS[[#This Row],[Age Band Code]]&amp;"; "&amp;S707&amp;AS[[#This Row],[Sex Code]]</f>
        <v xml:space="preserve">Insurer Code ; Reporting Year ; Insurance Category Code ; Large Provider Entity Code ; Age Band Code ; Sex Code </v>
      </c>
      <c r="N707" s="345" t="s">
        <v>207</v>
      </c>
      <c r="O707" s="345" t="s">
        <v>208</v>
      </c>
      <c r="P707" s="345" t="s">
        <v>209</v>
      </c>
      <c r="Q707" s="345" t="s">
        <v>210</v>
      </c>
      <c r="R707" s="345" t="s">
        <v>223</v>
      </c>
      <c r="S707" s="345" t="s">
        <v>224</v>
      </c>
    </row>
    <row r="708" spans="1:19" x14ac:dyDescent="0.25">
      <c r="A708" s="311"/>
      <c r="B708" s="312"/>
      <c r="C708" s="312"/>
      <c r="D708" s="312"/>
      <c r="E708" s="312"/>
      <c r="F708" s="312"/>
      <c r="G708" s="328"/>
      <c r="H708" s="337"/>
      <c r="I708" s="334"/>
      <c r="J708" s="314"/>
      <c r="K708" s="449"/>
      <c r="M708" s="349" t="str">
        <f>N708&amp;AS[[#This Row],[Insurer Code]]&amp;"; "&amp;O708&amp;AS[[#This Row],[Reporting Year]]&amp;"; "&amp;P708&amp;AS[[#This Row],[Insurance Category Code]]&amp;"; "&amp;Q708&amp;AS[[#This Row],[Large Provider Entity Code]]&amp;"; "&amp;R708&amp;AS[[#This Row],[Age Band Code]]&amp;"; "&amp;S708&amp;AS[[#This Row],[Sex Code]]</f>
        <v xml:space="preserve">Insurer Code ; Reporting Year ; Insurance Category Code ; Large Provider Entity Code ; Age Band Code ; Sex Code </v>
      </c>
      <c r="N708" s="345" t="s">
        <v>207</v>
      </c>
      <c r="O708" s="345" t="s">
        <v>208</v>
      </c>
      <c r="P708" s="345" t="s">
        <v>209</v>
      </c>
      <c r="Q708" s="345" t="s">
        <v>210</v>
      </c>
      <c r="R708" s="345" t="s">
        <v>223</v>
      </c>
      <c r="S708" s="345" t="s">
        <v>224</v>
      </c>
    </row>
    <row r="709" spans="1:19" x14ac:dyDescent="0.25">
      <c r="A709" s="311"/>
      <c r="B709" s="312"/>
      <c r="C709" s="312"/>
      <c r="D709" s="312"/>
      <c r="E709" s="312"/>
      <c r="F709" s="312"/>
      <c r="G709" s="328"/>
      <c r="H709" s="337"/>
      <c r="I709" s="334"/>
      <c r="J709" s="314"/>
      <c r="K709" s="449"/>
      <c r="M709" s="349" t="str">
        <f>N709&amp;AS[[#This Row],[Insurer Code]]&amp;"; "&amp;O709&amp;AS[[#This Row],[Reporting Year]]&amp;"; "&amp;P709&amp;AS[[#This Row],[Insurance Category Code]]&amp;"; "&amp;Q709&amp;AS[[#This Row],[Large Provider Entity Code]]&amp;"; "&amp;R709&amp;AS[[#This Row],[Age Band Code]]&amp;"; "&amp;S709&amp;AS[[#This Row],[Sex Code]]</f>
        <v xml:space="preserve">Insurer Code ; Reporting Year ; Insurance Category Code ; Large Provider Entity Code ; Age Band Code ; Sex Code </v>
      </c>
      <c r="N709" s="345" t="s">
        <v>207</v>
      </c>
      <c r="O709" s="345" t="s">
        <v>208</v>
      </c>
      <c r="P709" s="345" t="s">
        <v>209</v>
      </c>
      <c r="Q709" s="345" t="s">
        <v>210</v>
      </c>
      <c r="R709" s="345" t="s">
        <v>223</v>
      </c>
      <c r="S709" s="345" t="s">
        <v>224</v>
      </c>
    </row>
    <row r="710" spans="1:19" x14ac:dyDescent="0.25">
      <c r="A710" s="311"/>
      <c r="B710" s="312"/>
      <c r="C710" s="312"/>
      <c r="D710" s="312"/>
      <c r="E710" s="312"/>
      <c r="F710" s="312"/>
      <c r="G710" s="328"/>
      <c r="H710" s="337"/>
      <c r="I710" s="334"/>
      <c r="J710" s="314"/>
      <c r="K710" s="449"/>
      <c r="M710" s="349" t="str">
        <f>N710&amp;AS[[#This Row],[Insurer Code]]&amp;"; "&amp;O710&amp;AS[[#This Row],[Reporting Year]]&amp;"; "&amp;P710&amp;AS[[#This Row],[Insurance Category Code]]&amp;"; "&amp;Q710&amp;AS[[#This Row],[Large Provider Entity Code]]&amp;"; "&amp;R710&amp;AS[[#This Row],[Age Band Code]]&amp;"; "&amp;S710&amp;AS[[#This Row],[Sex Code]]</f>
        <v xml:space="preserve">Insurer Code ; Reporting Year ; Insurance Category Code ; Large Provider Entity Code ; Age Band Code ; Sex Code </v>
      </c>
      <c r="N710" s="345" t="s">
        <v>207</v>
      </c>
      <c r="O710" s="345" t="s">
        <v>208</v>
      </c>
      <c r="P710" s="345" t="s">
        <v>209</v>
      </c>
      <c r="Q710" s="345" t="s">
        <v>210</v>
      </c>
      <c r="R710" s="345" t="s">
        <v>223</v>
      </c>
      <c r="S710" s="345" t="s">
        <v>224</v>
      </c>
    </row>
    <row r="711" spans="1:19" x14ac:dyDescent="0.25">
      <c r="A711" s="311"/>
      <c r="B711" s="312"/>
      <c r="C711" s="312"/>
      <c r="D711" s="312"/>
      <c r="E711" s="312"/>
      <c r="F711" s="312"/>
      <c r="G711" s="328"/>
      <c r="H711" s="337"/>
      <c r="I711" s="334"/>
      <c r="J711" s="314"/>
      <c r="K711" s="449"/>
      <c r="M711" s="349" t="str">
        <f>N711&amp;AS[[#This Row],[Insurer Code]]&amp;"; "&amp;O711&amp;AS[[#This Row],[Reporting Year]]&amp;"; "&amp;P711&amp;AS[[#This Row],[Insurance Category Code]]&amp;"; "&amp;Q711&amp;AS[[#This Row],[Large Provider Entity Code]]&amp;"; "&amp;R711&amp;AS[[#This Row],[Age Band Code]]&amp;"; "&amp;S711&amp;AS[[#This Row],[Sex Code]]</f>
        <v xml:space="preserve">Insurer Code ; Reporting Year ; Insurance Category Code ; Large Provider Entity Code ; Age Band Code ; Sex Code </v>
      </c>
      <c r="N711" s="345" t="s">
        <v>207</v>
      </c>
      <c r="O711" s="345" t="s">
        <v>208</v>
      </c>
      <c r="P711" s="345" t="s">
        <v>209</v>
      </c>
      <c r="Q711" s="345" t="s">
        <v>210</v>
      </c>
      <c r="R711" s="345" t="s">
        <v>223</v>
      </c>
      <c r="S711" s="345" t="s">
        <v>224</v>
      </c>
    </row>
    <row r="712" spans="1:19" x14ac:dyDescent="0.25">
      <c r="A712" s="311"/>
      <c r="B712" s="312"/>
      <c r="C712" s="312"/>
      <c r="D712" s="312"/>
      <c r="E712" s="312"/>
      <c r="F712" s="312"/>
      <c r="G712" s="328"/>
      <c r="H712" s="337"/>
      <c r="I712" s="334"/>
      <c r="J712" s="314"/>
      <c r="K712" s="449"/>
      <c r="M712" s="349" t="str">
        <f>N712&amp;AS[[#This Row],[Insurer Code]]&amp;"; "&amp;O712&amp;AS[[#This Row],[Reporting Year]]&amp;"; "&amp;P712&amp;AS[[#This Row],[Insurance Category Code]]&amp;"; "&amp;Q712&amp;AS[[#This Row],[Large Provider Entity Code]]&amp;"; "&amp;R712&amp;AS[[#This Row],[Age Band Code]]&amp;"; "&amp;S712&amp;AS[[#This Row],[Sex Code]]</f>
        <v xml:space="preserve">Insurer Code ; Reporting Year ; Insurance Category Code ; Large Provider Entity Code ; Age Band Code ; Sex Code </v>
      </c>
      <c r="N712" s="345" t="s">
        <v>207</v>
      </c>
      <c r="O712" s="345" t="s">
        <v>208</v>
      </c>
      <c r="P712" s="345" t="s">
        <v>209</v>
      </c>
      <c r="Q712" s="345" t="s">
        <v>210</v>
      </c>
      <c r="R712" s="345" t="s">
        <v>223</v>
      </c>
      <c r="S712" s="345" t="s">
        <v>224</v>
      </c>
    </row>
    <row r="713" spans="1:19" x14ac:dyDescent="0.25">
      <c r="A713" s="311"/>
      <c r="B713" s="312"/>
      <c r="C713" s="312"/>
      <c r="D713" s="312"/>
      <c r="E713" s="312"/>
      <c r="F713" s="312"/>
      <c r="G713" s="328"/>
      <c r="H713" s="337"/>
      <c r="I713" s="334"/>
      <c r="J713" s="314"/>
      <c r="K713" s="449"/>
      <c r="M713" s="349" t="str">
        <f>N713&amp;AS[[#This Row],[Insurer Code]]&amp;"; "&amp;O713&amp;AS[[#This Row],[Reporting Year]]&amp;"; "&amp;P713&amp;AS[[#This Row],[Insurance Category Code]]&amp;"; "&amp;Q713&amp;AS[[#This Row],[Large Provider Entity Code]]&amp;"; "&amp;R713&amp;AS[[#This Row],[Age Band Code]]&amp;"; "&amp;S713&amp;AS[[#This Row],[Sex Code]]</f>
        <v xml:space="preserve">Insurer Code ; Reporting Year ; Insurance Category Code ; Large Provider Entity Code ; Age Band Code ; Sex Code </v>
      </c>
      <c r="N713" s="345" t="s">
        <v>207</v>
      </c>
      <c r="O713" s="345" t="s">
        <v>208</v>
      </c>
      <c r="P713" s="345" t="s">
        <v>209</v>
      </c>
      <c r="Q713" s="345" t="s">
        <v>210</v>
      </c>
      <c r="R713" s="345" t="s">
        <v>223</v>
      </c>
      <c r="S713" s="345" t="s">
        <v>224</v>
      </c>
    </row>
    <row r="714" spans="1:19" x14ac:dyDescent="0.25">
      <c r="A714" s="311"/>
      <c r="B714" s="312"/>
      <c r="C714" s="312"/>
      <c r="D714" s="312"/>
      <c r="E714" s="312"/>
      <c r="F714" s="312"/>
      <c r="G714" s="328"/>
      <c r="H714" s="337"/>
      <c r="I714" s="334"/>
      <c r="J714" s="314"/>
      <c r="K714" s="449"/>
      <c r="M714" s="349" t="str">
        <f>N714&amp;AS[[#This Row],[Insurer Code]]&amp;"; "&amp;O714&amp;AS[[#This Row],[Reporting Year]]&amp;"; "&amp;P714&amp;AS[[#This Row],[Insurance Category Code]]&amp;"; "&amp;Q714&amp;AS[[#This Row],[Large Provider Entity Code]]&amp;"; "&amp;R714&amp;AS[[#This Row],[Age Band Code]]&amp;"; "&amp;S714&amp;AS[[#This Row],[Sex Code]]</f>
        <v xml:space="preserve">Insurer Code ; Reporting Year ; Insurance Category Code ; Large Provider Entity Code ; Age Band Code ; Sex Code </v>
      </c>
      <c r="N714" s="345" t="s">
        <v>207</v>
      </c>
      <c r="O714" s="345" t="s">
        <v>208</v>
      </c>
      <c r="P714" s="345" t="s">
        <v>209</v>
      </c>
      <c r="Q714" s="345" t="s">
        <v>210</v>
      </c>
      <c r="R714" s="345" t="s">
        <v>223</v>
      </c>
      <c r="S714" s="345" t="s">
        <v>224</v>
      </c>
    </row>
    <row r="715" spans="1:19" x14ac:dyDescent="0.25">
      <c r="A715" s="311"/>
      <c r="B715" s="312"/>
      <c r="C715" s="312"/>
      <c r="D715" s="312"/>
      <c r="E715" s="312"/>
      <c r="F715" s="312"/>
      <c r="G715" s="328"/>
      <c r="H715" s="337"/>
      <c r="I715" s="334"/>
      <c r="J715" s="314"/>
      <c r="K715" s="449"/>
      <c r="M715" s="349" t="str">
        <f>N715&amp;AS[[#This Row],[Insurer Code]]&amp;"; "&amp;O715&amp;AS[[#This Row],[Reporting Year]]&amp;"; "&amp;P715&amp;AS[[#This Row],[Insurance Category Code]]&amp;"; "&amp;Q715&amp;AS[[#This Row],[Large Provider Entity Code]]&amp;"; "&amp;R715&amp;AS[[#This Row],[Age Band Code]]&amp;"; "&amp;S715&amp;AS[[#This Row],[Sex Code]]</f>
        <v xml:space="preserve">Insurer Code ; Reporting Year ; Insurance Category Code ; Large Provider Entity Code ; Age Band Code ; Sex Code </v>
      </c>
      <c r="N715" s="345" t="s">
        <v>207</v>
      </c>
      <c r="O715" s="345" t="s">
        <v>208</v>
      </c>
      <c r="P715" s="345" t="s">
        <v>209</v>
      </c>
      <c r="Q715" s="345" t="s">
        <v>210</v>
      </c>
      <c r="R715" s="345" t="s">
        <v>223</v>
      </c>
      <c r="S715" s="345" t="s">
        <v>224</v>
      </c>
    </row>
    <row r="716" spans="1:19" x14ac:dyDescent="0.25">
      <c r="A716" s="311"/>
      <c r="B716" s="312"/>
      <c r="C716" s="312"/>
      <c r="D716" s="312"/>
      <c r="E716" s="312"/>
      <c r="F716" s="312"/>
      <c r="G716" s="328"/>
      <c r="H716" s="337"/>
      <c r="I716" s="334"/>
      <c r="J716" s="314"/>
      <c r="K716" s="449"/>
      <c r="M716" s="349" t="str">
        <f>N716&amp;AS[[#This Row],[Insurer Code]]&amp;"; "&amp;O716&amp;AS[[#This Row],[Reporting Year]]&amp;"; "&amp;P716&amp;AS[[#This Row],[Insurance Category Code]]&amp;"; "&amp;Q716&amp;AS[[#This Row],[Large Provider Entity Code]]&amp;"; "&amp;R716&amp;AS[[#This Row],[Age Band Code]]&amp;"; "&amp;S716&amp;AS[[#This Row],[Sex Code]]</f>
        <v xml:space="preserve">Insurer Code ; Reporting Year ; Insurance Category Code ; Large Provider Entity Code ; Age Band Code ; Sex Code </v>
      </c>
      <c r="N716" s="345" t="s">
        <v>207</v>
      </c>
      <c r="O716" s="345" t="s">
        <v>208</v>
      </c>
      <c r="P716" s="345" t="s">
        <v>209</v>
      </c>
      <c r="Q716" s="345" t="s">
        <v>210</v>
      </c>
      <c r="R716" s="345" t="s">
        <v>223</v>
      </c>
      <c r="S716" s="345" t="s">
        <v>224</v>
      </c>
    </row>
    <row r="717" spans="1:19" x14ac:dyDescent="0.25">
      <c r="A717" s="311"/>
      <c r="B717" s="312"/>
      <c r="C717" s="312"/>
      <c r="D717" s="312"/>
      <c r="E717" s="312"/>
      <c r="F717" s="312"/>
      <c r="G717" s="328"/>
      <c r="H717" s="337"/>
      <c r="I717" s="334"/>
      <c r="J717" s="314"/>
      <c r="K717" s="449"/>
      <c r="M717" s="349" t="str">
        <f>N717&amp;AS[[#This Row],[Insurer Code]]&amp;"; "&amp;O717&amp;AS[[#This Row],[Reporting Year]]&amp;"; "&amp;P717&amp;AS[[#This Row],[Insurance Category Code]]&amp;"; "&amp;Q717&amp;AS[[#This Row],[Large Provider Entity Code]]&amp;"; "&amp;R717&amp;AS[[#This Row],[Age Band Code]]&amp;"; "&amp;S717&amp;AS[[#This Row],[Sex Code]]</f>
        <v xml:space="preserve">Insurer Code ; Reporting Year ; Insurance Category Code ; Large Provider Entity Code ; Age Band Code ; Sex Code </v>
      </c>
      <c r="N717" s="345" t="s">
        <v>207</v>
      </c>
      <c r="O717" s="345" t="s">
        <v>208</v>
      </c>
      <c r="P717" s="345" t="s">
        <v>209</v>
      </c>
      <c r="Q717" s="345" t="s">
        <v>210</v>
      </c>
      <c r="R717" s="345" t="s">
        <v>223</v>
      </c>
      <c r="S717" s="345" t="s">
        <v>224</v>
      </c>
    </row>
    <row r="718" spans="1:19" x14ac:dyDescent="0.25">
      <c r="A718" s="311"/>
      <c r="B718" s="312"/>
      <c r="C718" s="312"/>
      <c r="D718" s="312"/>
      <c r="E718" s="312"/>
      <c r="F718" s="312"/>
      <c r="G718" s="328"/>
      <c r="H718" s="337"/>
      <c r="I718" s="334"/>
      <c r="J718" s="314"/>
      <c r="K718" s="449"/>
      <c r="M718" s="349" t="str">
        <f>N718&amp;AS[[#This Row],[Insurer Code]]&amp;"; "&amp;O718&amp;AS[[#This Row],[Reporting Year]]&amp;"; "&amp;P718&amp;AS[[#This Row],[Insurance Category Code]]&amp;"; "&amp;Q718&amp;AS[[#This Row],[Large Provider Entity Code]]&amp;"; "&amp;R718&amp;AS[[#This Row],[Age Band Code]]&amp;"; "&amp;S718&amp;AS[[#This Row],[Sex Code]]</f>
        <v xml:space="preserve">Insurer Code ; Reporting Year ; Insurance Category Code ; Large Provider Entity Code ; Age Band Code ; Sex Code </v>
      </c>
      <c r="N718" s="345" t="s">
        <v>207</v>
      </c>
      <c r="O718" s="345" t="s">
        <v>208</v>
      </c>
      <c r="P718" s="345" t="s">
        <v>209</v>
      </c>
      <c r="Q718" s="345" t="s">
        <v>210</v>
      </c>
      <c r="R718" s="345" t="s">
        <v>223</v>
      </c>
      <c r="S718" s="345" t="s">
        <v>224</v>
      </c>
    </row>
    <row r="719" spans="1:19" x14ac:dyDescent="0.25">
      <c r="A719" s="311"/>
      <c r="B719" s="312"/>
      <c r="C719" s="312"/>
      <c r="D719" s="312"/>
      <c r="E719" s="312"/>
      <c r="F719" s="312"/>
      <c r="G719" s="328"/>
      <c r="H719" s="337"/>
      <c r="I719" s="334"/>
      <c r="J719" s="314"/>
      <c r="K719" s="449"/>
      <c r="M719" s="349" t="str">
        <f>N719&amp;AS[[#This Row],[Insurer Code]]&amp;"; "&amp;O719&amp;AS[[#This Row],[Reporting Year]]&amp;"; "&amp;P719&amp;AS[[#This Row],[Insurance Category Code]]&amp;"; "&amp;Q719&amp;AS[[#This Row],[Large Provider Entity Code]]&amp;"; "&amp;R719&amp;AS[[#This Row],[Age Band Code]]&amp;"; "&amp;S719&amp;AS[[#This Row],[Sex Code]]</f>
        <v xml:space="preserve">Insurer Code ; Reporting Year ; Insurance Category Code ; Large Provider Entity Code ; Age Band Code ; Sex Code </v>
      </c>
      <c r="N719" s="345" t="s">
        <v>207</v>
      </c>
      <c r="O719" s="345" t="s">
        <v>208</v>
      </c>
      <c r="P719" s="345" t="s">
        <v>209</v>
      </c>
      <c r="Q719" s="345" t="s">
        <v>210</v>
      </c>
      <c r="R719" s="345" t="s">
        <v>223</v>
      </c>
      <c r="S719" s="345" t="s">
        <v>224</v>
      </c>
    </row>
    <row r="720" spans="1:19" x14ac:dyDescent="0.25">
      <c r="A720" s="311"/>
      <c r="B720" s="312"/>
      <c r="C720" s="312"/>
      <c r="D720" s="312"/>
      <c r="E720" s="312"/>
      <c r="F720" s="312"/>
      <c r="G720" s="328"/>
      <c r="H720" s="337"/>
      <c r="I720" s="334"/>
      <c r="J720" s="314"/>
      <c r="K720" s="449"/>
      <c r="M720" s="349" t="str">
        <f>N720&amp;AS[[#This Row],[Insurer Code]]&amp;"; "&amp;O720&amp;AS[[#This Row],[Reporting Year]]&amp;"; "&amp;P720&amp;AS[[#This Row],[Insurance Category Code]]&amp;"; "&amp;Q720&amp;AS[[#This Row],[Large Provider Entity Code]]&amp;"; "&amp;R720&amp;AS[[#This Row],[Age Band Code]]&amp;"; "&amp;S720&amp;AS[[#This Row],[Sex Code]]</f>
        <v xml:space="preserve">Insurer Code ; Reporting Year ; Insurance Category Code ; Large Provider Entity Code ; Age Band Code ; Sex Code </v>
      </c>
      <c r="N720" s="345" t="s">
        <v>207</v>
      </c>
      <c r="O720" s="345" t="s">
        <v>208</v>
      </c>
      <c r="P720" s="345" t="s">
        <v>209</v>
      </c>
      <c r="Q720" s="345" t="s">
        <v>210</v>
      </c>
      <c r="R720" s="345" t="s">
        <v>223</v>
      </c>
      <c r="S720" s="345" t="s">
        <v>224</v>
      </c>
    </row>
    <row r="721" spans="1:19" x14ac:dyDescent="0.25">
      <c r="A721" s="311"/>
      <c r="B721" s="312"/>
      <c r="C721" s="312"/>
      <c r="D721" s="312"/>
      <c r="E721" s="312"/>
      <c r="F721" s="312"/>
      <c r="G721" s="328"/>
      <c r="H721" s="337"/>
      <c r="I721" s="334"/>
      <c r="J721" s="314"/>
      <c r="K721" s="449"/>
      <c r="M721" s="349" t="str">
        <f>N721&amp;AS[[#This Row],[Insurer Code]]&amp;"; "&amp;O721&amp;AS[[#This Row],[Reporting Year]]&amp;"; "&amp;P721&amp;AS[[#This Row],[Insurance Category Code]]&amp;"; "&amp;Q721&amp;AS[[#This Row],[Large Provider Entity Code]]&amp;"; "&amp;R721&amp;AS[[#This Row],[Age Band Code]]&amp;"; "&amp;S721&amp;AS[[#This Row],[Sex Code]]</f>
        <v xml:space="preserve">Insurer Code ; Reporting Year ; Insurance Category Code ; Large Provider Entity Code ; Age Band Code ; Sex Code </v>
      </c>
      <c r="N721" s="345" t="s">
        <v>207</v>
      </c>
      <c r="O721" s="345" t="s">
        <v>208</v>
      </c>
      <c r="P721" s="345" t="s">
        <v>209</v>
      </c>
      <c r="Q721" s="345" t="s">
        <v>210</v>
      </c>
      <c r="R721" s="345" t="s">
        <v>223</v>
      </c>
      <c r="S721" s="345" t="s">
        <v>224</v>
      </c>
    </row>
    <row r="722" spans="1:19" x14ac:dyDescent="0.25">
      <c r="A722" s="311"/>
      <c r="B722" s="312"/>
      <c r="C722" s="312"/>
      <c r="D722" s="312"/>
      <c r="E722" s="312"/>
      <c r="F722" s="312"/>
      <c r="G722" s="328"/>
      <c r="H722" s="337"/>
      <c r="I722" s="334"/>
      <c r="J722" s="314"/>
      <c r="K722" s="449"/>
      <c r="M722" s="349" t="str">
        <f>N722&amp;AS[[#This Row],[Insurer Code]]&amp;"; "&amp;O722&amp;AS[[#This Row],[Reporting Year]]&amp;"; "&amp;P722&amp;AS[[#This Row],[Insurance Category Code]]&amp;"; "&amp;Q722&amp;AS[[#This Row],[Large Provider Entity Code]]&amp;"; "&amp;R722&amp;AS[[#This Row],[Age Band Code]]&amp;"; "&amp;S722&amp;AS[[#This Row],[Sex Code]]</f>
        <v xml:space="preserve">Insurer Code ; Reporting Year ; Insurance Category Code ; Large Provider Entity Code ; Age Band Code ; Sex Code </v>
      </c>
      <c r="N722" s="345" t="s">
        <v>207</v>
      </c>
      <c r="O722" s="345" t="s">
        <v>208</v>
      </c>
      <c r="P722" s="345" t="s">
        <v>209</v>
      </c>
      <c r="Q722" s="345" t="s">
        <v>210</v>
      </c>
      <c r="R722" s="345" t="s">
        <v>223</v>
      </c>
      <c r="S722" s="345" t="s">
        <v>224</v>
      </c>
    </row>
    <row r="723" spans="1:19" x14ac:dyDescent="0.25">
      <c r="A723" s="311"/>
      <c r="B723" s="312"/>
      <c r="C723" s="312"/>
      <c r="D723" s="312"/>
      <c r="E723" s="312"/>
      <c r="F723" s="312"/>
      <c r="G723" s="328"/>
      <c r="H723" s="337"/>
      <c r="I723" s="334"/>
      <c r="J723" s="314"/>
      <c r="K723" s="449"/>
      <c r="M723" s="349" t="str">
        <f>N723&amp;AS[[#This Row],[Insurer Code]]&amp;"; "&amp;O723&amp;AS[[#This Row],[Reporting Year]]&amp;"; "&amp;P723&amp;AS[[#This Row],[Insurance Category Code]]&amp;"; "&amp;Q723&amp;AS[[#This Row],[Large Provider Entity Code]]&amp;"; "&amp;R723&amp;AS[[#This Row],[Age Band Code]]&amp;"; "&amp;S723&amp;AS[[#This Row],[Sex Code]]</f>
        <v xml:space="preserve">Insurer Code ; Reporting Year ; Insurance Category Code ; Large Provider Entity Code ; Age Band Code ; Sex Code </v>
      </c>
      <c r="N723" s="345" t="s">
        <v>207</v>
      </c>
      <c r="O723" s="345" t="s">
        <v>208</v>
      </c>
      <c r="P723" s="345" t="s">
        <v>209</v>
      </c>
      <c r="Q723" s="345" t="s">
        <v>210</v>
      </c>
      <c r="R723" s="345" t="s">
        <v>223</v>
      </c>
      <c r="S723" s="345" t="s">
        <v>224</v>
      </c>
    </row>
    <row r="724" spans="1:19" x14ac:dyDescent="0.25">
      <c r="A724" s="311"/>
      <c r="B724" s="312"/>
      <c r="C724" s="312"/>
      <c r="D724" s="312"/>
      <c r="E724" s="312"/>
      <c r="F724" s="312"/>
      <c r="G724" s="328"/>
      <c r="H724" s="337"/>
      <c r="I724" s="334"/>
      <c r="J724" s="314"/>
      <c r="K724" s="449"/>
      <c r="M724" s="349" t="str">
        <f>N724&amp;AS[[#This Row],[Insurer Code]]&amp;"; "&amp;O724&amp;AS[[#This Row],[Reporting Year]]&amp;"; "&amp;P724&amp;AS[[#This Row],[Insurance Category Code]]&amp;"; "&amp;Q724&amp;AS[[#This Row],[Large Provider Entity Code]]&amp;"; "&amp;R724&amp;AS[[#This Row],[Age Band Code]]&amp;"; "&amp;S724&amp;AS[[#This Row],[Sex Code]]</f>
        <v xml:space="preserve">Insurer Code ; Reporting Year ; Insurance Category Code ; Large Provider Entity Code ; Age Band Code ; Sex Code </v>
      </c>
      <c r="N724" s="345" t="s">
        <v>207</v>
      </c>
      <c r="O724" s="345" t="s">
        <v>208</v>
      </c>
      <c r="P724" s="345" t="s">
        <v>209</v>
      </c>
      <c r="Q724" s="345" t="s">
        <v>210</v>
      </c>
      <c r="R724" s="345" t="s">
        <v>223</v>
      </c>
      <c r="S724" s="345" t="s">
        <v>224</v>
      </c>
    </row>
    <row r="725" spans="1:19" x14ac:dyDescent="0.25">
      <c r="A725" s="311"/>
      <c r="B725" s="312"/>
      <c r="C725" s="312"/>
      <c r="D725" s="312"/>
      <c r="E725" s="312"/>
      <c r="F725" s="312"/>
      <c r="G725" s="328"/>
      <c r="H725" s="337"/>
      <c r="I725" s="334"/>
      <c r="J725" s="314"/>
      <c r="K725" s="449"/>
      <c r="M725" s="349" t="str">
        <f>N725&amp;AS[[#This Row],[Insurer Code]]&amp;"; "&amp;O725&amp;AS[[#This Row],[Reporting Year]]&amp;"; "&amp;P725&amp;AS[[#This Row],[Insurance Category Code]]&amp;"; "&amp;Q725&amp;AS[[#This Row],[Large Provider Entity Code]]&amp;"; "&amp;R725&amp;AS[[#This Row],[Age Band Code]]&amp;"; "&amp;S725&amp;AS[[#This Row],[Sex Code]]</f>
        <v xml:space="preserve">Insurer Code ; Reporting Year ; Insurance Category Code ; Large Provider Entity Code ; Age Band Code ; Sex Code </v>
      </c>
      <c r="N725" s="345" t="s">
        <v>207</v>
      </c>
      <c r="O725" s="345" t="s">
        <v>208</v>
      </c>
      <c r="P725" s="345" t="s">
        <v>209</v>
      </c>
      <c r="Q725" s="345" t="s">
        <v>210</v>
      </c>
      <c r="R725" s="345" t="s">
        <v>223</v>
      </c>
      <c r="S725" s="345" t="s">
        <v>224</v>
      </c>
    </row>
    <row r="726" spans="1:19" x14ac:dyDescent="0.25">
      <c r="A726" s="311"/>
      <c r="B726" s="312"/>
      <c r="C726" s="312"/>
      <c r="D726" s="312"/>
      <c r="E726" s="312"/>
      <c r="F726" s="312"/>
      <c r="G726" s="328"/>
      <c r="H726" s="337"/>
      <c r="I726" s="334"/>
      <c r="J726" s="314"/>
      <c r="K726" s="449"/>
      <c r="M726" s="349" t="str">
        <f>N726&amp;AS[[#This Row],[Insurer Code]]&amp;"; "&amp;O726&amp;AS[[#This Row],[Reporting Year]]&amp;"; "&amp;P726&amp;AS[[#This Row],[Insurance Category Code]]&amp;"; "&amp;Q726&amp;AS[[#This Row],[Large Provider Entity Code]]&amp;"; "&amp;R726&amp;AS[[#This Row],[Age Band Code]]&amp;"; "&amp;S726&amp;AS[[#This Row],[Sex Code]]</f>
        <v xml:space="preserve">Insurer Code ; Reporting Year ; Insurance Category Code ; Large Provider Entity Code ; Age Band Code ; Sex Code </v>
      </c>
      <c r="N726" s="345" t="s">
        <v>207</v>
      </c>
      <c r="O726" s="345" t="s">
        <v>208</v>
      </c>
      <c r="P726" s="345" t="s">
        <v>209</v>
      </c>
      <c r="Q726" s="345" t="s">
        <v>210</v>
      </c>
      <c r="R726" s="345" t="s">
        <v>223</v>
      </c>
      <c r="S726" s="345" t="s">
        <v>224</v>
      </c>
    </row>
    <row r="727" spans="1:19" x14ac:dyDescent="0.25">
      <c r="A727" s="311"/>
      <c r="B727" s="312"/>
      <c r="C727" s="312"/>
      <c r="D727" s="312"/>
      <c r="E727" s="312"/>
      <c r="F727" s="312"/>
      <c r="G727" s="328"/>
      <c r="H727" s="337"/>
      <c r="I727" s="334"/>
      <c r="J727" s="314"/>
      <c r="K727" s="449"/>
      <c r="M727" s="349" t="str">
        <f>N727&amp;AS[[#This Row],[Insurer Code]]&amp;"; "&amp;O727&amp;AS[[#This Row],[Reporting Year]]&amp;"; "&amp;P727&amp;AS[[#This Row],[Insurance Category Code]]&amp;"; "&amp;Q727&amp;AS[[#This Row],[Large Provider Entity Code]]&amp;"; "&amp;R727&amp;AS[[#This Row],[Age Band Code]]&amp;"; "&amp;S727&amp;AS[[#This Row],[Sex Code]]</f>
        <v xml:space="preserve">Insurer Code ; Reporting Year ; Insurance Category Code ; Large Provider Entity Code ; Age Band Code ; Sex Code </v>
      </c>
      <c r="N727" s="345" t="s">
        <v>207</v>
      </c>
      <c r="O727" s="345" t="s">
        <v>208</v>
      </c>
      <c r="P727" s="345" t="s">
        <v>209</v>
      </c>
      <c r="Q727" s="345" t="s">
        <v>210</v>
      </c>
      <c r="R727" s="345" t="s">
        <v>223</v>
      </c>
      <c r="S727" s="345" t="s">
        <v>224</v>
      </c>
    </row>
    <row r="728" spans="1:19" x14ac:dyDescent="0.25">
      <c r="A728" s="311"/>
      <c r="B728" s="312"/>
      <c r="C728" s="312"/>
      <c r="D728" s="312"/>
      <c r="E728" s="312"/>
      <c r="F728" s="312"/>
      <c r="G728" s="328"/>
      <c r="H728" s="337"/>
      <c r="I728" s="334"/>
      <c r="J728" s="314"/>
      <c r="K728" s="449"/>
      <c r="M728" s="349" t="str">
        <f>N728&amp;AS[[#This Row],[Insurer Code]]&amp;"; "&amp;O728&amp;AS[[#This Row],[Reporting Year]]&amp;"; "&amp;P728&amp;AS[[#This Row],[Insurance Category Code]]&amp;"; "&amp;Q728&amp;AS[[#This Row],[Large Provider Entity Code]]&amp;"; "&amp;R728&amp;AS[[#This Row],[Age Band Code]]&amp;"; "&amp;S728&amp;AS[[#This Row],[Sex Code]]</f>
        <v xml:space="preserve">Insurer Code ; Reporting Year ; Insurance Category Code ; Large Provider Entity Code ; Age Band Code ; Sex Code </v>
      </c>
      <c r="N728" s="345" t="s">
        <v>207</v>
      </c>
      <c r="O728" s="345" t="s">
        <v>208</v>
      </c>
      <c r="P728" s="345" t="s">
        <v>209</v>
      </c>
      <c r="Q728" s="345" t="s">
        <v>210</v>
      </c>
      <c r="R728" s="345" t="s">
        <v>223</v>
      </c>
      <c r="S728" s="345" t="s">
        <v>224</v>
      </c>
    </row>
    <row r="729" spans="1:19" x14ac:dyDescent="0.25">
      <c r="A729" s="311"/>
      <c r="B729" s="312"/>
      <c r="C729" s="312"/>
      <c r="D729" s="312"/>
      <c r="E729" s="312"/>
      <c r="F729" s="312"/>
      <c r="G729" s="328"/>
      <c r="H729" s="337"/>
      <c r="I729" s="334"/>
      <c r="J729" s="314"/>
      <c r="K729" s="449"/>
      <c r="M729" s="349" t="str">
        <f>N729&amp;AS[[#This Row],[Insurer Code]]&amp;"; "&amp;O729&amp;AS[[#This Row],[Reporting Year]]&amp;"; "&amp;P729&amp;AS[[#This Row],[Insurance Category Code]]&amp;"; "&amp;Q729&amp;AS[[#This Row],[Large Provider Entity Code]]&amp;"; "&amp;R729&amp;AS[[#This Row],[Age Band Code]]&amp;"; "&amp;S729&amp;AS[[#This Row],[Sex Code]]</f>
        <v xml:space="preserve">Insurer Code ; Reporting Year ; Insurance Category Code ; Large Provider Entity Code ; Age Band Code ; Sex Code </v>
      </c>
      <c r="N729" s="345" t="s">
        <v>207</v>
      </c>
      <c r="O729" s="345" t="s">
        <v>208</v>
      </c>
      <c r="P729" s="345" t="s">
        <v>209</v>
      </c>
      <c r="Q729" s="345" t="s">
        <v>210</v>
      </c>
      <c r="R729" s="345" t="s">
        <v>223</v>
      </c>
      <c r="S729" s="345" t="s">
        <v>224</v>
      </c>
    </row>
    <row r="730" spans="1:19" x14ac:dyDescent="0.25">
      <c r="A730" s="311"/>
      <c r="B730" s="312"/>
      <c r="C730" s="312"/>
      <c r="D730" s="312"/>
      <c r="E730" s="312"/>
      <c r="F730" s="312"/>
      <c r="G730" s="328"/>
      <c r="H730" s="337"/>
      <c r="I730" s="334"/>
      <c r="J730" s="314"/>
      <c r="K730" s="449"/>
      <c r="M730" s="349" t="str">
        <f>N730&amp;AS[[#This Row],[Insurer Code]]&amp;"; "&amp;O730&amp;AS[[#This Row],[Reporting Year]]&amp;"; "&amp;P730&amp;AS[[#This Row],[Insurance Category Code]]&amp;"; "&amp;Q730&amp;AS[[#This Row],[Large Provider Entity Code]]&amp;"; "&amp;R730&amp;AS[[#This Row],[Age Band Code]]&amp;"; "&amp;S730&amp;AS[[#This Row],[Sex Code]]</f>
        <v xml:space="preserve">Insurer Code ; Reporting Year ; Insurance Category Code ; Large Provider Entity Code ; Age Band Code ; Sex Code </v>
      </c>
      <c r="N730" s="345" t="s">
        <v>207</v>
      </c>
      <c r="O730" s="345" t="s">
        <v>208</v>
      </c>
      <c r="P730" s="345" t="s">
        <v>209</v>
      </c>
      <c r="Q730" s="345" t="s">
        <v>210</v>
      </c>
      <c r="R730" s="345" t="s">
        <v>223</v>
      </c>
      <c r="S730" s="345" t="s">
        <v>224</v>
      </c>
    </row>
    <row r="731" spans="1:19" x14ac:dyDescent="0.25">
      <c r="A731" s="311"/>
      <c r="B731" s="312"/>
      <c r="C731" s="312"/>
      <c r="D731" s="312"/>
      <c r="E731" s="312"/>
      <c r="F731" s="312"/>
      <c r="G731" s="328"/>
      <c r="H731" s="337"/>
      <c r="I731" s="334"/>
      <c r="J731" s="314"/>
      <c r="K731" s="449"/>
      <c r="M731" s="349" t="str">
        <f>N731&amp;AS[[#This Row],[Insurer Code]]&amp;"; "&amp;O731&amp;AS[[#This Row],[Reporting Year]]&amp;"; "&amp;P731&amp;AS[[#This Row],[Insurance Category Code]]&amp;"; "&amp;Q731&amp;AS[[#This Row],[Large Provider Entity Code]]&amp;"; "&amp;R731&amp;AS[[#This Row],[Age Band Code]]&amp;"; "&amp;S731&amp;AS[[#This Row],[Sex Code]]</f>
        <v xml:space="preserve">Insurer Code ; Reporting Year ; Insurance Category Code ; Large Provider Entity Code ; Age Band Code ; Sex Code </v>
      </c>
      <c r="N731" s="345" t="s">
        <v>207</v>
      </c>
      <c r="O731" s="345" t="s">
        <v>208</v>
      </c>
      <c r="P731" s="345" t="s">
        <v>209</v>
      </c>
      <c r="Q731" s="345" t="s">
        <v>210</v>
      </c>
      <c r="R731" s="345" t="s">
        <v>223</v>
      </c>
      <c r="S731" s="345" t="s">
        <v>224</v>
      </c>
    </row>
    <row r="732" spans="1:19" x14ac:dyDescent="0.25">
      <c r="A732" s="311"/>
      <c r="B732" s="312"/>
      <c r="C732" s="312"/>
      <c r="D732" s="312"/>
      <c r="E732" s="312"/>
      <c r="F732" s="312"/>
      <c r="G732" s="328"/>
      <c r="H732" s="337"/>
      <c r="I732" s="334"/>
      <c r="J732" s="314"/>
      <c r="K732" s="449"/>
      <c r="M732" s="349" t="str">
        <f>N732&amp;AS[[#This Row],[Insurer Code]]&amp;"; "&amp;O732&amp;AS[[#This Row],[Reporting Year]]&amp;"; "&amp;P732&amp;AS[[#This Row],[Insurance Category Code]]&amp;"; "&amp;Q732&amp;AS[[#This Row],[Large Provider Entity Code]]&amp;"; "&amp;R732&amp;AS[[#This Row],[Age Band Code]]&amp;"; "&amp;S732&amp;AS[[#This Row],[Sex Code]]</f>
        <v xml:space="preserve">Insurer Code ; Reporting Year ; Insurance Category Code ; Large Provider Entity Code ; Age Band Code ; Sex Code </v>
      </c>
      <c r="N732" s="345" t="s">
        <v>207</v>
      </c>
      <c r="O732" s="345" t="s">
        <v>208</v>
      </c>
      <c r="P732" s="345" t="s">
        <v>209</v>
      </c>
      <c r="Q732" s="345" t="s">
        <v>210</v>
      </c>
      <c r="R732" s="345" t="s">
        <v>223</v>
      </c>
      <c r="S732" s="345" t="s">
        <v>224</v>
      </c>
    </row>
    <row r="733" spans="1:19" x14ac:dyDescent="0.25">
      <c r="A733" s="311"/>
      <c r="B733" s="312"/>
      <c r="C733" s="312"/>
      <c r="D733" s="312"/>
      <c r="E733" s="312"/>
      <c r="F733" s="312"/>
      <c r="G733" s="328"/>
      <c r="H733" s="337"/>
      <c r="I733" s="334"/>
      <c r="J733" s="314"/>
      <c r="K733" s="449"/>
      <c r="M733" s="349" t="str">
        <f>N733&amp;AS[[#This Row],[Insurer Code]]&amp;"; "&amp;O733&amp;AS[[#This Row],[Reporting Year]]&amp;"; "&amp;P733&amp;AS[[#This Row],[Insurance Category Code]]&amp;"; "&amp;Q733&amp;AS[[#This Row],[Large Provider Entity Code]]&amp;"; "&amp;R733&amp;AS[[#This Row],[Age Band Code]]&amp;"; "&amp;S733&amp;AS[[#This Row],[Sex Code]]</f>
        <v xml:space="preserve">Insurer Code ; Reporting Year ; Insurance Category Code ; Large Provider Entity Code ; Age Band Code ; Sex Code </v>
      </c>
      <c r="N733" s="345" t="s">
        <v>207</v>
      </c>
      <c r="O733" s="345" t="s">
        <v>208</v>
      </c>
      <c r="P733" s="345" t="s">
        <v>209</v>
      </c>
      <c r="Q733" s="345" t="s">
        <v>210</v>
      </c>
      <c r="R733" s="345" t="s">
        <v>223</v>
      </c>
      <c r="S733" s="345" t="s">
        <v>224</v>
      </c>
    </row>
    <row r="734" spans="1:19" x14ac:dyDescent="0.25">
      <c r="A734" s="311"/>
      <c r="B734" s="312"/>
      <c r="C734" s="312"/>
      <c r="D734" s="312"/>
      <c r="E734" s="312"/>
      <c r="F734" s="312"/>
      <c r="G734" s="328"/>
      <c r="H734" s="337"/>
      <c r="I734" s="334"/>
      <c r="J734" s="314"/>
      <c r="K734" s="449"/>
      <c r="M734" s="349" t="str">
        <f>N734&amp;AS[[#This Row],[Insurer Code]]&amp;"; "&amp;O734&amp;AS[[#This Row],[Reporting Year]]&amp;"; "&amp;P734&amp;AS[[#This Row],[Insurance Category Code]]&amp;"; "&amp;Q734&amp;AS[[#This Row],[Large Provider Entity Code]]&amp;"; "&amp;R734&amp;AS[[#This Row],[Age Band Code]]&amp;"; "&amp;S734&amp;AS[[#This Row],[Sex Code]]</f>
        <v xml:space="preserve">Insurer Code ; Reporting Year ; Insurance Category Code ; Large Provider Entity Code ; Age Band Code ; Sex Code </v>
      </c>
      <c r="N734" s="345" t="s">
        <v>207</v>
      </c>
      <c r="O734" s="345" t="s">
        <v>208</v>
      </c>
      <c r="P734" s="345" t="s">
        <v>209</v>
      </c>
      <c r="Q734" s="345" t="s">
        <v>210</v>
      </c>
      <c r="R734" s="345" t="s">
        <v>223</v>
      </c>
      <c r="S734" s="345" t="s">
        <v>224</v>
      </c>
    </row>
    <row r="735" spans="1:19" x14ac:dyDescent="0.25">
      <c r="A735" s="311"/>
      <c r="B735" s="312"/>
      <c r="C735" s="312"/>
      <c r="D735" s="312"/>
      <c r="E735" s="312"/>
      <c r="F735" s="312"/>
      <c r="G735" s="328"/>
      <c r="H735" s="337"/>
      <c r="I735" s="334"/>
      <c r="J735" s="314"/>
      <c r="K735" s="449"/>
      <c r="M735" s="349" t="str">
        <f>N735&amp;AS[[#This Row],[Insurer Code]]&amp;"; "&amp;O735&amp;AS[[#This Row],[Reporting Year]]&amp;"; "&amp;P735&amp;AS[[#This Row],[Insurance Category Code]]&amp;"; "&amp;Q735&amp;AS[[#This Row],[Large Provider Entity Code]]&amp;"; "&amp;R735&amp;AS[[#This Row],[Age Band Code]]&amp;"; "&amp;S735&amp;AS[[#This Row],[Sex Code]]</f>
        <v xml:space="preserve">Insurer Code ; Reporting Year ; Insurance Category Code ; Large Provider Entity Code ; Age Band Code ; Sex Code </v>
      </c>
      <c r="N735" s="345" t="s">
        <v>207</v>
      </c>
      <c r="O735" s="345" t="s">
        <v>208</v>
      </c>
      <c r="P735" s="345" t="s">
        <v>209</v>
      </c>
      <c r="Q735" s="345" t="s">
        <v>210</v>
      </c>
      <c r="R735" s="345" t="s">
        <v>223</v>
      </c>
      <c r="S735" s="345" t="s">
        <v>224</v>
      </c>
    </row>
    <row r="736" spans="1:19" x14ac:dyDescent="0.25">
      <c r="A736" s="311"/>
      <c r="B736" s="312"/>
      <c r="C736" s="312"/>
      <c r="D736" s="312"/>
      <c r="E736" s="312"/>
      <c r="F736" s="312"/>
      <c r="G736" s="328"/>
      <c r="H736" s="337"/>
      <c r="I736" s="334"/>
      <c r="J736" s="314"/>
      <c r="K736" s="449"/>
      <c r="M736" s="349" t="str">
        <f>N736&amp;AS[[#This Row],[Insurer Code]]&amp;"; "&amp;O736&amp;AS[[#This Row],[Reporting Year]]&amp;"; "&amp;P736&amp;AS[[#This Row],[Insurance Category Code]]&amp;"; "&amp;Q736&amp;AS[[#This Row],[Large Provider Entity Code]]&amp;"; "&amp;R736&amp;AS[[#This Row],[Age Band Code]]&amp;"; "&amp;S736&amp;AS[[#This Row],[Sex Code]]</f>
        <v xml:space="preserve">Insurer Code ; Reporting Year ; Insurance Category Code ; Large Provider Entity Code ; Age Band Code ; Sex Code </v>
      </c>
      <c r="N736" s="345" t="s">
        <v>207</v>
      </c>
      <c r="O736" s="345" t="s">
        <v>208</v>
      </c>
      <c r="P736" s="345" t="s">
        <v>209</v>
      </c>
      <c r="Q736" s="345" t="s">
        <v>210</v>
      </c>
      <c r="R736" s="345" t="s">
        <v>223</v>
      </c>
      <c r="S736" s="345" t="s">
        <v>224</v>
      </c>
    </row>
    <row r="737" spans="1:19" x14ac:dyDescent="0.25">
      <c r="A737" s="311"/>
      <c r="B737" s="312"/>
      <c r="C737" s="312"/>
      <c r="D737" s="312"/>
      <c r="E737" s="312"/>
      <c r="F737" s="312"/>
      <c r="G737" s="328"/>
      <c r="H737" s="337"/>
      <c r="I737" s="334"/>
      <c r="J737" s="314"/>
      <c r="K737" s="449"/>
      <c r="M737" s="349" t="str">
        <f>N737&amp;AS[[#This Row],[Insurer Code]]&amp;"; "&amp;O737&amp;AS[[#This Row],[Reporting Year]]&amp;"; "&amp;P737&amp;AS[[#This Row],[Insurance Category Code]]&amp;"; "&amp;Q737&amp;AS[[#This Row],[Large Provider Entity Code]]&amp;"; "&amp;R737&amp;AS[[#This Row],[Age Band Code]]&amp;"; "&amp;S737&amp;AS[[#This Row],[Sex Code]]</f>
        <v xml:space="preserve">Insurer Code ; Reporting Year ; Insurance Category Code ; Large Provider Entity Code ; Age Band Code ; Sex Code </v>
      </c>
      <c r="N737" s="345" t="s">
        <v>207</v>
      </c>
      <c r="O737" s="345" t="s">
        <v>208</v>
      </c>
      <c r="P737" s="345" t="s">
        <v>209</v>
      </c>
      <c r="Q737" s="345" t="s">
        <v>210</v>
      </c>
      <c r="R737" s="345" t="s">
        <v>223</v>
      </c>
      <c r="S737" s="345" t="s">
        <v>224</v>
      </c>
    </row>
    <row r="738" spans="1:19" x14ac:dyDescent="0.25">
      <c r="A738" s="311"/>
      <c r="B738" s="312"/>
      <c r="C738" s="312"/>
      <c r="D738" s="312"/>
      <c r="E738" s="312"/>
      <c r="F738" s="312"/>
      <c r="G738" s="328"/>
      <c r="H738" s="337"/>
      <c r="I738" s="334"/>
      <c r="J738" s="314"/>
      <c r="K738" s="449"/>
      <c r="M738" s="349" t="str">
        <f>N738&amp;AS[[#This Row],[Insurer Code]]&amp;"; "&amp;O738&amp;AS[[#This Row],[Reporting Year]]&amp;"; "&amp;P738&amp;AS[[#This Row],[Insurance Category Code]]&amp;"; "&amp;Q738&amp;AS[[#This Row],[Large Provider Entity Code]]&amp;"; "&amp;R738&amp;AS[[#This Row],[Age Band Code]]&amp;"; "&amp;S738&amp;AS[[#This Row],[Sex Code]]</f>
        <v xml:space="preserve">Insurer Code ; Reporting Year ; Insurance Category Code ; Large Provider Entity Code ; Age Band Code ; Sex Code </v>
      </c>
      <c r="N738" s="345" t="s">
        <v>207</v>
      </c>
      <c r="O738" s="345" t="s">
        <v>208</v>
      </c>
      <c r="P738" s="345" t="s">
        <v>209</v>
      </c>
      <c r="Q738" s="345" t="s">
        <v>210</v>
      </c>
      <c r="R738" s="345" t="s">
        <v>223</v>
      </c>
      <c r="S738" s="345" t="s">
        <v>224</v>
      </c>
    </row>
    <row r="739" spans="1:19" x14ac:dyDescent="0.25">
      <c r="A739" s="311"/>
      <c r="B739" s="312"/>
      <c r="C739" s="312"/>
      <c r="D739" s="312"/>
      <c r="E739" s="312"/>
      <c r="F739" s="312"/>
      <c r="G739" s="328"/>
      <c r="H739" s="337"/>
      <c r="I739" s="334"/>
      <c r="J739" s="314"/>
      <c r="K739" s="449"/>
      <c r="M739" s="349" t="str">
        <f>N739&amp;AS[[#This Row],[Insurer Code]]&amp;"; "&amp;O739&amp;AS[[#This Row],[Reporting Year]]&amp;"; "&amp;P739&amp;AS[[#This Row],[Insurance Category Code]]&amp;"; "&amp;Q739&amp;AS[[#This Row],[Large Provider Entity Code]]&amp;"; "&amp;R739&amp;AS[[#This Row],[Age Band Code]]&amp;"; "&amp;S739&amp;AS[[#This Row],[Sex Code]]</f>
        <v xml:space="preserve">Insurer Code ; Reporting Year ; Insurance Category Code ; Large Provider Entity Code ; Age Band Code ; Sex Code </v>
      </c>
      <c r="N739" s="345" t="s">
        <v>207</v>
      </c>
      <c r="O739" s="345" t="s">
        <v>208</v>
      </c>
      <c r="P739" s="345" t="s">
        <v>209</v>
      </c>
      <c r="Q739" s="345" t="s">
        <v>210</v>
      </c>
      <c r="R739" s="345" t="s">
        <v>223</v>
      </c>
      <c r="S739" s="345" t="s">
        <v>224</v>
      </c>
    </row>
    <row r="740" spans="1:19" x14ac:dyDescent="0.25">
      <c r="A740" s="311"/>
      <c r="B740" s="312"/>
      <c r="C740" s="312"/>
      <c r="D740" s="312"/>
      <c r="E740" s="312"/>
      <c r="F740" s="312"/>
      <c r="G740" s="328"/>
      <c r="H740" s="337"/>
      <c r="I740" s="334"/>
      <c r="J740" s="314"/>
      <c r="K740" s="449"/>
      <c r="M740" s="349" t="str">
        <f>N740&amp;AS[[#This Row],[Insurer Code]]&amp;"; "&amp;O740&amp;AS[[#This Row],[Reporting Year]]&amp;"; "&amp;P740&amp;AS[[#This Row],[Insurance Category Code]]&amp;"; "&amp;Q740&amp;AS[[#This Row],[Large Provider Entity Code]]&amp;"; "&amp;R740&amp;AS[[#This Row],[Age Band Code]]&amp;"; "&amp;S740&amp;AS[[#This Row],[Sex Code]]</f>
        <v xml:space="preserve">Insurer Code ; Reporting Year ; Insurance Category Code ; Large Provider Entity Code ; Age Band Code ; Sex Code </v>
      </c>
      <c r="N740" s="345" t="s">
        <v>207</v>
      </c>
      <c r="O740" s="345" t="s">
        <v>208</v>
      </c>
      <c r="P740" s="345" t="s">
        <v>209</v>
      </c>
      <c r="Q740" s="345" t="s">
        <v>210</v>
      </c>
      <c r="R740" s="345" t="s">
        <v>223</v>
      </c>
      <c r="S740" s="345" t="s">
        <v>224</v>
      </c>
    </row>
    <row r="741" spans="1:19" x14ac:dyDescent="0.25">
      <c r="A741" s="311"/>
      <c r="B741" s="312"/>
      <c r="C741" s="312"/>
      <c r="D741" s="312"/>
      <c r="E741" s="312"/>
      <c r="F741" s="312"/>
      <c r="G741" s="328"/>
      <c r="H741" s="337"/>
      <c r="I741" s="334"/>
      <c r="J741" s="314"/>
      <c r="K741" s="449"/>
      <c r="M741" s="349" t="str">
        <f>N741&amp;AS[[#This Row],[Insurer Code]]&amp;"; "&amp;O741&amp;AS[[#This Row],[Reporting Year]]&amp;"; "&amp;P741&amp;AS[[#This Row],[Insurance Category Code]]&amp;"; "&amp;Q741&amp;AS[[#This Row],[Large Provider Entity Code]]&amp;"; "&amp;R741&amp;AS[[#This Row],[Age Band Code]]&amp;"; "&amp;S741&amp;AS[[#This Row],[Sex Code]]</f>
        <v xml:space="preserve">Insurer Code ; Reporting Year ; Insurance Category Code ; Large Provider Entity Code ; Age Band Code ; Sex Code </v>
      </c>
      <c r="N741" s="345" t="s">
        <v>207</v>
      </c>
      <c r="O741" s="345" t="s">
        <v>208</v>
      </c>
      <c r="P741" s="345" t="s">
        <v>209</v>
      </c>
      <c r="Q741" s="345" t="s">
        <v>210</v>
      </c>
      <c r="R741" s="345" t="s">
        <v>223</v>
      </c>
      <c r="S741" s="345" t="s">
        <v>224</v>
      </c>
    </row>
    <row r="742" spans="1:19" x14ac:dyDescent="0.25">
      <c r="A742" s="311"/>
      <c r="B742" s="312"/>
      <c r="C742" s="312"/>
      <c r="D742" s="312"/>
      <c r="E742" s="312"/>
      <c r="F742" s="312"/>
      <c r="G742" s="328"/>
      <c r="H742" s="337"/>
      <c r="I742" s="334"/>
      <c r="J742" s="314"/>
      <c r="K742" s="449"/>
      <c r="M742" s="349" t="str">
        <f>N742&amp;AS[[#This Row],[Insurer Code]]&amp;"; "&amp;O742&amp;AS[[#This Row],[Reporting Year]]&amp;"; "&amp;P742&amp;AS[[#This Row],[Insurance Category Code]]&amp;"; "&amp;Q742&amp;AS[[#This Row],[Large Provider Entity Code]]&amp;"; "&amp;R742&amp;AS[[#This Row],[Age Band Code]]&amp;"; "&amp;S742&amp;AS[[#This Row],[Sex Code]]</f>
        <v xml:space="preserve">Insurer Code ; Reporting Year ; Insurance Category Code ; Large Provider Entity Code ; Age Band Code ; Sex Code </v>
      </c>
      <c r="N742" s="345" t="s">
        <v>207</v>
      </c>
      <c r="O742" s="345" t="s">
        <v>208</v>
      </c>
      <c r="P742" s="345" t="s">
        <v>209</v>
      </c>
      <c r="Q742" s="345" t="s">
        <v>210</v>
      </c>
      <c r="R742" s="345" t="s">
        <v>223</v>
      </c>
      <c r="S742" s="345" t="s">
        <v>224</v>
      </c>
    </row>
    <row r="743" spans="1:19" x14ac:dyDescent="0.25">
      <c r="A743" s="311"/>
      <c r="B743" s="312"/>
      <c r="C743" s="312"/>
      <c r="D743" s="312"/>
      <c r="E743" s="312"/>
      <c r="F743" s="312"/>
      <c r="G743" s="328"/>
      <c r="H743" s="337"/>
      <c r="I743" s="334"/>
      <c r="J743" s="314"/>
      <c r="K743" s="449"/>
      <c r="M743" s="349" t="str">
        <f>N743&amp;AS[[#This Row],[Insurer Code]]&amp;"; "&amp;O743&amp;AS[[#This Row],[Reporting Year]]&amp;"; "&amp;P743&amp;AS[[#This Row],[Insurance Category Code]]&amp;"; "&amp;Q743&amp;AS[[#This Row],[Large Provider Entity Code]]&amp;"; "&amp;R743&amp;AS[[#This Row],[Age Band Code]]&amp;"; "&amp;S743&amp;AS[[#This Row],[Sex Code]]</f>
        <v xml:space="preserve">Insurer Code ; Reporting Year ; Insurance Category Code ; Large Provider Entity Code ; Age Band Code ; Sex Code </v>
      </c>
      <c r="N743" s="345" t="s">
        <v>207</v>
      </c>
      <c r="O743" s="345" t="s">
        <v>208</v>
      </c>
      <c r="P743" s="345" t="s">
        <v>209</v>
      </c>
      <c r="Q743" s="345" t="s">
        <v>210</v>
      </c>
      <c r="R743" s="345" t="s">
        <v>223</v>
      </c>
      <c r="S743" s="345" t="s">
        <v>224</v>
      </c>
    </row>
    <row r="744" spans="1:19" x14ac:dyDescent="0.25">
      <c r="A744" s="311"/>
      <c r="B744" s="312"/>
      <c r="C744" s="312"/>
      <c r="D744" s="312"/>
      <c r="E744" s="312"/>
      <c r="F744" s="312"/>
      <c r="G744" s="328"/>
      <c r="H744" s="337"/>
      <c r="I744" s="334"/>
      <c r="J744" s="314"/>
      <c r="K744" s="449"/>
      <c r="M744" s="349" t="str">
        <f>N744&amp;AS[[#This Row],[Insurer Code]]&amp;"; "&amp;O744&amp;AS[[#This Row],[Reporting Year]]&amp;"; "&amp;P744&amp;AS[[#This Row],[Insurance Category Code]]&amp;"; "&amp;Q744&amp;AS[[#This Row],[Large Provider Entity Code]]&amp;"; "&amp;R744&amp;AS[[#This Row],[Age Band Code]]&amp;"; "&amp;S744&amp;AS[[#This Row],[Sex Code]]</f>
        <v xml:space="preserve">Insurer Code ; Reporting Year ; Insurance Category Code ; Large Provider Entity Code ; Age Band Code ; Sex Code </v>
      </c>
      <c r="N744" s="345" t="s">
        <v>207</v>
      </c>
      <c r="O744" s="345" t="s">
        <v>208</v>
      </c>
      <c r="P744" s="345" t="s">
        <v>209</v>
      </c>
      <c r="Q744" s="345" t="s">
        <v>210</v>
      </c>
      <c r="R744" s="345" t="s">
        <v>223</v>
      </c>
      <c r="S744" s="345" t="s">
        <v>224</v>
      </c>
    </row>
    <row r="745" spans="1:19" x14ac:dyDescent="0.25">
      <c r="A745" s="311"/>
      <c r="B745" s="312"/>
      <c r="C745" s="312"/>
      <c r="D745" s="312"/>
      <c r="E745" s="312"/>
      <c r="F745" s="312"/>
      <c r="G745" s="328"/>
      <c r="H745" s="337"/>
      <c r="I745" s="334"/>
      <c r="J745" s="314"/>
      <c r="K745" s="449"/>
      <c r="M745" s="349" t="str">
        <f>N745&amp;AS[[#This Row],[Insurer Code]]&amp;"; "&amp;O745&amp;AS[[#This Row],[Reporting Year]]&amp;"; "&amp;P745&amp;AS[[#This Row],[Insurance Category Code]]&amp;"; "&amp;Q745&amp;AS[[#This Row],[Large Provider Entity Code]]&amp;"; "&amp;R745&amp;AS[[#This Row],[Age Band Code]]&amp;"; "&amp;S745&amp;AS[[#This Row],[Sex Code]]</f>
        <v xml:space="preserve">Insurer Code ; Reporting Year ; Insurance Category Code ; Large Provider Entity Code ; Age Band Code ; Sex Code </v>
      </c>
      <c r="N745" s="345" t="s">
        <v>207</v>
      </c>
      <c r="O745" s="345" t="s">
        <v>208</v>
      </c>
      <c r="P745" s="345" t="s">
        <v>209</v>
      </c>
      <c r="Q745" s="345" t="s">
        <v>210</v>
      </c>
      <c r="R745" s="345" t="s">
        <v>223</v>
      </c>
      <c r="S745" s="345" t="s">
        <v>224</v>
      </c>
    </row>
    <row r="746" spans="1:19" x14ac:dyDescent="0.25">
      <c r="A746" s="311"/>
      <c r="B746" s="312"/>
      <c r="C746" s="312"/>
      <c r="D746" s="312"/>
      <c r="E746" s="312"/>
      <c r="F746" s="312"/>
      <c r="G746" s="328"/>
      <c r="H746" s="337"/>
      <c r="I746" s="334"/>
      <c r="J746" s="314"/>
      <c r="K746" s="449"/>
      <c r="M746" s="349" t="str">
        <f>N746&amp;AS[[#This Row],[Insurer Code]]&amp;"; "&amp;O746&amp;AS[[#This Row],[Reporting Year]]&amp;"; "&amp;P746&amp;AS[[#This Row],[Insurance Category Code]]&amp;"; "&amp;Q746&amp;AS[[#This Row],[Large Provider Entity Code]]&amp;"; "&amp;R746&amp;AS[[#This Row],[Age Band Code]]&amp;"; "&amp;S746&amp;AS[[#This Row],[Sex Code]]</f>
        <v xml:space="preserve">Insurer Code ; Reporting Year ; Insurance Category Code ; Large Provider Entity Code ; Age Band Code ; Sex Code </v>
      </c>
      <c r="N746" s="345" t="s">
        <v>207</v>
      </c>
      <c r="O746" s="345" t="s">
        <v>208</v>
      </c>
      <c r="P746" s="345" t="s">
        <v>209</v>
      </c>
      <c r="Q746" s="345" t="s">
        <v>210</v>
      </c>
      <c r="R746" s="345" t="s">
        <v>223</v>
      </c>
      <c r="S746" s="345" t="s">
        <v>224</v>
      </c>
    </row>
    <row r="747" spans="1:19" x14ac:dyDescent="0.25">
      <c r="A747" s="311"/>
      <c r="B747" s="312"/>
      <c r="C747" s="312"/>
      <c r="D747" s="312"/>
      <c r="E747" s="312"/>
      <c r="F747" s="312"/>
      <c r="G747" s="328"/>
      <c r="H747" s="337"/>
      <c r="I747" s="334"/>
      <c r="J747" s="314"/>
      <c r="K747" s="449"/>
      <c r="M747" s="349" t="str">
        <f>N747&amp;AS[[#This Row],[Insurer Code]]&amp;"; "&amp;O747&amp;AS[[#This Row],[Reporting Year]]&amp;"; "&amp;P747&amp;AS[[#This Row],[Insurance Category Code]]&amp;"; "&amp;Q747&amp;AS[[#This Row],[Large Provider Entity Code]]&amp;"; "&amp;R747&amp;AS[[#This Row],[Age Band Code]]&amp;"; "&amp;S747&amp;AS[[#This Row],[Sex Code]]</f>
        <v xml:space="preserve">Insurer Code ; Reporting Year ; Insurance Category Code ; Large Provider Entity Code ; Age Band Code ; Sex Code </v>
      </c>
      <c r="N747" s="345" t="s">
        <v>207</v>
      </c>
      <c r="O747" s="345" t="s">
        <v>208</v>
      </c>
      <c r="P747" s="345" t="s">
        <v>209</v>
      </c>
      <c r="Q747" s="345" t="s">
        <v>210</v>
      </c>
      <c r="R747" s="345" t="s">
        <v>223</v>
      </c>
      <c r="S747" s="345" t="s">
        <v>224</v>
      </c>
    </row>
    <row r="748" spans="1:19" x14ac:dyDescent="0.25">
      <c r="A748" s="311"/>
      <c r="B748" s="312"/>
      <c r="C748" s="312"/>
      <c r="D748" s="312"/>
      <c r="E748" s="312"/>
      <c r="F748" s="312"/>
      <c r="G748" s="328"/>
      <c r="H748" s="337"/>
      <c r="I748" s="334"/>
      <c r="J748" s="314"/>
      <c r="K748" s="449"/>
      <c r="M748" s="349" t="str">
        <f>N748&amp;AS[[#This Row],[Insurer Code]]&amp;"; "&amp;O748&amp;AS[[#This Row],[Reporting Year]]&amp;"; "&amp;P748&amp;AS[[#This Row],[Insurance Category Code]]&amp;"; "&amp;Q748&amp;AS[[#This Row],[Large Provider Entity Code]]&amp;"; "&amp;R748&amp;AS[[#This Row],[Age Band Code]]&amp;"; "&amp;S748&amp;AS[[#This Row],[Sex Code]]</f>
        <v xml:space="preserve">Insurer Code ; Reporting Year ; Insurance Category Code ; Large Provider Entity Code ; Age Band Code ; Sex Code </v>
      </c>
      <c r="N748" s="345" t="s">
        <v>207</v>
      </c>
      <c r="O748" s="345" t="s">
        <v>208</v>
      </c>
      <c r="P748" s="345" t="s">
        <v>209</v>
      </c>
      <c r="Q748" s="345" t="s">
        <v>210</v>
      </c>
      <c r="R748" s="345" t="s">
        <v>223</v>
      </c>
      <c r="S748" s="345" t="s">
        <v>224</v>
      </c>
    </row>
    <row r="749" spans="1:19" x14ac:dyDescent="0.25">
      <c r="A749" s="311"/>
      <c r="B749" s="312"/>
      <c r="C749" s="312"/>
      <c r="D749" s="312"/>
      <c r="E749" s="312"/>
      <c r="F749" s="312"/>
      <c r="G749" s="328"/>
      <c r="H749" s="337"/>
      <c r="I749" s="334"/>
      <c r="J749" s="314"/>
      <c r="K749" s="449"/>
      <c r="M749" s="349" t="str">
        <f>N749&amp;AS[[#This Row],[Insurer Code]]&amp;"; "&amp;O749&amp;AS[[#This Row],[Reporting Year]]&amp;"; "&amp;P749&amp;AS[[#This Row],[Insurance Category Code]]&amp;"; "&amp;Q749&amp;AS[[#This Row],[Large Provider Entity Code]]&amp;"; "&amp;R749&amp;AS[[#This Row],[Age Band Code]]&amp;"; "&amp;S749&amp;AS[[#This Row],[Sex Code]]</f>
        <v xml:space="preserve">Insurer Code ; Reporting Year ; Insurance Category Code ; Large Provider Entity Code ; Age Band Code ; Sex Code </v>
      </c>
      <c r="N749" s="345" t="s">
        <v>207</v>
      </c>
      <c r="O749" s="345" t="s">
        <v>208</v>
      </c>
      <c r="P749" s="345" t="s">
        <v>209</v>
      </c>
      <c r="Q749" s="345" t="s">
        <v>210</v>
      </c>
      <c r="R749" s="345" t="s">
        <v>223</v>
      </c>
      <c r="S749" s="345" t="s">
        <v>224</v>
      </c>
    </row>
    <row r="750" spans="1:19" x14ac:dyDescent="0.25">
      <c r="A750" s="311"/>
      <c r="B750" s="312"/>
      <c r="C750" s="312"/>
      <c r="D750" s="312"/>
      <c r="E750" s="312"/>
      <c r="F750" s="312"/>
      <c r="G750" s="328"/>
      <c r="H750" s="337"/>
      <c r="I750" s="334"/>
      <c r="J750" s="314"/>
      <c r="K750" s="449"/>
      <c r="M750" s="349" t="str">
        <f>N750&amp;AS[[#This Row],[Insurer Code]]&amp;"; "&amp;O750&amp;AS[[#This Row],[Reporting Year]]&amp;"; "&amp;P750&amp;AS[[#This Row],[Insurance Category Code]]&amp;"; "&amp;Q750&amp;AS[[#This Row],[Large Provider Entity Code]]&amp;"; "&amp;R750&amp;AS[[#This Row],[Age Band Code]]&amp;"; "&amp;S750&amp;AS[[#This Row],[Sex Code]]</f>
        <v xml:space="preserve">Insurer Code ; Reporting Year ; Insurance Category Code ; Large Provider Entity Code ; Age Band Code ; Sex Code </v>
      </c>
      <c r="N750" s="345" t="s">
        <v>207</v>
      </c>
      <c r="O750" s="345" t="s">
        <v>208</v>
      </c>
      <c r="P750" s="345" t="s">
        <v>209</v>
      </c>
      <c r="Q750" s="345" t="s">
        <v>210</v>
      </c>
      <c r="R750" s="345" t="s">
        <v>223</v>
      </c>
      <c r="S750" s="345" t="s">
        <v>224</v>
      </c>
    </row>
    <row r="751" spans="1:19" x14ac:dyDescent="0.25">
      <c r="A751" s="311"/>
      <c r="B751" s="312"/>
      <c r="C751" s="312"/>
      <c r="D751" s="312"/>
      <c r="E751" s="312"/>
      <c r="F751" s="312"/>
      <c r="G751" s="328"/>
      <c r="H751" s="337"/>
      <c r="I751" s="334"/>
      <c r="J751" s="314"/>
      <c r="K751" s="449"/>
      <c r="M751" s="349" t="str">
        <f>N751&amp;AS[[#This Row],[Insurer Code]]&amp;"; "&amp;O751&amp;AS[[#This Row],[Reporting Year]]&amp;"; "&amp;P751&amp;AS[[#This Row],[Insurance Category Code]]&amp;"; "&amp;Q751&amp;AS[[#This Row],[Large Provider Entity Code]]&amp;"; "&amp;R751&amp;AS[[#This Row],[Age Band Code]]&amp;"; "&amp;S751&amp;AS[[#This Row],[Sex Code]]</f>
        <v xml:space="preserve">Insurer Code ; Reporting Year ; Insurance Category Code ; Large Provider Entity Code ; Age Band Code ; Sex Code </v>
      </c>
      <c r="N751" s="345" t="s">
        <v>207</v>
      </c>
      <c r="O751" s="345" t="s">
        <v>208</v>
      </c>
      <c r="P751" s="345" t="s">
        <v>209</v>
      </c>
      <c r="Q751" s="345" t="s">
        <v>210</v>
      </c>
      <c r="R751" s="345" t="s">
        <v>223</v>
      </c>
      <c r="S751" s="345" t="s">
        <v>224</v>
      </c>
    </row>
    <row r="752" spans="1:19" x14ac:dyDescent="0.25">
      <c r="A752" s="311"/>
      <c r="B752" s="312"/>
      <c r="C752" s="312"/>
      <c r="D752" s="312"/>
      <c r="E752" s="312"/>
      <c r="F752" s="312"/>
      <c r="G752" s="328"/>
      <c r="H752" s="337"/>
      <c r="I752" s="334"/>
      <c r="J752" s="314"/>
      <c r="K752" s="449"/>
      <c r="M752" s="349" t="str">
        <f>N752&amp;AS[[#This Row],[Insurer Code]]&amp;"; "&amp;O752&amp;AS[[#This Row],[Reporting Year]]&amp;"; "&amp;P752&amp;AS[[#This Row],[Insurance Category Code]]&amp;"; "&amp;Q752&amp;AS[[#This Row],[Large Provider Entity Code]]&amp;"; "&amp;R752&amp;AS[[#This Row],[Age Band Code]]&amp;"; "&amp;S752&amp;AS[[#This Row],[Sex Code]]</f>
        <v xml:space="preserve">Insurer Code ; Reporting Year ; Insurance Category Code ; Large Provider Entity Code ; Age Band Code ; Sex Code </v>
      </c>
      <c r="N752" s="345" t="s">
        <v>207</v>
      </c>
      <c r="O752" s="345" t="s">
        <v>208</v>
      </c>
      <c r="P752" s="345" t="s">
        <v>209</v>
      </c>
      <c r="Q752" s="345" t="s">
        <v>210</v>
      </c>
      <c r="R752" s="345" t="s">
        <v>223</v>
      </c>
      <c r="S752" s="345" t="s">
        <v>224</v>
      </c>
    </row>
    <row r="753" spans="1:19" x14ac:dyDescent="0.25">
      <c r="A753" s="311"/>
      <c r="B753" s="312"/>
      <c r="C753" s="312"/>
      <c r="D753" s="312"/>
      <c r="E753" s="312"/>
      <c r="F753" s="312"/>
      <c r="G753" s="328"/>
      <c r="H753" s="337"/>
      <c r="I753" s="334"/>
      <c r="J753" s="314"/>
      <c r="K753" s="449"/>
      <c r="M753" s="349" t="str">
        <f>N753&amp;AS[[#This Row],[Insurer Code]]&amp;"; "&amp;O753&amp;AS[[#This Row],[Reporting Year]]&amp;"; "&amp;P753&amp;AS[[#This Row],[Insurance Category Code]]&amp;"; "&amp;Q753&amp;AS[[#This Row],[Large Provider Entity Code]]&amp;"; "&amp;R753&amp;AS[[#This Row],[Age Band Code]]&amp;"; "&amp;S753&amp;AS[[#This Row],[Sex Code]]</f>
        <v xml:space="preserve">Insurer Code ; Reporting Year ; Insurance Category Code ; Large Provider Entity Code ; Age Band Code ; Sex Code </v>
      </c>
      <c r="N753" s="345" t="s">
        <v>207</v>
      </c>
      <c r="O753" s="345" t="s">
        <v>208</v>
      </c>
      <c r="P753" s="345" t="s">
        <v>209</v>
      </c>
      <c r="Q753" s="345" t="s">
        <v>210</v>
      </c>
      <c r="R753" s="345" t="s">
        <v>223</v>
      </c>
      <c r="S753" s="345" t="s">
        <v>224</v>
      </c>
    </row>
    <row r="754" spans="1:19" x14ac:dyDescent="0.25">
      <c r="A754" s="311"/>
      <c r="B754" s="312"/>
      <c r="C754" s="312"/>
      <c r="D754" s="312"/>
      <c r="E754" s="312"/>
      <c r="F754" s="312"/>
      <c r="G754" s="328"/>
      <c r="H754" s="337"/>
      <c r="I754" s="334"/>
      <c r="J754" s="314"/>
      <c r="K754" s="449"/>
      <c r="M754" s="349" t="str">
        <f>N754&amp;AS[[#This Row],[Insurer Code]]&amp;"; "&amp;O754&amp;AS[[#This Row],[Reporting Year]]&amp;"; "&amp;P754&amp;AS[[#This Row],[Insurance Category Code]]&amp;"; "&amp;Q754&amp;AS[[#This Row],[Large Provider Entity Code]]&amp;"; "&amp;R754&amp;AS[[#This Row],[Age Band Code]]&amp;"; "&amp;S754&amp;AS[[#This Row],[Sex Code]]</f>
        <v xml:space="preserve">Insurer Code ; Reporting Year ; Insurance Category Code ; Large Provider Entity Code ; Age Band Code ; Sex Code </v>
      </c>
      <c r="N754" s="345" t="s">
        <v>207</v>
      </c>
      <c r="O754" s="345" t="s">
        <v>208</v>
      </c>
      <c r="P754" s="345" t="s">
        <v>209</v>
      </c>
      <c r="Q754" s="345" t="s">
        <v>210</v>
      </c>
      <c r="R754" s="345" t="s">
        <v>223</v>
      </c>
      <c r="S754" s="345" t="s">
        <v>224</v>
      </c>
    </row>
    <row r="755" spans="1:19" x14ac:dyDescent="0.25">
      <c r="A755" s="311"/>
      <c r="B755" s="312"/>
      <c r="C755" s="312"/>
      <c r="D755" s="312"/>
      <c r="E755" s="312"/>
      <c r="F755" s="312"/>
      <c r="G755" s="328"/>
      <c r="H755" s="337"/>
      <c r="I755" s="334"/>
      <c r="J755" s="314"/>
      <c r="K755" s="449"/>
      <c r="M755" s="349" t="str">
        <f>N755&amp;AS[[#This Row],[Insurer Code]]&amp;"; "&amp;O755&amp;AS[[#This Row],[Reporting Year]]&amp;"; "&amp;P755&amp;AS[[#This Row],[Insurance Category Code]]&amp;"; "&amp;Q755&amp;AS[[#This Row],[Large Provider Entity Code]]&amp;"; "&amp;R755&amp;AS[[#This Row],[Age Band Code]]&amp;"; "&amp;S755&amp;AS[[#This Row],[Sex Code]]</f>
        <v xml:space="preserve">Insurer Code ; Reporting Year ; Insurance Category Code ; Large Provider Entity Code ; Age Band Code ; Sex Code </v>
      </c>
      <c r="N755" s="345" t="s">
        <v>207</v>
      </c>
      <c r="O755" s="345" t="s">
        <v>208</v>
      </c>
      <c r="P755" s="345" t="s">
        <v>209</v>
      </c>
      <c r="Q755" s="345" t="s">
        <v>210</v>
      </c>
      <c r="R755" s="345" t="s">
        <v>223</v>
      </c>
      <c r="S755" s="345" t="s">
        <v>224</v>
      </c>
    </row>
    <row r="756" spans="1:19" x14ac:dyDescent="0.25">
      <c r="A756" s="311"/>
      <c r="B756" s="312"/>
      <c r="C756" s="312"/>
      <c r="D756" s="312"/>
      <c r="E756" s="312"/>
      <c r="F756" s="312"/>
      <c r="G756" s="328"/>
      <c r="H756" s="337"/>
      <c r="I756" s="334"/>
      <c r="J756" s="314"/>
      <c r="K756" s="449"/>
      <c r="M756" s="349" t="str">
        <f>N756&amp;AS[[#This Row],[Insurer Code]]&amp;"; "&amp;O756&amp;AS[[#This Row],[Reporting Year]]&amp;"; "&amp;P756&amp;AS[[#This Row],[Insurance Category Code]]&amp;"; "&amp;Q756&amp;AS[[#This Row],[Large Provider Entity Code]]&amp;"; "&amp;R756&amp;AS[[#This Row],[Age Band Code]]&amp;"; "&amp;S756&amp;AS[[#This Row],[Sex Code]]</f>
        <v xml:space="preserve">Insurer Code ; Reporting Year ; Insurance Category Code ; Large Provider Entity Code ; Age Band Code ; Sex Code </v>
      </c>
      <c r="N756" s="345" t="s">
        <v>207</v>
      </c>
      <c r="O756" s="345" t="s">
        <v>208</v>
      </c>
      <c r="P756" s="345" t="s">
        <v>209</v>
      </c>
      <c r="Q756" s="345" t="s">
        <v>210</v>
      </c>
      <c r="R756" s="345" t="s">
        <v>223</v>
      </c>
      <c r="S756" s="345" t="s">
        <v>224</v>
      </c>
    </row>
    <row r="757" spans="1:19" x14ac:dyDescent="0.25">
      <c r="A757" s="311"/>
      <c r="B757" s="312"/>
      <c r="C757" s="312"/>
      <c r="D757" s="312"/>
      <c r="E757" s="312"/>
      <c r="F757" s="312"/>
      <c r="G757" s="328"/>
      <c r="H757" s="337"/>
      <c r="I757" s="334"/>
      <c r="J757" s="314"/>
      <c r="K757" s="449"/>
      <c r="M757" s="349" t="str">
        <f>N757&amp;AS[[#This Row],[Insurer Code]]&amp;"; "&amp;O757&amp;AS[[#This Row],[Reporting Year]]&amp;"; "&amp;P757&amp;AS[[#This Row],[Insurance Category Code]]&amp;"; "&amp;Q757&amp;AS[[#This Row],[Large Provider Entity Code]]&amp;"; "&amp;R757&amp;AS[[#This Row],[Age Band Code]]&amp;"; "&amp;S757&amp;AS[[#This Row],[Sex Code]]</f>
        <v xml:space="preserve">Insurer Code ; Reporting Year ; Insurance Category Code ; Large Provider Entity Code ; Age Band Code ; Sex Code </v>
      </c>
      <c r="N757" s="345" t="s">
        <v>207</v>
      </c>
      <c r="O757" s="345" t="s">
        <v>208</v>
      </c>
      <c r="P757" s="345" t="s">
        <v>209</v>
      </c>
      <c r="Q757" s="345" t="s">
        <v>210</v>
      </c>
      <c r="R757" s="345" t="s">
        <v>223</v>
      </c>
      <c r="S757" s="345" t="s">
        <v>224</v>
      </c>
    </row>
    <row r="758" spans="1:19" x14ac:dyDescent="0.25">
      <c r="A758" s="311"/>
      <c r="B758" s="312"/>
      <c r="C758" s="312"/>
      <c r="D758" s="312"/>
      <c r="E758" s="312"/>
      <c r="F758" s="312"/>
      <c r="G758" s="328"/>
      <c r="H758" s="337"/>
      <c r="I758" s="334"/>
      <c r="J758" s="314"/>
      <c r="K758" s="449"/>
      <c r="M758" s="349" t="str">
        <f>N758&amp;AS[[#This Row],[Insurer Code]]&amp;"; "&amp;O758&amp;AS[[#This Row],[Reporting Year]]&amp;"; "&amp;P758&amp;AS[[#This Row],[Insurance Category Code]]&amp;"; "&amp;Q758&amp;AS[[#This Row],[Large Provider Entity Code]]&amp;"; "&amp;R758&amp;AS[[#This Row],[Age Band Code]]&amp;"; "&amp;S758&amp;AS[[#This Row],[Sex Code]]</f>
        <v xml:space="preserve">Insurer Code ; Reporting Year ; Insurance Category Code ; Large Provider Entity Code ; Age Band Code ; Sex Code </v>
      </c>
      <c r="N758" s="345" t="s">
        <v>207</v>
      </c>
      <c r="O758" s="345" t="s">
        <v>208</v>
      </c>
      <c r="P758" s="345" t="s">
        <v>209</v>
      </c>
      <c r="Q758" s="345" t="s">
        <v>210</v>
      </c>
      <c r="R758" s="345" t="s">
        <v>223</v>
      </c>
      <c r="S758" s="345" t="s">
        <v>224</v>
      </c>
    </row>
    <row r="759" spans="1:19" x14ac:dyDescent="0.25">
      <c r="A759" s="311"/>
      <c r="B759" s="312"/>
      <c r="C759" s="312"/>
      <c r="D759" s="312"/>
      <c r="E759" s="312"/>
      <c r="F759" s="312"/>
      <c r="G759" s="328"/>
      <c r="H759" s="337"/>
      <c r="I759" s="334"/>
      <c r="J759" s="314"/>
      <c r="K759" s="449"/>
      <c r="M759" s="349" t="str">
        <f>N759&amp;AS[[#This Row],[Insurer Code]]&amp;"; "&amp;O759&amp;AS[[#This Row],[Reporting Year]]&amp;"; "&amp;P759&amp;AS[[#This Row],[Insurance Category Code]]&amp;"; "&amp;Q759&amp;AS[[#This Row],[Large Provider Entity Code]]&amp;"; "&amp;R759&amp;AS[[#This Row],[Age Band Code]]&amp;"; "&amp;S759&amp;AS[[#This Row],[Sex Code]]</f>
        <v xml:space="preserve">Insurer Code ; Reporting Year ; Insurance Category Code ; Large Provider Entity Code ; Age Band Code ; Sex Code </v>
      </c>
      <c r="N759" s="345" t="s">
        <v>207</v>
      </c>
      <c r="O759" s="345" t="s">
        <v>208</v>
      </c>
      <c r="P759" s="345" t="s">
        <v>209</v>
      </c>
      <c r="Q759" s="345" t="s">
        <v>210</v>
      </c>
      <c r="R759" s="345" t="s">
        <v>223</v>
      </c>
      <c r="S759" s="345" t="s">
        <v>224</v>
      </c>
    </row>
    <row r="760" spans="1:19" x14ac:dyDescent="0.25">
      <c r="A760" s="311"/>
      <c r="B760" s="312"/>
      <c r="C760" s="312"/>
      <c r="D760" s="312"/>
      <c r="E760" s="312"/>
      <c r="F760" s="312"/>
      <c r="G760" s="328"/>
      <c r="H760" s="337"/>
      <c r="I760" s="334"/>
      <c r="J760" s="314"/>
      <c r="K760" s="449"/>
      <c r="M760" s="349" t="str">
        <f>N760&amp;AS[[#This Row],[Insurer Code]]&amp;"; "&amp;O760&amp;AS[[#This Row],[Reporting Year]]&amp;"; "&amp;P760&amp;AS[[#This Row],[Insurance Category Code]]&amp;"; "&amp;Q760&amp;AS[[#This Row],[Large Provider Entity Code]]&amp;"; "&amp;R760&amp;AS[[#This Row],[Age Band Code]]&amp;"; "&amp;S760&amp;AS[[#This Row],[Sex Code]]</f>
        <v xml:space="preserve">Insurer Code ; Reporting Year ; Insurance Category Code ; Large Provider Entity Code ; Age Band Code ; Sex Code </v>
      </c>
      <c r="N760" s="345" t="s">
        <v>207</v>
      </c>
      <c r="O760" s="345" t="s">
        <v>208</v>
      </c>
      <c r="P760" s="345" t="s">
        <v>209</v>
      </c>
      <c r="Q760" s="345" t="s">
        <v>210</v>
      </c>
      <c r="R760" s="345" t="s">
        <v>223</v>
      </c>
      <c r="S760" s="345" t="s">
        <v>224</v>
      </c>
    </row>
    <row r="761" spans="1:19" x14ac:dyDescent="0.25">
      <c r="A761" s="311"/>
      <c r="B761" s="312"/>
      <c r="C761" s="312"/>
      <c r="D761" s="312"/>
      <c r="E761" s="312"/>
      <c r="F761" s="312"/>
      <c r="G761" s="328"/>
      <c r="H761" s="337"/>
      <c r="I761" s="334"/>
      <c r="J761" s="314"/>
      <c r="K761" s="449"/>
      <c r="M761" s="349" t="str">
        <f>N761&amp;AS[[#This Row],[Insurer Code]]&amp;"; "&amp;O761&amp;AS[[#This Row],[Reporting Year]]&amp;"; "&amp;P761&amp;AS[[#This Row],[Insurance Category Code]]&amp;"; "&amp;Q761&amp;AS[[#This Row],[Large Provider Entity Code]]&amp;"; "&amp;R761&amp;AS[[#This Row],[Age Band Code]]&amp;"; "&amp;S761&amp;AS[[#This Row],[Sex Code]]</f>
        <v xml:space="preserve">Insurer Code ; Reporting Year ; Insurance Category Code ; Large Provider Entity Code ; Age Band Code ; Sex Code </v>
      </c>
      <c r="N761" s="345" t="s">
        <v>207</v>
      </c>
      <c r="O761" s="345" t="s">
        <v>208</v>
      </c>
      <c r="P761" s="345" t="s">
        <v>209</v>
      </c>
      <c r="Q761" s="345" t="s">
        <v>210</v>
      </c>
      <c r="R761" s="345" t="s">
        <v>223</v>
      </c>
      <c r="S761" s="345" t="s">
        <v>224</v>
      </c>
    </row>
    <row r="762" spans="1:19" x14ac:dyDescent="0.25">
      <c r="A762" s="311"/>
      <c r="B762" s="312"/>
      <c r="C762" s="312"/>
      <c r="D762" s="312"/>
      <c r="E762" s="312"/>
      <c r="F762" s="312"/>
      <c r="G762" s="328"/>
      <c r="H762" s="337"/>
      <c r="I762" s="334"/>
      <c r="J762" s="314"/>
      <c r="K762" s="449"/>
      <c r="M762" s="349" t="str">
        <f>N762&amp;AS[[#This Row],[Insurer Code]]&amp;"; "&amp;O762&amp;AS[[#This Row],[Reporting Year]]&amp;"; "&amp;P762&amp;AS[[#This Row],[Insurance Category Code]]&amp;"; "&amp;Q762&amp;AS[[#This Row],[Large Provider Entity Code]]&amp;"; "&amp;R762&amp;AS[[#This Row],[Age Band Code]]&amp;"; "&amp;S762&amp;AS[[#This Row],[Sex Code]]</f>
        <v xml:space="preserve">Insurer Code ; Reporting Year ; Insurance Category Code ; Large Provider Entity Code ; Age Band Code ; Sex Code </v>
      </c>
      <c r="N762" s="345" t="s">
        <v>207</v>
      </c>
      <c r="O762" s="345" t="s">
        <v>208</v>
      </c>
      <c r="P762" s="345" t="s">
        <v>209</v>
      </c>
      <c r="Q762" s="345" t="s">
        <v>210</v>
      </c>
      <c r="R762" s="345" t="s">
        <v>223</v>
      </c>
      <c r="S762" s="345" t="s">
        <v>224</v>
      </c>
    </row>
    <row r="763" spans="1:19" x14ac:dyDescent="0.25">
      <c r="A763" s="311"/>
      <c r="B763" s="312"/>
      <c r="C763" s="312"/>
      <c r="D763" s="312"/>
      <c r="E763" s="312"/>
      <c r="F763" s="312"/>
      <c r="G763" s="328"/>
      <c r="H763" s="337"/>
      <c r="I763" s="334"/>
      <c r="J763" s="314"/>
      <c r="K763" s="449"/>
      <c r="M763" s="349" t="str">
        <f>N763&amp;AS[[#This Row],[Insurer Code]]&amp;"; "&amp;O763&amp;AS[[#This Row],[Reporting Year]]&amp;"; "&amp;P763&amp;AS[[#This Row],[Insurance Category Code]]&amp;"; "&amp;Q763&amp;AS[[#This Row],[Large Provider Entity Code]]&amp;"; "&amp;R763&amp;AS[[#This Row],[Age Band Code]]&amp;"; "&amp;S763&amp;AS[[#This Row],[Sex Code]]</f>
        <v xml:space="preserve">Insurer Code ; Reporting Year ; Insurance Category Code ; Large Provider Entity Code ; Age Band Code ; Sex Code </v>
      </c>
      <c r="N763" s="345" t="s">
        <v>207</v>
      </c>
      <c r="O763" s="345" t="s">
        <v>208</v>
      </c>
      <c r="P763" s="345" t="s">
        <v>209</v>
      </c>
      <c r="Q763" s="345" t="s">
        <v>210</v>
      </c>
      <c r="R763" s="345" t="s">
        <v>223</v>
      </c>
      <c r="S763" s="345" t="s">
        <v>224</v>
      </c>
    </row>
    <row r="764" spans="1:19" x14ac:dyDescent="0.25">
      <c r="A764" s="311"/>
      <c r="B764" s="312"/>
      <c r="C764" s="312"/>
      <c r="D764" s="312"/>
      <c r="E764" s="312"/>
      <c r="F764" s="312"/>
      <c r="G764" s="328"/>
      <c r="H764" s="337"/>
      <c r="I764" s="334"/>
      <c r="J764" s="314"/>
      <c r="K764" s="449"/>
      <c r="M764" s="349" t="str">
        <f>N764&amp;AS[[#This Row],[Insurer Code]]&amp;"; "&amp;O764&amp;AS[[#This Row],[Reporting Year]]&amp;"; "&amp;P764&amp;AS[[#This Row],[Insurance Category Code]]&amp;"; "&amp;Q764&amp;AS[[#This Row],[Large Provider Entity Code]]&amp;"; "&amp;R764&amp;AS[[#This Row],[Age Band Code]]&amp;"; "&amp;S764&amp;AS[[#This Row],[Sex Code]]</f>
        <v xml:space="preserve">Insurer Code ; Reporting Year ; Insurance Category Code ; Large Provider Entity Code ; Age Band Code ; Sex Code </v>
      </c>
      <c r="N764" s="345" t="s">
        <v>207</v>
      </c>
      <c r="O764" s="345" t="s">
        <v>208</v>
      </c>
      <c r="P764" s="345" t="s">
        <v>209</v>
      </c>
      <c r="Q764" s="345" t="s">
        <v>210</v>
      </c>
      <c r="R764" s="345" t="s">
        <v>223</v>
      </c>
      <c r="S764" s="345" t="s">
        <v>224</v>
      </c>
    </row>
    <row r="765" spans="1:19" x14ac:dyDescent="0.25">
      <c r="A765" s="311"/>
      <c r="B765" s="312"/>
      <c r="C765" s="312"/>
      <c r="D765" s="312"/>
      <c r="E765" s="312"/>
      <c r="F765" s="312"/>
      <c r="G765" s="328"/>
      <c r="H765" s="337"/>
      <c r="I765" s="334"/>
      <c r="J765" s="314"/>
      <c r="K765" s="449"/>
      <c r="M765" s="349" t="str">
        <f>N765&amp;AS[[#This Row],[Insurer Code]]&amp;"; "&amp;O765&amp;AS[[#This Row],[Reporting Year]]&amp;"; "&amp;P765&amp;AS[[#This Row],[Insurance Category Code]]&amp;"; "&amp;Q765&amp;AS[[#This Row],[Large Provider Entity Code]]&amp;"; "&amp;R765&amp;AS[[#This Row],[Age Band Code]]&amp;"; "&amp;S765&amp;AS[[#This Row],[Sex Code]]</f>
        <v xml:space="preserve">Insurer Code ; Reporting Year ; Insurance Category Code ; Large Provider Entity Code ; Age Band Code ; Sex Code </v>
      </c>
      <c r="N765" s="345" t="s">
        <v>207</v>
      </c>
      <c r="O765" s="345" t="s">
        <v>208</v>
      </c>
      <c r="P765" s="345" t="s">
        <v>209</v>
      </c>
      <c r="Q765" s="345" t="s">
        <v>210</v>
      </c>
      <c r="R765" s="345" t="s">
        <v>223</v>
      </c>
      <c r="S765" s="345" t="s">
        <v>224</v>
      </c>
    </row>
    <row r="766" spans="1:19" x14ac:dyDescent="0.25">
      <c r="A766" s="311"/>
      <c r="B766" s="312"/>
      <c r="C766" s="312"/>
      <c r="D766" s="312"/>
      <c r="E766" s="312"/>
      <c r="F766" s="312"/>
      <c r="G766" s="328"/>
      <c r="H766" s="337"/>
      <c r="I766" s="334"/>
      <c r="J766" s="314"/>
      <c r="K766" s="449"/>
      <c r="M766" s="349" t="str">
        <f>N766&amp;AS[[#This Row],[Insurer Code]]&amp;"; "&amp;O766&amp;AS[[#This Row],[Reporting Year]]&amp;"; "&amp;P766&amp;AS[[#This Row],[Insurance Category Code]]&amp;"; "&amp;Q766&amp;AS[[#This Row],[Large Provider Entity Code]]&amp;"; "&amp;R766&amp;AS[[#This Row],[Age Band Code]]&amp;"; "&amp;S766&amp;AS[[#This Row],[Sex Code]]</f>
        <v xml:space="preserve">Insurer Code ; Reporting Year ; Insurance Category Code ; Large Provider Entity Code ; Age Band Code ; Sex Code </v>
      </c>
      <c r="N766" s="345" t="s">
        <v>207</v>
      </c>
      <c r="O766" s="345" t="s">
        <v>208</v>
      </c>
      <c r="P766" s="345" t="s">
        <v>209</v>
      </c>
      <c r="Q766" s="345" t="s">
        <v>210</v>
      </c>
      <c r="R766" s="345" t="s">
        <v>223</v>
      </c>
      <c r="S766" s="345" t="s">
        <v>224</v>
      </c>
    </row>
    <row r="767" spans="1:19" x14ac:dyDescent="0.25">
      <c r="A767" s="311"/>
      <c r="B767" s="312"/>
      <c r="C767" s="312"/>
      <c r="D767" s="312"/>
      <c r="E767" s="312"/>
      <c r="F767" s="312"/>
      <c r="G767" s="328"/>
      <c r="H767" s="337"/>
      <c r="I767" s="334"/>
      <c r="J767" s="314"/>
      <c r="K767" s="449"/>
      <c r="M767" s="349" t="str">
        <f>N767&amp;AS[[#This Row],[Insurer Code]]&amp;"; "&amp;O767&amp;AS[[#This Row],[Reporting Year]]&amp;"; "&amp;P767&amp;AS[[#This Row],[Insurance Category Code]]&amp;"; "&amp;Q767&amp;AS[[#This Row],[Large Provider Entity Code]]&amp;"; "&amp;R767&amp;AS[[#This Row],[Age Band Code]]&amp;"; "&amp;S767&amp;AS[[#This Row],[Sex Code]]</f>
        <v xml:space="preserve">Insurer Code ; Reporting Year ; Insurance Category Code ; Large Provider Entity Code ; Age Band Code ; Sex Code </v>
      </c>
      <c r="N767" s="345" t="s">
        <v>207</v>
      </c>
      <c r="O767" s="345" t="s">
        <v>208</v>
      </c>
      <c r="P767" s="345" t="s">
        <v>209</v>
      </c>
      <c r="Q767" s="345" t="s">
        <v>210</v>
      </c>
      <c r="R767" s="345" t="s">
        <v>223</v>
      </c>
      <c r="S767" s="345" t="s">
        <v>224</v>
      </c>
    </row>
    <row r="768" spans="1:19" x14ac:dyDescent="0.25">
      <c r="A768" s="311"/>
      <c r="B768" s="312"/>
      <c r="C768" s="312"/>
      <c r="D768" s="312"/>
      <c r="E768" s="312"/>
      <c r="F768" s="312"/>
      <c r="G768" s="328"/>
      <c r="H768" s="337"/>
      <c r="I768" s="334"/>
      <c r="J768" s="314"/>
      <c r="K768" s="449"/>
      <c r="M768" s="349" t="str">
        <f>N768&amp;AS[[#This Row],[Insurer Code]]&amp;"; "&amp;O768&amp;AS[[#This Row],[Reporting Year]]&amp;"; "&amp;P768&amp;AS[[#This Row],[Insurance Category Code]]&amp;"; "&amp;Q768&amp;AS[[#This Row],[Large Provider Entity Code]]&amp;"; "&amp;R768&amp;AS[[#This Row],[Age Band Code]]&amp;"; "&amp;S768&amp;AS[[#This Row],[Sex Code]]</f>
        <v xml:space="preserve">Insurer Code ; Reporting Year ; Insurance Category Code ; Large Provider Entity Code ; Age Band Code ; Sex Code </v>
      </c>
      <c r="N768" s="345" t="s">
        <v>207</v>
      </c>
      <c r="O768" s="345" t="s">
        <v>208</v>
      </c>
      <c r="P768" s="345" t="s">
        <v>209</v>
      </c>
      <c r="Q768" s="345" t="s">
        <v>210</v>
      </c>
      <c r="R768" s="345" t="s">
        <v>223</v>
      </c>
      <c r="S768" s="345" t="s">
        <v>224</v>
      </c>
    </row>
    <row r="769" spans="1:19" x14ac:dyDescent="0.25">
      <c r="A769" s="311"/>
      <c r="B769" s="312"/>
      <c r="C769" s="312"/>
      <c r="D769" s="312"/>
      <c r="E769" s="312"/>
      <c r="F769" s="312"/>
      <c r="G769" s="328"/>
      <c r="H769" s="337"/>
      <c r="I769" s="334"/>
      <c r="J769" s="314"/>
      <c r="K769" s="449"/>
      <c r="M769" s="349" t="str">
        <f>N769&amp;AS[[#This Row],[Insurer Code]]&amp;"; "&amp;O769&amp;AS[[#This Row],[Reporting Year]]&amp;"; "&amp;P769&amp;AS[[#This Row],[Insurance Category Code]]&amp;"; "&amp;Q769&amp;AS[[#This Row],[Large Provider Entity Code]]&amp;"; "&amp;R769&amp;AS[[#This Row],[Age Band Code]]&amp;"; "&amp;S769&amp;AS[[#This Row],[Sex Code]]</f>
        <v xml:space="preserve">Insurer Code ; Reporting Year ; Insurance Category Code ; Large Provider Entity Code ; Age Band Code ; Sex Code </v>
      </c>
      <c r="N769" s="345" t="s">
        <v>207</v>
      </c>
      <c r="O769" s="345" t="s">
        <v>208</v>
      </c>
      <c r="P769" s="345" t="s">
        <v>209</v>
      </c>
      <c r="Q769" s="345" t="s">
        <v>210</v>
      </c>
      <c r="R769" s="345" t="s">
        <v>223</v>
      </c>
      <c r="S769" s="345" t="s">
        <v>224</v>
      </c>
    </row>
    <row r="770" spans="1:19" x14ac:dyDescent="0.25">
      <c r="A770" s="311"/>
      <c r="B770" s="312"/>
      <c r="C770" s="312"/>
      <c r="D770" s="312"/>
      <c r="E770" s="312"/>
      <c r="F770" s="312"/>
      <c r="G770" s="328"/>
      <c r="H770" s="337"/>
      <c r="I770" s="334"/>
      <c r="J770" s="314"/>
      <c r="K770" s="449"/>
      <c r="M770" s="349" t="str">
        <f>N770&amp;AS[[#This Row],[Insurer Code]]&amp;"; "&amp;O770&amp;AS[[#This Row],[Reporting Year]]&amp;"; "&amp;P770&amp;AS[[#This Row],[Insurance Category Code]]&amp;"; "&amp;Q770&amp;AS[[#This Row],[Large Provider Entity Code]]&amp;"; "&amp;R770&amp;AS[[#This Row],[Age Band Code]]&amp;"; "&amp;S770&amp;AS[[#This Row],[Sex Code]]</f>
        <v xml:space="preserve">Insurer Code ; Reporting Year ; Insurance Category Code ; Large Provider Entity Code ; Age Band Code ; Sex Code </v>
      </c>
      <c r="N770" s="345" t="s">
        <v>207</v>
      </c>
      <c r="O770" s="345" t="s">
        <v>208</v>
      </c>
      <c r="P770" s="345" t="s">
        <v>209</v>
      </c>
      <c r="Q770" s="345" t="s">
        <v>210</v>
      </c>
      <c r="R770" s="345" t="s">
        <v>223</v>
      </c>
      <c r="S770" s="345" t="s">
        <v>224</v>
      </c>
    </row>
    <row r="771" spans="1:19" x14ac:dyDescent="0.25">
      <c r="A771" s="311"/>
      <c r="B771" s="312"/>
      <c r="C771" s="312"/>
      <c r="D771" s="312"/>
      <c r="E771" s="312"/>
      <c r="F771" s="312"/>
      <c r="G771" s="328"/>
      <c r="H771" s="337"/>
      <c r="I771" s="334"/>
      <c r="J771" s="314"/>
      <c r="K771" s="449"/>
      <c r="M771" s="349" t="str">
        <f>N771&amp;AS[[#This Row],[Insurer Code]]&amp;"; "&amp;O771&amp;AS[[#This Row],[Reporting Year]]&amp;"; "&amp;P771&amp;AS[[#This Row],[Insurance Category Code]]&amp;"; "&amp;Q771&amp;AS[[#This Row],[Large Provider Entity Code]]&amp;"; "&amp;R771&amp;AS[[#This Row],[Age Band Code]]&amp;"; "&amp;S771&amp;AS[[#This Row],[Sex Code]]</f>
        <v xml:space="preserve">Insurer Code ; Reporting Year ; Insurance Category Code ; Large Provider Entity Code ; Age Band Code ; Sex Code </v>
      </c>
      <c r="N771" s="345" t="s">
        <v>207</v>
      </c>
      <c r="O771" s="345" t="s">
        <v>208</v>
      </c>
      <c r="P771" s="345" t="s">
        <v>209</v>
      </c>
      <c r="Q771" s="345" t="s">
        <v>210</v>
      </c>
      <c r="R771" s="345" t="s">
        <v>223</v>
      </c>
      <c r="S771" s="345" t="s">
        <v>224</v>
      </c>
    </row>
    <row r="772" spans="1:19" x14ac:dyDescent="0.25">
      <c r="A772" s="311"/>
      <c r="B772" s="312"/>
      <c r="C772" s="312"/>
      <c r="D772" s="312"/>
      <c r="E772" s="312"/>
      <c r="F772" s="312"/>
      <c r="G772" s="328"/>
      <c r="H772" s="337"/>
      <c r="I772" s="334"/>
      <c r="J772" s="314"/>
      <c r="K772" s="449"/>
      <c r="M772" s="349" t="str">
        <f>N772&amp;AS[[#This Row],[Insurer Code]]&amp;"; "&amp;O772&amp;AS[[#This Row],[Reporting Year]]&amp;"; "&amp;P772&amp;AS[[#This Row],[Insurance Category Code]]&amp;"; "&amp;Q772&amp;AS[[#This Row],[Large Provider Entity Code]]&amp;"; "&amp;R772&amp;AS[[#This Row],[Age Band Code]]&amp;"; "&amp;S772&amp;AS[[#This Row],[Sex Code]]</f>
        <v xml:space="preserve">Insurer Code ; Reporting Year ; Insurance Category Code ; Large Provider Entity Code ; Age Band Code ; Sex Code </v>
      </c>
      <c r="N772" s="345" t="s">
        <v>207</v>
      </c>
      <c r="O772" s="345" t="s">
        <v>208</v>
      </c>
      <c r="P772" s="345" t="s">
        <v>209</v>
      </c>
      <c r="Q772" s="345" t="s">
        <v>210</v>
      </c>
      <c r="R772" s="345" t="s">
        <v>223</v>
      </c>
      <c r="S772" s="345" t="s">
        <v>224</v>
      </c>
    </row>
    <row r="773" spans="1:19" x14ac:dyDescent="0.25">
      <c r="A773" s="311"/>
      <c r="B773" s="312"/>
      <c r="C773" s="312"/>
      <c r="D773" s="312"/>
      <c r="E773" s="312"/>
      <c r="F773" s="312"/>
      <c r="G773" s="328"/>
      <c r="H773" s="337"/>
      <c r="I773" s="334"/>
      <c r="J773" s="314"/>
      <c r="K773" s="449"/>
      <c r="M773" s="349" t="str">
        <f>N773&amp;AS[[#This Row],[Insurer Code]]&amp;"; "&amp;O773&amp;AS[[#This Row],[Reporting Year]]&amp;"; "&amp;P773&amp;AS[[#This Row],[Insurance Category Code]]&amp;"; "&amp;Q773&amp;AS[[#This Row],[Large Provider Entity Code]]&amp;"; "&amp;R773&amp;AS[[#This Row],[Age Band Code]]&amp;"; "&amp;S773&amp;AS[[#This Row],[Sex Code]]</f>
        <v xml:space="preserve">Insurer Code ; Reporting Year ; Insurance Category Code ; Large Provider Entity Code ; Age Band Code ; Sex Code </v>
      </c>
      <c r="N773" s="345" t="s">
        <v>207</v>
      </c>
      <c r="O773" s="345" t="s">
        <v>208</v>
      </c>
      <c r="P773" s="345" t="s">
        <v>209</v>
      </c>
      <c r="Q773" s="345" t="s">
        <v>210</v>
      </c>
      <c r="R773" s="345" t="s">
        <v>223</v>
      </c>
      <c r="S773" s="345" t="s">
        <v>224</v>
      </c>
    </row>
    <row r="774" spans="1:19" x14ac:dyDescent="0.25">
      <c r="A774" s="311"/>
      <c r="B774" s="312"/>
      <c r="C774" s="312"/>
      <c r="D774" s="312"/>
      <c r="E774" s="312"/>
      <c r="F774" s="312"/>
      <c r="G774" s="328"/>
      <c r="H774" s="337"/>
      <c r="I774" s="334"/>
      <c r="J774" s="314"/>
      <c r="K774" s="449"/>
      <c r="M774" s="349" t="str">
        <f>N774&amp;AS[[#This Row],[Insurer Code]]&amp;"; "&amp;O774&amp;AS[[#This Row],[Reporting Year]]&amp;"; "&amp;P774&amp;AS[[#This Row],[Insurance Category Code]]&amp;"; "&amp;Q774&amp;AS[[#This Row],[Large Provider Entity Code]]&amp;"; "&amp;R774&amp;AS[[#This Row],[Age Band Code]]&amp;"; "&amp;S774&amp;AS[[#This Row],[Sex Code]]</f>
        <v xml:space="preserve">Insurer Code ; Reporting Year ; Insurance Category Code ; Large Provider Entity Code ; Age Band Code ; Sex Code </v>
      </c>
      <c r="N774" s="345" t="s">
        <v>207</v>
      </c>
      <c r="O774" s="345" t="s">
        <v>208</v>
      </c>
      <c r="P774" s="345" t="s">
        <v>209</v>
      </c>
      <c r="Q774" s="345" t="s">
        <v>210</v>
      </c>
      <c r="R774" s="345" t="s">
        <v>223</v>
      </c>
      <c r="S774" s="345" t="s">
        <v>224</v>
      </c>
    </row>
    <row r="775" spans="1:19" x14ac:dyDescent="0.25">
      <c r="A775" s="311"/>
      <c r="B775" s="312"/>
      <c r="C775" s="312"/>
      <c r="D775" s="312"/>
      <c r="E775" s="312"/>
      <c r="F775" s="312"/>
      <c r="G775" s="328"/>
      <c r="H775" s="337"/>
      <c r="I775" s="334"/>
      <c r="J775" s="314"/>
      <c r="K775" s="449"/>
      <c r="M775" s="349" t="str">
        <f>N775&amp;AS[[#This Row],[Insurer Code]]&amp;"; "&amp;O775&amp;AS[[#This Row],[Reporting Year]]&amp;"; "&amp;P775&amp;AS[[#This Row],[Insurance Category Code]]&amp;"; "&amp;Q775&amp;AS[[#This Row],[Large Provider Entity Code]]&amp;"; "&amp;R775&amp;AS[[#This Row],[Age Band Code]]&amp;"; "&amp;S775&amp;AS[[#This Row],[Sex Code]]</f>
        <v xml:space="preserve">Insurer Code ; Reporting Year ; Insurance Category Code ; Large Provider Entity Code ; Age Band Code ; Sex Code </v>
      </c>
      <c r="N775" s="345" t="s">
        <v>207</v>
      </c>
      <c r="O775" s="345" t="s">
        <v>208</v>
      </c>
      <c r="P775" s="345" t="s">
        <v>209</v>
      </c>
      <c r="Q775" s="345" t="s">
        <v>210</v>
      </c>
      <c r="R775" s="345" t="s">
        <v>223</v>
      </c>
      <c r="S775" s="345" t="s">
        <v>224</v>
      </c>
    </row>
    <row r="776" spans="1:19" x14ac:dyDescent="0.25">
      <c r="A776" s="311"/>
      <c r="B776" s="312"/>
      <c r="C776" s="312"/>
      <c r="D776" s="312"/>
      <c r="E776" s="312"/>
      <c r="F776" s="312"/>
      <c r="G776" s="328"/>
      <c r="H776" s="337"/>
      <c r="I776" s="334"/>
      <c r="J776" s="314"/>
      <c r="K776" s="449"/>
      <c r="M776" s="349" t="str">
        <f>N776&amp;AS[[#This Row],[Insurer Code]]&amp;"; "&amp;O776&amp;AS[[#This Row],[Reporting Year]]&amp;"; "&amp;P776&amp;AS[[#This Row],[Insurance Category Code]]&amp;"; "&amp;Q776&amp;AS[[#This Row],[Large Provider Entity Code]]&amp;"; "&amp;R776&amp;AS[[#This Row],[Age Band Code]]&amp;"; "&amp;S776&amp;AS[[#This Row],[Sex Code]]</f>
        <v xml:space="preserve">Insurer Code ; Reporting Year ; Insurance Category Code ; Large Provider Entity Code ; Age Band Code ; Sex Code </v>
      </c>
      <c r="N776" s="345" t="s">
        <v>207</v>
      </c>
      <c r="O776" s="345" t="s">
        <v>208</v>
      </c>
      <c r="P776" s="345" t="s">
        <v>209</v>
      </c>
      <c r="Q776" s="345" t="s">
        <v>210</v>
      </c>
      <c r="R776" s="345" t="s">
        <v>223</v>
      </c>
      <c r="S776" s="345" t="s">
        <v>224</v>
      </c>
    </row>
    <row r="777" spans="1:19" x14ac:dyDescent="0.25">
      <c r="A777" s="311"/>
      <c r="B777" s="312"/>
      <c r="C777" s="312"/>
      <c r="D777" s="312"/>
      <c r="E777" s="312"/>
      <c r="F777" s="312"/>
      <c r="G777" s="328"/>
      <c r="H777" s="337"/>
      <c r="I777" s="334"/>
      <c r="J777" s="314"/>
      <c r="K777" s="449"/>
      <c r="M777" s="349" t="str">
        <f>N777&amp;AS[[#This Row],[Insurer Code]]&amp;"; "&amp;O777&amp;AS[[#This Row],[Reporting Year]]&amp;"; "&amp;P777&amp;AS[[#This Row],[Insurance Category Code]]&amp;"; "&amp;Q777&amp;AS[[#This Row],[Large Provider Entity Code]]&amp;"; "&amp;R777&amp;AS[[#This Row],[Age Band Code]]&amp;"; "&amp;S777&amp;AS[[#This Row],[Sex Code]]</f>
        <v xml:space="preserve">Insurer Code ; Reporting Year ; Insurance Category Code ; Large Provider Entity Code ; Age Band Code ; Sex Code </v>
      </c>
      <c r="N777" s="345" t="s">
        <v>207</v>
      </c>
      <c r="O777" s="345" t="s">
        <v>208</v>
      </c>
      <c r="P777" s="345" t="s">
        <v>209</v>
      </c>
      <c r="Q777" s="345" t="s">
        <v>210</v>
      </c>
      <c r="R777" s="345" t="s">
        <v>223</v>
      </c>
      <c r="S777" s="345" t="s">
        <v>224</v>
      </c>
    </row>
    <row r="778" spans="1:19" x14ac:dyDescent="0.25">
      <c r="A778" s="311"/>
      <c r="B778" s="312"/>
      <c r="C778" s="312"/>
      <c r="D778" s="312"/>
      <c r="E778" s="312"/>
      <c r="F778" s="312"/>
      <c r="G778" s="328"/>
      <c r="H778" s="337"/>
      <c r="I778" s="334"/>
      <c r="J778" s="314"/>
      <c r="K778" s="449"/>
      <c r="M778" s="349" t="str">
        <f>N778&amp;AS[[#This Row],[Insurer Code]]&amp;"; "&amp;O778&amp;AS[[#This Row],[Reporting Year]]&amp;"; "&amp;P778&amp;AS[[#This Row],[Insurance Category Code]]&amp;"; "&amp;Q778&amp;AS[[#This Row],[Large Provider Entity Code]]&amp;"; "&amp;R778&amp;AS[[#This Row],[Age Band Code]]&amp;"; "&amp;S778&amp;AS[[#This Row],[Sex Code]]</f>
        <v xml:space="preserve">Insurer Code ; Reporting Year ; Insurance Category Code ; Large Provider Entity Code ; Age Band Code ; Sex Code </v>
      </c>
      <c r="N778" s="345" t="s">
        <v>207</v>
      </c>
      <c r="O778" s="345" t="s">
        <v>208</v>
      </c>
      <c r="P778" s="345" t="s">
        <v>209</v>
      </c>
      <c r="Q778" s="345" t="s">
        <v>210</v>
      </c>
      <c r="R778" s="345" t="s">
        <v>223</v>
      </c>
      <c r="S778" s="345" t="s">
        <v>224</v>
      </c>
    </row>
    <row r="779" spans="1:19" x14ac:dyDescent="0.25">
      <c r="A779" s="311"/>
      <c r="B779" s="312"/>
      <c r="C779" s="312"/>
      <c r="D779" s="312"/>
      <c r="E779" s="312"/>
      <c r="F779" s="312"/>
      <c r="G779" s="328"/>
      <c r="H779" s="337"/>
      <c r="I779" s="334"/>
      <c r="J779" s="314"/>
      <c r="K779" s="449"/>
      <c r="M779" s="349" t="str">
        <f>N779&amp;AS[[#This Row],[Insurer Code]]&amp;"; "&amp;O779&amp;AS[[#This Row],[Reporting Year]]&amp;"; "&amp;P779&amp;AS[[#This Row],[Insurance Category Code]]&amp;"; "&amp;Q779&amp;AS[[#This Row],[Large Provider Entity Code]]&amp;"; "&amp;R779&amp;AS[[#This Row],[Age Band Code]]&amp;"; "&amp;S779&amp;AS[[#This Row],[Sex Code]]</f>
        <v xml:space="preserve">Insurer Code ; Reporting Year ; Insurance Category Code ; Large Provider Entity Code ; Age Band Code ; Sex Code </v>
      </c>
      <c r="N779" s="345" t="s">
        <v>207</v>
      </c>
      <c r="O779" s="345" t="s">
        <v>208</v>
      </c>
      <c r="P779" s="345" t="s">
        <v>209</v>
      </c>
      <c r="Q779" s="345" t="s">
        <v>210</v>
      </c>
      <c r="R779" s="345" t="s">
        <v>223</v>
      </c>
      <c r="S779" s="345" t="s">
        <v>224</v>
      </c>
    </row>
    <row r="780" spans="1:19" x14ac:dyDescent="0.25">
      <c r="A780" s="311"/>
      <c r="B780" s="312"/>
      <c r="C780" s="312"/>
      <c r="D780" s="312"/>
      <c r="E780" s="312"/>
      <c r="F780" s="312"/>
      <c r="G780" s="328"/>
      <c r="H780" s="337"/>
      <c r="I780" s="334"/>
      <c r="J780" s="314"/>
      <c r="K780" s="449"/>
      <c r="M780" s="349" t="str">
        <f>N780&amp;AS[[#This Row],[Insurer Code]]&amp;"; "&amp;O780&amp;AS[[#This Row],[Reporting Year]]&amp;"; "&amp;P780&amp;AS[[#This Row],[Insurance Category Code]]&amp;"; "&amp;Q780&amp;AS[[#This Row],[Large Provider Entity Code]]&amp;"; "&amp;R780&amp;AS[[#This Row],[Age Band Code]]&amp;"; "&amp;S780&amp;AS[[#This Row],[Sex Code]]</f>
        <v xml:space="preserve">Insurer Code ; Reporting Year ; Insurance Category Code ; Large Provider Entity Code ; Age Band Code ; Sex Code </v>
      </c>
      <c r="N780" s="345" t="s">
        <v>207</v>
      </c>
      <c r="O780" s="345" t="s">
        <v>208</v>
      </c>
      <c r="P780" s="345" t="s">
        <v>209</v>
      </c>
      <c r="Q780" s="345" t="s">
        <v>210</v>
      </c>
      <c r="R780" s="345" t="s">
        <v>223</v>
      </c>
      <c r="S780" s="345" t="s">
        <v>224</v>
      </c>
    </row>
    <row r="781" spans="1:19" x14ac:dyDescent="0.25">
      <c r="A781" s="311"/>
      <c r="B781" s="312"/>
      <c r="C781" s="312"/>
      <c r="D781" s="312"/>
      <c r="E781" s="312"/>
      <c r="F781" s="312"/>
      <c r="G781" s="328"/>
      <c r="H781" s="337"/>
      <c r="I781" s="334"/>
      <c r="J781" s="314"/>
      <c r="K781" s="449"/>
      <c r="M781" s="349" t="str">
        <f>N781&amp;AS[[#This Row],[Insurer Code]]&amp;"; "&amp;O781&amp;AS[[#This Row],[Reporting Year]]&amp;"; "&amp;P781&amp;AS[[#This Row],[Insurance Category Code]]&amp;"; "&amp;Q781&amp;AS[[#This Row],[Large Provider Entity Code]]&amp;"; "&amp;R781&amp;AS[[#This Row],[Age Band Code]]&amp;"; "&amp;S781&amp;AS[[#This Row],[Sex Code]]</f>
        <v xml:space="preserve">Insurer Code ; Reporting Year ; Insurance Category Code ; Large Provider Entity Code ; Age Band Code ; Sex Code </v>
      </c>
      <c r="N781" s="345" t="s">
        <v>207</v>
      </c>
      <c r="O781" s="345" t="s">
        <v>208</v>
      </c>
      <c r="P781" s="345" t="s">
        <v>209</v>
      </c>
      <c r="Q781" s="345" t="s">
        <v>210</v>
      </c>
      <c r="R781" s="345" t="s">
        <v>223</v>
      </c>
      <c r="S781" s="345" t="s">
        <v>224</v>
      </c>
    </row>
    <row r="782" spans="1:19" x14ac:dyDescent="0.25">
      <c r="A782" s="311"/>
      <c r="B782" s="312"/>
      <c r="C782" s="312"/>
      <c r="D782" s="312"/>
      <c r="E782" s="312"/>
      <c r="F782" s="312"/>
      <c r="G782" s="328"/>
      <c r="H782" s="337"/>
      <c r="I782" s="334"/>
      <c r="J782" s="314"/>
      <c r="K782" s="449"/>
      <c r="M782" s="349" t="str">
        <f>N782&amp;AS[[#This Row],[Insurer Code]]&amp;"; "&amp;O782&amp;AS[[#This Row],[Reporting Year]]&amp;"; "&amp;P782&amp;AS[[#This Row],[Insurance Category Code]]&amp;"; "&amp;Q782&amp;AS[[#This Row],[Large Provider Entity Code]]&amp;"; "&amp;R782&amp;AS[[#This Row],[Age Band Code]]&amp;"; "&amp;S782&amp;AS[[#This Row],[Sex Code]]</f>
        <v xml:space="preserve">Insurer Code ; Reporting Year ; Insurance Category Code ; Large Provider Entity Code ; Age Band Code ; Sex Code </v>
      </c>
      <c r="N782" s="345" t="s">
        <v>207</v>
      </c>
      <c r="O782" s="345" t="s">
        <v>208</v>
      </c>
      <c r="P782" s="345" t="s">
        <v>209</v>
      </c>
      <c r="Q782" s="345" t="s">
        <v>210</v>
      </c>
      <c r="R782" s="345" t="s">
        <v>223</v>
      </c>
      <c r="S782" s="345" t="s">
        <v>224</v>
      </c>
    </row>
    <row r="783" spans="1:19" x14ac:dyDescent="0.25">
      <c r="A783" s="311"/>
      <c r="B783" s="312"/>
      <c r="C783" s="312"/>
      <c r="D783" s="312"/>
      <c r="E783" s="312"/>
      <c r="F783" s="312"/>
      <c r="G783" s="328"/>
      <c r="H783" s="337"/>
      <c r="I783" s="334"/>
      <c r="J783" s="314"/>
      <c r="K783" s="449"/>
      <c r="M783" s="349" t="str">
        <f>N783&amp;AS[[#This Row],[Insurer Code]]&amp;"; "&amp;O783&amp;AS[[#This Row],[Reporting Year]]&amp;"; "&amp;P783&amp;AS[[#This Row],[Insurance Category Code]]&amp;"; "&amp;Q783&amp;AS[[#This Row],[Large Provider Entity Code]]&amp;"; "&amp;R783&amp;AS[[#This Row],[Age Band Code]]&amp;"; "&amp;S783&amp;AS[[#This Row],[Sex Code]]</f>
        <v xml:space="preserve">Insurer Code ; Reporting Year ; Insurance Category Code ; Large Provider Entity Code ; Age Band Code ; Sex Code </v>
      </c>
      <c r="N783" s="345" t="s">
        <v>207</v>
      </c>
      <c r="O783" s="345" t="s">
        <v>208</v>
      </c>
      <c r="P783" s="345" t="s">
        <v>209</v>
      </c>
      <c r="Q783" s="345" t="s">
        <v>210</v>
      </c>
      <c r="R783" s="345" t="s">
        <v>223</v>
      </c>
      <c r="S783" s="345" t="s">
        <v>224</v>
      </c>
    </row>
    <row r="784" spans="1:19" x14ac:dyDescent="0.25">
      <c r="A784" s="311"/>
      <c r="B784" s="312"/>
      <c r="C784" s="312"/>
      <c r="D784" s="312"/>
      <c r="E784" s="312"/>
      <c r="F784" s="312"/>
      <c r="G784" s="328"/>
      <c r="H784" s="337"/>
      <c r="I784" s="334"/>
      <c r="J784" s="314"/>
      <c r="K784" s="449"/>
      <c r="M784" s="349" t="str">
        <f>N784&amp;AS[[#This Row],[Insurer Code]]&amp;"; "&amp;O784&amp;AS[[#This Row],[Reporting Year]]&amp;"; "&amp;P784&amp;AS[[#This Row],[Insurance Category Code]]&amp;"; "&amp;Q784&amp;AS[[#This Row],[Large Provider Entity Code]]&amp;"; "&amp;R784&amp;AS[[#This Row],[Age Band Code]]&amp;"; "&amp;S784&amp;AS[[#This Row],[Sex Code]]</f>
        <v xml:space="preserve">Insurer Code ; Reporting Year ; Insurance Category Code ; Large Provider Entity Code ; Age Band Code ; Sex Code </v>
      </c>
      <c r="N784" s="345" t="s">
        <v>207</v>
      </c>
      <c r="O784" s="345" t="s">
        <v>208</v>
      </c>
      <c r="P784" s="345" t="s">
        <v>209</v>
      </c>
      <c r="Q784" s="345" t="s">
        <v>210</v>
      </c>
      <c r="R784" s="345" t="s">
        <v>223</v>
      </c>
      <c r="S784" s="345" t="s">
        <v>224</v>
      </c>
    </row>
    <row r="785" spans="1:19" x14ac:dyDescent="0.25">
      <c r="A785" s="311"/>
      <c r="B785" s="312"/>
      <c r="C785" s="312"/>
      <c r="D785" s="312"/>
      <c r="E785" s="312"/>
      <c r="F785" s="312"/>
      <c r="G785" s="328"/>
      <c r="H785" s="337"/>
      <c r="I785" s="334"/>
      <c r="J785" s="314"/>
      <c r="K785" s="449"/>
      <c r="M785" s="349" t="str">
        <f>N785&amp;AS[[#This Row],[Insurer Code]]&amp;"; "&amp;O785&amp;AS[[#This Row],[Reporting Year]]&amp;"; "&amp;P785&amp;AS[[#This Row],[Insurance Category Code]]&amp;"; "&amp;Q785&amp;AS[[#This Row],[Large Provider Entity Code]]&amp;"; "&amp;R785&amp;AS[[#This Row],[Age Band Code]]&amp;"; "&amp;S785&amp;AS[[#This Row],[Sex Code]]</f>
        <v xml:space="preserve">Insurer Code ; Reporting Year ; Insurance Category Code ; Large Provider Entity Code ; Age Band Code ; Sex Code </v>
      </c>
      <c r="N785" s="345" t="s">
        <v>207</v>
      </c>
      <c r="O785" s="345" t="s">
        <v>208</v>
      </c>
      <c r="P785" s="345" t="s">
        <v>209</v>
      </c>
      <c r="Q785" s="345" t="s">
        <v>210</v>
      </c>
      <c r="R785" s="345" t="s">
        <v>223</v>
      </c>
      <c r="S785" s="345" t="s">
        <v>224</v>
      </c>
    </row>
    <row r="786" spans="1:19" x14ac:dyDescent="0.25">
      <c r="A786" s="311"/>
      <c r="B786" s="312"/>
      <c r="C786" s="312"/>
      <c r="D786" s="312"/>
      <c r="E786" s="312"/>
      <c r="F786" s="312"/>
      <c r="G786" s="328"/>
      <c r="H786" s="337"/>
      <c r="I786" s="334"/>
      <c r="J786" s="314"/>
      <c r="K786" s="449"/>
      <c r="M786" s="349" t="str">
        <f>N786&amp;AS[[#This Row],[Insurer Code]]&amp;"; "&amp;O786&amp;AS[[#This Row],[Reporting Year]]&amp;"; "&amp;P786&amp;AS[[#This Row],[Insurance Category Code]]&amp;"; "&amp;Q786&amp;AS[[#This Row],[Large Provider Entity Code]]&amp;"; "&amp;R786&amp;AS[[#This Row],[Age Band Code]]&amp;"; "&amp;S786&amp;AS[[#This Row],[Sex Code]]</f>
        <v xml:space="preserve">Insurer Code ; Reporting Year ; Insurance Category Code ; Large Provider Entity Code ; Age Band Code ; Sex Code </v>
      </c>
      <c r="N786" s="345" t="s">
        <v>207</v>
      </c>
      <c r="O786" s="345" t="s">
        <v>208</v>
      </c>
      <c r="P786" s="345" t="s">
        <v>209</v>
      </c>
      <c r="Q786" s="345" t="s">
        <v>210</v>
      </c>
      <c r="R786" s="345" t="s">
        <v>223</v>
      </c>
      <c r="S786" s="345" t="s">
        <v>224</v>
      </c>
    </row>
    <row r="787" spans="1:19" x14ac:dyDescent="0.25">
      <c r="A787" s="311"/>
      <c r="B787" s="312"/>
      <c r="C787" s="312"/>
      <c r="D787" s="312"/>
      <c r="E787" s="312"/>
      <c r="F787" s="312"/>
      <c r="G787" s="328"/>
      <c r="H787" s="337"/>
      <c r="I787" s="334"/>
      <c r="J787" s="314"/>
      <c r="K787" s="449"/>
      <c r="M787" s="349" t="str">
        <f>N787&amp;AS[[#This Row],[Insurer Code]]&amp;"; "&amp;O787&amp;AS[[#This Row],[Reporting Year]]&amp;"; "&amp;P787&amp;AS[[#This Row],[Insurance Category Code]]&amp;"; "&amp;Q787&amp;AS[[#This Row],[Large Provider Entity Code]]&amp;"; "&amp;R787&amp;AS[[#This Row],[Age Band Code]]&amp;"; "&amp;S787&amp;AS[[#This Row],[Sex Code]]</f>
        <v xml:space="preserve">Insurer Code ; Reporting Year ; Insurance Category Code ; Large Provider Entity Code ; Age Band Code ; Sex Code </v>
      </c>
      <c r="N787" s="345" t="s">
        <v>207</v>
      </c>
      <c r="O787" s="345" t="s">
        <v>208</v>
      </c>
      <c r="P787" s="345" t="s">
        <v>209</v>
      </c>
      <c r="Q787" s="345" t="s">
        <v>210</v>
      </c>
      <c r="R787" s="345" t="s">
        <v>223</v>
      </c>
      <c r="S787" s="345" t="s">
        <v>224</v>
      </c>
    </row>
    <row r="788" spans="1:19" x14ac:dyDescent="0.25">
      <c r="A788" s="311"/>
      <c r="B788" s="312"/>
      <c r="C788" s="312"/>
      <c r="D788" s="312"/>
      <c r="E788" s="312"/>
      <c r="F788" s="312"/>
      <c r="G788" s="328"/>
      <c r="H788" s="337"/>
      <c r="I788" s="334"/>
      <c r="J788" s="314"/>
      <c r="K788" s="449"/>
      <c r="M788" s="349" t="str">
        <f>N788&amp;AS[[#This Row],[Insurer Code]]&amp;"; "&amp;O788&amp;AS[[#This Row],[Reporting Year]]&amp;"; "&amp;P788&amp;AS[[#This Row],[Insurance Category Code]]&amp;"; "&amp;Q788&amp;AS[[#This Row],[Large Provider Entity Code]]&amp;"; "&amp;R788&amp;AS[[#This Row],[Age Band Code]]&amp;"; "&amp;S788&amp;AS[[#This Row],[Sex Code]]</f>
        <v xml:space="preserve">Insurer Code ; Reporting Year ; Insurance Category Code ; Large Provider Entity Code ; Age Band Code ; Sex Code </v>
      </c>
      <c r="N788" s="345" t="s">
        <v>207</v>
      </c>
      <c r="O788" s="345" t="s">
        <v>208</v>
      </c>
      <c r="P788" s="345" t="s">
        <v>209</v>
      </c>
      <c r="Q788" s="345" t="s">
        <v>210</v>
      </c>
      <c r="R788" s="345" t="s">
        <v>223</v>
      </c>
      <c r="S788" s="345" t="s">
        <v>224</v>
      </c>
    </row>
    <row r="789" spans="1:19" x14ac:dyDescent="0.25">
      <c r="A789" s="311"/>
      <c r="B789" s="312"/>
      <c r="C789" s="312"/>
      <c r="D789" s="312"/>
      <c r="E789" s="312"/>
      <c r="F789" s="312"/>
      <c r="G789" s="328"/>
      <c r="H789" s="337"/>
      <c r="I789" s="334"/>
      <c r="J789" s="314"/>
      <c r="K789" s="449"/>
      <c r="M789" s="349" t="str">
        <f>N789&amp;AS[[#This Row],[Insurer Code]]&amp;"; "&amp;O789&amp;AS[[#This Row],[Reporting Year]]&amp;"; "&amp;P789&amp;AS[[#This Row],[Insurance Category Code]]&amp;"; "&amp;Q789&amp;AS[[#This Row],[Large Provider Entity Code]]&amp;"; "&amp;R789&amp;AS[[#This Row],[Age Band Code]]&amp;"; "&amp;S789&amp;AS[[#This Row],[Sex Code]]</f>
        <v xml:space="preserve">Insurer Code ; Reporting Year ; Insurance Category Code ; Large Provider Entity Code ; Age Band Code ; Sex Code </v>
      </c>
      <c r="N789" s="345" t="s">
        <v>207</v>
      </c>
      <c r="O789" s="345" t="s">
        <v>208</v>
      </c>
      <c r="P789" s="345" t="s">
        <v>209</v>
      </c>
      <c r="Q789" s="345" t="s">
        <v>210</v>
      </c>
      <c r="R789" s="345" t="s">
        <v>223</v>
      </c>
      <c r="S789" s="345" t="s">
        <v>224</v>
      </c>
    </row>
    <row r="790" spans="1:19" x14ac:dyDescent="0.25">
      <c r="A790" s="311"/>
      <c r="B790" s="312"/>
      <c r="C790" s="312"/>
      <c r="D790" s="312"/>
      <c r="E790" s="312"/>
      <c r="F790" s="312"/>
      <c r="G790" s="328"/>
      <c r="H790" s="337"/>
      <c r="I790" s="334"/>
      <c r="J790" s="314"/>
      <c r="K790" s="449"/>
      <c r="M790" s="349" t="str">
        <f>N790&amp;AS[[#This Row],[Insurer Code]]&amp;"; "&amp;O790&amp;AS[[#This Row],[Reporting Year]]&amp;"; "&amp;P790&amp;AS[[#This Row],[Insurance Category Code]]&amp;"; "&amp;Q790&amp;AS[[#This Row],[Large Provider Entity Code]]&amp;"; "&amp;R790&amp;AS[[#This Row],[Age Band Code]]&amp;"; "&amp;S790&amp;AS[[#This Row],[Sex Code]]</f>
        <v xml:space="preserve">Insurer Code ; Reporting Year ; Insurance Category Code ; Large Provider Entity Code ; Age Band Code ; Sex Code </v>
      </c>
      <c r="N790" s="345" t="s">
        <v>207</v>
      </c>
      <c r="O790" s="345" t="s">
        <v>208</v>
      </c>
      <c r="P790" s="345" t="s">
        <v>209</v>
      </c>
      <c r="Q790" s="345" t="s">
        <v>210</v>
      </c>
      <c r="R790" s="345" t="s">
        <v>223</v>
      </c>
      <c r="S790" s="345" t="s">
        <v>224</v>
      </c>
    </row>
    <row r="791" spans="1:19" x14ac:dyDescent="0.25">
      <c r="A791" s="311"/>
      <c r="B791" s="312"/>
      <c r="C791" s="312"/>
      <c r="D791" s="312"/>
      <c r="E791" s="312"/>
      <c r="F791" s="312"/>
      <c r="G791" s="328"/>
      <c r="H791" s="337"/>
      <c r="I791" s="334"/>
      <c r="J791" s="314"/>
      <c r="K791" s="449"/>
      <c r="M791" s="349" t="str">
        <f>N791&amp;AS[[#This Row],[Insurer Code]]&amp;"; "&amp;O791&amp;AS[[#This Row],[Reporting Year]]&amp;"; "&amp;P791&amp;AS[[#This Row],[Insurance Category Code]]&amp;"; "&amp;Q791&amp;AS[[#This Row],[Large Provider Entity Code]]&amp;"; "&amp;R791&amp;AS[[#This Row],[Age Band Code]]&amp;"; "&amp;S791&amp;AS[[#This Row],[Sex Code]]</f>
        <v xml:space="preserve">Insurer Code ; Reporting Year ; Insurance Category Code ; Large Provider Entity Code ; Age Band Code ; Sex Code </v>
      </c>
      <c r="N791" s="345" t="s">
        <v>207</v>
      </c>
      <c r="O791" s="345" t="s">
        <v>208</v>
      </c>
      <c r="P791" s="345" t="s">
        <v>209</v>
      </c>
      <c r="Q791" s="345" t="s">
        <v>210</v>
      </c>
      <c r="R791" s="345" t="s">
        <v>223</v>
      </c>
      <c r="S791" s="345" t="s">
        <v>224</v>
      </c>
    </row>
    <row r="792" spans="1:19" x14ac:dyDescent="0.25">
      <c r="A792" s="311"/>
      <c r="B792" s="312"/>
      <c r="C792" s="312"/>
      <c r="D792" s="312"/>
      <c r="E792" s="312"/>
      <c r="F792" s="312"/>
      <c r="G792" s="328"/>
      <c r="H792" s="337"/>
      <c r="I792" s="334"/>
      <c r="J792" s="314"/>
      <c r="K792" s="449"/>
      <c r="M792" s="349" t="str">
        <f>N792&amp;AS[[#This Row],[Insurer Code]]&amp;"; "&amp;O792&amp;AS[[#This Row],[Reporting Year]]&amp;"; "&amp;P792&amp;AS[[#This Row],[Insurance Category Code]]&amp;"; "&amp;Q792&amp;AS[[#This Row],[Large Provider Entity Code]]&amp;"; "&amp;R792&amp;AS[[#This Row],[Age Band Code]]&amp;"; "&amp;S792&amp;AS[[#This Row],[Sex Code]]</f>
        <v xml:space="preserve">Insurer Code ; Reporting Year ; Insurance Category Code ; Large Provider Entity Code ; Age Band Code ; Sex Code </v>
      </c>
      <c r="N792" s="345" t="s">
        <v>207</v>
      </c>
      <c r="O792" s="345" t="s">
        <v>208</v>
      </c>
      <c r="P792" s="345" t="s">
        <v>209</v>
      </c>
      <c r="Q792" s="345" t="s">
        <v>210</v>
      </c>
      <c r="R792" s="345" t="s">
        <v>223</v>
      </c>
      <c r="S792" s="345" t="s">
        <v>224</v>
      </c>
    </row>
    <row r="793" spans="1:19" x14ac:dyDescent="0.25">
      <c r="A793" s="311"/>
      <c r="B793" s="312"/>
      <c r="C793" s="312"/>
      <c r="D793" s="312"/>
      <c r="E793" s="312"/>
      <c r="F793" s="312"/>
      <c r="G793" s="328"/>
      <c r="H793" s="337"/>
      <c r="I793" s="334"/>
      <c r="J793" s="314"/>
      <c r="K793" s="449"/>
      <c r="M793" s="349" t="str">
        <f>N793&amp;AS[[#This Row],[Insurer Code]]&amp;"; "&amp;O793&amp;AS[[#This Row],[Reporting Year]]&amp;"; "&amp;P793&amp;AS[[#This Row],[Insurance Category Code]]&amp;"; "&amp;Q793&amp;AS[[#This Row],[Large Provider Entity Code]]&amp;"; "&amp;R793&amp;AS[[#This Row],[Age Band Code]]&amp;"; "&amp;S793&amp;AS[[#This Row],[Sex Code]]</f>
        <v xml:space="preserve">Insurer Code ; Reporting Year ; Insurance Category Code ; Large Provider Entity Code ; Age Band Code ; Sex Code </v>
      </c>
      <c r="N793" s="345" t="s">
        <v>207</v>
      </c>
      <c r="O793" s="345" t="s">
        <v>208</v>
      </c>
      <c r="P793" s="345" t="s">
        <v>209</v>
      </c>
      <c r="Q793" s="345" t="s">
        <v>210</v>
      </c>
      <c r="R793" s="345" t="s">
        <v>223</v>
      </c>
      <c r="S793" s="345" t="s">
        <v>224</v>
      </c>
    </row>
    <row r="794" spans="1:19" x14ac:dyDescent="0.25">
      <c r="A794" s="311"/>
      <c r="B794" s="312"/>
      <c r="C794" s="312"/>
      <c r="D794" s="312"/>
      <c r="E794" s="312"/>
      <c r="F794" s="312"/>
      <c r="G794" s="328"/>
      <c r="H794" s="337"/>
      <c r="I794" s="334"/>
      <c r="J794" s="314"/>
      <c r="K794" s="449"/>
      <c r="M794" s="349" t="str">
        <f>N794&amp;AS[[#This Row],[Insurer Code]]&amp;"; "&amp;O794&amp;AS[[#This Row],[Reporting Year]]&amp;"; "&amp;P794&amp;AS[[#This Row],[Insurance Category Code]]&amp;"; "&amp;Q794&amp;AS[[#This Row],[Large Provider Entity Code]]&amp;"; "&amp;R794&amp;AS[[#This Row],[Age Band Code]]&amp;"; "&amp;S794&amp;AS[[#This Row],[Sex Code]]</f>
        <v xml:space="preserve">Insurer Code ; Reporting Year ; Insurance Category Code ; Large Provider Entity Code ; Age Band Code ; Sex Code </v>
      </c>
      <c r="N794" s="345" t="s">
        <v>207</v>
      </c>
      <c r="O794" s="345" t="s">
        <v>208</v>
      </c>
      <c r="P794" s="345" t="s">
        <v>209</v>
      </c>
      <c r="Q794" s="345" t="s">
        <v>210</v>
      </c>
      <c r="R794" s="345" t="s">
        <v>223</v>
      </c>
      <c r="S794" s="345" t="s">
        <v>224</v>
      </c>
    </row>
    <row r="795" spans="1:19" x14ac:dyDescent="0.25">
      <c r="A795" s="311"/>
      <c r="B795" s="312"/>
      <c r="C795" s="312"/>
      <c r="D795" s="312"/>
      <c r="E795" s="312"/>
      <c r="F795" s="312"/>
      <c r="G795" s="328"/>
      <c r="H795" s="337"/>
      <c r="I795" s="334"/>
      <c r="J795" s="314"/>
      <c r="K795" s="449"/>
      <c r="M795" s="349" t="str">
        <f>N795&amp;AS[[#This Row],[Insurer Code]]&amp;"; "&amp;O795&amp;AS[[#This Row],[Reporting Year]]&amp;"; "&amp;P795&amp;AS[[#This Row],[Insurance Category Code]]&amp;"; "&amp;Q795&amp;AS[[#This Row],[Large Provider Entity Code]]&amp;"; "&amp;R795&amp;AS[[#This Row],[Age Band Code]]&amp;"; "&amp;S795&amp;AS[[#This Row],[Sex Code]]</f>
        <v xml:space="preserve">Insurer Code ; Reporting Year ; Insurance Category Code ; Large Provider Entity Code ; Age Band Code ; Sex Code </v>
      </c>
      <c r="N795" s="345" t="s">
        <v>207</v>
      </c>
      <c r="O795" s="345" t="s">
        <v>208</v>
      </c>
      <c r="P795" s="345" t="s">
        <v>209</v>
      </c>
      <c r="Q795" s="345" t="s">
        <v>210</v>
      </c>
      <c r="R795" s="345" t="s">
        <v>223</v>
      </c>
      <c r="S795" s="345" t="s">
        <v>224</v>
      </c>
    </row>
    <row r="796" spans="1:19" x14ac:dyDescent="0.25">
      <c r="A796" s="311"/>
      <c r="B796" s="312"/>
      <c r="C796" s="312"/>
      <c r="D796" s="312"/>
      <c r="E796" s="312"/>
      <c r="F796" s="312"/>
      <c r="G796" s="328"/>
      <c r="H796" s="337"/>
      <c r="I796" s="334"/>
      <c r="J796" s="314"/>
      <c r="K796" s="449"/>
      <c r="M796" s="349" t="str">
        <f>N796&amp;AS[[#This Row],[Insurer Code]]&amp;"; "&amp;O796&amp;AS[[#This Row],[Reporting Year]]&amp;"; "&amp;P796&amp;AS[[#This Row],[Insurance Category Code]]&amp;"; "&amp;Q796&amp;AS[[#This Row],[Large Provider Entity Code]]&amp;"; "&amp;R796&amp;AS[[#This Row],[Age Band Code]]&amp;"; "&amp;S796&amp;AS[[#This Row],[Sex Code]]</f>
        <v xml:space="preserve">Insurer Code ; Reporting Year ; Insurance Category Code ; Large Provider Entity Code ; Age Band Code ; Sex Code </v>
      </c>
      <c r="N796" s="345" t="s">
        <v>207</v>
      </c>
      <c r="O796" s="345" t="s">
        <v>208</v>
      </c>
      <c r="P796" s="345" t="s">
        <v>209</v>
      </c>
      <c r="Q796" s="345" t="s">
        <v>210</v>
      </c>
      <c r="R796" s="345" t="s">
        <v>223</v>
      </c>
      <c r="S796" s="345" t="s">
        <v>224</v>
      </c>
    </row>
    <row r="797" spans="1:19" x14ac:dyDescent="0.25">
      <c r="A797" s="311"/>
      <c r="B797" s="312"/>
      <c r="C797" s="312"/>
      <c r="D797" s="312"/>
      <c r="E797" s="312"/>
      <c r="F797" s="312"/>
      <c r="G797" s="328"/>
      <c r="H797" s="337"/>
      <c r="I797" s="334"/>
      <c r="J797" s="314"/>
      <c r="K797" s="449"/>
      <c r="M797" s="349" t="str">
        <f>N797&amp;AS[[#This Row],[Insurer Code]]&amp;"; "&amp;O797&amp;AS[[#This Row],[Reporting Year]]&amp;"; "&amp;P797&amp;AS[[#This Row],[Insurance Category Code]]&amp;"; "&amp;Q797&amp;AS[[#This Row],[Large Provider Entity Code]]&amp;"; "&amp;R797&amp;AS[[#This Row],[Age Band Code]]&amp;"; "&amp;S797&amp;AS[[#This Row],[Sex Code]]</f>
        <v xml:space="preserve">Insurer Code ; Reporting Year ; Insurance Category Code ; Large Provider Entity Code ; Age Band Code ; Sex Code </v>
      </c>
      <c r="N797" s="345" t="s">
        <v>207</v>
      </c>
      <c r="O797" s="345" t="s">
        <v>208</v>
      </c>
      <c r="P797" s="345" t="s">
        <v>209</v>
      </c>
      <c r="Q797" s="345" t="s">
        <v>210</v>
      </c>
      <c r="R797" s="345" t="s">
        <v>223</v>
      </c>
      <c r="S797" s="345" t="s">
        <v>224</v>
      </c>
    </row>
    <row r="798" spans="1:19" x14ac:dyDescent="0.25">
      <c r="A798" s="311"/>
      <c r="B798" s="312"/>
      <c r="C798" s="312"/>
      <c r="D798" s="312"/>
      <c r="E798" s="312"/>
      <c r="F798" s="312"/>
      <c r="G798" s="328"/>
      <c r="H798" s="337"/>
      <c r="I798" s="334"/>
      <c r="J798" s="314"/>
      <c r="K798" s="449"/>
      <c r="M798" s="349" t="str">
        <f>N798&amp;AS[[#This Row],[Insurer Code]]&amp;"; "&amp;O798&amp;AS[[#This Row],[Reporting Year]]&amp;"; "&amp;P798&amp;AS[[#This Row],[Insurance Category Code]]&amp;"; "&amp;Q798&amp;AS[[#This Row],[Large Provider Entity Code]]&amp;"; "&amp;R798&amp;AS[[#This Row],[Age Band Code]]&amp;"; "&amp;S798&amp;AS[[#This Row],[Sex Code]]</f>
        <v xml:space="preserve">Insurer Code ; Reporting Year ; Insurance Category Code ; Large Provider Entity Code ; Age Band Code ; Sex Code </v>
      </c>
      <c r="N798" s="345" t="s">
        <v>207</v>
      </c>
      <c r="O798" s="345" t="s">
        <v>208</v>
      </c>
      <c r="P798" s="345" t="s">
        <v>209</v>
      </c>
      <c r="Q798" s="345" t="s">
        <v>210</v>
      </c>
      <c r="R798" s="345" t="s">
        <v>223</v>
      </c>
      <c r="S798" s="345" t="s">
        <v>224</v>
      </c>
    </row>
    <row r="799" spans="1:19" x14ac:dyDescent="0.25">
      <c r="A799" s="311"/>
      <c r="B799" s="312"/>
      <c r="C799" s="312"/>
      <c r="D799" s="312"/>
      <c r="E799" s="312"/>
      <c r="F799" s="312"/>
      <c r="G799" s="328"/>
      <c r="H799" s="337"/>
      <c r="I799" s="334"/>
      <c r="J799" s="314"/>
      <c r="K799" s="449"/>
      <c r="M799" s="349" t="str">
        <f>N799&amp;AS[[#This Row],[Insurer Code]]&amp;"; "&amp;O799&amp;AS[[#This Row],[Reporting Year]]&amp;"; "&amp;P799&amp;AS[[#This Row],[Insurance Category Code]]&amp;"; "&amp;Q799&amp;AS[[#This Row],[Large Provider Entity Code]]&amp;"; "&amp;R799&amp;AS[[#This Row],[Age Band Code]]&amp;"; "&amp;S799&amp;AS[[#This Row],[Sex Code]]</f>
        <v xml:space="preserve">Insurer Code ; Reporting Year ; Insurance Category Code ; Large Provider Entity Code ; Age Band Code ; Sex Code </v>
      </c>
      <c r="N799" s="345" t="s">
        <v>207</v>
      </c>
      <c r="O799" s="345" t="s">
        <v>208</v>
      </c>
      <c r="P799" s="345" t="s">
        <v>209</v>
      </c>
      <c r="Q799" s="345" t="s">
        <v>210</v>
      </c>
      <c r="R799" s="345" t="s">
        <v>223</v>
      </c>
      <c r="S799" s="345" t="s">
        <v>224</v>
      </c>
    </row>
    <row r="800" spans="1:19" x14ac:dyDescent="0.25">
      <c r="A800" s="311"/>
      <c r="B800" s="312"/>
      <c r="C800" s="312"/>
      <c r="D800" s="312"/>
      <c r="E800" s="312"/>
      <c r="F800" s="312"/>
      <c r="G800" s="328"/>
      <c r="H800" s="337"/>
      <c r="I800" s="334"/>
      <c r="J800" s="314"/>
      <c r="K800" s="449"/>
      <c r="M800" s="349" t="str">
        <f>N800&amp;AS[[#This Row],[Insurer Code]]&amp;"; "&amp;O800&amp;AS[[#This Row],[Reporting Year]]&amp;"; "&amp;P800&amp;AS[[#This Row],[Insurance Category Code]]&amp;"; "&amp;Q800&amp;AS[[#This Row],[Large Provider Entity Code]]&amp;"; "&amp;R800&amp;AS[[#This Row],[Age Band Code]]&amp;"; "&amp;S800&amp;AS[[#This Row],[Sex Code]]</f>
        <v xml:space="preserve">Insurer Code ; Reporting Year ; Insurance Category Code ; Large Provider Entity Code ; Age Band Code ; Sex Code </v>
      </c>
      <c r="N800" s="345" t="s">
        <v>207</v>
      </c>
      <c r="O800" s="345" t="s">
        <v>208</v>
      </c>
      <c r="P800" s="345" t="s">
        <v>209</v>
      </c>
      <c r="Q800" s="345" t="s">
        <v>210</v>
      </c>
      <c r="R800" s="345" t="s">
        <v>223</v>
      </c>
      <c r="S800" s="345" t="s">
        <v>224</v>
      </c>
    </row>
    <row r="801" spans="1:19" x14ac:dyDescent="0.25">
      <c r="A801" s="311"/>
      <c r="B801" s="312"/>
      <c r="C801" s="312"/>
      <c r="D801" s="312"/>
      <c r="E801" s="312"/>
      <c r="F801" s="312"/>
      <c r="G801" s="328"/>
      <c r="H801" s="337"/>
      <c r="I801" s="334"/>
      <c r="J801" s="314"/>
      <c r="K801" s="449"/>
      <c r="M801" s="349" t="str">
        <f>N801&amp;AS[[#This Row],[Insurer Code]]&amp;"; "&amp;O801&amp;AS[[#This Row],[Reporting Year]]&amp;"; "&amp;P801&amp;AS[[#This Row],[Insurance Category Code]]&amp;"; "&amp;Q801&amp;AS[[#This Row],[Large Provider Entity Code]]&amp;"; "&amp;R801&amp;AS[[#This Row],[Age Band Code]]&amp;"; "&amp;S801&amp;AS[[#This Row],[Sex Code]]</f>
        <v xml:space="preserve">Insurer Code ; Reporting Year ; Insurance Category Code ; Large Provider Entity Code ; Age Band Code ; Sex Code </v>
      </c>
      <c r="N801" s="345" t="s">
        <v>207</v>
      </c>
      <c r="O801" s="345" t="s">
        <v>208</v>
      </c>
      <c r="P801" s="345" t="s">
        <v>209</v>
      </c>
      <c r="Q801" s="345" t="s">
        <v>210</v>
      </c>
      <c r="R801" s="345" t="s">
        <v>223</v>
      </c>
      <c r="S801" s="345" t="s">
        <v>224</v>
      </c>
    </row>
    <row r="802" spans="1:19" x14ac:dyDescent="0.25">
      <c r="A802" s="311"/>
      <c r="B802" s="312"/>
      <c r="C802" s="312"/>
      <c r="D802" s="312"/>
      <c r="E802" s="312"/>
      <c r="F802" s="312"/>
      <c r="G802" s="328"/>
      <c r="H802" s="337"/>
      <c r="I802" s="334"/>
      <c r="J802" s="314"/>
      <c r="K802" s="449"/>
      <c r="M802" s="349" t="str">
        <f>N802&amp;AS[[#This Row],[Insurer Code]]&amp;"; "&amp;O802&amp;AS[[#This Row],[Reporting Year]]&amp;"; "&amp;P802&amp;AS[[#This Row],[Insurance Category Code]]&amp;"; "&amp;Q802&amp;AS[[#This Row],[Large Provider Entity Code]]&amp;"; "&amp;R802&amp;AS[[#This Row],[Age Band Code]]&amp;"; "&amp;S802&amp;AS[[#This Row],[Sex Code]]</f>
        <v xml:space="preserve">Insurer Code ; Reporting Year ; Insurance Category Code ; Large Provider Entity Code ; Age Band Code ; Sex Code </v>
      </c>
      <c r="N802" s="345" t="s">
        <v>207</v>
      </c>
      <c r="O802" s="345" t="s">
        <v>208</v>
      </c>
      <c r="P802" s="345" t="s">
        <v>209</v>
      </c>
      <c r="Q802" s="345" t="s">
        <v>210</v>
      </c>
      <c r="R802" s="345" t="s">
        <v>223</v>
      </c>
      <c r="S802" s="345" t="s">
        <v>224</v>
      </c>
    </row>
    <row r="803" spans="1:19" x14ac:dyDescent="0.25">
      <c r="A803" s="311"/>
      <c r="B803" s="312"/>
      <c r="C803" s="312"/>
      <c r="D803" s="312"/>
      <c r="E803" s="312"/>
      <c r="F803" s="312"/>
      <c r="G803" s="328"/>
      <c r="H803" s="337"/>
      <c r="I803" s="334"/>
      <c r="J803" s="314"/>
      <c r="K803" s="449"/>
      <c r="M803" s="349" t="str">
        <f>N803&amp;AS[[#This Row],[Insurer Code]]&amp;"; "&amp;O803&amp;AS[[#This Row],[Reporting Year]]&amp;"; "&amp;P803&amp;AS[[#This Row],[Insurance Category Code]]&amp;"; "&amp;Q803&amp;AS[[#This Row],[Large Provider Entity Code]]&amp;"; "&amp;R803&amp;AS[[#This Row],[Age Band Code]]&amp;"; "&amp;S803&amp;AS[[#This Row],[Sex Code]]</f>
        <v xml:space="preserve">Insurer Code ; Reporting Year ; Insurance Category Code ; Large Provider Entity Code ; Age Band Code ; Sex Code </v>
      </c>
      <c r="N803" s="345" t="s">
        <v>207</v>
      </c>
      <c r="O803" s="345" t="s">
        <v>208</v>
      </c>
      <c r="P803" s="345" t="s">
        <v>209</v>
      </c>
      <c r="Q803" s="345" t="s">
        <v>210</v>
      </c>
      <c r="R803" s="345" t="s">
        <v>223</v>
      </c>
      <c r="S803" s="345" t="s">
        <v>224</v>
      </c>
    </row>
    <row r="804" spans="1:19" x14ac:dyDescent="0.25">
      <c r="A804" s="311"/>
      <c r="B804" s="312"/>
      <c r="C804" s="312"/>
      <c r="D804" s="312"/>
      <c r="E804" s="312"/>
      <c r="F804" s="312"/>
      <c r="G804" s="328"/>
      <c r="H804" s="337"/>
      <c r="I804" s="334"/>
      <c r="J804" s="314"/>
      <c r="K804" s="449"/>
      <c r="M804" s="349" t="str">
        <f>N804&amp;AS[[#This Row],[Insurer Code]]&amp;"; "&amp;O804&amp;AS[[#This Row],[Reporting Year]]&amp;"; "&amp;P804&amp;AS[[#This Row],[Insurance Category Code]]&amp;"; "&amp;Q804&amp;AS[[#This Row],[Large Provider Entity Code]]&amp;"; "&amp;R804&amp;AS[[#This Row],[Age Band Code]]&amp;"; "&amp;S804&amp;AS[[#This Row],[Sex Code]]</f>
        <v xml:space="preserve">Insurer Code ; Reporting Year ; Insurance Category Code ; Large Provider Entity Code ; Age Band Code ; Sex Code </v>
      </c>
      <c r="N804" s="345" t="s">
        <v>207</v>
      </c>
      <c r="O804" s="345" t="s">
        <v>208</v>
      </c>
      <c r="P804" s="345" t="s">
        <v>209</v>
      </c>
      <c r="Q804" s="345" t="s">
        <v>210</v>
      </c>
      <c r="R804" s="345" t="s">
        <v>223</v>
      </c>
      <c r="S804" s="345" t="s">
        <v>224</v>
      </c>
    </row>
    <row r="805" spans="1:19" x14ac:dyDescent="0.25">
      <c r="A805" s="311"/>
      <c r="B805" s="312"/>
      <c r="C805" s="312"/>
      <c r="D805" s="312"/>
      <c r="E805" s="312"/>
      <c r="F805" s="312"/>
      <c r="G805" s="328"/>
      <c r="H805" s="337"/>
      <c r="I805" s="334"/>
      <c r="J805" s="314"/>
      <c r="K805" s="449"/>
      <c r="M805" s="349" t="str">
        <f>N805&amp;AS[[#This Row],[Insurer Code]]&amp;"; "&amp;O805&amp;AS[[#This Row],[Reporting Year]]&amp;"; "&amp;P805&amp;AS[[#This Row],[Insurance Category Code]]&amp;"; "&amp;Q805&amp;AS[[#This Row],[Large Provider Entity Code]]&amp;"; "&amp;R805&amp;AS[[#This Row],[Age Band Code]]&amp;"; "&amp;S805&amp;AS[[#This Row],[Sex Code]]</f>
        <v xml:space="preserve">Insurer Code ; Reporting Year ; Insurance Category Code ; Large Provider Entity Code ; Age Band Code ; Sex Code </v>
      </c>
      <c r="N805" s="345" t="s">
        <v>207</v>
      </c>
      <c r="O805" s="345" t="s">
        <v>208</v>
      </c>
      <c r="P805" s="345" t="s">
        <v>209</v>
      </c>
      <c r="Q805" s="345" t="s">
        <v>210</v>
      </c>
      <c r="R805" s="345" t="s">
        <v>223</v>
      </c>
      <c r="S805" s="345" t="s">
        <v>224</v>
      </c>
    </row>
    <row r="806" spans="1:19" x14ac:dyDescent="0.25">
      <c r="A806" s="311"/>
      <c r="B806" s="312"/>
      <c r="C806" s="312"/>
      <c r="D806" s="312"/>
      <c r="E806" s="312"/>
      <c r="F806" s="312"/>
      <c r="G806" s="328"/>
      <c r="H806" s="337"/>
      <c r="I806" s="334"/>
      <c r="J806" s="314"/>
      <c r="K806" s="449"/>
      <c r="M806" s="349" t="str">
        <f>N806&amp;AS[[#This Row],[Insurer Code]]&amp;"; "&amp;O806&amp;AS[[#This Row],[Reporting Year]]&amp;"; "&amp;P806&amp;AS[[#This Row],[Insurance Category Code]]&amp;"; "&amp;Q806&amp;AS[[#This Row],[Large Provider Entity Code]]&amp;"; "&amp;R806&amp;AS[[#This Row],[Age Band Code]]&amp;"; "&amp;S806&amp;AS[[#This Row],[Sex Code]]</f>
        <v xml:space="preserve">Insurer Code ; Reporting Year ; Insurance Category Code ; Large Provider Entity Code ; Age Band Code ; Sex Code </v>
      </c>
      <c r="N806" s="345" t="s">
        <v>207</v>
      </c>
      <c r="O806" s="345" t="s">
        <v>208</v>
      </c>
      <c r="P806" s="345" t="s">
        <v>209</v>
      </c>
      <c r="Q806" s="345" t="s">
        <v>210</v>
      </c>
      <c r="R806" s="345" t="s">
        <v>223</v>
      </c>
      <c r="S806" s="345" t="s">
        <v>224</v>
      </c>
    </row>
    <row r="807" spans="1:19" x14ac:dyDescent="0.25">
      <c r="A807" s="311"/>
      <c r="B807" s="312"/>
      <c r="C807" s="312"/>
      <c r="D807" s="312"/>
      <c r="E807" s="312"/>
      <c r="F807" s="312"/>
      <c r="G807" s="328"/>
      <c r="H807" s="337"/>
      <c r="I807" s="334"/>
      <c r="J807" s="314"/>
      <c r="K807" s="449"/>
      <c r="M807" s="349" t="str">
        <f>N807&amp;AS[[#This Row],[Insurer Code]]&amp;"; "&amp;O807&amp;AS[[#This Row],[Reporting Year]]&amp;"; "&amp;P807&amp;AS[[#This Row],[Insurance Category Code]]&amp;"; "&amp;Q807&amp;AS[[#This Row],[Large Provider Entity Code]]&amp;"; "&amp;R807&amp;AS[[#This Row],[Age Band Code]]&amp;"; "&amp;S807&amp;AS[[#This Row],[Sex Code]]</f>
        <v xml:space="preserve">Insurer Code ; Reporting Year ; Insurance Category Code ; Large Provider Entity Code ; Age Band Code ; Sex Code </v>
      </c>
      <c r="N807" s="345" t="s">
        <v>207</v>
      </c>
      <c r="O807" s="345" t="s">
        <v>208</v>
      </c>
      <c r="P807" s="345" t="s">
        <v>209</v>
      </c>
      <c r="Q807" s="345" t="s">
        <v>210</v>
      </c>
      <c r="R807" s="345" t="s">
        <v>223</v>
      </c>
      <c r="S807" s="345" t="s">
        <v>224</v>
      </c>
    </row>
    <row r="808" spans="1:19" x14ac:dyDescent="0.25">
      <c r="A808" s="311"/>
      <c r="B808" s="312"/>
      <c r="C808" s="312"/>
      <c r="D808" s="312"/>
      <c r="E808" s="312"/>
      <c r="F808" s="312"/>
      <c r="G808" s="328"/>
      <c r="H808" s="337"/>
      <c r="I808" s="334"/>
      <c r="J808" s="314"/>
      <c r="K808" s="449"/>
      <c r="M808" s="349" t="str">
        <f>N808&amp;AS[[#This Row],[Insurer Code]]&amp;"; "&amp;O808&amp;AS[[#This Row],[Reporting Year]]&amp;"; "&amp;P808&amp;AS[[#This Row],[Insurance Category Code]]&amp;"; "&amp;Q808&amp;AS[[#This Row],[Large Provider Entity Code]]&amp;"; "&amp;R808&amp;AS[[#This Row],[Age Band Code]]&amp;"; "&amp;S808&amp;AS[[#This Row],[Sex Code]]</f>
        <v xml:space="preserve">Insurer Code ; Reporting Year ; Insurance Category Code ; Large Provider Entity Code ; Age Band Code ; Sex Code </v>
      </c>
      <c r="N808" s="345" t="s">
        <v>207</v>
      </c>
      <c r="O808" s="345" t="s">
        <v>208</v>
      </c>
      <c r="P808" s="345" t="s">
        <v>209</v>
      </c>
      <c r="Q808" s="345" t="s">
        <v>210</v>
      </c>
      <c r="R808" s="345" t="s">
        <v>223</v>
      </c>
      <c r="S808" s="345" t="s">
        <v>224</v>
      </c>
    </row>
    <row r="809" spans="1:19" x14ac:dyDescent="0.25">
      <c r="A809" s="311"/>
      <c r="B809" s="312"/>
      <c r="C809" s="312"/>
      <c r="D809" s="312"/>
      <c r="E809" s="312"/>
      <c r="F809" s="312"/>
      <c r="G809" s="328"/>
      <c r="H809" s="337"/>
      <c r="I809" s="334"/>
      <c r="J809" s="314"/>
      <c r="K809" s="449"/>
      <c r="M809" s="349" t="str">
        <f>N809&amp;AS[[#This Row],[Insurer Code]]&amp;"; "&amp;O809&amp;AS[[#This Row],[Reporting Year]]&amp;"; "&amp;P809&amp;AS[[#This Row],[Insurance Category Code]]&amp;"; "&amp;Q809&amp;AS[[#This Row],[Large Provider Entity Code]]&amp;"; "&amp;R809&amp;AS[[#This Row],[Age Band Code]]&amp;"; "&amp;S809&amp;AS[[#This Row],[Sex Code]]</f>
        <v xml:space="preserve">Insurer Code ; Reporting Year ; Insurance Category Code ; Large Provider Entity Code ; Age Band Code ; Sex Code </v>
      </c>
      <c r="N809" s="345" t="s">
        <v>207</v>
      </c>
      <c r="O809" s="345" t="s">
        <v>208</v>
      </c>
      <c r="P809" s="345" t="s">
        <v>209</v>
      </c>
      <c r="Q809" s="345" t="s">
        <v>210</v>
      </c>
      <c r="R809" s="345" t="s">
        <v>223</v>
      </c>
      <c r="S809" s="345" t="s">
        <v>224</v>
      </c>
    </row>
    <row r="810" spans="1:19" x14ac:dyDescent="0.25">
      <c r="A810" s="311"/>
      <c r="B810" s="312"/>
      <c r="C810" s="312"/>
      <c r="D810" s="312"/>
      <c r="E810" s="312"/>
      <c r="F810" s="312"/>
      <c r="G810" s="328"/>
      <c r="H810" s="337"/>
      <c r="I810" s="334"/>
      <c r="J810" s="314"/>
      <c r="K810" s="449"/>
      <c r="M810" s="349" t="str">
        <f>N810&amp;AS[[#This Row],[Insurer Code]]&amp;"; "&amp;O810&amp;AS[[#This Row],[Reporting Year]]&amp;"; "&amp;P810&amp;AS[[#This Row],[Insurance Category Code]]&amp;"; "&amp;Q810&amp;AS[[#This Row],[Large Provider Entity Code]]&amp;"; "&amp;R810&amp;AS[[#This Row],[Age Band Code]]&amp;"; "&amp;S810&amp;AS[[#This Row],[Sex Code]]</f>
        <v xml:space="preserve">Insurer Code ; Reporting Year ; Insurance Category Code ; Large Provider Entity Code ; Age Band Code ; Sex Code </v>
      </c>
      <c r="N810" s="345" t="s">
        <v>207</v>
      </c>
      <c r="O810" s="345" t="s">
        <v>208</v>
      </c>
      <c r="P810" s="345" t="s">
        <v>209</v>
      </c>
      <c r="Q810" s="345" t="s">
        <v>210</v>
      </c>
      <c r="R810" s="345" t="s">
        <v>223</v>
      </c>
      <c r="S810" s="345" t="s">
        <v>224</v>
      </c>
    </row>
    <row r="811" spans="1:19" x14ac:dyDescent="0.25">
      <c r="A811" s="311"/>
      <c r="B811" s="312"/>
      <c r="C811" s="312"/>
      <c r="D811" s="312"/>
      <c r="E811" s="312"/>
      <c r="F811" s="312"/>
      <c r="G811" s="328"/>
      <c r="H811" s="337"/>
      <c r="I811" s="334"/>
      <c r="J811" s="314"/>
      <c r="K811" s="449"/>
      <c r="M811" s="349" t="str">
        <f>N811&amp;AS[[#This Row],[Insurer Code]]&amp;"; "&amp;O811&amp;AS[[#This Row],[Reporting Year]]&amp;"; "&amp;P811&amp;AS[[#This Row],[Insurance Category Code]]&amp;"; "&amp;Q811&amp;AS[[#This Row],[Large Provider Entity Code]]&amp;"; "&amp;R811&amp;AS[[#This Row],[Age Band Code]]&amp;"; "&amp;S811&amp;AS[[#This Row],[Sex Code]]</f>
        <v xml:space="preserve">Insurer Code ; Reporting Year ; Insurance Category Code ; Large Provider Entity Code ; Age Band Code ; Sex Code </v>
      </c>
      <c r="N811" s="345" t="s">
        <v>207</v>
      </c>
      <c r="O811" s="345" t="s">
        <v>208</v>
      </c>
      <c r="P811" s="345" t="s">
        <v>209</v>
      </c>
      <c r="Q811" s="345" t="s">
        <v>210</v>
      </c>
      <c r="R811" s="345" t="s">
        <v>223</v>
      </c>
      <c r="S811" s="345" t="s">
        <v>224</v>
      </c>
    </row>
    <row r="812" spans="1:19" x14ac:dyDescent="0.25">
      <c r="A812" s="311"/>
      <c r="B812" s="312"/>
      <c r="C812" s="312"/>
      <c r="D812" s="312"/>
      <c r="E812" s="312"/>
      <c r="F812" s="312"/>
      <c r="G812" s="328"/>
      <c r="H812" s="337"/>
      <c r="I812" s="334"/>
      <c r="J812" s="314"/>
      <c r="K812" s="449"/>
      <c r="M812" s="349" t="str">
        <f>N812&amp;AS[[#This Row],[Insurer Code]]&amp;"; "&amp;O812&amp;AS[[#This Row],[Reporting Year]]&amp;"; "&amp;P812&amp;AS[[#This Row],[Insurance Category Code]]&amp;"; "&amp;Q812&amp;AS[[#This Row],[Large Provider Entity Code]]&amp;"; "&amp;R812&amp;AS[[#This Row],[Age Band Code]]&amp;"; "&amp;S812&amp;AS[[#This Row],[Sex Code]]</f>
        <v xml:space="preserve">Insurer Code ; Reporting Year ; Insurance Category Code ; Large Provider Entity Code ; Age Band Code ; Sex Code </v>
      </c>
      <c r="N812" s="345" t="s">
        <v>207</v>
      </c>
      <c r="O812" s="345" t="s">
        <v>208</v>
      </c>
      <c r="P812" s="345" t="s">
        <v>209</v>
      </c>
      <c r="Q812" s="345" t="s">
        <v>210</v>
      </c>
      <c r="R812" s="345" t="s">
        <v>223</v>
      </c>
      <c r="S812" s="345" t="s">
        <v>224</v>
      </c>
    </row>
    <row r="813" spans="1:19" x14ac:dyDescent="0.25">
      <c r="A813" s="311"/>
      <c r="B813" s="312"/>
      <c r="C813" s="312"/>
      <c r="D813" s="312"/>
      <c r="E813" s="312"/>
      <c r="F813" s="312"/>
      <c r="G813" s="328"/>
      <c r="H813" s="337"/>
      <c r="I813" s="334"/>
      <c r="J813" s="314"/>
      <c r="K813" s="449"/>
      <c r="M813" s="349" t="str">
        <f>N813&amp;AS[[#This Row],[Insurer Code]]&amp;"; "&amp;O813&amp;AS[[#This Row],[Reporting Year]]&amp;"; "&amp;P813&amp;AS[[#This Row],[Insurance Category Code]]&amp;"; "&amp;Q813&amp;AS[[#This Row],[Large Provider Entity Code]]&amp;"; "&amp;R813&amp;AS[[#This Row],[Age Band Code]]&amp;"; "&amp;S813&amp;AS[[#This Row],[Sex Code]]</f>
        <v xml:space="preserve">Insurer Code ; Reporting Year ; Insurance Category Code ; Large Provider Entity Code ; Age Band Code ; Sex Code </v>
      </c>
      <c r="N813" s="345" t="s">
        <v>207</v>
      </c>
      <c r="O813" s="345" t="s">
        <v>208</v>
      </c>
      <c r="P813" s="345" t="s">
        <v>209</v>
      </c>
      <c r="Q813" s="345" t="s">
        <v>210</v>
      </c>
      <c r="R813" s="345" t="s">
        <v>223</v>
      </c>
      <c r="S813" s="345" t="s">
        <v>224</v>
      </c>
    </row>
    <row r="814" spans="1:19" x14ac:dyDescent="0.25">
      <c r="A814" s="311"/>
      <c r="B814" s="312"/>
      <c r="C814" s="312"/>
      <c r="D814" s="312"/>
      <c r="E814" s="312"/>
      <c r="F814" s="312"/>
      <c r="G814" s="328"/>
      <c r="H814" s="337"/>
      <c r="I814" s="334"/>
      <c r="J814" s="314"/>
      <c r="K814" s="449"/>
      <c r="M814" s="349" t="str">
        <f>N814&amp;AS[[#This Row],[Insurer Code]]&amp;"; "&amp;O814&amp;AS[[#This Row],[Reporting Year]]&amp;"; "&amp;P814&amp;AS[[#This Row],[Insurance Category Code]]&amp;"; "&amp;Q814&amp;AS[[#This Row],[Large Provider Entity Code]]&amp;"; "&amp;R814&amp;AS[[#This Row],[Age Band Code]]&amp;"; "&amp;S814&amp;AS[[#This Row],[Sex Code]]</f>
        <v xml:space="preserve">Insurer Code ; Reporting Year ; Insurance Category Code ; Large Provider Entity Code ; Age Band Code ; Sex Code </v>
      </c>
      <c r="N814" s="345" t="s">
        <v>207</v>
      </c>
      <c r="O814" s="345" t="s">
        <v>208</v>
      </c>
      <c r="P814" s="345" t="s">
        <v>209</v>
      </c>
      <c r="Q814" s="345" t="s">
        <v>210</v>
      </c>
      <c r="R814" s="345" t="s">
        <v>223</v>
      </c>
      <c r="S814" s="345" t="s">
        <v>224</v>
      </c>
    </row>
    <row r="815" spans="1:19" x14ac:dyDescent="0.25">
      <c r="A815" s="311"/>
      <c r="B815" s="312"/>
      <c r="C815" s="312"/>
      <c r="D815" s="312"/>
      <c r="E815" s="312"/>
      <c r="F815" s="312"/>
      <c r="G815" s="328"/>
      <c r="H815" s="337"/>
      <c r="I815" s="334"/>
      <c r="J815" s="314"/>
      <c r="K815" s="449"/>
      <c r="M815" s="349" t="str">
        <f>N815&amp;AS[[#This Row],[Insurer Code]]&amp;"; "&amp;O815&amp;AS[[#This Row],[Reporting Year]]&amp;"; "&amp;P815&amp;AS[[#This Row],[Insurance Category Code]]&amp;"; "&amp;Q815&amp;AS[[#This Row],[Large Provider Entity Code]]&amp;"; "&amp;R815&amp;AS[[#This Row],[Age Band Code]]&amp;"; "&amp;S815&amp;AS[[#This Row],[Sex Code]]</f>
        <v xml:space="preserve">Insurer Code ; Reporting Year ; Insurance Category Code ; Large Provider Entity Code ; Age Band Code ; Sex Code </v>
      </c>
      <c r="N815" s="345" t="s">
        <v>207</v>
      </c>
      <c r="O815" s="345" t="s">
        <v>208</v>
      </c>
      <c r="P815" s="345" t="s">
        <v>209</v>
      </c>
      <c r="Q815" s="345" t="s">
        <v>210</v>
      </c>
      <c r="R815" s="345" t="s">
        <v>223</v>
      </c>
      <c r="S815" s="345" t="s">
        <v>224</v>
      </c>
    </row>
    <row r="816" spans="1:19" x14ac:dyDescent="0.25">
      <c r="A816" s="311"/>
      <c r="B816" s="312"/>
      <c r="C816" s="312"/>
      <c r="D816" s="312"/>
      <c r="E816" s="312"/>
      <c r="F816" s="312"/>
      <c r="G816" s="328"/>
      <c r="H816" s="337"/>
      <c r="I816" s="334"/>
      <c r="J816" s="314"/>
      <c r="K816" s="449"/>
      <c r="M816" s="349" t="str">
        <f>N816&amp;AS[[#This Row],[Insurer Code]]&amp;"; "&amp;O816&amp;AS[[#This Row],[Reporting Year]]&amp;"; "&amp;P816&amp;AS[[#This Row],[Insurance Category Code]]&amp;"; "&amp;Q816&amp;AS[[#This Row],[Large Provider Entity Code]]&amp;"; "&amp;R816&amp;AS[[#This Row],[Age Band Code]]&amp;"; "&amp;S816&amp;AS[[#This Row],[Sex Code]]</f>
        <v xml:space="preserve">Insurer Code ; Reporting Year ; Insurance Category Code ; Large Provider Entity Code ; Age Band Code ; Sex Code </v>
      </c>
      <c r="N816" s="345" t="s">
        <v>207</v>
      </c>
      <c r="O816" s="345" t="s">
        <v>208</v>
      </c>
      <c r="P816" s="345" t="s">
        <v>209</v>
      </c>
      <c r="Q816" s="345" t="s">
        <v>210</v>
      </c>
      <c r="R816" s="345" t="s">
        <v>223</v>
      </c>
      <c r="S816" s="345" t="s">
        <v>224</v>
      </c>
    </row>
    <row r="817" spans="1:19" x14ac:dyDescent="0.25">
      <c r="A817" s="311"/>
      <c r="B817" s="312"/>
      <c r="C817" s="312"/>
      <c r="D817" s="312"/>
      <c r="E817" s="312"/>
      <c r="F817" s="312"/>
      <c r="G817" s="328"/>
      <c r="H817" s="337"/>
      <c r="I817" s="334"/>
      <c r="J817" s="314"/>
      <c r="K817" s="449"/>
      <c r="M817" s="349" t="str">
        <f>N817&amp;AS[[#This Row],[Insurer Code]]&amp;"; "&amp;O817&amp;AS[[#This Row],[Reporting Year]]&amp;"; "&amp;P817&amp;AS[[#This Row],[Insurance Category Code]]&amp;"; "&amp;Q817&amp;AS[[#This Row],[Large Provider Entity Code]]&amp;"; "&amp;R817&amp;AS[[#This Row],[Age Band Code]]&amp;"; "&amp;S817&amp;AS[[#This Row],[Sex Code]]</f>
        <v xml:space="preserve">Insurer Code ; Reporting Year ; Insurance Category Code ; Large Provider Entity Code ; Age Band Code ; Sex Code </v>
      </c>
      <c r="N817" s="345" t="s">
        <v>207</v>
      </c>
      <c r="O817" s="345" t="s">
        <v>208</v>
      </c>
      <c r="P817" s="345" t="s">
        <v>209</v>
      </c>
      <c r="Q817" s="345" t="s">
        <v>210</v>
      </c>
      <c r="R817" s="345" t="s">
        <v>223</v>
      </c>
      <c r="S817" s="345" t="s">
        <v>224</v>
      </c>
    </row>
    <row r="818" spans="1:19" x14ac:dyDescent="0.25">
      <c r="A818" s="311"/>
      <c r="B818" s="312"/>
      <c r="C818" s="312"/>
      <c r="D818" s="312"/>
      <c r="E818" s="312"/>
      <c r="F818" s="312"/>
      <c r="G818" s="328"/>
      <c r="H818" s="337"/>
      <c r="I818" s="334"/>
      <c r="J818" s="314"/>
      <c r="K818" s="449"/>
      <c r="M818" s="349" t="str">
        <f>N818&amp;AS[[#This Row],[Insurer Code]]&amp;"; "&amp;O818&amp;AS[[#This Row],[Reporting Year]]&amp;"; "&amp;P818&amp;AS[[#This Row],[Insurance Category Code]]&amp;"; "&amp;Q818&amp;AS[[#This Row],[Large Provider Entity Code]]&amp;"; "&amp;R818&amp;AS[[#This Row],[Age Band Code]]&amp;"; "&amp;S818&amp;AS[[#This Row],[Sex Code]]</f>
        <v xml:space="preserve">Insurer Code ; Reporting Year ; Insurance Category Code ; Large Provider Entity Code ; Age Band Code ; Sex Code </v>
      </c>
      <c r="N818" s="345" t="s">
        <v>207</v>
      </c>
      <c r="O818" s="345" t="s">
        <v>208</v>
      </c>
      <c r="P818" s="345" t="s">
        <v>209</v>
      </c>
      <c r="Q818" s="345" t="s">
        <v>210</v>
      </c>
      <c r="R818" s="345" t="s">
        <v>223</v>
      </c>
      <c r="S818" s="345" t="s">
        <v>224</v>
      </c>
    </row>
    <row r="819" spans="1:19" x14ac:dyDescent="0.25">
      <c r="A819" s="311"/>
      <c r="B819" s="312"/>
      <c r="C819" s="312"/>
      <c r="D819" s="312"/>
      <c r="E819" s="312"/>
      <c r="F819" s="312"/>
      <c r="G819" s="328"/>
      <c r="H819" s="337"/>
      <c r="I819" s="334"/>
      <c r="J819" s="314"/>
      <c r="K819" s="449"/>
      <c r="M819" s="349" t="str">
        <f>N819&amp;AS[[#This Row],[Insurer Code]]&amp;"; "&amp;O819&amp;AS[[#This Row],[Reporting Year]]&amp;"; "&amp;P819&amp;AS[[#This Row],[Insurance Category Code]]&amp;"; "&amp;Q819&amp;AS[[#This Row],[Large Provider Entity Code]]&amp;"; "&amp;R819&amp;AS[[#This Row],[Age Band Code]]&amp;"; "&amp;S819&amp;AS[[#This Row],[Sex Code]]</f>
        <v xml:space="preserve">Insurer Code ; Reporting Year ; Insurance Category Code ; Large Provider Entity Code ; Age Band Code ; Sex Code </v>
      </c>
      <c r="N819" s="345" t="s">
        <v>207</v>
      </c>
      <c r="O819" s="345" t="s">
        <v>208</v>
      </c>
      <c r="P819" s="345" t="s">
        <v>209</v>
      </c>
      <c r="Q819" s="345" t="s">
        <v>210</v>
      </c>
      <c r="R819" s="345" t="s">
        <v>223</v>
      </c>
      <c r="S819" s="345" t="s">
        <v>224</v>
      </c>
    </row>
    <row r="820" spans="1:19" x14ac:dyDescent="0.25">
      <c r="A820" s="311"/>
      <c r="B820" s="312"/>
      <c r="C820" s="312"/>
      <c r="D820" s="312"/>
      <c r="E820" s="312"/>
      <c r="F820" s="312"/>
      <c r="G820" s="328"/>
      <c r="H820" s="337"/>
      <c r="I820" s="334"/>
      <c r="J820" s="314"/>
      <c r="K820" s="449"/>
      <c r="M820" s="349" t="str">
        <f>N820&amp;AS[[#This Row],[Insurer Code]]&amp;"; "&amp;O820&amp;AS[[#This Row],[Reporting Year]]&amp;"; "&amp;P820&amp;AS[[#This Row],[Insurance Category Code]]&amp;"; "&amp;Q820&amp;AS[[#This Row],[Large Provider Entity Code]]&amp;"; "&amp;R820&amp;AS[[#This Row],[Age Band Code]]&amp;"; "&amp;S820&amp;AS[[#This Row],[Sex Code]]</f>
        <v xml:space="preserve">Insurer Code ; Reporting Year ; Insurance Category Code ; Large Provider Entity Code ; Age Band Code ; Sex Code </v>
      </c>
      <c r="N820" s="345" t="s">
        <v>207</v>
      </c>
      <c r="O820" s="345" t="s">
        <v>208</v>
      </c>
      <c r="P820" s="345" t="s">
        <v>209</v>
      </c>
      <c r="Q820" s="345" t="s">
        <v>210</v>
      </c>
      <c r="R820" s="345" t="s">
        <v>223</v>
      </c>
      <c r="S820" s="345" t="s">
        <v>224</v>
      </c>
    </row>
    <row r="821" spans="1:19" x14ac:dyDescent="0.25">
      <c r="A821" s="311"/>
      <c r="B821" s="312"/>
      <c r="C821" s="312"/>
      <c r="D821" s="312"/>
      <c r="E821" s="312"/>
      <c r="F821" s="312"/>
      <c r="G821" s="328"/>
      <c r="H821" s="337"/>
      <c r="I821" s="334"/>
      <c r="J821" s="314"/>
      <c r="K821" s="449"/>
      <c r="M821" s="349" t="str">
        <f>N821&amp;AS[[#This Row],[Insurer Code]]&amp;"; "&amp;O821&amp;AS[[#This Row],[Reporting Year]]&amp;"; "&amp;P821&amp;AS[[#This Row],[Insurance Category Code]]&amp;"; "&amp;Q821&amp;AS[[#This Row],[Large Provider Entity Code]]&amp;"; "&amp;R821&amp;AS[[#This Row],[Age Band Code]]&amp;"; "&amp;S821&amp;AS[[#This Row],[Sex Code]]</f>
        <v xml:space="preserve">Insurer Code ; Reporting Year ; Insurance Category Code ; Large Provider Entity Code ; Age Band Code ; Sex Code </v>
      </c>
      <c r="N821" s="345" t="s">
        <v>207</v>
      </c>
      <c r="O821" s="345" t="s">
        <v>208</v>
      </c>
      <c r="P821" s="345" t="s">
        <v>209</v>
      </c>
      <c r="Q821" s="345" t="s">
        <v>210</v>
      </c>
      <c r="R821" s="345" t="s">
        <v>223</v>
      </c>
      <c r="S821" s="345" t="s">
        <v>224</v>
      </c>
    </row>
    <row r="822" spans="1:19" x14ac:dyDescent="0.25">
      <c r="A822" s="311"/>
      <c r="B822" s="312"/>
      <c r="C822" s="312"/>
      <c r="D822" s="312"/>
      <c r="E822" s="312"/>
      <c r="F822" s="312"/>
      <c r="G822" s="328"/>
      <c r="H822" s="337"/>
      <c r="I822" s="334"/>
      <c r="J822" s="314"/>
      <c r="K822" s="449"/>
      <c r="M822" s="349" t="str">
        <f>N822&amp;AS[[#This Row],[Insurer Code]]&amp;"; "&amp;O822&amp;AS[[#This Row],[Reporting Year]]&amp;"; "&amp;P822&amp;AS[[#This Row],[Insurance Category Code]]&amp;"; "&amp;Q822&amp;AS[[#This Row],[Large Provider Entity Code]]&amp;"; "&amp;R822&amp;AS[[#This Row],[Age Band Code]]&amp;"; "&amp;S822&amp;AS[[#This Row],[Sex Code]]</f>
        <v xml:space="preserve">Insurer Code ; Reporting Year ; Insurance Category Code ; Large Provider Entity Code ; Age Band Code ; Sex Code </v>
      </c>
      <c r="N822" s="345" t="s">
        <v>207</v>
      </c>
      <c r="O822" s="345" t="s">
        <v>208</v>
      </c>
      <c r="P822" s="345" t="s">
        <v>209</v>
      </c>
      <c r="Q822" s="345" t="s">
        <v>210</v>
      </c>
      <c r="R822" s="345" t="s">
        <v>223</v>
      </c>
      <c r="S822" s="345" t="s">
        <v>224</v>
      </c>
    </row>
    <row r="823" spans="1:19" x14ac:dyDescent="0.25">
      <c r="A823" s="311"/>
      <c r="B823" s="312"/>
      <c r="C823" s="312"/>
      <c r="D823" s="312"/>
      <c r="E823" s="312"/>
      <c r="F823" s="312"/>
      <c r="G823" s="328"/>
      <c r="H823" s="337"/>
      <c r="I823" s="334"/>
      <c r="J823" s="314"/>
      <c r="K823" s="449"/>
      <c r="M823" s="349" t="str">
        <f>N823&amp;AS[[#This Row],[Insurer Code]]&amp;"; "&amp;O823&amp;AS[[#This Row],[Reporting Year]]&amp;"; "&amp;P823&amp;AS[[#This Row],[Insurance Category Code]]&amp;"; "&amp;Q823&amp;AS[[#This Row],[Large Provider Entity Code]]&amp;"; "&amp;R823&amp;AS[[#This Row],[Age Band Code]]&amp;"; "&amp;S823&amp;AS[[#This Row],[Sex Code]]</f>
        <v xml:space="preserve">Insurer Code ; Reporting Year ; Insurance Category Code ; Large Provider Entity Code ; Age Band Code ; Sex Code </v>
      </c>
      <c r="N823" s="345" t="s">
        <v>207</v>
      </c>
      <c r="O823" s="345" t="s">
        <v>208</v>
      </c>
      <c r="P823" s="345" t="s">
        <v>209</v>
      </c>
      <c r="Q823" s="345" t="s">
        <v>210</v>
      </c>
      <c r="R823" s="345" t="s">
        <v>223</v>
      </c>
      <c r="S823" s="345" t="s">
        <v>224</v>
      </c>
    </row>
    <row r="824" spans="1:19" x14ac:dyDescent="0.25">
      <c r="A824" s="311"/>
      <c r="B824" s="312"/>
      <c r="C824" s="312"/>
      <c r="D824" s="312"/>
      <c r="E824" s="312"/>
      <c r="F824" s="312"/>
      <c r="G824" s="328"/>
      <c r="H824" s="337"/>
      <c r="I824" s="334"/>
      <c r="J824" s="314"/>
      <c r="K824" s="449"/>
      <c r="M824" s="349" t="str">
        <f>N824&amp;AS[[#This Row],[Insurer Code]]&amp;"; "&amp;O824&amp;AS[[#This Row],[Reporting Year]]&amp;"; "&amp;P824&amp;AS[[#This Row],[Insurance Category Code]]&amp;"; "&amp;Q824&amp;AS[[#This Row],[Large Provider Entity Code]]&amp;"; "&amp;R824&amp;AS[[#This Row],[Age Band Code]]&amp;"; "&amp;S824&amp;AS[[#This Row],[Sex Code]]</f>
        <v xml:space="preserve">Insurer Code ; Reporting Year ; Insurance Category Code ; Large Provider Entity Code ; Age Band Code ; Sex Code </v>
      </c>
      <c r="N824" s="345" t="s">
        <v>207</v>
      </c>
      <c r="O824" s="345" t="s">
        <v>208</v>
      </c>
      <c r="P824" s="345" t="s">
        <v>209</v>
      </c>
      <c r="Q824" s="345" t="s">
        <v>210</v>
      </c>
      <c r="R824" s="345" t="s">
        <v>223</v>
      </c>
      <c r="S824" s="345" t="s">
        <v>224</v>
      </c>
    </row>
    <row r="825" spans="1:19" x14ac:dyDescent="0.25">
      <c r="A825" s="311"/>
      <c r="B825" s="312"/>
      <c r="C825" s="312"/>
      <c r="D825" s="312"/>
      <c r="E825" s="312"/>
      <c r="F825" s="312"/>
      <c r="G825" s="328"/>
      <c r="H825" s="337"/>
      <c r="I825" s="334"/>
      <c r="J825" s="314"/>
      <c r="K825" s="449"/>
      <c r="M825" s="349" t="str">
        <f>N825&amp;AS[[#This Row],[Insurer Code]]&amp;"; "&amp;O825&amp;AS[[#This Row],[Reporting Year]]&amp;"; "&amp;P825&amp;AS[[#This Row],[Insurance Category Code]]&amp;"; "&amp;Q825&amp;AS[[#This Row],[Large Provider Entity Code]]&amp;"; "&amp;R825&amp;AS[[#This Row],[Age Band Code]]&amp;"; "&amp;S825&amp;AS[[#This Row],[Sex Code]]</f>
        <v xml:space="preserve">Insurer Code ; Reporting Year ; Insurance Category Code ; Large Provider Entity Code ; Age Band Code ; Sex Code </v>
      </c>
      <c r="N825" s="345" t="s">
        <v>207</v>
      </c>
      <c r="O825" s="345" t="s">
        <v>208</v>
      </c>
      <c r="P825" s="345" t="s">
        <v>209</v>
      </c>
      <c r="Q825" s="345" t="s">
        <v>210</v>
      </c>
      <c r="R825" s="345" t="s">
        <v>223</v>
      </c>
      <c r="S825" s="345" t="s">
        <v>224</v>
      </c>
    </row>
    <row r="826" spans="1:19" x14ac:dyDescent="0.25">
      <c r="A826" s="311"/>
      <c r="B826" s="312"/>
      <c r="C826" s="312"/>
      <c r="D826" s="312"/>
      <c r="E826" s="312"/>
      <c r="F826" s="312"/>
      <c r="G826" s="328"/>
      <c r="H826" s="337"/>
      <c r="I826" s="334"/>
      <c r="J826" s="314"/>
      <c r="K826" s="449"/>
      <c r="M826" s="349" t="str">
        <f>N826&amp;AS[[#This Row],[Insurer Code]]&amp;"; "&amp;O826&amp;AS[[#This Row],[Reporting Year]]&amp;"; "&amp;P826&amp;AS[[#This Row],[Insurance Category Code]]&amp;"; "&amp;Q826&amp;AS[[#This Row],[Large Provider Entity Code]]&amp;"; "&amp;R826&amp;AS[[#This Row],[Age Band Code]]&amp;"; "&amp;S826&amp;AS[[#This Row],[Sex Code]]</f>
        <v xml:space="preserve">Insurer Code ; Reporting Year ; Insurance Category Code ; Large Provider Entity Code ; Age Band Code ; Sex Code </v>
      </c>
      <c r="N826" s="345" t="s">
        <v>207</v>
      </c>
      <c r="O826" s="345" t="s">
        <v>208</v>
      </c>
      <c r="P826" s="345" t="s">
        <v>209</v>
      </c>
      <c r="Q826" s="345" t="s">
        <v>210</v>
      </c>
      <c r="R826" s="345" t="s">
        <v>223</v>
      </c>
      <c r="S826" s="345" t="s">
        <v>224</v>
      </c>
    </row>
    <row r="827" spans="1:19" x14ac:dyDescent="0.25">
      <c r="A827" s="311"/>
      <c r="B827" s="312"/>
      <c r="C827" s="312"/>
      <c r="D827" s="312"/>
      <c r="E827" s="312"/>
      <c r="F827" s="312"/>
      <c r="G827" s="328"/>
      <c r="H827" s="337"/>
      <c r="I827" s="334"/>
      <c r="J827" s="314"/>
      <c r="K827" s="449"/>
      <c r="M827" s="349" t="str">
        <f>N827&amp;AS[[#This Row],[Insurer Code]]&amp;"; "&amp;O827&amp;AS[[#This Row],[Reporting Year]]&amp;"; "&amp;P827&amp;AS[[#This Row],[Insurance Category Code]]&amp;"; "&amp;Q827&amp;AS[[#This Row],[Large Provider Entity Code]]&amp;"; "&amp;R827&amp;AS[[#This Row],[Age Band Code]]&amp;"; "&amp;S827&amp;AS[[#This Row],[Sex Code]]</f>
        <v xml:space="preserve">Insurer Code ; Reporting Year ; Insurance Category Code ; Large Provider Entity Code ; Age Band Code ; Sex Code </v>
      </c>
      <c r="N827" s="345" t="s">
        <v>207</v>
      </c>
      <c r="O827" s="345" t="s">
        <v>208</v>
      </c>
      <c r="P827" s="345" t="s">
        <v>209</v>
      </c>
      <c r="Q827" s="345" t="s">
        <v>210</v>
      </c>
      <c r="R827" s="345" t="s">
        <v>223</v>
      </c>
      <c r="S827" s="345" t="s">
        <v>224</v>
      </c>
    </row>
    <row r="828" spans="1:19" x14ac:dyDescent="0.25">
      <c r="A828" s="311"/>
      <c r="B828" s="312"/>
      <c r="C828" s="312"/>
      <c r="D828" s="312"/>
      <c r="E828" s="312"/>
      <c r="F828" s="312"/>
      <c r="G828" s="328"/>
      <c r="H828" s="337"/>
      <c r="I828" s="334"/>
      <c r="J828" s="314"/>
      <c r="K828" s="449"/>
      <c r="M828" s="349" t="str">
        <f>N828&amp;AS[[#This Row],[Insurer Code]]&amp;"; "&amp;O828&amp;AS[[#This Row],[Reporting Year]]&amp;"; "&amp;P828&amp;AS[[#This Row],[Insurance Category Code]]&amp;"; "&amp;Q828&amp;AS[[#This Row],[Large Provider Entity Code]]&amp;"; "&amp;R828&amp;AS[[#This Row],[Age Band Code]]&amp;"; "&amp;S828&amp;AS[[#This Row],[Sex Code]]</f>
        <v xml:space="preserve">Insurer Code ; Reporting Year ; Insurance Category Code ; Large Provider Entity Code ; Age Band Code ; Sex Code </v>
      </c>
      <c r="N828" s="345" t="s">
        <v>207</v>
      </c>
      <c r="O828" s="345" t="s">
        <v>208</v>
      </c>
      <c r="P828" s="345" t="s">
        <v>209</v>
      </c>
      <c r="Q828" s="345" t="s">
        <v>210</v>
      </c>
      <c r="R828" s="345" t="s">
        <v>223</v>
      </c>
      <c r="S828" s="345" t="s">
        <v>224</v>
      </c>
    </row>
    <row r="829" spans="1:19" x14ac:dyDescent="0.25">
      <c r="A829" s="311"/>
      <c r="B829" s="312"/>
      <c r="C829" s="312"/>
      <c r="D829" s="312"/>
      <c r="E829" s="312"/>
      <c r="F829" s="312"/>
      <c r="G829" s="328"/>
      <c r="H829" s="337"/>
      <c r="I829" s="334"/>
      <c r="J829" s="314"/>
      <c r="K829" s="449"/>
      <c r="M829" s="349" t="str">
        <f>N829&amp;AS[[#This Row],[Insurer Code]]&amp;"; "&amp;O829&amp;AS[[#This Row],[Reporting Year]]&amp;"; "&amp;P829&amp;AS[[#This Row],[Insurance Category Code]]&amp;"; "&amp;Q829&amp;AS[[#This Row],[Large Provider Entity Code]]&amp;"; "&amp;R829&amp;AS[[#This Row],[Age Band Code]]&amp;"; "&amp;S829&amp;AS[[#This Row],[Sex Code]]</f>
        <v xml:space="preserve">Insurer Code ; Reporting Year ; Insurance Category Code ; Large Provider Entity Code ; Age Band Code ; Sex Code </v>
      </c>
      <c r="N829" s="345" t="s">
        <v>207</v>
      </c>
      <c r="O829" s="345" t="s">
        <v>208</v>
      </c>
      <c r="P829" s="345" t="s">
        <v>209</v>
      </c>
      <c r="Q829" s="345" t="s">
        <v>210</v>
      </c>
      <c r="R829" s="345" t="s">
        <v>223</v>
      </c>
      <c r="S829" s="345" t="s">
        <v>224</v>
      </c>
    </row>
    <row r="830" spans="1:19" x14ac:dyDescent="0.25">
      <c r="A830" s="311"/>
      <c r="B830" s="312"/>
      <c r="C830" s="312"/>
      <c r="D830" s="312"/>
      <c r="E830" s="312"/>
      <c r="F830" s="312"/>
      <c r="G830" s="328"/>
      <c r="H830" s="337"/>
      <c r="I830" s="334"/>
      <c r="J830" s="314"/>
      <c r="K830" s="449"/>
      <c r="M830" s="349" t="str">
        <f>N830&amp;AS[[#This Row],[Insurer Code]]&amp;"; "&amp;O830&amp;AS[[#This Row],[Reporting Year]]&amp;"; "&amp;P830&amp;AS[[#This Row],[Insurance Category Code]]&amp;"; "&amp;Q830&amp;AS[[#This Row],[Large Provider Entity Code]]&amp;"; "&amp;R830&amp;AS[[#This Row],[Age Band Code]]&amp;"; "&amp;S830&amp;AS[[#This Row],[Sex Code]]</f>
        <v xml:space="preserve">Insurer Code ; Reporting Year ; Insurance Category Code ; Large Provider Entity Code ; Age Band Code ; Sex Code </v>
      </c>
      <c r="N830" s="345" t="s">
        <v>207</v>
      </c>
      <c r="O830" s="345" t="s">
        <v>208</v>
      </c>
      <c r="P830" s="345" t="s">
        <v>209</v>
      </c>
      <c r="Q830" s="345" t="s">
        <v>210</v>
      </c>
      <c r="R830" s="345" t="s">
        <v>223</v>
      </c>
      <c r="S830" s="345" t="s">
        <v>224</v>
      </c>
    </row>
    <row r="831" spans="1:19" x14ac:dyDescent="0.25">
      <c r="A831" s="311"/>
      <c r="B831" s="312"/>
      <c r="C831" s="312"/>
      <c r="D831" s="312"/>
      <c r="E831" s="312"/>
      <c r="F831" s="312"/>
      <c r="G831" s="328"/>
      <c r="H831" s="337"/>
      <c r="I831" s="334"/>
      <c r="J831" s="314"/>
      <c r="K831" s="449"/>
      <c r="M831" s="349" t="str">
        <f>N831&amp;AS[[#This Row],[Insurer Code]]&amp;"; "&amp;O831&amp;AS[[#This Row],[Reporting Year]]&amp;"; "&amp;P831&amp;AS[[#This Row],[Insurance Category Code]]&amp;"; "&amp;Q831&amp;AS[[#This Row],[Large Provider Entity Code]]&amp;"; "&amp;R831&amp;AS[[#This Row],[Age Band Code]]&amp;"; "&amp;S831&amp;AS[[#This Row],[Sex Code]]</f>
        <v xml:space="preserve">Insurer Code ; Reporting Year ; Insurance Category Code ; Large Provider Entity Code ; Age Band Code ; Sex Code </v>
      </c>
      <c r="N831" s="345" t="s">
        <v>207</v>
      </c>
      <c r="O831" s="345" t="s">
        <v>208</v>
      </c>
      <c r="P831" s="345" t="s">
        <v>209</v>
      </c>
      <c r="Q831" s="345" t="s">
        <v>210</v>
      </c>
      <c r="R831" s="345" t="s">
        <v>223</v>
      </c>
      <c r="S831" s="345" t="s">
        <v>224</v>
      </c>
    </row>
    <row r="832" spans="1:19" x14ac:dyDescent="0.25">
      <c r="A832" s="311"/>
      <c r="B832" s="312"/>
      <c r="C832" s="312"/>
      <c r="D832" s="312"/>
      <c r="E832" s="312"/>
      <c r="F832" s="312"/>
      <c r="G832" s="328"/>
      <c r="H832" s="337"/>
      <c r="I832" s="334"/>
      <c r="J832" s="314"/>
      <c r="K832" s="449"/>
      <c r="M832" s="349" t="str">
        <f>N832&amp;AS[[#This Row],[Insurer Code]]&amp;"; "&amp;O832&amp;AS[[#This Row],[Reporting Year]]&amp;"; "&amp;P832&amp;AS[[#This Row],[Insurance Category Code]]&amp;"; "&amp;Q832&amp;AS[[#This Row],[Large Provider Entity Code]]&amp;"; "&amp;R832&amp;AS[[#This Row],[Age Band Code]]&amp;"; "&amp;S832&amp;AS[[#This Row],[Sex Code]]</f>
        <v xml:space="preserve">Insurer Code ; Reporting Year ; Insurance Category Code ; Large Provider Entity Code ; Age Band Code ; Sex Code </v>
      </c>
      <c r="N832" s="345" t="s">
        <v>207</v>
      </c>
      <c r="O832" s="345" t="s">
        <v>208</v>
      </c>
      <c r="P832" s="345" t="s">
        <v>209</v>
      </c>
      <c r="Q832" s="345" t="s">
        <v>210</v>
      </c>
      <c r="R832" s="345" t="s">
        <v>223</v>
      </c>
      <c r="S832" s="345" t="s">
        <v>224</v>
      </c>
    </row>
    <row r="833" spans="1:19" x14ac:dyDescent="0.25">
      <c r="A833" s="311"/>
      <c r="B833" s="312"/>
      <c r="C833" s="312"/>
      <c r="D833" s="312"/>
      <c r="E833" s="312"/>
      <c r="F833" s="312"/>
      <c r="G833" s="328"/>
      <c r="H833" s="337"/>
      <c r="I833" s="334"/>
      <c r="J833" s="314"/>
      <c r="K833" s="449"/>
      <c r="M833" s="349" t="str">
        <f>N833&amp;AS[[#This Row],[Insurer Code]]&amp;"; "&amp;O833&amp;AS[[#This Row],[Reporting Year]]&amp;"; "&amp;P833&amp;AS[[#This Row],[Insurance Category Code]]&amp;"; "&amp;Q833&amp;AS[[#This Row],[Large Provider Entity Code]]&amp;"; "&amp;R833&amp;AS[[#This Row],[Age Band Code]]&amp;"; "&amp;S833&amp;AS[[#This Row],[Sex Code]]</f>
        <v xml:space="preserve">Insurer Code ; Reporting Year ; Insurance Category Code ; Large Provider Entity Code ; Age Band Code ; Sex Code </v>
      </c>
      <c r="N833" s="345" t="s">
        <v>207</v>
      </c>
      <c r="O833" s="345" t="s">
        <v>208</v>
      </c>
      <c r="P833" s="345" t="s">
        <v>209</v>
      </c>
      <c r="Q833" s="345" t="s">
        <v>210</v>
      </c>
      <c r="R833" s="345" t="s">
        <v>223</v>
      </c>
      <c r="S833" s="345" t="s">
        <v>224</v>
      </c>
    </row>
    <row r="834" spans="1:19" x14ac:dyDescent="0.25">
      <c r="A834" s="311"/>
      <c r="B834" s="312"/>
      <c r="C834" s="312"/>
      <c r="D834" s="312"/>
      <c r="E834" s="312"/>
      <c r="F834" s="312"/>
      <c r="G834" s="328"/>
      <c r="H834" s="337"/>
      <c r="I834" s="334"/>
      <c r="J834" s="314"/>
      <c r="K834" s="449"/>
      <c r="M834" s="349" t="str">
        <f>N834&amp;AS[[#This Row],[Insurer Code]]&amp;"; "&amp;O834&amp;AS[[#This Row],[Reporting Year]]&amp;"; "&amp;P834&amp;AS[[#This Row],[Insurance Category Code]]&amp;"; "&amp;Q834&amp;AS[[#This Row],[Large Provider Entity Code]]&amp;"; "&amp;R834&amp;AS[[#This Row],[Age Band Code]]&amp;"; "&amp;S834&amp;AS[[#This Row],[Sex Code]]</f>
        <v xml:space="preserve">Insurer Code ; Reporting Year ; Insurance Category Code ; Large Provider Entity Code ; Age Band Code ; Sex Code </v>
      </c>
      <c r="N834" s="345" t="s">
        <v>207</v>
      </c>
      <c r="O834" s="345" t="s">
        <v>208</v>
      </c>
      <c r="P834" s="345" t="s">
        <v>209</v>
      </c>
      <c r="Q834" s="345" t="s">
        <v>210</v>
      </c>
      <c r="R834" s="345" t="s">
        <v>223</v>
      </c>
      <c r="S834" s="345" t="s">
        <v>224</v>
      </c>
    </row>
    <row r="835" spans="1:19" x14ac:dyDescent="0.25">
      <c r="A835" s="311"/>
      <c r="B835" s="312"/>
      <c r="C835" s="312"/>
      <c r="D835" s="312"/>
      <c r="E835" s="312"/>
      <c r="F835" s="312"/>
      <c r="G835" s="328"/>
      <c r="H835" s="337"/>
      <c r="I835" s="334"/>
      <c r="J835" s="314"/>
      <c r="K835" s="449"/>
      <c r="M835" s="349" t="str">
        <f>N835&amp;AS[[#This Row],[Insurer Code]]&amp;"; "&amp;O835&amp;AS[[#This Row],[Reporting Year]]&amp;"; "&amp;P835&amp;AS[[#This Row],[Insurance Category Code]]&amp;"; "&amp;Q835&amp;AS[[#This Row],[Large Provider Entity Code]]&amp;"; "&amp;R835&amp;AS[[#This Row],[Age Band Code]]&amp;"; "&amp;S835&amp;AS[[#This Row],[Sex Code]]</f>
        <v xml:space="preserve">Insurer Code ; Reporting Year ; Insurance Category Code ; Large Provider Entity Code ; Age Band Code ; Sex Code </v>
      </c>
      <c r="N835" s="345" t="s">
        <v>207</v>
      </c>
      <c r="O835" s="345" t="s">
        <v>208</v>
      </c>
      <c r="P835" s="345" t="s">
        <v>209</v>
      </c>
      <c r="Q835" s="345" t="s">
        <v>210</v>
      </c>
      <c r="R835" s="345" t="s">
        <v>223</v>
      </c>
      <c r="S835" s="345" t="s">
        <v>224</v>
      </c>
    </row>
    <row r="836" spans="1:19" x14ac:dyDescent="0.25">
      <c r="A836" s="311"/>
      <c r="B836" s="312"/>
      <c r="C836" s="312"/>
      <c r="D836" s="312"/>
      <c r="E836" s="312"/>
      <c r="F836" s="312"/>
      <c r="G836" s="328"/>
      <c r="H836" s="337"/>
      <c r="I836" s="334"/>
      <c r="J836" s="314"/>
      <c r="K836" s="449"/>
      <c r="M836" s="349" t="str">
        <f>N836&amp;AS[[#This Row],[Insurer Code]]&amp;"; "&amp;O836&amp;AS[[#This Row],[Reporting Year]]&amp;"; "&amp;P836&amp;AS[[#This Row],[Insurance Category Code]]&amp;"; "&amp;Q836&amp;AS[[#This Row],[Large Provider Entity Code]]&amp;"; "&amp;R836&amp;AS[[#This Row],[Age Band Code]]&amp;"; "&amp;S836&amp;AS[[#This Row],[Sex Code]]</f>
        <v xml:space="preserve">Insurer Code ; Reporting Year ; Insurance Category Code ; Large Provider Entity Code ; Age Band Code ; Sex Code </v>
      </c>
      <c r="N836" s="345" t="s">
        <v>207</v>
      </c>
      <c r="O836" s="345" t="s">
        <v>208</v>
      </c>
      <c r="P836" s="345" t="s">
        <v>209</v>
      </c>
      <c r="Q836" s="345" t="s">
        <v>210</v>
      </c>
      <c r="R836" s="345" t="s">
        <v>223</v>
      </c>
      <c r="S836" s="345" t="s">
        <v>224</v>
      </c>
    </row>
    <row r="837" spans="1:19" x14ac:dyDescent="0.25">
      <c r="A837" s="311"/>
      <c r="B837" s="312"/>
      <c r="C837" s="312"/>
      <c r="D837" s="312"/>
      <c r="E837" s="312"/>
      <c r="F837" s="312"/>
      <c r="G837" s="328"/>
      <c r="H837" s="337"/>
      <c r="I837" s="334"/>
      <c r="J837" s="314"/>
      <c r="K837" s="449"/>
      <c r="M837" s="349" t="str">
        <f>N837&amp;AS[[#This Row],[Insurer Code]]&amp;"; "&amp;O837&amp;AS[[#This Row],[Reporting Year]]&amp;"; "&amp;P837&amp;AS[[#This Row],[Insurance Category Code]]&amp;"; "&amp;Q837&amp;AS[[#This Row],[Large Provider Entity Code]]&amp;"; "&amp;R837&amp;AS[[#This Row],[Age Band Code]]&amp;"; "&amp;S837&amp;AS[[#This Row],[Sex Code]]</f>
        <v xml:space="preserve">Insurer Code ; Reporting Year ; Insurance Category Code ; Large Provider Entity Code ; Age Band Code ; Sex Code </v>
      </c>
      <c r="N837" s="345" t="s">
        <v>207</v>
      </c>
      <c r="O837" s="345" t="s">
        <v>208</v>
      </c>
      <c r="P837" s="345" t="s">
        <v>209</v>
      </c>
      <c r="Q837" s="345" t="s">
        <v>210</v>
      </c>
      <c r="R837" s="345" t="s">
        <v>223</v>
      </c>
      <c r="S837" s="345" t="s">
        <v>224</v>
      </c>
    </row>
    <row r="838" spans="1:19" x14ac:dyDescent="0.25">
      <c r="A838" s="311"/>
      <c r="B838" s="312"/>
      <c r="C838" s="312"/>
      <c r="D838" s="312"/>
      <c r="E838" s="312"/>
      <c r="F838" s="312"/>
      <c r="G838" s="328"/>
      <c r="H838" s="337"/>
      <c r="I838" s="334"/>
      <c r="J838" s="314"/>
      <c r="K838" s="449"/>
      <c r="M838" s="349" t="str">
        <f>N838&amp;AS[[#This Row],[Insurer Code]]&amp;"; "&amp;O838&amp;AS[[#This Row],[Reporting Year]]&amp;"; "&amp;P838&amp;AS[[#This Row],[Insurance Category Code]]&amp;"; "&amp;Q838&amp;AS[[#This Row],[Large Provider Entity Code]]&amp;"; "&amp;R838&amp;AS[[#This Row],[Age Band Code]]&amp;"; "&amp;S838&amp;AS[[#This Row],[Sex Code]]</f>
        <v xml:space="preserve">Insurer Code ; Reporting Year ; Insurance Category Code ; Large Provider Entity Code ; Age Band Code ; Sex Code </v>
      </c>
      <c r="N838" s="345" t="s">
        <v>207</v>
      </c>
      <c r="O838" s="345" t="s">
        <v>208</v>
      </c>
      <c r="P838" s="345" t="s">
        <v>209</v>
      </c>
      <c r="Q838" s="345" t="s">
        <v>210</v>
      </c>
      <c r="R838" s="345" t="s">
        <v>223</v>
      </c>
      <c r="S838" s="345" t="s">
        <v>224</v>
      </c>
    </row>
    <row r="839" spans="1:19" x14ac:dyDescent="0.25">
      <c r="A839" s="311"/>
      <c r="B839" s="312"/>
      <c r="C839" s="312"/>
      <c r="D839" s="312"/>
      <c r="E839" s="312"/>
      <c r="F839" s="312"/>
      <c r="G839" s="328"/>
      <c r="H839" s="337"/>
      <c r="I839" s="334"/>
      <c r="J839" s="314"/>
      <c r="K839" s="449"/>
      <c r="M839" s="349" t="str">
        <f>N839&amp;AS[[#This Row],[Insurer Code]]&amp;"; "&amp;O839&amp;AS[[#This Row],[Reporting Year]]&amp;"; "&amp;P839&amp;AS[[#This Row],[Insurance Category Code]]&amp;"; "&amp;Q839&amp;AS[[#This Row],[Large Provider Entity Code]]&amp;"; "&amp;R839&amp;AS[[#This Row],[Age Band Code]]&amp;"; "&amp;S839&amp;AS[[#This Row],[Sex Code]]</f>
        <v xml:space="preserve">Insurer Code ; Reporting Year ; Insurance Category Code ; Large Provider Entity Code ; Age Band Code ; Sex Code </v>
      </c>
      <c r="N839" s="345" t="s">
        <v>207</v>
      </c>
      <c r="O839" s="345" t="s">
        <v>208</v>
      </c>
      <c r="P839" s="345" t="s">
        <v>209</v>
      </c>
      <c r="Q839" s="345" t="s">
        <v>210</v>
      </c>
      <c r="R839" s="345" t="s">
        <v>223</v>
      </c>
      <c r="S839" s="345" t="s">
        <v>224</v>
      </c>
    </row>
    <row r="840" spans="1:19" x14ac:dyDescent="0.25">
      <c r="A840" s="311"/>
      <c r="B840" s="312"/>
      <c r="C840" s="312"/>
      <c r="D840" s="312"/>
      <c r="E840" s="312"/>
      <c r="F840" s="312"/>
      <c r="G840" s="328"/>
      <c r="H840" s="337"/>
      <c r="I840" s="334"/>
      <c r="J840" s="314"/>
      <c r="K840" s="449"/>
      <c r="M840" s="349" t="str">
        <f>N840&amp;AS[[#This Row],[Insurer Code]]&amp;"; "&amp;O840&amp;AS[[#This Row],[Reporting Year]]&amp;"; "&amp;P840&amp;AS[[#This Row],[Insurance Category Code]]&amp;"; "&amp;Q840&amp;AS[[#This Row],[Large Provider Entity Code]]&amp;"; "&amp;R840&amp;AS[[#This Row],[Age Band Code]]&amp;"; "&amp;S840&amp;AS[[#This Row],[Sex Code]]</f>
        <v xml:space="preserve">Insurer Code ; Reporting Year ; Insurance Category Code ; Large Provider Entity Code ; Age Band Code ; Sex Code </v>
      </c>
      <c r="N840" s="345" t="s">
        <v>207</v>
      </c>
      <c r="O840" s="345" t="s">
        <v>208</v>
      </c>
      <c r="P840" s="345" t="s">
        <v>209</v>
      </c>
      <c r="Q840" s="345" t="s">
        <v>210</v>
      </c>
      <c r="R840" s="345" t="s">
        <v>223</v>
      </c>
      <c r="S840" s="345" t="s">
        <v>224</v>
      </c>
    </row>
    <row r="841" spans="1:19" x14ac:dyDescent="0.25">
      <c r="A841" s="311"/>
      <c r="B841" s="312"/>
      <c r="C841" s="312"/>
      <c r="D841" s="312"/>
      <c r="E841" s="312"/>
      <c r="F841" s="312"/>
      <c r="G841" s="328"/>
      <c r="H841" s="337"/>
      <c r="I841" s="334"/>
      <c r="J841" s="314"/>
      <c r="K841" s="449"/>
      <c r="M841" s="349" t="str">
        <f>N841&amp;AS[[#This Row],[Insurer Code]]&amp;"; "&amp;O841&amp;AS[[#This Row],[Reporting Year]]&amp;"; "&amp;P841&amp;AS[[#This Row],[Insurance Category Code]]&amp;"; "&amp;Q841&amp;AS[[#This Row],[Large Provider Entity Code]]&amp;"; "&amp;R841&amp;AS[[#This Row],[Age Band Code]]&amp;"; "&amp;S841&amp;AS[[#This Row],[Sex Code]]</f>
        <v xml:space="preserve">Insurer Code ; Reporting Year ; Insurance Category Code ; Large Provider Entity Code ; Age Band Code ; Sex Code </v>
      </c>
      <c r="N841" s="345" t="s">
        <v>207</v>
      </c>
      <c r="O841" s="345" t="s">
        <v>208</v>
      </c>
      <c r="P841" s="345" t="s">
        <v>209</v>
      </c>
      <c r="Q841" s="345" t="s">
        <v>210</v>
      </c>
      <c r="R841" s="345" t="s">
        <v>223</v>
      </c>
      <c r="S841" s="345" t="s">
        <v>224</v>
      </c>
    </row>
    <row r="842" spans="1:19" x14ac:dyDescent="0.25">
      <c r="A842" s="311"/>
      <c r="B842" s="312"/>
      <c r="C842" s="312"/>
      <c r="D842" s="312"/>
      <c r="E842" s="312"/>
      <c r="F842" s="312"/>
      <c r="G842" s="328"/>
      <c r="H842" s="337"/>
      <c r="I842" s="334"/>
      <c r="J842" s="314"/>
      <c r="K842" s="449"/>
      <c r="M842" s="349" t="str">
        <f>N842&amp;AS[[#This Row],[Insurer Code]]&amp;"; "&amp;O842&amp;AS[[#This Row],[Reporting Year]]&amp;"; "&amp;P842&amp;AS[[#This Row],[Insurance Category Code]]&amp;"; "&amp;Q842&amp;AS[[#This Row],[Large Provider Entity Code]]&amp;"; "&amp;R842&amp;AS[[#This Row],[Age Band Code]]&amp;"; "&amp;S842&amp;AS[[#This Row],[Sex Code]]</f>
        <v xml:space="preserve">Insurer Code ; Reporting Year ; Insurance Category Code ; Large Provider Entity Code ; Age Band Code ; Sex Code </v>
      </c>
      <c r="N842" s="345" t="s">
        <v>207</v>
      </c>
      <c r="O842" s="345" t="s">
        <v>208</v>
      </c>
      <c r="P842" s="345" t="s">
        <v>209</v>
      </c>
      <c r="Q842" s="345" t="s">
        <v>210</v>
      </c>
      <c r="R842" s="345" t="s">
        <v>223</v>
      </c>
      <c r="S842" s="345" t="s">
        <v>224</v>
      </c>
    </row>
    <row r="843" spans="1:19" x14ac:dyDescent="0.25">
      <c r="A843" s="311"/>
      <c r="B843" s="312"/>
      <c r="C843" s="312"/>
      <c r="D843" s="312"/>
      <c r="E843" s="312"/>
      <c r="F843" s="312"/>
      <c r="G843" s="328"/>
      <c r="H843" s="337"/>
      <c r="I843" s="334"/>
      <c r="J843" s="314"/>
      <c r="K843" s="449"/>
      <c r="M843" s="349" t="str">
        <f>N843&amp;AS[[#This Row],[Insurer Code]]&amp;"; "&amp;O843&amp;AS[[#This Row],[Reporting Year]]&amp;"; "&amp;P843&amp;AS[[#This Row],[Insurance Category Code]]&amp;"; "&amp;Q843&amp;AS[[#This Row],[Large Provider Entity Code]]&amp;"; "&amp;R843&amp;AS[[#This Row],[Age Band Code]]&amp;"; "&amp;S843&amp;AS[[#This Row],[Sex Code]]</f>
        <v xml:space="preserve">Insurer Code ; Reporting Year ; Insurance Category Code ; Large Provider Entity Code ; Age Band Code ; Sex Code </v>
      </c>
      <c r="N843" s="345" t="s">
        <v>207</v>
      </c>
      <c r="O843" s="345" t="s">
        <v>208</v>
      </c>
      <c r="P843" s="345" t="s">
        <v>209</v>
      </c>
      <c r="Q843" s="345" t="s">
        <v>210</v>
      </c>
      <c r="R843" s="345" t="s">
        <v>223</v>
      </c>
      <c r="S843" s="345" t="s">
        <v>224</v>
      </c>
    </row>
    <row r="844" spans="1:19" x14ac:dyDescent="0.25">
      <c r="A844" s="311"/>
      <c r="B844" s="312"/>
      <c r="C844" s="312"/>
      <c r="D844" s="312"/>
      <c r="E844" s="312"/>
      <c r="F844" s="312"/>
      <c r="G844" s="328"/>
      <c r="H844" s="337"/>
      <c r="I844" s="334"/>
      <c r="J844" s="314"/>
      <c r="K844" s="449"/>
      <c r="M844" s="349" t="str">
        <f>N844&amp;AS[[#This Row],[Insurer Code]]&amp;"; "&amp;O844&amp;AS[[#This Row],[Reporting Year]]&amp;"; "&amp;P844&amp;AS[[#This Row],[Insurance Category Code]]&amp;"; "&amp;Q844&amp;AS[[#This Row],[Large Provider Entity Code]]&amp;"; "&amp;R844&amp;AS[[#This Row],[Age Band Code]]&amp;"; "&amp;S844&amp;AS[[#This Row],[Sex Code]]</f>
        <v xml:space="preserve">Insurer Code ; Reporting Year ; Insurance Category Code ; Large Provider Entity Code ; Age Band Code ; Sex Code </v>
      </c>
      <c r="N844" s="345" t="s">
        <v>207</v>
      </c>
      <c r="O844" s="345" t="s">
        <v>208</v>
      </c>
      <c r="P844" s="345" t="s">
        <v>209</v>
      </c>
      <c r="Q844" s="345" t="s">
        <v>210</v>
      </c>
      <c r="R844" s="345" t="s">
        <v>223</v>
      </c>
      <c r="S844" s="345" t="s">
        <v>224</v>
      </c>
    </row>
    <row r="845" spans="1:19" x14ac:dyDescent="0.25">
      <c r="A845" s="311"/>
      <c r="B845" s="312"/>
      <c r="C845" s="312"/>
      <c r="D845" s="312"/>
      <c r="E845" s="312"/>
      <c r="F845" s="312"/>
      <c r="G845" s="328"/>
      <c r="H845" s="337"/>
      <c r="I845" s="334"/>
      <c r="J845" s="314"/>
      <c r="K845" s="449"/>
      <c r="M845" s="349" t="str">
        <f>N845&amp;AS[[#This Row],[Insurer Code]]&amp;"; "&amp;O845&amp;AS[[#This Row],[Reporting Year]]&amp;"; "&amp;P845&amp;AS[[#This Row],[Insurance Category Code]]&amp;"; "&amp;Q845&amp;AS[[#This Row],[Large Provider Entity Code]]&amp;"; "&amp;R845&amp;AS[[#This Row],[Age Band Code]]&amp;"; "&amp;S845&amp;AS[[#This Row],[Sex Code]]</f>
        <v xml:space="preserve">Insurer Code ; Reporting Year ; Insurance Category Code ; Large Provider Entity Code ; Age Band Code ; Sex Code </v>
      </c>
      <c r="N845" s="345" t="s">
        <v>207</v>
      </c>
      <c r="O845" s="345" t="s">
        <v>208</v>
      </c>
      <c r="P845" s="345" t="s">
        <v>209</v>
      </c>
      <c r="Q845" s="345" t="s">
        <v>210</v>
      </c>
      <c r="R845" s="345" t="s">
        <v>223</v>
      </c>
      <c r="S845" s="345" t="s">
        <v>224</v>
      </c>
    </row>
    <row r="846" spans="1:19" x14ac:dyDescent="0.25">
      <c r="A846" s="311"/>
      <c r="B846" s="312"/>
      <c r="C846" s="312"/>
      <c r="D846" s="312"/>
      <c r="E846" s="312"/>
      <c r="F846" s="312"/>
      <c r="G846" s="328"/>
      <c r="H846" s="337"/>
      <c r="I846" s="334"/>
      <c r="J846" s="314"/>
      <c r="K846" s="449"/>
      <c r="M846" s="349" t="str">
        <f>N846&amp;AS[[#This Row],[Insurer Code]]&amp;"; "&amp;O846&amp;AS[[#This Row],[Reporting Year]]&amp;"; "&amp;P846&amp;AS[[#This Row],[Insurance Category Code]]&amp;"; "&amp;Q846&amp;AS[[#This Row],[Large Provider Entity Code]]&amp;"; "&amp;R846&amp;AS[[#This Row],[Age Band Code]]&amp;"; "&amp;S846&amp;AS[[#This Row],[Sex Code]]</f>
        <v xml:space="preserve">Insurer Code ; Reporting Year ; Insurance Category Code ; Large Provider Entity Code ; Age Band Code ; Sex Code </v>
      </c>
      <c r="N846" s="345" t="s">
        <v>207</v>
      </c>
      <c r="O846" s="345" t="s">
        <v>208</v>
      </c>
      <c r="P846" s="345" t="s">
        <v>209</v>
      </c>
      <c r="Q846" s="345" t="s">
        <v>210</v>
      </c>
      <c r="R846" s="345" t="s">
        <v>223</v>
      </c>
      <c r="S846" s="345" t="s">
        <v>224</v>
      </c>
    </row>
    <row r="847" spans="1:19" x14ac:dyDescent="0.25">
      <c r="A847" s="311"/>
      <c r="B847" s="312"/>
      <c r="C847" s="312"/>
      <c r="D847" s="312"/>
      <c r="E847" s="312"/>
      <c r="F847" s="312"/>
      <c r="G847" s="328"/>
      <c r="H847" s="337"/>
      <c r="I847" s="334"/>
      <c r="J847" s="314"/>
      <c r="K847" s="449"/>
      <c r="M847" s="349" t="str">
        <f>N847&amp;AS[[#This Row],[Insurer Code]]&amp;"; "&amp;O847&amp;AS[[#This Row],[Reporting Year]]&amp;"; "&amp;P847&amp;AS[[#This Row],[Insurance Category Code]]&amp;"; "&amp;Q847&amp;AS[[#This Row],[Large Provider Entity Code]]&amp;"; "&amp;R847&amp;AS[[#This Row],[Age Band Code]]&amp;"; "&amp;S847&amp;AS[[#This Row],[Sex Code]]</f>
        <v xml:space="preserve">Insurer Code ; Reporting Year ; Insurance Category Code ; Large Provider Entity Code ; Age Band Code ; Sex Code </v>
      </c>
      <c r="N847" s="345" t="s">
        <v>207</v>
      </c>
      <c r="O847" s="345" t="s">
        <v>208</v>
      </c>
      <c r="P847" s="345" t="s">
        <v>209</v>
      </c>
      <c r="Q847" s="345" t="s">
        <v>210</v>
      </c>
      <c r="R847" s="345" t="s">
        <v>223</v>
      </c>
      <c r="S847" s="345" t="s">
        <v>224</v>
      </c>
    </row>
    <row r="848" spans="1:19" x14ac:dyDescent="0.25">
      <c r="A848" s="311"/>
      <c r="B848" s="312"/>
      <c r="C848" s="312"/>
      <c r="D848" s="312"/>
      <c r="E848" s="312"/>
      <c r="F848" s="312"/>
      <c r="G848" s="328"/>
      <c r="H848" s="337"/>
      <c r="I848" s="334"/>
      <c r="J848" s="314"/>
      <c r="K848" s="449"/>
      <c r="M848" s="349" t="str">
        <f>N848&amp;AS[[#This Row],[Insurer Code]]&amp;"; "&amp;O848&amp;AS[[#This Row],[Reporting Year]]&amp;"; "&amp;P848&amp;AS[[#This Row],[Insurance Category Code]]&amp;"; "&amp;Q848&amp;AS[[#This Row],[Large Provider Entity Code]]&amp;"; "&amp;R848&amp;AS[[#This Row],[Age Band Code]]&amp;"; "&amp;S848&amp;AS[[#This Row],[Sex Code]]</f>
        <v xml:space="preserve">Insurer Code ; Reporting Year ; Insurance Category Code ; Large Provider Entity Code ; Age Band Code ; Sex Code </v>
      </c>
      <c r="N848" s="345" t="s">
        <v>207</v>
      </c>
      <c r="O848" s="345" t="s">
        <v>208</v>
      </c>
      <c r="P848" s="345" t="s">
        <v>209</v>
      </c>
      <c r="Q848" s="345" t="s">
        <v>210</v>
      </c>
      <c r="R848" s="345" t="s">
        <v>223</v>
      </c>
      <c r="S848" s="345" t="s">
        <v>224</v>
      </c>
    </row>
    <row r="849" spans="1:19" x14ac:dyDescent="0.25">
      <c r="A849" s="311"/>
      <c r="B849" s="312"/>
      <c r="C849" s="312"/>
      <c r="D849" s="312"/>
      <c r="E849" s="312"/>
      <c r="F849" s="312"/>
      <c r="G849" s="328"/>
      <c r="H849" s="337"/>
      <c r="I849" s="334"/>
      <c r="J849" s="314"/>
      <c r="K849" s="449"/>
      <c r="M849" s="349" t="str">
        <f>N849&amp;AS[[#This Row],[Insurer Code]]&amp;"; "&amp;O849&amp;AS[[#This Row],[Reporting Year]]&amp;"; "&amp;P849&amp;AS[[#This Row],[Insurance Category Code]]&amp;"; "&amp;Q849&amp;AS[[#This Row],[Large Provider Entity Code]]&amp;"; "&amp;R849&amp;AS[[#This Row],[Age Band Code]]&amp;"; "&amp;S849&amp;AS[[#This Row],[Sex Code]]</f>
        <v xml:space="preserve">Insurer Code ; Reporting Year ; Insurance Category Code ; Large Provider Entity Code ; Age Band Code ; Sex Code </v>
      </c>
      <c r="N849" s="345" t="s">
        <v>207</v>
      </c>
      <c r="O849" s="345" t="s">
        <v>208</v>
      </c>
      <c r="P849" s="345" t="s">
        <v>209</v>
      </c>
      <c r="Q849" s="345" t="s">
        <v>210</v>
      </c>
      <c r="R849" s="345" t="s">
        <v>223</v>
      </c>
      <c r="S849" s="345" t="s">
        <v>224</v>
      </c>
    </row>
    <row r="850" spans="1:19" x14ac:dyDescent="0.25">
      <c r="A850" s="311"/>
      <c r="B850" s="312"/>
      <c r="C850" s="312"/>
      <c r="D850" s="312"/>
      <c r="E850" s="312"/>
      <c r="F850" s="312"/>
      <c r="G850" s="328"/>
      <c r="H850" s="337"/>
      <c r="I850" s="334"/>
      <c r="J850" s="314"/>
      <c r="K850" s="449"/>
      <c r="M850" s="349" t="str">
        <f>N850&amp;AS[[#This Row],[Insurer Code]]&amp;"; "&amp;O850&amp;AS[[#This Row],[Reporting Year]]&amp;"; "&amp;P850&amp;AS[[#This Row],[Insurance Category Code]]&amp;"; "&amp;Q850&amp;AS[[#This Row],[Large Provider Entity Code]]&amp;"; "&amp;R850&amp;AS[[#This Row],[Age Band Code]]&amp;"; "&amp;S850&amp;AS[[#This Row],[Sex Code]]</f>
        <v xml:space="preserve">Insurer Code ; Reporting Year ; Insurance Category Code ; Large Provider Entity Code ; Age Band Code ; Sex Code </v>
      </c>
      <c r="N850" s="345" t="s">
        <v>207</v>
      </c>
      <c r="O850" s="345" t="s">
        <v>208</v>
      </c>
      <c r="P850" s="345" t="s">
        <v>209</v>
      </c>
      <c r="Q850" s="345" t="s">
        <v>210</v>
      </c>
      <c r="R850" s="345" t="s">
        <v>223</v>
      </c>
      <c r="S850" s="345" t="s">
        <v>224</v>
      </c>
    </row>
    <row r="851" spans="1:19" x14ac:dyDescent="0.25">
      <c r="A851" s="311"/>
      <c r="B851" s="312"/>
      <c r="C851" s="312"/>
      <c r="D851" s="312"/>
      <c r="E851" s="312"/>
      <c r="F851" s="312"/>
      <c r="G851" s="328"/>
      <c r="H851" s="337"/>
      <c r="I851" s="334"/>
      <c r="J851" s="314"/>
      <c r="K851" s="449"/>
      <c r="M851" s="349" t="str">
        <f>N851&amp;AS[[#This Row],[Insurer Code]]&amp;"; "&amp;O851&amp;AS[[#This Row],[Reporting Year]]&amp;"; "&amp;P851&amp;AS[[#This Row],[Insurance Category Code]]&amp;"; "&amp;Q851&amp;AS[[#This Row],[Large Provider Entity Code]]&amp;"; "&amp;R851&amp;AS[[#This Row],[Age Band Code]]&amp;"; "&amp;S851&amp;AS[[#This Row],[Sex Code]]</f>
        <v xml:space="preserve">Insurer Code ; Reporting Year ; Insurance Category Code ; Large Provider Entity Code ; Age Band Code ; Sex Code </v>
      </c>
      <c r="N851" s="345" t="s">
        <v>207</v>
      </c>
      <c r="O851" s="345" t="s">
        <v>208</v>
      </c>
      <c r="P851" s="345" t="s">
        <v>209</v>
      </c>
      <c r="Q851" s="345" t="s">
        <v>210</v>
      </c>
      <c r="R851" s="345" t="s">
        <v>223</v>
      </c>
      <c r="S851" s="345" t="s">
        <v>224</v>
      </c>
    </row>
    <row r="852" spans="1:19" x14ac:dyDescent="0.25">
      <c r="A852" s="311"/>
      <c r="B852" s="312"/>
      <c r="C852" s="312"/>
      <c r="D852" s="312"/>
      <c r="E852" s="312"/>
      <c r="F852" s="312"/>
      <c r="G852" s="328"/>
      <c r="H852" s="337"/>
      <c r="I852" s="334"/>
      <c r="J852" s="314"/>
      <c r="K852" s="449"/>
      <c r="M852" s="349" t="str">
        <f>N852&amp;AS[[#This Row],[Insurer Code]]&amp;"; "&amp;O852&amp;AS[[#This Row],[Reporting Year]]&amp;"; "&amp;P852&amp;AS[[#This Row],[Insurance Category Code]]&amp;"; "&amp;Q852&amp;AS[[#This Row],[Large Provider Entity Code]]&amp;"; "&amp;R852&amp;AS[[#This Row],[Age Band Code]]&amp;"; "&amp;S852&amp;AS[[#This Row],[Sex Code]]</f>
        <v xml:space="preserve">Insurer Code ; Reporting Year ; Insurance Category Code ; Large Provider Entity Code ; Age Band Code ; Sex Code </v>
      </c>
      <c r="N852" s="345" t="s">
        <v>207</v>
      </c>
      <c r="O852" s="345" t="s">
        <v>208</v>
      </c>
      <c r="P852" s="345" t="s">
        <v>209</v>
      </c>
      <c r="Q852" s="345" t="s">
        <v>210</v>
      </c>
      <c r="R852" s="345" t="s">
        <v>223</v>
      </c>
      <c r="S852" s="345" t="s">
        <v>224</v>
      </c>
    </row>
    <row r="853" spans="1:19" x14ac:dyDescent="0.25">
      <c r="A853" s="311"/>
      <c r="B853" s="312"/>
      <c r="C853" s="312"/>
      <c r="D853" s="312"/>
      <c r="E853" s="312"/>
      <c r="F853" s="312"/>
      <c r="G853" s="328"/>
      <c r="H853" s="337"/>
      <c r="I853" s="334"/>
      <c r="J853" s="314"/>
      <c r="K853" s="449"/>
      <c r="M853" s="349" t="str">
        <f>N853&amp;AS[[#This Row],[Insurer Code]]&amp;"; "&amp;O853&amp;AS[[#This Row],[Reporting Year]]&amp;"; "&amp;P853&amp;AS[[#This Row],[Insurance Category Code]]&amp;"; "&amp;Q853&amp;AS[[#This Row],[Large Provider Entity Code]]&amp;"; "&amp;R853&amp;AS[[#This Row],[Age Band Code]]&amp;"; "&amp;S853&amp;AS[[#This Row],[Sex Code]]</f>
        <v xml:space="preserve">Insurer Code ; Reporting Year ; Insurance Category Code ; Large Provider Entity Code ; Age Band Code ; Sex Code </v>
      </c>
      <c r="N853" s="345" t="s">
        <v>207</v>
      </c>
      <c r="O853" s="345" t="s">
        <v>208</v>
      </c>
      <c r="P853" s="345" t="s">
        <v>209</v>
      </c>
      <c r="Q853" s="345" t="s">
        <v>210</v>
      </c>
      <c r="R853" s="345" t="s">
        <v>223</v>
      </c>
      <c r="S853" s="345" t="s">
        <v>224</v>
      </c>
    </row>
    <row r="854" spans="1:19" x14ac:dyDescent="0.25">
      <c r="A854" s="311"/>
      <c r="B854" s="312"/>
      <c r="C854" s="312"/>
      <c r="D854" s="312"/>
      <c r="E854" s="312"/>
      <c r="F854" s="312"/>
      <c r="G854" s="328"/>
      <c r="H854" s="337"/>
      <c r="I854" s="334"/>
      <c r="J854" s="314"/>
      <c r="K854" s="449"/>
      <c r="M854" s="349" t="str">
        <f>N854&amp;AS[[#This Row],[Insurer Code]]&amp;"; "&amp;O854&amp;AS[[#This Row],[Reporting Year]]&amp;"; "&amp;P854&amp;AS[[#This Row],[Insurance Category Code]]&amp;"; "&amp;Q854&amp;AS[[#This Row],[Large Provider Entity Code]]&amp;"; "&amp;R854&amp;AS[[#This Row],[Age Band Code]]&amp;"; "&amp;S854&amp;AS[[#This Row],[Sex Code]]</f>
        <v xml:space="preserve">Insurer Code ; Reporting Year ; Insurance Category Code ; Large Provider Entity Code ; Age Band Code ; Sex Code </v>
      </c>
      <c r="N854" s="345" t="s">
        <v>207</v>
      </c>
      <c r="O854" s="345" t="s">
        <v>208</v>
      </c>
      <c r="P854" s="345" t="s">
        <v>209</v>
      </c>
      <c r="Q854" s="345" t="s">
        <v>210</v>
      </c>
      <c r="R854" s="345" t="s">
        <v>223</v>
      </c>
      <c r="S854" s="345" t="s">
        <v>224</v>
      </c>
    </row>
    <row r="855" spans="1:19" x14ac:dyDescent="0.25">
      <c r="A855" s="311"/>
      <c r="B855" s="312"/>
      <c r="C855" s="312"/>
      <c r="D855" s="312"/>
      <c r="E855" s="312"/>
      <c r="F855" s="312"/>
      <c r="G855" s="328"/>
      <c r="H855" s="337"/>
      <c r="I855" s="334"/>
      <c r="J855" s="314"/>
      <c r="K855" s="449"/>
      <c r="M855" s="349" t="str">
        <f>N855&amp;AS[[#This Row],[Insurer Code]]&amp;"; "&amp;O855&amp;AS[[#This Row],[Reporting Year]]&amp;"; "&amp;P855&amp;AS[[#This Row],[Insurance Category Code]]&amp;"; "&amp;Q855&amp;AS[[#This Row],[Large Provider Entity Code]]&amp;"; "&amp;R855&amp;AS[[#This Row],[Age Band Code]]&amp;"; "&amp;S855&amp;AS[[#This Row],[Sex Code]]</f>
        <v xml:space="preserve">Insurer Code ; Reporting Year ; Insurance Category Code ; Large Provider Entity Code ; Age Band Code ; Sex Code </v>
      </c>
      <c r="N855" s="345" t="s">
        <v>207</v>
      </c>
      <c r="O855" s="345" t="s">
        <v>208</v>
      </c>
      <c r="P855" s="345" t="s">
        <v>209</v>
      </c>
      <c r="Q855" s="345" t="s">
        <v>210</v>
      </c>
      <c r="R855" s="345" t="s">
        <v>223</v>
      </c>
      <c r="S855" s="345" t="s">
        <v>224</v>
      </c>
    </row>
    <row r="856" spans="1:19" x14ac:dyDescent="0.25">
      <c r="A856" s="311"/>
      <c r="B856" s="312"/>
      <c r="C856" s="312"/>
      <c r="D856" s="312"/>
      <c r="E856" s="312"/>
      <c r="F856" s="312"/>
      <c r="G856" s="328"/>
      <c r="H856" s="337"/>
      <c r="I856" s="334"/>
      <c r="J856" s="314"/>
      <c r="K856" s="449"/>
      <c r="M856" s="349" t="str">
        <f>N856&amp;AS[[#This Row],[Insurer Code]]&amp;"; "&amp;O856&amp;AS[[#This Row],[Reporting Year]]&amp;"; "&amp;P856&amp;AS[[#This Row],[Insurance Category Code]]&amp;"; "&amp;Q856&amp;AS[[#This Row],[Large Provider Entity Code]]&amp;"; "&amp;R856&amp;AS[[#This Row],[Age Band Code]]&amp;"; "&amp;S856&amp;AS[[#This Row],[Sex Code]]</f>
        <v xml:space="preserve">Insurer Code ; Reporting Year ; Insurance Category Code ; Large Provider Entity Code ; Age Band Code ; Sex Code </v>
      </c>
      <c r="N856" s="345" t="s">
        <v>207</v>
      </c>
      <c r="O856" s="345" t="s">
        <v>208</v>
      </c>
      <c r="P856" s="345" t="s">
        <v>209</v>
      </c>
      <c r="Q856" s="345" t="s">
        <v>210</v>
      </c>
      <c r="R856" s="345" t="s">
        <v>223</v>
      </c>
      <c r="S856" s="345" t="s">
        <v>224</v>
      </c>
    </row>
    <row r="857" spans="1:19" x14ac:dyDescent="0.25">
      <c r="A857" s="311"/>
      <c r="B857" s="312"/>
      <c r="C857" s="312"/>
      <c r="D857" s="312"/>
      <c r="E857" s="312"/>
      <c r="F857" s="312"/>
      <c r="G857" s="328"/>
      <c r="H857" s="337"/>
      <c r="I857" s="334"/>
      <c r="J857" s="314"/>
      <c r="K857" s="449"/>
      <c r="M857" s="349" t="str">
        <f>N857&amp;AS[[#This Row],[Insurer Code]]&amp;"; "&amp;O857&amp;AS[[#This Row],[Reporting Year]]&amp;"; "&amp;P857&amp;AS[[#This Row],[Insurance Category Code]]&amp;"; "&amp;Q857&amp;AS[[#This Row],[Large Provider Entity Code]]&amp;"; "&amp;R857&amp;AS[[#This Row],[Age Band Code]]&amp;"; "&amp;S857&amp;AS[[#This Row],[Sex Code]]</f>
        <v xml:space="preserve">Insurer Code ; Reporting Year ; Insurance Category Code ; Large Provider Entity Code ; Age Band Code ; Sex Code </v>
      </c>
      <c r="N857" s="345" t="s">
        <v>207</v>
      </c>
      <c r="O857" s="345" t="s">
        <v>208</v>
      </c>
      <c r="P857" s="345" t="s">
        <v>209</v>
      </c>
      <c r="Q857" s="345" t="s">
        <v>210</v>
      </c>
      <c r="R857" s="345" t="s">
        <v>223</v>
      </c>
      <c r="S857" s="345" t="s">
        <v>224</v>
      </c>
    </row>
    <row r="858" spans="1:19" x14ac:dyDescent="0.25">
      <c r="A858" s="311"/>
      <c r="B858" s="312"/>
      <c r="C858" s="312"/>
      <c r="D858" s="312"/>
      <c r="E858" s="312"/>
      <c r="F858" s="312"/>
      <c r="G858" s="328"/>
      <c r="H858" s="337"/>
      <c r="I858" s="334"/>
      <c r="J858" s="314"/>
      <c r="K858" s="449"/>
      <c r="M858" s="349" t="str">
        <f>N858&amp;AS[[#This Row],[Insurer Code]]&amp;"; "&amp;O858&amp;AS[[#This Row],[Reporting Year]]&amp;"; "&amp;P858&amp;AS[[#This Row],[Insurance Category Code]]&amp;"; "&amp;Q858&amp;AS[[#This Row],[Large Provider Entity Code]]&amp;"; "&amp;R858&amp;AS[[#This Row],[Age Band Code]]&amp;"; "&amp;S858&amp;AS[[#This Row],[Sex Code]]</f>
        <v xml:space="preserve">Insurer Code ; Reporting Year ; Insurance Category Code ; Large Provider Entity Code ; Age Band Code ; Sex Code </v>
      </c>
      <c r="N858" s="345" t="s">
        <v>207</v>
      </c>
      <c r="O858" s="345" t="s">
        <v>208</v>
      </c>
      <c r="P858" s="345" t="s">
        <v>209</v>
      </c>
      <c r="Q858" s="345" t="s">
        <v>210</v>
      </c>
      <c r="R858" s="345" t="s">
        <v>223</v>
      </c>
      <c r="S858" s="345" t="s">
        <v>224</v>
      </c>
    </row>
    <row r="859" spans="1:19" x14ac:dyDescent="0.25">
      <c r="A859" s="311"/>
      <c r="B859" s="312"/>
      <c r="C859" s="312"/>
      <c r="D859" s="312"/>
      <c r="E859" s="312"/>
      <c r="F859" s="312"/>
      <c r="G859" s="328"/>
      <c r="H859" s="337"/>
      <c r="I859" s="334"/>
      <c r="J859" s="314"/>
      <c r="K859" s="449"/>
      <c r="M859" s="349" t="str">
        <f>N859&amp;AS[[#This Row],[Insurer Code]]&amp;"; "&amp;O859&amp;AS[[#This Row],[Reporting Year]]&amp;"; "&amp;P859&amp;AS[[#This Row],[Insurance Category Code]]&amp;"; "&amp;Q859&amp;AS[[#This Row],[Large Provider Entity Code]]&amp;"; "&amp;R859&amp;AS[[#This Row],[Age Band Code]]&amp;"; "&amp;S859&amp;AS[[#This Row],[Sex Code]]</f>
        <v xml:space="preserve">Insurer Code ; Reporting Year ; Insurance Category Code ; Large Provider Entity Code ; Age Band Code ; Sex Code </v>
      </c>
      <c r="N859" s="345" t="s">
        <v>207</v>
      </c>
      <c r="O859" s="345" t="s">
        <v>208</v>
      </c>
      <c r="P859" s="345" t="s">
        <v>209</v>
      </c>
      <c r="Q859" s="345" t="s">
        <v>210</v>
      </c>
      <c r="R859" s="345" t="s">
        <v>223</v>
      </c>
      <c r="S859" s="345" t="s">
        <v>224</v>
      </c>
    </row>
    <row r="860" spans="1:19" x14ac:dyDescent="0.25">
      <c r="A860" s="311"/>
      <c r="B860" s="312"/>
      <c r="C860" s="312"/>
      <c r="D860" s="312"/>
      <c r="E860" s="312"/>
      <c r="F860" s="312"/>
      <c r="G860" s="328"/>
      <c r="H860" s="337"/>
      <c r="I860" s="334"/>
      <c r="J860" s="314"/>
      <c r="K860" s="449"/>
      <c r="M860" s="349" t="str">
        <f>N860&amp;AS[[#This Row],[Insurer Code]]&amp;"; "&amp;O860&amp;AS[[#This Row],[Reporting Year]]&amp;"; "&amp;P860&amp;AS[[#This Row],[Insurance Category Code]]&amp;"; "&amp;Q860&amp;AS[[#This Row],[Large Provider Entity Code]]&amp;"; "&amp;R860&amp;AS[[#This Row],[Age Band Code]]&amp;"; "&amp;S860&amp;AS[[#This Row],[Sex Code]]</f>
        <v xml:space="preserve">Insurer Code ; Reporting Year ; Insurance Category Code ; Large Provider Entity Code ; Age Band Code ; Sex Code </v>
      </c>
      <c r="N860" s="345" t="s">
        <v>207</v>
      </c>
      <c r="O860" s="345" t="s">
        <v>208</v>
      </c>
      <c r="P860" s="345" t="s">
        <v>209</v>
      </c>
      <c r="Q860" s="345" t="s">
        <v>210</v>
      </c>
      <c r="R860" s="345" t="s">
        <v>223</v>
      </c>
      <c r="S860" s="345" t="s">
        <v>224</v>
      </c>
    </row>
    <row r="861" spans="1:19" x14ac:dyDescent="0.25">
      <c r="A861" s="311"/>
      <c r="B861" s="312"/>
      <c r="C861" s="312"/>
      <c r="D861" s="312"/>
      <c r="E861" s="312"/>
      <c r="F861" s="312"/>
      <c r="G861" s="328"/>
      <c r="H861" s="337"/>
      <c r="I861" s="334"/>
      <c r="J861" s="314"/>
      <c r="K861" s="449"/>
      <c r="M861" s="349" t="str">
        <f>N861&amp;AS[[#This Row],[Insurer Code]]&amp;"; "&amp;O861&amp;AS[[#This Row],[Reporting Year]]&amp;"; "&amp;P861&amp;AS[[#This Row],[Insurance Category Code]]&amp;"; "&amp;Q861&amp;AS[[#This Row],[Large Provider Entity Code]]&amp;"; "&amp;R861&amp;AS[[#This Row],[Age Band Code]]&amp;"; "&amp;S861&amp;AS[[#This Row],[Sex Code]]</f>
        <v xml:space="preserve">Insurer Code ; Reporting Year ; Insurance Category Code ; Large Provider Entity Code ; Age Band Code ; Sex Code </v>
      </c>
      <c r="N861" s="345" t="s">
        <v>207</v>
      </c>
      <c r="O861" s="345" t="s">
        <v>208</v>
      </c>
      <c r="P861" s="345" t="s">
        <v>209</v>
      </c>
      <c r="Q861" s="345" t="s">
        <v>210</v>
      </c>
      <c r="R861" s="345" t="s">
        <v>223</v>
      </c>
      <c r="S861" s="345" t="s">
        <v>224</v>
      </c>
    </row>
    <row r="862" spans="1:19" x14ac:dyDescent="0.25">
      <c r="A862" s="311"/>
      <c r="B862" s="312"/>
      <c r="C862" s="312"/>
      <c r="D862" s="312"/>
      <c r="E862" s="312"/>
      <c r="F862" s="312"/>
      <c r="G862" s="328"/>
      <c r="H862" s="337"/>
      <c r="I862" s="334"/>
      <c r="J862" s="314"/>
      <c r="K862" s="449"/>
      <c r="M862" s="349" t="str">
        <f>N862&amp;AS[[#This Row],[Insurer Code]]&amp;"; "&amp;O862&amp;AS[[#This Row],[Reporting Year]]&amp;"; "&amp;P862&amp;AS[[#This Row],[Insurance Category Code]]&amp;"; "&amp;Q862&amp;AS[[#This Row],[Large Provider Entity Code]]&amp;"; "&amp;R862&amp;AS[[#This Row],[Age Band Code]]&amp;"; "&amp;S862&amp;AS[[#This Row],[Sex Code]]</f>
        <v xml:space="preserve">Insurer Code ; Reporting Year ; Insurance Category Code ; Large Provider Entity Code ; Age Band Code ; Sex Code </v>
      </c>
      <c r="N862" s="345" t="s">
        <v>207</v>
      </c>
      <c r="O862" s="345" t="s">
        <v>208</v>
      </c>
      <c r="P862" s="345" t="s">
        <v>209</v>
      </c>
      <c r="Q862" s="345" t="s">
        <v>210</v>
      </c>
      <c r="R862" s="345" t="s">
        <v>223</v>
      </c>
      <c r="S862" s="345" t="s">
        <v>224</v>
      </c>
    </row>
    <row r="863" spans="1:19" x14ac:dyDescent="0.25">
      <c r="A863" s="311"/>
      <c r="B863" s="312"/>
      <c r="C863" s="312"/>
      <c r="D863" s="312"/>
      <c r="E863" s="312"/>
      <c r="F863" s="312"/>
      <c r="G863" s="328"/>
      <c r="H863" s="337"/>
      <c r="I863" s="334"/>
      <c r="J863" s="314"/>
      <c r="K863" s="449"/>
      <c r="M863" s="349" t="str">
        <f>N863&amp;AS[[#This Row],[Insurer Code]]&amp;"; "&amp;O863&amp;AS[[#This Row],[Reporting Year]]&amp;"; "&amp;P863&amp;AS[[#This Row],[Insurance Category Code]]&amp;"; "&amp;Q863&amp;AS[[#This Row],[Large Provider Entity Code]]&amp;"; "&amp;R863&amp;AS[[#This Row],[Age Band Code]]&amp;"; "&amp;S863&amp;AS[[#This Row],[Sex Code]]</f>
        <v xml:space="preserve">Insurer Code ; Reporting Year ; Insurance Category Code ; Large Provider Entity Code ; Age Band Code ; Sex Code </v>
      </c>
      <c r="N863" s="345" t="s">
        <v>207</v>
      </c>
      <c r="O863" s="345" t="s">
        <v>208</v>
      </c>
      <c r="P863" s="345" t="s">
        <v>209</v>
      </c>
      <c r="Q863" s="345" t="s">
        <v>210</v>
      </c>
      <c r="R863" s="345" t="s">
        <v>223</v>
      </c>
      <c r="S863" s="345" t="s">
        <v>224</v>
      </c>
    </row>
    <row r="864" spans="1:19" x14ac:dyDescent="0.25">
      <c r="A864" s="311"/>
      <c r="B864" s="312"/>
      <c r="C864" s="312"/>
      <c r="D864" s="312"/>
      <c r="E864" s="312"/>
      <c r="F864" s="312"/>
      <c r="G864" s="328"/>
      <c r="H864" s="337"/>
      <c r="I864" s="334"/>
      <c r="J864" s="314"/>
      <c r="K864" s="449"/>
      <c r="M864" s="349" t="str">
        <f>N864&amp;AS[[#This Row],[Insurer Code]]&amp;"; "&amp;O864&amp;AS[[#This Row],[Reporting Year]]&amp;"; "&amp;P864&amp;AS[[#This Row],[Insurance Category Code]]&amp;"; "&amp;Q864&amp;AS[[#This Row],[Large Provider Entity Code]]&amp;"; "&amp;R864&amp;AS[[#This Row],[Age Band Code]]&amp;"; "&amp;S864&amp;AS[[#This Row],[Sex Code]]</f>
        <v xml:space="preserve">Insurer Code ; Reporting Year ; Insurance Category Code ; Large Provider Entity Code ; Age Band Code ; Sex Code </v>
      </c>
      <c r="N864" s="345" t="s">
        <v>207</v>
      </c>
      <c r="O864" s="345" t="s">
        <v>208</v>
      </c>
      <c r="P864" s="345" t="s">
        <v>209</v>
      </c>
      <c r="Q864" s="345" t="s">
        <v>210</v>
      </c>
      <c r="R864" s="345" t="s">
        <v>223</v>
      </c>
      <c r="S864" s="345" t="s">
        <v>224</v>
      </c>
    </row>
    <row r="865" spans="1:19" x14ac:dyDescent="0.25">
      <c r="A865" s="311"/>
      <c r="B865" s="312"/>
      <c r="C865" s="312"/>
      <c r="D865" s="312"/>
      <c r="E865" s="312"/>
      <c r="F865" s="312"/>
      <c r="G865" s="328"/>
      <c r="H865" s="337"/>
      <c r="I865" s="334"/>
      <c r="J865" s="314"/>
      <c r="K865" s="449"/>
      <c r="M865" s="349" t="str">
        <f>N865&amp;AS[[#This Row],[Insurer Code]]&amp;"; "&amp;O865&amp;AS[[#This Row],[Reporting Year]]&amp;"; "&amp;P865&amp;AS[[#This Row],[Insurance Category Code]]&amp;"; "&amp;Q865&amp;AS[[#This Row],[Large Provider Entity Code]]&amp;"; "&amp;R865&amp;AS[[#This Row],[Age Band Code]]&amp;"; "&amp;S865&amp;AS[[#This Row],[Sex Code]]</f>
        <v xml:space="preserve">Insurer Code ; Reporting Year ; Insurance Category Code ; Large Provider Entity Code ; Age Band Code ; Sex Code </v>
      </c>
      <c r="N865" s="345" t="s">
        <v>207</v>
      </c>
      <c r="O865" s="345" t="s">
        <v>208</v>
      </c>
      <c r="P865" s="345" t="s">
        <v>209</v>
      </c>
      <c r="Q865" s="345" t="s">
        <v>210</v>
      </c>
      <c r="R865" s="345" t="s">
        <v>223</v>
      </c>
      <c r="S865" s="345" t="s">
        <v>224</v>
      </c>
    </row>
    <row r="866" spans="1:19" x14ac:dyDescent="0.25">
      <c r="A866" s="311"/>
      <c r="B866" s="312"/>
      <c r="C866" s="312"/>
      <c r="D866" s="312"/>
      <c r="E866" s="312"/>
      <c r="F866" s="312"/>
      <c r="G866" s="328"/>
      <c r="H866" s="337"/>
      <c r="I866" s="334"/>
      <c r="J866" s="314"/>
      <c r="K866" s="449"/>
      <c r="M866" s="349" t="str">
        <f>N866&amp;AS[[#This Row],[Insurer Code]]&amp;"; "&amp;O866&amp;AS[[#This Row],[Reporting Year]]&amp;"; "&amp;P866&amp;AS[[#This Row],[Insurance Category Code]]&amp;"; "&amp;Q866&amp;AS[[#This Row],[Large Provider Entity Code]]&amp;"; "&amp;R866&amp;AS[[#This Row],[Age Band Code]]&amp;"; "&amp;S866&amp;AS[[#This Row],[Sex Code]]</f>
        <v xml:space="preserve">Insurer Code ; Reporting Year ; Insurance Category Code ; Large Provider Entity Code ; Age Band Code ; Sex Code </v>
      </c>
      <c r="N866" s="345" t="s">
        <v>207</v>
      </c>
      <c r="O866" s="345" t="s">
        <v>208</v>
      </c>
      <c r="P866" s="345" t="s">
        <v>209</v>
      </c>
      <c r="Q866" s="345" t="s">
        <v>210</v>
      </c>
      <c r="R866" s="345" t="s">
        <v>223</v>
      </c>
      <c r="S866" s="345" t="s">
        <v>224</v>
      </c>
    </row>
    <row r="867" spans="1:19" x14ac:dyDescent="0.25">
      <c r="A867" s="311"/>
      <c r="B867" s="312"/>
      <c r="C867" s="312"/>
      <c r="D867" s="312"/>
      <c r="E867" s="312"/>
      <c r="F867" s="312"/>
      <c r="G867" s="328"/>
      <c r="H867" s="337"/>
      <c r="I867" s="334"/>
      <c r="J867" s="314"/>
      <c r="K867" s="449"/>
      <c r="M867" s="349" t="str">
        <f>N867&amp;AS[[#This Row],[Insurer Code]]&amp;"; "&amp;O867&amp;AS[[#This Row],[Reporting Year]]&amp;"; "&amp;P867&amp;AS[[#This Row],[Insurance Category Code]]&amp;"; "&amp;Q867&amp;AS[[#This Row],[Large Provider Entity Code]]&amp;"; "&amp;R867&amp;AS[[#This Row],[Age Band Code]]&amp;"; "&amp;S867&amp;AS[[#This Row],[Sex Code]]</f>
        <v xml:space="preserve">Insurer Code ; Reporting Year ; Insurance Category Code ; Large Provider Entity Code ; Age Band Code ; Sex Code </v>
      </c>
      <c r="N867" s="345" t="s">
        <v>207</v>
      </c>
      <c r="O867" s="345" t="s">
        <v>208</v>
      </c>
      <c r="P867" s="345" t="s">
        <v>209</v>
      </c>
      <c r="Q867" s="345" t="s">
        <v>210</v>
      </c>
      <c r="R867" s="345" t="s">
        <v>223</v>
      </c>
      <c r="S867" s="345" t="s">
        <v>224</v>
      </c>
    </row>
    <row r="868" spans="1:19" x14ac:dyDescent="0.25">
      <c r="A868" s="311"/>
      <c r="B868" s="312"/>
      <c r="C868" s="312"/>
      <c r="D868" s="312"/>
      <c r="E868" s="312"/>
      <c r="F868" s="312"/>
      <c r="G868" s="328"/>
      <c r="H868" s="337"/>
      <c r="I868" s="334"/>
      <c r="J868" s="314"/>
      <c r="K868" s="449"/>
      <c r="M868" s="349" t="str">
        <f>N868&amp;AS[[#This Row],[Insurer Code]]&amp;"; "&amp;O868&amp;AS[[#This Row],[Reporting Year]]&amp;"; "&amp;P868&amp;AS[[#This Row],[Insurance Category Code]]&amp;"; "&amp;Q868&amp;AS[[#This Row],[Large Provider Entity Code]]&amp;"; "&amp;R868&amp;AS[[#This Row],[Age Band Code]]&amp;"; "&amp;S868&amp;AS[[#This Row],[Sex Code]]</f>
        <v xml:space="preserve">Insurer Code ; Reporting Year ; Insurance Category Code ; Large Provider Entity Code ; Age Band Code ; Sex Code </v>
      </c>
      <c r="N868" s="345" t="s">
        <v>207</v>
      </c>
      <c r="O868" s="345" t="s">
        <v>208</v>
      </c>
      <c r="P868" s="345" t="s">
        <v>209</v>
      </c>
      <c r="Q868" s="345" t="s">
        <v>210</v>
      </c>
      <c r="R868" s="345" t="s">
        <v>223</v>
      </c>
      <c r="S868" s="345" t="s">
        <v>224</v>
      </c>
    </row>
    <row r="869" spans="1:19" x14ac:dyDescent="0.25">
      <c r="A869" s="311"/>
      <c r="B869" s="312"/>
      <c r="C869" s="312"/>
      <c r="D869" s="312"/>
      <c r="E869" s="312"/>
      <c r="F869" s="312"/>
      <c r="G869" s="328"/>
      <c r="H869" s="337"/>
      <c r="I869" s="334"/>
      <c r="J869" s="314"/>
      <c r="K869" s="449"/>
      <c r="M869" s="349" t="str">
        <f>N869&amp;AS[[#This Row],[Insurer Code]]&amp;"; "&amp;O869&amp;AS[[#This Row],[Reporting Year]]&amp;"; "&amp;P869&amp;AS[[#This Row],[Insurance Category Code]]&amp;"; "&amp;Q869&amp;AS[[#This Row],[Large Provider Entity Code]]&amp;"; "&amp;R869&amp;AS[[#This Row],[Age Band Code]]&amp;"; "&amp;S869&amp;AS[[#This Row],[Sex Code]]</f>
        <v xml:space="preserve">Insurer Code ; Reporting Year ; Insurance Category Code ; Large Provider Entity Code ; Age Band Code ; Sex Code </v>
      </c>
      <c r="N869" s="345" t="s">
        <v>207</v>
      </c>
      <c r="O869" s="345" t="s">
        <v>208</v>
      </c>
      <c r="P869" s="345" t="s">
        <v>209</v>
      </c>
      <c r="Q869" s="345" t="s">
        <v>210</v>
      </c>
      <c r="R869" s="345" t="s">
        <v>223</v>
      </c>
      <c r="S869" s="345" t="s">
        <v>224</v>
      </c>
    </row>
    <row r="870" spans="1:19" x14ac:dyDescent="0.25">
      <c r="A870" s="311"/>
      <c r="B870" s="312"/>
      <c r="C870" s="312"/>
      <c r="D870" s="312"/>
      <c r="E870" s="312"/>
      <c r="F870" s="312"/>
      <c r="G870" s="328"/>
      <c r="H870" s="337"/>
      <c r="I870" s="334"/>
      <c r="J870" s="314"/>
      <c r="K870" s="449"/>
      <c r="M870" s="349" t="str">
        <f>N870&amp;AS[[#This Row],[Insurer Code]]&amp;"; "&amp;O870&amp;AS[[#This Row],[Reporting Year]]&amp;"; "&amp;P870&amp;AS[[#This Row],[Insurance Category Code]]&amp;"; "&amp;Q870&amp;AS[[#This Row],[Large Provider Entity Code]]&amp;"; "&amp;R870&amp;AS[[#This Row],[Age Band Code]]&amp;"; "&amp;S870&amp;AS[[#This Row],[Sex Code]]</f>
        <v xml:space="preserve">Insurer Code ; Reporting Year ; Insurance Category Code ; Large Provider Entity Code ; Age Band Code ; Sex Code </v>
      </c>
      <c r="N870" s="345" t="s">
        <v>207</v>
      </c>
      <c r="O870" s="345" t="s">
        <v>208</v>
      </c>
      <c r="P870" s="345" t="s">
        <v>209</v>
      </c>
      <c r="Q870" s="345" t="s">
        <v>210</v>
      </c>
      <c r="R870" s="345" t="s">
        <v>223</v>
      </c>
      <c r="S870" s="345" t="s">
        <v>224</v>
      </c>
    </row>
    <row r="871" spans="1:19" x14ac:dyDescent="0.25">
      <c r="A871" s="311"/>
      <c r="B871" s="312"/>
      <c r="C871" s="312"/>
      <c r="D871" s="312"/>
      <c r="E871" s="312"/>
      <c r="F871" s="312"/>
      <c r="G871" s="328"/>
      <c r="H871" s="337"/>
      <c r="I871" s="334"/>
      <c r="J871" s="314"/>
      <c r="K871" s="449"/>
      <c r="M871" s="349" t="str">
        <f>N871&amp;AS[[#This Row],[Insurer Code]]&amp;"; "&amp;O871&amp;AS[[#This Row],[Reporting Year]]&amp;"; "&amp;P871&amp;AS[[#This Row],[Insurance Category Code]]&amp;"; "&amp;Q871&amp;AS[[#This Row],[Large Provider Entity Code]]&amp;"; "&amp;R871&amp;AS[[#This Row],[Age Band Code]]&amp;"; "&amp;S871&amp;AS[[#This Row],[Sex Code]]</f>
        <v xml:space="preserve">Insurer Code ; Reporting Year ; Insurance Category Code ; Large Provider Entity Code ; Age Band Code ; Sex Code </v>
      </c>
      <c r="N871" s="345" t="s">
        <v>207</v>
      </c>
      <c r="O871" s="345" t="s">
        <v>208</v>
      </c>
      <c r="P871" s="345" t="s">
        <v>209</v>
      </c>
      <c r="Q871" s="345" t="s">
        <v>210</v>
      </c>
      <c r="R871" s="345" t="s">
        <v>223</v>
      </c>
      <c r="S871" s="345" t="s">
        <v>224</v>
      </c>
    </row>
    <row r="872" spans="1:19" x14ac:dyDescent="0.25">
      <c r="A872" s="311"/>
      <c r="B872" s="312"/>
      <c r="C872" s="312"/>
      <c r="D872" s="312"/>
      <c r="E872" s="312"/>
      <c r="F872" s="312"/>
      <c r="G872" s="328"/>
      <c r="H872" s="337"/>
      <c r="I872" s="334"/>
      <c r="J872" s="314"/>
      <c r="K872" s="449"/>
      <c r="M872" s="349" t="str">
        <f>N872&amp;AS[[#This Row],[Insurer Code]]&amp;"; "&amp;O872&amp;AS[[#This Row],[Reporting Year]]&amp;"; "&amp;P872&amp;AS[[#This Row],[Insurance Category Code]]&amp;"; "&amp;Q872&amp;AS[[#This Row],[Large Provider Entity Code]]&amp;"; "&amp;R872&amp;AS[[#This Row],[Age Band Code]]&amp;"; "&amp;S872&amp;AS[[#This Row],[Sex Code]]</f>
        <v xml:space="preserve">Insurer Code ; Reporting Year ; Insurance Category Code ; Large Provider Entity Code ; Age Band Code ; Sex Code </v>
      </c>
      <c r="N872" s="345" t="s">
        <v>207</v>
      </c>
      <c r="O872" s="345" t="s">
        <v>208</v>
      </c>
      <c r="P872" s="345" t="s">
        <v>209</v>
      </c>
      <c r="Q872" s="345" t="s">
        <v>210</v>
      </c>
      <c r="R872" s="345" t="s">
        <v>223</v>
      </c>
      <c r="S872" s="345" t="s">
        <v>224</v>
      </c>
    </row>
    <row r="873" spans="1:19" x14ac:dyDescent="0.25">
      <c r="A873" s="311"/>
      <c r="B873" s="312"/>
      <c r="C873" s="312"/>
      <c r="D873" s="312"/>
      <c r="E873" s="312"/>
      <c r="F873" s="312"/>
      <c r="G873" s="328"/>
      <c r="H873" s="337"/>
      <c r="I873" s="334"/>
      <c r="J873" s="314"/>
      <c r="K873" s="449"/>
      <c r="M873" s="349" t="str">
        <f>N873&amp;AS[[#This Row],[Insurer Code]]&amp;"; "&amp;O873&amp;AS[[#This Row],[Reporting Year]]&amp;"; "&amp;P873&amp;AS[[#This Row],[Insurance Category Code]]&amp;"; "&amp;Q873&amp;AS[[#This Row],[Large Provider Entity Code]]&amp;"; "&amp;R873&amp;AS[[#This Row],[Age Band Code]]&amp;"; "&amp;S873&amp;AS[[#This Row],[Sex Code]]</f>
        <v xml:space="preserve">Insurer Code ; Reporting Year ; Insurance Category Code ; Large Provider Entity Code ; Age Band Code ; Sex Code </v>
      </c>
      <c r="N873" s="345" t="s">
        <v>207</v>
      </c>
      <c r="O873" s="345" t="s">
        <v>208</v>
      </c>
      <c r="P873" s="345" t="s">
        <v>209</v>
      </c>
      <c r="Q873" s="345" t="s">
        <v>210</v>
      </c>
      <c r="R873" s="345" t="s">
        <v>223</v>
      </c>
      <c r="S873" s="345" t="s">
        <v>224</v>
      </c>
    </row>
    <row r="874" spans="1:19" x14ac:dyDescent="0.25">
      <c r="A874" s="311"/>
      <c r="B874" s="312"/>
      <c r="C874" s="312"/>
      <c r="D874" s="312"/>
      <c r="E874" s="312"/>
      <c r="F874" s="312"/>
      <c r="G874" s="328"/>
      <c r="H874" s="337"/>
      <c r="I874" s="334"/>
      <c r="J874" s="314"/>
      <c r="K874" s="449"/>
      <c r="M874" s="349" t="str">
        <f>N874&amp;AS[[#This Row],[Insurer Code]]&amp;"; "&amp;O874&amp;AS[[#This Row],[Reporting Year]]&amp;"; "&amp;P874&amp;AS[[#This Row],[Insurance Category Code]]&amp;"; "&amp;Q874&amp;AS[[#This Row],[Large Provider Entity Code]]&amp;"; "&amp;R874&amp;AS[[#This Row],[Age Band Code]]&amp;"; "&amp;S874&amp;AS[[#This Row],[Sex Code]]</f>
        <v xml:space="preserve">Insurer Code ; Reporting Year ; Insurance Category Code ; Large Provider Entity Code ; Age Band Code ; Sex Code </v>
      </c>
      <c r="N874" s="345" t="s">
        <v>207</v>
      </c>
      <c r="O874" s="345" t="s">
        <v>208</v>
      </c>
      <c r="P874" s="345" t="s">
        <v>209</v>
      </c>
      <c r="Q874" s="345" t="s">
        <v>210</v>
      </c>
      <c r="R874" s="345" t="s">
        <v>223</v>
      </c>
      <c r="S874" s="345" t="s">
        <v>224</v>
      </c>
    </row>
    <row r="875" spans="1:19" x14ac:dyDescent="0.25">
      <c r="A875" s="311"/>
      <c r="B875" s="312"/>
      <c r="C875" s="312"/>
      <c r="D875" s="312"/>
      <c r="E875" s="312"/>
      <c r="F875" s="312"/>
      <c r="G875" s="328"/>
      <c r="H875" s="337"/>
      <c r="I875" s="334"/>
      <c r="J875" s="314"/>
      <c r="K875" s="449"/>
      <c r="M875" s="349" t="str">
        <f>N875&amp;AS[[#This Row],[Insurer Code]]&amp;"; "&amp;O875&amp;AS[[#This Row],[Reporting Year]]&amp;"; "&amp;P875&amp;AS[[#This Row],[Insurance Category Code]]&amp;"; "&amp;Q875&amp;AS[[#This Row],[Large Provider Entity Code]]&amp;"; "&amp;R875&amp;AS[[#This Row],[Age Band Code]]&amp;"; "&amp;S875&amp;AS[[#This Row],[Sex Code]]</f>
        <v xml:space="preserve">Insurer Code ; Reporting Year ; Insurance Category Code ; Large Provider Entity Code ; Age Band Code ; Sex Code </v>
      </c>
      <c r="N875" s="345" t="s">
        <v>207</v>
      </c>
      <c r="O875" s="345" t="s">
        <v>208</v>
      </c>
      <c r="P875" s="345" t="s">
        <v>209</v>
      </c>
      <c r="Q875" s="345" t="s">
        <v>210</v>
      </c>
      <c r="R875" s="345" t="s">
        <v>223</v>
      </c>
      <c r="S875" s="345" t="s">
        <v>224</v>
      </c>
    </row>
    <row r="876" spans="1:19" x14ac:dyDescent="0.25">
      <c r="A876" s="311"/>
      <c r="B876" s="312"/>
      <c r="C876" s="312"/>
      <c r="D876" s="312"/>
      <c r="E876" s="312"/>
      <c r="F876" s="312"/>
      <c r="G876" s="328"/>
      <c r="H876" s="337"/>
      <c r="I876" s="334"/>
      <c r="J876" s="314"/>
      <c r="K876" s="449"/>
      <c r="M876" s="349" t="str">
        <f>N876&amp;AS[[#This Row],[Insurer Code]]&amp;"; "&amp;O876&amp;AS[[#This Row],[Reporting Year]]&amp;"; "&amp;P876&amp;AS[[#This Row],[Insurance Category Code]]&amp;"; "&amp;Q876&amp;AS[[#This Row],[Large Provider Entity Code]]&amp;"; "&amp;R876&amp;AS[[#This Row],[Age Band Code]]&amp;"; "&amp;S876&amp;AS[[#This Row],[Sex Code]]</f>
        <v xml:space="preserve">Insurer Code ; Reporting Year ; Insurance Category Code ; Large Provider Entity Code ; Age Band Code ; Sex Code </v>
      </c>
      <c r="N876" s="345" t="s">
        <v>207</v>
      </c>
      <c r="O876" s="345" t="s">
        <v>208</v>
      </c>
      <c r="P876" s="345" t="s">
        <v>209</v>
      </c>
      <c r="Q876" s="345" t="s">
        <v>210</v>
      </c>
      <c r="R876" s="345" t="s">
        <v>223</v>
      </c>
      <c r="S876" s="345" t="s">
        <v>224</v>
      </c>
    </row>
    <row r="877" spans="1:19" x14ac:dyDescent="0.25">
      <c r="A877" s="311"/>
      <c r="B877" s="312"/>
      <c r="C877" s="312"/>
      <c r="D877" s="312"/>
      <c r="E877" s="312"/>
      <c r="F877" s="312"/>
      <c r="G877" s="328"/>
      <c r="H877" s="337"/>
      <c r="I877" s="334"/>
      <c r="J877" s="314"/>
      <c r="K877" s="449"/>
      <c r="M877" s="349" t="str">
        <f>N877&amp;AS[[#This Row],[Insurer Code]]&amp;"; "&amp;O877&amp;AS[[#This Row],[Reporting Year]]&amp;"; "&amp;P877&amp;AS[[#This Row],[Insurance Category Code]]&amp;"; "&amp;Q877&amp;AS[[#This Row],[Large Provider Entity Code]]&amp;"; "&amp;R877&amp;AS[[#This Row],[Age Band Code]]&amp;"; "&amp;S877&amp;AS[[#This Row],[Sex Code]]</f>
        <v xml:space="preserve">Insurer Code ; Reporting Year ; Insurance Category Code ; Large Provider Entity Code ; Age Band Code ; Sex Code </v>
      </c>
      <c r="N877" s="345" t="s">
        <v>207</v>
      </c>
      <c r="O877" s="345" t="s">
        <v>208</v>
      </c>
      <c r="P877" s="345" t="s">
        <v>209</v>
      </c>
      <c r="Q877" s="345" t="s">
        <v>210</v>
      </c>
      <c r="R877" s="345" t="s">
        <v>223</v>
      </c>
      <c r="S877" s="345" t="s">
        <v>224</v>
      </c>
    </row>
    <row r="878" spans="1:19" x14ac:dyDescent="0.25">
      <c r="A878" s="311"/>
      <c r="B878" s="312"/>
      <c r="C878" s="312"/>
      <c r="D878" s="312"/>
      <c r="E878" s="312"/>
      <c r="F878" s="312"/>
      <c r="G878" s="328"/>
      <c r="H878" s="337"/>
      <c r="I878" s="334"/>
      <c r="J878" s="314"/>
      <c r="K878" s="449"/>
      <c r="M878" s="349" t="str">
        <f>N878&amp;AS[[#This Row],[Insurer Code]]&amp;"; "&amp;O878&amp;AS[[#This Row],[Reporting Year]]&amp;"; "&amp;P878&amp;AS[[#This Row],[Insurance Category Code]]&amp;"; "&amp;Q878&amp;AS[[#This Row],[Large Provider Entity Code]]&amp;"; "&amp;R878&amp;AS[[#This Row],[Age Band Code]]&amp;"; "&amp;S878&amp;AS[[#This Row],[Sex Code]]</f>
        <v xml:space="preserve">Insurer Code ; Reporting Year ; Insurance Category Code ; Large Provider Entity Code ; Age Band Code ; Sex Code </v>
      </c>
      <c r="N878" s="345" t="s">
        <v>207</v>
      </c>
      <c r="O878" s="345" t="s">
        <v>208</v>
      </c>
      <c r="P878" s="345" t="s">
        <v>209</v>
      </c>
      <c r="Q878" s="345" t="s">
        <v>210</v>
      </c>
      <c r="R878" s="345" t="s">
        <v>223</v>
      </c>
      <c r="S878" s="345" t="s">
        <v>224</v>
      </c>
    </row>
    <row r="879" spans="1:19" x14ac:dyDescent="0.25">
      <c r="A879" s="311"/>
      <c r="B879" s="312"/>
      <c r="C879" s="312"/>
      <c r="D879" s="312"/>
      <c r="E879" s="312"/>
      <c r="F879" s="312"/>
      <c r="G879" s="328"/>
      <c r="H879" s="337"/>
      <c r="I879" s="334"/>
      <c r="J879" s="314"/>
      <c r="K879" s="449"/>
      <c r="M879" s="349" t="str">
        <f>N879&amp;AS[[#This Row],[Insurer Code]]&amp;"; "&amp;O879&amp;AS[[#This Row],[Reporting Year]]&amp;"; "&amp;P879&amp;AS[[#This Row],[Insurance Category Code]]&amp;"; "&amp;Q879&amp;AS[[#This Row],[Large Provider Entity Code]]&amp;"; "&amp;R879&amp;AS[[#This Row],[Age Band Code]]&amp;"; "&amp;S879&amp;AS[[#This Row],[Sex Code]]</f>
        <v xml:space="preserve">Insurer Code ; Reporting Year ; Insurance Category Code ; Large Provider Entity Code ; Age Band Code ; Sex Code </v>
      </c>
      <c r="N879" s="345" t="s">
        <v>207</v>
      </c>
      <c r="O879" s="345" t="s">
        <v>208</v>
      </c>
      <c r="P879" s="345" t="s">
        <v>209</v>
      </c>
      <c r="Q879" s="345" t="s">
        <v>210</v>
      </c>
      <c r="R879" s="345" t="s">
        <v>223</v>
      </c>
      <c r="S879" s="345" t="s">
        <v>224</v>
      </c>
    </row>
    <row r="880" spans="1:19" x14ac:dyDescent="0.25">
      <c r="A880" s="311"/>
      <c r="B880" s="312"/>
      <c r="C880" s="312"/>
      <c r="D880" s="312"/>
      <c r="E880" s="312"/>
      <c r="F880" s="312"/>
      <c r="G880" s="328"/>
      <c r="H880" s="337"/>
      <c r="I880" s="334"/>
      <c r="J880" s="314"/>
      <c r="K880" s="449"/>
      <c r="M880" s="349" t="str">
        <f>N880&amp;AS[[#This Row],[Insurer Code]]&amp;"; "&amp;O880&amp;AS[[#This Row],[Reporting Year]]&amp;"; "&amp;P880&amp;AS[[#This Row],[Insurance Category Code]]&amp;"; "&amp;Q880&amp;AS[[#This Row],[Large Provider Entity Code]]&amp;"; "&amp;R880&amp;AS[[#This Row],[Age Band Code]]&amp;"; "&amp;S880&amp;AS[[#This Row],[Sex Code]]</f>
        <v xml:space="preserve">Insurer Code ; Reporting Year ; Insurance Category Code ; Large Provider Entity Code ; Age Band Code ; Sex Code </v>
      </c>
      <c r="N880" s="345" t="s">
        <v>207</v>
      </c>
      <c r="O880" s="345" t="s">
        <v>208</v>
      </c>
      <c r="P880" s="345" t="s">
        <v>209</v>
      </c>
      <c r="Q880" s="345" t="s">
        <v>210</v>
      </c>
      <c r="R880" s="345" t="s">
        <v>223</v>
      </c>
      <c r="S880" s="345" t="s">
        <v>224</v>
      </c>
    </row>
    <row r="881" spans="1:19" x14ac:dyDescent="0.25">
      <c r="A881" s="311"/>
      <c r="B881" s="312"/>
      <c r="C881" s="312"/>
      <c r="D881" s="312"/>
      <c r="E881" s="312"/>
      <c r="F881" s="312"/>
      <c r="G881" s="328"/>
      <c r="H881" s="337"/>
      <c r="I881" s="334"/>
      <c r="J881" s="314"/>
      <c r="K881" s="449"/>
      <c r="M881" s="349" t="str">
        <f>N881&amp;AS[[#This Row],[Insurer Code]]&amp;"; "&amp;O881&amp;AS[[#This Row],[Reporting Year]]&amp;"; "&amp;P881&amp;AS[[#This Row],[Insurance Category Code]]&amp;"; "&amp;Q881&amp;AS[[#This Row],[Large Provider Entity Code]]&amp;"; "&amp;R881&amp;AS[[#This Row],[Age Band Code]]&amp;"; "&amp;S881&amp;AS[[#This Row],[Sex Code]]</f>
        <v xml:space="preserve">Insurer Code ; Reporting Year ; Insurance Category Code ; Large Provider Entity Code ; Age Band Code ; Sex Code </v>
      </c>
      <c r="N881" s="345" t="s">
        <v>207</v>
      </c>
      <c r="O881" s="345" t="s">
        <v>208</v>
      </c>
      <c r="P881" s="345" t="s">
        <v>209</v>
      </c>
      <c r="Q881" s="345" t="s">
        <v>210</v>
      </c>
      <c r="R881" s="345" t="s">
        <v>223</v>
      </c>
      <c r="S881" s="345" t="s">
        <v>224</v>
      </c>
    </row>
    <row r="882" spans="1:19" x14ac:dyDescent="0.25">
      <c r="A882" s="311"/>
      <c r="B882" s="312"/>
      <c r="C882" s="312"/>
      <c r="D882" s="312"/>
      <c r="E882" s="312"/>
      <c r="F882" s="312"/>
      <c r="G882" s="328"/>
      <c r="H882" s="337"/>
      <c r="I882" s="334"/>
      <c r="J882" s="314"/>
      <c r="K882" s="449"/>
      <c r="M882" s="349" t="str">
        <f>N882&amp;AS[[#This Row],[Insurer Code]]&amp;"; "&amp;O882&amp;AS[[#This Row],[Reporting Year]]&amp;"; "&amp;P882&amp;AS[[#This Row],[Insurance Category Code]]&amp;"; "&amp;Q882&amp;AS[[#This Row],[Large Provider Entity Code]]&amp;"; "&amp;R882&amp;AS[[#This Row],[Age Band Code]]&amp;"; "&amp;S882&amp;AS[[#This Row],[Sex Code]]</f>
        <v xml:space="preserve">Insurer Code ; Reporting Year ; Insurance Category Code ; Large Provider Entity Code ; Age Band Code ; Sex Code </v>
      </c>
      <c r="N882" s="345" t="s">
        <v>207</v>
      </c>
      <c r="O882" s="345" t="s">
        <v>208</v>
      </c>
      <c r="P882" s="345" t="s">
        <v>209</v>
      </c>
      <c r="Q882" s="345" t="s">
        <v>210</v>
      </c>
      <c r="R882" s="345" t="s">
        <v>223</v>
      </c>
      <c r="S882" s="345" t="s">
        <v>224</v>
      </c>
    </row>
    <row r="883" spans="1:19" x14ac:dyDescent="0.25">
      <c r="A883" s="311"/>
      <c r="B883" s="312"/>
      <c r="C883" s="312"/>
      <c r="D883" s="312"/>
      <c r="E883" s="312"/>
      <c r="F883" s="312"/>
      <c r="G883" s="328"/>
      <c r="H883" s="337"/>
      <c r="I883" s="334"/>
      <c r="J883" s="314"/>
      <c r="K883" s="449"/>
      <c r="M883" s="349" t="str">
        <f>N883&amp;AS[[#This Row],[Insurer Code]]&amp;"; "&amp;O883&amp;AS[[#This Row],[Reporting Year]]&amp;"; "&amp;P883&amp;AS[[#This Row],[Insurance Category Code]]&amp;"; "&amp;Q883&amp;AS[[#This Row],[Large Provider Entity Code]]&amp;"; "&amp;R883&amp;AS[[#This Row],[Age Band Code]]&amp;"; "&amp;S883&amp;AS[[#This Row],[Sex Code]]</f>
        <v xml:space="preserve">Insurer Code ; Reporting Year ; Insurance Category Code ; Large Provider Entity Code ; Age Band Code ; Sex Code </v>
      </c>
      <c r="N883" s="345" t="s">
        <v>207</v>
      </c>
      <c r="O883" s="345" t="s">
        <v>208</v>
      </c>
      <c r="P883" s="345" t="s">
        <v>209</v>
      </c>
      <c r="Q883" s="345" t="s">
        <v>210</v>
      </c>
      <c r="R883" s="345" t="s">
        <v>223</v>
      </c>
      <c r="S883" s="345" t="s">
        <v>224</v>
      </c>
    </row>
    <row r="884" spans="1:19" x14ac:dyDescent="0.25">
      <c r="A884" s="311"/>
      <c r="B884" s="312"/>
      <c r="C884" s="312"/>
      <c r="D884" s="312"/>
      <c r="E884" s="312"/>
      <c r="F884" s="312"/>
      <c r="G884" s="328"/>
      <c r="H884" s="337"/>
      <c r="I884" s="334"/>
      <c r="J884" s="314"/>
      <c r="K884" s="449"/>
      <c r="M884" s="349" t="str">
        <f>N884&amp;AS[[#This Row],[Insurer Code]]&amp;"; "&amp;O884&amp;AS[[#This Row],[Reporting Year]]&amp;"; "&amp;P884&amp;AS[[#This Row],[Insurance Category Code]]&amp;"; "&amp;Q884&amp;AS[[#This Row],[Large Provider Entity Code]]&amp;"; "&amp;R884&amp;AS[[#This Row],[Age Band Code]]&amp;"; "&amp;S884&amp;AS[[#This Row],[Sex Code]]</f>
        <v xml:space="preserve">Insurer Code ; Reporting Year ; Insurance Category Code ; Large Provider Entity Code ; Age Band Code ; Sex Code </v>
      </c>
      <c r="N884" s="345" t="s">
        <v>207</v>
      </c>
      <c r="O884" s="345" t="s">
        <v>208</v>
      </c>
      <c r="P884" s="345" t="s">
        <v>209</v>
      </c>
      <c r="Q884" s="345" t="s">
        <v>210</v>
      </c>
      <c r="R884" s="345" t="s">
        <v>223</v>
      </c>
      <c r="S884" s="345" t="s">
        <v>224</v>
      </c>
    </row>
    <row r="885" spans="1:19" x14ac:dyDescent="0.25">
      <c r="A885" s="311"/>
      <c r="B885" s="312"/>
      <c r="C885" s="312"/>
      <c r="D885" s="312"/>
      <c r="E885" s="312"/>
      <c r="F885" s="312"/>
      <c r="G885" s="328"/>
      <c r="H885" s="337"/>
      <c r="I885" s="334"/>
      <c r="J885" s="314"/>
      <c r="K885" s="449"/>
      <c r="M885" s="349" t="str">
        <f>N885&amp;AS[[#This Row],[Insurer Code]]&amp;"; "&amp;O885&amp;AS[[#This Row],[Reporting Year]]&amp;"; "&amp;P885&amp;AS[[#This Row],[Insurance Category Code]]&amp;"; "&amp;Q885&amp;AS[[#This Row],[Large Provider Entity Code]]&amp;"; "&amp;R885&amp;AS[[#This Row],[Age Band Code]]&amp;"; "&amp;S885&amp;AS[[#This Row],[Sex Code]]</f>
        <v xml:space="preserve">Insurer Code ; Reporting Year ; Insurance Category Code ; Large Provider Entity Code ; Age Band Code ; Sex Code </v>
      </c>
      <c r="N885" s="345" t="s">
        <v>207</v>
      </c>
      <c r="O885" s="345" t="s">
        <v>208</v>
      </c>
      <c r="P885" s="345" t="s">
        <v>209</v>
      </c>
      <c r="Q885" s="345" t="s">
        <v>210</v>
      </c>
      <c r="R885" s="345" t="s">
        <v>223</v>
      </c>
      <c r="S885" s="345" t="s">
        <v>224</v>
      </c>
    </row>
    <row r="886" spans="1:19" x14ac:dyDescent="0.25">
      <c r="A886" s="311"/>
      <c r="B886" s="312"/>
      <c r="C886" s="312"/>
      <c r="D886" s="312"/>
      <c r="E886" s="312"/>
      <c r="F886" s="312"/>
      <c r="G886" s="328"/>
      <c r="H886" s="337"/>
      <c r="I886" s="334"/>
      <c r="J886" s="314"/>
      <c r="K886" s="449"/>
      <c r="M886" s="349" t="str">
        <f>N886&amp;AS[[#This Row],[Insurer Code]]&amp;"; "&amp;O886&amp;AS[[#This Row],[Reporting Year]]&amp;"; "&amp;P886&amp;AS[[#This Row],[Insurance Category Code]]&amp;"; "&amp;Q886&amp;AS[[#This Row],[Large Provider Entity Code]]&amp;"; "&amp;R886&amp;AS[[#This Row],[Age Band Code]]&amp;"; "&amp;S886&amp;AS[[#This Row],[Sex Code]]</f>
        <v xml:space="preserve">Insurer Code ; Reporting Year ; Insurance Category Code ; Large Provider Entity Code ; Age Band Code ; Sex Code </v>
      </c>
      <c r="N886" s="345" t="s">
        <v>207</v>
      </c>
      <c r="O886" s="345" t="s">
        <v>208</v>
      </c>
      <c r="P886" s="345" t="s">
        <v>209</v>
      </c>
      <c r="Q886" s="345" t="s">
        <v>210</v>
      </c>
      <c r="R886" s="345" t="s">
        <v>223</v>
      </c>
      <c r="S886" s="345" t="s">
        <v>224</v>
      </c>
    </row>
    <row r="887" spans="1:19" x14ac:dyDescent="0.25">
      <c r="A887" s="311"/>
      <c r="B887" s="312"/>
      <c r="C887" s="312"/>
      <c r="D887" s="312"/>
      <c r="E887" s="312"/>
      <c r="F887" s="312"/>
      <c r="G887" s="328"/>
      <c r="H887" s="337"/>
      <c r="I887" s="334"/>
      <c r="J887" s="314"/>
      <c r="K887" s="449"/>
      <c r="M887" s="349" t="str">
        <f>N887&amp;AS[[#This Row],[Insurer Code]]&amp;"; "&amp;O887&amp;AS[[#This Row],[Reporting Year]]&amp;"; "&amp;P887&amp;AS[[#This Row],[Insurance Category Code]]&amp;"; "&amp;Q887&amp;AS[[#This Row],[Large Provider Entity Code]]&amp;"; "&amp;R887&amp;AS[[#This Row],[Age Band Code]]&amp;"; "&amp;S887&amp;AS[[#This Row],[Sex Code]]</f>
        <v xml:space="preserve">Insurer Code ; Reporting Year ; Insurance Category Code ; Large Provider Entity Code ; Age Band Code ; Sex Code </v>
      </c>
      <c r="N887" s="345" t="s">
        <v>207</v>
      </c>
      <c r="O887" s="345" t="s">
        <v>208</v>
      </c>
      <c r="P887" s="345" t="s">
        <v>209</v>
      </c>
      <c r="Q887" s="345" t="s">
        <v>210</v>
      </c>
      <c r="R887" s="345" t="s">
        <v>223</v>
      </c>
      <c r="S887" s="345" t="s">
        <v>224</v>
      </c>
    </row>
    <row r="888" spans="1:19" x14ac:dyDescent="0.25">
      <c r="A888" s="311"/>
      <c r="B888" s="312"/>
      <c r="C888" s="312"/>
      <c r="D888" s="312"/>
      <c r="E888" s="312"/>
      <c r="F888" s="312"/>
      <c r="G888" s="328"/>
      <c r="H888" s="337"/>
      <c r="I888" s="334"/>
      <c r="J888" s="314"/>
      <c r="K888" s="449"/>
      <c r="M888" s="349" t="str">
        <f>N888&amp;AS[[#This Row],[Insurer Code]]&amp;"; "&amp;O888&amp;AS[[#This Row],[Reporting Year]]&amp;"; "&amp;P888&amp;AS[[#This Row],[Insurance Category Code]]&amp;"; "&amp;Q888&amp;AS[[#This Row],[Large Provider Entity Code]]&amp;"; "&amp;R888&amp;AS[[#This Row],[Age Band Code]]&amp;"; "&amp;S888&amp;AS[[#This Row],[Sex Code]]</f>
        <v xml:space="preserve">Insurer Code ; Reporting Year ; Insurance Category Code ; Large Provider Entity Code ; Age Band Code ; Sex Code </v>
      </c>
      <c r="N888" s="345" t="s">
        <v>207</v>
      </c>
      <c r="O888" s="345" t="s">
        <v>208</v>
      </c>
      <c r="P888" s="345" t="s">
        <v>209</v>
      </c>
      <c r="Q888" s="345" t="s">
        <v>210</v>
      </c>
      <c r="R888" s="345" t="s">
        <v>223</v>
      </c>
      <c r="S888" s="345" t="s">
        <v>224</v>
      </c>
    </row>
    <row r="889" spans="1:19" x14ac:dyDescent="0.25">
      <c r="A889" s="311"/>
      <c r="B889" s="312"/>
      <c r="C889" s="312"/>
      <c r="D889" s="312"/>
      <c r="E889" s="312"/>
      <c r="F889" s="312"/>
      <c r="G889" s="328"/>
      <c r="H889" s="337"/>
      <c r="I889" s="334"/>
      <c r="J889" s="314"/>
      <c r="K889" s="449"/>
      <c r="M889" s="349" t="str">
        <f>N889&amp;AS[[#This Row],[Insurer Code]]&amp;"; "&amp;O889&amp;AS[[#This Row],[Reporting Year]]&amp;"; "&amp;P889&amp;AS[[#This Row],[Insurance Category Code]]&amp;"; "&amp;Q889&amp;AS[[#This Row],[Large Provider Entity Code]]&amp;"; "&amp;R889&amp;AS[[#This Row],[Age Band Code]]&amp;"; "&amp;S889&amp;AS[[#This Row],[Sex Code]]</f>
        <v xml:space="preserve">Insurer Code ; Reporting Year ; Insurance Category Code ; Large Provider Entity Code ; Age Band Code ; Sex Code </v>
      </c>
      <c r="N889" s="345" t="s">
        <v>207</v>
      </c>
      <c r="O889" s="345" t="s">
        <v>208</v>
      </c>
      <c r="P889" s="345" t="s">
        <v>209</v>
      </c>
      <c r="Q889" s="345" t="s">
        <v>210</v>
      </c>
      <c r="R889" s="345" t="s">
        <v>223</v>
      </c>
      <c r="S889" s="345" t="s">
        <v>224</v>
      </c>
    </row>
    <row r="890" spans="1:19" x14ac:dyDescent="0.25">
      <c r="A890" s="311"/>
      <c r="B890" s="312"/>
      <c r="C890" s="312"/>
      <c r="D890" s="312"/>
      <c r="E890" s="312"/>
      <c r="F890" s="312"/>
      <c r="G890" s="328"/>
      <c r="H890" s="337"/>
      <c r="I890" s="334"/>
      <c r="J890" s="314"/>
      <c r="K890" s="449"/>
      <c r="M890" s="349" t="str">
        <f>N890&amp;AS[[#This Row],[Insurer Code]]&amp;"; "&amp;O890&amp;AS[[#This Row],[Reporting Year]]&amp;"; "&amp;P890&amp;AS[[#This Row],[Insurance Category Code]]&amp;"; "&amp;Q890&amp;AS[[#This Row],[Large Provider Entity Code]]&amp;"; "&amp;R890&amp;AS[[#This Row],[Age Band Code]]&amp;"; "&amp;S890&amp;AS[[#This Row],[Sex Code]]</f>
        <v xml:space="preserve">Insurer Code ; Reporting Year ; Insurance Category Code ; Large Provider Entity Code ; Age Band Code ; Sex Code </v>
      </c>
      <c r="N890" s="345" t="s">
        <v>207</v>
      </c>
      <c r="O890" s="345" t="s">
        <v>208</v>
      </c>
      <c r="P890" s="345" t="s">
        <v>209</v>
      </c>
      <c r="Q890" s="345" t="s">
        <v>210</v>
      </c>
      <c r="R890" s="345" t="s">
        <v>223</v>
      </c>
      <c r="S890" s="345" t="s">
        <v>224</v>
      </c>
    </row>
    <row r="891" spans="1:19" x14ac:dyDescent="0.25">
      <c r="A891" s="311"/>
      <c r="B891" s="312"/>
      <c r="C891" s="312"/>
      <c r="D891" s="312"/>
      <c r="E891" s="312"/>
      <c r="F891" s="312"/>
      <c r="G891" s="328"/>
      <c r="H891" s="337"/>
      <c r="I891" s="334"/>
      <c r="J891" s="314"/>
      <c r="K891" s="449"/>
      <c r="M891" s="349" t="str">
        <f>N891&amp;AS[[#This Row],[Insurer Code]]&amp;"; "&amp;O891&amp;AS[[#This Row],[Reporting Year]]&amp;"; "&amp;P891&amp;AS[[#This Row],[Insurance Category Code]]&amp;"; "&amp;Q891&amp;AS[[#This Row],[Large Provider Entity Code]]&amp;"; "&amp;R891&amp;AS[[#This Row],[Age Band Code]]&amp;"; "&amp;S891&amp;AS[[#This Row],[Sex Code]]</f>
        <v xml:space="preserve">Insurer Code ; Reporting Year ; Insurance Category Code ; Large Provider Entity Code ; Age Band Code ; Sex Code </v>
      </c>
      <c r="N891" s="345" t="s">
        <v>207</v>
      </c>
      <c r="O891" s="345" t="s">
        <v>208</v>
      </c>
      <c r="P891" s="345" t="s">
        <v>209</v>
      </c>
      <c r="Q891" s="345" t="s">
        <v>210</v>
      </c>
      <c r="R891" s="345" t="s">
        <v>223</v>
      </c>
      <c r="S891" s="345" t="s">
        <v>224</v>
      </c>
    </row>
    <row r="892" spans="1:19" x14ac:dyDescent="0.25">
      <c r="A892" s="311"/>
      <c r="B892" s="312"/>
      <c r="C892" s="312"/>
      <c r="D892" s="312"/>
      <c r="E892" s="312"/>
      <c r="F892" s="312"/>
      <c r="G892" s="328"/>
      <c r="H892" s="337"/>
      <c r="I892" s="334"/>
      <c r="J892" s="314"/>
      <c r="K892" s="449"/>
      <c r="M892" s="349" t="str">
        <f>N892&amp;AS[[#This Row],[Insurer Code]]&amp;"; "&amp;O892&amp;AS[[#This Row],[Reporting Year]]&amp;"; "&amp;P892&amp;AS[[#This Row],[Insurance Category Code]]&amp;"; "&amp;Q892&amp;AS[[#This Row],[Large Provider Entity Code]]&amp;"; "&amp;R892&amp;AS[[#This Row],[Age Band Code]]&amp;"; "&amp;S892&amp;AS[[#This Row],[Sex Code]]</f>
        <v xml:space="preserve">Insurer Code ; Reporting Year ; Insurance Category Code ; Large Provider Entity Code ; Age Band Code ; Sex Code </v>
      </c>
      <c r="N892" s="345" t="s">
        <v>207</v>
      </c>
      <c r="O892" s="345" t="s">
        <v>208</v>
      </c>
      <c r="P892" s="345" t="s">
        <v>209</v>
      </c>
      <c r="Q892" s="345" t="s">
        <v>210</v>
      </c>
      <c r="R892" s="345" t="s">
        <v>223</v>
      </c>
      <c r="S892" s="345" t="s">
        <v>224</v>
      </c>
    </row>
    <row r="893" spans="1:19" x14ac:dyDescent="0.25">
      <c r="A893" s="311"/>
      <c r="B893" s="312"/>
      <c r="C893" s="312"/>
      <c r="D893" s="312"/>
      <c r="E893" s="312"/>
      <c r="F893" s="312"/>
      <c r="G893" s="328"/>
      <c r="H893" s="337"/>
      <c r="I893" s="334"/>
      <c r="J893" s="314"/>
      <c r="K893" s="449"/>
      <c r="M893" s="349" t="str">
        <f>N893&amp;AS[[#This Row],[Insurer Code]]&amp;"; "&amp;O893&amp;AS[[#This Row],[Reporting Year]]&amp;"; "&amp;P893&amp;AS[[#This Row],[Insurance Category Code]]&amp;"; "&amp;Q893&amp;AS[[#This Row],[Large Provider Entity Code]]&amp;"; "&amp;R893&amp;AS[[#This Row],[Age Band Code]]&amp;"; "&amp;S893&amp;AS[[#This Row],[Sex Code]]</f>
        <v xml:space="preserve">Insurer Code ; Reporting Year ; Insurance Category Code ; Large Provider Entity Code ; Age Band Code ; Sex Code </v>
      </c>
      <c r="N893" s="345" t="s">
        <v>207</v>
      </c>
      <c r="O893" s="345" t="s">
        <v>208</v>
      </c>
      <c r="P893" s="345" t="s">
        <v>209</v>
      </c>
      <c r="Q893" s="345" t="s">
        <v>210</v>
      </c>
      <c r="R893" s="345" t="s">
        <v>223</v>
      </c>
      <c r="S893" s="345" t="s">
        <v>224</v>
      </c>
    </row>
    <row r="894" spans="1:19" x14ac:dyDescent="0.25">
      <c r="A894" s="311"/>
      <c r="B894" s="312"/>
      <c r="C894" s="312"/>
      <c r="D894" s="312"/>
      <c r="E894" s="312"/>
      <c r="F894" s="312"/>
      <c r="G894" s="328"/>
      <c r="H894" s="337"/>
      <c r="I894" s="334"/>
      <c r="J894" s="314"/>
      <c r="K894" s="449"/>
      <c r="M894" s="349" t="str">
        <f>N894&amp;AS[[#This Row],[Insurer Code]]&amp;"; "&amp;O894&amp;AS[[#This Row],[Reporting Year]]&amp;"; "&amp;P894&amp;AS[[#This Row],[Insurance Category Code]]&amp;"; "&amp;Q894&amp;AS[[#This Row],[Large Provider Entity Code]]&amp;"; "&amp;R894&amp;AS[[#This Row],[Age Band Code]]&amp;"; "&amp;S894&amp;AS[[#This Row],[Sex Code]]</f>
        <v xml:space="preserve">Insurer Code ; Reporting Year ; Insurance Category Code ; Large Provider Entity Code ; Age Band Code ; Sex Code </v>
      </c>
      <c r="N894" s="345" t="s">
        <v>207</v>
      </c>
      <c r="O894" s="345" t="s">
        <v>208</v>
      </c>
      <c r="P894" s="345" t="s">
        <v>209</v>
      </c>
      <c r="Q894" s="345" t="s">
        <v>210</v>
      </c>
      <c r="R894" s="345" t="s">
        <v>223</v>
      </c>
      <c r="S894" s="345" t="s">
        <v>224</v>
      </c>
    </row>
    <row r="895" spans="1:19" x14ac:dyDescent="0.25">
      <c r="A895" s="311"/>
      <c r="B895" s="312"/>
      <c r="C895" s="312"/>
      <c r="D895" s="312"/>
      <c r="E895" s="312"/>
      <c r="F895" s="312"/>
      <c r="G895" s="328"/>
      <c r="H895" s="337"/>
      <c r="I895" s="334"/>
      <c r="J895" s="314"/>
      <c r="K895" s="449"/>
      <c r="M895" s="349" t="str">
        <f>N895&amp;AS[[#This Row],[Insurer Code]]&amp;"; "&amp;O895&amp;AS[[#This Row],[Reporting Year]]&amp;"; "&amp;P895&amp;AS[[#This Row],[Insurance Category Code]]&amp;"; "&amp;Q895&amp;AS[[#This Row],[Large Provider Entity Code]]&amp;"; "&amp;R895&amp;AS[[#This Row],[Age Band Code]]&amp;"; "&amp;S895&amp;AS[[#This Row],[Sex Code]]</f>
        <v xml:space="preserve">Insurer Code ; Reporting Year ; Insurance Category Code ; Large Provider Entity Code ; Age Band Code ; Sex Code </v>
      </c>
      <c r="N895" s="345" t="s">
        <v>207</v>
      </c>
      <c r="O895" s="345" t="s">
        <v>208</v>
      </c>
      <c r="P895" s="345" t="s">
        <v>209</v>
      </c>
      <c r="Q895" s="345" t="s">
        <v>210</v>
      </c>
      <c r="R895" s="345" t="s">
        <v>223</v>
      </c>
      <c r="S895" s="345" t="s">
        <v>224</v>
      </c>
    </row>
    <row r="896" spans="1:19" x14ac:dyDescent="0.25">
      <c r="A896" s="311"/>
      <c r="B896" s="312"/>
      <c r="C896" s="312"/>
      <c r="D896" s="312"/>
      <c r="E896" s="312"/>
      <c r="F896" s="312"/>
      <c r="G896" s="328"/>
      <c r="H896" s="337"/>
      <c r="I896" s="334"/>
      <c r="J896" s="314"/>
      <c r="K896" s="449"/>
      <c r="M896" s="349" t="str">
        <f>N896&amp;AS[[#This Row],[Insurer Code]]&amp;"; "&amp;O896&amp;AS[[#This Row],[Reporting Year]]&amp;"; "&amp;P896&amp;AS[[#This Row],[Insurance Category Code]]&amp;"; "&amp;Q896&amp;AS[[#This Row],[Large Provider Entity Code]]&amp;"; "&amp;R896&amp;AS[[#This Row],[Age Band Code]]&amp;"; "&amp;S896&amp;AS[[#This Row],[Sex Code]]</f>
        <v xml:space="preserve">Insurer Code ; Reporting Year ; Insurance Category Code ; Large Provider Entity Code ; Age Band Code ; Sex Code </v>
      </c>
      <c r="N896" s="345" t="s">
        <v>207</v>
      </c>
      <c r="O896" s="345" t="s">
        <v>208</v>
      </c>
      <c r="P896" s="345" t="s">
        <v>209</v>
      </c>
      <c r="Q896" s="345" t="s">
        <v>210</v>
      </c>
      <c r="R896" s="345" t="s">
        <v>223</v>
      </c>
      <c r="S896" s="345" t="s">
        <v>224</v>
      </c>
    </row>
    <row r="897" spans="1:19" x14ac:dyDescent="0.25">
      <c r="A897" s="311"/>
      <c r="B897" s="312"/>
      <c r="C897" s="312"/>
      <c r="D897" s="312"/>
      <c r="E897" s="312"/>
      <c r="F897" s="312"/>
      <c r="G897" s="328"/>
      <c r="H897" s="337"/>
      <c r="I897" s="334"/>
      <c r="J897" s="314"/>
      <c r="K897" s="449"/>
      <c r="M897" s="349" t="str">
        <f>N897&amp;AS[[#This Row],[Insurer Code]]&amp;"; "&amp;O897&amp;AS[[#This Row],[Reporting Year]]&amp;"; "&amp;P897&amp;AS[[#This Row],[Insurance Category Code]]&amp;"; "&amp;Q897&amp;AS[[#This Row],[Large Provider Entity Code]]&amp;"; "&amp;R897&amp;AS[[#This Row],[Age Band Code]]&amp;"; "&amp;S897&amp;AS[[#This Row],[Sex Code]]</f>
        <v xml:space="preserve">Insurer Code ; Reporting Year ; Insurance Category Code ; Large Provider Entity Code ; Age Band Code ; Sex Code </v>
      </c>
      <c r="N897" s="345" t="s">
        <v>207</v>
      </c>
      <c r="O897" s="345" t="s">
        <v>208</v>
      </c>
      <c r="P897" s="345" t="s">
        <v>209</v>
      </c>
      <c r="Q897" s="345" t="s">
        <v>210</v>
      </c>
      <c r="R897" s="345" t="s">
        <v>223</v>
      </c>
      <c r="S897" s="345" t="s">
        <v>224</v>
      </c>
    </row>
    <row r="898" spans="1:19" x14ac:dyDescent="0.25">
      <c r="A898" s="311"/>
      <c r="B898" s="312"/>
      <c r="C898" s="312"/>
      <c r="D898" s="312"/>
      <c r="E898" s="312"/>
      <c r="F898" s="312"/>
      <c r="G898" s="328"/>
      <c r="H898" s="337"/>
      <c r="I898" s="334"/>
      <c r="J898" s="314"/>
      <c r="K898" s="449"/>
      <c r="M898" s="349" t="str">
        <f>N898&amp;AS[[#This Row],[Insurer Code]]&amp;"; "&amp;O898&amp;AS[[#This Row],[Reporting Year]]&amp;"; "&amp;P898&amp;AS[[#This Row],[Insurance Category Code]]&amp;"; "&amp;Q898&amp;AS[[#This Row],[Large Provider Entity Code]]&amp;"; "&amp;R898&amp;AS[[#This Row],[Age Band Code]]&amp;"; "&amp;S898&amp;AS[[#This Row],[Sex Code]]</f>
        <v xml:space="preserve">Insurer Code ; Reporting Year ; Insurance Category Code ; Large Provider Entity Code ; Age Band Code ; Sex Code </v>
      </c>
      <c r="N898" s="345" t="s">
        <v>207</v>
      </c>
      <c r="O898" s="345" t="s">
        <v>208</v>
      </c>
      <c r="P898" s="345" t="s">
        <v>209</v>
      </c>
      <c r="Q898" s="345" t="s">
        <v>210</v>
      </c>
      <c r="R898" s="345" t="s">
        <v>223</v>
      </c>
      <c r="S898" s="345" t="s">
        <v>224</v>
      </c>
    </row>
    <row r="899" spans="1:19" x14ac:dyDescent="0.25">
      <c r="A899" s="311"/>
      <c r="B899" s="312"/>
      <c r="C899" s="312"/>
      <c r="D899" s="312"/>
      <c r="E899" s="312"/>
      <c r="F899" s="312"/>
      <c r="G899" s="328"/>
      <c r="H899" s="337"/>
      <c r="I899" s="334"/>
      <c r="J899" s="314"/>
      <c r="K899" s="449"/>
      <c r="M899" s="349" t="str">
        <f>N899&amp;AS[[#This Row],[Insurer Code]]&amp;"; "&amp;O899&amp;AS[[#This Row],[Reporting Year]]&amp;"; "&amp;P899&amp;AS[[#This Row],[Insurance Category Code]]&amp;"; "&amp;Q899&amp;AS[[#This Row],[Large Provider Entity Code]]&amp;"; "&amp;R899&amp;AS[[#This Row],[Age Band Code]]&amp;"; "&amp;S899&amp;AS[[#This Row],[Sex Code]]</f>
        <v xml:space="preserve">Insurer Code ; Reporting Year ; Insurance Category Code ; Large Provider Entity Code ; Age Band Code ; Sex Code </v>
      </c>
      <c r="N899" s="345" t="s">
        <v>207</v>
      </c>
      <c r="O899" s="345" t="s">
        <v>208</v>
      </c>
      <c r="P899" s="345" t="s">
        <v>209</v>
      </c>
      <c r="Q899" s="345" t="s">
        <v>210</v>
      </c>
      <c r="R899" s="345" t="s">
        <v>223</v>
      </c>
      <c r="S899" s="345" t="s">
        <v>224</v>
      </c>
    </row>
    <row r="900" spans="1:19" x14ac:dyDescent="0.25">
      <c r="A900" s="311"/>
      <c r="B900" s="312"/>
      <c r="C900" s="312"/>
      <c r="D900" s="312"/>
      <c r="E900" s="312"/>
      <c r="F900" s="312"/>
      <c r="G900" s="328"/>
      <c r="H900" s="337"/>
      <c r="I900" s="334"/>
      <c r="J900" s="314"/>
      <c r="K900" s="449"/>
      <c r="M900" s="349" t="str">
        <f>N900&amp;AS[[#This Row],[Insurer Code]]&amp;"; "&amp;O900&amp;AS[[#This Row],[Reporting Year]]&amp;"; "&amp;P900&amp;AS[[#This Row],[Insurance Category Code]]&amp;"; "&amp;Q900&amp;AS[[#This Row],[Large Provider Entity Code]]&amp;"; "&amp;R900&amp;AS[[#This Row],[Age Band Code]]&amp;"; "&amp;S900&amp;AS[[#This Row],[Sex Code]]</f>
        <v xml:space="preserve">Insurer Code ; Reporting Year ; Insurance Category Code ; Large Provider Entity Code ; Age Band Code ; Sex Code </v>
      </c>
      <c r="N900" s="345" t="s">
        <v>207</v>
      </c>
      <c r="O900" s="345" t="s">
        <v>208</v>
      </c>
      <c r="P900" s="345" t="s">
        <v>209</v>
      </c>
      <c r="Q900" s="345" t="s">
        <v>210</v>
      </c>
      <c r="R900" s="345" t="s">
        <v>223</v>
      </c>
      <c r="S900" s="345" t="s">
        <v>224</v>
      </c>
    </row>
    <row r="901" spans="1:19" x14ac:dyDescent="0.25">
      <c r="A901" s="311"/>
      <c r="B901" s="312"/>
      <c r="C901" s="312"/>
      <c r="D901" s="312"/>
      <c r="E901" s="312"/>
      <c r="F901" s="312"/>
      <c r="G901" s="328"/>
      <c r="H901" s="337"/>
      <c r="I901" s="334"/>
      <c r="J901" s="314"/>
      <c r="K901" s="449"/>
      <c r="M901" s="349" t="str">
        <f>N901&amp;AS[[#This Row],[Insurer Code]]&amp;"; "&amp;O901&amp;AS[[#This Row],[Reporting Year]]&amp;"; "&amp;P901&amp;AS[[#This Row],[Insurance Category Code]]&amp;"; "&amp;Q901&amp;AS[[#This Row],[Large Provider Entity Code]]&amp;"; "&amp;R901&amp;AS[[#This Row],[Age Band Code]]&amp;"; "&amp;S901&amp;AS[[#This Row],[Sex Code]]</f>
        <v xml:space="preserve">Insurer Code ; Reporting Year ; Insurance Category Code ; Large Provider Entity Code ; Age Band Code ; Sex Code </v>
      </c>
      <c r="N901" s="345" t="s">
        <v>207</v>
      </c>
      <c r="O901" s="345" t="s">
        <v>208</v>
      </c>
      <c r="P901" s="345" t="s">
        <v>209</v>
      </c>
      <c r="Q901" s="345" t="s">
        <v>210</v>
      </c>
      <c r="R901" s="345" t="s">
        <v>223</v>
      </c>
      <c r="S901" s="345" t="s">
        <v>224</v>
      </c>
    </row>
    <row r="902" spans="1:19" x14ac:dyDescent="0.25">
      <c r="A902" s="311"/>
      <c r="B902" s="312"/>
      <c r="C902" s="312"/>
      <c r="D902" s="312"/>
      <c r="E902" s="312"/>
      <c r="F902" s="312"/>
      <c r="G902" s="328"/>
      <c r="H902" s="337"/>
      <c r="I902" s="334"/>
      <c r="J902" s="314"/>
      <c r="K902" s="449"/>
      <c r="M902" s="349" t="str">
        <f>N902&amp;AS[[#This Row],[Insurer Code]]&amp;"; "&amp;O902&amp;AS[[#This Row],[Reporting Year]]&amp;"; "&amp;P902&amp;AS[[#This Row],[Insurance Category Code]]&amp;"; "&amp;Q902&amp;AS[[#This Row],[Large Provider Entity Code]]&amp;"; "&amp;R902&amp;AS[[#This Row],[Age Band Code]]&amp;"; "&amp;S902&amp;AS[[#This Row],[Sex Code]]</f>
        <v xml:space="preserve">Insurer Code ; Reporting Year ; Insurance Category Code ; Large Provider Entity Code ; Age Band Code ; Sex Code </v>
      </c>
      <c r="N902" s="345" t="s">
        <v>207</v>
      </c>
      <c r="O902" s="345" t="s">
        <v>208</v>
      </c>
      <c r="P902" s="345" t="s">
        <v>209</v>
      </c>
      <c r="Q902" s="345" t="s">
        <v>210</v>
      </c>
      <c r="R902" s="345" t="s">
        <v>223</v>
      </c>
      <c r="S902" s="345" t="s">
        <v>224</v>
      </c>
    </row>
    <row r="903" spans="1:19" x14ac:dyDescent="0.25">
      <c r="A903" s="311"/>
      <c r="B903" s="312"/>
      <c r="C903" s="312"/>
      <c r="D903" s="312"/>
      <c r="E903" s="312"/>
      <c r="F903" s="312"/>
      <c r="G903" s="328"/>
      <c r="H903" s="337"/>
      <c r="I903" s="334"/>
      <c r="J903" s="314"/>
      <c r="K903" s="449"/>
      <c r="M903" s="349" t="str">
        <f>N903&amp;AS[[#This Row],[Insurer Code]]&amp;"; "&amp;O903&amp;AS[[#This Row],[Reporting Year]]&amp;"; "&amp;P903&amp;AS[[#This Row],[Insurance Category Code]]&amp;"; "&amp;Q903&amp;AS[[#This Row],[Large Provider Entity Code]]&amp;"; "&amp;R903&amp;AS[[#This Row],[Age Band Code]]&amp;"; "&amp;S903&amp;AS[[#This Row],[Sex Code]]</f>
        <v xml:space="preserve">Insurer Code ; Reporting Year ; Insurance Category Code ; Large Provider Entity Code ; Age Band Code ; Sex Code </v>
      </c>
      <c r="N903" s="345" t="s">
        <v>207</v>
      </c>
      <c r="O903" s="345" t="s">
        <v>208</v>
      </c>
      <c r="P903" s="345" t="s">
        <v>209</v>
      </c>
      <c r="Q903" s="345" t="s">
        <v>210</v>
      </c>
      <c r="R903" s="345" t="s">
        <v>223</v>
      </c>
      <c r="S903" s="345" t="s">
        <v>224</v>
      </c>
    </row>
    <row r="904" spans="1:19" x14ac:dyDescent="0.25">
      <c r="A904" s="311"/>
      <c r="B904" s="312"/>
      <c r="C904" s="312"/>
      <c r="D904" s="312"/>
      <c r="E904" s="312"/>
      <c r="F904" s="312"/>
      <c r="G904" s="328"/>
      <c r="H904" s="337"/>
      <c r="I904" s="334"/>
      <c r="J904" s="314"/>
      <c r="K904" s="449"/>
      <c r="M904" s="349" t="str">
        <f>N904&amp;AS[[#This Row],[Insurer Code]]&amp;"; "&amp;O904&amp;AS[[#This Row],[Reporting Year]]&amp;"; "&amp;P904&amp;AS[[#This Row],[Insurance Category Code]]&amp;"; "&amp;Q904&amp;AS[[#This Row],[Large Provider Entity Code]]&amp;"; "&amp;R904&amp;AS[[#This Row],[Age Band Code]]&amp;"; "&amp;S904&amp;AS[[#This Row],[Sex Code]]</f>
        <v xml:space="preserve">Insurer Code ; Reporting Year ; Insurance Category Code ; Large Provider Entity Code ; Age Band Code ; Sex Code </v>
      </c>
      <c r="N904" s="345" t="s">
        <v>207</v>
      </c>
      <c r="O904" s="345" t="s">
        <v>208</v>
      </c>
      <c r="P904" s="345" t="s">
        <v>209</v>
      </c>
      <c r="Q904" s="345" t="s">
        <v>210</v>
      </c>
      <c r="R904" s="345" t="s">
        <v>223</v>
      </c>
      <c r="S904" s="345" t="s">
        <v>224</v>
      </c>
    </row>
    <row r="905" spans="1:19" x14ac:dyDescent="0.25">
      <c r="A905" s="311"/>
      <c r="B905" s="312"/>
      <c r="C905" s="312"/>
      <c r="D905" s="312"/>
      <c r="E905" s="312"/>
      <c r="F905" s="312"/>
      <c r="G905" s="328"/>
      <c r="H905" s="337"/>
      <c r="I905" s="334"/>
      <c r="J905" s="314"/>
      <c r="K905" s="449"/>
      <c r="M905" s="349" t="str">
        <f>N905&amp;AS[[#This Row],[Insurer Code]]&amp;"; "&amp;O905&amp;AS[[#This Row],[Reporting Year]]&amp;"; "&amp;P905&amp;AS[[#This Row],[Insurance Category Code]]&amp;"; "&amp;Q905&amp;AS[[#This Row],[Large Provider Entity Code]]&amp;"; "&amp;R905&amp;AS[[#This Row],[Age Band Code]]&amp;"; "&amp;S905&amp;AS[[#This Row],[Sex Code]]</f>
        <v xml:space="preserve">Insurer Code ; Reporting Year ; Insurance Category Code ; Large Provider Entity Code ; Age Band Code ; Sex Code </v>
      </c>
      <c r="N905" s="345" t="s">
        <v>207</v>
      </c>
      <c r="O905" s="345" t="s">
        <v>208</v>
      </c>
      <c r="P905" s="345" t="s">
        <v>209</v>
      </c>
      <c r="Q905" s="345" t="s">
        <v>210</v>
      </c>
      <c r="R905" s="345" t="s">
        <v>223</v>
      </c>
      <c r="S905" s="345" t="s">
        <v>224</v>
      </c>
    </row>
    <row r="906" spans="1:19" x14ac:dyDescent="0.25">
      <c r="A906" s="311"/>
      <c r="B906" s="312"/>
      <c r="C906" s="312"/>
      <c r="D906" s="312"/>
      <c r="E906" s="312"/>
      <c r="F906" s="312"/>
      <c r="G906" s="328"/>
      <c r="H906" s="337"/>
      <c r="I906" s="334"/>
      <c r="J906" s="314"/>
      <c r="K906" s="449"/>
      <c r="M906" s="349" t="str">
        <f>N906&amp;AS[[#This Row],[Insurer Code]]&amp;"; "&amp;O906&amp;AS[[#This Row],[Reporting Year]]&amp;"; "&amp;P906&amp;AS[[#This Row],[Insurance Category Code]]&amp;"; "&amp;Q906&amp;AS[[#This Row],[Large Provider Entity Code]]&amp;"; "&amp;R906&amp;AS[[#This Row],[Age Band Code]]&amp;"; "&amp;S906&amp;AS[[#This Row],[Sex Code]]</f>
        <v xml:space="preserve">Insurer Code ; Reporting Year ; Insurance Category Code ; Large Provider Entity Code ; Age Band Code ; Sex Code </v>
      </c>
      <c r="N906" s="345" t="s">
        <v>207</v>
      </c>
      <c r="O906" s="345" t="s">
        <v>208</v>
      </c>
      <c r="P906" s="345" t="s">
        <v>209</v>
      </c>
      <c r="Q906" s="345" t="s">
        <v>210</v>
      </c>
      <c r="R906" s="345" t="s">
        <v>223</v>
      </c>
      <c r="S906" s="345" t="s">
        <v>224</v>
      </c>
    </row>
    <row r="907" spans="1:19" x14ac:dyDescent="0.25">
      <c r="A907" s="311"/>
      <c r="B907" s="312"/>
      <c r="C907" s="312"/>
      <c r="D907" s="312"/>
      <c r="E907" s="312"/>
      <c r="F907" s="312"/>
      <c r="G907" s="328"/>
      <c r="H907" s="337"/>
      <c r="I907" s="334"/>
      <c r="J907" s="314"/>
      <c r="K907" s="449"/>
      <c r="M907" s="349" t="str">
        <f>N907&amp;AS[[#This Row],[Insurer Code]]&amp;"; "&amp;O907&amp;AS[[#This Row],[Reporting Year]]&amp;"; "&amp;P907&amp;AS[[#This Row],[Insurance Category Code]]&amp;"; "&amp;Q907&amp;AS[[#This Row],[Large Provider Entity Code]]&amp;"; "&amp;R907&amp;AS[[#This Row],[Age Band Code]]&amp;"; "&amp;S907&amp;AS[[#This Row],[Sex Code]]</f>
        <v xml:space="preserve">Insurer Code ; Reporting Year ; Insurance Category Code ; Large Provider Entity Code ; Age Band Code ; Sex Code </v>
      </c>
      <c r="N907" s="345" t="s">
        <v>207</v>
      </c>
      <c r="O907" s="345" t="s">
        <v>208</v>
      </c>
      <c r="P907" s="345" t="s">
        <v>209</v>
      </c>
      <c r="Q907" s="345" t="s">
        <v>210</v>
      </c>
      <c r="R907" s="345" t="s">
        <v>223</v>
      </c>
      <c r="S907" s="345" t="s">
        <v>224</v>
      </c>
    </row>
    <row r="908" spans="1:19" x14ac:dyDescent="0.25">
      <c r="A908" s="311"/>
      <c r="B908" s="312"/>
      <c r="C908" s="312"/>
      <c r="D908" s="312"/>
      <c r="E908" s="312"/>
      <c r="F908" s="312"/>
      <c r="G908" s="328"/>
      <c r="H908" s="337"/>
      <c r="I908" s="334"/>
      <c r="J908" s="314"/>
      <c r="K908" s="449"/>
      <c r="M908" s="349" t="str">
        <f>N908&amp;AS[[#This Row],[Insurer Code]]&amp;"; "&amp;O908&amp;AS[[#This Row],[Reporting Year]]&amp;"; "&amp;P908&amp;AS[[#This Row],[Insurance Category Code]]&amp;"; "&amp;Q908&amp;AS[[#This Row],[Large Provider Entity Code]]&amp;"; "&amp;R908&amp;AS[[#This Row],[Age Band Code]]&amp;"; "&amp;S908&amp;AS[[#This Row],[Sex Code]]</f>
        <v xml:space="preserve">Insurer Code ; Reporting Year ; Insurance Category Code ; Large Provider Entity Code ; Age Band Code ; Sex Code </v>
      </c>
      <c r="N908" s="345" t="s">
        <v>207</v>
      </c>
      <c r="O908" s="345" t="s">
        <v>208</v>
      </c>
      <c r="P908" s="345" t="s">
        <v>209</v>
      </c>
      <c r="Q908" s="345" t="s">
        <v>210</v>
      </c>
      <c r="R908" s="345" t="s">
        <v>223</v>
      </c>
      <c r="S908" s="345" t="s">
        <v>224</v>
      </c>
    </row>
    <row r="909" spans="1:19" x14ac:dyDescent="0.25">
      <c r="A909" s="311"/>
      <c r="B909" s="312"/>
      <c r="C909" s="312"/>
      <c r="D909" s="312"/>
      <c r="E909" s="312"/>
      <c r="F909" s="312"/>
      <c r="G909" s="328"/>
      <c r="H909" s="337"/>
      <c r="I909" s="334"/>
      <c r="J909" s="314"/>
      <c r="K909" s="449"/>
      <c r="M909" s="349" t="str">
        <f>N909&amp;AS[[#This Row],[Insurer Code]]&amp;"; "&amp;O909&amp;AS[[#This Row],[Reporting Year]]&amp;"; "&amp;P909&amp;AS[[#This Row],[Insurance Category Code]]&amp;"; "&amp;Q909&amp;AS[[#This Row],[Large Provider Entity Code]]&amp;"; "&amp;R909&amp;AS[[#This Row],[Age Band Code]]&amp;"; "&amp;S909&amp;AS[[#This Row],[Sex Code]]</f>
        <v xml:space="preserve">Insurer Code ; Reporting Year ; Insurance Category Code ; Large Provider Entity Code ; Age Band Code ; Sex Code </v>
      </c>
      <c r="N909" s="345" t="s">
        <v>207</v>
      </c>
      <c r="O909" s="345" t="s">
        <v>208</v>
      </c>
      <c r="P909" s="345" t="s">
        <v>209</v>
      </c>
      <c r="Q909" s="345" t="s">
        <v>210</v>
      </c>
      <c r="R909" s="345" t="s">
        <v>223</v>
      </c>
      <c r="S909" s="345" t="s">
        <v>224</v>
      </c>
    </row>
    <row r="910" spans="1:19" x14ac:dyDescent="0.25">
      <c r="A910" s="311"/>
      <c r="B910" s="312"/>
      <c r="C910" s="312"/>
      <c r="D910" s="312"/>
      <c r="E910" s="312"/>
      <c r="F910" s="312"/>
      <c r="G910" s="328"/>
      <c r="H910" s="337"/>
      <c r="I910" s="334"/>
      <c r="J910" s="314"/>
      <c r="K910" s="449"/>
      <c r="M910" s="349" t="str">
        <f>N910&amp;AS[[#This Row],[Insurer Code]]&amp;"; "&amp;O910&amp;AS[[#This Row],[Reporting Year]]&amp;"; "&amp;P910&amp;AS[[#This Row],[Insurance Category Code]]&amp;"; "&amp;Q910&amp;AS[[#This Row],[Large Provider Entity Code]]&amp;"; "&amp;R910&amp;AS[[#This Row],[Age Band Code]]&amp;"; "&amp;S910&amp;AS[[#This Row],[Sex Code]]</f>
        <v xml:space="preserve">Insurer Code ; Reporting Year ; Insurance Category Code ; Large Provider Entity Code ; Age Band Code ; Sex Code </v>
      </c>
      <c r="N910" s="345" t="s">
        <v>207</v>
      </c>
      <c r="O910" s="345" t="s">
        <v>208</v>
      </c>
      <c r="P910" s="345" t="s">
        <v>209</v>
      </c>
      <c r="Q910" s="345" t="s">
        <v>210</v>
      </c>
      <c r="R910" s="345" t="s">
        <v>223</v>
      </c>
      <c r="S910" s="345" t="s">
        <v>224</v>
      </c>
    </row>
    <row r="911" spans="1:19" x14ac:dyDescent="0.25">
      <c r="A911" s="311"/>
      <c r="B911" s="312"/>
      <c r="C911" s="312"/>
      <c r="D911" s="312"/>
      <c r="E911" s="312"/>
      <c r="F911" s="312"/>
      <c r="G911" s="328"/>
      <c r="H911" s="337"/>
      <c r="I911" s="334"/>
      <c r="J911" s="314"/>
      <c r="K911" s="449"/>
      <c r="M911" s="349" t="str">
        <f>N911&amp;AS[[#This Row],[Insurer Code]]&amp;"; "&amp;O911&amp;AS[[#This Row],[Reporting Year]]&amp;"; "&amp;P911&amp;AS[[#This Row],[Insurance Category Code]]&amp;"; "&amp;Q911&amp;AS[[#This Row],[Large Provider Entity Code]]&amp;"; "&amp;R911&amp;AS[[#This Row],[Age Band Code]]&amp;"; "&amp;S911&amp;AS[[#This Row],[Sex Code]]</f>
        <v xml:space="preserve">Insurer Code ; Reporting Year ; Insurance Category Code ; Large Provider Entity Code ; Age Band Code ; Sex Code </v>
      </c>
      <c r="N911" s="345" t="s">
        <v>207</v>
      </c>
      <c r="O911" s="345" t="s">
        <v>208</v>
      </c>
      <c r="P911" s="345" t="s">
        <v>209</v>
      </c>
      <c r="Q911" s="345" t="s">
        <v>210</v>
      </c>
      <c r="R911" s="345" t="s">
        <v>223</v>
      </c>
      <c r="S911" s="345" t="s">
        <v>224</v>
      </c>
    </row>
    <row r="912" spans="1:19" x14ac:dyDescent="0.25">
      <c r="A912" s="311"/>
      <c r="B912" s="312"/>
      <c r="C912" s="312"/>
      <c r="D912" s="312"/>
      <c r="E912" s="312"/>
      <c r="F912" s="312"/>
      <c r="G912" s="328"/>
      <c r="H912" s="337"/>
      <c r="I912" s="334"/>
      <c r="J912" s="314"/>
      <c r="K912" s="449"/>
      <c r="M912" s="349" t="str">
        <f>N912&amp;AS[[#This Row],[Insurer Code]]&amp;"; "&amp;O912&amp;AS[[#This Row],[Reporting Year]]&amp;"; "&amp;P912&amp;AS[[#This Row],[Insurance Category Code]]&amp;"; "&amp;Q912&amp;AS[[#This Row],[Large Provider Entity Code]]&amp;"; "&amp;R912&amp;AS[[#This Row],[Age Band Code]]&amp;"; "&amp;S912&amp;AS[[#This Row],[Sex Code]]</f>
        <v xml:space="preserve">Insurer Code ; Reporting Year ; Insurance Category Code ; Large Provider Entity Code ; Age Band Code ; Sex Code </v>
      </c>
      <c r="N912" s="345" t="s">
        <v>207</v>
      </c>
      <c r="O912" s="345" t="s">
        <v>208</v>
      </c>
      <c r="P912" s="345" t="s">
        <v>209</v>
      </c>
      <c r="Q912" s="345" t="s">
        <v>210</v>
      </c>
      <c r="R912" s="345" t="s">
        <v>223</v>
      </c>
      <c r="S912" s="345" t="s">
        <v>224</v>
      </c>
    </row>
    <row r="913" spans="1:19" x14ac:dyDescent="0.25">
      <c r="A913" s="311"/>
      <c r="B913" s="312"/>
      <c r="C913" s="312"/>
      <c r="D913" s="312"/>
      <c r="E913" s="312"/>
      <c r="F913" s="312"/>
      <c r="G913" s="328"/>
      <c r="H913" s="337"/>
      <c r="I913" s="334"/>
      <c r="J913" s="314"/>
      <c r="K913" s="449"/>
      <c r="M913" s="349" t="str">
        <f>N913&amp;AS[[#This Row],[Insurer Code]]&amp;"; "&amp;O913&amp;AS[[#This Row],[Reporting Year]]&amp;"; "&amp;P913&amp;AS[[#This Row],[Insurance Category Code]]&amp;"; "&amp;Q913&amp;AS[[#This Row],[Large Provider Entity Code]]&amp;"; "&amp;R913&amp;AS[[#This Row],[Age Band Code]]&amp;"; "&amp;S913&amp;AS[[#This Row],[Sex Code]]</f>
        <v xml:space="preserve">Insurer Code ; Reporting Year ; Insurance Category Code ; Large Provider Entity Code ; Age Band Code ; Sex Code </v>
      </c>
      <c r="N913" s="345" t="s">
        <v>207</v>
      </c>
      <c r="O913" s="345" t="s">
        <v>208</v>
      </c>
      <c r="P913" s="345" t="s">
        <v>209</v>
      </c>
      <c r="Q913" s="345" t="s">
        <v>210</v>
      </c>
      <c r="R913" s="345" t="s">
        <v>223</v>
      </c>
      <c r="S913" s="345" t="s">
        <v>224</v>
      </c>
    </row>
    <row r="914" spans="1:19" x14ac:dyDescent="0.25">
      <c r="A914" s="311"/>
      <c r="B914" s="312"/>
      <c r="C914" s="312"/>
      <c r="D914" s="312"/>
      <c r="E914" s="312"/>
      <c r="F914" s="312"/>
      <c r="G914" s="328"/>
      <c r="H914" s="337"/>
      <c r="I914" s="334"/>
      <c r="J914" s="314"/>
      <c r="K914" s="449"/>
      <c r="M914" s="349" t="str">
        <f>N914&amp;AS[[#This Row],[Insurer Code]]&amp;"; "&amp;O914&amp;AS[[#This Row],[Reporting Year]]&amp;"; "&amp;P914&amp;AS[[#This Row],[Insurance Category Code]]&amp;"; "&amp;Q914&amp;AS[[#This Row],[Large Provider Entity Code]]&amp;"; "&amp;R914&amp;AS[[#This Row],[Age Band Code]]&amp;"; "&amp;S914&amp;AS[[#This Row],[Sex Code]]</f>
        <v xml:space="preserve">Insurer Code ; Reporting Year ; Insurance Category Code ; Large Provider Entity Code ; Age Band Code ; Sex Code </v>
      </c>
      <c r="N914" s="345" t="s">
        <v>207</v>
      </c>
      <c r="O914" s="345" t="s">
        <v>208</v>
      </c>
      <c r="P914" s="345" t="s">
        <v>209</v>
      </c>
      <c r="Q914" s="345" t="s">
        <v>210</v>
      </c>
      <c r="R914" s="345" t="s">
        <v>223</v>
      </c>
      <c r="S914" s="345" t="s">
        <v>224</v>
      </c>
    </row>
    <row r="915" spans="1:19" x14ac:dyDescent="0.25">
      <c r="A915" s="311"/>
      <c r="B915" s="312"/>
      <c r="C915" s="312"/>
      <c r="D915" s="312"/>
      <c r="E915" s="312"/>
      <c r="F915" s="312"/>
      <c r="G915" s="328"/>
      <c r="H915" s="337"/>
      <c r="I915" s="334"/>
      <c r="J915" s="314"/>
      <c r="K915" s="449"/>
      <c r="M915" s="349" t="str">
        <f>N915&amp;AS[[#This Row],[Insurer Code]]&amp;"; "&amp;O915&amp;AS[[#This Row],[Reporting Year]]&amp;"; "&amp;P915&amp;AS[[#This Row],[Insurance Category Code]]&amp;"; "&amp;Q915&amp;AS[[#This Row],[Large Provider Entity Code]]&amp;"; "&amp;R915&amp;AS[[#This Row],[Age Band Code]]&amp;"; "&amp;S915&amp;AS[[#This Row],[Sex Code]]</f>
        <v xml:space="preserve">Insurer Code ; Reporting Year ; Insurance Category Code ; Large Provider Entity Code ; Age Band Code ; Sex Code </v>
      </c>
      <c r="N915" s="345" t="s">
        <v>207</v>
      </c>
      <c r="O915" s="345" t="s">
        <v>208</v>
      </c>
      <c r="P915" s="345" t="s">
        <v>209</v>
      </c>
      <c r="Q915" s="345" t="s">
        <v>210</v>
      </c>
      <c r="R915" s="345" t="s">
        <v>223</v>
      </c>
      <c r="S915" s="345" t="s">
        <v>224</v>
      </c>
    </row>
    <row r="916" spans="1:19" x14ac:dyDescent="0.25">
      <c r="A916" s="311"/>
      <c r="B916" s="312"/>
      <c r="C916" s="312"/>
      <c r="D916" s="312"/>
      <c r="E916" s="312"/>
      <c r="F916" s="312"/>
      <c r="G916" s="328"/>
      <c r="H916" s="337"/>
      <c r="I916" s="334"/>
      <c r="J916" s="314"/>
      <c r="K916" s="449"/>
      <c r="M916" s="349" t="str">
        <f>N916&amp;AS[[#This Row],[Insurer Code]]&amp;"; "&amp;O916&amp;AS[[#This Row],[Reporting Year]]&amp;"; "&amp;P916&amp;AS[[#This Row],[Insurance Category Code]]&amp;"; "&amp;Q916&amp;AS[[#This Row],[Large Provider Entity Code]]&amp;"; "&amp;R916&amp;AS[[#This Row],[Age Band Code]]&amp;"; "&amp;S916&amp;AS[[#This Row],[Sex Code]]</f>
        <v xml:space="preserve">Insurer Code ; Reporting Year ; Insurance Category Code ; Large Provider Entity Code ; Age Band Code ; Sex Code </v>
      </c>
      <c r="N916" s="345" t="s">
        <v>207</v>
      </c>
      <c r="O916" s="345" t="s">
        <v>208</v>
      </c>
      <c r="P916" s="345" t="s">
        <v>209</v>
      </c>
      <c r="Q916" s="345" t="s">
        <v>210</v>
      </c>
      <c r="R916" s="345" t="s">
        <v>223</v>
      </c>
      <c r="S916" s="345" t="s">
        <v>224</v>
      </c>
    </row>
    <row r="917" spans="1:19" x14ac:dyDescent="0.25">
      <c r="A917" s="311"/>
      <c r="B917" s="312"/>
      <c r="C917" s="312"/>
      <c r="D917" s="312"/>
      <c r="E917" s="312"/>
      <c r="F917" s="312"/>
      <c r="G917" s="328"/>
      <c r="H917" s="337"/>
      <c r="I917" s="334"/>
      <c r="J917" s="314"/>
      <c r="K917" s="449"/>
      <c r="M917" s="349" t="str">
        <f>N917&amp;AS[[#This Row],[Insurer Code]]&amp;"; "&amp;O917&amp;AS[[#This Row],[Reporting Year]]&amp;"; "&amp;P917&amp;AS[[#This Row],[Insurance Category Code]]&amp;"; "&amp;Q917&amp;AS[[#This Row],[Large Provider Entity Code]]&amp;"; "&amp;R917&amp;AS[[#This Row],[Age Band Code]]&amp;"; "&amp;S917&amp;AS[[#This Row],[Sex Code]]</f>
        <v xml:space="preserve">Insurer Code ; Reporting Year ; Insurance Category Code ; Large Provider Entity Code ; Age Band Code ; Sex Code </v>
      </c>
      <c r="N917" s="345" t="s">
        <v>207</v>
      </c>
      <c r="O917" s="345" t="s">
        <v>208</v>
      </c>
      <c r="P917" s="345" t="s">
        <v>209</v>
      </c>
      <c r="Q917" s="345" t="s">
        <v>210</v>
      </c>
      <c r="R917" s="345" t="s">
        <v>223</v>
      </c>
      <c r="S917" s="345" t="s">
        <v>224</v>
      </c>
    </row>
    <row r="918" spans="1:19" x14ac:dyDescent="0.25">
      <c r="A918" s="311"/>
      <c r="B918" s="312"/>
      <c r="C918" s="312"/>
      <c r="D918" s="312"/>
      <c r="E918" s="312"/>
      <c r="F918" s="312"/>
      <c r="G918" s="328"/>
      <c r="H918" s="337"/>
      <c r="I918" s="334"/>
      <c r="J918" s="314"/>
      <c r="K918" s="449"/>
      <c r="M918" s="349" t="str">
        <f>N918&amp;AS[[#This Row],[Insurer Code]]&amp;"; "&amp;O918&amp;AS[[#This Row],[Reporting Year]]&amp;"; "&amp;P918&amp;AS[[#This Row],[Insurance Category Code]]&amp;"; "&amp;Q918&amp;AS[[#This Row],[Large Provider Entity Code]]&amp;"; "&amp;R918&amp;AS[[#This Row],[Age Band Code]]&amp;"; "&amp;S918&amp;AS[[#This Row],[Sex Code]]</f>
        <v xml:space="preserve">Insurer Code ; Reporting Year ; Insurance Category Code ; Large Provider Entity Code ; Age Band Code ; Sex Code </v>
      </c>
      <c r="N918" s="345" t="s">
        <v>207</v>
      </c>
      <c r="O918" s="345" t="s">
        <v>208</v>
      </c>
      <c r="P918" s="345" t="s">
        <v>209</v>
      </c>
      <c r="Q918" s="345" t="s">
        <v>210</v>
      </c>
      <c r="R918" s="345" t="s">
        <v>223</v>
      </c>
      <c r="S918" s="345" t="s">
        <v>224</v>
      </c>
    </row>
    <row r="919" spans="1:19" x14ac:dyDescent="0.25">
      <c r="A919" s="311"/>
      <c r="B919" s="312"/>
      <c r="C919" s="312"/>
      <c r="D919" s="312"/>
      <c r="E919" s="312"/>
      <c r="F919" s="312"/>
      <c r="G919" s="328"/>
      <c r="H919" s="337"/>
      <c r="I919" s="334"/>
      <c r="J919" s="314"/>
      <c r="K919" s="449"/>
      <c r="M919" s="349" t="str">
        <f>N919&amp;AS[[#This Row],[Insurer Code]]&amp;"; "&amp;O919&amp;AS[[#This Row],[Reporting Year]]&amp;"; "&amp;P919&amp;AS[[#This Row],[Insurance Category Code]]&amp;"; "&amp;Q919&amp;AS[[#This Row],[Large Provider Entity Code]]&amp;"; "&amp;R919&amp;AS[[#This Row],[Age Band Code]]&amp;"; "&amp;S919&amp;AS[[#This Row],[Sex Code]]</f>
        <v xml:space="preserve">Insurer Code ; Reporting Year ; Insurance Category Code ; Large Provider Entity Code ; Age Band Code ; Sex Code </v>
      </c>
      <c r="N919" s="345" t="s">
        <v>207</v>
      </c>
      <c r="O919" s="345" t="s">
        <v>208</v>
      </c>
      <c r="P919" s="345" t="s">
        <v>209</v>
      </c>
      <c r="Q919" s="345" t="s">
        <v>210</v>
      </c>
      <c r="R919" s="345" t="s">
        <v>223</v>
      </c>
      <c r="S919" s="345" t="s">
        <v>224</v>
      </c>
    </row>
    <row r="920" spans="1:19" x14ac:dyDescent="0.25">
      <c r="A920" s="311"/>
      <c r="B920" s="312"/>
      <c r="C920" s="312"/>
      <c r="D920" s="312"/>
      <c r="E920" s="312"/>
      <c r="F920" s="312"/>
      <c r="G920" s="328"/>
      <c r="H920" s="337"/>
      <c r="I920" s="334"/>
      <c r="J920" s="314"/>
      <c r="K920" s="449"/>
      <c r="M920" s="349" t="str">
        <f>N920&amp;AS[[#This Row],[Insurer Code]]&amp;"; "&amp;O920&amp;AS[[#This Row],[Reporting Year]]&amp;"; "&amp;P920&amp;AS[[#This Row],[Insurance Category Code]]&amp;"; "&amp;Q920&amp;AS[[#This Row],[Large Provider Entity Code]]&amp;"; "&amp;R920&amp;AS[[#This Row],[Age Band Code]]&amp;"; "&amp;S920&amp;AS[[#This Row],[Sex Code]]</f>
        <v xml:space="preserve">Insurer Code ; Reporting Year ; Insurance Category Code ; Large Provider Entity Code ; Age Band Code ; Sex Code </v>
      </c>
      <c r="N920" s="345" t="s">
        <v>207</v>
      </c>
      <c r="O920" s="345" t="s">
        <v>208</v>
      </c>
      <c r="P920" s="345" t="s">
        <v>209</v>
      </c>
      <c r="Q920" s="345" t="s">
        <v>210</v>
      </c>
      <c r="R920" s="345" t="s">
        <v>223</v>
      </c>
      <c r="S920" s="345" t="s">
        <v>224</v>
      </c>
    </row>
    <row r="921" spans="1:19" x14ac:dyDescent="0.25">
      <c r="A921" s="311"/>
      <c r="B921" s="312"/>
      <c r="C921" s="312"/>
      <c r="D921" s="312"/>
      <c r="E921" s="312"/>
      <c r="F921" s="312"/>
      <c r="G921" s="328"/>
      <c r="H921" s="337"/>
      <c r="I921" s="334"/>
      <c r="J921" s="314"/>
      <c r="K921" s="449"/>
      <c r="M921" s="349" t="str">
        <f>N921&amp;AS[[#This Row],[Insurer Code]]&amp;"; "&amp;O921&amp;AS[[#This Row],[Reporting Year]]&amp;"; "&amp;P921&amp;AS[[#This Row],[Insurance Category Code]]&amp;"; "&amp;Q921&amp;AS[[#This Row],[Large Provider Entity Code]]&amp;"; "&amp;R921&amp;AS[[#This Row],[Age Band Code]]&amp;"; "&amp;S921&amp;AS[[#This Row],[Sex Code]]</f>
        <v xml:space="preserve">Insurer Code ; Reporting Year ; Insurance Category Code ; Large Provider Entity Code ; Age Band Code ; Sex Code </v>
      </c>
      <c r="N921" s="345" t="s">
        <v>207</v>
      </c>
      <c r="O921" s="345" t="s">
        <v>208</v>
      </c>
      <c r="P921" s="345" t="s">
        <v>209</v>
      </c>
      <c r="Q921" s="345" t="s">
        <v>210</v>
      </c>
      <c r="R921" s="345" t="s">
        <v>223</v>
      </c>
      <c r="S921" s="345" t="s">
        <v>224</v>
      </c>
    </row>
    <row r="922" spans="1:19" x14ac:dyDescent="0.25">
      <c r="A922" s="311"/>
      <c r="B922" s="312"/>
      <c r="C922" s="312"/>
      <c r="D922" s="312"/>
      <c r="E922" s="312"/>
      <c r="F922" s="312"/>
      <c r="G922" s="328"/>
      <c r="H922" s="337"/>
      <c r="I922" s="334"/>
      <c r="J922" s="314"/>
      <c r="K922" s="449"/>
      <c r="M922" s="349" t="str">
        <f>N922&amp;AS[[#This Row],[Insurer Code]]&amp;"; "&amp;O922&amp;AS[[#This Row],[Reporting Year]]&amp;"; "&amp;P922&amp;AS[[#This Row],[Insurance Category Code]]&amp;"; "&amp;Q922&amp;AS[[#This Row],[Large Provider Entity Code]]&amp;"; "&amp;R922&amp;AS[[#This Row],[Age Band Code]]&amp;"; "&amp;S922&amp;AS[[#This Row],[Sex Code]]</f>
        <v xml:space="preserve">Insurer Code ; Reporting Year ; Insurance Category Code ; Large Provider Entity Code ; Age Band Code ; Sex Code </v>
      </c>
      <c r="N922" s="345" t="s">
        <v>207</v>
      </c>
      <c r="O922" s="345" t="s">
        <v>208</v>
      </c>
      <c r="P922" s="345" t="s">
        <v>209</v>
      </c>
      <c r="Q922" s="345" t="s">
        <v>210</v>
      </c>
      <c r="R922" s="345" t="s">
        <v>223</v>
      </c>
      <c r="S922" s="345" t="s">
        <v>224</v>
      </c>
    </row>
    <row r="923" spans="1:19" x14ac:dyDescent="0.25">
      <c r="A923" s="311"/>
      <c r="B923" s="312"/>
      <c r="C923" s="312"/>
      <c r="D923" s="312"/>
      <c r="E923" s="312"/>
      <c r="F923" s="312"/>
      <c r="G923" s="328"/>
      <c r="H923" s="337"/>
      <c r="I923" s="334"/>
      <c r="J923" s="314"/>
      <c r="K923" s="449"/>
      <c r="M923" s="349" t="str">
        <f>N923&amp;AS[[#This Row],[Insurer Code]]&amp;"; "&amp;O923&amp;AS[[#This Row],[Reporting Year]]&amp;"; "&amp;P923&amp;AS[[#This Row],[Insurance Category Code]]&amp;"; "&amp;Q923&amp;AS[[#This Row],[Large Provider Entity Code]]&amp;"; "&amp;R923&amp;AS[[#This Row],[Age Band Code]]&amp;"; "&amp;S923&amp;AS[[#This Row],[Sex Code]]</f>
        <v xml:space="preserve">Insurer Code ; Reporting Year ; Insurance Category Code ; Large Provider Entity Code ; Age Band Code ; Sex Code </v>
      </c>
      <c r="N923" s="345" t="s">
        <v>207</v>
      </c>
      <c r="O923" s="345" t="s">
        <v>208</v>
      </c>
      <c r="P923" s="345" t="s">
        <v>209</v>
      </c>
      <c r="Q923" s="345" t="s">
        <v>210</v>
      </c>
      <c r="R923" s="345" t="s">
        <v>223</v>
      </c>
      <c r="S923" s="345" t="s">
        <v>224</v>
      </c>
    </row>
    <row r="924" spans="1:19" x14ac:dyDescent="0.25">
      <c r="A924" s="311"/>
      <c r="B924" s="312"/>
      <c r="C924" s="312"/>
      <c r="D924" s="312"/>
      <c r="E924" s="312"/>
      <c r="F924" s="312"/>
      <c r="G924" s="328"/>
      <c r="H924" s="337"/>
      <c r="I924" s="334"/>
      <c r="J924" s="314"/>
      <c r="K924" s="449"/>
      <c r="M924" s="349" t="str">
        <f>N924&amp;AS[[#This Row],[Insurer Code]]&amp;"; "&amp;O924&amp;AS[[#This Row],[Reporting Year]]&amp;"; "&amp;P924&amp;AS[[#This Row],[Insurance Category Code]]&amp;"; "&amp;Q924&amp;AS[[#This Row],[Large Provider Entity Code]]&amp;"; "&amp;R924&amp;AS[[#This Row],[Age Band Code]]&amp;"; "&amp;S924&amp;AS[[#This Row],[Sex Code]]</f>
        <v xml:space="preserve">Insurer Code ; Reporting Year ; Insurance Category Code ; Large Provider Entity Code ; Age Band Code ; Sex Code </v>
      </c>
      <c r="N924" s="345" t="s">
        <v>207</v>
      </c>
      <c r="O924" s="345" t="s">
        <v>208</v>
      </c>
      <c r="P924" s="345" t="s">
        <v>209</v>
      </c>
      <c r="Q924" s="345" t="s">
        <v>210</v>
      </c>
      <c r="R924" s="345" t="s">
        <v>223</v>
      </c>
      <c r="S924" s="345" t="s">
        <v>224</v>
      </c>
    </row>
    <row r="925" spans="1:19" x14ac:dyDescent="0.25">
      <c r="A925" s="311"/>
      <c r="B925" s="312"/>
      <c r="C925" s="312"/>
      <c r="D925" s="312"/>
      <c r="E925" s="312"/>
      <c r="F925" s="312"/>
      <c r="G925" s="328"/>
      <c r="H925" s="337"/>
      <c r="I925" s="334"/>
      <c r="J925" s="314"/>
      <c r="K925" s="449"/>
      <c r="M925" s="349" t="str">
        <f>N925&amp;AS[[#This Row],[Insurer Code]]&amp;"; "&amp;O925&amp;AS[[#This Row],[Reporting Year]]&amp;"; "&amp;P925&amp;AS[[#This Row],[Insurance Category Code]]&amp;"; "&amp;Q925&amp;AS[[#This Row],[Large Provider Entity Code]]&amp;"; "&amp;R925&amp;AS[[#This Row],[Age Band Code]]&amp;"; "&amp;S925&amp;AS[[#This Row],[Sex Code]]</f>
        <v xml:space="preserve">Insurer Code ; Reporting Year ; Insurance Category Code ; Large Provider Entity Code ; Age Band Code ; Sex Code </v>
      </c>
      <c r="N925" s="345" t="s">
        <v>207</v>
      </c>
      <c r="O925" s="345" t="s">
        <v>208</v>
      </c>
      <c r="P925" s="345" t="s">
        <v>209</v>
      </c>
      <c r="Q925" s="345" t="s">
        <v>210</v>
      </c>
      <c r="R925" s="345" t="s">
        <v>223</v>
      </c>
      <c r="S925" s="345" t="s">
        <v>224</v>
      </c>
    </row>
    <row r="926" spans="1:19" x14ac:dyDescent="0.25">
      <c r="A926" s="311"/>
      <c r="B926" s="312"/>
      <c r="C926" s="312"/>
      <c r="D926" s="312"/>
      <c r="E926" s="312"/>
      <c r="F926" s="312"/>
      <c r="G926" s="328"/>
      <c r="H926" s="337"/>
      <c r="I926" s="334"/>
      <c r="J926" s="314"/>
      <c r="K926" s="449"/>
      <c r="M926" s="349" t="str">
        <f>N926&amp;AS[[#This Row],[Insurer Code]]&amp;"; "&amp;O926&amp;AS[[#This Row],[Reporting Year]]&amp;"; "&amp;P926&amp;AS[[#This Row],[Insurance Category Code]]&amp;"; "&amp;Q926&amp;AS[[#This Row],[Large Provider Entity Code]]&amp;"; "&amp;R926&amp;AS[[#This Row],[Age Band Code]]&amp;"; "&amp;S926&amp;AS[[#This Row],[Sex Code]]</f>
        <v xml:space="preserve">Insurer Code ; Reporting Year ; Insurance Category Code ; Large Provider Entity Code ; Age Band Code ; Sex Code </v>
      </c>
      <c r="N926" s="345" t="s">
        <v>207</v>
      </c>
      <c r="O926" s="345" t="s">
        <v>208</v>
      </c>
      <c r="P926" s="345" t="s">
        <v>209</v>
      </c>
      <c r="Q926" s="345" t="s">
        <v>210</v>
      </c>
      <c r="R926" s="345" t="s">
        <v>223</v>
      </c>
      <c r="S926" s="345" t="s">
        <v>224</v>
      </c>
    </row>
    <row r="927" spans="1:19" x14ac:dyDescent="0.25">
      <c r="A927" s="311"/>
      <c r="B927" s="312"/>
      <c r="C927" s="312"/>
      <c r="D927" s="312"/>
      <c r="E927" s="312"/>
      <c r="F927" s="312"/>
      <c r="G927" s="328"/>
      <c r="H927" s="337"/>
      <c r="I927" s="334"/>
      <c r="J927" s="314"/>
      <c r="K927" s="449"/>
      <c r="M927" s="349" t="str">
        <f>N927&amp;AS[[#This Row],[Insurer Code]]&amp;"; "&amp;O927&amp;AS[[#This Row],[Reporting Year]]&amp;"; "&amp;P927&amp;AS[[#This Row],[Insurance Category Code]]&amp;"; "&amp;Q927&amp;AS[[#This Row],[Large Provider Entity Code]]&amp;"; "&amp;R927&amp;AS[[#This Row],[Age Band Code]]&amp;"; "&amp;S927&amp;AS[[#This Row],[Sex Code]]</f>
        <v xml:space="preserve">Insurer Code ; Reporting Year ; Insurance Category Code ; Large Provider Entity Code ; Age Band Code ; Sex Code </v>
      </c>
      <c r="N927" s="345" t="s">
        <v>207</v>
      </c>
      <c r="O927" s="345" t="s">
        <v>208</v>
      </c>
      <c r="P927" s="345" t="s">
        <v>209</v>
      </c>
      <c r="Q927" s="345" t="s">
        <v>210</v>
      </c>
      <c r="R927" s="345" t="s">
        <v>223</v>
      </c>
      <c r="S927" s="345" t="s">
        <v>224</v>
      </c>
    </row>
    <row r="928" spans="1:19" x14ac:dyDescent="0.25">
      <c r="A928" s="311"/>
      <c r="B928" s="312"/>
      <c r="C928" s="312"/>
      <c r="D928" s="312"/>
      <c r="E928" s="312"/>
      <c r="F928" s="312"/>
      <c r="G928" s="328"/>
      <c r="H928" s="337"/>
      <c r="I928" s="334"/>
      <c r="J928" s="314"/>
      <c r="K928" s="449"/>
      <c r="M928" s="349" t="str">
        <f>N928&amp;AS[[#This Row],[Insurer Code]]&amp;"; "&amp;O928&amp;AS[[#This Row],[Reporting Year]]&amp;"; "&amp;P928&amp;AS[[#This Row],[Insurance Category Code]]&amp;"; "&amp;Q928&amp;AS[[#This Row],[Large Provider Entity Code]]&amp;"; "&amp;R928&amp;AS[[#This Row],[Age Band Code]]&amp;"; "&amp;S928&amp;AS[[#This Row],[Sex Code]]</f>
        <v xml:space="preserve">Insurer Code ; Reporting Year ; Insurance Category Code ; Large Provider Entity Code ; Age Band Code ; Sex Code </v>
      </c>
      <c r="N928" s="345" t="s">
        <v>207</v>
      </c>
      <c r="O928" s="345" t="s">
        <v>208</v>
      </c>
      <c r="P928" s="345" t="s">
        <v>209</v>
      </c>
      <c r="Q928" s="345" t="s">
        <v>210</v>
      </c>
      <c r="R928" s="345" t="s">
        <v>223</v>
      </c>
      <c r="S928" s="345" t="s">
        <v>224</v>
      </c>
    </row>
    <row r="929" spans="1:19" x14ac:dyDescent="0.25">
      <c r="A929" s="311"/>
      <c r="B929" s="312"/>
      <c r="C929" s="312"/>
      <c r="D929" s="312"/>
      <c r="E929" s="312"/>
      <c r="F929" s="312"/>
      <c r="G929" s="328"/>
      <c r="H929" s="337"/>
      <c r="I929" s="334"/>
      <c r="J929" s="314"/>
      <c r="K929" s="449"/>
      <c r="M929" s="349" t="str">
        <f>N929&amp;AS[[#This Row],[Insurer Code]]&amp;"; "&amp;O929&amp;AS[[#This Row],[Reporting Year]]&amp;"; "&amp;P929&amp;AS[[#This Row],[Insurance Category Code]]&amp;"; "&amp;Q929&amp;AS[[#This Row],[Large Provider Entity Code]]&amp;"; "&amp;R929&amp;AS[[#This Row],[Age Band Code]]&amp;"; "&amp;S929&amp;AS[[#This Row],[Sex Code]]</f>
        <v xml:space="preserve">Insurer Code ; Reporting Year ; Insurance Category Code ; Large Provider Entity Code ; Age Band Code ; Sex Code </v>
      </c>
      <c r="N929" s="345" t="s">
        <v>207</v>
      </c>
      <c r="O929" s="345" t="s">
        <v>208</v>
      </c>
      <c r="P929" s="345" t="s">
        <v>209</v>
      </c>
      <c r="Q929" s="345" t="s">
        <v>210</v>
      </c>
      <c r="R929" s="345" t="s">
        <v>223</v>
      </c>
      <c r="S929" s="345" t="s">
        <v>224</v>
      </c>
    </row>
    <row r="930" spans="1:19" x14ac:dyDescent="0.25">
      <c r="A930" s="311"/>
      <c r="B930" s="312"/>
      <c r="C930" s="312"/>
      <c r="D930" s="312"/>
      <c r="E930" s="312"/>
      <c r="F930" s="312"/>
      <c r="G930" s="328"/>
      <c r="H930" s="337"/>
      <c r="I930" s="334"/>
      <c r="J930" s="314"/>
      <c r="K930" s="449"/>
      <c r="M930" s="349" t="str">
        <f>N930&amp;AS[[#This Row],[Insurer Code]]&amp;"; "&amp;O930&amp;AS[[#This Row],[Reporting Year]]&amp;"; "&amp;P930&amp;AS[[#This Row],[Insurance Category Code]]&amp;"; "&amp;Q930&amp;AS[[#This Row],[Large Provider Entity Code]]&amp;"; "&amp;R930&amp;AS[[#This Row],[Age Band Code]]&amp;"; "&amp;S930&amp;AS[[#This Row],[Sex Code]]</f>
        <v xml:space="preserve">Insurer Code ; Reporting Year ; Insurance Category Code ; Large Provider Entity Code ; Age Band Code ; Sex Code </v>
      </c>
      <c r="N930" s="345" t="s">
        <v>207</v>
      </c>
      <c r="O930" s="345" t="s">
        <v>208</v>
      </c>
      <c r="P930" s="345" t="s">
        <v>209</v>
      </c>
      <c r="Q930" s="345" t="s">
        <v>210</v>
      </c>
      <c r="R930" s="345" t="s">
        <v>223</v>
      </c>
      <c r="S930" s="345" t="s">
        <v>224</v>
      </c>
    </row>
    <row r="931" spans="1:19" x14ac:dyDescent="0.25">
      <c r="A931" s="311"/>
      <c r="B931" s="312"/>
      <c r="C931" s="312"/>
      <c r="D931" s="312"/>
      <c r="E931" s="312"/>
      <c r="F931" s="312"/>
      <c r="G931" s="328"/>
      <c r="H931" s="337"/>
      <c r="I931" s="334"/>
      <c r="J931" s="314"/>
      <c r="K931" s="449"/>
      <c r="M931" s="349" t="str">
        <f>N931&amp;AS[[#This Row],[Insurer Code]]&amp;"; "&amp;O931&amp;AS[[#This Row],[Reporting Year]]&amp;"; "&amp;P931&amp;AS[[#This Row],[Insurance Category Code]]&amp;"; "&amp;Q931&amp;AS[[#This Row],[Large Provider Entity Code]]&amp;"; "&amp;R931&amp;AS[[#This Row],[Age Band Code]]&amp;"; "&amp;S931&amp;AS[[#This Row],[Sex Code]]</f>
        <v xml:space="preserve">Insurer Code ; Reporting Year ; Insurance Category Code ; Large Provider Entity Code ; Age Band Code ; Sex Code </v>
      </c>
      <c r="N931" s="345" t="s">
        <v>207</v>
      </c>
      <c r="O931" s="345" t="s">
        <v>208</v>
      </c>
      <c r="P931" s="345" t="s">
        <v>209</v>
      </c>
      <c r="Q931" s="345" t="s">
        <v>210</v>
      </c>
      <c r="R931" s="345" t="s">
        <v>223</v>
      </c>
      <c r="S931" s="345" t="s">
        <v>224</v>
      </c>
    </row>
    <row r="932" spans="1:19" x14ac:dyDescent="0.25">
      <c r="A932" s="311"/>
      <c r="B932" s="312"/>
      <c r="C932" s="312"/>
      <c r="D932" s="312"/>
      <c r="E932" s="312"/>
      <c r="F932" s="312"/>
      <c r="G932" s="328"/>
      <c r="H932" s="337"/>
      <c r="I932" s="334"/>
      <c r="J932" s="314"/>
      <c r="K932" s="449"/>
      <c r="M932" s="349" t="str">
        <f>N932&amp;AS[[#This Row],[Insurer Code]]&amp;"; "&amp;O932&amp;AS[[#This Row],[Reporting Year]]&amp;"; "&amp;P932&amp;AS[[#This Row],[Insurance Category Code]]&amp;"; "&amp;Q932&amp;AS[[#This Row],[Large Provider Entity Code]]&amp;"; "&amp;R932&amp;AS[[#This Row],[Age Band Code]]&amp;"; "&amp;S932&amp;AS[[#This Row],[Sex Code]]</f>
        <v xml:space="preserve">Insurer Code ; Reporting Year ; Insurance Category Code ; Large Provider Entity Code ; Age Band Code ; Sex Code </v>
      </c>
      <c r="N932" s="345" t="s">
        <v>207</v>
      </c>
      <c r="O932" s="345" t="s">
        <v>208</v>
      </c>
      <c r="P932" s="345" t="s">
        <v>209</v>
      </c>
      <c r="Q932" s="345" t="s">
        <v>210</v>
      </c>
      <c r="R932" s="345" t="s">
        <v>223</v>
      </c>
      <c r="S932" s="345" t="s">
        <v>224</v>
      </c>
    </row>
    <row r="933" spans="1:19" x14ac:dyDescent="0.25">
      <c r="A933" s="311"/>
      <c r="B933" s="312"/>
      <c r="C933" s="312"/>
      <c r="D933" s="312"/>
      <c r="E933" s="312"/>
      <c r="F933" s="312"/>
      <c r="G933" s="328"/>
      <c r="H933" s="337"/>
      <c r="I933" s="334"/>
      <c r="J933" s="314"/>
      <c r="K933" s="449"/>
      <c r="M933" s="349" t="str">
        <f>N933&amp;AS[[#This Row],[Insurer Code]]&amp;"; "&amp;O933&amp;AS[[#This Row],[Reporting Year]]&amp;"; "&amp;P933&amp;AS[[#This Row],[Insurance Category Code]]&amp;"; "&amp;Q933&amp;AS[[#This Row],[Large Provider Entity Code]]&amp;"; "&amp;R933&amp;AS[[#This Row],[Age Band Code]]&amp;"; "&amp;S933&amp;AS[[#This Row],[Sex Code]]</f>
        <v xml:space="preserve">Insurer Code ; Reporting Year ; Insurance Category Code ; Large Provider Entity Code ; Age Band Code ; Sex Code </v>
      </c>
      <c r="N933" s="345" t="s">
        <v>207</v>
      </c>
      <c r="O933" s="345" t="s">
        <v>208</v>
      </c>
      <c r="P933" s="345" t="s">
        <v>209</v>
      </c>
      <c r="Q933" s="345" t="s">
        <v>210</v>
      </c>
      <c r="R933" s="345" t="s">
        <v>223</v>
      </c>
      <c r="S933" s="345" t="s">
        <v>224</v>
      </c>
    </row>
    <row r="934" spans="1:19" x14ac:dyDescent="0.25">
      <c r="A934" s="311"/>
      <c r="B934" s="312"/>
      <c r="C934" s="312"/>
      <c r="D934" s="312"/>
      <c r="E934" s="312"/>
      <c r="F934" s="312"/>
      <c r="G934" s="328"/>
      <c r="H934" s="337"/>
      <c r="I934" s="334"/>
      <c r="J934" s="314"/>
      <c r="K934" s="449"/>
      <c r="M934" s="349" t="str">
        <f>N934&amp;AS[[#This Row],[Insurer Code]]&amp;"; "&amp;O934&amp;AS[[#This Row],[Reporting Year]]&amp;"; "&amp;P934&amp;AS[[#This Row],[Insurance Category Code]]&amp;"; "&amp;Q934&amp;AS[[#This Row],[Large Provider Entity Code]]&amp;"; "&amp;R934&amp;AS[[#This Row],[Age Band Code]]&amp;"; "&amp;S934&amp;AS[[#This Row],[Sex Code]]</f>
        <v xml:space="preserve">Insurer Code ; Reporting Year ; Insurance Category Code ; Large Provider Entity Code ; Age Band Code ; Sex Code </v>
      </c>
      <c r="N934" s="345" t="s">
        <v>207</v>
      </c>
      <c r="O934" s="345" t="s">
        <v>208</v>
      </c>
      <c r="P934" s="345" t="s">
        <v>209</v>
      </c>
      <c r="Q934" s="345" t="s">
        <v>210</v>
      </c>
      <c r="R934" s="345" t="s">
        <v>223</v>
      </c>
      <c r="S934" s="345" t="s">
        <v>224</v>
      </c>
    </row>
    <row r="935" spans="1:19" x14ac:dyDescent="0.25">
      <c r="A935" s="311"/>
      <c r="B935" s="312"/>
      <c r="C935" s="312"/>
      <c r="D935" s="312"/>
      <c r="E935" s="312"/>
      <c r="F935" s="312"/>
      <c r="G935" s="328"/>
      <c r="H935" s="337"/>
      <c r="I935" s="334"/>
      <c r="J935" s="314"/>
      <c r="K935" s="449"/>
      <c r="M935" s="349" t="str">
        <f>N935&amp;AS[[#This Row],[Insurer Code]]&amp;"; "&amp;O935&amp;AS[[#This Row],[Reporting Year]]&amp;"; "&amp;P935&amp;AS[[#This Row],[Insurance Category Code]]&amp;"; "&amp;Q935&amp;AS[[#This Row],[Large Provider Entity Code]]&amp;"; "&amp;R935&amp;AS[[#This Row],[Age Band Code]]&amp;"; "&amp;S935&amp;AS[[#This Row],[Sex Code]]</f>
        <v xml:space="preserve">Insurer Code ; Reporting Year ; Insurance Category Code ; Large Provider Entity Code ; Age Band Code ; Sex Code </v>
      </c>
      <c r="N935" s="345" t="s">
        <v>207</v>
      </c>
      <c r="O935" s="345" t="s">
        <v>208</v>
      </c>
      <c r="P935" s="345" t="s">
        <v>209</v>
      </c>
      <c r="Q935" s="345" t="s">
        <v>210</v>
      </c>
      <c r="R935" s="345" t="s">
        <v>223</v>
      </c>
      <c r="S935" s="345" t="s">
        <v>224</v>
      </c>
    </row>
    <row r="936" spans="1:19" x14ac:dyDescent="0.25">
      <c r="A936" s="311"/>
      <c r="B936" s="312"/>
      <c r="C936" s="312"/>
      <c r="D936" s="312"/>
      <c r="E936" s="312"/>
      <c r="F936" s="312"/>
      <c r="G936" s="328"/>
      <c r="H936" s="337"/>
      <c r="I936" s="334"/>
      <c r="J936" s="314"/>
      <c r="K936" s="449"/>
      <c r="M936" s="349" t="str">
        <f>N936&amp;AS[[#This Row],[Insurer Code]]&amp;"; "&amp;O936&amp;AS[[#This Row],[Reporting Year]]&amp;"; "&amp;P936&amp;AS[[#This Row],[Insurance Category Code]]&amp;"; "&amp;Q936&amp;AS[[#This Row],[Large Provider Entity Code]]&amp;"; "&amp;R936&amp;AS[[#This Row],[Age Band Code]]&amp;"; "&amp;S936&amp;AS[[#This Row],[Sex Code]]</f>
        <v xml:space="preserve">Insurer Code ; Reporting Year ; Insurance Category Code ; Large Provider Entity Code ; Age Band Code ; Sex Code </v>
      </c>
      <c r="N936" s="345" t="s">
        <v>207</v>
      </c>
      <c r="O936" s="345" t="s">
        <v>208</v>
      </c>
      <c r="P936" s="345" t="s">
        <v>209</v>
      </c>
      <c r="Q936" s="345" t="s">
        <v>210</v>
      </c>
      <c r="R936" s="345" t="s">
        <v>223</v>
      </c>
      <c r="S936" s="345" t="s">
        <v>224</v>
      </c>
    </row>
    <row r="937" spans="1:19" x14ac:dyDescent="0.25">
      <c r="A937" s="311"/>
      <c r="B937" s="312"/>
      <c r="C937" s="312"/>
      <c r="D937" s="312"/>
      <c r="E937" s="312"/>
      <c r="F937" s="312"/>
      <c r="G937" s="328"/>
      <c r="H937" s="337"/>
      <c r="I937" s="334"/>
      <c r="J937" s="314"/>
      <c r="K937" s="449"/>
      <c r="M937" s="349" t="str">
        <f>N937&amp;AS[[#This Row],[Insurer Code]]&amp;"; "&amp;O937&amp;AS[[#This Row],[Reporting Year]]&amp;"; "&amp;P937&amp;AS[[#This Row],[Insurance Category Code]]&amp;"; "&amp;Q937&amp;AS[[#This Row],[Large Provider Entity Code]]&amp;"; "&amp;R937&amp;AS[[#This Row],[Age Band Code]]&amp;"; "&amp;S937&amp;AS[[#This Row],[Sex Code]]</f>
        <v xml:space="preserve">Insurer Code ; Reporting Year ; Insurance Category Code ; Large Provider Entity Code ; Age Band Code ; Sex Code </v>
      </c>
      <c r="N937" s="345" t="s">
        <v>207</v>
      </c>
      <c r="O937" s="345" t="s">
        <v>208</v>
      </c>
      <c r="P937" s="345" t="s">
        <v>209</v>
      </c>
      <c r="Q937" s="345" t="s">
        <v>210</v>
      </c>
      <c r="R937" s="345" t="s">
        <v>223</v>
      </c>
      <c r="S937" s="345" t="s">
        <v>224</v>
      </c>
    </row>
    <row r="938" spans="1:19" x14ac:dyDescent="0.25">
      <c r="A938" s="311"/>
      <c r="B938" s="312"/>
      <c r="C938" s="312"/>
      <c r="D938" s="312"/>
      <c r="E938" s="312"/>
      <c r="F938" s="312"/>
      <c r="G938" s="328"/>
      <c r="H938" s="337"/>
      <c r="I938" s="334"/>
      <c r="J938" s="314"/>
      <c r="K938" s="449"/>
      <c r="M938" s="349" t="str">
        <f>N938&amp;AS[[#This Row],[Insurer Code]]&amp;"; "&amp;O938&amp;AS[[#This Row],[Reporting Year]]&amp;"; "&amp;P938&amp;AS[[#This Row],[Insurance Category Code]]&amp;"; "&amp;Q938&amp;AS[[#This Row],[Large Provider Entity Code]]&amp;"; "&amp;R938&amp;AS[[#This Row],[Age Band Code]]&amp;"; "&amp;S938&amp;AS[[#This Row],[Sex Code]]</f>
        <v xml:space="preserve">Insurer Code ; Reporting Year ; Insurance Category Code ; Large Provider Entity Code ; Age Band Code ; Sex Code </v>
      </c>
      <c r="N938" s="345" t="s">
        <v>207</v>
      </c>
      <c r="O938" s="345" t="s">
        <v>208</v>
      </c>
      <c r="P938" s="345" t="s">
        <v>209</v>
      </c>
      <c r="Q938" s="345" t="s">
        <v>210</v>
      </c>
      <c r="R938" s="345" t="s">
        <v>223</v>
      </c>
      <c r="S938" s="345" t="s">
        <v>224</v>
      </c>
    </row>
    <row r="939" spans="1:19" x14ac:dyDescent="0.25">
      <c r="A939" s="311"/>
      <c r="B939" s="312"/>
      <c r="C939" s="312"/>
      <c r="D939" s="312"/>
      <c r="E939" s="312"/>
      <c r="F939" s="312"/>
      <c r="G939" s="328"/>
      <c r="H939" s="337"/>
      <c r="I939" s="334"/>
      <c r="J939" s="314"/>
      <c r="K939" s="449"/>
      <c r="M939" s="349" t="str">
        <f>N939&amp;AS[[#This Row],[Insurer Code]]&amp;"; "&amp;O939&amp;AS[[#This Row],[Reporting Year]]&amp;"; "&amp;P939&amp;AS[[#This Row],[Insurance Category Code]]&amp;"; "&amp;Q939&amp;AS[[#This Row],[Large Provider Entity Code]]&amp;"; "&amp;R939&amp;AS[[#This Row],[Age Band Code]]&amp;"; "&amp;S939&amp;AS[[#This Row],[Sex Code]]</f>
        <v xml:space="preserve">Insurer Code ; Reporting Year ; Insurance Category Code ; Large Provider Entity Code ; Age Band Code ; Sex Code </v>
      </c>
      <c r="N939" s="345" t="s">
        <v>207</v>
      </c>
      <c r="O939" s="345" t="s">
        <v>208</v>
      </c>
      <c r="P939" s="345" t="s">
        <v>209</v>
      </c>
      <c r="Q939" s="345" t="s">
        <v>210</v>
      </c>
      <c r="R939" s="345" t="s">
        <v>223</v>
      </c>
      <c r="S939" s="345" t="s">
        <v>224</v>
      </c>
    </row>
    <row r="940" spans="1:19" x14ac:dyDescent="0.25">
      <c r="A940" s="311"/>
      <c r="B940" s="312"/>
      <c r="C940" s="312"/>
      <c r="D940" s="312"/>
      <c r="E940" s="312"/>
      <c r="F940" s="312"/>
      <c r="G940" s="328"/>
      <c r="H940" s="337"/>
      <c r="I940" s="334"/>
      <c r="J940" s="314"/>
      <c r="K940" s="449"/>
      <c r="M940" s="349" t="str">
        <f>N940&amp;AS[[#This Row],[Insurer Code]]&amp;"; "&amp;O940&amp;AS[[#This Row],[Reporting Year]]&amp;"; "&amp;P940&amp;AS[[#This Row],[Insurance Category Code]]&amp;"; "&amp;Q940&amp;AS[[#This Row],[Large Provider Entity Code]]&amp;"; "&amp;R940&amp;AS[[#This Row],[Age Band Code]]&amp;"; "&amp;S940&amp;AS[[#This Row],[Sex Code]]</f>
        <v xml:space="preserve">Insurer Code ; Reporting Year ; Insurance Category Code ; Large Provider Entity Code ; Age Band Code ; Sex Code </v>
      </c>
      <c r="N940" s="345" t="s">
        <v>207</v>
      </c>
      <c r="O940" s="345" t="s">
        <v>208</v>
      </c>
      <c r="P940" s="345" t="s">
        <v>209</v>
      </c>
      <c r="Q940" s="345" t="s">
        <v>210</v>
      </c>
      <c r="R940" s="345" t="s">
        <v>223</v>
      </c>
      <c r="S940" s="345" t="s">
        <v>224</v>
      </c>
    </row>
    <row r="941" spans="1:19" x14ac:dyDescent="0.25">
      <c r="A941" s="311"/>
      <c r="B941" s="312"/>
      <c r="C941" s="312"/>
      <c r="D941" s="312"/>
      <c r="E941" s="312"/>
      <c r="F941" s="312"/>
      <c r="G941" s="328"/>
      <c r="H941" s="337"/>
      <c r="I941" s="334"/>
      <c r="J941" s="314"/>
      <c r="K941" s="449"/>
      <c r="M941" s="349" t="str">
        <f>N941&amp;AS[[#This Row],[Insurer Code]]&amp;"; "&amp;O941&amp;AS[[#This Row],[Reporting Year]]&amp;"; "&amp;P941&amp;AS[[#This Row],[Insurance Category Code]]&amp;"; "&amp;Q941&amp;AS[[#This Row],[Large Provider Entity Code]]&amp;"; "&amp;R941&amp;AS[[#This Row],[Age Band Code]]&amp;"; "&amp;S941&amp;AS[[#This Row],[Sex Code]]</f>
        <v xml:space="preserve">Insurer Code ; Reporting Year ; Insurance Category Code ; Large Provider Entity Code ; Age Band Code ; Sex Code </v>
      </c>
      <c r="N941" s="345" t="s">
        <v>207</v>
      </c>
      <c r="O941" s="345" t="s">
        <v>208</v>
      </c>
      <c r="P941" s="345" t="s">
        <v>209</v>
      </c>
      <c r="Q941" s="345" t="s">
        <v>210</v>
      </c>
      <c r="R941" s="345" t="s">
        <v>223</v>
      </c>
      <c r="S941" s="345" t="s">
        <v>224</v>
      </c>
    </row>
    <row r="942" spans="1:19" x14ac:dyDescent="0.25">
      <c r="A942" s="311"/>
      <c r="B942" s="312"/>
      <c r="C942" s="312"/>
      <c r="D942" s="312"/>
      <c r="E942" s="312"/>
      <c r="F942" s="312"/>
      <c r="G942" s="328"/>
      <c r="H942" s="337"/>
      <c r="I942" s="334"/>
      <c r="J942" s="314"/>
      <c r="K942" s="449"/>
      <c r="M942" s="349" t="str">
        <f>N942&amp;AS[[#This Row],[Insurer Code]]&amp;"; "&amp;O942&amp;AS[[#This Row],[Reporting Year]]&amp;"; "&amp;P942&amp;AS[[#This Row],[Insurance Category Code]]&amp;"; "&amp;Q942&amp;AS[[#This Row],[Large Provider Entity Code]]&amp;"; "&amp;R942&amp;AS[[#This Row],[Age Band Code]]&amp;"; "&amp;S942&amp;AS[[#This Row],[Sex Code]]</f>
        <v xml:space="preserve">Insurer Code ; Reporting Year ; Insurance Category Code ; Large Provider Entity Code ; Age Band Code ; Sex Code </v>
      </c>
      <c r="N942" s="345" t="s">
        <v>207</v>
      </c>
      <c r="O942" s="345" t="s">
        <v>208</v>
      </c>
      <c r="P942" s="345" t="s">
        <v>209</v>
      </c>
      <c r="Q942" s="345" t="s">
        <v>210</v>
      </c>
      <c r="R942" s="345" t="s">
        <v>223</v>
      </c>
      <c r="S942" s="345" t="s">
        <v>224</v>
      </c>
    </row>
    <row r="943" spans="1:19" x14ac:dyDescent="0.25">
      <c r="A943" s="311"/>
      <c r="B943" s="312"/>
      <c r="C943" s="312"/>
      <c r="D943" s="312"/>
      <c r="E943" s="312"/>
      <c r="F943" s="312"/>
      <c r="G943" s="328"/>
      <c r="H943" s="337"/>
      <c r="I943" s="334"/>
      <c r="J943" s="314"/>
      <c r="K943" s="449"/>
      <c r="M943" s="349" t="str">
        <f>N943&amp;AS[[#This Row],[Insurer Code]]&amp;"; "&amp;O943&amp;AS[[#This Row],[Reporting Year]]&amp;"; "&amp;P943&amp;AS[[#This Row],[Insurance Category Code]]&amp;"; "&amp;Q943&amp;AS[[#This Row],[Large Provider Entity Code]]&amp;"; "&amp;R943&amp;AS[[#This Row],[Age Band Code]]&amp;"; "&amp;S943&amp;AS[[#This Row],[Sex Code]]</f>
        <v xml:space="preserve">Insurer Code ; Reporting Year ; Insurance Category Code ; Large Provider Entity Code ; Age Band Code ; Sex Code </v>
      </c>
      <c r="N943" s="345" t="s">
        <v>207</v>
      </c>
      <c r="O943" s="345" t="s">
        <v>208</v>
      </c>
      <c r="P943" s="345" t="s">
        <v>209</v>
      </c>
      <c r="Q943" s="345" t="s">
        <v>210</v>
      </c>
      <c r="R943" s="345" t="s">
        <v>223</v>
      </c>
      <c r="S943" s="345" t="s">
        <v>224</v>
      </c>
    </row>
    <row r="944" spans="1:19" x14ac:dyDescent="0.25">
      <c r="A944" s="311"/>
      <c r="B944" s="312"/>
      <c r="C944" s="312"/>
      <c r="D944" s="312"/>
      <c r="E944" s="312"/>
      <c r="F944" s="312"/>
      <c r="G944" s="328"/>
      <c r="H944" s="337"/>
      <c r="I944" s="334"/>
      <c r="J944" s="314"/>
      <c r="K944" s="449"/>
      <c r="M944" s="349" t="str">
        <f>N944&amp;AS[[#This Row],[Insurer Code]]&amp;"; "&amp;O944&amp;AS[[#This Row],[Reporting Year]]&amp;"; "&amp;P944&amp;AS[[#This Row],[Insurance Category Code]]&amp;"; "&amp;Q944&amp;AS[[#This Row],[Large Provider Entity Code]]&amp;"; "&amp;R944&amp;AS[[#This Row],[Age Band Code]]&amp;"; "&amp;S944&amp;AS[[#This Row],[Sex Code]]</f>
        <v xml:space="preserve">Insurer Code ; Reporting Year ; Insurance Category Code ; Large Provider Entity Code ; Age Band Code ; Sex Code </v>
      </c>
      <c r="N944" s="345" t="s">
        <v>207</v>
      </c>
      <c r="O944" s="345" t="s">
        <v>208</v>
      </c>
      <c r="P944" s="345" t="s">
        <v>209</v>
      </c>
      <c r="Q944" s="345" t="s">
        <v>210</v>
      </c>
      <c r="R944" s="345" t="s">
        <v>223</v>
      </c>
      <c r="S944" s="345" t="s">
        <v>224</v>
      </c>
    </row>
    <row r="945" spans="1:19" x14ac:dyDescent="0.25">
      <c r="A945" s="311"/>
      <c r="B945" s="312"/>
      <c r="C945" s="312"/>
      <c r="D945" s="312"/>
      <c r="E945" s="312"/>
      <c r="F945" s="312"/>
      <c r="G945" s="328"/>
      <c r="H945" s="337"/>
      <c r="I945" s="334"/>
      <c r="J945" s="314"/>
      <c r="K945" s="449"/>
      <c r="M945" s="349" t="str">
        <f>N945&amp;AS[[#This Row],[Insurer Code]]&amp;"; "&amp;O945&amp;AS[[#This Row],[Reporting Year]]&amp;"; "&amp;P945&amp;AS[[#This Row],[Insurance Category Code]]&amp;"; "&amp;Q945&amp;AS[[#This Row],[Large Provider Entity Code]]&amp;"; "&amp;R945&amp;AS[[#This Row],[Age Band Code]]&amp;"; "&amp;S945&amp;AS[[#This Row],[Sex Code]]</f>
        <v xml:space="preserve">Insurer Code ; Reporting Year ; Insurance Category Code ; Large Provider Entity Code ; Age Band Code ; Sex Code </v>
      </c>
      <c r="N945" s="345" t="s">
        <v>207</v>
      </c>
      <c r="O945" s="345" t="s">
        <v>208</v>
      </c>
      <c r="P945" s="345" t="s">
        <v>209</v>
      </c>
      <c r="Q945" s="345" t="s">
        <v>210</v>
      </c>
      <c r="R945" s="345" t="s">
        <v>223</v>
      </c>
      <c r="S945" s="345" t="s">
        <v>224</v>
      </c>
    </row>
    <row r="946" spans="1:19" x14ac:dyDescent="0.25">
      <c r="A946" s="311"/>
      <c r="B946" s="312"/>
      <c r="C946" s="312"/>
      <c r="D946" s="312"/>
      <c r="E946" s="312"/>
      <c r="F946" s="312"/>
      <c r="G946" s="328"/>
      <c r="H946" s="337"/>
      <c r="I946" s="334"/>
      <c r="J946" s="314"/>
      <c r="K946" s="449"/>
      <c r="M946" s="349" t="str">
        <f>N946&amp;AS[[#This Row],[Insurer Code]]&amp;"; "&amp;O946&amp;AS[[#This Row],[Reporting Year]]&amp;"; "&amp;P946&amp;AS[[#This Row],[Insurance Category Code]]&amp;"; "&amp;Q946&amp;AS[[#This Row],[Large Provider Entity Code]]&amp;"; "&amp;R946&amp;AS[[#This Row],[Age Band Code]]&amp;"; "&amp;S946&amp;AS[[#This Row],[Sex Code]]</f>
        <v xml:space="preserve">Insurer Code ; Reporting Year ; Insurance Category Code ; Large Provider Entity Code ; Age Band Code ; Sex Code </v>
      </c>
      <c r="N946" s="345" t="s">
        <v>207</v>
      </c>
      <c r="O946" s="345" t="s">
        <v>208</v>
      </c>
      <c r="P946" s="345" t="s">
        <v>209</v>
      </c>
      <c r="Q946" s="345" t="s">
        <v>210</v>
      </c>
      <c r="R946" s="345" t="s">
        <v>223</v>
      </c>
      <c r="S946" s="345" t="s">
        <v>224</v>
      </c>
    </row>
    <row r="947" spans="1:19" x14ac:dyDescent="0.25">
      <c r="A947" s="311"/>
      <c r="B947" s="312"/>
      <c r="C947" s="312"/>
      <c r="D947" s="312"/>
      <c r="E947" s="312"/>
      <c r="F947" s="312"/>
      <c r="G947" s="328"/>
      <c r="H947" s="337"/>
      <c r="I947" s="334"/>
      <c r="J947" s="314"/>
      <c r="K947" s="449"/>
      <c r="M947" s="349" t="str">
        <f>N947&amp;AS[[#This Row],[Insurer Code]]&amp;"; "&amp;O947&amp;AS[[#This Row],[Reporting Year]]&amp;"; "&amp;P947&amp;AS[[#This Row],[Insurance Category Code]]&amp;"; "&amp;Q947&amp;AS[[#This Row],[Large Provider Entity Code]]&amp;"; "&amp;R947&amp;AS[[#This Row],[Age Band Code]]&amp;"; "&amp;S947&amp;AS[[#This Row],[Sex Code]]</f>
        <v xml:space="preserve">Insurer Code ; Reporting Year ; Insurance Category Code ; Large Provider Entity Code ; Age Band Code ; Sex Code </v>
      </c>
      <c r="N947" s="345" t="s">
        <v>207</v>
      </c>
      <c r="O947" s="345" t="s">
        <v>208</v>
      </c>
      <c r="P947" s="345" t="s">
        <v>209</v>
      </c>
      <c r="Q947" s="345" t="s">
        <v>210</v>
      </c>
      <c r="R947" s="345" t="s">
        <v>223</v>
      </c>
      <c r="S947" s="345" t="s">
        <v>224</v>
      </c>
    </row>
    <row r="948" spans="1:19" x14ac:dyDescent="0.25">
      <c r="A948" s="311"/>
      <c r="B948" s="312"/>
      <c r="C948" s="312"/>
      <c r="D948" s="312"/>
      <c r="E948" s="312"/>
      <c r="F948" s="312"/>
      <c r="G948" s="328"/>
      <c r="H948" s="337"/>
      <c r="I948" s="334"/>
      <c r="J948" s="314"/>
      <c r="K948" s="449"/>
      <c r="M948" s="349" t="str">
        <f>N948&amp;AS[[#This Row],[Insurer Code]]&amp;"; "&amp;O948&amp;AS[[#This Row],[Reporting Year]]&amp;"; "&amp;P948&amp;AS[[#This Row],[Insurance Category Code]]&amp;"; "&amp;Q948&amp;AS[[#This Row],[Large Provider Entity Code]]&amp;"; "&amp;R948&amp;AS[[#This Row],[Age Band Code]]&amp;"; "&amp;S948&amp;AS[[#This Row],[Sex Code]]</f>
        <v xml:space="preserve">Insurer Code ; Reporting Year ; Insurance Category Code ; Large Provider Entity Code ; Age Band Code ; Sex Code </v>
      </c>
      <c r="N948" s="345" t="s">
        <v>207</v>
      </c>
      <c r="O948" s="345" t="s">
        <v>208</v>
      </c>
      <c r="P948" s="345" t="s">
        <v>209</v>
      </c>
      <c r="Q948" s="345" t="s">
        <v>210</v>
      </c>
      <c r="R948" s="345" t="s">
        <v>223</v>
      </c>
      <c r="S948" s="345" t="s">
        <v>224</v>
      </c>
    </row>
    <row r="949" spans="1:19" x14ac:dyDescent="0.25">
      <c r="A949" s="311"/>
      <c r="B949" s="312"/>
      <c r="C949" s="312"/>
      <c r="D949" s="312"/>
      <c r="E949" s="312"/>
      <c r="F949" s="312"/>
      <c r="G949" s="335"/>
      <c r="H949" s="336"/>
      <c r="I949" s="334"/>
      <c r="J949" s="332"/>
      <c r="K949" s="449"/>
      <c r="M949" s="349" t="str">
        <f>N949&amp;AS[[#This Row],[Insurer Code]]&amp;"; "&amp;O949&amp;AS[[#This Row],[Reporting Year]]&amp;"; "&amp;P949&amp;AS[[#This Row],[Insurance Category Code]]&amp;"; "&amp;Q949&amp;AS[[#This Row],[Large Provider Entity Code]]&amp;"; "&amp;R949&amp;AS[[#This Row],[Age Band Code]]&amp;"; "&amp;S949&amp;AS[[#This Row],[Sex Code]]</f>
        <v xml:space="preserve">Insurer Code ; Reporting Year ; Insurance Category Code ; Large Provider Entity Code ; Age Band Code ; Sex Code </v>
      </c>
      <c r="N949" s="345" t="s">
        <v>207</v>
      </c>
      <c r="O949" s="345" t="s">
        <v>208</v>
      </c>
      <c r="P949" s="345" t="s">
        <v>209</v>
      </c>
      <c r="Q949" s="345" t="s">
        <v>210</v>
      </c>
      <c r="R949" s="345" t="s">
        <v>223</v>
      </c>
      <c r="S949" s="345" t="s">
        <v>224</v>
      </c>
    </row>
    <row r="950" spans="1:19" x14ac:dyDescent="0.25">
      <c r="A950" s="311"/>
      <c r="B950" s="312"/>
      <c r="C950" s="312"/>
      <c r="D950" s="312"/>
      <c r="E950" s="312"/>
      <c r="F950" s="312"/>
      <c r="G950" s="313"/>
      <c r="H950" s="336"/>
      <c r="I950" s="334"/>
      <c r="J950" s="332"/>
      <c r="K950" s="449"/>
      <c r="M950" s="349" t="str">
        <f>N950&amp;AS[[#This Row],[Insurer Code]]&amp;"; "&amp;O950&amp;AS[[#This Row],[Reporting Year]]&amp;"; "&amp;P950&amp;AS[[#This Row],[Insurance Category Code]]&amp;"; "&amp;Q950&amp;AS[[#This Row],[Large Provider Entity Code]]&amp;"; "&amp;R950&amp;AS[[#This Row],[Age Band Code]]&amp;"; "&amp;S950&amp;AS[[#This Row],[Sex Code]]</f>
        <v xml:space="preserve">Insurer Code ; Reporting Year ; Insurance Category Code ; Large Provider Entity Code ; Age Band Code ; Sex Code </v>
      </c>
      <c r="N950" s="345" t="s">
        <v>207</v>
      </c>
      <c r="O950" s="345" t="s">
        <v>208</v>
      </c>
      <c r="P950" s="345" t="s">
        <v>209</v>
      </c>
      <c r="Q950" s="345" t="s">
        <v>210</v>
      </c>
      <c r="R950" s="345" t="s">
        <v>223</v>
      </c>
      <c r="S950" s="345" t="s">
        <v>224</v>
      </c>
    </row>
    <row r="951" spans="1:19" x14ac:dyDescent="0.25">
      <c r="A951" s="311"/>
      <c r="B951" s="312"/>
      <c r="C951" s="312"/>
      <c r="D951" s="312"/>
      <c r="E951" s="312"/>
      <c r="F951" s="312"/>
      <c r="G951" s="335"/>
      <c r="H951" s="336"/>
      <c r="I951" s="334"/>
      <c r="J951" s="332"/>
      <c r="K951" s="449"/>
      <c r="M951" s="349" t="str">
        <f>N951&amp;AS[[#This Row],[Insurer Code]]&amp;"; "&amp;O951&amp;AS[[#This Row],[Reporting Year]]&amp;"; "&amp;P951&amp;AS[[#This Row],[Insurance Category Code]]&amp;"; "&amp;Q951&amp;AS[[#This Row],[Large Provider Entity Code]]&amp;"; "&amp;R951&amp;AS[[#This Row],[Age Band Code]]&amp;"; "&amp;S951&amp;AS[[#This Row],[Sex Code]]</f>
        <v xml:space="preserve">Insurer Code ; Reporting Year ; Insurance Category Code ; Large Provider Entity Code ; Age Band Code ; Sex Code </v>
      </c>
      <c r="N951" s="345" t="s">
        <v>207</v>
      </c>
      <c r="O951" s="345" t="s">
        <v>208</v>
      </c>
      <c r="P951" s="345" t="s">
        <v>209</v>
      </c>
      <c r="Q951" s="345" t="s">
        <v>210</v>
      </c>
      <c r="R951" s="345" t="s">
        <v>223</v>
      </c>
      <c r="S951" s="345" t="s">
        <v>224</v>
      </c>
    </row>
    <row r="952" spans="1:19" x14ac:dyDescent="0.25">
      <c r="A952" s="311"/>
      <c r="B952" s="312"/>
      <c r="C952" s="312"/>
      <c r="D952" s="312"/>
      <c r="E952" s="312"/>
      <c r="F952" s="312"/>
      <c r="G952" s="313"/>
      <c r="H952" s="336"/>
      <c r="I952" s="334"/>
      <c r="J952" s="332"/>
      <c r="K952" s="449"/>
      <c r="M952" s="349" t="str">
        <f>N952&amp;AS[[#This Row],[Insurer Code]]&amp;"; "&amp;O952&amp;AS[[#This Row],[Reporting Year]]&amp;"; "&amp;P952&amp;AS[[#This Row],[Insurance Category Code]]&amp;"; "&amp;Q952&amp;AS[[#This Row],[Large Provider Entity Code]]&amp;"; "&amp;R952&amp;AS[[#This Row],[Age Band Code]]&amp;"; "&amp;S952&amp;AS[[#This Row],[Sex Code]]</f>
        <v xml:space="preserve">Insurer Code ; Reporting Year ; Insurance Category Code ; Large Provider Entity Code ; Age Band Code ; Sex Code </v>
      </c>
      <c r="N952" s="345" t="s">
        <v>207</v>
      </c>
      <c r="O952" s="345" t="s">
        <v>208</v>
      </c>
      <c r="P952" s="345" t="s">
        <v>209</v>
      </c>
      <c r="Q952" s="345" t="s">
        <v>210</v>
      </c>
      <c r="R952" s="345" t="s">
        <v>223</v>
      </c>
      <c r="S952" s="345" t="s">
        <v>224</v>
      </c>
    </row>
    <row r="953" spans="1:19" x14ac:dyDescent="0.25">
      <c r="A953" s="311"/>
      <c r="B953" s="312"/>
      <c r="C953" s="312"/>
      <c r="D953" s="312"/>
      <c r="E953" s="312"/>
      <c r="F953" s="312"/>
      <c r="G953" s="335"/>
      <c r="H953" s="336"/>
      <c r="I953" s="334"/>
      <c r="J953" s="332"/>
      <c r="K953" s="449"/>
      <c r="M953" s="349" t="str">
        <f>N953&amp;AS[[#This Row],[Insurer Code]]&amp;"; "&amp;O953&amp;AS[[#This Row],[Reporting Year]]&amp;"; "&amp;P953&amp;AS[[#This Row],[Insurance Category Code]]&amp;"; "&amp;Q953&amp;AS[[#This Row],[Large Provider Entity Code]]&amp;"; "&amp;R953&amp;AS[[#This Row],[Age Band Code]]&amp;"; "&amp;S953&amp;AS[[#This Row],[Sex Code]]</f>
        <v xml:space="preserve">Insurer Code ; Reporting Year ; Insurance Category Code ; Large Provider Entity Code ; Age Band Code ; Sex Code </v>
      </c>
      <c r="N953" s="345" t="s">
        <v>207</v>
      </c>
      <c r="O953" s="345" t="s">
        <v>208</v>
      </c>
      <c r="P953" s="345" t="s">
        <v>209</v>
      </c>
      <c r="Q953" s="345" t="s">
        <v>210</v>
      </c>
      <c r="R953" s="345" t="s">
        <v>223</v>
      </c>
      <c r="S953" s="345" t="s">
        <v>224</v>
      </c>
    </row>
    <row r="954" spans="1:19" x14ac:dyDescent="0.25">
      <c r="A954" s="311"/>
      <c r="B954" s="312"/>
      <c r="C954" s="312"/>
      <c r="D954" s="312"/>
      <c r="E954" s="312"/>
      <c r="F954" s="312"/>
      <c r="G954" s="313"/>
      <c r="H954" s="336"/>
      <c r="I954" s="334"/>
      <c r="J954" s="332"/>
      <c r="K954" s="449"/>
      <c r="M954" s="349" t="str">
        <f>N954&amp;AS[[#This Row],[Insurer Code]]&amp;"; "&amp;O954&amp;AS[[#This Row],[Reporting Year]]&amp;"; "&amp;P954&amp;AS[[#This Row],[Insurance Category Code]]&amp;"; "&amp;Q954&amp;AS[[#This Row],[Large Provider Entity Code]]&amp;"; "&amp;R954&amp;AS[[#This Row],[Age Band Code]]&amp;"; "&amp;S954&amp;AS[[#This Row],[Sex Code]]</f>
        <v xml:space="preserve">Insurer Code ; Reporting Year ; Insurance Category Code ; Large Provider Entity Code ; Age Band Code ; Sex Code </v>
      </c>
      <c r="N954" s="345" t="s">
        <v>207</v>
      </c>
      <c r="O954" s="345" t="s">
        <v>208</v>
      </c>
      <c r="P954" s="345" t="s">
        <v>209</v>
      </c>
      <c r="Q954" s="345" t="s">
        <v>210</v>
      </c>
      <c r="R954" s="345" t="s">
        <v>223</v>
      </c>
      <c r="S954" s="345" t="s">
        <v>224</v>
      </c>
    </row>
    <row r="955" spans="1:19" x14ac:dyDescent="0.25">
      <c r="A955" s="311"/>
      <c r="B955" s="312"/>
      <c r="C955" s="312"/>
      <c r="D955" s="312"/>
      <c r="E955" s="312"/>
      <c r="F955" s="312"/>
      <c r="G955" s="335"/>
      <c r="H955" s="336"/>
      <c r="I955" s="334"/>
      <c r="J955" s="332"/>
      <c r="K955" s="449"/>
      <c r="M955" s="349" t="str">
        <f>N955&amp;AS[[#This Row],[Insurer Code]]&amp;"; "&amp;O955&amp;AS[[#This Row],[Reporting Year]]&amp;"; "&amp;P955&amp;AS[[#This Row],[Insurance Category Code]]&amp;"; "&amp;Q955&amp;AS[[#This Row],[Large Provider Entity Code]]&amp;"; "&amp;R955&amp;AS[[#This Row],[Age Band Code]]&amp;"; "&amp;S955&amp;AS[[#This Row],[Sex Code]]</f>
        <v xml:space="preserve">Insurer Code ; Reporting Year ; Insurance Category Code ; Large Provider Entity Code ; Age Band Code ; Sex Code </v>
      </c>
      <c r="N955" s="345" t="s">
        <v>207</v>
      </c>
      <c r="O955" s="345" t="s">
        <v>208</v>
      </c>
      <c r="P955" s="345" t="s">
        <v>209</v>
      </c>
      <c r="Q955" s="345" t="s">
        <v>210</v>
      </c>
      <c r="R955" s="345" t="s">
        <v>223</v>
      </c>
      <c r="S955" s="345" t="s">
        <v>224</v>
      </c>
    </row>
    <row r="956" spans="1:19" x14ac:dyDescent="0.25">
      <c r="A956" s="311"/>
      <c r="B956" s="312"/>
      <c r="C956" s="312"/>
      <c r="D956" s="312"/>
      <c r="E956" s="312"/>
      <c r="F956" s="312"/>
      <c r="G956" s="335"/>
      <c r="H956" s="336"/>
      <c r="I956" s="334"/>
      <c r="J956" s="332"/>
      <c r="K956" s="449"/>
      <c r="M956" s="349" t="str">
        <f>N956&amp;AS[[#This Row],[Insurer Code]]&amp;"; "&amp;O956&amp;AS[[#This Row],[Reporting Year]]&amp;"; "&amp;P956&amp;AS[[#This Row],[Insurance Category Code]]&amp;"; "&amp;Q956&amp;AS[[#This Row],[Large Provider Entity Code]]&amp;"; "&amp;R956&amp;AS[[#This Row],[Age Band Code]]&amp;"; "&amp;S956&amp;AS[[#This Row],[Sex Code]]</f>
        <v xml:space="preserve">Insurer Code ; Reporting Year ; Insurance Category Code ; Large Provider Entity Code ; Age Band Code ; Sex Code </v>
      </c>
      <c r="N956" s="345" t="s">
        <v>207</v>
      </c>
      <c r="O956" s="345" t="s">
        <v>208</v>
      </c>
      <c r="P956" s="345" t="s">
        <v>209</v>
      </c>
      <c r="Q956" s="345" t="s">
        <v>210</v>
      </c>
      <c r="R956" s="345" t="s">
        <v>223</v>
      </c>
      <c r="S956" s="345" t="s">
        <v>224</v>
      </c>
    </row>
    <row r="957" spans="1:19" x14ac:dyDescent="0.25">
      <c r="A957" s="311"/>
      <c r="B957" s="312"/>
      <c r="C957" s="312"/>
      <c r="D957" s="312"/>
      <c r="E957" s="312"/>
      <c r="F957" s="312"/>
      <c r="G957" s="313"/>
      <c r="H957" s="336"/>
      <c r="I957" s="334"/>
      <c r="J957" s="332"/>
      <c r="K957" s="449"/>
      <c r="M957" s="349" t="str">
        <f>N957&amp;AS[[#This Row],[Insurer Code]]&amp;"; "&amp;O957&amp;AS[[#This Row],[Reporting Year]]&amp;"; "&amp;P957&amp;AS[[#This Row],[Insurance Category Code]]&amp;"; "&amp;Q957&amp;AS[[#This Row],[Large Provider Entity Code]]&amp;"; "&amp;R957&amp;AS[[#This Row],[Age Band Code]]&amp;"; "&amp;S957&amp;AS[[#This Row],[Sex Code]]</f>
        <v xml:space="preserve">Insurer Code ; Reporting Year ; Insurance Category Code ; Large Provider Entity Code ; Age Band Code ; Sex Code </v>
      </c>
      <c r="N957" s="345" t="s">
        <v>207</v>
      </c>
      <c r="O957" s="345" t="s">
        <v>208</v>
      </c>
      <c r="P957" s="345" t="s">
        <v>209</v>
      </c>
      <c r="Q957" s="345" t="s">
        <v>210</v>
      </c>
      <c r="R957" s="345" t="s">
        <v>223</v>
      </c>
      <c r="S957" s="345" t="s">
        <v>224</v>
      </c>
    </row>
    <row r="958" spans="1:19" x14ac:dyDescent="0.25">
      <c r="A958" s="311"/>
      <c r="B958" s="312"/>
      <c r="C958" s="312"/>
      <c r="D958" s="312"/>
      <c r="E958" s="312"/>
      <c r="F958" s="312"/>
      <c r="G958" s="335"/>
      <c r="H958" s="336"/>
      <c r="I958" s="334"/>
      <c r="J958" s="332"/>
      <c r="K958" s="449"/>
      <c r="M958" s="349" t="str">
        <f>N958&amp;AS[[#This Row],[Insurer Code]]&amp;"; "&amp;O958&amp;AS[[#This Row],[Reporting Year]]&amp;"; "&amp;P958&amp;AS[[#This Row],[Insurance Category Code]]&amp;"; "&amp;Q958&amp;AS[[#This Row],[Large Provider Entity Code]]&amp;"; "&amp;R958&amp;AS[[#This Row],[Age Band Code]]&amp;"; "&amp;S958&amp;AS[[#This Row],[Sex Code]]</f>
        <v xml:space="preserve">Insurer Code ; Reporting Year ; Insurance Category Code ; Large Provider Entity Code ; Age Band Code ; Sex Code </v>
      </c>
      <c r="N958" s="345" t="s">
        <v>207</v>
      </c>
      <c r="O958" s="345" t="s">
        <v>208</v>
      </c>
      <c r="P958" s="345" t="s">
        <v>209</v>
      </c>
      <c r="Q958" s="345" t="s">
        <v>210</v>
      </c>
      <c r="R958" s="345" t="s">
        <v>223</v>
      </c>
      <c r="S958" s="345" t="s">
        <v>224</v>
      </c>
    </row>
    <row r="959" spans="1:19" x14ac:dyDescent="0.25">
      <c r="A959" s="311"/>
      <c r="B959" s="312"/>
      <c r="C959" s="312"/>
      <c r="D959" s="312"/>
      <c r="E959" s="312"/>
      <c r="F959" s="312"/>
      <c r="G959" s="313"/>
      <c r="H959" s="336"/>
      <c r="I959" s="334"/>
      <c r="J959" s="332"/>
      <c r="K959" s="449"/>
      <c r="M959" s="349" t="str">
        <f>N959&amp;AS[[#This Row],[Insurer Code]]&amp;"; "&amp;O959&amp;AS[[#This Row],[Reporting Year]]&amp;"; "&amp;P959&amp;AS[[#This Row],[Insurance Category Code]]&amp;"; "&amp;Q959&amp;AS[[#This Row],[Large Provider Entity Code]]&amp;"; "&amp;R959&amp;AS[[#This Row],[Age Band Code]]&amp;"; "&amp;S959&amp;AS[[#This Row],[Sex Code]]</f>
        <v xml:space="preserve">Insurer Code ; Reporting Year ; Insurance Category Code ; Large Provider Entity Code ; Age Band Code ; Sex Code </v>
      </c>
      <c r="N959" s="345" t="s">
        <v>207</v>
      </c>
      <c r="O959" s="345" t="s">
        <v>208</v>
      </c>
      <c r="P959" s="345" t="s">
        <v>209</v>
      </c>
      <c r="Q959" s="345" t="s">
        <v>210</v>
      </c>
      <c r="R959" s="345" t="s">
        <v>223</v>
      </c>
      <c r="S959" s="345" t="s">
        <v>224</v>
      </c>
    </row>
    <row r="960" spans="1:19" x14ac:dyDescent="0.25">
      <c r="A960" s="311"/>
      <c r="B960" s="312"/>
      <c r="C960" s="312"/>
      <c r="D960" s="312"/>
      <c r="E960" s="312"/>
      <c r="F960" s="312"/>
      <c r="G960" s="335"/>
      <c r="H960" s="336"/>
      <c r="I960" s="334"/>
      <c r="J960" s="332"/>
      <c r="K960" s="449"/>
      <c r="M960" s="349" t="str">
        <f>N960&amp;AS[[#This Row],[Insurer Code]]&amp;"; "&amp;O960&amp;AS[[#This Row],[Reporting Year]]&amp;"; "&amp;P960&amp;AS[[#This Row],[Insurance Category Code]]&amp;"; "&amp;Q960&amp;AS[[#This Row],[Large Provider Entity Code]]&amp;"; "&amp;R960&amp;AS[[#This Row],[Age Band Code]]&amp;"; "&amp;S960&amp;AS[[#This Row],[Sex Code]]</f>
        <v xml:space="preserve">Insurer Code ; Reporting Year ; Insurance Category Code ; Large Provider Entity Code ; Age Band Code ; Sex Code </v>
      </c>
      <c r="N960" s="345" t="s">
        <v>207</v>
      </c>
      <c r="O960" s="345" t="s">
        <v>208</v>
      </c>
      <c r="P960" s="345" t="s">
        <v>209</v>
      </c>
      <c r="Q960" s="345" t="s">
        <v>210</v>
      </c>
      <c r="R960" s="345" t="s">
        <v>223</v>
      </c>
      <c r="S960" s="345" t="s">
        <v>224</v>
      </c>
    </row>
    <row r="961" spans="1:19" x14ac:dyDescent="0.25">
      <c r="A961" s="311"/>
      <c r="B961" s="312"/>
      <c r="C961" s="312"/>
      <c r="D961" s="312"/>
      <c r="E961" s="312"/>
      <c r="F961" s="312"/>
      <c r="G961" s="335"/>
      <c r="H961" s="336"/>
      <c r="I961" s="334"/>
      <c r="J961" s="332"/>
      <c r="K961" s="449"/>
      <c r="M961" s="349" t="str">
        <f>N961&amp;AS[[#This Row],[Insurer Code]]&amp;"; "&amp;O961&amp;AS[[#This Row],[Reporting Year]]&amp;"; "&amp;P961&amp;AS[[#This Row],[Insurance Category Code]]&amp;"; "&amp;Q961&amp;AS[[#This Row],[Large Provider Entity Code]]&amp;"; "&amp;R961&amp;AS[[#This Row],[Age Band Code]]&amp;"; "&amp;S961&amp;AS[[#This Row],[Sex Code]]</f>
        <v xml:space="preserve">Insurer Code ; Reporting Year ; Insurance Category Code ; Large Provider Entity Code ; Age Band Code ; Sex Code </v>
      </c>
      <c r="N961" s="345" t="s">
        <v>207</v>
      </c>
      <c r="O961" s="345" t="s">
        <v>208</v>
      </c>
      <c r="P961" s="345" t="s">
        <v>209</v>
      </c>
      <c r="Q961" s="345" t="s">
        <v>210</v>
      </c>
      <c r="R961" s="345" t="s">
        <v>223</v>
      </c>
      <c r="S961" s="345" t="s">
        <v>224</v>
      </c>
    </row>
    <row r="962" spans="1:19" x14ac:dyDescent="0.25">
      <c r="A962" s="311"/>
      <c r="B962" s="312"/>
      <c r="C962" s="312"/>
      <c r="D962" s="312"/>
      <c r="E962" s="312"/>
      <c r="F962" s="312"/>
      <c r="G962" s="335"/>
      <c r="H962" s="336"/>
      <c r="I962" s="334"/>
      <c r="J962" s="332"/>
      <c r="K962" s="449"/>
      <c r="M962" s="349" t="str">
        <f>N962&amp;AS[[#This Row],[Insurer Code]]&amp;"; "&amp;O962&amp;AS[[#This Row],[Reporting Year]]&amp;"; "&amp;P962&amp;AS[[#This Row],[Insurance Category Code]]&amp;"; "&amp;Q962&amp;AS[[#This Row],[Large Provider Entity Code]]&amp;"; "&amp;R962&amp;AS[[#This Row],[Age Band Code]]&amp;"; "&amp;S962&amp;AS[[#This Row],[Sex Code]]</f>
        <v xml:space="preserve">Insurer Code ; Reporting Year ; Insurance Category Code ; Large Provider Entity Code ; Age Band Code ; Sex Code </v>
      </c>
      <c r="N962" s="345" t="s">
        <v>207</v>
      </c>
      <c r="O962" s="345" t="s">
        <v>208</v>
      </c>
      <c r="P962" s="345" t="s">
        <v>209</v>
      </c>
      <c r="Q962" s="345" t="s">
        <v>210</v>
      </c>
      <c r="R962" s="345" t="s">
        <v>223</v>
      </c>
      <c r="S962" s="345" t="s">
        <v>224</v>
      </c>
    </row>
    <row r="963" spans="1:19" x14ac:dyDescent="0.25">
      <c r="A963" s="311"/>
      <c r="B963" s="312"/>
      <c r="C963" s="312"/>
      <c r="D963" s="312"/>
      <c r="E963" s="312"/>
      <c r="F963" s="312"/>
      <c r="G963" s="328"/>
      <c r="H963" s="337"/>
      <c r="I963" s="334"/>
      <c r="J963" s="314"/>
      <c r="K963" s="449"/>
      <c r="M963" s="349" t="str">
        <f>N963&amp;AS[[#This Row],[Insurer Code]]&amp;"; "&amp;O963&amp;AS[[#This Row],[Reporting Year]]&amp;"; "&amp;P963&amp;AS[[#This Row],[Insurance Category Code]]&amp;"; "&amp;Q963&amp;AS[[#This Row],[Large Provider Entity Code]]&amp;"; "&amp;R963&amp;AS[[#This Row],[Age Band Code]]&amp;"; "&amp;S963&amp;AS[[#This Row],[Sex Code]]</f>
        <v xml:space="preserve">Insurer Code ; Reporting Year ; Insurance Category Code ; Large Provider Entity Code ; Age Band Code ; Sex Code </v>
      </c>
      <c r="N963" s="345" t="s">
        <v>207</v>
      </c>
      <c r="O963" s="345" t="s">
        <v>208</v>
      </c>
      <c r="P963" s="345" t="s">
        <v>209</v>
      </c>
      <c r="Q963" s="345" t="s">
        <v>210</v>
      </c>
      <c r="R963" s="345" t="s">
        <v>223</v>
      </c>
      <c r="S963" s="345" t="s">
        <v>224</v>
      </c>
    </row>
    <row r="964" spans="1:19" x14ac:dyDescent="0.25">
      <c r="A964" s="311"/>
      <c r="B964" s="312"/>
      <c r="C964" s="312"/>
      <c r="D964" s="312"/>
      <c r="E964" s="312"/>
      <c r="F964" s="312"/>
      <c r="G964" s="328"/>
      <c r="H964" s="337"/>
      <c r="I964" s="334"/>
      <c r="J964" s="314"/>
      <c r="K964" s="449"/>
      <c r="M964" s="349" t="str">
        <f>N964&amp;AS[[#This Row],[Insurer Code]]&amp;"; "&amp;O964&amp;AS[[#This Row],[Reporting Year]]&amp;"; "&amp;P964&amp;AS[[#This Row],[Insurance Category Code]]&amp;"; "&amp;Q964&amp;AS[[#This Row],[Large Provider Entity Code]]&amp;"; "&amp;R964&amp;AS[[#This Row],[Age Band Code]]&amp;"; "&amp;S964&amp;AS[[#This Row],[Sex Code]]</f>
        <v xml:space="preserve">Insurer Code ; Reporting Year ; Insurance Category Code ; Large Provider Entity Code ; Age Band Code ; Sex Code </v>
      </c>
      <c r="N964" s="345" t="s">
        <v>207</v>
      </c>
      <c r="O964" s="345" t="s">
        <v>208</v>
      </c>
      <c r="P964" s="345" t="s">
        <v>209</v>
      </c>
      <c r="Q964" s="345" t="s">
        <v>210</v>
      </c>
      <c r="R964" s="345" t="s">
        <v>223</v>
      </c>
      <c r="S964" s="345" t="s">
        <v>224</v>
      </c>
    </row>
    <row r="965" spans="1:19" x14ac:dyDescent="0.25">
      <c r="A965" s="311"/>
      <c r="B965" s="312"/>
      <c r="C965" s="312"/>
      <c r="D965" s="312"/>
      <c r="E965" s="312"/>
      <c r="F965" s="312"/>
      <c r="G965" s="328"/>
      <c r="H965" s="337"/>
      <c r="I965" s="334"/>
      <c r="J965" s="314"/>
      <c r="K965" s="449"/>
      <c r="M965" s="349" t="str">
        <f>N965&amp;AS[[#This Row],[Insurer Code]]&amp;"; "&amp;O965&amp;AS[[#This Row],[Reporting Year]]&amp;"; "&amp;P965&amp;AS[[#This Row],[Insurance Category Code]]&amp;"; "&amp;Q965&amp;AS[[#This Row],[Large Provider Entity Code]]&amp;"; "&amp;R965&amp;AS[[#This Row],[Age Band Code]]&amp;"; "&amp;S965&amp;AS[[#This Row],[Sex Code]]</f>
        <v xml:space="preserve">Insurer Code ; Reporting Year ; Insurance Category Code ; Large Provider Entity Code ; Age Band Code ; Sex Code </v>
      </c>
      <c r="N965" s="345" t="s">
        <v>207</v>
      </c>
      <c r="O965" s="345" t="s">
        <v>208</v>
      </c>
      <c r="P965" s="345" t="s">
        <v>209</v>
      </c>
      <c r="Q965" s="345" t="s">
        <v>210</v>
      </c>
      <c r="R965" s="345" t="s">
        <v>223</v>
      </c>
      <c r="S965" s="345" t="s">
        <v>224</v>
      </c>
    </row>
    <row r="966" spans="1:19" x14ac:dyDescent="0.25">
      <c r="A966" s="311"/>
      <c r="B966" s="312"/>
      <c r="C966" s="312"/>
      <c r="D966" s="312"/>
      <c r="E966" s="312"/>
      <c r="F966" s="312"/>
      <c r="G966" s="328"/>
      <c r="H966" s="337"/>
      <c r="I966" s="334"/>
      <c r="J966" s="314"/>
      <c r="K966" s="449"/>
      <c r="M966" s="349" t="str">
        <f>N966&amp;AS[[#This Row],[Insurer Code]]&amp;"; "&amp;O966&amp;AS[[#This Row],[Reporting Year]]&amp;"; "&amp;P966&amp;AS[[#This Row],[Insurance Category Code]]&amp;"; "&amp;Q966&amp;AS[[#This Row],[Large Provider Entity Code]]&amp;"; "&amp;R966&amp;AS[[#This Row],[Age Band Code]]&amp;"; "&amp;S966&amp;AS[[#This Row],[Sex Code]]</f>
        <v xml:space="preserve">Insurer Code ; Reporting Year ; Insurance Category Code ; Large Provider Entity Code ; Age Band Code ; Sex Code </v>
      </c>
      <c r="N966" s="345" t="s">
        <v>207</v>
      </c>
      <c r="O966" s="345" t="s">
        <v>208</v>
      </c>
      <c r="P966" s="345" t="s">
        <v>209</v>
      </c>
      <c r="Q966" s="345" t="s">
        <v>210</v>
      </c>
      <c r="R966" s="345" t="s">
        <v>223</v>
      </c>
      <c r="S966" s="345" t="s">
        <v>224</v>
      </c>
    </row>
    <row r="967" spans="1:19" x14ac:dyDescent="0.25">
      <c r="A967" s="311"/>
      <c r="B967" s="312"/>
      <c r="C967" s="312"/>
      <c r="D967" s="312"/>
      <c r="E967" s="312"/>
      <c r="F967" s="312"/>
      <c r="G967" s="313"/>
      <c r="H967" s="336"/>
      <c r="I967" s="334"/>
      <c r="J967" s="332"/>
      <c r="K967" s="449"/>
      <c r="M967" s="349" t="str">
        <f>N967&amp;AS[[#This Row],[Insurer Code]]&amp;"; "&amp;O967&amp;AS[[#This Row],[Reporting Year]]&amp;"; "&amp;P967&amp;AS[[#This Row],[Insurance Category Code]]&amp;"; "&amp;Q967&amp;AS[[#This Row],[Large Provider Entity Code]]&amp;"; "&amp;R967&amp;AS[[#This Row],[Age Band Code]]&amp;"; "&amp;S967&amp;AS[[#This Row],[Sex Code]]</f>
        <v xml:space="preserve">Insurer Code ; Reporting Year ; Insurance Category Code ; Large Provider Entity Code ; Age Band Code ; Sex Code </v>
      </c>
      <c r="N967" s="345" t="s">
        <v>207</v>
      </c>
      <c r="O967" s="345" t="s">
        <v>208</v>
      </c>
      <c r="P967" s="345" t="s">
        <v>209</v>
      </c>
      <c r="Q967" s="345" t="s">
        <v>210</v>
      </c>
      <c r="R967" s="345" t="s">
        <v>223</v>
      </c>
      <c r="S967" s="345" t="s">
        <v>224</v>
      </c>
    </row>
    <row r="968" spans="1:19" x14ac:dyDescent="0.25">
      <c r="A968" s="311"/>
      <c r="B968" s="312"/>
      <c r="C968" s="312"/>
      <c r="D968" s="312"/>
      <c r="E968" s="312"/>
      <c r="F968" s="312"/>
      <c r="G968" s="335"/>
      <c r="H968" s="336"/>
      <c r="I968" s="334"/>
      <c r="J968" s="332"/>
      <c r="K968" s="449"/>
      <c r="M968" s="349" t="str">
        <f>N968&amp;AS[[#This Row],[Insurer Code]]&amp;"; "&amp;O968&amp;AS[[#This Row],[Reporting Year]]&amp;"; "&amp;P968&amp;AS[[#This Row],[Insurance Category Code]]&amp;"; "&amp;Q968&amp;AS[[#This Row],[Large Provider Entity Code]]&amp;"; "&amp;R968&amp;AS[[#This Row],[Age Band Code]]&amp;"; "&amp;S968&amp;AS[[#This Row],[Sex Code]]</f>
        <v xml:space="preserve">Insurer Code ; Reporting Year ; Insurance Category Code ; Large Provider Entity Code ; Age Band Code ; Sex Code </v>
      </c>
      <c r="N968" s="345" t="s">
        <v>207</v>
      </c>
      <c r="O968" s="345" t="s">
        <v>208</v>
      </c>
      <c r="P968" s="345" t="s">
        <v>209</v>
      </c>
      <c r="Q968" s="345" t="s">
        <v>210</v>
      </c>
      <c r="R968" s="345" t="s">
        <v>223</v>
      </c>
      <c r="S968" s="345" t="s">
        <v>224</v>
      </c>
    </row>
    <row r="969" spans="1:19" x14ac:dyDescent="0.25">
      <c r="A969" s="311"/>
      <c r="B969" s="312"/>
      <c r="C969" s="312"/>
      <c r="D969" s="312"/>
      <c r="E969" s="312"/>
      <c r="F969" s="312"/>
      <c r="G969" s="313"/>
      <c r="H969" s="336"/>
      <c r="I969" s="334"/>
      <c r="J969" s="332"/>
      <c r="K969" s="449"/>
      <c r="M969" s="349" t="str">
        <f>N969&amp;AS[[#This Row],[Insurer Code]]&amp;"; "&amp;O969&amp;AS[[#This Row],[Reporting Year]]&amp;"; "&amp;P969&amp;AS[[#This Row],[Insurance Category Code]]&amp;"; "&amp;Q969&amp;AS[[#This Row],[Large Provider Entity Code]]&amp;"; "&amp;R969&amp;AS[[#This Row],[Age Band Code]]&amp;"; "&amp;S969&amp;AS[[#This Row],[Sex Code]]</f>
        <v xml:space="preserve">Insurer Code ; Reporting Year ; Insurance Category Code ; Large Provider Entity Code ; Age Band Code ; Sex Code </v>
      </c>
      <c r="N969" s="345" t="s">
        <v>207</v>
      </c>
      <c r="O969" s="345" t="s">
        <v>208</v>
      </c>
      <c r="P969" s="345" t="s">
        <v>209</v>
      </c>
      <c r="Q969" s="345" t="s">
        <v>210</v>
      </c>
      <c r="R969" s="345" t="s">
        <v>223</v>
      </c>
      <c r="S969" s="345" t="s">
        <v>224</v>
      </c>
    </row>
    <row r="970" spans="1:19" x14ac:dyDescent="0.25">
      <c r="A970" s="311"/>
      <c r="B970" s="312"/>
      <c r="C970" s="312"/>
      <c r="D970" s="312"/>
      <c r="E970" s="312"/>
      <c r="F970" s="312"/>
      <c r="G970" s="335"/>
      <c r="H970" s="336"/>
      <c r="I970" s="334"/>
      <c r="J970" s="332"/>
      <c r="K970" s="449"/>
      <c r="M970" s="349" t="str">
        <f>N970&amp;AS[[#This Row],[Insurer Code]]&amp;"; "&amp;O970&amp;AS[[#This Row],[Reporting Year]]&amp;"; "&amp;P970&amp;AS[[#This Row],[Insurance Category Code]]&amp;"; "&amp;Q970&amp;AS[[#This Row],[Large Provider Entity Code]]&amp;"; "&amp;R970&amp;AS[[#This Row],[Age Band Code]]&amp;"; "&amp;S970&amp;AS[[#This Row],[Sex Code]]</f>
        <v xml:space="preserve">Insurer Code ; Reporting Year ; Insurance Category Code ; Large Provider Entity Code ; Age Band Code ; Sex Code </v>
      </c>
      <c r="N970" s="345" t="s">
        <v>207</v>
      </c>
      <c r="O970" s="345" t="s">
        <v>208</v>
      </c>
      <c r="P970" s="345" t="s">
        <v>209</v>
      </c>
      <c r="Q970" s="345" t="s">
        <v>210</v>
      </c>
      <c r="R970" s="345" t="s">
        <v>223</v>
      </c>
      <c r="S970" s="345" t="s">
        <v>224</v>
      </c>
    </row>
    <row r="971" spans="1:19" x14ac:dyDescent="0.25">
      <c r="A971" s="311"/>
      <c r="B971" s="312"/>
      <c r="C971" s="312"/>
      <c r="D971" s="312"/>
      <c r="E971" s="312"/>
      <c r="F971" s="312"/>
      <c r="G971" s="313"/>
      <c r="H971" s="336"/>
      <c r="I971" s="334"/>
      <c r="J971" s="332"/>
      <c r="K971" s="449"/>
      <c r="M971" s="349" t="str">
        <f>N971&amp;AS[[#This Row],[Insurer Code]]&amp;"; "&amp;O971&amp;AS[[#This Row],[Reporting Year]]&amp;"; "&amp;P971&amp;AS[[#This Row],[Insurance Category Code]]&amp;"; "&amp;Q971&amp;AS[[#This Row],[Large Provider Entity Code]]&amp;"; "&amp;R971&amp;AS[[#This Row],[Age Band Code]]&amp;"; "&amp;S971&amp;AS[[#This Row],[Sex Code]]</f>
        <v xml:space="preserve">Insurer Code ; Reporting Year ; Insurance Category Code ; Large Provider Entity Code ; Age Band Code ; Sex Code </v>
      </c>
      <c r="N971" s="345" t="s">
        <v>207</v>
      </c>
      <c r="O971" s="345" t="s">
        <v>208</v>
      </c>
      <c r="P971" s="345" t="s">
        <v>209</v>
      </c>
      <c r="Q971" s="345" t="s">
        <v>210</v>
      </c>
      <c r="R971" s="345" t="s">
        <v>223</v>
      </c>
      <c r="S971" s="345" t="s">
        <v>224</v>
      </c>
    </row>
    <row r="972" spans="1:19" x14ac:dyDescent="0.25">
      <c r="A972" s="311"/>
      <c r="B972" s="312"/>
      <c r="C972" s="312"/>
      <c r="D972" s="312"/>
      <c r="E972" s="312"/>
      <c r="F972" s="312"/>
      <c r="G972" s="335"/>
      <c r="H972" s="336"/>
      <c r="I972" s="334"/>
      <c r="J972" s="332"/>
      <c r="K972" s="449"/>
      <c r="M972" s="349" t="str">
        <f>N972&amp;AS[[#This Row],[Insurer Code]]&amp;"; "&amp;O972&amp;AS[[#This Row],[Reporting Year]]&amp;"; "&amp;P972&amp;AS[[#This Row],[Insurance Category Code]]&amp;"; "&amp;Q972&amp;AS[[#This Row],[Large Provider Entity Code]]&amp;"; "&amp;R972&amp;AS[[#This Row],[Age Band Code]]&amp;"; "&amp;S972&amp;AS[[#This Row],[Sex Code]]</f>
        <v xml:space="preserve">Insurer Code ; Reporting Year ; Insurance Category Code ; Large Provider Entity Code ; Age Band Code ; Sex Code </v>
      </c>
      <c r="N972" s="345" t="s">
        <v>207</v>
      </c>
      <c r="O972" s="345" t="s">
        <v>208</v>
      </c>
      <c r="P972" s="345" t="s">
        <v>209</v>
      </c>
      <c r="Q972" s="345" t="s">
        <v>210</v>
      </c>
      <c r="R972" s="345" t="s">
        <v>223</v>
      </c>
      <c r="S972" s="345" t="s">
        <v>224</v>
      </c>
    </row>
    <row r="973" spans="1:19" x14ac:dyDescent="0.25">
      <c r="A973" s="311"/>
      <c r="B973" s="312"/>
      <c r="C973" s="312"/>
      <c r="D973" s="312"/>
      <c r="E973" s="312"/>
      <c r="F973" s="312"/>
      <c r="G973" s="313"/>
      <c r="H973" s="336"/>
      <c r="I973" s="334"/>
      <c r="J973" s="332"/>
      <c r="K973" s="449"/>
      <c r="M973" s="349" t="str">
        <f>N973&amp;AS[[#This Row],[Insurer Code]]&amp;"; "&amp;O973&amp;AS[[#This Row],[Reporting Year]]&amp;"; "&amp;P973&amp;AS[[#This Row],[Insurance Category Code]]&amp;"; "&amp;Q973&amp;AS[[#This Row],[Large Provider Entity Code]]&amp;"; "&amp;R973&amp;AS[[#This Row],[Age Band Code]]&amp;"; "&amp;S973&amp;AS[[#This Row],[Sex Code]]</f>
        <v xml:space="preserve">Insurer Code ; Reporting Year ; Insurance Category Code ; Large Provider Entity Code ; Age Band Code ; Sex Code </v>
      </c>
      <c r="N973" s="345" t="s">
        <v>207</v>
      </c>
      <c r="O973" s="345" t="s">
        <v>208</v>
      </c>
      <c r="P973" s="345" t="s">
        <v>209</v>
      </c>
      <c r="Q973" s="345" t="s">
        <v>210</v>
      </c>
      <c r="R973" s="345" t="s">
        <v>223</v>
      </c>
      <c r="S973" s="345" t="s">
        <v>224</v>
      </c>
    </row>
    <row r="974" spans="1:19" x14ac:dyDescent="0.25">
      <c r="A974" s="311"/>
      <c r="B974" s="312"/>
      <c r="C974" s="312"/>
      <c r="D974" s="312"/>
      <c r="E974" s="312"/>
      <c r="F974" s="312"/>
      <c r="G974" s="335"/>
      <c r="H974" s="336"/>
      <c r="I974" s="334"/>
      <c r="J974" s="332"/>
      <c r="K974" s="449"/>
      <c r="M974" s="349" t="str">
        <f>N974&amp;AS[[#This Row],[Insurer Code]]&amp;"; "&amp;O974&amp;AS[[#This Row],[Reporting Year]]&amp;"; "&amp;P974&amp;AS[[#This Row],[Insurance Category Code]]&amp;"; "&amp;Q974&amp;AS[[#This Row],[Large Provider Entity Code]]&amp;"; "&amp;R974&amp;AS[[#This Row],[Age Band Code]]&amp;"; "&amp;S974&amp;AS[[#This Row],[Sex Code]]</f>
        <v xml:space="preserve">Insurer Code ; Reporting Year ; Insurance Category Code ; Large Provider Entity Code ; Age Band Code ; Sex Code </v>
      </c>
      <c r="N974" s="345" t="s">
        <v>207</v>
      </c>
      <c r="O974" s="345" t="s">
        <v>208</v>
      </c>
      <c r="P974" s="345" t="s">
        <v>209</v>
      </c>
      <c r="Q974" s="345" t="s">
        <v>210</v>
      </c>
      <c r="R974" s="345" t="s">
        <v>223</v>
      </c>
      <c r="S974" s="345" t="s">
        <v>224</v>
      </c>
    </row>
    <row r="975" spans="1:19" x14ac:dyDescent="0.25">
      <c r="A975" s="311"/>
      <c r="B975" s="312"/>
      <c r="C975" s="312"/>
      <c r="D975" s="312"/>
      <c r="E975" s="312"/>
      <c r="F975" s="312"/>
      <c r="G975" s="335"/>
      <c r="H975" s="336"/>
      <c r="I975" s="334"/>
      <c r="J975" s="332"/>
      <c r="K975" s="449"/>
      <c r="M975" s="349" t="str">
        <f>N975&amp;AS[[#This Row],[Insurer Code]]&amp;"; "&amp;O975&amp;AS[[#This Row],[Reporting Year]]&amp;"; "&amp;P975&amp;AS[[#This Row],[Insurance Category Code]]&amp;"; "&amp;Q975&amp;AS[[#This Row],[Large Provider Entity Code]]&amp;"; "&amp;R975&amp;AS[[#This Row],[Age Band Code]]&amp;"; "&amp;S975&amp;AS[[#This Row],[Sex Code]]</f>
        <v xml:space="preserve">Insurer Code ; Reporting Year ; Insurance Category Code ; Large Provider Entity Code ; Age Band Code ; Sex Code </v>
      </c>
      <c r="N975" s="345" t="s">
        <v>207</v>
      </c>
      <c r="O975" s="345" t="s">
        <v>208</v>
      </c>
      <c r="P975" s="345" t="s">
        <v>209</v>
      </c>
      <c r="Q975" s="345" t="s">
        <v>210</v>
      </c>
      <c r="R975" s="345" t="s">
        <v>223</v>
      </c>
      <c r="S975" s="345" t="s">
        <v>224</v>
      </c>
    </row>
    <row r="976" spans="1:19" x14ac:dyDescent="0.25">
      <c r="A976" s="311"/>
      <c r="B976" s="312"/>
      <c r="C976" s="312"/>
      <c r="D976" s="312"/>
      <c r="E976" s="312"/>
      <c r="F976" s="312"/>
      <c r="G976" s="313"/>
      <c r="H976" s="336"/>
      <c r="I976" s="334"/>
      <c r="J976" s="332"/>
      <c r="K976" s="449"/>
      <c r="M976" s="349" t="str">
        <f>N976&amp;AS[[#This Row],[Insurer Code]]&amp;"; "&amp;O976&amp;AS[[#This Row],[Reporting Year]]&amp;"; "&amp;P976&amp;AS[[#This Row],[Insurance Category Code]]&amp;"; "&amp;Q976&amp;AS[[#This Row],[Large Provider Entity Code]]&amp;"; "&amp;R976&amp;AS[[#This Row],[Age Band Code]]&amp;"; "&amp;S976&amp;AS[[#This Row],[Sex Code]]</f>
        <v xml:space="preserve">Insurer Code ; Reporting Year ; Insurance Category Code ; Large Provider Entity Code ; Age Band Code ; Sex Code </v>
      </c>
      <c r="N976" s="345" t="s">
        <v>207</v>
      </c>
      <c r="O976" s="345" t="s">
        <v>208</v>
      </c>
      <c r="P976" s="345" t="s">
        <v>209</v>
      </c>
      <c r="Q976" s="345" t="s">
        <v>210</v>
      </c>
      <c r="R976" s="345" t="s">
        <v>223</v>
      </c>
      <c r="S976" s="345" t="s">
        <v>224</v>
      </c>
    </row>
    <row r="977" spans="1:19" x14ac:dyDescent="0.25">
      <c r="A977" s="311"/>
      <c r="B977" s="312"/>
      <c r="C977" s="312"/>
      <c r="D977" s="312"/>
      <c r="E977" s="312"/>
      <c r="F977" s="312"/>
      <c r="G977" s="328"/>
      <c r="H977" s="337"/>
      <c r="I977" s="334"/>
      <c r="J977" s="314"/>
      <c r="K977" s="449"/>
      <c r="M977" s="349" t="str">
        <f>N977&amp;AS[[#This Row],[Insurer Code]]&amp;"; "&amp;O977&amp;AS[[#This Row],[Reporting Year]]&amp;"; "&amp;P977&amp;AS[[#This Row],[Insurance Category Code]]&amp;"; "&amp;Q977&amp;AS[[#This Row],[Large Provider Entity Code]]&amp;"; "&amp;R977&amp;AS[[#This Row],[Age Band Code]]&amp;"; "&amp;S977&amp;AS[[#This Row],[Sex Code]]</f>
        <v xml:space="preserve">Insurer Code ; Reporting Year ; Insurance Category Code ; Large Provider Entity Code ; Age Band Code ; Sex Code </v>
      </c>
      <c r="N977" s="345" t="s">
        <v>207</v>
      </c>
      <c r="O977" s="345" t="s">
        <v>208</v>
      </c>
      <c r="P977" s="345" t="s">
        <v>209</v>
      </c>
      <c r="Q977" s="345" t="s">
        <v>210</v>
      </c>
      <c r="R977" s="345" t="s">
        <v>223</v>
      </c>
      <c r="S977" s="345" t="s">
        <v>224</v>
      </c>
    </row>
    <row r="978" spans="1:19" x14ac:dyDescent="0.25">
      <c r="A978" s="311"/>
      <c r="B978" s="312"/>
      <c r="C978" s="312"/>
      <c r="D978" s="312"/>
      <c r="E978" s="312"/>
      <c r="F978" s="312"/>
      <c r="G978" s="328"/>
      <c r="H978" s="337"/>
      <c r="I978" s="334"/>
      <c r="J978" s="314"/>
      <c r="K978" s="449"/>
      <c r="M978" s="349" t="str">
        <f>N978&amp;AS[[#This Row],[Insurer Code]]&amp;"; "&amp;O978&amp;AS[[#This Row],[Reporting Year]]&amp;"; "&amp;P978&amp;AS[[#This Row],[Insurance Category Code]]&amp;"; "&amp;Q978&amp;AS[[#This Row],[Large Provider Entity Code]]&amp;"; "&amp;R978&amp;AS[[#This Row],[Age Band Code]]&amp;"; "&amp;S978&amp;AS[[#This Row],[Sex Code]]</f>
        <v xml:space="preserve">Insurer Code ; Reporting Year ; Insurance Category Code ; Large Provider Entity Code ; Age Band Code ; Sex Code </v>
      </c>
      <c r="N978" s="345" t="s">
        <v>207</v>
      </c>
      <c r="O978" s="345" t="s">
        <v>208</v>
      </c>
      <c r="P978" s="345" t="s">
        <v>209</v>
      </c>
      <c r="Q978" s="345" t="s">
        <v>210</v>
      </c>
      <c r="R978" s="345" t="s">
        <v>223</v>
      </c>
      <c r="S978" s="345" t="s">
        <v>224</v>
      </c>
    </row>
    <row r="979" spans="1:19" x14ac:dyDescent="0.25">
      <c r="A979" s="311"/>
      <c r="B979" s="312"/>
      <c r="C979" s="312"/>
      <c r="D979" s="312"/>
      <c r="E979" s="312"/>
      <c r="F979" s="312"/>
      <c r="G979" s="328"/>
      <c r="H979" s="337"/>
      <c r="I979" s="334"/>
      <c r="J979" s="314"/>
      <c r="K979" s="449"/>
      <c r="M979" s="349" t="str">
        <f>N979&amp;AS[[#This Row],[Insurer Code]]&amp;"; "&amp;O979&amp;AS[[#This Row],[Reporting Year]]&amp;"; "&amp;P979&amp;AS[[#This Row],[Insurance Category Code]]&amp;"; "&amp;Q979&amp;AS[[#This Row],[Large Provider Entity Code]]&amp;"; "&amp;R979&amp;AS[[#This Row],[Age Band Code]]&amp;"; "&amp;S979&amp;AS[[#This Row],[Sex Code]]</f>
        <v xml:space="preserve">Insurer Code ; Reporting Year ; Insurance Category Code ; Large Provider Entity Code ; Age Band Code ; Sex Code </v>
      </c>
      <c r="N979" s="345" t="s">
        <v>207</v>
      </c>
      <c r="O979" s="345" t="s">
        <v>208</v>
      </c>
      <c r="P979" s="345" t="s">
        <v>209</v>
      </c>
      <c r="Q979" s="345" t="s">
        <v>210</v>
      </c>
      <c r="R979" s="345" t="s">
        <v>223</v>
      </c>
      <c r="S979" s="345" t="s">
        <v>224</v>
      </c>
    </row>
    <row r="980" spans="1:19" x14ac:dyDescent="0.25">
      <c r="A980" s="311"/>
      <c r="B980" s="312"/>
      <c r="C980" s="312"/>
      <c r="D980" s="312"/>
      <c r="E980" s="312"/>
      <c r="F980" s="312"/>
      <c r="G980" s="328"/>
      <c r="H980" s="337"/>
      <c r="I980" s="334"/>
      <c r="J980" s="314"/>
      <c r="K980" s="449"/>
      <c r="M980" s="349" t="str">
        <f>N980&amp;AS[[#This Row],[Insurer Code]]&amp;"; "&amp;O980&amp;AS[[#This Row],[Reporting Year]]&amp;"; "&amp;P980&amp;AS[[#This Row],[Insurance Category Code]]&amp;"; "&amp;Q980&amp;AS[[#This Row],[Large Provider Entity Code]]&amp;"; "&amp;R980&amp;AS[[#This Row],[Age Band Code]]&amp;"; "&amp;S980&amp;AS[[#This Row],[Sex Code]]</f>
        <v xml:space="preserve">Insurer Code ; Reporting Year ; Insurance Category Code ; Large Provider Entity Code ; Age Band Code ; Sex Code </v>
      </c>
      <c r="N980" s="345" t="s">
        <v>207</v>
      </c>
      <c r="O980" s="345" t="s">
        <v>208</v>
      </c>
      <c r="P980" s="345" t="s">
        <v>209</v>
      </c>
      <c r="Q980" s="345" t="s">
        <v>210</v>
      </c>
      <c r="R980" s="345" t="s">
        <v>223</v>
      </c>
      <c r="S980" s="345" t="s">
        <v>224</v>
      </c>
    </row>
    <row r="981" spans="1:19" x14ac:dyDescent="0.25">
      <c r="A981" s="311"/>
      <c r="B981" s="312"/>
      <c r="C981" s="312"/>
      <c r="D981" s="312"/>
      <c r="E981" s="312"/>
      <c r="F981" s="312"/>
      <c r="G981" s="328"/>
      <c r="H981" s="337"/>
      <c r="I981" s="334"/>
      <c r="J981" s="314"/>
      <c r="K981" s="449"/>
      <c r="M981" s="349" t="str">
        <f>N981&amp;AS[[#This Row],[Insurer Code]]&amp;"; "&amp;O981&amp;AS[[#This Row],[Reporting Year]]&amp;"; "&amp;P981&amp;AS[[#This Row],[Insurance Category Code]]&amp;"; "&amp;Q981&amp;AS[[#This Row],[Large Provider Entity Code]]&amp;"; "&amp;R981&amp;AS[[#This Row],[Age Band Code]]&amp;"; "&amp;S981&amp;AS[[#This Row],[Sex Code]]</f>
        <v xml:space="preserve">Insurer Code ; Reporting Year ; Insurance Category Code ; Large Provider Entity Code ; Age Band Code ; Sex Code </v>
      </c>
      <c r="N981" s="345" t="s">
        <v>207</v>
      </c>
      <c r="O981" s="345" t="s">
        <v>208</v>
      </c>
      <c r="P981" s="345" t="s">
        <v>209</v>
      </c>
      <c r="Q981" s="345" t="s">
        <v>210</v>
      </c>
      <c r="R981" s="345" t="s">
        <v>223</v>
      </c>
      <c r="S981" s="345" t="s">
        <v>224</v>
      </c>
    </row>
    <row r="982" spans="1:19" x14ac:dyDescent="0.25">
      <c r="A982" s="311"/>
      <c r="B982" s="312"/>
      <c r="C982" s="312"/>
      <c r="D982" s="312"/>
      <c r="E982" s="312"/>
      <c r="F982" s="312"/>
      <c r="G982" s="328"/>
      <c r="H982" s="337"/>
      <c r="I982" s="334"/>
      <c r="J982" s="314"/>
      <c r="K982" s="449"/>
      <c r="M982" s="349" t="str">
        <f>N982&amp;AS[[#This Row],[Insurer Code]]&amp;"; "&amp;O982&amp;AS[[#This Row],[Reporting Year]]&amp;"; "&amp;P982&amp;AS[[#This Row],[Insurance Category Code]]&amp;"; "&amp;Q982&amp;AS[[#This Row],[Large Provider Entity Code]]&amp;"; "&amp;R982&amp;AS[[#This Row],[Age Band Code]]&amp;"; "&amp;S982&amp;AS[[#This Row],[Sex Code]]</f>
        <v xml:space="preserve">Insurer Code ; Reporting Year ; Insurance Category Code ; Large Provider Entity Code ; Age Band Code ; Sex Code </v>
      </c>
      <c r="N982" s="345" t="s">
        <v>207</v>
      </c>
      <c r="O982" s="345" t="s">
        <v>208</v>
      </c>
      <c r="P982" s="345" t="s">
        <v>209</v>
      </c>
      <c r="Q982" s="345" t="s">
        <v>210</v>
      </c>
      <c r="R982" s="345" t="s">
        <v>223</v>
      </c>
      <c r="S982" s="345" t="s">
        <v>224</v>
      </c>
    </row>
    <row r="983" spans="1:19" x14ac:dyDescent="0.25">
      <c r="A983" s="311"/>
      <c r="B983" s="312"/>
      <c r="C983" s="312"/>
      <c r="D983" s="312"/>
      <c r="E983" s="312"/>
      <c r="F983" s="312"/>
      <c r="G983" s="328"/>
      <c r="H983" s="337"/>
      <c r="I983" s="334"/>
      <c r="J983" s="314"/>
      <c r="K983" s="449"/>
      <c r="M983" s="349" t="str">
        <f>N983&amp;AS[[#This Row],[Insurer Code]]&amp;"; "&amp;O983&amp;AS[[#This Row],[Reporting Year]]&amp;"; "&amp;P983&amp;AS[[#This Row],[Insurance Category Code]]&amp;"; "&amp;Q983&amp;AS[[#This Row],[Large Provider Entity Code]]&amp;"; "&amp;R983&amp;AS[[#This Row],[Age Band Code]]&amp;"; "&amp;S983&amp;AS[[#This Row],[Sex Code]]</f>
        <v xml:space="preserve">Insurer Code ; Reporting Year ; Insurance Category Code ; Large Provider Entity Code ; Age Band Code ; Sex Code </v>
      </c>
      <c r="N983" s="345" t="s">
        <v>207</v>
      </c>
      <c r="O983" s="345" t="s">
        <v>208</v>
      </c>
      <c r="P983" s="345" t="s">
        <v>209</v>
      </c>
      <c r="Q983" s="345" t="s">
        <v>210</v>
      </c>
      <c r="R983" s="345" t="s">
        <v>223</v>
      </c>
      <c r="S983" s="345" t="s">
        <v>224</v>
      </c>
    </row>
    <row r="984" spans="1:19" x14ac:dyDescent="0.25">
      <c r="A984" s="311"/>
      <c r="B984" s="312"/>
      <c r="C984" s="312"/>
      <c r="D984" s="312"/>
      <c r="E984" s="312"/>
      <c r="F984" s="312"/>
      <c r="G984" s="328"/>
      <c r="H984" s="337"/>
      <c r="I984" s="334"/>
      <c r="J984" s="314"/>
      <c r="K984" s="449"/>
      <c r="M984" s="349" t="str">
        <f>N984&amp;AS[[#This Row],[Insurer Code]]&amp;"; "&amp;O984&amp;AS[[#This Row],[Reporting Year]]&amp;"; "&amp;P984&amp;AS[[#This Row],[Insurance Category Code]]&amp;"; "&amp;Q984&amp;AS[[#This Row],[Large Provider Entity Code]]&amp;"; "&amp;R984&amp;AS[[#This Row],[Age Band Code]]&amp;"; "&amp;S984&amp;AS[[#This Row],[Sex Code]]</f>
        <v xml:space="preserve">Insurer Code ; Reporting Year ; Insurance Category Code ; Large Provider Entity Code ; Age Band Code ; Sex Code </v>
      </c>
      <c r="N984" s="345" t="s">
        <v>207</v>
      </c>
      <c r="O984" s="345" t="s">
        <v>208</v>
      </c>
      <c r="P984" s="345" t="s">
        <v>209</v>
      </c>
      <c r="Q984" s="345" t="s">
        <v>210</v>
      </c>
      <c r="R984" s="345" t="s">
        <v>223</v>
      </c>
      <c r="S984" s="345" t="s">
        <v>224</v>
      </c>
    </row>
    <row r="985" spans="1:19" x14ac:dyDescent="0.25">
      <c r="A985" s="311"/>
      <c r="B985" s="312"/>
      <c r="C985" s="312"/>
      <c r="D985" s="312"/>
      <c r="E985" s="312"/>
      <c r="F985" s="312"/>
      <c r="G985" s="328"/>
      <c r="H985" s="337"/>
      <c r="I985" s="334"/>
      <c r="J985" s="314"/>
      <c r="K985" s="449"/>
      <c r="M985" s="349" t="str">
        <f>N985&amp;AS[[#This Row],[Insurer Code]]&amp;"; "&amp;O985&amp;AS[[#This Row],[Reporting Year]]&amp;"; "&amp;P985&amp;AS[[#This Row],[Insurance Category Code]]&amp;"; "&amp;Q985&amp;AS[[#This Row],[Large Provider Entity Code]]&amp;"; "&amp;R985&amp;AS[[#This Row],[Age Band Code]]&amp;"; "&amp;S985&amp;AS[[#This Row],[Sex Code]]</f>
        <v xml:space="preserve">Insurer Code ; Reporting Year ; Insurance Category Code ; Large Provider Entity Code ; Age Band Code ; Sex Code </v>
      </c>
      <c r="N985" s="345" t="s">
        <v>207</v>
      </c>
      <c r="O985" s="345" t="s">
        <v>208</v>
      </c>
      <c r="P985" s="345" t="s">
        <v>209</v>
      </c>
      <c r="Q985" s="345" t="s">
        <v>210</v>
      </c>
      <c r="R985" s="345" t="s">
        <v>223</v>
      </c>
      <c r="S985" s="345" t="s">
        <v>224</v>
      </c>
    </row>
    <row r="986" spans="1:19" x14ac:dyDescent="0.25">
      <c r="A986" s="311"/>
      <c r="B986" s="312"/>
      <c r="C986" s="312"/>
      <c r="D986" s="312"/>
      <c r="E986" s="312"/>
      <c r="F986" s="312"/>
      <c r="G986" s="328"/>
      <c r="H986" s="337"/>
      <c r="I986" s="334"/>
      <c r="J986" s="314"/>
      <c r="K986" s="449"/>
      <c r="M986" s="349" t="str">
        <f>N986&amp;AS[[#This Row],[Insurer Code]]&amp;"; "&amp;O986&amp;AS[[#This Row],[Reporting Year]]&amp;"; "&amp;P986&amp;AS[[#This Row],[Insurance Category Code]]&amp;"; "&amp;Q986&amp;AS[[#This Row],[Large Provider Entity Code]]&amp;"; "&amp;R986&amp;AS[[#This Row],[Age Band Code]]&amp;"; "&amp;S986&amp;AS[[#This Row],[Sex Code]]</f>
        <v xml:space="preserve">Insurer Code ; Reporting Year ; Insurance Category Code ; Large Provider Entity Code ; Age Band Code ; Sex Code </v>
      </c>
      <c r="N986" s="345" t="s">
        <v>207</v>
      </c>
      <c r="O986" s="345" t="s">
        <v>208</v>
      </c>
      <c r="P986" s="345" t="s">
        <v>209</v>
      </c>
      <c r="Q986" s="345" t="s">
        <v>210</v>
      </c>
      <c r="R986" s="345" t="s">
        <v>223</v>
      </c>
      <c r="S986" s="345" t="s">
        <v>224</v>
      </c>
    </row>
    <row r="987" spans="1:19" x14ac:dyDescent="0.25">
      <c r="A987" s="311"/>
      <c r="B987" s="312"/>
      <c r="C987" s="312"/>
      <c r="D987" s="312"/>
      <c r="E987" s="312"/>
      <c r="F987" s="312"/>
      <c r="G987" s="328"/>
      <c r="H987" s="337"/>
      <c r="I987" s="334"/>
      <c r="J987" s="314"/>
      <c r="K987" s="449"/>
      <c r="M987" s="349" t="str">
        <f>N987&amp;AS[[#This Row],[Insurer Code]]&amp;"; "&amp;O987&amp;AS[[#This Row],[Reporting Year]]&amp;"; "&amp;P987&amp;AS[[#This Row],[Insurance Category Code]]&amp;"; "&amp;Q987&amp;AS[[#This Row],[Large Provider Entity Code]]&amp;"; "&amp;R987&amp;AS[[#This Row],[Age Band Code]]&amp;"; "&amp;S987&amp;AS[[#This Row],[Sex Code]]</f>
        <v xml:space="preserve">Insurer Code ; Reporting Year ; Insurance Category Code ; Large Provider Entity Code ; Age Band Code ; Sex Code </v>
      </c>
      <c r="N987" s="345" t="s">
        <v>207</v>
      </c>
      <c r="O987" s="345" t="s">
        <v>208</v>
      </c>
      <c r="P987" s="345" t="s">
        <v>209</v>
      </c>
      <c r="Q987" s="345" t="s">
        <v>210</v>
      </c>
      <c r="R987" s="345" t="s">
        <v>223</v>
      </c>
      <c r="S987" s="345" t="s">
        <v>224</v>
      </c>
    </row>
    <row r="988" spans="1:19" x14ac:dyDescent="0.25">
      <c r="A988" s="311"/>
      <c r="B988" s="312"/>
      <c r="C988" s="312"/>
      <c r="D988" s="312"/>
      <c r="E988" s="312"/>
      <c r="F988" s="312"/>
      <c r="G988" s="328"/>
      <c r="H988" s="337"/>
      <c r="I988" s="334"/>
      <c r="J988" s="314"/>
      <c r="K988" s="449"/>
      <c r="M988" s="349" t="str">
        <f>N988&amp;AS[[#This Row],[Insurer Code]]&amp;"; "&amp;O988&amp;AS[[#This Row],[Reporting Year]]&amp;"; "&amp;P988&amp;AS[[#This Row],[Insurance Category Code]]&amp;"; "&amp;Q988&amp;AS[[#This Row],[Large Provider Entity Code]]&amp;"; "&amp;R988&amp;AS[[#This Row],[Age Band Code]]&amp;"; "&amp;S988&amp;AS[[#This Row],[Sex Code]]</f>
        <v xml:space="preserve">Insurer Code ; Reporting Year ; Insurance Category Code ; Large Provider Entity Code ; Age Band Code ; Sex Code </v>
      </c>
      <c r="N988" s="345" t="s">
        <v>207</v>
      </c>
      <c r="O988" s="345" t="s">
        <v>208</v>
      </c>
      <c r="P988" s="345" t="s">
        <v>209</v>
      </c>
      <c r="Q988" s="345" t="s">
        <v>210</v>
      </c>
      <c r="R988" s="345" t="s">
        <v>223</v>
      </c>
      <c r="S988" s="345" t="s">
        <v>224</v>
      </c>
    </row>
    <row r="989" spans="1:19" x14ac:dyDescent="0.25">
      <c r="A989" s="311"/>
      <c r="B989" s="312"/>
      <c r="C989" s="312"/>
      <c r="D989" s="312"/>
      <c r="E989" s="312"/>
      <c r="F989" s="312"/>
      <c r="G989" s="328"/>
      <c r="H989" s="337"/>
      <c r="I989" s="334"/>
      <c r="J989" s="314"/>
      <c r="K989" s="449"/>
      <c r="M989" s="349" t="str">
        <f>N989&amp;AS[[#This Row],[Insurer Code]]&amp;"; "&amp;O989&amp;AS[[#This Row],[Reporting Year]]&amp;"; "&amp;P989&amp;AS[[#This Row],[Insurance Category Code]]&amp;"; "&amp;Q989&amp;AS[[#This Row],[Large Provider Entity Code]]&amp;"; "&amp;R989&amp;AS[[#This Row],[Age Band Code]]&amp;"; "&amp;S989&amp;AS[[#This Row],[Sex Code]]</f>
        <v xml:space="preserve">Insurer Code ; Reporting Year ; Insurance Category Code ; Large Provider Entity Code ; Age Band Code ; Sex Code </v>
      </c>
      <c r="N989" s="345" t="s">
        <v>207</v>
      </c>
      <c r="O989" s="345" t="s">
        <v>208</v>
      </c>
      <c r="P989" s="345" t="s">
        <v>209</v>
      </c>
      <c r="Q989" s="345" t="s">
        <v>210</v>
      </c>
      <c r="R989" s="345" t="s">
        <v>223</v>
      </c>
      <c r="S989" s="345" t="s">
        <v>224</v>
      </c>
    </row>
    <row r="990" spans="1:19" x14ac:dyDescent="0.25">
      <c r="A990" s="311"/>
      <c r="B990" s="312"/>
      <c r="C990" s="312"/>
      <c r="D990" s="312"/>
      <c r="E990" s="312"/>
      <c r="F990" s="312"/>
      <c r="G990" s="328"/>
      <c r="H990" s="337"/>
      <c r="I990" s="334"/>
      <c r="J990" s="314"/>
      <c r="K990" s="449"/>
      <c r="M990" s="349" t="str">
        <f>N990&amp;AS[[#This Row],[Insurer Code]]&amp;"; "&amp;O990&amp;AS[[#This Row],[Reporting Year]]&amp;"; "&amp;P990&amp;AS[[#This Row],[Insurance Category Code]]&amp;"; "&amp;Q990&amp;AS[[#This Row],[Large Provider Entity Code]]&amp;"; "&amp;R990&amp;AS[[#This Row],[Age Band Code]]&amp;"; "&amp;S990&amp;AS[[#This Row],[Sex Code]]</f>
        <v xml:space="preserve">Insurer Code ; Reporting Year ; Insurance Category Code ; Large Provider Entity Code ; Age Band Code ; Sex Code </v>
      </c>
      <c r="N990" s="345" t="s">
        <v>207</v>
      </c>
      <c r="O990" s="345" t="s">
        <v>208</v>
      </c>
      <c r="P990" s="345" t="s">
        <v>209</v>
      </c>
      <c r="Q990" s="345" t="s">
        <v>210</v>
      </c>
      <c r="R990" s="345" t="s">
        <v>223</v>
      </c>
      <c r="S990" s="345" t="s">
        <v>224</v>
      </c>
    </row>
    <row r="991" spans="1:19" x14ac:dyDescent="0.25">
      <c r="A991" s="311"/>
      <c r="B991" s="312"/>
      <c r="C991" s="312"/>
      <c r="D991" s="312"/>
      <c r="E991" s="312"/>
      <c r="F991" s="312"/>
      <c r="G991" s="328"/>
      <c r="H991" s="337"/>
      <c r="I991" s="334"/>
      <c r="J991" s="314"/>
      <c r="K991" s="449"/>
      <c r="M991" s="349" t="str">
        <f>N991&amp;AS[[#This Row],[Insurer Code]]&amp;"; "&amp;O991&amp;AS[[#This Row],[Reporting Year]]&amp;"; "&amp;P991&amp;AS[[#This Row],[Insurance Category Code]]&amp;"; "&amp;Q991&amp;AS[[#This Row],[Large Provider Entity Code]]&amp;"; "&amp;R991&amp;AS[[#This Row],[Age Band Code]]&amp;"; "&amp;S991&amp;AS[[#This Row],[Sex Code]]</f>
        <v xml:space="preserve">Insurer Code ; Reporting Year ; Insurance Category Code ; Large Provider Entity Code ; Age Band Code ; Sex Code </v>
      </c>
      <c r="N991" s="345" t="s">
        <v>207</v>
      </c>
      <c r="O991" s="345" t="s">
        <v>208</v>
      </c>
      <c r="P991" s="345" t="s">
        <v>209</v>
      </c>
      <c r="Q991" s="345" t="s">
        <v>210</v>
      </c>
      <c r="R991" s="345" t="s">
        <v>223</v>
      </c>
      <c r="S991" s="345" t="s">
        <v>224</v>
      </c>
    </row>
    <row r="992" spans="1:19" x14ac:dyDescent="0.25">
      <c r="A992" s="311"/>
      <c r="B992" s="312"/>
      <c r="C992" s="312"/>
      <c r="D992" s="312"/>
      <c r="E992" s="312"/>
      <c r="F992" s="312"/>
      <c r="G992" s="328"/>
      <c r="H992" s="337"/>
      <c r="I992" s="334"/>
      <c r="J992" s="314"/>
      <c r="K992" s="449"/>
      <c r="M992" s="349" t="str">
        <f>N992&amp;AS[[#This Row],[Insurer Code]]&amp;"; "&amp;O992&amp;AS[[#This Row],[Reporting Year]]&amp;"; "&amp;P992&amp;AS[[#This Row],[Insurance Category Code]]&amp;"; "&amp;Q992&amp;AS[[#This Row],[Large Provider Entity Code]]&amp;"; "&amp;R992&amp;AS[[#This Row],[Age Band Code]]&amp;"; "&amp;S992&amp;AS[[#This Row],[Sex Code]]</f>
        <v xml:space="preserve">Insurer Code ; Reporting Year ; Insurance Category Code ; Large Provider Entity Code ; Age Band Code ; Sex Code </v>
      </c>
      <c r="N992" s="345" t="s">
        <v>207</v>
      </c>
      <c r="O992" s="345" t="s">
        <v>208</v>
      </c>
      <c r="P992" s="345" t="s">
        <v>209</v>
      </c>
      <c r="Q992" s="345" t="s">
        <v>210</v>
      </c>
      <c r="R992" s="345" t="s">
        <v>223</v>
      </c>
      <c r="S992" s="345" t="s">
        <v>224</v>
      </c>
    </row>
    <row r="993" spans="1:19" x14ac:dyDescent="0.25">
      <c r="A993" s="311"/>
      <c r="B993" s="312"/>
      <c r="C993" s="312"/>
      <c r="D993" s="312"/>
      <c r="E993" s="312"/>
      <c r="F993" s="312"/>
      <c r="G993" s="328"/>
      <c r="H993" s="337"/>
      <c r="I993" s="334"/>
      <c r="J993" s="314"/>
      <c r="K993" s="449"/>
      <c r="M993" s="349" t="str">
        <f>N993&amp;AS[[#This Row],[Insurer Code]]&amp;"; "&amp;O993&amp;AS[[#This Row],[Reporting Year]]&amp;"; "&amp;P993&amp;AS[[#This Row],[Insurance Category Code]]&amp;"; "&amp;Q993&amp;AS[[#This Row],[Large Provider Entity Code]]&amp;"; "&amp;R993&amp;AS[[#This Row],[Age Band Code]]&amp;"; "&amp;S993&amp;AS[[#This Row],[Sex Code]]</f>
        <v xml:space="preserve">Insurer Code ; Reporting Year ; Insurance Category Code ; Large Provider Entity Code ; Age Band Code ; Sex Code </v>
      </c>
      <c r="N993" s="345" t="s">
        <v>207</v>
      </c>
      <c r="O993" s="345" t="s">
        <v>208</v>
      </c>
      <c r="P993" s="345" t="s">
        <v>209</v>
      </c>
      <c r="Q993" s="345" t="s">
        <v>210</v>
      </c>
      <c r="R993" s="345" t="s">
        <v>223</v>
      </c>
      <c r="S993" s="345" t="s">
        <v>224</v>
      </c>
    </row>
    <row r="994" spans="1:19" x14ac:dyDescent="0.25">
      <c r="A994" s="311"/>
      <c r="B994" s="312"/>
      <c r="C994" s="312"/>
      <c r="D994" s="312"/>
      <c r="E994" s="312"/>
      <c r="F994" s="312"/>
      <c r="G994" s="328"/>
      <c r="H994" s="337"/>
      <c r="I994" s="334"/>
      <c r="J994" s="314"/>
      <c r="K994" s="449"/>
      <c r="M994" s="349" t="str">
        <f>N994&amp;AS[[#This Row],[Insurer Code]]&amp;"; "&amp;O994&amp;AS[[#This Row],[Reporting Year]]&amp;"; "&amp;P994&amp;AS[[#This Row],[Insurance Category Code]]&amp;"; "&amp;Q994&amp;AS[[#This Row],[Large Provider Entity Code]]&amp;"; "&amp;R994&amp;AS[[#This Row],[Age Band Code]]&amp;"; "&amp;S994&amp;AS[[#This Row],[Sex Code]]</f>
        <v xml:space="preserve">Insurer Code ; Reporting Year ; Insurance Category Code ; Large Provider Entity Code ; Age Band Code ; Sex Code </v>
      </c>
      <c r="N994" s="345" t="s">
        <v>207</v>
      </c>
      <c r="O994" s="345" t="s">
        <v>208</v>
      </c>
      <c r="P994" s="345" t="s">
        <v>209</v>
      </c>
      <c r="Q994" s="345" t="s">
        <v>210</v>
      </c>
      <c r="R994" s="345" t="s">
        <v>223</v>
      </c>
      <c r="S994" s="345" t="s">
        <v>224</v>
      </c>
    </row>
    <row r="995" spans="1:19" x14ac:dyDescent="0.25">
      <c r="A995" s="311"/>
      <c r="B995" s="312"/>
      <c r="C995" s="312"/>
      <c r="D995" s="312"/>
      <c r="E995" s="312"/>
      <c r="F995" s="312"/>
      <c r="G995" s="328"/>
      <c r="H995" s="337"/>
      <c r="I995" s="334"/>
      <c r="J995" s="314"/>
      <c r="K995" s="449"/>
      <c r="M995" s="349" t="str">
        <f>N995&amp;AS[[#This Row],[Insurer Code]]&amp;"; "&amp;O995&amp;AS[[#This Row],[Reporting Year]]&amp;"; "&amp;P995&amp;AS[[#This Row],[Insurance Category Code]]&amp;"; "&amp;Q995&amp;AS[[#This Row],[Large Provider Entity Code]]&amp;"; "&amp;R995&amp;AS[[#This Row],[Age Band Code]]&amp;"; "&amp;S995&amp;AS[[#This Row],[Sex Code]]</f>
        <v xml:space="preserve">Insurer Code ; Reporting Year ; Insurance Category Code ; Large Provider Entity Code ; Age Band Code ; Sex Code </v>
      </c>
      <c r="N995" s="345" t="s">
        <v>207</v>
      </c>
      <c r="O995" s="345" t="s">
        <v>208</v>
      </c>
      <c r="P995" s="345" t="s">
        <v>209</v>
      </c>
      <c r="Q995" s="345" t="s">
        <v>210</v>
      </c>
      <c r="R995" s="345" t="s">
        <v>223</v>
      </c>
      <c r="S995" s="345" t="s">
        <v>224</v>
      </c>
    </row>
    <row r="996" spans="1:19" x14ac:dyDescent="0.25">
      <c r="A996" s="311"/>
      <c r="B996" s="312"/>
      <c r="C996" s="312"/>
      <c r="D996" s="312"/>
      <c r="E996" s="312"/>
      <c r="F996" s="312"/>
      <c r="G996" s="328"/>
      <c r="H996" s="337"/>
      <c r="I996" s="334"/>
      <c r="J996" s="314"/>
      <c r="K996" s="449"/>
      <c r="M996" s="349" t="str">
        <f>N996&amp;AS[[#This Row],[Insurer Code]]&amp;"; "&amp;O996&amp;AS[[#This Row],[Reporting Year]]&amp;"; "&amp;P996&amp;AS[[#This Row],[Insurance Category Code]]&amp;"; "&amp;Q996&amp;AS[[#This Row],[Large Provider Entity Code]]&amp;"; "&amp;R996&amp;AS[[#This Row],[Age Band Code]]&amp;"; "&amp;S996&amp;AS[[#This Row],[Sex Code]]</f>
        <v xml:space="preserve">Insurer Code ; Reporting Year ; Insurance Category Code ; Large Provider Entity Code ; Age Band Code ; Sex Code </v>
      </c>
      <c r="N996" s="345" t="s">
        <v>207</v>
      </c>
      <c r="O996" s="345" t="s">
        <v>208</v>
      </c>
      <c r="P996" s="345" t="s">
        <v>209</v>
      </c>
      <c r="Q996" s="345" t="s">
        <v>210</v>
      </c>
      <c r="R996" s="345" t="s">
        <v>223</v>
      </c>
      <c r="S996" s="345" t="s">
        <v>224</v>
      </c>
    </row>
    <row r="997" spans="1:19" x14ac:dyDescent="0.25">
      <c r="A997" s="311"/>
      <c r="B997" s="312"/>
      <c r="C997" s="312"/>
      <c r="D997" s="312"/>
      <c r="E997" s="312"/>
      <c r="F997" s="312"/>
      <c r="G997" s="328"/>
      <c r="H997" s="337"/>
      <c r="I997" s="334"/>
      <c r="J997" s="314"/>
      <c r="K997" s="449"/>
      <c r="M997" s="349" t="str">
        <f>N997&amp;AS[[#This Row],[Insurer Code]]&amp;"; "&amp;O997&amp;AS[[#This Row],[Reporting Year]]&amp;"; "&amp;P997&amp;AS[[#This Row],[Insurance Category Code]]&amp;"; "&amp;Q997&amp;AS[[#This Row],[Large Provider Entity Code]]&amp;"; "&amp;R997&amp;AS[[#This Row],[Age Band Code]]&amp;"; "&amp;S997&amp;AS[[#This Row],[Sex Code]]</f>
        <v xml:space="preserve">Insurer Code ; Reporting Year ; Insurance Category Code ; Large Provider Entity Code ; Age Band Code ; Sex Code </v>
      </c>
      <c r="N997" s="345" t="s">
        <v>207</v>
      </c>
      <c r="O997" s="345" t="s">
        <v>208</v>
      </c>
      <c r="P997" s="345" t="s">
        <v>209</v>
      </c>
      <c r="Q997" s="345" t="s">
        <v>210</v>
      </c>
      <c r="R997" s="345" t="s">
        <v>223</v>
      </c>
      <c r="S997" s="345" t="s">
        <v>224</v>
      </c>
    </row>
    <row r="998" spans="1:19" x14ac:dyDescent="0.25">
      <c r="A998" s="311"/>
      <c r="B998" s="312"/>
      <c r="C998" s="312"/>
      <c r="D998" s="312"/>
      <c r="E998" s="312"/>
      <c r="F998" s="312"/>
      <c r="G998" s="328"/>
      <c r="H998" s="337"/>
      <c r="I998" s="334"/>
      <c r="J998" s="314"/>
      <c r="K998" s="449"/>
      <c r="M998" s="349" t="str">
        <f>N998&amp;AS[[#This Row],[Insurer Code]]&amp;"; "&amp;O998&amp;AS[[#This Row],[Reporting Year]]&amp;"; "&amp;P998&amp;AS[[#This Row],[Insurance Category Code]]&amp;"; "&amp;Q998&amp;AS[[#This Row],[Large Provider Entity Code]]&amp;"; "&amp;R998&amp;AS[[#This Row],[Age Band Code]]&amp;"; "&amp;S998&amp;AS[[#This Row],[Sex Code]]</f>
        <v xml:space="preserve">Insurer Code ; Reporting Year ; Insurance Category Code ; Large Provider Entity Code ; Age Band Code ; Sex Code </v>
      </c>
      <c r="N998" s="345" t="s">
        <v>207</v>
      </c>
      <c r="O998" s="345" t="s">
        <v>208</v>
      </c>
      <c r="P998" s="345" t="s">
        <v>209</v>
      </c>
      <c r="Q998" s="345" t="s">
        <v>210</v>
      </c>
      <c r="R998" s="345" t="s">
        <v>223</v>
      </c>
      <c r="S998" s="345" t="s">
        <v>224</v>
      </c>
    </row>
    <row r="999" spans="1:19" x14ac:dyDescent="0.25">
      <c r="A999" s="311"/>
      <c r="B999" s="312"/>
      <c r="C999" s="312"/>
      <c r="D999" s="312"/>
      <c r="E999" s="312"/>
      <c r="F999" s="312"/>
      <c r="G999" s="328"/>
      <c r="H999" s="337"/>
      <c r="I999" s="334"/>
      <c r="J999" s="314"/>
      <c r="K999" s="449"/>
      <c r="M999" s="349" t="str">
        <f>N999&amp;AS[[#This Row],[Insurer Code]]&amp;"; "&amp;O999&amp;AS[[#This Row],[Reporting Year]]&amp;"; "&amp;P999&amp;AS[[#This Row],[Insurance Category Code]]&amp;"; "&amp;Q999&amp;AS[[#This Row],[Large Provider Entity Code]]&amp;"; "&amp;R999&amp;AS[[#This Row],[Age Band Code]]&amp;"; "&amp;S999&amp;AS[[#This Row],[Sex Code]]</f>
        <v xml:space="preserve">Insurer Code ; Reporting Year ; Insurance Category Code ; Large Provider Entity Code ; Age Band Code ; Sex Code </v>
      </c>
      <c r="N999" s="345" t="s">
        <v>207</v>
      </c>
      <c r="O999" s="345" t="s">
        <v>208</v>
      </c>
      <c r="P999" s="345" t="s">
        <v>209</v>
      </c>
      <c r="Q999" s="345" t="s">
        <v>210</v>
      </c>
      <c r="R999" s="345" t="s">
        <v>223</v>
      </c>
      <c r="S999" s="345" t="s">
        <v>224</v>
      </c>
    </row>
    <row r="1000" spans="1:19" x14ac:dyDescent="0.25">
      <c r="A1000" s="311"/>
      <c r="B1000" s="312"/>
      <c r="C1000" s="312"/>
      <c r="D1000" s="312"/>
      <c r="E1000" s="312"/>
      <c r="F1000" s="312"/>
      <c r="G1000" s="328"/>
      <c r="H1000" s="337"/>
      <c r="I1000" s="334"/>
      <c r="J1000" s="314"/>
      <c r="K1000" s="449"/>
      <c r="M1000" s="349" t="str">
        <f>N1000&amp;AS[[#This Row],[Insurer Code]]&amp;"; "&amp;O1000&amp;AS[[#This Row],[Reporting Year]]&amp;"; "&amp;P1000&amp;AS[[#This Row],[Insurance Category Code]]&amp;"; "&amp;Q1000&amp;AS[[#This Row],[Large Provider Entity Code]]&amp;"; "&amp;R1000&amp;AS[[#This Row],[Age Band Code]]&amp;"; "&amp;S1000&amp;AS[[#This Row],[Sex Code]]</f>
        <v xml:space="preserve">Insurer Code ; Reporting Year ; Insurance Category Code ; Large Provider Entity Code ; Age Band Code ; Sex Code </v>
      </c>
      <c r="N1000" s="345" t="s">
        <v>207</v>
      </c>
      <c r="O1000" s="345" t="s">
        <v>208</v>
      </c>
      <c r="P1000" s="345" t="s">
        <v>209</v>
      </c>
      <c r="Q1000" s="345" t="s">
        <v>210</v>
      </c>
      <c r="R1000" s="345" t="s">
        <v>223</v>
      </c>
      <c r="S1000" s="345" t="s">
        <v>224</v>
      </c>
    </row>
    <row r="1001" spans="1:19" x14ac:dyDescent="0.25">
      <c r="A1001" s="311"/>
      <c r="B1001" s="312"/>
      <c r="C1001" s="312"/>
      <c r="D1001" s="312"/>
      <c r="E1001" s="312"/>
      <c r="F1001" s="312"/>
      <c r="G1001" s="328"/>
      <c r="H1001" s="337"/>
      <c r="I1001" s="334"/>
      <c r="J1001" s="314"/>
      <c r="K1001" s="449"/>
      <c r="M1001" s="349" t="str">
        <f>N1001&amp;AS[[#This Row],[Insurer Code]]&amp;"; "&amp;O1001&amp;AS[[#This Row],[Reporting Year]]&amp;"; "&amp;P1001&amp;AS[[#This Row],[Insurance Category Code]]&amp;"; "&amp;Q1001&amp;AS[[#This Row],[Large Provider Entity Code]]&amp;"; "&amp;R1001&amp;AS[[#This Row],[Age Band Code]]&amp;"; "&amp;S1001&amp;AS[[#This Row],[Sex Code]]</f>
        <v xml:space="preserve">Insurer Code ; Reporting Year ; Insurance Category Code ; Large Provider Entity Code ; Age Band Code ; Sex Code </v>
      </c>
      <c r="N1001" s="345" t="s">
        <v>207</v>
      </c>
      <c r="O1001" s="345" t="s">
        <v>208</v>
      </c>
      <c r="P1001" s="345" t="s">
        <v>209</v>
      </c>
      <c r="Q1001" s="345" t="s">
        <v>210</v>
      </c>
      <c r="R1001" s="345" t="s">
        <v>223</v>
      </c>
      <c r="S1001" s="345" t="s">
        <v>224</v>
      </c>
    </row>
    <row r="1002" spans="1:19" x14ac:dyDescent="0.25">
      <c r="A1002" s="311"/>
      <c r="B1002" s="312"/>
      <c r="C1002" s="312"/>
      <c r="D1002" s="312"/>
      <c r="E1002" s="312"/>
      <c r="F1002" s="312"/>
      <c r="G1002" s="328"/>
      <c r="H1002" s="337"/>
      <c r="I1002" s="334"/>
      <c r="J1002" s="314"/>
      <c r="K1002" s="449"/>
      <c r="M1002" s="349" t="str">
        <f>N1002&amp;AS[[#This Row],[Insurer Code]]&amp;"; "&amp;O1002&amp;AS[[#This Row],[Reporting Year]]&amp;"; "&amp;P1002&amp;AS[[#This Row],[Insurance Category Code]]&amp;"; "&amp;Q1002&amp;AS[[#This Row],[Large Provider Entity Code]]&amp;"; "&amp;R1002&amp;AS[[#This Row],[Age Band Code]]&amp;"; "&amp;S1002&amp;AS[[#This Row],[Sex Code]]</f>
        <v xml:space="preserve">Insurer Code ; Reporting Year ; Insurance Category Code ; Large Provider Entity Code ; Age Band Code ; Sex Code </v>
      </c>
      <c r="N1002" s="345" t="s">
        <v>207</v>
      </c>
      <c r="O1002" s="345" t="s">
        <v>208</v>
      </c>
      <c r="P1002" s="345" t="s">
        <v>209</v>
      </c>
      <c r="Q1002" s="345" t="s">
        <v>210</v>
      </c>
      <c r="R1002" s="345" t="s">
        <v>223</v>
      </c>
      <c r="S1002" s="345" t="s">
        <v>224</v>
      </c>
    </row>
    <row r="1003" spans="1:19" x14ac:dyDescent="0.25">
      <c r="A1003" s="311"/>
      <c r="B1003" s="312"/>
      <c r="C1003" s="312"/>
      <c r="D1003" s="312"/>
      <c r="E1003" s="312"/>
      <c r="F1003" s="312"/>
      <c r="G1003" s="328"/>
      <c r="H1003" s="337"/>
      <c r="I1003" s="334"/>
      <c r="J1003" s="314"/>
      <c r="K1003" s="449"/>
      <c r="M1003" s="349" t="str">
        <f>N1003&amp;AS[[#This Row],[Insurer Code]]&amp;"; "&amp;O1003&amp;AS[[#This Row],[Reporting Year]]&amp;"; "&amp;P1003&amp;AS[[#This Row],[Insurance Category Code]]&amp;"; "&amp;Q1003&amp;AS[[#This Row],[Large Provider Entity Code]]&amp;"; "&amp;R1003&amp;AS[[#This Row],[Age Band Code]]&amp;"; "&amp;S1003&amp;AS[[#This Row],[Sex Code]]</f>
        <v xml:space="preserve">Insurer Code ; Reporting Year ; Insurance Category Code ; Large Provider Entity Code ; Age Band Code ; Sex Code </v>
      </c>
      <c r="N1003" s="345" t="s">
        <v>207</v>
      </c>
      <c r="O1003" s="345" t="s">
        <v>208</v>
      </c>
      <c r="P1003" s="345" t="s">
        <v>209</v>
      </c>
      <c r="Q1003" s="345" t="s">
        <v>210</v>
      </c>
      <c r="R1003" s="345" t="s">
        <v>223</v>
      </c>
      <c r="S1003" s="345" t="s">
        <v>224</v>
      </c>
    </row>
    <row r="1004" spans="1:19" x14ac:dyDescent="0.25">
      <c r="A1004" s="311"/>
      <c r="B1004" s="312"/>
      <c r="C1004" s="312"/>
      <c r="D1004" s="312"/>
      <c r="E1004" s="312"/>
      <c r="F1004" s="312"/>
      <c r="G1004" s="328"/>
      <c r="H1004" s="337"/>
      <c r="I1004" s="334"/>
      <c r="J1004" s="314"/>
      <c r="K1004" s="449"/>
      <c r="M1004" s="349" t="str">
        <f>N1004&amp;AS[[#This Row],[Insurer Code]]&amp;"; "&amp;O1004&amp;AS[[#This Row],[Reporting Year]]&amp;"; "&amp;P1004&amp;AS[[#This Row],[Insurance Category Code]]&amp;"; "&amp;Q1004&amp;AS[[#This Row],[Large Provider Entity Code]]&amp;"; "&amp;R1004&amp;AS[[#This Row],[Age Band Code]]&amp;"; "&amp;S1004&amp;AS[[#This Row],[Sex Code]]</f>
        <v xml:space="preserve">Insurer Code ; Reporting Year ; Insurance Category Code ; Large Provider Entity Code ; Age Band Code ; Sex Code </v>
      </c>
      <c r="N1004" s="345" t="s">
        <v>207</v>
      </c>
      <c r="O1004" s="345" t="s">
        <v>208</v>
      </c>
      <c r="P1004" s="345" t="s">
        <v>209</v>
      </c>
      <c r="Q1004" s="345" t="s">
        <v>210</v>
      </c>
      <c r="R1004" s="345" t="s">
        <v>223</v>
      </c>
      <c r="S1004" s="345" t="s">
        <v>224</v>
      </c>
    </row>
    <row r="1005" spans="1:19" x14ac:dyDescent="0.25">
      <c r="A1005" s="311"/>
      <c r="B1005" s="312"/>
      <c r="C1005" s="312"/>
      <c r="D1005" s="312"/>
      <c r="E1005" s="312"/>
      <c r="F1005" s="312"/>
      <c r="G1005" s="328"/>
      <c r="H1005" s="337"/>
      <c r="I1005" s="334"/>
      <c r="J1005" s="314"/>
      <c r="K1005" s="449"/>
      <c r="M1005" s="349" t="str">
        <f>N1005&amp;AS[[#This Row],[Insurer Code]]&amp;"; "&amp;O1005&amp;AS[[#This Row],[Reporting Year]]&amp;"; "&amp;P1005&amp;AS[[#This Row],[Insurance Category Code]]&amp;"; "&amp;Q1005&amp;AS[[#This Row],[Large Provider Entity Code]]&amp;"; "&amp;R1005&amp;AS[[#This Row],[Age Band Code]]&amp;"; "&amp;S1005&amp;AS[[#This Row],[Sex Code]]</f>
        <v xml:space="preserve">Insurer Code ; Reporting Year ; Insurance Category Code ; Large Provider Entity Code ; Age Band Code ; Sex Code </v>
      </c>
      <c r="N1005" s="345" t="s">
        <v>207</v>
      </c>
      <c r="O1005" s="345" t="s">
        <v>208</v>
      </c>
      <c r="P1005" s="345" t="s">
        <v>209</v>
      </c>
      <c r="Q1005" s="345" t="s">
        <v>210</v>
      </c>
      <c r="R1005" s="345" t="s">
        <v>223</v>
      </c>
      <c r="S1005" s="345" t="s">
        <v>224</v>
      </c>
    </row>
    <row r="1006" spans="1:19" x14ac:dyDescent="0.25">
      <c r="A1006" s="311"/>
      <c r="B1006" s="312"/>
      <c r="C1006" s="312"/>
      <c r="D1006" s="312"/>
      <c r="E1006" s="312"/>
      <c r="F1006" s="312"/>
      <c r="G1006" s="328"/>
      <c r="H1006" s="337"/>
      <c r="I1006" s="334"/>
      <c r="J1006" s="314"/>
      <c r="K1006" s="449"/>
      <c r="M1006" s="349" t="str">
        <f>N1006&amp;AS[[#This Row],[Insurer Code]]&amp;"; "&amp;O1006&amp;AS[[#This Row],[Reporting Year]]&amp;"; "&amp;P1006&amp;AS[[#This Row],[Insurance Category Code]]&amp;"; "&amp;Q1006&amp;AS[[#This Row],[Large Provider Entity Code]]&amp;"; "&amp;R1006&amp;AS[[#This Row],[Age Band Code]]&amp;"; "&amp;S1006&amp;AS[[#This Row],[Sex Code]]</f>
        <v xml:space="preserve">Insurer Code ; Reporting Year ; Insurance Category Code ; Large Provider Entity Code ; Age Band Code ; Sex Code </v>
      </c>
      <c r="N1006" s="345" t="s">
        <v>207</v>
      </c>
      <c r="O1006" s="345" t="s">
        <v>208</v>
      </c>
      <c r="P1006" s="345" t="s">
        <v>209</v>
      </c>
      <c r="Q1006" s="345" t="s">
        <v>210</v>
      </c>
      <c r="R1006" s="345" t="s">
        <v>223</v>
      </c>
      <c r="S1006" s="345" t="s">
        <v>224</v>
      </c>
    </row>
    <row r="1007" spans="1:19" x14ac:dyDescent="0.25">
      <c r="A1007" s="311"/>
      <c r="B1007" s="312"/>
      <c r="C1007" s="312"/>
      <c r="D1007" s="312"/>
      <c r="E1007" s="312"/>
      <c r="F1007" s="312"/>
      <c r="G1007" s="328"/>
      <c r="H1007" s="337"/>
      <c r="I1007" s="334"/>
      <c r="J1007" s="314"/>
      <c r="K1007" s="449"/>
      <c r="M1007" s="349" t="str">
        <f>N1007&amp;AS[[#This Row],[Insurer Code]]&amp;"; "&amp;O1007&amp;AS[[#This Row],[Reporting Year]]&amp;"; "&amp;P1007&amp;AS[[#This Row],[Insurance Category Code]]&amp;"; "&amp;Q1007&amp;AS[[#This Row],[Large Provider Entity Code]]&amp;"; "&amp;R1007&amp;AS[[#This Row],[Age Band Code]]&amp;"; "&amp;S1007&amp;AS[[#This Row],[Sex Code]]</f>
        <v xml:space="preserve">Insurer Code ; Reporting Year ; Insurance Category Code ; Large Provider Entity Code ; Age Band Code ; Sex Code </v>
      </c>
      <c r="N1007" s="345" t="s">
        <v>207</v>
      </c>
      <c r="O1007" s="345" t="s">
        <v>208</v>
      </c>
      <c r="P1007" s="345" t="s">
        <v>209</v>
      </c>
      <c r="Q1007" s="345" t="s">
        <v>210</v>
      </c>
      <c r="R1007" s="345" t="s">
        <v>223</v>
      </c>
      <c r="S1007" s="345" t="s">
        <v>224</v>
      </c>
    </row>
    <row r="1008" spans="1:19" x14ac:dyDescent="0.25">
      <c r="A1008" s="311"/>
      <c r="B1008" s="312"/>
      <c r="C1008" s="312"/>
      <c r="D1008" s="312"/>
      <c r="E1008" s="312"/>
      <c r="F1008" s="312"/>
      <c r="G1008" s="328"/>
      <c r="H1008" s="337"/>
      <c r="I1008" s="334"/>
      <c r="J1008" s="314"/>
      <c r="K1008" s="449"/>
      <c r="M1008" s="349" t="str">
        <f>N1008&amp;AS[[#This Row],[Insurer Code]]&amp;"; "&amp;O1008&amp;AS[[#This Row],[Reporting Year]]&amp;"; "&amp;P1008&amp;AS[[#This Row],[Insurance Category Code]]&amp;"; "&amp;Q1008&amp;AS[[#This Row],[Large Provider Entity Code]]&amp;"; "&amp;R1008&amp;AS[[#This Row],[Age Band Code]]&amp;"; "&amp;S1008&amp;AS[[#This Row],[Sex Code]]</f>
        <v xml:space="preserve">Insurer Code ; Reporting Year ; Insurance Category Code ; Large Provider Entity Code ; Age Band Code ; Sex Code </v>
      </c>
      <c r="N1008" s="345" t="s">
        <v>207</v>
      </c>
      <c r="O1008" s="345" t="s">
        <v>208</v>
      </c>
      <c r="P1008" s="345" t="s">
        <v>209</v>
      </c>
      <c r="Q1008" s="345" t="s">
        <v>210</v>
      </c>
      <c r="R1008" s="345" t="s">
        <v>223</v>
      </c>
      <c r="S1008" s="345" t="s">
        <v>224</v>
      </c>
    </row>
    <row r="1009" spans="1:19" x14ac:dyDescent="0.25">
      <c r="A1009" s="311"/>
      <c r="B1009" s="312"/>
      <c r="C1009" s="312"/>
      <c r="D1009" s="312"/>
      <c r="E1009" s="312"/>
      <c r="F1009" s="312"/>
      <c r="G1009" s="328"/>
      <c r="H1009" s="337"/>
      <c r="I1009" s="334"/>
      <c r="J1009" s="314"/>
      <c r="K1009" s="449"/>
      <c r="M1009" s="349" t="str">
        <f>N1009&amp;AS[[#This Row],[Insurer Code]]&amp;"; "&amp;O1009&amp;AS[[#This Row],[Reporting Year]]&amp;"; "&amp;P1009&amp;AS[[#This Row],[Insurance Category Code]]&amp;"; "&amp;Q1009&amp;AS[[#This Row],[Large Provider Entity Code]]&amp;"; "&amp;R1009&amp;AS[[#This Row],[Age Band Code]]&amp;"; "&amp;S1009&amp;AS[[#This Row],[Sex Code]]</f>
        <v xml:space="preserve">Insurer Code ; Reporting Year ; Insurance Category Code ; Large Provider Entity Code ; Age Band Code ; Sex Code </v>
      </c>
      <c r="N1009" s="345" t="s">
        <v>207</v>
      </c>
      <c r="O1009" s="345" t="s">
        <v>208</v>
      </c>
      <c r="P1009" s="345" t="s">
        <v>209</v>
      </c>
      <c r="Q1009" s="345" t="s">
        <v>210</v>
      </c>
      <c r="R1009" s="345" t="s">
        <v>223</v>
      </c>
      <c r="S1009" s="345" t="s">
        <v>224</v>
      </c>
    </row>
    <row r="1010" spans="1:19" x14ac:dyDescent="0.25">
      <c r="A1010" s="311"/>
      <c r="B1010" s="312"/>
      <c r="C1010" s="312"/>
      <c r="D1010" s="312"/>
      <c r="E1010" s="312"/>
      <c r="F1010" s="312"/>
      <c r="G1010" s="328"/>
      <c r="H1010" s="337"/>
      <c r="I1010" s="334"/>
      <c r="J1010" s="314"/>
      <c r="K1010" s="449"/>
      <c r="M1010" s="349" t="str">
        <f>N1010&amp;AS[[#This Row],[Insurer Code]]&amp;"; "&amp;O1010&amp;AS[[#This Row],[Reporting Year]]&amp;"; "&amp;P1010&amp;AS[[#This Row],[Insurance Category Code]]&amp;"; "&amp;Q1010&amp;AS[[#This Row],[Large Provider Entity Code]]&amp;"; "&amp;R1010&amp;AS[[#This Row],[Age Band Code]]&amp;"; "&amp;S1010&amp;AS[[#This Row],[Sex Code]]</f>
        <v xml:space="preserve">Insurer Code ; Reporting Year ; Insurance Category Code ; Large Provider Entity Code ; Age Band Code ; Sex Code </v>
      </c>
      <c r="N1010" s="345" t="s">
        <v>207</v>
      </c>
      <c r="O1010" s="345" t="s">
        <v>208</v>
      </c>
      <c r="P1010" s="345" t="s">
        <v>209</v>
      </c>
      <c r="Q1010" s="345" t="s">
        <v>210</v>
      </c>
      <c r="R1010" s="345" t="s">
        <v>223</v>
      </c>
      <c r="S1010" s="345" t="s">
        <v>224</v>
      </c>
    </row>
    <row r="1011" spans="1:19" x14ac:dyDescent="0.25">
      <c r="A1011" s="311"/>
      <c r="B1011" s="312"/>
      <c r="C1011" s="312"/>
      <c r="D1011" s="312"/>
      <c r="E1011" s="312"/>
      <c r="F1011" s="312"/>
      <c r="G1011" s="328"/>
      <c r="H1011" s="337"/>
      <c r="I1011" s="334"/>
      <c r="J1011" s="314"/>
      <c r="K1011" s="449"/>
      <c r="M1011" s="349" t="str">
        <f>N1011&amp;AS[[#This Row],[Insurer Code]]&amp;"; "&amp;O1011&amp;AS[[#This Row],[Reporting Year]]&amp;"; "&amp;P1011&amp;AS[[#This Row],[Insurance Category Code]]&amp;"; "&amp;Q1011&amp;AS[[#This Row],[Large Provider Entity Code]]&amp;"; "&amp;R1011&amp;AS[[#This Row],[Age Band Code]]&amp;"; "&amp;S1011&amp;AS[[#This Row],[Sex Code]]</f>
        <v xml:space="preserve">Insurer Code ; Reporting Year ; Insurance Category Code ; Large Provider Entity Code ; Age Band Code ; Sex Code </v>
      </c>
      <c r="N1011" s="345" t="s">
        <v>207</v>
      </c>
      <c r="O1011" s="345" t="s">
        <v>208</v>
      </c>
      <c r="P1011" s="345" t="s">
        <v>209</v>
      </c>
      <c r="Q1011" s="345" t="s">
        <v>210</v>
      </c>
      <c r="R1011" s="345" t="s">
        <v>223</v>
      </c>
      <c r="S1011" s="345" t="s">
        <v>224</v>
      </c>
    </row>
    <row r="1012" spans="1:19" x14ac:dyDescent="0.25">
      <c r="A1012" s="311"/>
      <c r="B1012" s="312"/>
      <c r="C1012" s="312"/>
      <c r="D1012" s="312"/>
      <c r="E1012" s="312"/>
      <c r="F1012" s="312"/>
      <c r="G1012" s="328"/>
      <c r="H1012" s="337"/>
      <c r="I1012" s="334"/>
      <c r="J1012" s="314"/>
      <c r="K1012" s="449"/>
      <c r="M1012" s="349" t="str">
        <f>N1012&amp;AS[[#This Row],[Insurer Code]]&amp;"; "&amp;O1012&amp;AS[[#This Row],[Reporting Year]]&amp;"; "&amp;P1012&amp;AS[[#This Row],[Insurance Category Code]]&amp;"; "&amp;Q1012&amp;AS[[#This Row],[Large Provider Entity Code]]&amp;"; "&amp;R1012&amp;AS[[#This Row],[Age Band Code]]&amp;"; "&amp;S1012&amp;AS[[#This Row],[Sex Code]]</f>
        <v xml:space="preserve">Insurer Code ; Reporting Year ; Insurance Category Code ; Large Provider Entity Code ; Age Band Code ; Sex Code </v>
      </c>
      <c r="N1012" s="345" t="s">
        <v>207</v>
      </c>
      <c r="O1012" s="345" t="s">
        <v>208</v>
      </c>
      <c r="P1012" s="345" t="s">
        <v>209</v>
      </c>
      <c r="Q1012" s="345" t="s">
        <v>210</v>
      </c>
      <c r="R1012" s="345" t="s">
        <v>223</v>
      </c>
      <c r="S1012" s="345" t="s">
        <v>224</v>
      </c>
    </row>
    <row r="1013" spans="1:19" x14ac:dyDescent="0.25">
      <c r="A1013" s="311"/>
      <c r="B1013" s="312"/>
      <c r="C1013" s="312"/>
      <c r="D1013" s="312"/>
      <c r="E1013" s="312"/>
      <c r="F1013" s="312"/>
      <c r="G1013" s="328"/>
      <c r="H1013" s="337"/>
      <c r="I1013" s="334"/>
      <c r="J1013" s="314"/>
      <c r="K1013" s="449"/>
      <c r="M1013" s="349" t="str">
        <f>N1013&amp;AS[[#This Row],[Insurer Code]]&amp;"; "&amp;O1013&amp;AS[[#This Row],[Reporting Year]]&amp;"; "&amp;P1013&amp;AS[[#This Row],[Insurance Category Code]]&amp;"; "&amp;Q1013&amp;AS[[#This Row],[Large Provider Entity Code]]&amp;"; "&amp;R1013&amp;AS[[#This Row],[Age Band Code]]&amp;"; "&amp;S1013&amp;AS[[#This Row],[Sex Code]]</f>
        <v xml:space="preserve">Insurer Code ; Reporting Year ; Insurance Category Code ; Large Provider Entity Code ; Age Band Code ; Sex Code </v>
      </c>
      <c r="N1013" s="345" t="s">
        <v>207</v>
      </c>
      <c r="O1013" s="345" t="s">
        <v>208</v>
      </c>
      <c r="P1013" s="345" t="s">
        <v>209</v>
      </c>
      <c r="Q1013" s="345" t="s">
        <v>210</v>
      </c>
      <c r="R1013" s="345" t="s">
        <v>223</v>
      </c>
      <c r="S1013" s="345" t="s">
        <v>224</v>
      </c>
    </row>
    <row r="1014" spans="1:19" x14ac:dyDescent="0.25">
      <c r="A1014" s="311"/>
      <c r="B1014" s="312"/>
      <c r="C1014" s="312"/>
      <c r="D1014" s="312"/>
      <c r="E1014" s="312"/>
      <c r="F1014" s="312"/>
      <c r="G1014" s="328"/>
      <c r="H1014" s="337"/>
      <c r="I1014" s="334"/>
      <c r="J1014" s="314"/>
      <c r="K1014" s="449"/>
      <c r="M1014" s="349" t="str">
        <f>N1014&amp;AS[[#This Row],[Insurer Code]]&amp;"; "&amp;O1014&amp;AS[[#This Row],[Reporting Year]]&amp;"; "&amp;P1014&amp;AS[[#This Row],[Insurance Category Code]]&amp;"; "&amp;Q1014&amp;AS[[#This Row],[Large Provider Entity Code]]&amp;"; "&amp;R1014&amp;AS[[#This Row],[Age Band Code]]&amp;"; "&amp;S1014&amp;AS[[#This Row],[Sex Code]]</f>
        <v xml:space="preserve">Insurer Code ; Reporting Year ; Insurance Category Code ; Large Provider Entity Code ; Age Band Code ; Sex Code </v>
      </c>
      <c r="N1014" s="345" t="s">
        <v>207</v>
      </c>
      <c r="O1014" s="345" t="s">
        <v>208</v>
      </c>
      <c r="P1014" s="345" t="s">
        <v>209</v>
      </c>
      <c r="Q1014" s="345" t="s">
        <v>210</v>
      </c>
      <c r="R1014" s="345" t="s">
        <v>223</v>
      </c>
      <c r="S1014" s="345" t="s">
        <v>224</v>
      </c>
    </row>
    <row r="1015" spans="1:19" x14ac:dyDescent="0.25">
      <c r="A1015" s="311"/>
      <c r="B1015" s="312"/>
      <c r="C1015" s="312"/>
      <c r="D1015" s="312"/>
      <c r="E1015" s="312"/>
      <c r="F1015" s="312"/>
      <c r="G1015" s="328"/>
      <c r="H1015" s="337"/>
      <c r="I1015" s="334"/>
      <c r="J1015" s="314"/>
      <c r="K1015" s="449"/>
      <c r="M1015" s="349" t="str">
        <f>N1015&amp;AS[[#This Row],[Insurer Code]]&amp;"; "&amp;O1015&amp;AS[[#This Row],[Reporting Year]]&amp;"; "&amp;P1015&amp;AS[[#This Row],[Insurance Category Code]]&amp;"; "&amp;Q1015&amp;AS[[#This Row],[Large Provider Entity Code]]&amp;"; "&amp;R1015&amp;AS[[#This Row],[Age Band Code]]&amp;"; "&amp;S1015&amp;AS[[#This Row],[Sex Code]]</f>
        <v xml:space="preserve">Insurer Code ; Reporting Year ; Insurance Category Code ; Large Provider Entity Code ; Age Band Code ; Sex Code </v>
      </c>
      <c r="N1015" s="345" t="s">
        <v>207</v>
      </c>
      <c r="O1015" s="345" t="s">
        <v>208</v>
      </c>
      <c r="P1015" s="345" t="s">
        <v>209</v>
      </c>
      <c r="Q1015" s="345" t="s">
        <v>210</v>
      </c>
      <c r="R1015" s="345" t="s">
        <v>223</v>
      </c>
      <c r="S1015" s="345" t="s">
        <v>224</v>
      </c>
    </row>
    <row r="1016" spans="1:19" x14ac:dyDescent="0.25">
      <c r="A1016" s="311"/>
      <c r="B1016" s="312"/>
      <c r="C1016" s="312"/>
      <c r="D1016" s="312"/>
      <c r="E1016" s="312"/>
      <c r="F1016" s="312"/>
      <c r="G1016" s="328"/>
      <c r="H1016" s="337"/>
      <c r="I1016" s="334"/>
      <c r="J1016" s="314"/>
      <c r="K1016" s="449"/>
      <c r="M1016" s="349" t="str">
        <f>N1016&amp;AS[[#This Row],[Insurer Code]]&amp;"; "&amp;O1016&amp;AS[[#This Row],[Reporting Year]]&amp;"; "&amp;P1016&amp;AS[[#This Row],[Insurance Category Code]]&amp;"; "&amp;Q1016&amp;AS[[#This Row],[Large Provider Entity Code]]&amp;"; "&amp;R1016&amp;AS[[#This Row],[Age Band Code]]&amp;"; "&amp;S1016&amp;AS[[#This Row],[Sex Code]]</f>
        <v xml:space="preserve">Insurer Code ; Reporting Year ; Insurance Category Code ; Large Provider Entity Code ; Age Band Code ; Sex Code </v>
      </c>
      <c r="N1016" s="345" t="s">
        <v>207</v>
      </c>
      <c r="O1016" s="345" t="s">
        <v>208</v>
      </c>
      <c r="P1016" s="345" t="s">
        <v>209</v>
      </c>
      <c r="Q1016" s="345" t="s">
        <v>210</v>
      </c>
      <c r="R1016" s="345" t="s">
        <v>223</v>
      </c>
      <c r="S1016" s="345" t="s">
        <v>224</v>
      </c>
    </row>
    <row r="1017" spans="1:19" x14ac:dyDescent="0.25">
      <c r="A1017" s="311"/>
      <c r="B1017" s="312"/>
      <c r="C1017" s="312"/>
      <c r="D1017" s="312"/>
      <c r="E1017" s="312"/>
      <c r="F1017" s="312"/>
      <c r="G1017" s="328"/>
      <c r="H1017" s="337"/>
      <c r="I1017" s="334"/>
      <c r="J1017" s="314"/>
      <c r="K1017" s="449"/>
      <c r="M1017" s="349" t="str">
        <f>N1017&amp;AS[[#This Row],[Insurer Code]]&amp;"; "&amp;O1017&amp;AS[[#This Row],[Reporting Year]]&amp;"; "&amp;P1017&amp;AS[[#This Row],[Insurance Category Code]]&amp;"; "&amp;Q1017&amp;AS[[#This Row],[Large Provider Entity Code]]&amp;"; "&amp;R1017&amp;AS[[#This Row],[Age Band Code]]&amp;"; "&amp;S1017&amp;AS[[#This Row],[Sex Code]]</f>
        <v xml:space="preserve">Insurer Code ; Reporting Year ; Insurance Category Code ; Large Provider Entity Code ; Age Band Code ; Sex Code </v>
      </c>
      <c r="N1017" s="345" t="s">
        <v>207</v>
      </c>
      <c r="O1017" s="345" t="s">
        <v>208</v>
      </c>
      <c r="P1017" s="345" t="s">
        <v>209</v>
      </c>
      <c r="Q1017" s="345" t="s">
        <v>210</v>
      </c>
      <c r="R1017" s="345" t="s">
        <v>223</v>
      </c>
      <c r="S1017" s="345" t="s">
        <v>224</v>
      </c>
    </row>
    <row r="1018" spans="1:19" x14ac:dyDescent="0.25">
      <c r="A1018" s="311"/>
      <c r="B1018" s="312"/>
      <c r="C1018" s="312"/>
      <c r="D1018" s="312"/>
      <c r="E1018" s="312"/>
      <c r="F1018" s="312"/>
      <c r="G1018" s="328"/>
      <c r="H1018" s="337"/>
      <c r="I1018" s="334"/>
      <c r="J1018" s="314"/>
      <c r="K1018" s="449"/>
      <c r="M1018" s="349" t="str">
        <f>N1018&amp;AS[[#This Row],[Insurer Code]]&amp;"; "&amp;O1018&amp;AS[[#This Row],[Reporting Year]]&amp;"; "&amp;P1018&amp;AS[[#This Row],[Insurance Category Code]]&amp;"; "&amp;Q1018&amp;AS[[#This Row],[Large Provider Entity Code]]&amp;"; "&amp;R1018&amp;AS[[#This Row],[Age Band Code]]&amp;"; "&amp;S1018&amp;AS[[#This Row],[Sex Code]]</f>
        <v xml:space="preserve">Insurer Code ; Reporting Year ; Insurance Category Code ; Large Provider Entity Code ; Age Band Code ; Sex Code </v>
      </c>
      <c r="N1018" s="345" t="s">
        <v>207</v>
      </c>
      <c r="O1018" s="345" t="s">
        <v>208</v>
      </c>
      <c r="P1018" s="345" t="s">
        <v>209</v>
      </c>
      <c r="Q1018" s="345" t="s">
        <v>210</v>
      </c>
      <c r="R1018" s="345" t="s">
        <v>223</v>
      </c>
      <c r="S1018" s="345" t="s">
        <v>224</v>
      </c>
    </row>
    <row r="1019" spans="1:19" x14ac:dyDescent="0.25">
      <c r="A1019" s="311"/>
      <c r="B1019" s="312"/>
      <c r="C1019" s="312"/>
      <c r="D1019" s="312"/>
      <c r="E1019" s="312"/>
      <c r="F1019" s="312"/>
      <c r="G1019" s="328"/>
      <c r="H1019" s="337"/>
      <c r="I1019" s="334"/>
      <c r="J1019" s="314"/>
      <c r="K1019" s="449"/>
      <c r="M1019" s="349" t="str">
        <f>N1019&amp;AS[[#This Row],[Insurer Code]]&amp;"; "&amp;O1019&amp;AS[[#This Row],[Reporting Year]]&amp;"; "&amp;P1019&amp;AS[[#This Row],[Insurance Category Code]]&amp;"; "&amp;Q1019&amp;AS[[#This Row],[Large Provider Entity Code]]&amp;"; "&amp;R1019&amp;AS[[#This Row],[Age Band Code]]&amp;"; "&amp;S1019&amp;AS[[#This Row],[Sex Code]]</f>
        <v xml:space="preserve">Insurer Code ; Reporting Year ; Insurance Category Code ; Large Provider Entity Code ; Age Band Code ; Sex Code </v>
      </c>
      <c r="N1019" s="345" t="s">
        <v>207</v>
      </c>
      <c r="O1019" s="345" t="s">
        <v>208</v>
      </c>
      <c r="P1019" s="345" t="s">
        <v>209</v>
      </c>
      <c r="Q1019" s="345" t="s">
        <v>210</v>
      </c>
      <c r="R1019" s="345" t="s">
        <v>223</v>
      </c>
      <c r="S1019" s="345" t="s">
        <v>224</v>
      </c>
    </row>
    <row r="1020" spans="1:19" x14ac:dyDescent="0.25">
      <c r="A1020" s="311"/>
      <c r="B1020" s="312"/>
      <c r="C1020" s="312"/>
      <c r="D1020" s="312"/>
      <c r="E1020" s="312"/>
      <c r="F1020" s="312"/>
      <c r="G1020" s="328"/>
      <c r="H1020" s="337"/>
      <c r="I1020" s="334"/>
      <c r="J1020" s="314"/>
      <c r="K1020" s="449"/>
      <c r="M1020" s="349" t="str">
        <f>N1020&amp;AS[[#This Row],[Insurer Code]]&amp;"; "&amp;O1020&amp;AS[[#This Row],[Reporting Year]]&amp;"; "&amp;P1020&amp;AS[[#This Row],[Insurance Category Code]]&amp;"; "&amp;Q1020&amp;AS[[#This Row],[Large Provider Entity Code]]&amp;"; "&amp;R1020&amp;AS[[#This Row],[Age Band Code]]&amp;"; "&amp;S1020&amp;AS[[#This Row],[Sex Code]]</f>
        <v xml:space="preserve">Insurer Code ; Reporting Year ; Insurance Category Code ; Large Provider Entity Code ; Age Band Code ; Sex Code </v>
      </c>
      <c r="N1020" s="345" t="s">
        <v>207</v>
      </c>
      <c r="O1020" s="345" t="s">
        <v>208</v>
      </c>
      <c r="P1020" s="345" t="s">
        <v>209</v>
      </c>
      <c r="Q1020" s="345" t="s">
        <v>210</v>
      </c>
      <c r="R1020" s="345" t="s">
        <v>223</v>
      </c>
      <c r="S1020" s="345" t="s">
        <v>224</v>
      </c>
    </row>
    <row r="1021" spans="1:19" x14ac:dyDescent="0.25">
      <c r="A1021" s="311"/>
      <c r="B1021" s="312"/>
      <c r="C1021" s="312"/>
      <c r="D1021" s="312"/>
      <c r="E1021" s="312"/>
      <c r="F1021" s="312"/>
      <c r="G1021" s="328"/>
      <c r="H1021" s="337"/>
      <c r="I1021" s="334"/>
      <c r="J1021" s="314"/>
      <c r="K1021" s="449"/>
      <c r="M1021" s="349" t="str">
        <f>N1021&amp;AS[[#This Row],[Insurer Code]]&amp;"; "&amp;O1021&amp;AS[[#This Row],[Reporting Year]]&amp;"; "&amp;P1021&amp;AS[[#This Row],[Insurance Category Code]]&amp;"; "&amp;Q1021&amp;AS[[#This Row],[Large Provider Entity Code]]&amp;"; "&amp;R1021&amp;AS[[#This Row],[Age Band Code]]&amp;"; "&amp;S1021&amp;AS[[#This Row],[Sex Code]]</f>
        <v xml:space="preserve">Insurer Code ; Reporting Year ; Insurance Category Code ; Large Provider Entity Code ; Age Band Code ; Sex Code </v>
      </c>
      <c r="N1021" s="345" t="s">
        <v>207</v>
      </c>
      <c r="O1021" s="345" t="s">
        <v>208</v>
      </c>
      <c r="P1021" s="345" t="s">
        <v>209</v>
      </c>
      <c r="Q1021" s="345" t="s">
        <v>210</v>
      </c>
      <c r="R1021" s="345" t="s">
        <v>223</v>
      </c>
      <c r="S1021" s="345" t="s">
        <v>224</v>
      </c>
    </row>
    <row r="1022" spans="1:19" x14ac:dyDescent="0.25">
      <c r="A1022" s="311"/>
      <c r="B1022" s="312"/>
      <c r="C1022" s="312"/>
      <c r="D1022" s="312"/>
      <c r="E1022" s="312"/>
      <c r="F1022" s="312"/>
      <c r="G1022" s="328"/>
      <c r="H1022" s="337"/>
      <c r="I1022" s="334"/>
      <c r="J1022" s="314"/>
      <c r="K1022" s="449"/>
      <c r="M1022" s="349" t="str">
        <f>N1022&amp;AS[[#This Row],[Insurer Code]]&amp;"; "&amp;O1022&amp;AS[[#This Row],[Reporting Year]]&amp;"; "&amp;P1022&amp;AS[[#This Row],[Insurance Category Code]]&amp;"; "&amp;Q1022&amp;AS[[#This Row],[Large Provider Entity Code]]&amp;"; "&amp;R1022&amp;AS[[#This Row],[Age Band Code]]&amp;"; "&amp;S1022&amp;AS[[#This Row],[Sex Code]]</f>
        <v xml:space="preserve">Insurer Code ; Reporting Year ; Insurance Category Code ; Large Provider Entity Code ; Age Band Code ; Sex Code </v>
      </c>
      <c r="N1022" s="345" t="s">
        <v>207</v>
      </c>
      <c r="O1022" s="345" t="s">
        <v>208</v>
      </c>
      <c r="P1022" s="345" t="s">
        <v>209</v>
      </c>
      <c r="Q1022" s="345" t="s">
        <v>210</v>
      </c>
      <c r="R1022" s="345" t="s">
        <v>223</v>
      </c>
      <c r="S1022" s="345" t="s">
        <v>224</v>
      </c>
    </row>
    <row r="1023" spans="1:19" x14ac:dyDescent="0.25">
      <c r="A1023" s="311"/>
      <c r="B1023" s="312"/>
      <c r="C1023" s="312"/>
      <c r="D1023" s="312"/>
      <c r="E1023" s="312"/>
      <c r="F1023" s="312"/>
      <c r="G1023" s="328"/>
      <c r="H1023" s="337"/>
      <c r="I1023" s="334"/>
      <c r="J1023" s="314"/>
      <c r="K1023" s="449"/>
      <c r="M1023" s="349" t="str">
        <f>N1023&amp;AS[[#This Row],[Insurer Code]]&amp;"; "&amp;O1023&amp;AS[[#This Row],[Reporting Year]]&amp;"; "&amp;P1023&amp;AS[[#This Row],[Insurance Category Code]]&amp;"; "&amp;Q1023&amp;AS[[#This Row],[Large Provider Entity Code]]&amp;"; "&amp;R1023&amp;AS[[#This Row],[Age Band Code]]&amp;"; "&amp;S1023&amp;AS[[#This Row],[Sex Code]]</f>
        <v xml:space="preserve">Insurer Code ; Reporting Year ; Insurance Category Code ; Large Provider Entity Code ; Age Band Code ; Sex Code </v>
      </c>
      <c r="N1023" s="345" t="s">
        <v>207</v>
      </c>
      <c r="O1023" s="345" t="s">
        <v>208</v>
      </c>
      <c r="P1023" s="345" t="s">
        <v>209</v>
      </c>
      <c r="Q1023" s="345" t="s">
        <v>210</v>
      </c>
      <c r="R1023" s="345" t="s">
        <v>223</v>
      </c>
      <c r="S1023" s="345" t="s">
        <v>224</v>
      </c>
    </row>
    <row r="1024" spans="1:19" x14ac:dyDescent="0.25">
      <c r="A1024" s="311"/>
      <c r="B1024" s="312"/>
      <c r="C1024" s="312"/>
      <c r="D1024" s="312"/>
      <c r="E1024" s="312"/>
      <c r="F1024" s="312"/>
      <c r="G1024" s="328"/>
      <c r="H1024" s="337"/>
      <c r="I1024" s="334"/>
      <c r="J1024" s="314"/>
      <c r="K1024" s="449"/>
      <c r="M1024" s="349" t="str">
        <f>N1024&amp;AS[[#This Row],[Insurer Code]]&amp;"; "&amp;O1024&amp;AS[[#This Row],[Reporting Year]]&amp;"; "&amp;P1024&amp;AS[[#This Row],[Insurance Category Code]]&amp;"; "&amp;Q1024&amp;AS[[#This Row],[Large Provider Entity Code]]&amp;"; "&amp;R1024&amp;AS[[#This Row],[Age Band Code]]&amp;"; "&amp;S1024&amp;AS[[#This Row],[Sex Code]]</f>
        <v xml:space="preserve">Insurer Code ; Reporting Year ; Insurance Category Code ; Large Provider Entity Code ; Age Band Code ; Sex Code </v>
      </c>
      <c r="N1024" s="345" t="s">
        <v>207</v>
      </c>
      <c r="O1024" s="345" t="s">
        <v>208</v>
      </c>
      <c r="P1024" s="345" t="s">
        <v>209</v>
      </c>
      <c r="Q1024" s="345" t="s">
        <v>210</v>
      </c>
      <c r="R1024" s="345" t="s">
        <v>223</v>
      </c>
      <c r="S1024" s="345" t="s">
        <v>224</v>
      </c>
    </row>
    <row r="1025" spans="1:19" x14ac:dyDescent="0.25">
      <c r="A1025" s="311"/>
      <c r="B1025" s="312"/>
      <c r="C1025" s="312"/>
      <c r="D1025" s="312"/>
      <c r="E1025" s="312"/>
      <c r="F1025" s="312"/>
      <c r="G1025" s="328"/>
      <c r="H1025" s="337"/>
      <c r="I1025" s="334"/>
      <c r="J1025" s="314"/>
      <c r="K1025" s="449"/>
      <c r="M1025" s="349" t="str">
        <f>N1025&amp;AS[[#This Row],[Insurer Code]]&amp;"; "&amp;O1025&amp;AS[[#This Row],[Reporting Year]]&amp;"; "&amp;P1025&amp;AS[[#This Row],[Insurance Category Code]]&amp;"; "&amp;Q1025&amp;AS[[#This Row],[Large Provider Entity Code]]&amp;"; "&amp;R1025&amp;AS[[#This Row],[Age Band Code]]&amp;"; "&amp;S1025&amp;AS[[#This Row],[Sex Code]]</f>
        <v xml:space="preserve">Insurer Code ; Reporting Year ; Insurance Category Code ; Large Provider Entity Code ; Age Band Code ; Sex Code </v>
      </c>
      <c r="N1025" s="345" t="s">
        <v>207</v>
      </c>
      <c r="O1025" s="345" t="s">
        <v>208</v>
      </c>
      <c r="P1025" s="345" t="s">
        <v>209</v>
      </c>
      <c r="Q1025" s="345" t="s">
        <v>210</v>
      </c>
      <c r="R1025" s="345" t="s">
        <v>223</v>
      </c>
      <c r="S1025" s="345" t="s">
        <v>224</v>
      </c>
    </row>
    <row r="1026" spans="1:19" x14ac:dyDescent="0.25">
      <c r="A1026" s="311"/>
      <c r="B1026" s="312"/>
      <c r="C1026" s="312"/>
      <c r="D1026" s="312"/>
      <c r="E1026" s="312"/>
      <c r="F1026" s="312"/>
      <c r="G1026" s="328"/>
      <c r="H1026" s="337"/>
      <c r="I1026" s="334"/>
      <c r="J1026" s="314"/>
      <c r="K1026" s="449"/>
      <c r="M1026" s="349" t="str">
        <f>N1026&amp;AS[[#This Row],[Insurer Code]]&amp;"; "&amp;O1026&amp;AS[[#This Row],[Reporting Year]]&amp;"; "&amp;P1026&amp;AS[[#This Row],[Insurance Category Code]]&amp;"; "&amp;Q1026&amp;AS[[#This Row],[Large Provider Entity Code]]&amp;"; "&amp;R1026&amp;AS[[#This Row],[Age Band Code]]&amp;"; "&amp;S1026&amp;AS[[#This Row],[Sex Code]]</f>
        <v xml:space="preserve">Insurer Code ; Reporting Year ; Insurance Category Code ; Large Provider Entity Code ; Age Band Code ; Sex Code </v>
      </c>
      <c r="N1026" s="345" t="s">
        <v>207</v>
      </c>
      <c r="O1026" s="345" t="s">
        <v>208</v>
      </c>
      <c r="P1026" s="345" t="s">
        <v>209</v>
      </c>
      <c r="Q1026" s="345" t="s">
        <v>210</v>
      </c>
      <c r="R1026" s="345" t="s">
        <v>223</v>
      </c>
      <c r="S1026" s="345" t="s">
        <v>224</v>
      </c>
    </row>
    <row r="1027" spans="1:19" x14ac:dyDescent="0.25">
      <c r="A1027" s="311"/>
      <c r="B1027" s="312"/>
      <c r="C1027" s="312"/>
      <c r="D1027" s="312"/>
      <c r="E1027" s="312"/>
      <c r="F1027" s="312"/>
      <c r="G1027" s="328"/>
      <c r="H1027" s="337"/>
      <c r="I1027" s="334"/>
      <c r="J1027" s="314"/>
      <c r="K1027" s="449"/>
      <c r="M1027" s="349" t="str">
        <f>N1027&amp;AS[[#This Row],[Insurer Code]]&amp;"; "&amp;O1027&amp;AS[[#This Row],[Reporting Year]]&amp;"; "&amp;P1027&amp;AS[[#This Row],[Insurance Category Code]]&amp;"; "&amp;Q1027&amp;AS[[#This Row],[Large Provider Entity Code]]&amp;"; "&amp;R1027&amp;AS[[#This Row],[Age Band Code]]&amp;"; "&amp;S1027&amp;AS[[#This Row],[Sex Code]]</f>
        <v xml:space="preserve">Insurer Code ; Reporting Year ; Insurance Category Code ; Large Provider Entity Code ; Age Band Code ; Sex Code </v>
      </c>
      <c r="N1027" s="345" t="s">
        <v>207</v>
      </c>
      <c r="O1027" s="345" t="s">
        <v>208</v>
      </c>
      <c r="P1027" s="345" t="s">
        <v>209</v>
      </c>
      <c r="Q1027" s="345" t="s">
        <v>210</v>
      </c>
      <c r="R1027" s="345" t="s">
        <v>223</v>
      </c>
      <c r="S1027" s="345" t="s">
        <v>224</v>
      </c>
    </row>
    <row r="1028" spans="1:19" x14ac:dyDescent="0.25">
      <c r="A1028" s="311"/>
      <c r="B1028" s="312"/>
      <c r="C1028" s="312"/>
      <c r="D1028" s="312"/>
      <c r="E1028" s="312"/>
      <c r="F1028" s="312"/>
      <c r="G1028" s="328"/>
      <c r="H1028" s="337"/>
      <c r="I1028" s="334"/>
      <c r="J1028" s="314"/>
      <c r="K1028" s="449"/>
      <c r="M1028" s="349" t="str">
        <f>N1028&amp;AS[[#This Row],[Insurer Code]]&amp;"; "&amp;O1028&amp;AS[[#This Row],[Reporting Year]]&amp;"; "&amp;P1028&amp;AS[[#This Row],[Insurance Category Code]]&amp;"; "&amp;Q1028&amp;AS[[#This Row],[Large Provider Entity Code]]&amp;"; "&amp;R1028&amp;AS[[#This Row],[Age Band Code]]&amp;"; "&amp;S1028&amp;AS[[#This Row],[Sex Code]]</f>
        <v xml:space="preserve">Insurer Code ; Reporting Year ; Insurance Category Code ; Large Provider Entity Code ; Age Band Code ; Sex Code </v>
      </c>
      <c r="N1028" s="345" t="s">
        <v>207</v>
      </c>
      <c r="O1028" s="345" t="s">
        <v>208</v>
      </c>
      <c r="P1028" s="345" t="s">
        <v>209</v>
      </c>
      <c r="Q1028" s="345" t="s">
        <v>210</v>
      </c>
      <c r="R1028" s="345" t="s">
        <v>223</v>
      </c>
      <c r="S1028" s="345" t="s">
        <v>224</v>
      </c>
    </row>
    <row r="1029" spans="1:19" x14ac:dyDescent="0.25">
      <c r="A1029" s="311"/>
      <c r="B1029" s="312"/>
      <c r="C1029" s="312"/>
      <c r="D1029" s="312"/>
      <c r="E1029" s="312"/>
      <c r="F1029" s="312"/>
      <c r="G1029" s="328"/>
      <c r="H1029" s="337"/>
      <c r="I1029" s="334"/>
      <c r="J1029" s="314"/>
      <c r="K1029" s="449"/>
      <c r="M1029" s="349" t="str">
        <f>N1029&amp;AS[[#This Row],[Insurer Code]]&amp;"; "&amp;O1029&amp;AS[[#This Row],[Reporting Year]]&amp;"; "&amp;P1029&amp;AS[[#This Row],[Insurance Category Code]]&amp;"; "&amp;Q1029&amp;AS[[#This Row],[Large Provider Entity Code]]&amp;"; "&amp;R1029&amp;AS[[#This Row],[Age Band Code]]&amp;"; "&amp;S1029&amp;AS[[#This Row],[Sex Code]]</f>
        <v xml:space="preserve">Insurer Code ; Reporting Year ; Insurance Category Code ; Large Provider Entity Code ; Age Band Code ; Sex Code </v>
      </c>
      <c r="N1029" s="345" t="s">
        <v>207</v>
      </c>
      <c r="O1029" s="345" t="s">
        <v>208</v>
      </c>
      <c r="P1029" s="345" t="s">
        <v>209</v>
      </c>
      <c r="Q1029" s="345" t="s">
        <v>210</v>
      </c>
      <c r="R1029" s="345" t="s">
        <v>223</v>
      </c>
      <c r="S1029" s="345" t="s">
        <v>224</v>
      </c>
    </row>
    <row r="1030" spans="1:19" x14ac:dyDescent="0.25">
      <c r="A1030" s="311"/>
      <c r="B1030" s="312"/>
      <c r="C1030" s="312"/>
      <c r="D1030" s="312"/>
      <c r="E1030" s="312"/>
      <c r="F1030" s="312"/>
      <c r="G1030" s="328"/>
      <c r="H1030" s="337"/>
      <c r="I1030" s="334"/>
      <c r="J1030" s="314"/>
      <c r="K1030" s="449"/>
      <c r="M1030" s="349" t="str">
        <f>N1030&amp;AS[[#This Row],[Insurer Code]]&amp;"; "&amp;O1030&amp;AS[[#This Row],[Reporting Year]]&amp;"; "&amp;P1030&amp;AS[[#This Row],[Insurance Category Code]]&amp;"; "&amp;Q1030&amp;AS[[#This Row],[Large Provider Entity Code]]&amp;"; "&amp;R1030&amp;AS[[#This Row],[Age Band Code]]&amp;"; "&amp;S1030&amp;AS[[#This Row],[Sex Code]]</f>
        <v xml:space="preserve">Insurer Code ; Reporting Year ; Insurance Category Code ; Large Provider Entity Code ; Age Band Code ; Sex Code </v>
      </c>
      <c r="N1030" s="345" t="s">
        <v>207</v>
      </c>
      <c r="O1030" s="345" t="s">
        <v>208</v>
      </c>
      <c r="P1030" s="345" t="s">
        <v>209</v>
      </c>
      <c r="Q1030" s="345" t="s">
        <v>210</v>
      </c>
      <c r="R1030" s="345" t="s">
        <v>223</v>
      </c>
      <c r="S1030" s="345" t="s">
        <v>224</v>
      </c>
    </row>
    <row r="1031" spans="1:19" x14ac:dyDescent="0.25">
      <c r="A1031" s="311"/>
      <c r="B1031" s="312"/>
      <c r="C1031" s="312"/>
      <c r="D1031" s="312"/>
      <c r="E1031" s="312"/>
      <c r="F1031" s="312"/>
      <c r="G1031" s="328"/>
      <c r="H1031" s="337"/>
      <c r="I1031" s="334"/>
      <c r="J1031" s="314"/>
      <c r="K1031" s="449"/>
      <c r="M1031" s="349" t="str">
        <f>N1031&amp;AS[[#This Row],[Insurer Code]]&amp;"; "&amp;O1031&amp;AS[[#This Row],[Reporting Year]]&amp;"; "&amp;P1031&amp;AS[[#This Row],[Insurance Category Code]]&amp;"; "&amp;Q1031&amp;AS[[#This Row],[Large Provider Entity Code]]&amp;"; "&amp;R1031&amp;AS[[#This Row],[Age Band Code]]&amp;"; "&amp;S1031&amp;AS[[#This Row],[Sex Code]]</f>
        <v xml:space="preserve">Insurer Code ; Reporting Year ; Insurance Category Code ; Large Provider Entity Code ; Age Band Code ; Sex Code </v>
      </c>
      <c r="N1031" s="345" t="s">
        <v>207</v>
      </c>
      <c r="O1031" s="345" t="s">
        <v>208</v>
      </c>
      <c r="P1031" s="345" t="s">
        <v>209</v>
      </c>
      <c r="Q1031" s="345" t="s">
        <v>210</v>
      </c>
      <c r="R1031" s="345" t="s">
        <v>223</v>
      </c>
      <c r="S1031" s="345" t="s">
        <v>224</v>
      </c>
    </row>
    <row r="1032" spans="1:19" x14ac:dyDescent="0.25">
      <c r="A1032" s="311"/>
      <c r="B1032" s="312"/>
      <c r="C1032" s="312"/>
      <c r="D1032" s="312"/>
      <c r="E1032" s="312"/>
      <c r="F1032" s="312"/>
      <c r="G1032" s="328"/>
      <c r="H1032" s="337"/>
      <c r="I1032" s="334"/>
      <c r="J1032" s="314"/>
      <c r="K1032" s="449"/>
      <c r="M1032" s="349" t="str">
        <f>N1032&amp;AS[[#This Row],[Insurer Code]]&amp;"; "&amp;O1032&amp;AS[[#This Row],[Reporting Year]]&amp;"; "&amp;P1032&amp;AS[[#This Row],[Insurance Category Code]]&amp;"; "&amp;Q1032&amp;AS[[#This Row],[Large Provider Entity Code]]&amp;"; "&amp;R1032&amp;AS[[#This Row],[Age Band Code]]&amp;"; "&amp;S1032&amp;AS[[#This Row],[Sex Code]]</f>
        <v xml:space="preserve">Insurer Code ; Reporting Year ; Insurance Category Code ; Large Provider Entity Code ; Age Band Code ; Sex Code </v>
      </c>
      <c r="N1032" s="345" t="s">
        <v>207</v>
      </c>
      <c r="O1032" s="345" t="s">
        <v>208</v>
      </c>
      <c r="P1032" s="345" t="s">
        <v>209</v>
      </c>
      <c r="Q1032" s="345" t="s">
        <v>210</v>
      </c>
      <c r="R1032" s="345" t="s">
        <v>223</v>
      </c>
      <c r="S1032" s="345" t="s">
        <v>224</v>
      </c>
    </row>
    <row r="1033" spans="1:19" x14ac:dyDescent="0.25">
      <c r="A1033" s="311"/>
      <c r="B1033" s="312"/>
      <c r="C1033" s="312"/>
      <c r="D1033" s="312"/>
      <c r="E1033" s="312"/>
      <c r="F1033" s="312"/>
      <c r="G1033" s="328"/>
      <c r="H1033" s="337"/>
      <c r="I1033" s="334"/>
      <c r="J1033" s="314"/>
      <c r="K1033" s="449"/>
      <c r="M1033" s="349" t="str">
        <f>N1033&amp;AS[[#This Row],[Insurer Code]]&amp;"; "&amp;O1033&amp;AS[[#This Row],[Reporting Year]]&amp;"; "&amp;P1033&amp;AS[[#This Row],[Insurance Category Code]]&amp;"; "&amp;Q1033&amp;AS[[#This Row],[Large Provider Entity Code]]&amp;"; "&amp;R1033&amp;AS[[#This Row],[Age Band Code]]&amp;"; "&amp;S1033&amp;AS[[#This Row],[Sex Code]]</f>
        <v xml:space="preserve">Insurer Code ; Reporting Year ; Insurance Category Code ; Large Provider Entity Code ; Age Band Code ; Sex Code </v>
      </c>
      <c r="N1033" s="345" t="s">
        <v>207</v>
      </c>
      <c r="O1033" s="345" t="s">
        <v>208</v>
      </c>
      <c r="P1033" s="345" t="s">
        <v>209</v>
      </c>
      <c r="Q1033" s="345" t="s">
        <v>210</v>
      </c>
      <c r="R1033" s="345" t="s">
        <v>223</v>
      </c>
      <c r="S1033" s="345" t="s">
        <v>224</v>
      </c>
    </row>
    <row r="1034" spans="1:19" x14ac:dyDescent="0.25">
      <c r="A1034" s="311"/>
      <c r="B1034" s="312"/>
      <c r="C1034" s="312"/>
      <c r="D1034" s="312"/>
      <c r="E1034" s="312"/>
      <c r="F1034" s="312"/>
      <c r="G1034" s="328"/>
      <c r="H1034" s="337"/>
      <c r="I1034" s="334"/>
      <c r="J1034" s="314"/>
      <c r="K1034" s="449"/>
      <c r="M1034" s="349" t="str">
        <f>N1034&amp;AS[[#This Row],[Insurer Code]]&amp;"; "&amp;O1034&amp;AS[[#This Row],[Reporting Year]]&amp;"; "&amp;P1034&amp;AS[[#This Row],[Insurance Category Code]]&amp;"; "&amp;Q1034&amp;AS[[#This Row],[Large Provider Entity Code]]&amp;"; "&amp;R1034&amp;AS[[#This Row],[Age Band Code]]&amp;"; "&amp;S1034&amp;AS[[#This Row],[Sex Code]]</f>
        <v xml:space="preserve">Insurer Code ; Reporting Year ; Insurance Category Code ; Large Provider Entity Code ; Age Band Code ; Sex Code </v>
      </c>
      <c r="N1034" s="345" t="s">
        <v>207</v>
      </c>
      <c r="O1034" s="345" t="s">
        <v>208</v>
      </c>
      <c r="P1034" s="345" t="s">
        <v>209</v>
      </c>
      <c r="Q1034" s="345" t="s">
        <v>210</v>
      </c>
      <c r="R1034" s="345" t="s">
        <v>223</v>
      </c>
      <c r="S1034" s="345" t="s">
        <v>224</v>
      </c>
    </row>
    <row r="1035" spans="1:19" x14ac:dyDescent="0.25">
      <c r="A1035" s="311"/>
      <c r="B1035" s="312"/>
      <c r="C1035" s="312"/>
      <c r="D1035" s="312"/>
      <c r="E1035" s="312"/>
      <c r="F1035" s="312"/>
      <c r="G1035" s="328"/>
      <c r="H1035" s="337"/>
      <c r="I1035" s="334"/>
      <c r="J1035" s="314"/>
      <c r="K1035" s="449"/>
      <c r="M1035" s="349" t="str">
        <f>N1035&amp;AS[[#This Row],[Insurer Code]]&amp;"; "&amp;O1035&amp;AS[[#This Row],[Reporting Year]]&amp;"; "&amp;P1035&amp;AS[[#This Row],[Insurance Category Code]]&amp;"; "&amp;Q1035&amp;AS[[#This Row],[Large Provider Entity Code]]&amp;"; "&amp;R1035&amp;AS[[#This Row],[Age Band Code]]&amp;"; "&amp;S1035&amp;AS[[#This Row],[Sex Code]]</f>
        <v xml:space="preserve">Insurer Code ; Reporting Year ; Insurance Category Code ; Large Provider Entity Code ; Age Band Code ; Sex Code </v>
      </c>
      <c r="N1035" s="345" t="s">
        <v>207</v>
      </c>
      <c r="O1035" s="345" t="s">
        <v>208</v>
      </c>
      <c r="P1035" s="345" t="s">
        <v>209</v>
      </c>
      <c r="Q1035" s="345" t="s">
        <v>210</v>
      </c>
      <c r="R1035" s="345" t="s">
        <v>223</v>
      </c>
      <c r="S1035" s="345" t="s">
        <v>224</v>
      </c>
    </row>
    <row r="1036" spans="1:19" x14ac:dyDescent="0.25">
      <c r="A1036" s="311"/>
      <c r="B1036" s="312"/>
      <c r="C1036" s="312"/>
      <c r="D1036" s="312"/>
      <c r="E1036" s="312"/>
      <c r="F1036" s="312"/>
      <c r="G1036" s="328"/>
      <c r="H1036" s="337"/>
      <c r="I1036" s="334"/>
      <c r="J1036" s="314"/>
      <c r="K1036" s="449"/>
      <c r="M1036" s="349" t="str">
        <f>N1036&amp;AS[[#This Row],[Insurer Code]]&amp;"; "&amp;O1036&amp;AS[[#This Row],[Reporting Year]]&amp;"; "&amp;P1036&amp;AS[[#This Row],[Insurance Category Code]]&amp;"; "&amp;Q1036&amp;AS[[#This Row],[Large Provider Entity Code]]&amp;"; "&amp;R1036&amp;AS[[#This Row],[Age Band Code]]&amp;"; "&amp;S1036&amp;AS[[#This Row],[Sex Code]]</f>
        <v xml:space="preserve">Insurer Code ; Reporting Year ; Insurance Category Code ; Large Provider Entity Code ; Age Band Code ; Sex Code </v>
      </c>
      <c r="N1036" s="345" t="s">
        <v>207</v>
      </c>
      <c r="O1036" s="345" t="s">
        <v>208</v>
      </c>
      <c r="P1036" s="345" t="s">
        <v>209</v>
      </c>
      <c r="Q1036" s="345" t="s">
        <v>210</v>
      </c>
      <c r="R1036" s="345" t="s">
        <v>223</v>
      </c>
      <c r="S1036" s="345" t="s">
        <v>224</v>
      </c>
    </row>
    <row r="1037" spans="1:19" x14ac:dyDescent="0.25">
      <c r="A1037" s="311"/>
      <c r="B1037" s="312"/>
      <c r="C1037" s="312"/>
      <c r="D1037" s="312"/>
      <c r="E1037" s="312"/>
      <c r="F1037" s="312"/>
      <c r="G1037" s="328"/>
      <c r="H1037" s="337"/>
      <c r="I1037" s="334"/>
      <c r="J1037" s="314"/>
      <c r="K1037" s="449"/>
      <c r="M1037" s="349" t="str">
        <f>N1037&amp;AS[[#This Row],[Insurer Code]]&amp;"; "&amp;O1037&amp;AS[[#This Row],[Reporting Year]]&amp;"; "&amp;P1037&amp;AS[[#This Row],[Insurance Category Code]]&amp;"; "&amp;Q1037&amp;AS[[#This Row],[Large Provider Entity Code]]&amp;"; "&amp;R1037&amp;AS[[#This Row],[Age Band Code]]&amp;"; "&amp;S1037&amp;AS[[#This Row],[Sex Code]]</f>
        <v xml:space="preserve">Insurer Code ; Reporting Year ; Insurance Category Code ; Large Provider Entity Code ; Age Band Code ; Sex Code </v>
      </c>
      <c r="N1037" s="345" t="s">
        <v>207</v>
      </c>
      <c r="O1037" s="345" t="s">
        <v>208</v>
      </c>
      <c r="P1037" s="345" t="s">
        <v>209</v>
      </c>
      <c r="Q1037" s="345" t="s">
        <v>210</v>
      </c>
      <c r="R1037" s="345" t="s">
        <v>223</v>
      </c>
      <c r="S1037" s="345" t="s">
        <v>224</v>
      </c>
    </row>
    <row r="1038" spans="1:19" x14ac:dyDescent="0.25">
      <c r="A1038" s="311"/>
      <c r="B1038" s="312"/>
      <c r="C1038" s="312"/>
      <c r="D1038" s="312"/>
      <c r="E1038" s="312"/>
      <c r="F1038" s="312"/>
      <c r="G1038" s="328"/>
      <c r="H1038" s="337"/>
      <c r="I1038" s="334"/>
      <c r="J1038" s="314"/>
      <c r="K1038" s="449"/>
      <c r="M1038" s="349" t="str">
        <f>N1038&amp;AS[[#This Row],[Insurer Code]]&amp;"; "&amp;O1038&amp;AS[[#This Row],[Reporting Year]]&amp;"; "&amp;P1038&amp;AS[[#This Row],[Insurance Category Code]]&amp;"; "&amp;Q1038&amp;AS[[#This Row],[Large Provider Entity Code]]&amp;"; "&amp;R1038&amp;AS[[#This Row],[Age Band Code]]&amp;"; "&amp;S1038&amp;AS[[#This Row],[Sex Code]]</f>
        <v xml:space="preserve">Insurer Code ; Reporting Year ; Insurance Category Code ; Large Provider Entity Code ; Age Band Code ; Sex Code </v>
      </c>
      <c r="N1038" s="345" t="s">
        <v>207</v>
      </c>
      <c r="O1038" s="345" t="s">
        <v>208</v>
      </c>
      <c r="P1038" s="345" t="s">
        <v>209</v>
      </c>
      <c r="Q1038" s="345" t="s">
        <v>210</v>
      </c>
      <c r="R1038" s="345" t="s">
        <v>223</v>
      </c>
      <c r="S1038" s="345" t="s">
        <v>224</v>
      </c>
    </row>
    <row r="1039" spans="1:19" x14ac:dyDescent="0.25">
      <c r="A1039" s="311"/>
      <c r="B1039" s="312"/>
      <c r="C1039" s="312"/>
      <c r="D1039" s="312"/>
      <c r="E1039" s="312"/>
      <c r="F1039" s="312"/>
      <c r="G1039" s="328"/>
      <c r="H1039" s="337"/>
      <c r="I1039" s="334"/>
      <c r="J1039" s="314"/>
      <c r="K1039" s="449"/>
      <c r="M1039" s="349" t="str">
        <f>N1039&amp;AS[[#This Row],[Insurer Code]]&amp;"; "&amp;O1039&amp;AS[[#This Row],[Reporting Year]]&amp;"; "&amp;P1039&amp;AS[[#This Row],[Insurance Category Code]]&amp;"; "&amp;Q1039&amp;AS[[#This Row],[Large Provider Entity Code]]&amp;"; "&amp;R1039&amp;AS[[#This Row],[Age Band Code]]&amp;"; "&amp;S1039&amp;AS[[#This Row],[Sex Code]]</f>
        <v xml:space="preserve">Insurer Code ; Reporting Year ; Insurance Category Code ; Large Provider Entity Code ; Age Band Code ; Sex Code </v>
      </c>
      <c r="N1039" s="345" t="s">
        <v>207</v>
      </c>
      <c r="O1039" s="345" t="s">
        <v>208</v>
      </c>
      <c r="P1039" s="345" t="s">
        <v>209</v>
      </c>
      <c r="Q1039" s="345" t="s">
        <v>210</v>
      </c>
      <c r="R1039" s="345" t="s">
        <v>223</v>
      </c>
      <c r="S1039" s="345" t="s">
        <v>224</v>
      </c>
    </row>
    <row r="1040" spans="1:19" x14ac:dyDescent="0.25">
      <c r="A1040" s="311"/>
      <c r="B1040" s="312"/>
      <c r="C1040" s="312"/>
      <c r="D1040" s="312"/>
      <c r="E1040" s="312"/>
      <c r="F1040" s="312"/>
      <c r="G1040" s="328"/>
      <c r="H1040" s="337"/>
      <c r="I1040" s="334"/>
      <c r="J1040" s="314"/>
      <c r="K1040" s="449"/>
      <c r="M1040" s="349" t="str">
        <f>N1040&amp;AS[[#This Row],[Insurer Code]]&amp;"; "&amp;O1040&amp;AS[[#This Row],[Reporting Year]]&amp;"; "&amp;P1040&amp;AS[[#This Row],[Insurance Category Code]]&amp;"; "&amp;Q1040&amp;AS[[#This Row],[Large Provider Entity Code]]&amp;"; "&amp;R1040&amp;AS[[#This Row],[Age Band Code]]&amp;"; "&amp;S1040&amp;AS[[#This Row],[Sex Code]]</f>
        <v xml:space="preserve">Insurer Code ; Reporting Year ; Insurance Category Code ; Large Provider Entity Code ; Age Band Code ; Sex Code </v>
      </c>
      <c r="N1040" s="345" t="s">
        <v>207</v>
      </c>
      <c r="O1040" s="345" t="s">
        <v>208</v>
      </c>
      <c r="P1040" s="345" t="s">
        <v>209</v>
      </c>
      <c r="Q1040" s="345" t="s">
        <v>210</v>
      </c>
      <c r="R1040" s="345" t="s">
        <v>223</v>
      </c>
      <c r="S1040" s="345" t="s">
        <v>224</v>
      </c>
    </row>
    <row r="1041" spans="1:19" x14ac:dyDescent="0.25">
      <c r="A1041" s="311"/>
      <c r="B1041" s="312"/>
      <c r="C1041" s="312"/>
      <c r="D1041" s="312"/>
      <c r="E1041" s="312"/>
      <c r="F1041" s="312"/>
      <c r="G1041" s="328"/>
      <c r="H1041" s="337"/>
      <c r="I1041" s="334"/>
      <c r="J1041" s="314"/>
      <c r="K1041" s="449"/>
      <c r="M1041" s="349" t="str">
        <f>N1041&amp;AS[[#This Row],[Insurer Code]]&amp;"; "&amp;O1041&amp;AS[[#This Row],[Reporting Year]]&amp;"; "&amp;P1041&amp;AS[[#This Row],[Insurance Category Code]]&amp;"; "&amp;Q1041&amp;AS[[#This Row],[Large Provider Entity Code]]&amp;"; "&amp;R1041&amp;AS[[#This Row],[Age Band Code]]&amp;"; "&amp;S1041&amp;AS[[#This Row],[Sex Code]]</f>
        <v xml:space="preserve">Insurer Code ; Reporting Year ; Insurance Category Code ; Large Provider Entity Code ; Age Band Code ; Sex Code </v>
      </c>
      <c r="N1041" s="345" t="s">
        <v>207</v>
      </c>
      <c r="O1041" s="345" t="s">
        <v>208</v>
      </c>
      <c r="P1041" s="345" t="s">
        <v>209</v>
      </c>
      <c r="Q1041" s="345" t="s">
        <v>210</v>
      </c>
      <c r="R1041" s="345" t="s">
        <v>223</v>
      </c>
      <c r="S1041" s="345" t="s">
        <v>224</v>
      </c>
    </row>
    <row r="1042" spans="1:19" x14ac:dyDescent="0.25">
      <c r="A1042" s="311"/>
      <c r="B1042" s="312"/>
      <c r="C1042" s="312"/>
      <c r="D1042" s="312"/>
      <c r="E1042" s="312"/>
      <c r="F1042" s="312"/>
      <c r="G1042" s="328"/>
      <c r="H1042" s="337"/>
      <c r="I1042" s="334"/>
      <c r="J1042" s="314"/>
      <c r="K1042" s="449"/>
      <c r="M1042" s="349" t="str">
        <f>N1042&amp;AS[[#This Row],[Insurer Code]]&amp;"; "&amp;O1042&amp;AS[[#This Row],[Reporting Year]]&amp;"; "&amp;P1042&amp;AS[[#This Row],[Insurance Category Code]]&amp;"; "&amp;Q1042&amp;AS[[#This Row],[Large Provider Entity Code]]&amp;"; "&amp;R1042&amp;AS[[#This Row],[Age Band Code]]&amp;"; "&amp;S1042&amp;AS[[#This Row],[Sex Code]]</f>
        <v xml:space="preserve">Insurer Code ; Reporting Year ; Insurance Category Code ; Large Provider Entity Code ; Age Band Code ; Sex Code </v>
      </c>
      <c r="N1042" s="345" t="s">
        <v>207</v>
      </c>
      <c r="O1042" s="345" t="s">
        <v>208</v>
      </c>
      <c r="P1042" s="345" t="s">
        <v>209</v>
      </c>
      <c r="Q1042" s="345" t="s">
        <v>210</v>
      </c>
      <c r="R1042" s="345" t="s">
        <v>223</v>
      </c>
      <c r="S1042" s="345" t="s">
        <v>224</v>
      </c>
    </row>
    <row r="1043" spans="1:19" x14ac:dyDescent="0.25">
      <c r="A1043" s="311"/>
      <c r="B1043" s="312"/>
      <c r="C1043" s="312"/>
      <c r="D1043" s="312"/>
      <c r="E1043" s="312"/>
      <c r="F1043" s="312"/>
      <c r="G1043" s="328"/>
      <c r="H1043" s="337"/>
      <c r="I1043" s="334"/>
      <c r="J1043" s="314"/>
      <c r="K1043" s="449"/>
      <c r="M1043" s="349" t="str">
        <f>N1043&amp;AS[[#This Row],[Insurer Code]]&amp;"; "&amp;O1043&amp;AS[[#This Row],[Reporting Year]]&amp;"; "&amp;P1043&amp;AS[[#This Row],[Insurance Category Code]]&amp;"; "&amp;Q1043&amp;AS[[#This Row],[Large Provider Entity Code]]&amp;"; "&amp;R1043&amp;AS[[#This Row],[Age Band Code]]&amp;"; "&amp;S1043&amp;AS[[#This Row],[Sex Code]]</f>
        <v xml:space="preserve">Insurer Code ; Reporting Year ; Insurance Category Code ; Large Provider Entity Code ; Age Band Code ; Sex Code </v>
      </c>
      <c r="N1043" s="345" t="s">
        <v>207</v>
      </c>
      <c r="O1043" s="345" t="s">
        <v>208</v>
      </c>
      <c r="P1043" s="345" t="s">
        <v>209</v>
      </c>
      <c r="Q1043" s="345" t="s">
        <v>210</v>
      </c>
      <c r="R1043" s="345" t="s">
        <v>223</v>
      </c>
      <c r="S1043" s="345" t="s">
        <v>224</v>
      </c>
    </row>
    <row r="1044" spans="1:19" x14ac:dyDescent="0.25">
      <c r="A1044" s="311"/>
      <c r="B1044" s="312"/>
      <c r="C1044" s="312"/>
      <c r="D1044" s="312"/>
      <c r="E1044" s="312"/>
      <c r="F1044" s="312"/>
      <c r="G1044" s="328"/>
      <c r="H1044" s="337"/>
      <c r="I1044" s="334"/>
      <c r="J1044" s="314"/>
      <c r="K1044" s="449"/>
      <c r="M1044" s="349" t="str">
        <f>N1044&amp;AS[[#This Row],[Insurer Code]]&amp;"; "&amp;O1044&amp;AS[[#This Row],[Reporting Year]]&amp;"; "&amp;P1044&amp;AS[[#This Row],[Insurance Category Code]]&amp;"; "&amp;Q1044&amp;AS[[#This Row],[Large Provider Entity Code]]&amp;"; "&amp;R1044&amp;AS[[#This Row],[Age Band Code]]&amp;"; "&amp;S1044&amp;AS[[#This Row],[Sex Code]]</f>
        <v xml:space="preserve">Insurer Code ; Reporting Year ; Insurance Category Code ; Large Provider Entity Code ; Age Band Code ; Sex Code </v>
      </c>
      <c r="N1044" s="345" t="s">
        <v>207</v>
      </c>
      <c r="O1044" s="345" t="s">
        <v>208</v>
      </c>
      <c r="P1044" s="345" t="s">
        <v>209</v>
      </c>
      <c r="Q1044" s="345" t="s">
        <v>210</v>
      </c>
      <c r="R1044" s="345" t="s">
        <v>223</v>
      </c>
      <c r="S1044" s="345" t="s">
        <v>224</v>
      </c>
    </row>
    <row r="1045" spans="1:19" x14ac:dyDescent="0.25">
      <c r="A1045" s="311"/>
      <c r="B1045" s="312"/>
      <c r="C1045" s="312"/>
      <c r="D1045" s="312"/>
      <c r="E1045" s="312"/>
      <c r="F1045" s="312"/>
      <c r="G1045" s="328"/>
      <c r="H1045" s="337"/>
      <c r="I1045" s="334"/>
      <c r="J1045" s="314"/>
      <c r="K1045" s="449"/>
      <c r="M1045" s="349" t="str">
        <f>N1045&amp;AS[[#This Row],[Insurer Code]]&amp;"; "&amp;O1045&amp;AS[[#This Row],[Reporting Year]]&amp;"; "&amp;P1045&amp;AS[[#This Row],[Insurance Category Code]]&amp;"; "&amp;Q1045&amp;AS[[#This Row],[Large Provider Entity Code]]&amp;"; "&amp;R1045&amp;AS[[#This Row],[Age Band Code]]&amp;"; "&amp;S1045&amp;AS[[#This Row],[Sex Code]]</f>
        <v xml:space="preserve">Insurer Code ; Reporting Year ; Insurance Category Code ; Large Provider Entity Code ; Age Band Code ; Sex Code </v>
      </c>
      <c r="N1045" s="345" t="s">
        <v>207</v>
      </c>
      <c r="O1045" s="345" t="s">
        <v>208</v>
      </c>
      <c r="P1045" s="345" t="s">
        <v>209</v>
      </c>
      <c r="Q1045" s="345" t="s">
        <v>210</v>
      </c>
      <c r="R1045" s="345" t="s">
        <v>223</v>
      </c>
      <c r="S1045" s="345" t="s">
        <v>224</v>
      </c>
    </row>
    <row r="1046" spans="1:19" x14ac:dyDescent="0.25">
      <c r="A1046" s="311"/>
      <c r="B1046" s="312"/>
      <c r="C1046" s="312"/>
      <c r="D1046" s="312"/>
      <c r="E1046" s="312"/>
      <c r="F1046" s="312"/>
      <c r="G1046" s="328"/>
      <c r="H1046" s="337"/>
      <c r="I1046" s="334"/>
      <c r="J1046" s="314"/>
      <c r="K1046" s="449"/>
      <c r="M1046" s="349" t="str">
        <f>N1046&amp;AS[[#This Row],[Insurer Code]]&amp;"; "&amp;O1046&amp;AS[[#This Row],[Reporting Year]]&amp;"; "&amp;P1046&amp;AS[[#This Row],[Insurance Category Code]]&amp;"; "&amp;Q1046&amp;AS[[#This Row],[Large Provider Entity Code]]&amp;"; "&amp;R1046&amp;AS[[#This Row],[Age Band Code]]&amp;"; "&amp;S1046&amp;AS[[#This Row],[Sex Code]]</f>
        <v xml:space="preserve">Insurer Code ; Reporting Year ; Insurance Category Code ; Large Provider Entity Code ; Age Band Code ; Sex Code </v>
      </c>
      <c r="N1046" s="345" t="s">
        <v>207</v>
      </c>
      <c r="O1046" s="345" t="s">
        <v>208</v>
      </c>
      <c r="P1046" s="345" t="s">
        <v>209</v>
      </c>
      <c r="Q1046" s="345" t="s">
        <v>210</v>
      </c>
      <c r="R1046" s="345" t="s">
        <v>223</v>
      </c>
      <c r="S1046" s="345" t="s">
        <v>224</v>
      </c>
    </row>
    <row r="1047" spans="1:19" x14ac:dyDescent="0.25">
      <c r="A1047" s="311"/>
      <c r="B1047" s="312"/>
      <c r="C1047" s="312"/>
      <c r="D1047" s="312"/>
      <c r="E1047" s="312"/>
      <c r="F1047" s="312"/>
      <c r="G1047" s="328"/>
      <c r="H1047" s="337"/>
      <c r="I1047" s="334"/>
      <c r="J1047" s="314"/>
      <c r="K1047" s="449"/>
      <c r="M1047" s="349" t="str">
        <f>N1047&amp;AS[[#This Row],[Insurer Code]]&amp;"; "&amp;O1047&amp;AS[[#This Row],[Reporting Year]]&amp;"; "&amp;P1047&amp;AS[[#This Row],[Insurance Category Code]]&amp;"; "&amp;Q1047&amp;AS[[#This Row],[Large Provider Entity Code]]&amp;"; "&amp;R1047&amp;AS[[#This Row],[Age Band Code]]&amp;"; "&amp;S1047&amp;AS[[#This Row],[Sex Code]]</f>
        <v xml:space="preserve">Insurer Code ; Reporting Year ; Insurance Category Code ; Large Provider Entity Code ; Age Band Code ; Sex Code </v>
      </c>
      <c r="N1047" s="345" t="s">
        <v>207</v>
      </c>
      <c r="O1047" s="345" t="s">
        <v>208</v>
      </c>
      <c r="P1047" s="345" t="s">
        <v>209</v>
      </c>
      <c r="Q1047" s="345" t="s">
        <v>210</v>
      </c>
      <c r="R1047" s="345" t="s">
        <v>223</v>
      </c>
      <c r="S1047" s="345" t="s">
        <v>224</v>
      </c>
    </row>
    <row r="1048" spans="1:19" x14ac:dyDescent="0.25">
      <c r="A1048" s="311"/>
      <c r="B1048" s="312"/>
      <c r="C1048" s="312"/>
      <c r="D1048" s="312"/>
      <c r="E1048" s="312"/>
      <c r="F1048" s="312"/>
      <c r="G1048" s="328"/>
      <c r="H1048" s="337"/>
      <c r="I1048" s="334"/>
      <c r="J1048" s="314"/>
      <c r="K1048" s="449"/>
      <c r="M1048" s="349" t="str">
        <f>N1048&amp;AS[[#This Row],[Insurer Code]]&amp;"; "&amp;O1048&amp;AS[[#This Row],[Reporting Year]]&amp;"; "&amp;P1048&amp;AS[[#This Row],[Insurance Category Code]]&amp;"; "&amp;Q1048&amp;AS[[#This Row],[Large Provider Entity Code]]&amp;"; "&amp;R1048&amp;AS[[#This Row],[Age Band Code]]&amp;"; "&amp;S1048&amp;AS[[#This Row],[Sex Code]]</f>
        <v xml:space="preserve">Insurer Code ; Reporting Year ; Insurance Category Code ; Large Provider Entity Code ; Age Band Code ; Sex Code </v>
      </c>
      <c r="N1048" s="345" t="s">
        <v>207</v>
      </c>
      <c r="O1048" s="345" t="s">
        <v>208</v>
      </c>
      <c r="P1048" s="345" t="s">
        <v>209</v>
      </c>
      <c r="Q1048" s="345" t="s">
        <v>210</v>
      </c>
      <c r="R1048" s="345" t="s">
        <v>223</v>
      </c>
      <c r="S1048" s="345" t="s">
        <v>224</v>
      </c>
    </row>
    <row r="1049" spans="1:19" x14ac:dyDescent="0.25">
      <c r="A1049" s="311"/>
      <c r="B1049" s="312"/>
      <c r="C1049" s="312"/>
      <c r="D1049" s="312"/>
      <c r="E1049" s="312"/>
      <c r="F1049" s="312"/>
      <c r="G1049" s="328"/>
      <c r="H1049" s="337"/>
      <c r="I1049" s="334"/>
      <c r="J1049" s="314"/>
      <c r="K1049" s="449"/>
      <c r="M1049" s="349" t="str">
        <f>N1049&amp;AS[[#This Row],[Insurer Code]]&amp;"; "&amp;O1049&amp;AS[[#This Row],[Reporting Year]]&amp;"; "&amp;P1049&amp;AS[[#This Row],[Insurance Category Code]]&amp;"; "&amp;Q1049&amp;AS[[#This Row],[Large Provider Entity Code]]&amp;"; "&amp;R1049&amp;AS[[#This Row],[Age Band Code]]&amp;"; "&amp;S1049&amp;AS[[#This Row],[Sex Code]]</f>
        <v xml:space="preserve">Insurer Code ; Reporting Year ; Insurance Category Code ; Large Provider Entity Code ; Age Band Code ; Sex Code </v>
      </c>
      <c r="N1049" s="345" t="s">
        <v>207</v>
      </c>
      <c r="O1049" s="345" t="s">
        <v>208</v>
      </c>
      <c r="P1049" s="345" t="s">
        <v>209</v>
      </c>
      <c r="Q1049" s="345" t="s">
        <v>210</v>
      </c>
      <c r="R1049" s="345" t="s">
        <v>223</v>
      </c>
      <c r="S1049" s="345" t="s">
        <v>224</v>
      </c>
    </row>
    <row r="1050" spans="1:19" x14ac:dyDescent="0.25">
      <c r="A1050" s="311"/>
      <c r="B1050" s="312"/>
      <c r="C1050" s="312"/>
      <c r="D1050" s="312"/>
      <c r="E1050" s="312"/>
      <c r="F1050" s="312"/>
      <c r="G1050" s="328"/>
      <c r="H1050" s="337"/>
      <c r="I1050" s="334"/>
      <c r="J1050" s="314"/>
      <c r="K1050" s="449"/>
      <c r="M1050" s="349" t="str">
        <f>N1050&amp;AS[[#This Row],[Insurer Code]]&amp;"; "&amp;O1050&amp;AS[[#This Row],[Reporting Year]]&amp;"; "&amp;P1050&amp;AS[[#This Row],[Insurance Category Code]]&amp;"; "&amp;Q1050&amp;AS[[#This Row],[Large Provider Entity Code]]&amp;"; "&amp;R1050&amp;AS[[#This Row],[Age Band Code]]&amp;"; "&amp;S1050&amp;AS[[#This Row],[Sex Code]]</f>
        <v xml:space="preserve">Insurer Code ; Reporting Year ; Insurance Category Code ; Large Provider Entity Code ; Age Band Code ; Sex Code </v>
      </c>
      <c r="N1050" s="345" t="s">
        <v>207</v>
      </c>
      <c r="O1050" s="345" t="s">
        <v>208</v>
      </c>
      <c r="P1050" s="345" t="s">
        <v>209</v>
      </c>
      <c r="Q1050" s="345" t="s">
        <v>210</v>
      </c>
      <c r="R1050" s="345" t="s">
        <v>223</v>
      </c>
      <c r="S1050" s="345" t="s">
        <v>224</v>
      </c>
    </row>
    <row r="1051" spans="1:19" x14ac:dyDescent="0.25">
      <c r="A1051" s="311"/>
      <c r="B1051" s="312"/>
      <c r="C1051" s="312"/>
      <c r="D1051" s="312"/>
      <c r="E1051" s="312"/>
      <c r="F1051" s="312"/>
      <c r="G1051" s="328"/>
      <c r="H1051" s="337"/>
      <c r="I1051" s="334"/>
      <c r="J1051" s="314"/>
      <c r="K1051" s="449"/>
      <c r="M1051" s="349" t="str">
        <f>N1051&amp;AS[[#This Row],[Insurer Code]]&amp;"; "&amp;O1051&amp;AS[[#This Row],[Reporting Year]]&amp;"; "&amp;P1051&amp;AS[[#This Row],[Insurance Category Code]]&amp;"; "&amp;Q1051&amp;AS[[#This Row],[Large Provider Entity Code]]&amp;"; "&amp;R1051&amp;AS[[#This Row],[Age Band Code]]&amp;"; "&amp;S1051&amp;AS[[#This Row],[Sex Code]]</f>
        <v xml:space="preserve">Insurer Code ; Reporting Year ; Insurance Category Code ; Large Provider Entity Code ; Age Band Code ; Sex Code </v>
      </c>
      <c r="N1051" s="345" t="s">
        <v>207</v>
      </c>
      <c r="O1051" s="345" t="s">
        <v>208</v>
      </c>
      <c r="P1051" s="345" t="s">
        <v>209</v>
      </c>
      <c r="Q1051" s="345" t="s">
        <v>210</v>
      </c>
      <c r="R1051" s="345" t="s">
        <v>223</v>
      </c>
      <c r="S1051" s="345" t="s">
        <v>224</v>
      </c>
    </row>
    <row r="1052" spans="1:19" x14ac:dyDescent="0.25">
      <c r="A1052" s="311"/>
      <c r="B1052" s="312"/>
      <c r="C1052" s="312"/>
      <c r="D1052" s="312"/>
      <c r="E1052" s="312"/>
      <c r="F1052" s="312"/>
      <c r="G1052" s="328"/>
      <c r="H1052" s="337"/>
      <c r="I1052" s="334"/>
      <c r="J1052" s="314"/>
      <c r="K1052" s="449"/>
      <c r="M1052" s="349" t="str">
        <f>N1052&amp;AS[[#This Row],[Insurer Code]]&amp;"; "&amp;O1052&amp;AS[[#This Row],[Reporting Year]]&amp;"; "&amp;P1052&amp;AS[[#This Row],[Insurance Category Code]]&amp;"; "&amp;Q1052&amp;AS[[#This Row],[Large Provider Entity Code]]&amp;"; "&amp;R1052&amp;AS[[#This Row],[Age Band Code]]&amp;"; "&amp;S1052&amp;AS[[#This Row],[Sex Code]]</f>
        <v xml:space="preserve">Insurer Code ; Reporting Year ; Insurance Category Code ; Large Provider Entity Code ; Age Band Code ; Sex Code </v>
      </c>
      <c r="N1052" s="345" t="s">
        <v>207</v>
      </c>
      <c r="O1052" s="345" t="s">
        <v>208</v>
      </c>
      <c r="P1052" s="345" t="s">
        <v>209</v>
      </c>
      <c r="Q1052" s="345" t="s">
        <v>210</v>
      </c>
      <c r="R1052" s="345" t="s">
        <v>223</v>
      </c>
      <c r="S1052" s="345" t="s">
        <v>224</v>
      </c>
    </row>
    <row r="1053" spans="1:19" x14ac:dyDescent="0.25">
      <c r="A1053" s="311"/>
      <c r="B1053" s="312"/>
      <c r="C1053" s="312"/>
      <c r="D1053" s="312"/>
      <c r="E1053" s="312"/>
      <c r="F1053" s="312"/>
      <c r="G1053" s="328"/>
      <c r="H1053" s="337"/>
      <c r="I1053" s="334"/>
      <c r="J1053" s="314"/>
      <c r="K1053" s="449"/>
      <c r="M1053" s="349" t="str">
        <f>N1053&amp;AS[[#This Row],[Insurer Code]]&amp;"; "&amp;O1053&amp;AS[[#This Row],[Reporting Year]]&amp;"; "&amp;P1053&amp;AS[[#This Row],[Insurance Category Code]]&amp;"; "&amp;Q1053&amp;AS[[#This Row],[Large Provider Entity Code]]&amp;"; "&amp;R1053&amp;AS[[#This Row],[Age Band Code]]&amp;"; "&amp;S1053&amp;AS[[#This Row],[Sex Code]]</f>
        <v xml:space="preserve">Insurer Code ; Reporting Year ; Insurance Category Code ; Large Provider Entity Code ; Age Band Code ; Sex Code </v>
      </c>
      <c r="N1053" s="345" t="s">
        <v>207</v>
      </c>
      <c r="O1053" s="345" t="s">
        <v>208</v>
      </c>
      <c r="P1053" s="345" t="s">
        <v>209</v>
      </c>
      <c r="Q1053" s="345" t="s">
        <v>210</v>
      </c>
      <c r="R1053" s="345" t="s">
        <v>223</v>
      </c>
      <c r="S1053" s="345" t="s">
        <v>224</v>
      </c>
    </row>
    <row r="1054" spans="1:19" x14ac:dyDescent="0.25">
      <c r="A1054" s="311"/>
      <c r="B1054" s="312"/>
      <c r="C1054" s="312"/>
      <c r="D1054" s="312"/>
      <c r="E1054" s="312"/>
      <c r="F1054" s="312"/>
      <c r="G1054" s="328"/>
      <c r="H1054" s="337"/>
      <c r="I1054" s="334"/>
      <c r="J1054" s="314"/>
      <c r="K1054" s="449"/>
      <c r="M1054" s="349" t="str">
        <f>N1054&amp;AS[[#This Row],[Insurer Code]]&amp;"; "&amp;O1054&amp;AS[[#This Row],[Reporting Year]]&amp;"; "&amp;P1054&amp;AS[[#This Row],[Insurance Category Code]]&amp;"; "&amp;Q1054&amp;AS[[#This Row],[Large Provider Entity Code]]&amp;"; "&amp;R1054&amp;AS[[#This Row],[Age Band Code]]&amp;"; "&amp;S1054&amp;AS[[#This Row],[Sex Code]]</f>
        <v xml:space="preserve">Insurer Code ; Reporting Year ; Insurance Category Code ; Large Provider Entity Code ; Age Band Code ; Sex Code </v>
      </c>
      <c r="N1054" s="345" t="s">
        <v>207</v>
      </c>
      <c r="O1054" s="345" t="s">
        <v>208</v>
      </c>
      <c r="P1054" s="345" t="s">
        <v>209</v>
      </c>
      <c r="Q1054" s="345" t="s">
        <v>210</v>
      </c>
      <c r="R1054" s="345" t="s">
        <v>223</v>
      </c>
      <c r="S1054" s="345" t="s">
        <v>224</v>
      </c>
    </row>
    <row r="1055" spans="1:19" x14ac:dyDescent="0.25">
      <c r="A1055" s="311"/>
      <c r="B1055" s="312"/>
      <c r="C1055" s="312"/>
      <c r="D1055" s="312"/>
      <c r="E1055" s="312"/>
      <c r="F1055" s="312"/>
      <c r="G1055" s="328"/>
      <c r="H1055" s="337"/>
      <c r="I1055" s="334"/>
      <c r="J1055" s="314"/>
      <c r="K1055" s="449"/>
      <c r="M1055" s="349" t="str">
        <f>N1055&amp;AS[[#This Row],[Insurer Code]]&amp;"; "&amp;O1055&amp;AS[[#This Row],[Reporting Year]]&amp;"; "&amp;P1055&amp;AS[[#This Row],[Insurance Category Code]]&amp;"; "&amp;Q1055&amp;AS[[#This Row],[Large Provider Entity Code]]&amp;"; "&amp;R1055&amp;AS[[#This Row],[Age Band Code]]&amp;"; "&amp;S1055&amp;AS[[#This Row],[Sex Code]]</f>
        <v xml:space="preserve">Insurer Code ; Reporting Year ; Insurance Category Code ; Large Provider Entity Code ; Age Band Code ; Sex Code </v>
      </c>
      <c r="N1055" s="345" t="s">
        <v>207</v>
      </c>
      <c r="O1055" s="345" t="s">
        <v>208</v>
      </c>
      <c r="P1055" s="345" t="s">
        <v>209</v>
      </c>
      <c r="Q1055" s="345" t="s">
        <v>210</v>
      </c>
      <c r="R1055" s="345" t="s">
        <v>223</v>
      </c>
      <c r="S1055" s="345" t="s">
        <v>224</v>
      </c>
    </row>
    <row r="1056" spans="1:19" x14ac:dyDescent="0.25">
      <c r="A1056" s="311"/>
      <c r="B1056" s="312"/>
      <c r="C1056" s="312"/>
      <c r="D1056" s="312"/>
      <c r="E1056" s="312"/>
      <c r="F1056" s="312"/>
      <c r="G1056" s="328"/>
      <c r="H1056" s="337"/>
      <c r="I1056" s="334"/>
      <c r="J1056" s="314"/>
      <c r="K1056" s="449"/>
      <c r="M1056" s="349" t="str">
        <f>N1056&amp;AS[[#This Row],[Insurer Code]]&amp;"; "&amp;O1056&amp;AS[[#This Row],[Reporting Year]]&amp;"; "&amp;P1056&amp;AS[[#This Row],[Insurance Category Code]]&amp;"; "&amp;Q1056&amp;AS[[#This Row],[Large Provider Entity Code]]&amp;"; "&amp;R1056&amp;AS[[#This Row],[Age Band Code]]&amp;"; "&amp;S1056&amp;AS[[#This Row],[Sex Code]]</f>
        <v xml:space="preserve">Insurer Code ; Reporting Year ; Insurance Category Code ; Large Provider Entity Code ; Age Band Code ; Sex Code </v>
      </c>
      <c r="N1056" s="345" t="s">
        <v>207</v>
      </c>
      <c r="O1056" s="345" t="s">
        <v>208</v>
      </c>
      <c r="P1056" s="345" t="s">
        <v>209</v>
      </c>
      <c r="Q1056" s="345" t="s">
        <v>210</v>
      </c>
      <c r="R1056" s="345" t="s">
        <v>223</v>
      </c>
      <c r="S1056" s="345" t="s">
        <v>224</v>
      </c>
    </row>
    <row r="1057" spans="1:19" x14ac:dyDescent="0.25">
      <c r="A1057" s="311"/>
      <c r="B1057" s="312"/>
      <c r="C1057" s="312"/>
      <c r="D1057" s="312"/>
      <c r="E1057" s="312"/>
      <c r="F1057" s="312"/>
      <c r="G1057" s="328"/>
      <c r="H1057" s="337"/>
      <c r="I1057" s="334"/>
      <c r="J1057" s="314"/>
      <c r="K1057" s="449"/>
      <c r="M1057" s="349" t="str">
        <f>N1057&amp;AS[[#This Row],[Insurer Code]]&amp;"; "&amp;O1057&amp;AS[[#This Row],[Reporting Year]]&amp;"; "&amp;P1057&amp;AS[[#This Row],[Insurance Category Code]]&amp;"; "&amp;Q1057&amp;AS[[#This Row],[Large Provider Entity Code]]&amp;"; "&amp;R1057&amp;AS[[#This Row],[Age Band Code]]&amp;"; "&amp;S1057&amp;AS[[#This Row],[Sex Code]]</f>
        <v xml:space="preserve">Insurer Code ; Reporting Year ; Insurance Category Code ; Large Provider Entity Code ; Age Band Code ; Sex Code </v>
      </c>
      <c r="N1057" s="345" t="s">
        <v>207</v>
      </c>
      <c r="O1057" s="345" t="s">
        <v>208</v>
      </c>
      <c r="P1057" s="345" t="s">
        <v>209</v>
      </c>
      <c r="Q1057" s="345" t="s">
        <v>210</v>
      </c>
      <c r="R1057" s="345" t="s">
        <v>223</v>
      </c>
      <c r="S1057" s="345" t="s">
        <v>224</v>
      </c>
    </row>
    <row r="1058" spans="1:19" x14ac:dyDescent="0.25">
      <c r="A1058" s="311"/>
      <c r="B1058" s="312"/>
      <c r="C1058" s="312"/>
      <c r="D1058" s="312"/>
      <c r="E1058" s="312"/>
      <c r="F1058" s="312"/>
      <c r="G1058" s="328"/>
      <c r="H1058" s="337"/>
      <c r="I1058" s="334"/>
      <c r="J1058" s="314"/>
      <c r="K1058" s="449"/>
      <c r="M1058" s="349" t="str">
        <f>N1058&amp;AS[[#This Row],[Insurer Code]]&amp;"; "&amp;O1058&amp;AS[[#This Row],[Reporting Year]]&amp;"; "&amp;P1058&amp;AS[[#This Row],[Insurance Category Code]]&amp;"; "&amp;Q1058&amp;AS[[#This Row],[Large Provider Entity Code]]&amp;"; "&amp;R1058&amp;AS[[#This Row],[Age Band Code]]&amp;"; "&amp;S1058&amp;AS[[#This Row],[Sex Code]]</f>
        <v xml:space="preserve">Insurer Code ; Reporting Year ; Insurance Category Code ; Large Provider Entity Code ; Age Band Code ; Sex Code </v>
      </c>
      <c r="N1058" s="345" t="s">
        <v>207</v>
      </c>
      <c r="O1058" s="345" t="s">
        <v>208</v>
      </c>
      <c r="P1058" s="345" t="s">
        <v>209</v>
      </c>
      <c r="Q1058" s="345" t="s">
        <v>210</v>
      </c>
      <c r="R1058" s="345" t="s">
        <v>223</v>
      </c>
      <c r="S1058" s="345" t="s">
        <v>224</v>
      </c>
    </row>
    <row r="1059" spans="1:19" x14ac:dyDescent="0.25">
      <c r="A1059" s="311"/>
      <c r="B1059" s="312"/>
      <c r="C1059" s="312"/>
      <c r="D1059" s="312"/>
      <c r="E1059" s="312"/>
      <c r="F1059" s="312"/>
      <c r="G1059" s="328"/>
      <c r="H1059" s="337"/>
      <c r="I1059" s="334"/>
      <c r="J1059" s="314"/>
      <c r="K1059" s="449"/>
      <c r="M1059" s="349" t="str">
        <f>N1059&amp;AS[[#This Row],[Insurer Code]]&amp;"; "&amp;O1059&amp;AS[[#This Row],[Reporting Year]]&amp;"; "&amp;P1059&amp;AS[[#This Row],[Insurance Category Code]]&amp;"; "&amp;Q1059&amp;AS[[#This Row],[Large Provider Entity Code]]&amp;"; "&amp;R1059&amp;AS[[#This Row],[Age Band Code]]&amp;"; "&amp;S1059&amp;AS[[#This Row],[Sex Code]]</f>
        <v xml:space="preserve">Insurer Code ; Reporting Year ; Insurance Category Code ; Large Provider Entity Code ; Age Band Code ; Sex Code </v>
      </c>
      <c r="N1059" s="345" t="s">
        <v>207</v>
      </c>
      <c r="O1059" s="345" t="s">
        <v>208</v>
      </c>
      <c r="P1059" s="345" t="s">
        <v>209</v>
      </c>
      <c r="Q1059" s="345" t="s">
        <v>210</v>
      </c>
      <c r="R1059" s="345" t="s">
        <v>223</v>
      </c>
      <c r="S1059" s="345" t="s">
        <v>224</v>
      </c>
    </row>
    <row r="1060" spans="1:19" x14ac:dyDescent="0.25">
      <c r="A1060" s="311"/>
      <c r="B1060" s="312"/>
      <c r="C1060" s="312"/>
      <c r="D1060" s="312"/>
      <c r="E1060" s="312"/>
      <c r="F1060" s="312"/>
      <c r="G1060" s="328"/>
      <c r="H1060" s="337"/>
      <c r="I1060" s="334"/>
      <c r="J1060" s="314"/>
      <c r="K1060" s="449"/>
      <c r="M1060" s="349" t="str">
        <f>N1060&amp;AS[[#This Row],[Insurer Code]]&amp;"; "&amp;O1060&amp;AS[[#This Row],[Reporting Year]]&amp;"; "&amp;P1060&amp;AS[[#This Row],[Insurance Category Code]]&amp;"; "&amp;Q1060&amp;AS[[#This Row],[Large Provider Entity Code]]&amp;"; "&amp;R1060&amp;AS[[#This Row],[Age Band Code]]&amp;"; "&amp;S1060&amp;AS[[#This Row],[Sex Code]]</f>
        <v xml:space="preserve">Insurer Code ; Reporting Year ; Insurance Category Code ; Large Provider Entity Code ; Age Band Code ; Sex Code </v>
      </c>
      <c r="N1060" s="345" t="s">
        <v>207</v>
      </c>
      <c r="O1060" s="345" t="s">
        <v>208</v>
      </c>
      <c r="P1060" s="345" t="s">
        <v>209</v>
      </c>
      <c r="Q1060" s="345" t="s">
        <v>210</v>
      </c>
      <c r="R1060" s="345" t="s">
        <v>223</v>
      </c>
      <c r="S1060" s="345" t="s">
        <v>224</v>
      </c>
    </row>
    <row r="1061" spans="1:19" x14ac:dyDescent="0.25">
      <c r="A1061" s="311"/>
      <c r="B1061" s="312"/>
      <c r="C1061" s="312"/>
      <c r="D1061" s="312"/>
      <c r="E1061" s="312"/>
      <c r="F1061" s="312"/>
      <c r="G1061" s="328"/>
      <c r="H1061" s="337"/>
      <c r="I1061" s="334"/>
      <c r="J1061" s="314"/>
      <c r="K1061" s="449"/>
      <c r="M1061" s="349" t="str">
        <f>N1061&amp;AS[[#This Row],[Insurer Code]]&amp;"; "&amp;O1061&amp;AS[[#This Row],[Reporting Year]]&amp;"; "&amp;P1061&amp;AS[[#This Row],[Insurance Category Code]]&amp;"; "&amp;Q1061&amp;AS[[#This Row],[Large Provider Entity Code]]&amp;"; "&amp;R1061&amp;AS[[#This Row],[Age Band Code]]&amp;"; "&amp;S1061&amp;AS[[#This Row],[Sex Code]]</f>
        <v xml:space="preserve">Insurer Code ; Reporting Year ; Insurance Category Code ; Large Provider Entity Code ; Age Band Code ; Sex Code </v>
      </c>
      <c r="N1061" s="345" t="s">
        <v>207</v>
      </c>
      <c r="O1061" s="345" t="s">
        <v>208</v>
      </c>
      <c r="P1061" s="345" t="s">
        <v>209</v>
      </c>
      <c r="Q1061" s="345" t="s">
        <v>210</v>
      </c>
      <c r="R1061" s="345" t="s">
        <v>223</v>
      </c>
      <c r="S1061" s="345" t="s">
        <v>224</v>
      </c>
    </row>
    <row r="1062" spans="1:19" x14ac:dyDescent="0.25">
      <c r="A1062" s="311"/>
      <c r="B1062" s="312"/>
      <c r="C1062" s="312"/>
      <c r="D1062" s="312"/>
      <c r="E1062" s="312"/>
      <c r="F1062" s="312"/>
      <c r="G1062" s="328"/>
      <c r="H1062" s="337"/>
      <c r="I1062" s="334"/>
      <c r="J1062" s="314"/>
      <c r="K1062" s="449"/>
      <c r="M1062" s="349" t="str">
        <f>N1062&amp;AS[[#This Row],[Insurer Code]]&amp;"; "&amp;O1062&amp;AS[[#This Row],[Reporting Year]]&amp;"; "&amp;P1062&amp;AS[[#This Row],[Insurance Category Code]]&amp;"; "&amp;Q1062&amp;AS[[#This Row],[Large Provider Entity Code]]&amp;"; "&amp;R1062&amp;AS[[#This Row],[Age Band Code]]&amp;"; "&amp;S1062&amp;AS[[#This Row],[Sex Code]]</f>
        <v xml:space="preserve">Insurer Code ; Reporting Year ; Insurance Category Code ; Large Provider Entity Code ; Age Band Code ; Sex Code </v>
      </c>
      <c r="N1062" s="345" t="s">
        <v>207</v>
      </c>
      <c r="O1062" s="345" t="s">
        <v>208</v>
      </c>
      <c r="P1062" s="345" t="s">
        <v>209</v>
      </c>
      <c r="Q1062" s="345" t="s">
        <v>210</v>
      </c>
      <c r="R1062" s="345" t="s">
        <v>223</v>
      </c>
      <c r="S1062" s="345" t="s">
        <v>224</v>
      </c>
    </row>
    <row r="1063" spans="1:19" x14ac:dyDescent="0.25">
      <c r="A1063" s="311"/>
      <c r="B1063" s="312"/>
      <c r="C1063" s="312"/>
      <c r="D1063" s="312"/>
      <c r="E1063" s="312"/>
      <c r="F1063" s="312"/>
      <c r="G1063" s="328"/>
      <c r="H1063" s="337"/>
      <c r="I1063" s="334"/>
      <c r="J1063" s="314"/>
      <c r="K1063" s="449"/>
      <c r="M1063" s="349" t="str">
        <f>N1063&amp;AS[[#This Row],[Insurer Code]]&amp;"; "&amp;O1063&amp;AS[[#This Row],[Reporting Year]]&amp;"; "&amp;P1063&amp;AS[[#This Row],[Insurance Category Code]]&amp;"; "&amp;Q1063&amp;AS[[#This Row],[Large Provider Entity Code]]&amp;"; "&amp;R1063&amp;AS[[#This Row],[Age Band Code]]&amp;"; "&amp;S1063&amp;AS[[#This Row],[Sex Code]]</f>
        <v xml:space="preserve">Insurer Code ; Reporting Year ; Insurance Category Code ; Large Provider Entity Code ; Age Band Code ; Sex Code </v>
      </c>
      <c r="N1063" s="345" t="s">
        <v>207</v>
      </c>
      <c r="O1063" s="345" t="s">
        <v>208</v>
      </c>
      <c r="P1063" s="345" t="s">
        <v>209</v>
      </c>
      <c r="Q1063" s="345" t="s">
        <v>210</v>
      </c>
      <c r="R1063" s="345" t="s">
        <v>223</v>
      </c>
      <c r="S1063" s="345" t="s">
        <v>224</v>
      </c>
    </row>
    <row r="1064" spans="1:19" x14ac:dyDescent="0.25">
      <c r="A1064" s="311"/>
      <c r="B1064" s="312"/>
      <c r="C1064" s="312"/>
      <c r="D1064" s="312"/>
      <c r="E1064" s="312"/>
      <c r="F1064" s="312"/>
      <c r="G1064" s="328"/>
      <c r="H1064" s="337"/>
      <c r="I1064" s="334"/>
      <c r="J1064" s="314"/>
      <c r="K1064" s="449"/>
      <c r="M1064" s="349" t="str">
        <f>N1064&amp;AS[[#This Row],[Insurer Code]]&amp;"; "&amp;O1064&amp;AS[[#This Row],[Reporting Year]]&amp;"; "&amp;P1064&amp;AS[[#This Row],[Insurance Category Code]]&amp;"; "&amp;Q1064&amp;AS[[#This Row],[Large Provider Entity Code]]&amp;"; "&amp;R1064&amp;AS[[#This Row],[Age Band Code]]&amp;"; "&amp;S1064&amp;AS[[#This Row],[Sex Code]]</f>
        <v xml:space="preserve">Insurer Code ; Reporting Year ; Insurance Category Code ; Large Provider Entity Code ; Age Band Code ; Sex Code </v>
      </c>
      <c r="N1064" s="345" t="s">
        <v>207</v>
      </c>
      <c r="O1064" s="345" t="s">
        <v>208</v>
      </c>
      <c r="P1064" s="345" t="s">
        <v>209</v>
      </c>
      <c r="Q1064" s="345" t="s">
        <v>210</v>
      </c>
      <c r="R1064" s="345" t="s">
        <v>223</v>
      </c>
      <c r="S1064" s="345" t="s">
        <v>224</v>
      </c>
    </row>
    <row r="1065" spans="1:19" x14ac:dyDescent="0.25">
      <c r="A1065" s="311"/>
      <c r="B1065" s="312"/>
      <c r="C1065" s="312"/>
      <c r="D1065" s="312"/>
      <c r="E1065" s="312"/>
      <c r="F1065" s="312"/>
      <c r="G1065" s="328"/>
      <c r="H1065" s="337"/>
      <c r="I1065" s="334"/>
      <c r="J1065" s="314"/>
      <c r="K1065" s="449"/>
      <c r="M1065" s="349" t="str">
        <f>N1065&amp;AS[[#This Row],[Insurer Code]]&amp;"; "&amp;O1065&amp;AS[[#This Row],[Reporting Year]]&amp;"; "&amp;P1065&amp;AS[[#This Row],[Insurance Category Code]]&amp;"; "&amp;Q1065&amp;AS[[#This Row],[Large Provider Entity Code]]&amp;"; "&amp;R1065&amp;AS[[#This Row],[Age Band Code]]&amp;"; "&amp;S1065&amp;AS[[#This Row],[Sex Code]]</f>
        <v xml:space="preserve">Insurer Code ; Reporting Year ; Insurance Category Code ; Large Provider Entity Code ; Age Band Code ; Sex Code </v>
      </c>
      <c r="N1065" s="345" t="s">
        <v>207</v>
      </c>
      <c r="O1065" s="345" t="s">
        <v>208</v>
      </c>
      <c r="P1065" s="345" t="s">
        <v>209</v>
      </c>
      <c r="Q1065" s="345" t="s">
        <v>210</v>
      </c>
      <c r="R1065" s="345" t="s">
        <v>223</v>
      </c>
      <c r="S1065" s="345" t="s">
        <v>224</v>
      </c>
    </row>
    <row r="1066" spans="1:19" x14ac:dyDescent="0.25">
      <c r="A1066" s="311"/>
      <c r="B1066" s="312"/>
      <c r="C1066" s="312"/>
      <c r="D1066" s="312"/>
      <c r="E1066" s="312"/>
      <c r="F1066" s="312"/>
      <c r="G1066" s="328"/>
      <c r="H1066" s="337"/>
      <c r="I1066" s="334"/>
      <c r="J1066" s="314"/>
      <c r="K1066" s="449"/>
      <c r="M1066" s="349" t="str">
        <f>N1066&amp;AS[[#This Row],[Insurer Code]]&amp;"; "&amp;O1066&amp;AS[[#This Row],[Reporting Year]]&amp;"; "&amp;P1066&amp;AS[[#This Row],[Insurance Category Code]]&amp;"; "&amp;Q1066&amp;AS[[#This Row],[Large Provider Entity Code]]&amp;"; "&amp;R1066&amp;AS[[#This Row],[Age Band Code]]&amp;"; "&amp;S1066&amp;AS[[#This Row],[Sex Code]]</f>
        <v xml:space="preserve">Insurer Code ; Reporting Year ; Insurance Category Code ; Large Provider Entity Code ; Age Band Code ; Sex Code </v>
      </c>
      <c r="N1066" s="345" t="s">
        <v>207</v>
      </c>
      <c r="O1066" s="345" t="s">
        <v>208</v>
      </c>
      <c r="P1066" s="345" t="s">
        <v>209</v>
      </c>
      <c r="Q1066" s="345" t="s">
        <v>210</v>
      </c>
      <c r="R1066" s="345" t="s">
        <v>223</v>
      </c>
      <c r="S1066" s="345" t="s">
        <v>224</v>
      </c>
    </row>
    <row r="1067" spans="1:19" x14ac:dyDescent="0.25">
      <c r="A1067" s="311"/>
      <c r="B1067" s="312"/>
      <c r="C1067" s="312"/>
      <c r="D1067" s="312"/>
      <c r="E1067" s="312"/>
      <c r="F1067" s="312"/>
      <c r="G1067" s="328"/>
      <c r="H1067" s="337"/>
      <c r="I1067" s="334"/>
      <c r="J1067" s="314"/>
      <c r="K1067" s="449"/>
      <c r="M1067" s="349" t="str">
        <f>N1067&amp;AS[[#This Row],[Insurer Code]]&amp;"; "&amp;O1067&amp;AS[[#This Row],[Reporting Year]]&amp;"; "&amp;P1067&amp;AS[[#This Row],[Insurance Category Code]]&amp;"; "&amp;Q1067&amp;AS[[#This Row],[Large Provider Entity Code]]&amp;"; "&amp;R1067&amp;AS[[#This Row],[Age Band Code]]&amp;"; "&amp;S1067&amp;AS[[#This Row],[Sex Code]]</f>
        <v xml:space="preserve">Insurer Code ; Reporting Year ; Insurance Category Code ; Large Provider Entity Code ; Age Band Code ; Sex Code </v>
      </c>
      <c r="N1067" s="345" t="s">
        <v>207</v>
      </c>
      <c r="O1067" s="345" t="s">
        <v>208</v>
      </c>
      <c r="P1067" s="345" t="s">
        <v>209</v>
      </c>
      <c r="Q1067" s="345" t="s">
        <v>210</v>
      </c>
      <c r="R1067" s="345" t="s">
        <v>223</v>
      </c>
      <c r="S1067" s="345" t="s">
        <v>224</v>
      </c>
    </row>
    <row r="1068" spans="1:19" x14ac:dyDescent="0.25">
      <c r="A1068" s="311"/>
      <c r="B1068" s="312"/>
      <c r="C1068" s="312"/>
      <c r="D1068" s="312"/>
      <c r="E1068" s="312"/>
      <c r="F1068" s="312"/>
      <c r="G1068" s="328"/>
      <c r="H1068" s="337"/>
      <c r="I1068" s="334"/>
      <c r="J1068" s="314"/>
      <c r="K1068" s="449"/>
      <c r="M1068" s="349" t="str">
        <f>N1068&amp;AS[[#This Row],[Insurer Code]]&amp;"; "&amp;O1068&amp;AS[[#This Row],[Reporting Year]]&amp;"; "&amp;P1068&amp;AS[[#This Row],[Insurance Category Code]]&amp;"; "&amp;Q1068&amp;AS[[#This Row],[Large Provider Entity Code]]&amp;"; "&amp;R1068&amp;AS[[#This Row],[Age Band Code]]&amp;"; "&amp;S1068&amp;AS[[#This Row],[Sex Code]]</f>
        <v xml:space="preserve">Insurer Code ; Reporting Year ; Insurance Category Code ; Large Provider Entity Code ; Age Band Code ; Sex Code </v>
      </c>
      <c r="N1068" s="345" t="s">
        <v>207</v>
      </c>
      <c r="O1068" s="345" t="s">
        <v>208</v>
      </c>
      <c r="P1068" s="345" t="s">
        <v>209</v>
      </c>
      <c r="Q1068" s="345" t="s">
        <v>210</v>
      </c>
      <c r="R1068" s="345" t="s">
        <v>223</v>
      </c>
      <c r="S1068" s="345" t="s">
        <v>224</v>
      </c>
    </row>
    <row r="1069" spans="1:19" x14ac:dyDescent="0.25">
      <c r="A1069" s="311"/>
      <c r="B1069" s="312"/>
      <c r="C1069" s="312"/>
      <c r="D1069" s="312"/>
      <c r="E1069" s="312"/>
      <c r="F1069" s="312"/>
      <c r="G1069" s="328"/>
      <c r="H1069" s="337"/>
      <c r="I1069" s="334"/>
      <c r="J1069" s="314"/>
      <c r="K1069" s="449"/>
      <c r="M1069" s="349" t="str">
        <f>N1069&amp;AS[[#This Row],[Insurer Code]]&amp;"; "&amp;O1069&amp;AS[[#This Row],[Reporting Year]]&amp;"; "&amp;P1069&amp;AS[[#This Row],[Insurance Category Code]]&amp;"; "&amp;Q1069&amp;AS[[#This Row],[Large Provider Entity Code]]&amp;"; "&amp;R1069&amp;AS[[#This Row],[Age Band Code]]&amp;"; "&amp;S1069&amp;AS[[#This Row],[Sex Code]]</f>
        <v xml:space="preserve">Insurer Code ; Reporting Year ; Insurance Category Code ; Large Provider Entity Code ; Age Band Code ; Sex Code </v>
      </c>
      <c r="N1069" s="345" t="s">
        <v>207</v>
      </c>
      <c r="O1069" s="345" t="s">
        <v>208</v>
      </c>
      <c r="P1069" s="345" t="s">
        <v>209</v>
      </c>
      <c r="Q1069" s="345" t="s">
        <v>210</v>
      </c>
      <c r="R1069" s="345" t="s">
        <v>223</v>
      </c>
      <c r="S1069" s="345" t="s">
        <v>224</v>
      </c>
    </row>
    <row r="1070" spans="1:19" x14ac:dyDescent="0.25">
      <c r="A1070" s="311"/>
      <c r="B1070" s="312"/>
      <c r="C1070" s="312"/>
      <c r="D1070" s="312"/>
      <c r="E1070" s="312"/>
      <c r="F1070" s="312"/>
      <c r="G1070" s="328"/>
      <c r="H1070" s="337"/>
      <c r="I1070" s="334"/>
      <c r="J1070" s="314"/>
      <c r="K1070" s="449"/>
      <c r="M1070" s="349" t="str">
        <f>N1070&amp;AS[[#This Row],[Insurer Code]]&amp;"; "&amp;O1070&amp;AS[[#This Row],[Reporting Year]]&amp;"; "&amp;P1070&amp;AS[[#This Row],[Insurance Category Code]]&amp;"; "&amp;Q1070&amp;AS[[#This Row],[Large Provider Entity Code]]&amp;"; "&amp;R1070&amp;AS[[#This Row],[Age Band Code]]&amp;"; "&amp;S1070&amp;AS[[#This Row],[Sex Code]]</f>
        <v xml:space="preserve">Insurer Code ; Reporting Year ; Insurance Category Code ; Large Provider Entity Code ; Age Band Code ; Sex Code </v>
      </c>
      <c r="N1070" s="345" t="s">
        <v>207</v>
      </c>
      <c r="O1070" s="345" t="s">
        <v>208</v>
      </c>
      <c r="P1070" s="345" t="s">
        <v>209</v>
      </c>
      <c r="Q1070" s="345" t="s">
        <v>210</v>
      </c>
      <c r="R1070" s="345" t="s">
        <v>223</v>
      </c>
      <c r="S1070" s="345" t="s">
        <v>224</v>
      </c>
    </row>
    <row r="1071" spans="1:19" x14ac:dyDescent="0.25">
      <c r="A1071" s="311"/>
      <c r="B1071" s="312"/>
      <c r="C1071" s="312"/>
      <c r="D1071" s="312"/>
      <c r="E1071" s="312"/>
      <c r="F1071" s="312"/>
      <c r="G1071" s="328"/>
      <c r="H1071" s="337"/>
      <c r="I1071" s="334"/>
      <c r="J1071" s="314"/>
      <c r="K1071" s="449"/>
      <c r="M1071" s="349" t="str">
        <f>N1071&amp;AS[[#This Row],[Insurer Code]]&amp;"; "&amp;O1071&amp;AS[[#This Row],[Reporting Year]]&amp;"; "&amp;P1071&amp;AS[[#This Row],[Insurance Category Code]]&amp;"; "&amp;Q1071&amp;AS[[#This Row],[Large Provider Entity Code]]&amp;"; "&amp;R1071&amp;AS[[#This Row],[Age Band Code]]&amp;"; "&amp;S1071&amp;AS[[#This Row],[Sex Code]]</f>
        <v xml:space="preserve">Insurer Code ; Reporting Year ; Insurance Category Code ; Large Provider Entity Code ; Age Band Code ; Sex Code </v>
      </c>
      <c r="N1071" s="345" t="s">
        <v>207</v>
      </c>
      <c r="O1071" s="345" t="s">
        <v>208</v>
      </c>
      <c r="P1071" s="345" t="s">
        <v>209</v>
      </c>
      <c r="Q1071" s="345" t="s">
        <v>210</v>
      </c>
      <c r="R1071" s="345" t="s">
        <v>223</v>
      </c>
      <c r="S1071" s="345" t="s">
        <v>224</v>
      </c>
    </row>
    <row r="1072" spans="1:19" x14ac:dyDescent="0.25">
      <c r="A1072" s="311"/>
      <c r="B1072" s="312"/>
      <c r="C1072" s="312"/>
      <c r="D1072" s="312"/>
      <c r="E1072" s="312"/>
      <c r="F1072" s="312"/>
      <c r="G1072" s="328"/>
      <c r="H1072" s="337"/>
      <c r="I1072" s="334"/>
      <c r="J1072" s="314"/>
      <c r="K1072" s="449"/>
      <c r="M1072" s="349" t="str">
        <f>N1072&amp;AS[[#This Row],[Insurer Code]]&amp;"; "&amp;O1072&amp;AS[[#This Row],[Reporting Year]]&amp;"; "&amp;P1072&amp;AS[[#This Row],[Insurance Category Code]]&amp;"; "&amp;Q1072&amp;AS[[#This Row],[Large Provider Entity Code]]&amp;"; "&amp;R1072&amp;AS[[#This Row],[Age Band Code]]&amp;"; "&amp;S1072&amp;AS[[#This Row],[Sex Code]]</f>
        <v xml:space="preserve">Insurer Code ; Reporting Year ; Insurance Category Code ; Large Provider Entity Code ; Age Band Code ; Sex Code </v>
      </c>
      <c r="N1072" s="345" t="s">
        <v>207</v>
      </c>
      <c r="O1072" s="345" t="s">
        <v>208</v>
      </c>
      <c r="P1072" s="345" t="s">
        <v>209</v>
      </c>
      <c r="Q1072" s="345" t="s">
        <v>210</v>
      </c>
      <c r="R1072" s="345" t="s">
        <v>223</v>
      </c>
      <c r="S1072" s="345" t="s">
        <v>224</v>
      </c>
    </row>
    <row r="1073" spans="1:19" x14ac:dyDescent="0.25">
      <c r="A1073" s="311"/>
      <c r="B1073" s="312"/>
      <c r="C1073" s="312"/>
      <c r="D1073" s="312"/>
      <c r="E1073" s="312"/>
      <c r="F1073" s="312"/>
      <c r="G1073" s="328"/>
      <c r="H1073" s="337"/>
      <c r="I1073" s="334"/>
      <c r="J1073" s="314"/>
      <c r="K1073" s="449"/>
      <c r="M1073" s="349" t="str">
        <f>N1073&amp;AS[[#This Row],[Insurer Code]]&amp;"; "&amp;O1073&amp;AS[[#This Row],[Reporting Year]]&amp;"; "&amp;P1073&amp;AS[[#This Row],[Insurance Category Code]]&amp;"; "&amp;Q1073&amp;AS[[#This Row],[Large Provider Entity Code]]&amp;"; "&amp;R1073&amp;AS[[#This Row],[Age Band Code]]&amp;"; "&amp;S1073&amp;AS[[#This Row],[Sex Code]]</f>
        <v xml:space="preserve">Insurer Code ; Reporting Year ; Insurance Category Code ; Large Provider Entity Code ; Age Band Code ; Sex Code </v>
      </c>
      <c r="N1073" s="345" t="s">
        <v>207</v>
      </c>
      <c r="O1073" s="345" t="s">
        <v>208</v>
      </c>
      <c r="P1073" s="345" t="s">
        <v>209</v>
      </c>
      <c r="Q1073" s="345" t="s">
        <v>210</v>
      </c>
      <c r="R1073" s="345" t="s">
        <v>223</v>
      </c>
      <c r="S1073" s="345" t="s">
        <v>224</v>
      </c>
    </row>
    <row r="1074" spans="1:19" x14ac:dyDescent="0.25">
      <c r="A1074" s="311"/>
      <c r="B1074" s="312"/>
      <c r="C1074" s="312"/>
      <c r="D1074" s="312"/>
      <c r="E1074" s="312"/>
      <c r="F1074" s="312"/>
      <c r="G1074" s="328"/>
      <c r="H1074" s="337"/>
      <c r="I1074" s="334"/>
      <c r="J1074" s="314"/>
      <c r="K1074" s="449"/>
      <c r="M1074" s="349" t="str">
        <f>N1074&amp;AS[[#This Row],[Insurer Code]]&amp;"; "&amp;O1074&amp;AS[[#This Row],[Reporting Year]]&amp;"; "&amp;P1074&amp;AS[[#This Row],[Insurance Category Code]]&amp;"; "&amp;Q1074&amp;AS[[#This Row],[Large Provider Entity Code]]&amp;"; "&amp;R1074&amp;AS[[#This Row],[Age Band Code]]&amp;"; "&amp;S1074&amp;AS[[#This Row],[Sex Code]]</f>
        <v xml:space="preserve">Insurer Code ; Reporting Year ; Insurance Category Code ; Large Provider Entity Code ; Age Band Code ; Sex Code </v>
      </c>
      <c r="N1074" s="345" t="s">
        <v>207</v>
      </c>
      <c r="O1074" s="345" t="s">
        <v>208</v>
      </c>
      <c r="P1074" s="345" t="s">
        <v>209</v>
      </c>
      <c r="Q1074" s="345" t="s">
        <v>210</v>
      </c>
      <c r="R1074" s="345" t="s">
        <v>223</v>
      </c>
      <c r="S1074" s="345" t="s">
        <v>224</v>
      </c>
    </row>
    <row r="1075" spans="1:19" x14ac:dyDescent="0.25">
      <c r="A1075" s="311"/>
      <c r="B1075" s="312"/>
      <c r="C1075" s="312"/>
      <c r="D1075" s="312"/>
      <c r="E1075" s="312"/>
      <c r="F1075" s="312"/>
      <c r="G1075" s="328"/>
      <c r="H1075" s="337"/>
      <c r="I1075" s="334"/>
      <c r="J1075" s="314"/>
      <c r="K1075" s="449"/>
      <c r="M1075" s="349" t="str">
        <f>N1075&amp;AS[[#This Row],[Insurer Code]]&amp;"; "&amp;O1075&amp;AS[[#This Row],[Reporting Year]]&amp;"; "&amp;P1075&amp;AS[[#This Row],[Insurance Category Code]]&amp;"; "&amp;Q1075&amp;AS[[#This Row],[Large Provider Entity Code]]&amp;"; "&amp;R1075&amp;AS[[#This Row],[Age Band Code]]&amp;"; "&amp;S1075&amp;AS[[#This Row],[Sex Code]]</f>
        <v xml:space="preserve">Insurer Code ; Reporting Year ; Insurance Category Code ; Large Provider Entity Code ; Age Band Code ; Sex Code </v>
      </c>
      <c r="N1075" s="345" t="s">
        <v>207</v>
      </c>
      <c r="O1075" s="345" t="s">
        <v>208</v>
      </c>
      <c r="P1075" s="345" t="s">
        <v>209</v>
      </c>
      <c r="Q1075" s="345" t="s">
        <v>210</v>
      </c>
      <c r="R1075" s="345" t="s">
        <v>223</v>
      </c>
      <c r="S1075" s="345" t="s">
        <v>224</v>
      </c>
    </row>
    <row r="1076" spans="1:19" x14ac:dyDescent="0.25">
      <c r="A1076" s="311"/>
      <c r="B1076" s="312"/>
      <c r="C1076" s="312"/>
      <c r="D1076" s="312"/>
      <c r="E1076" s="312"/>
      <c r="F1076" s="312"/>
      <c r="G1076" s="328"/>
      <c r="H1076" s="337"/>
      <c r="I1076" s="334"/>
      <c r="J1076" s="314"/>
      <c r="K1076" s="449"/>
      <c r="M1076" s="349" t="str">
        <f>N1076&amp;AS[[#This Row],[Insurer Code]]&amp;"; "&amp;O1076&amp;AS[[#This Row],[Reporting Year]]&amp;"; "&amp;P1076&amp;AS[[#This Row],[Insurance Category Code]]&amp;"; "&amp;Q1076&amp;AS[[#This Row],[Large Provider Entity Code]]&amp;"; "&amp;R1076&amp;AS[[#This Row],[Age Band Code]]&amp;"; "&amp;S1076&amp;AS[[#This Row],[Sex Code]]</f>
        <v xml:space="preserve">Insurer Code ; Reporting Year ; Insurance Category Code ; Large Provider Entity Code ; Age Band Code ; Sex Code </v>
      </c>
      <c r="N1076" s="345" t="s">
        <v>207</v>
      </c>
      <c r="O1076" s="345" t="s">
        <v>208</v>
      </c>
      <c r="P1076" s="345" t="s">
        <v>209</v>
      </c>
      <c r="Q1076" s="345" t="s">
        <v>210</v>
      </c>
      <c r="R1076" s="345" t="s">
        <v>223</v>
      </c>
      <c r="S1076" s="345" t="s">
        <v>224</v>
      </c>
    </row>
    <row r="1077" spans="1:19" x14ac:dyDescent="0.25">
      <c r="A1077" s="311"/>
      <c r="B1077" s="312"/>
      <c r="C1077" s="312"/>
      <c r="D1077" s="312"/>
      <c r="E1077" s="312"/>
      <c r="F1077" s="312"/>
      <c r="G1077" s="328"/>
      <c r="H1077" s="337"/>
      <c r="I1077" s="334"/>
      <c r="J1077" s="314"/>
      <c r="K1077" s="449"/>
      <c r="M1077" s="349" t="str">
        <f>N1077&amp;AS[[#This Row],[Insurer Code]]&amp;"; "&amp;O1077&amp;AS[[#This Row],[Reporting Year]]&amp;"; "&amp;P1077&amp;AS[[#This Row],[Insurance Category Code]]&amp;"; "&amp;Q1077&amp;AS[[#This Row],[Large Provider Entity Code]]&amp;"; "&amp;R1077&amp;AS[[#This Row],[Age Band Code]]&amp;"; "&amp;S1077&amp;AS[[#This Row],[Sex Code]]</f>
        <v xml:space="preserve">Insurer Code ; Reporting Year ; Insurance Category Code ; Large Provider Entity Code ; Age Band Code ; Sex Code </v>
      </c>
      <c r="N1077" s="345" t="s">
        <v>207</v>
      </c>
      <c r="O1077" s="345" t="s">
        <v>208</v>
      </c>
      <c r="P1077" s="345" t="s">
        <v>209</v>
      </c>
      <c r="Q1077" s="345" t="s">
        <v>210</v>
      </c>
      <c r="R1077" s="345" t="s">
        <v>223</v>
      </c>
      <c r="S1077" s="345" t="s">
        <v>224</v>
      </c>
    </row>
    <row r="1078" spans="1:19" x14ac:dyDescent="0.25">
      <c r="A1078" s="311"/>
      <c r="B1078" s="312"/>
      <c r="C1078" s="312"/>
      <c r="D1078" s="312"/>
      <c r="E1078" s="312"/>
      <c r="F1078" s="312"/>
      <c r="G1078" s="328"/>
      <c r="H1078" s="337"/>
      <c r="I1078" s="334"/>
      <c r="J1078" s="314"/>
      <c r="K1078" s="449"/>
      <c r="M1078" s="349" t="str">
        <f>N1078&amp;AS[[#This Row],[Insurer Code]]&amp;"; "&amp;O1078&amp;AS[[#This Row],[Reporting Year]]&amp;"; "&amp;P1078&amp;AS[[#This Row],[Insurance Category Code]]&amp;"; "&amp;Q1078&amp;AS[[#This Row],[Large Provider Entity Code]]&amp;"; "&amp;R1078&amp;AS[[#This Row],[Age Band Code]]&amp;"; "&amp;S1078&amp;AS[[#This Row],[Sex Code]]</f>
        <v xml:space="preserve">Insurer Code ; Reporting Year ; Insurance Category Code ; Large Provider Entity Code ; Age Band Code ; Sex Code </v>
      </c>
      <c r="N1078" s="345" t="s">
        <v>207</v>
      </c>
      <c r="O1078" s="345" t="s">
        <v>208</v>
      </c>
      <c r="P1078" s="345" t="s">
        <v>209</v>
      </c>
      <c r="Q1078" s="345" t="s">
        <v>210</v>
      </c>
      <c r="R1078" s="345" t="s">
        <v>223</v>
      </c>
      <c r="S1078" s="345" t="s">
        <v>224</v>
      </c>
    </row>
    <row r="1079" spans="1:19" x14ac:dyDescent="0.25">
      <c r="A1079" s="311"/>
      <c r="B1079" s="312"/>
      <c r="C1079" s="312"/>
      <c r="D1079" s="312"/>
      <c r="E1079" s="312"/>
      <c r="F1079" s="312"/>
      <c r="G1079" s="328"/>
      <c r="H1079" s="337"/>
      <c r="I1079" s="334"/>
      <c r="J1079" s="314"/>
      <c r="K1079" s="449"/>
      <c r="M1079" s="349" t="str">
        <f>N1079&amp;AS[[#This Row],[Insurer Code]]&amp;"; "&amp;O1079&amp;AS[[#This Row],[Reporting Year]]&amp;"; "&amp;P1079&amp;AS[[#This Row],[Insurance Category Code]]&amp;"; "&amp;Q1079&amp;AS[[#This Row],[Large Provider Entity Code]]&amp;"; "&amp;R1079&amp;AS[[#This Row],[Age Band Code]]&amp;"; "&amp;S1079&amp;AS[[#This Row],[Sex Code]]</f>
        <v xml:space="preserve">Insurer Code ; Reporting Year ; Insurance Category Code ; Large Provider Entity Code ; Age Band Code ; Sex Code </v>
      </c>
      <c r="N1079" s="345" t="s">
        <v>207</v>
      </c>
      <c r="O1079" s="345" t="s">
        <v>208</v>
      </c>
      <c r="P1079" s="345" t="s">
        <v>209</v>
      </c>
      <c r="Q1079" s="345" t="s">
        <v>210</v>
      </c>
      <c r="R1079" s="345" t="s">
        <v>223</v>
      </c>
      <c r="S1079" s="345" t="s">
        <v>224</v>
      </c>
    </row>
    <row r="1080" spans="1:19" x14ac:dyDescent="0.25">
      <c r="A1080" s="311"/>
      <c r="B1080" s="312"/>
      <c r="C1080" s="312"/>
      <c r="D1080" s="312"/>
      <c r="E1080" s="312"/>
      <c r="F1080" s="312"/>
      <c r="G1080" s="328"/>
      <c r="H1080" s="337"/>
      <c r="I1080" s="334"/>
      <c r="J1080" s="314"/>
      <c r="K1080" s="449"/>
      <c r="M1080" s="349" t="str">
        <f>N1080&amp;AS[[#This Row],[Insurer Code]]&amp;"; "&amp;O1080&amp;AS[[#This Row],[Reporting Year]]&amp;"; "&amp;P1080&amp;AS[[#This Row],[Insurance Category Code]]&amp;"; "&amp;Q1080&amp;AS[[#This Row],[Large Provider Entity Code]]&amp;"; "&amp;R1080&amp;AS[[#This Row],[Age Band Code]]&amp;"; "&amp;S1080&amp;AS[[#This Row],[Sex Code]]</f>
        <v xml:space="preserve">Insurer Code ; Reporting Year ; Insurance Category Code ; Large Provider Entity Code ; Age Band Code ; Sex Code </v>
      </c>
      <c r="N1080" s="345" t="s">
        <v>207</v>
      </c>
      <c r="O1080" s="345" t="s">
        <v>208</v>
      </c>
      <c r="P1080" s="345" t="s">
        <v>209</v>
      </c>
      <c r="Q1080" s="345" t="s">
        <v>210</v>
      </c>
      <c r="R1080" s="345" t="s">
        <v>223</v>
      </c>
      <c r="S1080" s="345" t="s">
        <v>224</v>
      </c>
    </row>
    <row r="1081" spans="1:19" x14ac:dyDescent="0.25">
      <c r="A1081" s="311"/>
      <c r="B1081" s="312"/>
      <c r="C1081" s="312"/>
      <c r="D1081" s="312"/>
      <c r="E1081" s="312"/>
      <c r="F1081" s="312"/>
      <c r="G1081" s="328"/>
      <c r="H1081" s="337"/>
      <c r="I1081" s="334"/>
      <c r="J1081" s="314"/>
      <c r="K1081" s="449"/>
      <c r="M1081" s="349" t="str">
        <f>N1081&amp;AS[[#This Row],[Insurer Code]]&amp;"; "&amp;O1081&amp;AS[[#This Row],[Reporting Year]]&amp;"; "&amp;P1081&amp;AS[[#This Row],[Insurance Category Code]]&amp;"; "&amp;Q1081&amp;AS[[#This Row],[Large Provider Entity Code]]&amp;"; "&amp;R1081&amp;AS[[#This Row],[Age Band Code]]&amp;"; "&amp;S1081&amp;AS[[#This Row],[Sex Code]]</f>
        <v xml:space="preserve">Insurer Code ; Reporting Year ; Insurance Category Code ; Large Provider Entity Code ; Age Band Code ; Sex Code </v>
      </c>
      <c r="N1081" s="345" t="s">
        <v>207</v>
      </c>
      <c r="O1081" s="345" t="s">
        <v>208</v>
      </c>
      <c r="P1081" s="345" t="s">
        <v>209</v>
      </c>
      <c r="Q1081" s="345" t="s">
        <v>210</v>
      </c>
      <c r="R1081" s="345" t="s">
        <v>223</v>
      </c>
      <c r="S1081" s="345" t="s">
        <v>224</v>
      </c>
    </row>
    <row r="1082" spans="1:19" x14ac:dyDescent="0.25">
      <c r="A1082" s="311"/>
      <c r="B1082" s="312"/>
      <c r="C1082" s="312"/>
      <c r="D1082" s="312"/>
      <c r="E1082" s="312"/>
      <c r="F1082" s="312"/>
      <c r="G1082" s="328"/>
      <c r="H1082" s="337"/>
      <c r="I1082" s="334"/>
      <c r="J1082" s="314"/>
      <c r="K1082" s="449"/>
      <c r="M1082" s="349" t="str">
        <f>N1082&amp;AS[[#This Row],[Insurer Code]]&amp;"; "&amp;O1082&amp;AS[[#This Row],[Reporting Year]]&amp;"; "&amp;P1082&amp;AS[[#This Row],[Insurance Category Code]]&amp;"; "&amp;Q1082&amp;AS[[#This Row],[Large Provider Entity Code]]&amp;"; "&amp;R1082&amp;AS[[#This Row],[Age Band Code]]&amp;"; "&amp;S1082&amp;AS[[#This Row],[Sex Code]]</f>
        <v xml:space="preserve">Insurer Code ; Reporting Year ; Insurance Category Code ; Large Provider Entity Code ; Age Band Code ; Sex Code </v>
      </c>
      <c r="N1082" s="345" t="s">
        <v>207</v>
      </c>
      <c r="O1082" s="345" t="s">
        <v>208</v>
      </c>
      <c r="P1082" s="345" t="s">
        <v>209</v>
      </c>
      <c r="Q1082" s="345" t="s">
        <v>210</v>
      </c>
      <c r="R1082" s="345" t="s">
        <v>223</v>
      </c>
      <c r="S1082" s="345" t="s">
        <v>224</v>
      </c>
    </row>
    <row r="1083" spans="1:19" x14ac:dyDescent="0.25">
      <c r="A1083" s="311"/>
      <c r="B1083" s="312"/>
      <c r="C1083" s="312"/>
      <c r="D1083" s="312"/>
      <c r="E1083" s="312"/>
      <c r="F1083" s="312"/>
      <c r="G1083" s="328"/>
      <c r="H1083" s="337"/>
      <c r="I1083" s="334"/>
      <c r="J1083" s="314"/>
      <c r="K1083" s="449"/>
      <c r="M1083" s="349" t="str">
        <f>N1083&amp;AS[[#This Row],[Insurer Code]]&amp;"; "&amp;O1083&amp;AS[[#This Row],[Reporting Year]]&amp;"; "&amp;P1083&amp;AS[[#This Row],[Insurance Category Code]]&amp;"; "&amp;Q1083&amp;AS[[#This Row],[Large Provider Entity Code]]&amp;"; "&amp;R1083&amp;AS[[#This Row],[Age Band Code]]&amp;"; "&amp;S1083&amp;AS[[#This Row],[Sex Code]]</f>
        <v xml:space="preserve">Insurer Code ; Reporting Year ; Insurance Category Code ; Large Provider Entity Code ; Age Band Code ; Sex Code </v>
      </c>
      <c r="N1083" s="345" t="s">
        <v>207</v>
      </c>
      <c r="O1083" s="345" t="s">
        <v>208</v>
      </c>
      <c r="P1083" s="345" t="s">
        <v>209</v>
      </c>
      <c r="Q1083" s="345" t="s">
        <v>210</v>
      </c>
      <c r="R1083" s="345" t="s">
        <v>223</v>
      </c>
      <c r="S1083" s="345" t="s">
        <v>224</v>
      </c>
    </row>
    <row r="1084" spans="1:19" x14ac:dyDescent="0.25">
      <c r="A1084" s="311"/>
      <c r="B1084" s="312"/>
      <c r="C1084" s="312"/>
      <c r="D1084" s="312"/>
      <c r="E1084" s="312"/>
      <c r="F1084" s="312"/>
      <c r="G1084" s="328"/>
      <c r="H1084" s="337"/>
      <c r="I1084" s="334"/>
      <c r="J1084" s="314"/>
      <c r="K1084" s="449"/>
      <c r="M1084" s="349" t="str">
        <f>N1084&amp;AS[[#This Row],[Insurer Code]]&amp;"; "&amp;O1084&amp;AS[[#This Row],[Reporting Year]]&amp;"; "&amp;P1084&amp;AS[[#This Row],[Insurance Category Code]]&amp;"; "&amp;Q1084&amp;AS[[#This Row],[Large Provider Entity Code]]&amp;"; "&amp;R1084&amp;AS[[#This Row],[Age Band Code]]&amp;"; "&amp;S1084&amp;AS[[#This Row],[Sex Code]]</f>
        <v xml:space="preserve">Insurer Code ; Reporting Year ; Insurance Category Code ; Large Provider Entity Code ; Age Band Code ; Sex Code </v>
      </c>
      <c r="N1084" s="345" t="s">
        <v>207</v>
      </c>
      <c r="O1084" s="345" t="s">
        <v>208</v>
      </c>
      <c r="P1084" s="345" t="s">
        <v>209</v>
      </c>
      <c r="Q1084" s="345" t="s">
        <v>210</v>
      </c>
      <c r="R1084" s="345" t="s">
        <v>223</v>
      </c>
      <c r="S1084" s="345" t="s">
        <v>224</v>
      </c>
    </row>
    <row r="1085" spans="1:19" x14ac:dyDescent="0.25">
      <c r="A1085" s="311"/>
      <c r="B1085" s="312"/>
      <c r="C1085" s="312"/>
      <c r="D1085" s="312"/>
      <c r="E1085" s="312"/>
      <c r="F1085" s="312"/>
      <c r="G1085" s="328"/>
      <c r="H1085" s="337"/>
      <c r="I1085" s="334"/>
      <c r="J1085" s="314"/>
      <c r="K1085" s="449"/>
      <c r="M1085" s="349" t="str">
        <f>N1085&amp;AS[[#This Row],[Insurer Code]]&amp;"; "&amp;O1085&amp;AS[[#This Row],[Reporting Year]]&amp;"; "&amp;P1085&amp;AS[[#This Row],[Insurance Category Code]]&amp;"; "&amp;Q1085&amp;AS[[#This Row],[Large Provider Entity Code]]&amp;"; "&amp;R1085&amp;AS[[#This Row],[Age Band Code]]&amp;"; "&amp;S1085&amp;AS[[#This Row],[Sex Code]]</f>
        <v xml:space="preserve">Insurer Code ; Reporting Year ; Insurance Category Code ; Large Provider Entity Code ; Age Band Code ; Sex Code </v>
      </c>
      <c r="N1085" s="345" t="s">
        <v>207</v>
      </c>
      <c r="O1085" s="345" t="s">
        <v>208</v>
      </c>
      <c r="P1085" s="345" t="s">
        <v>209</v>
      </c>
      <c r="Q1085" s="345" t="s">
        <v>210</v>
      </c>
      <c r="R1085" s="345" t="s">
        <v>223</v>
      </c>
      <c r="S1085" s="345" t="s">
        <v>224</v>
      </c>
    </row>
    <row r="1086" spans="1:19" x14ac:dyDescent="0.25">
      <c r="A1086" s="311"/>
      <c r="B1086" s="312"/>
      <c r="C1086" s="312"/>
      <c r="D1086" s="312"/>
      <c r="E1086" s="312"/>
      <c r="F1086" s="312"/>
      <c r="G1086" s="328"/>
      <c r="H1086" s="337"/>
      <c r="I1086" s="334"/>
      <c r="J1086" s="314"/>
      <c r="K1086" s="449"/>
      <c r="M1086" s="349" t="str">
        <f>N1086&amp;AS[[#This Row],[Insurer Code]]&amp;"; "&amp;O1086&amp;AS[[#This Row],[Reporting Year]]&amp;"; "&amp;P1086&amp;AS[[#This Row],[Insurance Category Code]]&amp;"; "&amp;Q1086&amp;AS[[#This Row],[Large Provider Entity Code]]&amp;"; "&amp;R1086&amp;AS[[#This Row],[Age Band Code]]&amp;"; "&amp;S1086&amp;AS[[#This Row],[Sex Code]]</f>
        <v xml:space="preserve">Insurer Code ; Reporting Year ; Insurance Category Code ; Large Provider Entity Code ; Age Band Code ; Sex Code </v>
      </c>
      <c r="N1086" s="345" t="s">
        <v>207</v>
      </c>
      <c r="O1086" s="345" t="s">
        <v>208</v>
      </c>
      <c r="P1086" s="345" t="s">
        <v>209</v>
      </c>
      <c r="Q1086" s="345" t="s">
        <v>210</v>
      </c>
      <c r="R1086" s="345" t="s">
        <v>223</v>
      </c>
      <c r="S1086" s="345" t="s">
        <v>224</v>
      </c>
    </row>
    <row r="1087" spans="1:19" x14ac:dyDescent="0.25">
      <c r="A1087" s="311"/>
      <c r="B1087" s="312"/>
      <c r="C1087" s="312"/>
      <c r="D1087" s="312"/>
      <c r="E1087" s="312"/>
      <c r="F1087" s="312"/>
      <c r="G1087" s="328"/>
      <c r="H1087" s="337"/>
      <c r="I1087" s="334"/>
      <c r="J1087" s="314"/>
      <c r="K1087" s="449"/>
      <c r="M1087" s="349" t="str">
        <f>N1087&amp;AS[[#This Row],[Insurer Code]]&amp;"; "&amp;O1087&amp;AS[[#This Row],[Reporting Year]]&amp;"; "&amp;P1087&amp;AS[[#This Row],[Insurance Category Code]]&amp;"; "&amp;Q1087&amp;AS[[#This Row],[Large Provider Entity Code]]&amp;"; "&amp;R1087&amp;AS[[#This Row],[Age Band Code]]&amp;"; "&amp;S1087&amp;AS[[#This Row],[Sex Code]]</f>
        <v xml:space="preserve">Insurer Code ; Reporting Year ; Insurance Category Code ; Large Provider Entity Code ; Age Band Code ; Sex Code </v>
      </c>
      <c r="N1087" s="345" t="s">
        <v>207</v>
      </c>
      <c r="O1087" s="345" t="s">
        <v>208</v>
      </c>
      <c r="P1087" s="345" t="s">
        <v>209</v>
      </c>
      <c r="Q1087" s="345" t="s">
        <v>210</v>
      </c>
      <c r="R1087" s="345" t="s">
        <v>223</v>
      </c>
      <c r="S1087" s="345" t="s">
        <v>224</v>
      </c>
    </row>
    <row r="1088" spans="1:19" x14ac:dyDescent="0.25">
      <c r="A1088" s="311"/>
      <c r="B1088" s="312"/>
      <c r="C1088" s="312"/>
      <c r="D1088" s="312"/>
      <c r="E1088" s="312"/>
      <c r="F1088" s="312"/>
      <c r="G1088" s="328"/>
      <c r="H1088" s="337"/>
      <c r="I1088" s="334"/>
      <c r="J1088" s="314"/>
      <c r="K1088" s="449"/>
      <c r="M1088" s="349" t="str">
        <f>N1088&amp;AS[[#This Row],[Insurer Code]]&amp;"; "&amp;O1088&amp;AS[[#This Row],[Reporting Year]]&amp;"; "&amp;P1088&amp;AS[[#This Row],[Insurance Category Code]]&amp;"; "&amp;Q1088&amp;AS[[#This Row],[Large Provider Entity Code]]&amp;"; "&amp;R1088&amp;AS[[#This Row],[Age Band Code]]&amp;"; "&amp;S1088&amp;AS[[#This Row],[Sex Code]]</f>
        <v xml:space="preserve">Insurer Code ; Reporting Year ; Insurance Category Code ; Large Provider Entity Code ; Age Band Code ; Sex Code </v>
      </c>
      <c r="N1088" s="345" t="s">
        <v>207</v>
      </c>
      <c r="O1088" s="345" t="s">
        <v>208</v>
      </c>
      <c r="P1088" s="345" t="s">
        <v>209</v>
      </c>
      <c r="Q1088" s="345" t="s">
        <v>210</v>
      </c>
      <c r="R1088" s="345" t="s">
        <v>223</v>
      </c>
      <c r="S1088" s="345" t="s">
        <v>224</v>
      </c>
    </row>
    <row r="1089" spans="1:19" x14ac:dyDescent="0.25">
      <c r="A1089" s="311"/>
      <c r="B1089" s="312"/>
      <c r="C1089" s="312"/>
      <c r="D1089" s="312"/>
      <c r="E1089" s="312"/>
      <c r="F1089" s="312"/>
      <c r="G1089" s="328"/>
      <c r="H1089" s="337"/>
      <c r="I1089" s="334"/>
      <c r="J1089" s="314"/>
      <c r="K1089" s="449"/>
      <c r="M1089" s="349" t="str">
        <f>N1089&amp;AS[[#This Row],[Insurer Code]]&amp;"; "&amp;O1089&amp;AS[[#This Row],[Reporting Year]]&amp;"; "&amp;P1089&amp;AS[[#This Row],[Insurance Category Code]]&amp;"; "&amp;Q1089&amp;AS[[#This Row],[Large Provider Entity Code]]&amp;"; "&amp;R1089&amp;AS[[#This Row],[Age Band Code]]&amp;"; "&amp;S1089&amp;AS[[#This Row],[Sex Code]]</f>
        <v xml:space="preserve">Insurer Code ; Reporting Year ; Insurance Category Code ; Large Provider Entity Code ; Age Band Code ; Sex Code </v>
      </c>
      <c r="N1089" s="345" t="s">
        <v>207</v>
      </c>
      <c r="O1089" s="345" t="s">
        <v>208</v>
      </c>
      <c r="P1089" s="345" t="s">
        <v>209</v>
      </c>
      <c r="Q1089" s="345" t="s">
        <v>210</v>
      </c>
      <c r="R1089" s="345" t="s">
        <v>223</v>
      </c>
      <c r="S1089" s="345" t="s">
        <v>224</v>
      </c>
    </row>
    <row r="1090" spans="1:19" x14ac:dyDescent="0.25">
      <c r="A1090" s="311"/>
      <c r="B1090" s="312"/>
      <c r="C1090" s="312"/>
      <c r="D1090" s="312"/>
      <c r="E1090" s="312"/>
      <c r="F1090" s="312"/>
      <c r="G1090" s="328"/>
      <c r="H1090" s="337"/>
      <c r="I1090" s="334"/>
      <c r="J1090" s="314"/>
      <c r="K1090" s="449"/>
      <c r="M1090" s="349" t="str">
        <f>N1090&amp;AS[[#This Row],[Insurer Code]]&amp;"; "&amp;O1090&amp;AS[[#This Row],[Reporting Year]]&amp;"; "&amp;P1090&amp;AS[[#This Row],[Insurance Category Code]]&amp;"; "&amp;Q1090&amp;AS[[#This Row],[Large Provider Entity Code]]&amp;"; "&amp;R1090&amp;AS[[#This Row],[Age Band Code]]&amp;"; "&amp;S1090&amp;AS[[#This Row],[Sex Code]]</f>
        <v xml:space="preserve">Insurer Code ; Reporting Year ; Insurance Category Code ; Large Provider Entity Code ; Age Band Code ; Sex Code </v>
      </c>
      <c r="N1090" s="345" t="s">
        <v>207</v>
      </c>
      <c r="O1090" s="345" t="s">
        <v>208</v>
      </c>
      <c r="P1090" s="345" t="s">
        <v>209</v>
      </c>
      <c r="Q1090" s="345" t="s">
        <v>210</v>
      </c>
      <c r="R1090" s="345" t="s">
        <v>223</v>
      </c>
      <c r="S1090" s="345" t="s">
        <v>224</v>
      </c>
    </row>
    <row r="1091" spans="1:19" x14ac:dyDescent="0.25">
      <c r="A1091" s="311"/>
      <c r="B1091" s="312"/>
      <c r="C1091" s="312"/>
      <c r="D1091" s="312"/>
      <c r="E1091" s="312"/>
      <c r="F1091" s="312"/>
      <c r="G1091" s="328"/>
      <c r="H1091" s="337"/>
      <c r="I1091" s="334"/>
      <c r="J1091" s="314"/>
      <c r="K1091" s="449"/>
      <c r="M1091" s="349" t="str">
        <f>N1091&amp;AS[[#This Row],[Insurer Code]]&amp;"; "&amp;O1091&amp;AS[[#This Row],[Reporting Year]]&amp;"; "&amp;P1091&amp;AS[[#This Row],[Insurance Category Code]]&amp;"; "&amp;Q1091&amp;AS[[#This Row],[Large Provider Entity Code]]&amp;"; "&amp;R1091&amp;AS[[#This Row],[Age Band Code]]&amp;"; "&amp;S1091&amp;AS[[#This Row],[Sex Code]]</f>
        <v xml:space="preserve">Insurer Code ; Reporting Year ; Insurance Category Code ; Large Provider Entity Code ; Age Band Code ; Sex Code </v>
      </c>
      <c r="N1091" s="345" t="s">
        <v>207</v>
      </c>
      <c r="O1091" s="345" t="s">
        <v>208</v>
      </c>
      <c r="P1091" s="345" t="s">
        <v>209</v>
      </c>
      <c r="Q1091" s="345" t="s">
        <v>210</v>
      </c>
      <c r="R1091" s="345" t="s">
        <v>223</v>
      </c>
      <c r="S1091" s="345" t="s">
        <v>224</v>
      </c>
    </row>
    <row r="1092" spans="1:19" x14ac:dyDescent="0.25">
      <c r="A1092" s="311"/>
      <c r="B1092" s="312"/>
      <c r="C1092" s="312"/>
      <c r="D1092" s="312"/>
      <c r="E1092" s="312"/>
      <c r="F1092" s="312"/>
      <c r="G1092" s="328"/>
      <c r="H1092" s="337"/>
      <c r="I1092" s="334"/>
      <c r="J1092" s="314"/>
      <c r="K1092" s="449"/>
      <c r="M1092" s="349" t="str">
        <f>N1092&amp;AS[[#This Row],[Insurer Code]]&amp;"; "&amp;O1092&amp;AS[[#This Row],[Reporting Year]]&amp;"; "&amp;P1092&amp;AS[[#This Row],[Insurance Category Code]]&amp;"; "&amp;Q1092&amp;AS[[#This Row],[Large Provider Entity Code]]&amp;"; "&amp;R1092&amp;AS[[#This Row],[Age Band Code]]&amp;"; "&amp;S1092&amp;AS[[#This Row],[Sex Code]]</f>
        <v xml:space="preserve">Insurer Code ; Reporting Year ; Insurance Category Code ; Large Provider Entity Code ; Age Band Code ; Sex Code </v>
      </c>
      <c r="N1092" s="345" t="s">
        <v>207</v>
      </c>
      <c r="O1092" s="345" t="s">
        <v>208</v>
      </c>
      <c r="P1092" s="345" t="s">
        <v>209</v>
      </c>
      <c r="Q1092" s="345" t="s">
        <v>210</v>
      </c>
      <c r="R1092" s="345" t="s">
        <v>223</v>
      </c>
      <c r="S1092" s="345" t="s">
        <v>224</v>
      </c>
    </row>
    <row r="1093" spans="1:19" x14ac:dyDescent="0.25">
      <c r="A1093" s="311"/>
      <c r="B1093" s="312"/>
      <c r="C1093" s="312"/>
      <c r="D1093" s="312"/>
      <c r="E1093" s="312"/>
      <c r="F1093" s="312"/>
      <c r="G1093" s="328"/>
      <c r="H1093" s="337"/>
      <c r="I1093" s="334"/>
      <c r="J1093" s="314"/>
      <c r="K1093" s="449"/>
      <c r="M1093" s="349" t="str">
        <f>N1093&amp;AS[[#This Row],[Insurer Code]]&amp;"; "&amp;O1093&amp;AS[[#This Row],[Reporting Year]]&amp;"; "&amp;P1093&amp;AS[[#This Row],[Insurance Category Code]]&amp;"; "&amp;Q1093&amp;AS[[#This Row],[Large Provider Entity Code]]&amp;"; "&amp;R1093&amp;AS[[#This Row],[Age Band Code]]&amp;"; "&amp;S1093&amp;AS[[#This Row],[Sex Code]]</f>
        <v xml:space="preserve">Insurer Code ; Reporting Year ; Insurance Category Code ; Large Provider Entity Code ; Age Band Code ; Sex Code </v>
      </c>
      <c r="N1093" s="345" t="s">
        <v>207</v>
      </c>
      <c r="O1093" s="345" t="s">
        <v>208</v>
      </c>
      <c r="P1093" s="345" t="s">
        <v>209</v>
      </c>
      <c r="Q1093" s="345" t="s">
        <v>210</v>
      </c>
      <c r="R1093" s="345" t="s">
        <v>223</v>
      </c>
      <c r="S1093" s="345" t="s">
        <v>224</v>
      </c>
    </row>
    <row r="1094" spans="1:19" x14ac:dyDescent="0.25">
      <c r="A1094" s="311"/>
      <c r="B1094" s="312"/>
      <c r="C1094" s="312"/>
      <c r="D1094" s="312"/>
      <c r="E1094" s="312"/>
      <c r="F1094" s="312"/>
      <c r="G1094" s="328"/>
      <c r="H1094" s="337"/>
      <c r="I1094" s="334"/>
      <c r="J1094" s="314"/>
      <c r="K1094" s="449"/>
      <c r="M1094" s="349" t="str">
        <f>N1094&amp;AS[[#This Row],[Insurer Code]]&amp;"; "&amp;O1094&amp;AS[[#This Row],[Reporting Year]]&amp;"; "&amp;P1094&amp;AS[[#This Row],[Insurance Category Code]]&amp;"; "&amp;Q1094&amp;AS[[#This Row],[Large Provider Entity Code]]&amp;"; "&amp;R1094&amp;AS[[#This Row],[Age Band Code]]&amp;"; "&amp;S1094&amp;AS[[#This Row],[Sex Code]]</f>
        <v xml:space="preserve">Insurer Code ; Reporting Year ; Insurance Category Code ; Large Provider Entity Code ; Age Band Code ; Sex Code </v>
      </c>
      <c r="N1094" s="345" t="s">
        <v>207</v>
      </c>
      <c r="O1094" s="345" t="s">
        <v>208</v>
      </c>
      <c r="P1094" s="345" t="s">
        <v>209</v>
      </c>
      <c r="Q1094" s="345" t="s">
        <v>210</v>
      </c>
      <c r="R1094" s="345" t="s">
        <v>223</v>
      </c>
      <c r="S1094" s="345" t="s">
        <v>224</v>
      </c>
    </row>
    <row r="1095" spans="1:19" x14ac:dyDescent="0.25">
      <c r="A1095" s="311"/>
      <c r="B1095" s="312"/>
      <c r="C1095" s="312"/>
      <c r="D1095" s="312"/>
      <c r="E1095" s="312"/>
      <c r="F1095" s="312"/>
      <c r="G1095" s="328"/>
      <c r="H1095" s="337"/>
      <c r="I1095" s="334"/>
      <c r="J1095" s="314"/>
      <c r="K1095" s="449"/>
      <c r="M1095" s="349" t="str">
        <f>N1095&amp;AS[[#This Row],[Insurer Code]]&amp;"; "&amp;O1095&amp;AS[[#This Row],[Reporting Year]]&amp;"; "&amp;P1095&amp;AS[[#This Row],[Insurance Category Code]]&amp;"; "&amp;Q1095&amp;AS[[#This Row],[Large Provider Entity Code]]&amp;"; "&amp;R1095&amp;AS[[#This Row],[Age Band Code]]&amp;"; "&amp;S1095&amp;AS[[#This Row],[Sex Code]]</f>
        <v xml:space="preserve">Insurer Code ; Reporting Year ; Insurance Category Code ; Large Provider Entity Code ; Age Band Code ; Sex Code </v>
      </c>
      <c r="N1095" s="345" t="s">
        <v>207</v>
      </c>
      <c r="O1095" s="345" t="s">
        <v>208</v>
      </c>
      <c r="P1095" s="345" t="s">
        <v>209</v>
      </c>
      <c r="Q1095" s="345" t="s">
        <v>210</v>
      </c>
      <c r="R1095" s="345" t="s">
        <v>223</v>
      </c>
      <c r="S1095" s="345" t="s">
        <v>224</v>
      </c>
    </row>
    <row r="1096" spans="1:19" x14ac:dyDescent="0.25">
      <c r="A1096" s="311"/>
      <c r="B1096" s="312"/>
      <c r="C1096" s="312"/>
      <c r="D1096" s="312"/>
      <c r="E1096" s="312"/>
      <c r="F1096" s="312"/>
      <c r="G1096" s="328"/>
      <c r="H1096" s="337"/>
      <c r="I1096" s="334"/>
      <c r="J1096" s="314"/>
      <c r="K1096" s="449"/>
      <c r="M1096" s="349" t="str">
        <f>N1096&amp;AS[[#This Row],[Insurer Code]]&amp;"; "&amp;O1096&amp;AS[[#This Row],[Reporting Year]]&amp;"; "&amp;P1096&amp;AS[[#This Row],[Insurance Category Code]]&amp;"; "&amp;Q1096&amp;AS[[#This Row],[Large Provider Entity Code]]&amp;"; "&amp;R1096&amp;AS[[#This Row],[Age Band Code]]&amp;"; "&amp;S1096&amp;AS[[#This Row],[Sex Code]]</f>
        <v xml:space="preserve">Insurer Code ; Reporting Year ; Insurance Category Code ; Large Provider Entity Code ; Age Band Code ; Sex Code </v>
      </c>
      <c r="N1096" s="345" t="s">
        <v>207</v>
      </c>
      <c r="O1096" s="345" t="s">
        <v>208</v>
      </c>
      <c r="P1096" s="345" t="s">
        <v>209</v>
      </c>
      <c r="Q1096" s="345" t="s">
        <v>210</v>
      </c>
      <c r="R1096" s="345" t="s">
        <v>223</v>
      </c>
      <c r="S1096" s="345" t="s">
        <v>224</v>
      </c>
    </row>
    <row r="1097" spans="1:19" x14ac:dyDescent="0.25">
      <c r="A1097" s="311"/>
      <c r="B1097" s="312"/>
      <c r="C1097" s="312"/>
      <c r="D1097" s="312"/>
      <c r="E1097" s="312"/>
      <c r="F1097" s="312"/>
      <c r="G1097" s="328"/>
      <c r="H1097" s="337"/>
      <c r="I1097" s="334"/>
      <c r="J1097" s="314"/>
      <c r="K1097" s="449"/>
      <c r="M1097" s="349" t="str">
        <f>N1097&amp;AS[[#This Row],[Insurer Code]]&amp;"; "&amp;O1097&amp;AS[[#This Row],[Reporting Year]]&amp;"; "&amp;P1097&amp;AS[[#This Row],[Insurance Category Code]]&amp;"; "&amp;Q1097&amp;AS[[#This Row],[Large Provider Entity Code]]&amp;"; "&amp;R1097&amp;AS[[#This Row],[Age Band Code]]&amp;"; "&amp;S1097&amp;AS[[#This Row],[Sex Code]]</f>
        <v xml:space="preserve">Insurer Code ; Reporting Year ; Insurance Category Code ; Large Provider Entity Code ; Age Band Code ; Sex Code </v>
      </c>
      <c r="N1097" s="345" t="s">
        <v>207</v>
      </c>
      <c r="O1097" s="345" t="s">
        <v>208</v>
      </c>
      <c r="P1097" s="345" t="s">
        <v>209</v>
      </c>
      <c r="Q1097" s="345" t="s">
        <v>210</v>
      </c>
      <c r="R1097" s="345" t="s">
        <v>223</v>
      </c>
      <c r="S1097" s="345" t="s">
        <v>224</v>
      </c>
    </row>
    <row r="1098" spans="1:19" x14ac:dyDescent="0.25">
      <c r="A1098" s="311"/>
      <c r="B1098" s="312"/>
      <c r="C1098" s="312"/>
      <c r="D1098" s="312"/>
      <c r="E1098" s="312"/>
      <c r="F1098" s="312"/>
      <c r="G1098" s="328"/>
      <c r="H1098" s="337"/>
      <c r="I1098" s="334"/>
      <c r="J1098" s="314"/>
      <c r="K1098" s="449"/>
      <c r="M1098" s="349" t="str">
        <f>N1098&amp;AS[[#This Row],[Insurer Code]]&amp;"; "&amp;O1098&amp;AS[[#This Row],[Reporting Year]]&amp;"; "&amp;P1098&amp;AS[[#This Row],[Insurance Category Code]]&amp;"; "&amp;Q1098&amp;AS[[#This Row],[Large Provider Entity Code]]&amp;"; "&amp;R1098&amp;AS[[#This Row],[Age Band Code]]&amp;"; "&amp;S1098&amp;AS[[#This Row],[Sex Code]]</f>
        <v xml:space="preserve">Insurer Code ; Reporting Year ; Insurance Category Code ; Large Provider Entity Code ; Age Band Code ; Sex Code </v>
      </c>
      <c r="N1098" s="345" t="s">
        <v>207</v>
      </c>
      <c r="O1098" s="345" t="s">
        <v>208</v>
      </c>
      <c r="P1098" s="345" t="s">
        <v>209</v>
      </c>
      <c r="Q1098" s="345" t="s">
        <v>210</v>
      </c>
      <c r="R1098" s="345" t="s">
        <v>223</v>
      </c>
      <c r="S1098" s="345" t="s">
        <v>224</v>
      </c>
    </row>
    <row r="1099" spans="1:19" x14ac:dyDescent="0.25">
      <c r="A1099" s="311"/>
      <c r="B1099" s="312"/>
      <c r="C1099" s="312"/>
      <c r="D1099" s="312"/>
      <c r="E1099" s="312"/>
      <c r="F1099" s="312"/>
      <c r="G1099" s="328"/>
      <c r="H1099" s="337"/>
      <c r="I1099" s="334"/>
      <c r="J1099" s="314"/>
      <c r="K1099" s="449"/>
      <c r="M1099" s="349" t="str">
        <f>N1099&amp;AS[[#This Row],[Insurer Code]]&amp;"; "&amp;O1099&amp;AS[[#This Row],[Reporting Year]]&amp;"; "&amp;P1099&amp;AS[[#This Row],[Insurance Category Code]]&amp;"; "&amp;Q1099&amp;AS[[#This Row],[Large Provider Entity Code]]&amp;"; "&amp;R1099&amp;AS[[#This Row],[Age Band Code]]&amp;"; "&amp;S1099&amp;AS[[#This Row],[Sex Code]]</f>
        <v xml:space="preserve">Insurer Code ; Reporting Year ; Insurance Category Code ; Large Provider Entity Code ; Age Band Code ; Sex Code </v>
      </c>
      <c r="N1099" s="345" t="s">
        <v>207</v>
      </c>
      <c r="O1099" s="345" t="s">
        <v>208</v>
      </c>
      <c r="P1099" s="345" t="s">
        <v>209</v>
      </c>
      <c r="Q1099" s="345" t="s">
        <v>210</v>
      </c>
      <c r="R1099" s="345" t="s">
        <v>223</v>
      </c>
      <c r="S1099" s="345" t="s">
        <v>224</v>
      </c>
    </row>
    <row r="1100" spans="1:19" x14ac:dyDescent="0.25">
      <c r="A1100" s="311"/>
      <c r="B1100" s="312"/>
      <c r="C1100" s="312"/>
      <c r="D1100" s="312"/>
      <c r="E1100" s="312"/>
      <c r="F1100" s="312"/>
      <c r="G1100" s="328"/>
      <c r="H1100" s="337"/>
      <c r="I1100" s="334"/>
      <c r="J1100" s="314"/>
      <c r="K1100" s="449"/>
      <c r="M1100" s="349" t="str">
        <f>N1100&amp;AS[[#This Row],[Insurer Code]]&amp;"; "&amp;O1100&amp;AS[[#This Row],[Reporting Year]]&amp;"; "&amp;P1100&amp;AS[[#This Row],[Insurance Category Code]]&amp;"; "&amp;Q1100&amp;AS[[#This Row],[Large Provider Entity Code]]&amp;"; "&amp;R1100&amp;AS[[#This Row],[Age Band Code]]&amp;"; "&amp;S1100&amp;AS[[#This Row],[Sex Code]]</f>
        <v xml:space="preserve">Insurer Code ; Reporting Year ; Insurance Category Code ; Large Provider Entity Code ; Age Band Code ; Sex Code </v>
      </c>
      <c r="N1100" s="345" t="s">
        <v>207</v>
      </c>
      <c r="O1100" s="345" t="s">
        <v>208</v>
      </c>
      <c r="P1100" s="345" t="s">
        <v>209</v>
      </c>
      <c r="Q1100" s="345" t="s">
        <v>210</v>
      </c>
      <c r="R1100" s="345" t="s">
        <v>223</v>
      </c>
      <c r="S1100" s="345" t="s">
        <v>224</v>
      </c>
    </row>
    <row r="1101" spans="1:19" x14ac:dyDescent="0.25">
      <c r="A1101" s="311"/>
      <c r="B1101" s="312"/>
      <c r="C1101" s="312"/>
      <c r="D1101" s="312"/>
      <c r="E1101" s="312"/>
      <c r="F1101" s="312"/>
      <c r="G1101" s="328"/>
      <c r="H1101" s="337"/>
      <c r="I1101" s="334"/>
      <c r="J1101" s="314"/>
      <c r="K1101" s="449"/>
      <c r="M1101" s="349" t="str">
        <f>N1101&amp;AS[[#This Row],[Insurer Code]]&amp;"; "&amp;O1101&amp;AS[[#This Row],[Reporting Year]]&amp;"; "&amp;P1101&amp;AS[[#This Row],[Insurance Category Code]]&amp;"; "&amp;Q1101&amp;AS[[#This Row],[Large Provider Entity Code]]&amp;"; "&amp;R1101&amp;AS[[#This Row],[Age Band Code]]&amp;"; "&amp;S1101&amp;AS[[#This Row],[Sex Code]]</f>
        <v xml:space="preserve">Insurer Code ; Reporting Year ; Insurance Category Code ; Large Provider Entity Code ; Age Band Code ; Sex Code </v>
      </c>
      <c r="N1101" s="345" t="s">
        <v>207</v>
      </c>
      <c r="O1101" s="345" t="s">
        <v>208</v>
      </c>
      <c r="P1101" s="345" t="s">
        <v>209</v>
      </c>
      <c r="Q1101" s="345" t="s">
        <v>210</v>
      </c>
      <c r="R1101" s="345" t="s">
        <v>223</v>
      </c>
      <c r="S1101" s="345" t="s">
        <v>224</v>
      </c>
    </row>
    <row r="1102" spans="1:19" x14ac:dyDescent="0.25">
      <c r="A1102" s="311"/>
      <c r="B1102" s="312"/>
      <c r="C1102" s="312"/>
      <c r="D1102" s="312"/>
      <c r="E1102" s="312"/>
      <c r="F1102" s="312"/>
      <c r="G1102" s="328"/>
      <c r="H1102" s="337"/>
      <c r="I1102" s="334"/>
      <c r="J1102" s="314"/>
      <c r="K1102" s="449"/>
      <c r="M1102" s="349" t="str">
        <f>N1102&amp;AS[[#This Row],[Insurer Code]]&amp;"; "&amp;O1102&amp;AS[[#This Row],[Reporting Year]]&amp;"; "&amp;P1102&amp;AS[[#This Row],[Insurance Category Code]]&amp;"; "&amp;Q1102&amp;AS[[#This Row],[Large Provider Entity Code]]&amp;"; "&amp;R1102&amp;AS[[#This Row],[Age Band Code]]&amp;"; "&amp;S1102&amp;AS[[#This Row],[Sex Code]]</f>
        <v xml:space="preserve">Insurer Code ; Reporting Year ; Insurance Category Code ; Large Provider Entity Code ; Age Band Code ; Sex Code </v>
      </c>
      <c r="N1102" s="345" t="s">
        <v>207</v>
      </c>
      <c r="O1102" s="345" t="s">
        <v>208</v>
      </c>
      <c r="P1102" s="345" t="s">
        <v>209</v>
      </c>
      <c r="Q1102" s="345" t="s">
        <v>210</v>
      </c>
      <c r="R1102" s="345" t="s">
        <v>223</v>
      </c>
      <c r="S1102" s="345" t="s">
        <v>224</v>
      </c>
    </row>
    <row r="1103" spans="1:19" x14ac:dyDescent="0.25">
      <c r="A1103" s="311"/>
      <c r="B1103" s="312"/>
      <c r="C1103" s="312"/>
      <c r="D1103" s="312"/>
      <c r="E1103" s="312"/>
      <c r="F1103" s="312"/>
      <c r="G1103" s="328"/>
      <c r="H1103" s="337"/>
      <c r="I1103" s="334"/>
      <c r="J1103" s="314"/>
      <c r="K1103" s="449"/>
      <c r="M1103" s="349" t="str">
        <f>N1103&amp;AS[[#This Row],[Insurer Code]]&amp;"; "&amp;O1103&amp;AS[[#This Row],[Reporting Year]]&amp;"; "&amp;P1103&amp;AS[[#This Row],[Insurance Category Code]]&amp;"; "&amp;Q1103&amp;AS[[#This Row],[Large Provider Entity Code]]&amp;"; "&amp;R1103&amp;AS[[#This Row],[Age Band Code]]&amp;"; "&amp;S1103&amp;AS[[#This Row],[Sex Code]]</f>
        <v xml:space="preserve">Insurer Code ; Reporting Year ; Insurance Category Code ; Large Provider Entity Code ; Age Band Code ; Sex Code </v>
      </c>
      <c r="N1103" s="345" t="s">
        <v>207</v>
      </c>
      <c r="O1103" s="345" t="s">
        <v>208</v>
      </c>
      <c r="P1103" s="345" t="s">
        <v>209</v>
      </c>
      <c r="Q1103" s="345" t="s">
        <v>210</v>
      </c>
      <c r="R1103" s="345" t="s">
        <v>223</v>
      </c>
      <c r="S1103" s="345" t="s">
        <v>224</v>
      </c>
    </row>
    <row r="1104" spans="1:19" x14ac:dyDescent="0.25">
      <c r="A1104" s="311"/>
      <c r="B1104" s="312"/>
      <c r="C1104" s="312"/>
      <c r="D1104" s="312"/>
      <c r="E1104" s="312"/>
      <c r="F1104" s="312"/>
      <c r="G1104" s="328"/>
      <c r="H1104" s="337"/>
      <c r="I1104" s="334"/>
      <c r="J1104" s="314"/>
      <c r="K1104" s="449"/>
      <c r="M1104" s="349" t="str">
        <f>N1104&amp;AS[[#This Row],[Insurer Code]]&amp;"; "&amp;O1104&amp;AS[[#This Row],[Reporting Year]]&amp;"; "&amp;P1104&amp;AS[[#This Row],[Insurance Category Code]]&amp;"; "&amp;Q1104&amp;AS[[#This Row],[Large Provider Entity Code]]&amp;"; "&amp;R1104&amp;AS[[#This Row],[Age Band Code]]&amp;"; "&amp;S1104&amp;AS[[#This Row],[Sex Code]]</f>
        <v xml:space="preserve">Insurer Code ; Reporting Year ; Insurance Category Code ; Large Provider Entity Code ; Age Band Code ; Sex Code </v>
      </c>
      <c r="N1104" s="345" t="s">
        <v>207</v>
      </c>
      <c r="O1104" s="345" t="s">
        <v>208</v>
      </c>
      <c r="P1104" s="345" t="s">
        <v>209</v>
      </c>
      <c r="Q1104" s="345" t="s">
        <v>210</v>
      </c>
      <c r="R1104" s="345" t="s">
        <v>223</v>
      </c>
      <c r="S1104" s="345" t="s">
        <v>224</v>
      </c>
    </row>
    <row r="1105" spans="1:19" x14ac:dyDescent="0.25">
      <c r="A1105" s="311"/>
      <c r="B1105" s="312"/>
      <c r="C1105" s="312"/>
      <c r="D1105" s="312"/>
      <c r="E1105" s="312"/>
      <c r="F1105" s="312"/>
      <c r="G1105" s="328"/>
      <c r="H1105" s="337"/>
      <c r="I1105" s="334"/>
      <c r="J1105" s="314"/>
      <c r="K1105" s="449"/>
      <c r="M1105" s="349" t="str">
        <f>N1105&amp;AS[[#This Row],[Insurer Code]]&amp;"; "&amp;O1105&amp;AS[[#This Row],[Reporting Year]]&amp;"; "&amp;P1105&amp;AS[[#This Row],[Insurance Category Code]]&amp;"; "&amp;Q1105&amp;AS[[#This Row],[Large Provider Entity Code]]&amp;"; "&amp;R1105&amp;AS[[#This Row],[Age Band Code]]&amp;"; "&amp;S1105&amp;AS[[#This Row],[Sex Code]]</f>
        <v xml:space="preserve">Insurer Code ; Reporting Year ; Insurance Category Code ; Large Provider Entity Code ; Age Band Code ; Sex Code </v>
      </c>
      <c r="N1105" s="345" t="s">
        <v>207</v>
      </c>
      <c r="O1105" s="345" t="s">
        <v>208</v>
      </c>
      <c r="P1105" s="345" t="s">
        <v>209</v>
      </c>
      <c r="Q1105" s="345" t="s">
        <v>210</v>
      </c>
      <c r="R1105" s="345" t="s">
        <v>223</v>
      </c>
      <c r="S1105" s="345" t="s">
        <v>224</v>
      </c>
    </row>
    <row r="1106" spans="1:19" x14ac:dyDescent="0.25">
      <c r="A1106" s="311"/>
      <c r="B1106" s="312"/>
      <c r="C1106" s="312"/>
      <c r="D1106" s="312"/>
      <c r="E1106" s="312"/>
      <c r="F1106" s="312"/>
      <c r="G1106" s="328"/>
      <c r="H1106" s="337"/>
      <c r="I1106" s="334"/>
      <c r="J1106" s="314"/>
      <c r="K1106" s="449"/>
      <c r="M1106" s="349" t="str">
        <f>N1106&amp;AS[[#This Row],[Insurer Code]]&amp;"; "&amp;O1106&amp;AS[[#This Row],[Reporting Year]]&amp;"; "&amp;P1106&amp;AS[[#This Row],[Insurance Category Code]]&amp;"; "&amp;Q1106&amp;AS[[#This Row],[Large Provider Entity Code]]&amp;"; "&amp;R1106&amp;AS[[#This Row],[Age Band Code]]&amp;"; "&amp;S1106&amp;AS[[#This Row],[Sex Code]]</f>
        <v xml:space="preserve">Insurer Code ; Reporting Year ; Insurance Category Code ; Large Provider Entity Code ; Age Band Code ; Sex Code </v>
      </c>
      <c r="N1106" s="345" t="s">
        <v>207</v>
      </c>
      <c r="O1106" s="345" t="s">
        <v>208</v>
      </c>
      <c r="P1106" s="345" t="s">
        <v>209</v>
      </c>
      <c r="Q1106" s="345" t="s">
        <v>210</v>
      </c>
      <c r="R1106" s="345" t="s">
        <v>223</v>
      </c>
      <c r="S1106" s="345" t="s">
        <v>224</v>
      </c>
    </row>
    <row r="1107" spans="1:19" x14ac:dyDescent="0.25">
      <c r="A1107" s="311"/>
      <c r="B1107" s="312"/>
      <c r="C1107" s="312"/>
      <c r="D1107" s="312"/>
      <c r="E1107" s="312"/>
      <c r="F1107" s="312"/>
      <c r="G1107" s="328"/>
      <c r="H1107" s="337"/>
      <c r="I1107" s="334"/>
      <c r="J1107" s="314"/>
      <c r="K1107" s="449"/>
      <c r="M1107" s="349" t="str">
        <f>N1107&amp;AS[[#This Row],[Insurer Code]]&amp;"; "&amp;O1107&amp;AS[[#This Row],[Reporting Year]]&amp;"; "&amp;P1107&amp;AS[[#This Row],[Insurance Category Code]]&amp;"; "&amp;Q1107&amp;AS[[#This Row],[Large Provider Entity Code]]&amp;"; "&amp;R1107&amp;AS[[#This Row],[Age Band Code]]&amp;"; "&amp;S1107&amp;AS[[#This Row],[Sex Code]]</f>
        <v xml:space="preserve">Insurer Code ; Reporting Year ; Insurance Category Code ; Large Provider Entity Code ; Age Band Code ; Sex Code </v>
      </c>
      <c r="N1107" s="345" t="s">
        <v>207</v>
      </c>
      <c r="O1107" s="345" t="s">
        <v>208</v>
      </c>
      <c r="P1107" s="345" t="s">
        <v>209</v>
      </c>
      <c r="Q1107" s="345" t="s">
        <v>210</v>
      </c>
      <c r="R1107" s="345" t="s">
        <v>223</v>
      </c>
      <c r="S1107" s="345" t="s">
        <v>224</v>
      </c>
    </row>
    <row r="1108" spans="1:19" x14ac:dyDescent="0.25">
      <c r="A1108" s="311"/>
      <c r="B1108" s="312"/>
      <c r="C1108" s="312"/>
      <c r="D1108" s="312"/>
      <c r="E1108" s="312"/>
      <c r="F1108" s="312"/>
      <c r="G1108" s="328"/>
      <c r="H1108" s="337"/>
      <c r="I1108" s="334"/>
      <c r="J1108" s="314"/>
      <c r="K1108" s="449"/>
      <c r="M1108" s="349" t="str">
        <f>N1108&amp;AS[[#This Row],[Insurer Code]]&amp;"; "&amp;O1108&amp;AS[[#This Row],[Reporting Year]]&amp;"; "&amp;P1108&amp;AS[[#This Row],[Insurance Category Code]]&amp;"; "&amp;Q1108&amp;AS[[#This Row],[Large Provider Entity Code]]&amp;"; "&amp;R1108&amp;AS[[#This Row],[Age Band Code]]&amp;"; "&amp;S1108&amp;AS[[#This Row],[Sex Code]]</f>
        <v xml:space="preserve">Insurer Code ; Reporting Year ; Insurance Category Code ; Large Provider Entity Code ; Age Band Code ; Sex Code </v>
      </c>
      <c r="N1108" s="345" t="s">
        <v>207</v>
      </c>
      <c r="O1108" s="345" t="s">
        <v>208</v>
      </c>
      <c r="P1108" s="345" t="s">
        <v>209</v>
      </c>
      <c r="Q1108" s="345" t="s">
        <v>210</v>
      </c>
      <c r="R1108" s="345" t="s">
        <v>223</v>
      </c>
      <c r="S1108" s="345" t="s">
        <v>224</v>
      </c>
    </row>
    <row r="1109" spans="1:19" x14ac:dyDescent="0.25">
      <c r="A1109" s="311"/>
      <c r="B1109" s="312"/>
      <c r="C1109" s="312"/>
      <c r="D1109" s="312"/>
      <c r="E1109" s="312"/>
      <c r="F1109" s="312"/>
      <c r="G1109" s="328"/>
      <c r="H1109" s="337"/>
      <c r="I1109" s="334"/>
      <c r="J1109" s="314"/>
      <c r="K1109" s="449"/>
      <c r="M1109" s="349" t="str">
        <f>N1109&amp;AS[[#This Row],[Insurer Code]]&amp;"; "&amp;O1109&amp;AS[[#This Row],[Reporting Year]]&amp;"; "&amp;P1109&amp;AS[[#This Row],[Insurance Category Code]]&amp;"; "&amp;Q1109&amp;AS[[#This Row],[Large Provider Entity Code]]&amp;"; "&amp;R1109&amp;AS[[#This Row],[Age Band Code]]&amp;"; "&amp;S1109&amp;AS[[#This Row],[Sex Code]]</f>
        <v xml:space="preserve">Insurer Code ; Reporting Year ; Insurance Category Code ; Large Provider Entity Code ; Age Band Code ; Sex Code </v>
      </c>
      <c r="N1109" s="345" t="s">
        <v>207</v>
      </c>
      <c r="O1109" s="345" t="s">
        <v>208</v>
      </c>
      <c r="P1109" s="345" t="s">
        <v>209</v>
      </c>
      <c r="Q1109" s="345" t="s">
        <v>210</v>
      </c>
      <c r="R1109" s="345" t="s">
        <v>223</v>
      </c>
      <c r="S1109" s="345" t="s">
        <v>224</v>
      </c>
    </row>
    <row r="1110" spans="1:19" x14ac:dyDescent="0.25">
      <c r="A1110" s="311"/>
      <c r="B1110" s="312"/>
      <c r="C1110" s="312"/>
      <c r="D1110" s="312"/>
      <c r="E1110" s="312"/>
      <c r="F1110" s="312"/>
      <c r="G1110" s="328"/>
      <c r="H1110" s="337"/>
      <c r="I1110" s="334"/>
      <c r="J1110" s="314"/>
      <c r="K1110" s="449"/>
      <c r="M1110" s="349" t="str">
        <f>N1110&amp;AS[[#This Row],[Insurer Code]]&amp;"; "&amp;O1110&amp;AS[[#This Row],[Reporting Year]]&amp;"; "&amp;P1110&amp;AS[[#This Row],[Insurance Category Code]]&amp;"; "&amp;Q1110&amp;AS[[#This Row],[Large Provider Entity Code]]&amp;"; "&amp;R1110&amp;AS[[#This Row],[Age Band Code]]&amp;"; "&amp;S1110&amp;AS[[#This Row],[Sex Code]]</f>
        <v xml:space="preserve">Insurer Code ; Reporting Year ; Insurance Category Code ; Large Provider Entity Code ; Age Band Code ; Sex Code </v>
      </c>
      <c r="N1110" s="345" t="s">
        <v>207</v>
      </c>
      <c r="O1110" s="345" t="s">
        <v>208</v>
      </c>
      <c r="P1110" s="345" t="s">
        <v>209</v>
      </c>
      <c r="Q1110" s="345" t="s">
        <v>210</v>
      </c>
      <c r="R1110" s="345" t="s">
        <v>223</v>
      </c>
      <c r="S1110" s="345" t="s">
        <v>224</v>
      </c>
    </row>
    <row r="1111" spans="1:19" x14ac:dyDescent="0.25">
      <c r="A1111" s="311"/>
      <c r="B1111" s="312"/>
      <c r="C1111" s="312"/>
      <c r="D1111" s="312"/>
      <c r="E1111" s="312"/>
      <c r="F1111" s="312"/>
      <c r="G1111" s="328"/>
      <c r="H1111" s="337"/>
      <c r="I1111" s="334"/>
      <c r="J1111" s="314"/>
      <c r="K1111" s="449"/>
      <c r="M1111" s="349" t="str">
        <f>N1111&amp;AS[[#This Row],[Insurer Code]]&amp;"; "&amp;O1111&amp;AS[[#This Row],[Reporting Year]]&amp;"; "&amp;P1111&amp;AS[[#This Row],[Insurance Category Code]]&amp;"; "&amp;Q1111&amp;AS[[#This Row],[Large Provider Entity Code]]&amp;"; "&amp;R1111&amp;AS[[#This Row],[Age Band Code]]&amp;"; "&amp;S1111&amp;AS[[#This Row],[Sex Code]]</f>
        <v xml:space="preserve">Insurer Code ; Reporting Year ; Insurance Category Code ; Large Provider Entity Code ; Age Band Code ; Sex Code </v>
      </c>
      <c r="N1111" s="345" t="s">
        <v>207</v>
      </c>
      <c r="O1111" s="345" t="s">
        <v>208</v>
      </c>
      <c r="P1111" s="345" t="s">
        <v>209</v>
      </c>
      <c r="Q1111" s="345" t="s">
        <v>210</v>
      </c>
      <c r="R1111" s="345" t="s">
        <v>223</v>
      </c>
      <c r="S1111" s="345" t="s">
        <v>224</v>
      </c>
    </row>
    <row r="1112" spans="1:19" x14ac:dyDescent="0.25">
      <c r="A1112" s="311"/>
      <c r="B1112" s="312"/>
      <c r="C1112" s="312"/>
      <c r="D1112" s="312"/>
      <c r="E1112" s="312"/>
      <c r="F1112" s="312"/>
      <c r="G1112" s="328"/>
      <c r="H1112" s="337"/>
      <c r="I1112" s="334"/>
      <c r="J1112" s="314"/>
      <c r="K1112" s="449"/>
      <c r="M1112" s="349" t="str">
        <f>N1112&amp;AS[[#This Row],[Insurer Code]]&amp;"; "&amp;O1112&amp;AS[[#This Row],[Reporting Year]]&amp;"; "&amp;P1112&amp;AS[[#This Row],[Insurance Category Code]]&amp;"; "&amp;Q1112&amp;AS[[#This Row],[Large Provider Entity Code]]&amp;"; "&amp;R1112&amp;AS[[#This Row],[Age Band Code]]&amp;"; "&amp;S1112&amp;AS[[#This Row],[Sex Code]]</f>
        <v xml:space="preserve">Insurer Code ; Reporting Year ; Insurance Category Code ; Large Provider Entity Code ; Age Band Code ; Sex Code </v>
      </c>
      <c r="N1112" s="345" t="s">
        <v>207</v>
      </c>
      <c r="O1112" s="345" t="s">
        <v>208</v>
      </c>
      <c r="P1112" s="345" t="s">
        <v>209</v>
      </c>
      <c r="Q1112" s="345" t="s">
        <v>210</v>
      </c>
      <c r="R1112" s="345" t="s">
        <v>223</v>
      </c>
      <c r="S1112" s="345" t="s">
        <v>224</v>
      </c>
    </row>
    <row r="1113" spans="1:19" x14ac:dyDescent="0.25">
      <c r="A1113" s="311"/>
      <c r="B1113" s="312"/>
      <c r="C1113" s="312"/>
      <c r="D1113" s="312"/>
      <c r="E1113" s="312"/>
      <c r="F1113" s="312"/>
      <c r="G1113" s="328"/>
      <c r="H1113" s="337"/>
      <c r="I1113" s="334"/>
      <c r="J1113" s="314"/>
      <c r="K1113" s="449"/>
      <c r="M1113" s="349" t="str">
        <f>N1113&amp;AS[[#This Row],[Insurer Code]]&amp;"; "&amp;O1113&amp;AS[[#This Row],[Reporting Year]]&amp;"; "&amp;P1113&amp;AS[[#This Row],[Insurance Category Code]]&amp;"; "&amp;Q1113&amp;AS[[#This Row],[Large Provider Entity Code]]&amp;"; "&amp;R1113&amp;AS[[#This Row],[Age Band Code]]&amp;"; "&amp;S1113&amp;AS[[#This Row],[Sex Code]]</f>
        <v xml:space="preserve">Insurer Code ; Reporting Year ; Insurance Category Code ; Large Provider Entity Code ; Age Band Code ; Sex Code </v>
      </c>
      <c r="N1113" s="345" t="s">
        <v>207</v>
      </c>
      <c r="O1113" s="345" t="s">
        <v>208</v>
      </c>
      <c r="P1113" s="345" t="s">
        <v>209</v>
      </c>
      <c r="Q1113" s="345" t="s">
        <v>210</v>
      </c>
      <c r="R1113" s="345" t="s">
        <v>223</v>
      </c>
      <c r="S1113" s="345" t="s">
        <v>224</v>
      </c>
    </row>
    <row r="1114" spans="1:19" x14ac:dyDescent="0.25">
      <c r="A1114" s="311"/>
      <c r="B1114" s="312"/>
      <c r="C1114" s="312"/>
      <c r="D1114" s="312"/>
      <c r="E1114" s="312"/>
      <c r="F1114" s="312"/>
      <c r="G1114" s="328"/>
      <c r="H1114" s="337"/>
      <c r="I1114" s="334"/>
      <c r="J1114" s="314"/>
      <c r="K1114" s="449"/>
      <c r="M1114" s="349" t="str">
        <f>N1114&amp;AS[[#This Row],[Insurer Code]]&amp;"; "&amp;O1114&amp;AS[[#This Row],[Reporting Year]]&amp;"; "&amp;P1114&amp;AS[[#This Row],[Insurance Category Code]]&amp;"; "&amp;Q1114&amp;AS[[#This Row],[Large Provider Entity Code]]&amp;"; "&amp;R1114&amp;AS[[#This Row],[Age Band Code]]&amp;"; "&amp;S1114&amp;AS[[#This Row],[Sex Code]]</f>
        <v xml:space="preserve">Insurer Code ; Reporting Year ; Insurance Category Code ; Large Provider Entity Code ; Age Band Code ; Sex Code </v>
      </c>
      <c r="N1114" s="345" t="s">
        <v>207</v>
      </c>
      <c r="O1114" s="345" t="s">
        <v>208</v>
      </c>
      <c r="P1114" s="345" t="s">
        <v>209</v>
      </c>
      <c r="Q1114" s="345" t="s">
        <v>210</v>
      </c>
      <c r="R1114" s="345" t="s">
        <v>223</v>
      </c>
      <c r="S1114" s="345" t="s">
        <v>224</v>
      </c>
    </row>
    <row r="1115" spans="1:19" x14ac:dyDescent="0.25">
      <c r="A1115" s="311"/>
      <c r="B1115" s="312"/>
      <c r="C1115" s="312"/>
      <c r="D1115" s="312"/>
      <c r="E1115" s="312"/>
      <c r="F1115" s="312"/>
      <c r="G1115" s="328"/>
      <c r="H1115" s="337"/>
      <c r="I1115" s="334"/>
      <c r="J1115" s="314"/>
      <c r="K1115" s="449"/>
      <c r="M1115" s="349" t="str">
        <f>N1115&amp;AS[[#This Row],[Insurer Code]]&amp;"; "&amp;O1115&amp;AS[[#This Row],[Reporting Year]]&amp;"; "&amp;P1115&amp;AS[[#This Row],[Insurance Category Code]]&amp;"; "&amp;Q1115&amp;AS[[#This Row],[Large Provider Entity Code]]&amp;"; "&amp;R1115&amp;AS[[#This Row],[Age Band Code]]&amp;"; "&amp;S1115&amp;AS[[#This Row],[Sex Code]]</f>
        <v xml:space="preserve">Insurer Code ; Reporting Year ; Insurance Category Code ; Large Provider Entity Code ; Age Band Code ; Sex Code </v>
      </c>
      <c r="N1115" s="345" t="s">
        <v>207</v>
      </c>
      <c r="O1115" s="345" t="s">
        <v>208</v>
      </c>
      <c r="P1115" s="345" t="s">
        <v>209</v>
      </c>
      <c r="Q1115" s="345" t="s">
        <v>210</v>
      </c>
      <c r="R1115" s="345" t="s">
        <v>223</v>
      </c>
      <c r="S1115" s="345" t="s">
        <v>224</v>
      </c>
    </row>
    <row r="1116" spans="1:19" x14ac:dyDescent="0.25">
      <c r="A1116" s="311"/>
      <c r="B1116" s="312"/>
      <c r="C1116" s="312"/>
      <c r="D1116" s="312"/>
      <c r="E1116" s="312"/>
      <c r="F1116" s="312"/>
      <c r="G1116" s="328"/>
      <c r="H1116" s="337"/>
      <c r="I1116" s="334"/>
      <c r="J1116" s="314"/>
      <c r="K1116" s="449"/>
      <c r="M1116" s="349" t="str">
        <f>N1116&amp;AS[[#This Row],[Insurer Code]]&amp;"; "&amp;O1116&amp;AS[[#This Row],[Reporting Year]]&amp;"; "&amp;P1116&amp;AS[[#This Row],[Insurance Category Code]]&amp;"; "&amp;Q1116&amp;AS[[#This Row],[Large Provider Entity Code]]&amp;"; "&amp;R1116&amp;AS[[#This Row],[Age Band Code]]&amp;"; "&amp;S1116&amp;AS[[#This Row],[Sex Code]]</f>
        <v xml:space="preserve">Insurer Code ; Reporting Year ; Insurance Category Code ; Large Provider Entity Code ; Age Band Code ; Sex Code </v>
      </c>
      <c r="N1116" s="345" t="s">
        <v>207</v>
      </c>
      <c r="O1116" s="345" t="s">
        <v>208</v>
      </c>
      <c r="P1116" s="345" t="s">
        <v>209</v>
      </c>
      <c r="Q1116" s="345" t="s">
        <v>210</v>
      </c>
      <c r="R1116" s="345" t="s">
        <v>223</v>
      </c>
      <c r="S1116" s="345" t="s">
        <v>224</v>
      </c>
    </row>
    <row r="1117" spans="1:19" x14ac:dyDescent="0.25">
      <c r="A1117" s="311"/>
      <c r="B1117" s="312"/>
      <c r="C1117" s="312"/>
      <c r="D1117" s="312"/>
      <c r="E1117" s="312"/>
      <c r="F1117" s="312"/>
      <c r="G1117" s="328"/>
      <c r="H1117" s="337"/>
      <c r="I1117" s="334"/>
      <c r="J1117" s="314"/>
      <c r="K1117" s="449"/>
      <c r="M1117" s="349" t="str">
        <f>N1117&amp;AS[[#This Row],[Insurer Code]]&amp;"; "&amp;O1117&amp;AS[[#This Row],[Reporting Year]]&amp;"; "&amp;P1117&amp;AS[[#This Row],[Insurance Category Code]]&amp;"; "&amp;Q1117&amp;AS[[#This Row],[Large Provider Entity Code]]&amp;"; "&amp;R1117&amp;AS[[#This Row],[Age Band Code]]&amp;"; "&amp;S1117&amp;AS[[#This Row],[Sex Code]]</f>
        <v xml:space="preserve">Insurer Code ; Reporting Year ; Insurance Category Code ; Large Provider Entity Code ; Age Band Code ; Sex Code </v>
      </c>
      <c r="N1117" s="345" t="s">
        <v>207</v>
      </c>
      <c r="O1117" s="345" t="s">
        <v>208</v>
      </c>
      <c r="P1117" s="345" t="s">
        <v>209</v>
      </c>
      <c r="Q1117" s="345" t="s">
        <v>210</v>
      </c>
      <c r="R1117" s="345" t="s">
        <v>223</v>
      </c>
      <c r="S1117" s="345" t="s">
        <v>224</v>
      </c>
    </row>
    <row r="1118" spans="1:19" x14ac:dyDescent="0.25">
      <c r="A1118" s="311"/>
      <c r="B1118" s="312"/>
      <c r="C1118" s="312"/>
      <c r="D1118" s="312"/>
      <c r="E1118" s="312"/>
      <c r="F1118" s="312"/>
      <c r="G1118" s="328"/>
      <c r="H1118" s="337"/>
      <c r="I1118" s="334"/>
      <c r="J1118" s="314"/>
      <c r="K1118" s="449"/>
      <c r="M1118" s="349" t="str">
        <f>N1118&amp;AS[[#This Row],[Insurer Code]]&amp;"; "&amp;O1118&amp;AS[[#This Row],[Reporting Year]]&amp;"; "&amp;P1118&amp;AS[[#This Row],[Insurance Category Code]]&amp;"; "&amp;Q1118&amp;AS[[#This Row],[Large Provider Entity Code]]&amp;"; "&amp;R1118&amp;AS[[#This Row],[Age Band Code]]&amp;"; "&amp;S1118&amp;AS[[#This Row],[Sex Code]]</f>
        <v xml:space="preserve">Insurer Code ; Reporting Year ; Insurance Category Code ; Large Provider Entity Code ; Age Band Code ; Sex Code </v>
      </c>
      <c r="N1118" s="345" t="s">
        <v>207</v>
      </c>
      <c r="O1118" s="345" t="s">
        <v>208</v>
      </c>
      <c r="P1118" s="345" t="s">
        <v>209</v>
      </c>
      <c r="Q1118" s="345" t="s">
        <v>210</v>
      </c>
      <c r="R1118" s="345" t="s">
        <v>223</v>
      </c>
      <c r="S1118" s="345" t="s">
        <v>224</v>
      </c>
    </row>
    <row r="1119" spans="1:19" x14ac:dyDescent="0.25">
      <c r="A1119" s="311"/>
      <c r="B1119" s="312"/>
      <c r="C1119" s="312"/>
      <c r="D1119" s="312"/>
      <c r="E1119" s="312"/>
      <c r="F1119" s="312"/>
      <c r="G1119" s="328"/>
      <c r="H1119" s="337"/>
      <c r="I1119" s="334"/>
      <c r="J1119" s="314"/>
      <c r="K1119" s="449"/>
      <c r="M1119" s="349" t="str">
        <f>N1119&amp;AS[[#This Row],[Insurer Code]]&amp;"; "&amp;O1119&amp;AS[[#This Row],[Reporting Year]]&amp;"; "&amp;P1119&amp;AS[[#This Row],[Insurance Category Code]]&amp;"; "&amp;Q1119&amp;AS[[#This Row],[Large Provider Entity Code]]&amp;"; "&amp;R1119&amp;AS[[#This Row],[Age Band Code]]&amp;"; "&amp;S1119&amp;AS[[#This Row],[Sex Code]]</f>
        <v xml:space="preserve">Insurer Code ; Reporting Year ; Insurance Category Code ; Large Provider Entity Code ; Age Band Code ; Sex Code </v>
      </c>
      <c r="N1119" s="345" t="s">
        <v>207</v>
      </c>
      <c r="O1119" s="345" t="s">
        <v>208</v>
      </c>
      <c r="P1119" s="345" t="s">
        <v>209</v>
      </c>
      <c r="Q1119" s="345" t="s">
        <v>210</v>
      </c>
      <c r="R1119" s="345" t="s">
        <v>223</v>
      </c>
      <c r="S1119" s="345" t="s">
        <v>224</v>
      </c>
    </row>
    <row r="1120" spans="1:19" x14ac:dyDescent="0.25">
      <c r="A1120" s="311"/>
      <c r="B1120" s="312"/>
      <c r="C1120" s="312"/>
      <c r="D1120" s="312"/>
      <c r="E1120" s="312"/>
      <c r="F1120" s="312"/>
      <c r="G1120" s="328"/>
      <c r="H1120" s="337"/>
      <c r="I1120" s="334"/>
      <c r="J1120" s="314"/>
      <c r="K1120" s="449"/>
      <c r="M1120" s="349" t="str">
        <f>N1120&amp;AS[[#This Row],[Insurer Code]]&amp;"; "&amp;O1120&amp;AS[[#This Row],[Reporting Year]]&amp;"; "&amp;P1120&amp;AS[[#This Row],[Insurance Category Code]]&amp;"; "&amp;Q1120&amp;AS[[#This Row],[Large Provider Entity Code]]&amp;"; "&amp;R1120&amp;AS[[#This Row],[Age Band Code]]&amp;"; "&amp;S1120&amp;AS[[#This Row],[Sex Code]]</f>
        <v xml:space="preserve">Insurer Code ; Reporting Year ; Insurance Category Code ; Large Provider Entity Code ; Age Band Code ; Sex Code </v>
      </c>
      <c r="N1120" s="345" t="s">
        <v>207</v>
      </c>
      <c r="O1120" s="345" t="s">
        <v>208</v>
      </c>
      <c r="P1120" s="345" t="s">
        <v>209</v>
      </c>
      <c r="Q1120" s="345" t="s">
        <v>210</v>
      </c>
      <c r="R1120" s="345" t="s">
        <v>223</v>
      </c>
      <c r="S1120" s="345" t="s">
        <v>224</v>
      </c>
    </row>
    <row r="1121" spans="1:19" x14ac:dyDescent="0.25">
      <c r="A1121" s="311"/>
      <c r="B1121" s="312"/>
      <c r="C1121" s="312"/>
      <c r="D1121" s="312"/>
      <c r="E1121" s="312"/>
      <c r="F1121" s="312"/>
      <c r="G1121" s="328"/>
      <c r="H1121" s="337"/>
      <c r="I1121" s="334"/>
      <c r="J1121" s="314"/>
      <c r="K1121" s="449"/>
      <c r="M1121" s="349" t="str">
        <f>N1121&amp;AS[[#This Row],[Insurer Code]]&amp;"; "&amp;O1121&amp;AS[[#This Row],[Reporting Year]]&amp;"; "&amp;P1121&amp;AS[[#This Row],[Insurance Category Code]]&amp;"; "&amp;Q1121&amp;AS[[#This Row],[Large Provider Entity Code]]&amp;"; "&amp;R1121&amp;AS[[#This Row],[Age Band Code]]&amp;"; "&amp;S1121&amp;AS[[#This Row],[Sex Code]]</f>
        <v xml:space="preserve">Insurer Code ; Reporting Year ; Insurance Category Code ; Large Provider Entity Code ; Age Band Code ; Sex Code </v>
      </c>
      <c r="N1121" s="345" t="s">
        <v>207</v>
      </c>
      <c r="O1121" s="345" t="s">
        <v>208</v>
      </c>
      <c r="P1121" s="345" t="s">
        <v>209</v>
      </c>
      <c r="Q1121" s="345" t="s">
        <v>210</v>
      </c>
      <c r="R1121" s="345" t="s">
        <v>223</v>
      </c>
      <c r="S1121" s="345" t="s">
        <v>224</v>
      </c>
    </row>
    <row r="1122" spans="1:19" x14ac:dyDescent="0.25">
      <c r="A1122" s="311"/>
      <c r="B1122" s="312"/>
      <c r="C1122" s="312"/>
      <c r="D1122" s="312"/>
      <c r="E1122" s="312"/>
      <c r="F1122" s="312"/>
      <c r="G1122" s="328"/>
      <c r="H1122" s="337"/>
      <c r="I1122" s="334"/>
      <c r="J1122" s="314"/>
      <c r="K1122" s="449"/>
      <c r="M1122" s="349" t="str">
        <f>N1122&amp;AS[[#This Row],[Insurer Code]]&amp;"; "&amp;O1122&amp;AS[[#This Row],[Reporting Year]]&amp;"; "&amp;P1122&amp;AS[[#This Row],[Insurance Category Code]]&amp;"; "&amp;Q1122&amp;AS[[#This Row],[Large Provider Entity Code]]&amp;"; "&amp;R1122&amp;AS[[#This Row],[Age Band Code]]&amp;"; "&amp;S1122&amp;AS[[#This Row],[Sex Code]]</f>
        <v xml:space="preserve">Insurer Code ; Reporting Year ; Insurance Category Code ; Large Provider Entity Code ; Age Band Code ; Sex Code </v>
      </c>
      <c r="N1122" s="345" t="s">
        <v>207</v>
      </c>
      <c r="O1122" s="345" t="s">
        <v>208</v>
      </c>
      <c r="P1122" s="345" t="s">
        <v>209</v>
      </c>
      <c r="Q1122" s="345" t="s">
        <v>210</v>
      </c>
      <c r="R1122" s="345" t="s">
        <v>223</v>
      </c>
      <c r="S1122" s="345" t="s">
        <v>224</v>
      </c>
    </row>
    <row r="1123" spans="1:19" x14ac:dyDescent="0.25">
      <c r="A1123" s="311"/>
      <c r="B1123" s="312"/>
      <c r="C1123" s="312"/>
      <c r="D1123" s="312"/>
      <c r="E1123" s="312"/>
      <c r="F1123" s="312"/>
      <c r="G1123" s="328"/>
      <c r="H1123" s="337"/>
      <c r="I1123" s="334"/>
      <c r="J1123" s="314"/>
      <c r="K1123" s="449"/>
      <c r="M1123" s="349" t="str">
        <f>N1123&amp;AS[[#This Row],[Insurer Code]]&amp;"; "&amp;O1123&amp;AS[[#This Row],[Reporting Year]]&amp;"; "&amp;P1123&amp;AS[[#This Row],[Insurance Category Code]]&amp;"; "&amp;Q1123&amp;AS[[#This Row],[Large Provider Entity Code]]&amp;"; "&amp;R1123&amp;AS[[#This Row],[Age Band Code]]&amp;"; "&amp;S1123&amp;AS[[#This Row],[Sex Code]]</f>
        <v xml:space="preserve">Insurer Code ; Reporting Year ; Insurance Category Code ; Large Provider Entity Code ; Age Band Code ; Sex Code </v>
      </c>
      <c r="N1123" s="345" t="s">
        <v>207</v>
      </c>
      <c r="O1123" s="345" t="s">
        <v>208</v>
      </c>
      <c r="P1123" s="345" t="s">
        <v>209</v>
      </c>
      <c r="Q1123" s="345" t="s">
        <v>210</v>
      </c>
      <c r="R1123" s="345" t="s">
        <v>223</v>
      </c>
      <c r="S1123" s="345" t="s">
        <v>224</v>
      </c>
    </row>
    <row r="1124" spans="1:19" x14ac:dyDescent="0.25">
      <c r="A1124" s="311"/>
      <c r="B1124" s="312"/>
      <c r="C1124" s="312"/>
      <c r="D1124" s="312"/>
      <c r="E1124" s="312"/>
      <c r="F1124" s="312"/>
      <c r="G1124" s="328"/>
      <c r="H1124" s="337"/>
      <c r="I1124" s="334"/>
      <c r="J1124" s="314"/>
      <c r="K1124" s="449"/>
      <c r="M1124" s="349" t="str">
        <f>N1124&amp;AS[[#This Row],[Insurer Code]]&amp;"; "&amp;O1124&amp;AS[[#This Row],[Reporting Year]]&amp;"; "&amp;P1124&amp;AS[[#This Row],[Insurance Category Code]]&amp;"; "&amp;Q1124&amp;AS[[#This Row],[Large Provider Entity Code]]&amp;"; "&amp;R1124&amp;AS[[#This Row],[Age Band Code]]&amp;"; "&amp;S1124&amp;AS[[#This Row],[Sex Code]]</f>
        <v xml:space="preserve">Insurer Code ; Reporting Year ; Insurance Category Code ; Large Provider Entity Code ; Age Band Code ; Sex Code </v>
      </c>
      <c r="N1124" s="345" t="s">
        <v>207</v>
      </c>
      <c r="O1124" s="345" t="s">
        <v>208</v>
      </c>
      <c r="P1124" s="345" t="s">
        <v>209</v>
      </c>
      <c r="Q1124" s="345" t="s">
        <v>210</v>
      </c>
      <c r="R1124" s="345" t="s">
        <v>223</v>
      </c>
      <c r="S1124" s="345" t="s">
        <v>224</v>
      </c>
    </row>
    <row r="1125" spans="1:19" x14ac:dyDescent="0.25">
      <c r="A1125" s="311"/>
      <c r="B1125" s="312"/>
      <c r="C1125" s="312"/>
      <c r="D1125" s="312"/>
      <c r="E1125" s="312"/>
      <c r="F1125" s="312"/>
      <c r="G1125" s="328"/>
      <c r="H1125" s="337"/>
      <c r="I1125" s="334"/>
      <c r="J1125" s="314"/>
      <c r="K1125" s="449"/>
      <c r="M1125" s="349" t="str">
        <f>N1125&amp;AS[[#This Row],[Insurer Code]]&amp;"; "&amp;O1125&amp;AS[[#This Row],[Reporting Year]]&amp;"; "&amp;P1125&amp;AS[[#This Row],[Insurance Category Code]]&amp;"; "&amp;Q1125&amp;AS[[#This Row],[Large Provider Entity Code]]&amp;"; "&amp;R1125&amp;AS[[#This Row],[Age Band Code]]&amp;"; "&amp;S1125&amp;AS[[#This Row],[Sex Code]]</f>
        <v xml:space="preserve">Insurer Code ; Reporting Year ; Insurance Category Code ; Large Provider Entity Code ; Age Band Code ; Sex Code </v>
      </c>
      <c r="N1125" s="345" t="s">
        <v>207</v>
      </c>
      <c r="O1125" s="345" t="s">
        <v>208</v>
      </c>
      <c r="P1125" s="345" t="s">
        <v>209</v>
      </c>
      <c r="Q1125" s="345" t="s">
        <v>210</v>
      </c>
      <c r="R1125" s="345" t="s">
        <v>223</v>
      </c>
      <c r="S1125" s="345" t="s">
        <v>224</v>
      </c>
    </row>
    <row r="1126" spans="1:19" x14ac:dyDescent="0.25">
      <c r="A1126" s="311"/>
      <c r="B1126" s="312"/>
      <c r="C1126" s="312"/>
      <c r="D1126" s="312"/>
      <c r="E1126" s="312"/>
      <c r="F1126" s="312"/>
      <c r="G1126" s="328"/>
      <c r="H1126" s="337"/>
      <c r="I1126" s="334"/>
      <c r="J1126" s="314"/>
      <c r="K1126" s="449"/>
      <c r="M1126" s="349" t="str">
        <f>N1126&amp;AS[[#This Row],[Insurer Code]]&amp;"; "&amp;O1126&amp;AS[[#This Row],[Reporting Year]]&amp;"; "&amp;P1126&amp;AS[[#This Row],[Insurance Category Code]]&amp;"; "&amp;Q1126&amp;AS[[#This Row],[Large Provider Entity Code]]&amp;"; "&amp;R1126&amp;AS[[#This Row],[Age Band Code]]&amp;"; "&amp;S1126&amp;AS[[#This Row],[Sex Code]]</f>
        <v xml:space="preserve">Insurer Code ; Reporting Year ; Insurance Category Code ; Large Provider Entity Code ; Age Band Code ; Sex Code </v>
      </c>
      <c r="N1126" s="345" t="s">
        <v>207</v>
      </c>
      <c r="O1126" s="345" t="s">
        <v>208</v>
      </c>
      <c r="P1126" s="345" t="s">
        <v>209</v>
      </c>
      <c r="Q1126" s="345" t="s">
        <v>210</v>
      </c>
      <c r="R1126" s="345" t="s">
        <v>223</v>
      </c>
      <c r="S1126" s="345" t="s">
        <v>224</v>
      </c>
    </row>
    <row r="1127" spans="1:19" x14ac:dyDescent="0.25">
      <c r="A1127" s="311"/>
      <c r="B1127" s="312"/>
      <c r="C1127" s="312"/>
      <c r="D1127" s="312"/>
      <c r="E1127" s="312"/>
      <c r="F1127" s="312"/>
      <c r="G1127" s="328"/>
      <c r="H1127" s="337"/>
      <c r="I1127" s="334"/>
      <c r="J1127" s="314"/>
      <c r="K1127" s="449"/>
      <c r="M1127" s="349" t="str">
        <f>N1127&amp;AS[[#This Row],[Insurer Code]]&amp;"; "&amp;O1127&amp;AS[[#This Row],[Reporting Year]]&amp;"; "&amp;P1127&amp;AS[[#This Row],[Insurance Category Code]]&amp;"; "&amp;Q1127&amp;AS[[#This Row],[Large Provider Entity Code]]&amp;"; "&amp;R1127&amp;AS[[#This Row],[Age Band Code]]&amp;"; "&amp;S1127&amp;AS[[#This Row],[Sex Code]]</f>
        <v xml:space="preserve">Insurer Code ; Reporting Year ; Insurance Category Code ; Large Provider Entity Code ; Age Band Code ; Sex Code </v>
      </c>
      <c r="N1127" s="345" t="s">
        <v>207</v>
      </c>
      <c r="O1127" s="345" t="s">
        <v>208</v>
      </c>
      <c r="P1127" s="345" t="s">
        <v>209</v>
      </c>
      <c r="Q1127" s="345" t="s">
        <v>210</v>
      </c>
      <c r="R1127" s="345" t="s">
        <v>223</v>
      </c>
      <c r="S1127" s="345" t="s">
        <v>224</v>
      </c>
    </row>
    <row r="1128" spans="1:19" x14ac:dyDescent="0.25">
      <c r="A1128" s="311"/>
      <c r="B1128" s="312"/>
      <c r="C1128" s="312"/>
      <c r="D1128" s="312"/>
      <c r="E1128" s="312"/>
      <c r="F1128" s="312"/>
      <c r="G1128" s="328"/>
      <c r="H1128" s="337"/>
      <c r="I1128" s="334"/>
      <c r="J1128" s="314"/>
      <c r="K1128" s="449"/>
      <c r="M1128" s="349" t="str">
        <f>N1128&amp;AS[[#This Row],[Insurer Code]]&amp;"; "&amp;O1128&amp;AS[[#This Row],[Reporting Year]]&amp;"; "&amp;P1128&amp;AS[[#This Row],[Insurance Category Code]]&amp;"; "&amp;Q1128&amp;AS[[#This Row],[Large Provider Entity Code]]&amp;"; "&amp;R1128&amp;AS[[#This Row],[Age Band Code]]&amp;"; "&amp;S1128&amp;AS[[#This Row],[Sex Code]]</f>
        <v xml:space="preserve">Insurer Code ; Reporting Year ; Insurance Category Code ; Large Provider Entity Code ; Age Band Code ; Sex Code </v>
      </c>
      <c r="N1128" s="345" t="s">
        <v>207</v>
      </c>
      <c r="O1128" s="345" t="s">
        <v>208</v>
      </c>
      <c r="P1128" s="345" t="s">
        <v>209</v>
      </c>
      <c r="Q1128" s="345" t="s">
        <v>210</v>
      </c>
      <c r="R1128" s="345" t="s">
        <v>223</v>
      </c>
      <c r="S1128" s="345" t="s">
        <v>224</v>
      </c>
    </row>
    <row r="1129" spans="1:19" x14ac:dyDescent="0.25">
      <c r="A1129" s="311"/>
      <c r="B1129" s="312"/>
      <c r="C1129" s="312"/>
      <c r="D1129" s="312"/>
      <c r="E1129" s="312"/>
      <c r="F1129" s="312"/>
      <c r="G1129" s="328"/>
      <c r="H1129" s="337"/>
      <c r="I1129" s="334"/>
      <c r="J1129" s="314"/>
      <c r="K1129" s="449"/>
      <c r="M1129" s="349" t="str">
        <f>N1129&amp;AS[[#This Row],[Insurer Code]]&amp;"; "&amp;O1129&amp;AS[[#This Row],[Reporting Year]]&amp;"; "&amp;P1129&amp;AS[[#This Row],[Insurance Category Code]]&amp;"; "&amp;Q1129&amp;AS[[#This Row],[Large Provider Entity Code]]&amp;"; "&amp;R1129&amp;AS[[#This Row],[Age Band Code]]&amp;"; "&amp;S1129&amp;AS[[#This Row],[Sex Code]]</f>
        <v xml:space="preserve">Insurer Code ; Reporting Year ; Insurance Category Code ; Large Provider Entity Code ; Age Band Code ; Sex Code </v>
      </c>
      <c r="N1129" s="345" t="s">
        <v>207</v>
      </c>
      <c r="O1129" s="345" t="s">
        <v>208</v>
      </c>
      <c r="P1129" s="345" t="s">
        <v>209</v>
      </c>
      <c r="Q1129" s="345" t="s">
        <v>210</v>
      </c>
      <c r="R1129" s="345" t="s">
        <v>223</v>
      </c>
      <c r="S1129" s="345" t="s">
        <v>224</v>
      </c>
    </row>
    <row r="1130" spans="1:19" x14ac:dyDescent="0.25">
      <c r="A1130" s="311"/>
      <c r="B1130" s="312"/>
      <c r="C1130" s="312"/>
      <c r="D1130" s="312"/>
      <c r="E1130" s="312"/>
      <c r="F1130" s="312"/>
      <c r="G1130" s="328"/>
      <c r="H1130" s="337"/>
      <c r="I1130" s="334"/>
      <c r="J1130" s="314"/>
      <c r="K1130" s="449"/>
      <c r="M1130" s="349" t="str">
        <f>N1130&amp;AS[[#This Row],[Insurer Code]]&amp;"; "&amp;O1130&amp;AS[[#This Row],[Reporting Year]]&amp;"; "&amp;P1130&amp;AS[[#This Row],[Insurance Category Code]]&amp;"; "&amp;Q1130&amp;AS[[#This Row],[Large Provider Entity Code]]&amp;"; "&amp;R1130&amp;AS[[#This Row],[Age Band Code]]&amp;"; "&amp;S1130&amp;AS[[#This Row],[Sex Code]]</f>
        <v xml:space="preserve">Insurer Code ; Reporting Year ; Insurance Category Code ; Large Provider Entity Code ; Age Band Code ; Sex Code </v>
      </c>
      <c r="N1130" s="345" t="s">
        <v>207</v>
      </c>
      <c r="O1130" s="345" t="s">
        <v>208</v>
      </c>
      <c r="P1130" s="345" t="s">
        <v>209</v>
      </c>
      <c r="Q1130" s="345" t="s">
        <v>210</v>
      </c>
      <c r="R1130" s="345" t="s">
        <v>223</v>
      </c>
      <c r="S1130" s="345" t="s">
        <v>224</v>
      </c>
    </row>
    <row r="1131" spans="1:19" x14ac:dyDescent="0.25">
      <c r="A1131" s="311"/>
      <c r="B1131" s="312"/>
      <c r="C1131" s="312"/>
      <c r="D1131" s="312"/>
      <c r="E1131" s="312"/>
      <c r="F1131" s="312"/>
      <c r="G1131" s="328"/>
      <c r="H1131" s="337"/>
      <c r="I1131" s="334"/>
      <c r="J1131" s="314"/>
      <c r="K1131" s="449"/>
      <c r="M1131" s="349" t="str">
        <f>N1131&amp;AS[[#This Row],[Insurer Code]]&amp;"; "&amp;O1131&amp;AS[[#This Row],[Reporting Year]]&amp;"; "&amp;P1131&amp;AS[[#This Row],[Insurance Category Code]]&amp;"; "&amp;Q1131&amp;AS[[#This Row],[Large Provider Entity Code]]&amp;"; "&amp;R1131&amp;AS[[#This Row],[Age Band Code]]&amp;"; "&amp;S1131&amp;AS[[#This Row],[Sex Code]]</f>
        <v xml:space="preserve">Insurer Code ; Reporting Year ; Insurance Category Code ; Large Provider Entity Code ; Age Band Code ; Sex Code </v>
      </c>
      <c r="N1131" s="345" t="s">
        <v>207</v>
      </c>
      <c r="O1131" s="345" t="s">
        <v>208</v>
      </c>
      <c r="P1131" s="345" t="s">
        <v>209</v>
      </c>
      <c r="Q1131" s="345" t="s">
        <v>210</v>
      </c>
      <c r="R1131" s="345" t="s">
        <v>223</v>
      </c>
      <c r="S1131" s="345" t="s">
        <v>224</v>
      </c>
    </row>
    <row r="1132" spans="1:19" x14ac:dyDescent="0.25">
      <c r="A1132" s="311"/>
      <c r="B1132" s="312"/>
      <c r="C1132" s="312"/>
      <c r="D1132" s="312"/>
      <c r="E1132" s="312"/>
      <c r="F1132" s="312"/>
      <c r="G1132" s="328"/>
      <c r="H1132" s="337"/>
      <c r="I1132" s="334"/>
      <c r="J1132" s="314"/>
      <c r="K1132" s="449"/>
      <c r="M1132" s="349" t="str">
        <f>N1132&amp;AS[[#This Row],[Insurer Code]]&amp;"; "&amp;O1132&amp;AS[[#This Row],[Reporting Year]]&amp;"; "&amp;P1132&amp;AS[[#This Row],[Insurance Category Code]]&amp;"; "&amp;Q1132&amp;AS[[#This Row],[Large Provider Entity Code]]&amp;"; "&amp;R1132&amp;AS[[#This Row],[Age Band Code]]&amp;"; "&amp;S1132&amp;AS[[#This Row],[Sex Code]]</f>
        <v xml:space="preserve">Insurer Code ; Reporting Year ; Insurance Category Code ; Large Provider Entity Code ; Age Band Code ; Sex Code </v>
      </c>
      <c r="N1132" s="345" t="s">
        <v>207</v>
      </c>
      <c r="O1132" s="345" t="s">
        <v>208</v>
      </c>
      <c r="P1132" s="345" t="s">
        <v>209</v>
      </c>
      <c r="Q1132" s="345" t="s">
        <v>210</v>
      </c>
      <c r="R1132" s="345" t="s">
        <v>223</v>
      </c>
      <c r="S1132" s="345" t="s">
        <v>224</v>
      </c>
    </row>
    <row r="1133" spans="1:19" x14ac:dyDescent="0.25">
      <c r="A1133" s="311"/>
      <c r="B1133" s="312"/>
      <c r="C1133" s="312"/>
      <c r="D1133" s="312"/>
      <c r="E1133" s="312"/>
      <c r="F1133" s="312"/>
      <c r="G1133" s="328"/>
      <c r="H1133" s="337"/>
      <c r="I1133" s="334"/>
      <c r="J1133" s="314"/>
      <c r="K1133" s="449"/>
      <c r="M1133" s="349" t="str">
        <f>N1133&amp;AS[[#This Row],[Insurer Code]]&amp;"; "&amp;O1133&amp;AS[[#This Row],[Reporting Year]]&amp;"; "&amp;P1133&amp;AS[[#This Row],[Insurance Category Code]]&amp;"; "&amp;Q1133&amp;AS[[#This Row],[Large Provider Entity Code]]&amp;"; "&amp;R1133&amp;AS[[#This Row],[Age Band Code]]&amp;"; "&amp;S1133&amp;AS[[#This Row],[Sex Code]]</f>
        <v xml:space="preserve">Insurer Code ; Reporting Year ; Insurance Category Code ; Large Provider Entity Code ; Age Band Code ; Sex Code </v>
      </c>
      <c r="N1133" s="345" t="s">
        <v>207</v>
      </c>
      <c r="O1133" s="345" t="s">
        <v>208</v>
      </c>
      <c r="P1133" s="345" t="s">
        <v>209</v>
      </c>
      <c r="Q1133" s="345" t="s">
        <v>210</v>
      </c>
      <c r="R1133" s="345" t="s">
        <v>223</v>
      </c>
      <c r="S1133" s="345" t="s">
        <v>224</v>
      </c>
    </row>
    <row r="1134" spans="1:19" x14ac:dyDescent="0.25">
      <c r="A1134" s="311"/>
      <c r="B1134" s="312"/>
      <c r="C1134" s="312"/>
      <c r="D1134" s="312"/>
      <c r="E1134" s="312"/>
      <c r="F1134" s="312"/>
      <c r="G1134" s="328"/>
      <c r="H1134" s="337"/>
      <c r="I1134" s="334"/>
      <c r="J1134" s="314"/>
      <c r="K1134" s="449"/>
      <c r="M1134" s="349" t="str">
        <f>N1134&amp;AS[[#This Row],[Insurer Code]]&amp;"; "&amp;O1134&amp;AS[[#This Row],[Reporting Year]]&amp;"; "&amp;P1134&amp;AS[[#This Row],[Insurance Category Code]]&amp;"; "&amp;Q1134&amp;AS[[#This Row],[Large Provider Entity Code]]&amp;"; "&amp;R1134&amp;AS[[#This Row],[Age Band Code]]&amp;"; "&amp;S1134&amp;AS[[#This Row],[Sex Code]]</f>
        <v xml:space="preserve">Insurer Code ; Reporting Year ; Insurance Category Code ; Large Provider Entity Code ; Age Band Code ; Sex Code </v>
      </c>
      <c r="N1134" s="345" t="s">
        <v>207</v>
      </c>
      <c r="O1134" s="345" t="s">
        <v>208</v>
      </c>
      <c r="P1134" s="345" t="s">
        <v>209</v>
      </c>
      <c r="Q1134" s="345" t="s">
        <v>210</v>
      </c>
      <c r="R1134" s="345" t="s">
        <v>223</v>
      </c>
      <c r="S1134" s="345" t="s">
        <v>224</v>
      </c>
    </row>
    <row r="1135" spans="1:19" x14ac:dyDescent="0.25">
      <c r="A1135" s="311"/>
      <c r="B1135" s="312"/>
      <c r="C1135" s="312"/>
      <c r="D1135" s="312"/>
      <c r="E1135" s="312"/>
      <c r="F1135" s="312"/>
      <c r="G1135" s="328"/>
      <c r="H1135" s="337"/>
      <c r="I1135" s="334"/>
      <c r="J1135" s="314"/>
      <c r="K1135" s="449"/>
      <c r="M1135" s="349" t="str">
        <f>N1135&amp;AS[[#This Row],[Insurer Code]]&amp;"; "&amp;O1135&amp;AS[[#This Row],[Reporting Year]]&amp;"; "&amp;P1135&amp;AS[[#This Row],[Insurance Category Code]]&amp;"; "&amp;Q1135&amp;AS[[#This Row],[Large Provider Entity Code]]&amp;"; "&amp;R1135&amp;AS[[#This Row],[Age Band Code]]&amp;"; "&amp;S1135&amp;AS[[#This Row],[Sex Code]]</f>
        <v xml:space="preserve">Insurer Code ; Reporting Year ; Insurance Category Code ; Large Provider Entity Code ; Age Band Code ; Sex Code </v>
      </c>
      <c r="N1135" s="345" t="s">
        <v>207</v>
      </c>
      <c r="O1135" s="345" t="s">
        <v>208</v>
      </c>
      <c r="P1135" s="345" t="s">
        <v>209</v>
      </c>
      <c r="Q1135" s="345" t="s">
        <v>210</v>
      </c>
      <c r="R1135" s="345" t="s">
        <v>223</v>
      </c>
      <c r="S1135" s="345" t="s">
        <v>224</v>
      </c>
    </row>
    <row r="1136" spans="1:19" x14ac:dyDescent="0.25">
      <c r="A1136" s="311"/>
      <c r="B1136" s="312"/>
      <c r="C1136" s="312"/>
      <c r="D1136" s="312"/>
      <c r="E1136" s="312"/>
      <c r="F1136" s="312"/>
      <c r="G1136" s="328"/>
      <c r="H1136" s="337"/>
      <c r="I1136" s="334"/>
      <c r="J1136" s="314"/>
      <c r="K1136" s="449"/>
      <c r="M1136" s="349" t="str">
        <f>N1136&amp;AS[[#This Row],[Insurer Code]]&amp;"; "&amp;O1136&amp;AS[[#This Row],[Reporting Year]]&amp;"; "&amp;P1136&amp;AS[[#This Row],[Insurance Category Code]]&amp;"; "&amp;Q1136&amp;AS[[#This Row],[Large Provider Entity Code]]&amp;"; "&amp;R1136&amp;AS[[#This Row],[Age Band Code]]&amp;"; "&amp;S1136&amp;AS[[#This Row],[Sex Code]]</f>
        <v xml:space="preserve">Insurer Code ; Reporting Year ; Insurance Category Code ; Large Provider Entity Code ; Age Band Code ; Sex Code </v>
      </c>
      <c r="N1136" s="345" t="s">
        <v>207</v>
      </c>
      <c r="O1136" s="345" t="s">
        <v>208</v>
      </c>
      <c r="P1136" s="345" t="s">
        <v>209</v>
      </c>
      <c r="Q1136" s="345" t="s">
        <v>210</v>
      </c>
      <c r="R1136" s="345" t="s">
        <v>223</v>
      </c>
      <c r="S1136" s="345" t="s">
        <v>224</v>
      </c>
    </row>
    <row r="1137" spans="1:19" x14ac:dyDescent="0.25">
      <c r="A1137" s="311"/>
      <c r="B1137" s="312"/>
      <c r="C1137" s="312"/>
      <c r="D1137" s="312"/>
      <c r="E1137" s="312"/>
      <c r="F1137" s="312"/>
      <c r="G1137" s="328"/>
      <c r="H1137" s="337"/>
      <c r="I1137" s="334"/>
      <c r="J1137" s="314"/>
      <c r="K1137" s="449"/>
      <c r="M1137" s="349" t="str">
        <f>N1137&amp;AS[[#This Row],[Insurer Code]]&amp;"; "&amp;O1137&amp;AS[[#This Row],[Reporting Year]]&amp;"; "&amp;P1137&amp;AS[[#This Row],[Insurance Category Code]]&amp;"; "&amp;Q1137&amp;AS[[#This Row],[Large Provider Entity Code]]&amp;"; "&amp;R1137&amp;AS[[#This Row],[Age Band Code]]&amp;"; "&amp;S1137&amp;AS[[#This Row],[Sex Code]]</f>
        <v xml:space="preserve">Insurer Code ; Reporting Year ; Insurance Category Code ; Large Provider Entity Code ; Age Band Code ; Sex Code </v>
      </c>
      <c r="N1137" s="345" t="s">
        <v>207</v>
      </c>
      <c r="O1137" s="345" t="s">
        <v>208</v>
      </c>
      <c r="P1137" s="345" t="s">
        <v>209</v>
      </c>
      <c r="Q1137" s="345" t="s">
        <v>210</v>
      </c>
      <c r="R1137" s="345" t="s">
        <v>223</v>
      </c>
      <c r="S1137" s="345" t="s">
        <v>224</v>
      </c>
    </row>
    <row r="1138" spans="1:19" x14ac:dyDescent="0.25">
      <c r="A1138" s="311"/>
      <c r="B1138" s="312"/>
      <c r="C1138" s="312"/>
      <c r="D1138" s="312"/>
      <c r="E1138" s="312"/>
      <c r="F1138" s="312"/>
      <c r="G1138" s="328"/>
      <c r="H1138" s="337"/>
      <c r="I1138" s="334"/>
      <c r="J1138" s="314"/>
      <c r="K1138" s="449"/>
      <c r="M1138" s="349" t="str">
        <f>N1138&amp;AS[[#This Row],[Insurer Code]]&amp;"; "&amp;O1138&amp;AS[[#This Row],[Reporting Year]]&amp;"; "&amp;P1138&amp;AS[[#This Row],[Insurance Category Code]]&amp;"; "&amp;Q1138&amp;AS[[#This Row],[Large Provider Entity Code]]&amp;"; "&amp;R1138&amp;AS[[#This Row],[Age Band Code]]&amp;"; "&amp;S1138&amp;AS[[#This Row],[Sex Code]]</f>
        <v xml:space="preserve">Insurer Code ; Reporting Year ; Insurance Category Code ; Large Provider Entity Code ; Age Band Code ; Sex Code </v>
      </c>
      <c r="N1138" s="345" t="s">
        <v>207</v>
      </c>
      <c r="O1138" s="345" t="s">
        <v>208</v>
      </c>
      <c r="P1138" s="345" t="s">
        <v>209</v>
      </c>
      <c r="Q1138" s="345" t="s">
        <v>210</v>
      </c>
      <c r="R1138" s="345" t="s">
        <v>223</v>
      </c>
      <c r="S1138" s="345" t="s">
        <v>224</v>
      </c>
    </row>
    <row r="1139" spans="1:19" x14ac:dyDescent="0.25">
      <c r="A1139" s="311"/>
      <c r="B1139" s="312"/>
      <c r="C1139" s="312"/>
      <c r="D1139" s="312"/>
      <c r="E1139" s="312"/>
      <c r="F1139" s="312"/>
      <c r="G1139" s="328"/>
      <c r="H1139" s="337"/>
      <c r="I1139" s="334"/>
      <c r="J1139" s="314"/>
      <c r="K1139" s="449"/>
      <c r="M1139" s="349" t="str">
        <f>N1139&amp;AS[[#This Row],[Insurer Code]]&amp;"; "&amp;O1139&amp;AS[[#This Row],[Reporting Year]]&amp;"; "&amp;P1139&amp;AS[[#This Row],[Insurance Category Code]]&amp;"; "&amp;Q1139&amp;AS[[#This Row],[Large Provider Entity Code]]&amp;"; "&amp;R1139&amp;AS[[#This Row],[Age Band Code]]&amp;"; "&amp;S1139&amp;AS[[#This Row],[Sex Code]]</f>
        <v xml:space="preserve">Insurer Code ; Reporting Year ; Insurance Category Code ; Large Provider Entity Code ; Age Band Code ; Sex Code </v>
      </c>
      <c r="N1139" s="345" t="s">
        <v>207</v>
      </c>
      <c r="O1139" s="345" t="s">
        <v>208</v>
      </c>
      <c r="P1139" s="345" t="s">
        <v>209</v>
      </c>
      <c r="Q1139" s="345" t="s">
        <v>210</v>
      </c>
      <c r="R1139" s="345" t="s">
        <v>223</v>
      </c>
      <c r="S1139" s="345" t="s">
        <v>224</v>
      </c>
    </row>
    <row r="1140" spans="1:19" x14ac:dyDescent="0.25">
      <c r="A1140" s="311"/>
      <c r="B1140" s="312"/>
      <c r="C1140" s="312"/>
      <c r="D1140" s="312"/>
      <c r="E1140" s="312"/>
      <c r="F1140" s="312"/>
      <c r="G1140" s="328"/>
      <c r="H1140" s="337"/>
      <c r="I1140" s="334"/>
      <c r="J1140" s="314"/>
      <c r="K1140" s="449"/>
      <c r="M1140" s="349" t="str">
        <f>N1140&amp;AS[[#This Row],[Insurer Code]]&amp;"; "&amp;O1140&amp;AS[[#This Row],[Reporting Year]]&amp;"; "&amp;P1140&amp;AS[[#This Row],[Insurance Category Code]]&amp;"; "&amp;Q1140&amp;AS[[#This Row],[Large Provider Entity Code]]&amp;"; "&amp;R1140&amp;AS[[#This Row],[Age Band Code]]&amp;"; "&amp;S1140&amp;AS[[#This Row],[Sex Code]]</f>
        <v xml:space="preserve">Insurer Code ; Reporting Year ; Insurance Category Code ; Large Provider Entity Code ; Age Band Code ; Sex Code </v>
      </c>
      <c r="N1140" s="345" t="s">
        <v>207</v>
      </c>
      <c r="O1140" s="345" t="s">
        <v>208</v>
      </c>
      <c r="P1140" s="345" t="s">
        <v>209</v>
      </c>
      <c r="Q1140" s="345" t="s">
        <v>210</v>
      </c>
      <c r="R1140" s="345" t="s">
        <v>223</v>
      </c>
      <c r="S1140" s="345" t="s">
        <v>224</v>
      </c>
    </row>
    <row r="1141" spans="1:19" x14ac:dyDescent="0.25">
      <c r="A1141" s="311"/>
      <c r="B1141" s="312"/>
      <c r="C1141" s="312"/>
      <c r="D1141" s="312"/>
      <c r="E1141" s="312"/>
      <c r="F1141" s="312"/>
      <c r="G1141" s="328"/>
      <c r="H1141" s="337"/>
      <c r="I1141" s="334"/>
      <c r="J1141" s="314"/>
      <c r="K1141" s="449"/>
      <c r="M1141" s="349" t="str">
        <f>N1141&amp;AS[[#This Row],[Insurer Code]]&amp;"; "&amp;O1141&amp;AS[[#This Row],[Reporting Year]]&amp;"; "&amp;P1141&amp;AS[[#This Row],[Insurance Category Code]]&amp;"; "&amp;Q1141&amp;AS[[#This Row],[Large Provider Entity Code]]&amp;"; "&amp;R1141&amp;AS[[#This Row],[Age Band Code]]&amp;"; "&amp;S1141&amp;AS[[#This Row],[Sex Code]]</f>
        <v xml:space="preserve">Insurer Code ; Reporting Year ; Insurance Category Code ; Large Provider Entity Code ; Age Band Code ; Sex Code </v>
      </c>
      <c r="N1141" s="345" t="s">
        <v>207</v>
      </c>
      <c r="O1141" s="345" t="s">
        <v>208</v>
      </c>
      <c r="P1141" s="345" t="s">
        <v>209</v>
      </c>
      <c r="Q1141" s="345" t="s">
        <v>210</v>
      </c>
      <c r="R1141" s="345" t="s">
        <v>223</v>
      </c>
      <c r="S1141" s="345" t="s">
        <v>224</v>
      </c>
    </row>
    <row r="1142" spans="1:19" x14ac:dyDescent="0.25">
      <c r="A1142" s="311"/>
      <c r="B1142" s="312"/>
      <c r="C1142" s="312"/>
      <c r="D1142" s="312"/>
      <c r="E1142" s="312"/>
      <c r="F1142" s="312"/>
      <c r="G1142" s="328"/>
      <c r="H1142" s="337"/>
      <c r="I1142" s="334"/>
      <c r="J1142" s="314"/>
      <c r="K1142" s="449"/>
      <c r="M1142" s="349" t="str">
        <f>N1142&amp;AS[[#This Row],[Insurer Code]]&amp;"; "&amp;O1142&amp;AS[[#This Row],[Reporting Year]]&amp;"; "&amp;P1142&amp;AS[[#This Row],[Insurance Category Code]]&amp;"; "&amp;Q1142&amp;AS[[#This Row],[Large Provider Entity Code]]&amp;"; "&amp;R1142&amp;AS[[#This Row],[Age Band Code]]&amp;"; "&amp;S1142&amp;AS[[#This Row],[Sex Code]]</f>
        <v xml:space="preserve">Insurer Code ; Reporting Year ; Insurance Category Code ; Large Provider Entity Code ; Age Band Code ; Sex Code </v>
      </c>
      <c r="N1142" s="345" t="s">
        <v>207</v>
      </c>
      <c r="O1142" s="345" t="s">
        <v>208</v>
      </c>
      <c r="P1142" s="345" t="s">
        <v>209</v>
      </c>
      <c r="Q1142" s="345" t="s">
        <v>210</v>
      </c>
      <c r="R1142" s="345" t="s">
        <v>223</v>
      </c>
      <c r="S1142" s="345" t="s">
        <v>224</v>
      </c>
    </row>
    <row r="1143" spans="1:19" x14ac:dyDescent="0.25">
      <c r="A1143" s="311"/>
      <c r="B1143" s="312"/>
      <c r="C1143" s="312"/>
      <c r="D1143" s="312"/>
      <c r="E1143" s="312"/>
      <c r="F1143" s="312"/>
      <c r="G1143" s="328"/>
      <c r="H1143" s="337"/>
      <c r="I1143" s="334"/>
      <c r="J1143" s="314"/>
      <c r="K1143" s="449"/>
      <c r="M1143" s="349" t="str">
        <f>N1143&amp;AS[[#This Row],[Insurer Code]]&amp;"; "&amp;O1143&amp;AS[[#This Row],[Reporting Year]]&amp;"; "&amp;P1143&amp;AS[[#This Row],[Insurance Category Code]]&amp;"; "&amp;Q1143&amp;AS[[#This Row],[Large Provider Entity Code]]&amp;"; "&amp;R1143&amp;AS[[#This Row],[Age Band Code]]&amp;"; "&amp;S1143&amp;AS[[#This Row],[Sex Code]]</f>
        <v xml:space="preserve">Insurer Code ; Reporting Year ; Insurance Category Code ; Large Provider Entity Code ; Age Band Code ; Sex Code </v>
      </c>
      <c r="N1143" s="345" t="s">
        <v>207</v>
      </c>
      <c r="O1143" s="345" t="s">
        <v>208</v>
      </c>
      <c r="P1143" s="345" t="s">
        <v>209</v>
      </c>
      <c r="Q1143" s="345" t="s">
        <v>210</v>
      </c>
      <c r="R1143" s="345" t="s">
        <v>223</v>
      </c>
      <c r="S1143" s="345" t="s">
        <v>224</v>
      </c>
    </row>
    <row r="1144" spans="1:19" x14ac:dyDescent="0.25">
      <c r="A1144" s="311"/>
      <c r="B1144" s="312"/>
      <c r="C1144" s="312"/>
      <c r="D1144" s="312"/>
      <c r="E1144" s="312"/>
      <c r="F1144" s="312"/>
      <c r="G1144" s="328"/>
      <c r="H1144" s="337"/>
      <c r="I1144" s="334"/>
      <c r="J1144" s="314"/>
      <c r="K1144" s="449"/>
      <c r="M1144" s="349" t="str">
        <f>N1144&amp;AS[[#This Row],[Insurer Code]]&amp;"; "&amp;O1144&amp;AS[[#This Row],[Reporting Year]]&amp;"; "&amp;P1144&amp;AS[[#This Row],[Insurance Category Code]]&amp;"; "&amp;Q1144&amp;AS[[#This Row],[Large Provider Entity Code]]&amp;"; "&amp;R1144&amp;AS[[#This Row],[Age Band Code]]&amp;"; "&amp;S1144&amp;AS[[#This Row],[Sex Code]]</f>
        <v xml:space="preserve">Insurer Code ; Reporting Year ; Insurance Category Code ; Large Provider Entity Code ; Age Band Code ; Sex Code </v>
      </c>
      <c r="N1144" s="345" t="s">
        <v>207</v>
      </c>
      <c r="O1144" s="345" t="s">
        <v>208</v>
      </c>
      <c r="P1144" s="345" t="s">
        <v>209</v>
      </c>
      <c r="Q1144" s="345" t="s">
        <v>210</v>
      </c>
      <c r="R1144" s="345" t="s">
        <v>223</v>
      </c>
      <c r="S1144" s="345" t="s">
        <v>224</v>
      </c>
    </row>
    <row r="1145" spans="1:19" x14ac:dyDescent="0.25">
      <c r="A1145" s="311"/>
      <c r="B1145" s="312"/>
      <c r="C1145" s="312"/>
      <c r="D1145" s="312"/>
      <c r="E1145" s="312"/>
      <c r="F1145" s="312"/>
      <c r="G1145" s="328"/>
      <c r="H1145" s="337"/>
      <c r="I1145" s="334"/>
      <c r="J1145" s="314"/>
      <c r="K1145" s="449"/>
      <c r="M1145" s="349" t="str">
        <f>N1145&amp;AS[[#This Row],[Insurer Code]]&amp;"; "&amp;O1145&amp;AS[[#This Row],[Reporting Year]]&amp;"; "&amp;P1145&amp;AS[[#This Row],[Insurance Category Code]]&amp;"; "&amp;Q1145&amp;AS[[#This Row],[Large Provider Entity Code]]&amp;"; "&amp;R1145&amp;AS[[#This Row],[Age Band Code]]&amp;"; "&amp;S1145&amp;AS[[#This Row],[Sex Code]]</f>
        <v xml:space="preserve">Insurer Code ; Reporting Year ; Insurance Category Code ; Large Provider Entity Code ; Age Band Code ; Sex Code </v>
      </c>
      <c r="N1145" s="345" t="s">
        <v>207</v>
      </c>
      <c r="O1145" s="345" t="s">
        <v>208</v>
      </c>
      <c r="P1145" s="345" t="s">
        <v>209</v>
      </c>
      <c r="Q1145" s="345" t="s">
        <v>210</v>
      </c>
      <c r="R1145" s="345" t="s">
        <v>223</v>
      </c>
      <c r="S1145" s="345" t="s">
        <v>224</v>
      </c>
    </row>
    <row r="1146" spans="1:19" x14ac:dyDescent="0.25">
      <c r="A1146" s="311"/>
      <c r="B1146" s="312"/>
      <c r="C1146" s="312"/>
      <c r="D1146" s="312"/>
      <c r="E1146" s="312"/>
      <c r="F1146" s="312"/>
      <c r="G1146" s="328"/>
      <c r="H1146" s="337"/>
      <c r="I1146" s="334"/>
      <c r="J1146" s="314"/>
      <c r="K1146" s="449"/>
      <c r="M1146" s="349" t="str">
        <f>N1146&amp;AS[[#This Row],[Insurer Code]]&amp;"; "&amp;O1146&amp;AS[[#This Row],[Reporting Year]]&amp;"; "&amp;P1146&amp;AS[[#This Row],[Insurance Category Code]]&amp;"; "&amp;Q1146&amp;AS[[#This Row],[Large Provider Entity Code]]&amp;"; "&amp;R1146&amp;AS[[#This Row],[Age Band Code]]&amp;"; "&amp;S1146&amp;AS[[#This Row],[Sex Code]]</f>
        <v xml:space="preserve">Insurer Code ; Reporting Year ; Insurance Category Code ; Large Provider Entity Code ; Age Band Code ; Sex Code </v>
      </c>
      <c r="N1146" s="345" t="s">
        <v>207</v>
      </c>
      <c r="O1146" s="345" t="s">
        <v>208</v>
      </c>
      <c r="P1146" s="345" t="s">
        <v>209</v>
      </c>
      <c r="Q1146" s="345" t="s">
        <v>210</v>
      </c>
      <c r="R1146" s="345" t="s">
        <v>223</v>
      </c>
      <c r="S1146" s="345" t="s">
        <v>224</v>
      </c>
    </row>
    <row r="1147" spans="1:19" x14ac:dyDescent="0.25">
      <c r="A1147" s="311"/>
      <c r="B1147" s="312"/>
      <c r="C1147" s="312"/>
      <c r="D1147" s="312"/>
      <c r="E1147" s="312"/>
      <c r="F1147" s="312"/>
      <c r="G1147" s="328"/>
      <c r="H1147" s="337"/>
      <c r="I1147" s="334"/>
      <c r="J1147" s="314"/>
      <c r="K1147" s="449"/>
      <c r="M1147" s="349" t="str">
        <f>N1147&amp;AS[[#This Row],[Insurer Code]]&amp;"; "&amp;O1147&amp;AS[[#This Row],[Reporting Year]]&amp;"; "&amp;P1147&amp;AS[[#This Row],[Insurance Category Code]]&amp;"; "&amp;Q1147&amp;AS[[#This Row],[Large Provider Entity Code]]&amp;"; "&amp;R1147&amp;AS[[#This Row],[Age Band Code]]&amp;"; "&amp;S1147&amp;AS[[#This Row],[Sex Code]]</f>
        <v xml:space="preserve">Insurer Code ; Reporting Year ; Insurance Category Code ; Large Provider Entity Code ; Age Band Code ; Sex Code </v>
      </c>
      <c r="N1147" s="345" t="s">
        <v>207</v>
      </c>
      <c r="O1147" s="345" t="s">
        <v>208</v>
      </c>
      <c r="P1147" s="345" t="s">
        <v>209</v>
      </c>
      <c r="Q1147" s="345" t="s">
        <v>210</v>
      </c>
      <c r="R1147" s="345" t="s">
        <v>223</v>
      </c>
      <c r="S1147" s="345" t="s">
        <v>224</v>
      </c>
    </row>
    <row r="1148" spans="1:19" x14ac:dyDescent="0.25">
      <c r="A1148" s="311"/>
      <c r="B1148" s="312"/>
      <c r="C1148" s="312"/>
      <c r="D1148" s="312"/>
      <c r="E1148" s="312"/>
      <c r="F1148" s="312"/>
      <c r="G1148" s="328"/>
      <c r="H1148" s="337"/>
      <c r="I1148" s="334"/>
      <c r="J1148" s="314"/>
      <c r="K1148" s="449"/>
      <c r="M1148" s="349" t="str">
        <f>N1148&amp;AS[[#This Row],[Insurer Code]]&amp;"; "&amp;O1148&amp;AS[[#This Row],[Reporting Year]]&amp;"; "&amp;P1148&amp;AS[[#This Row],[Insurance Category Code]]&amp;"; "&amp;Q1148&amp;AS[[#This Row],[Large Provider Entity Code]]&amp;"; "&amp;R1148&amp;AS[[#This Row],[Age Band Code]]&amp;"; "&amp;S1148&amp;AS[[#This Row],[Sex Code]]</f>
        <v xml:space="preserve">Insurer Code ; Reporting Year ; Insurance Category Code ; Large Provider Entity Code ; Age Band Code ; Sex Code </v>
      </c>
      <c r="N1148" s="345" t="s">
        <v>207</v>
      </c>
      <c r="O1148" s="345" t="s">
        <v>208</v>
      </c>
      <c r="P1148" s="345" t="s">
        <v>209</v>
      </c>
      <c r="Q1148" s="345" t="s">
        <v>210</v>
      </c>
      <c r="R1148" s="345" t="s">
        <v>223</v>
      </c>
      <c r="S1148" s="345" t="s">
        <v>224</v>
      </c>
    </row>
    <row r="1149" spans="1:19" x14ac:dyDescent="0.25">
      <c r="A1149" s="311"/>
      <c r="B1149" s="312"/>
      <c r="C1149" s="312"/>
      <c r="D1149" s="312"/>
      <c r="E1149" s="312"/>
      <c r="F1149" s="312"/>
      <c r="G1149" s="328"/>
      <c r="H1149" s="337"/>
      <c r="I1149" s="334"/>
      <c r="J1149" s="314"/>
      <c r="K1149" s="449"/>
      <c r="M1149" s="349" t="str">
        <f>N1149&amp;AS[[#This Row],[Insurer Code]]&amp;"; "&amp;O1149&amp;AS[[#This Row],[Reporting Year]]&amp;"; "&amp;P1149&amp;AS[[#This Row],[Insurance Category Code]]&amp;"; "&amp;Q1149&amp;AS[[#This Row],[Large Provider Entity Code]]&amp;"; "&amp;R1149&amp;AS[[#This Row],[Age Band Code]]&amp;"; "&amp;S1149&amp;AS[[#This Row],[Sex Code]]</f>
        <v xml:space="preserve">Insurer Code ; Reporting Year ; Insurance Category Code ; Large Provider Entity Code ; Age Band Code ; Sex Code </v>
      </c>
      <c r="N1149" s="345" t="s">
        <v>207</v>
      </c>
      <c r="O1149" s="345" t="s">
        <v>208</v>
      </c>
      <c r="P1149" s="345" t="s">
        <v>209</v>
      </c>
      <c r="Q1149" s="345" t="s">
        <v>210</v>
      </c>
      <c r="R1149" s="345" t="s">
        <v>223</v>
      </c>
      <c r="S1149" s="345" t="s">
        <v>224</v>
      </c>
    </row>
    <row r="1150" spans="1:19" x14ac:dyDescent="0.25">
      <c r="A1150" s="311"/>
      <c r="B1150" s="312"/>
      <c r="C1150" s="312"/>
      <c r="D1150" s="312"/>
      <c r="E1150" s="312"/>
      <c r="F1150" s="312"/>
      <c r="G1150" s="328"/>
      <c r="H1150" s="337"/>
      <c r="I1150" s="334"/>
      <c r="J1150" s="314"/>
      <c r="K1150" s="449"/>
      <c r="M1150" s="349" t="str">
        <f>N1150&amp;AS[[#This Row],[Insurer Code]]&amp;"; "&amp;O1150&amp;AS[[#This Row],[Reporting Year]]&amp;"; "&amp;P1150&amp;AS[[#This Row],[Insurance Category Code]]&amp;"; "&amp;Q1150&amp;AS[[#This Row],[Large Provider Entity Code]]&amp;"; "&amp;R1150&amp;AS[[#This Row],[Age Band Code]]&amp;"; "&amp;S1150&amp;AS[[#This Row],[Sex Code]]</f>
        <v xml:space="preserve">Insurer Code ; Reporting Year ; Insurance Category Code ; Large Provider Entity Code ; Age Band Code ; Sex Code </v>
      </c>
      <c r="N1150" s="345" t="s">
        <v>207</v>
      </c>
      <c r="O1150" s="345" t="s">
        <v>208</v>
      </c>
      <c r="P1150" s="345" t="s">
        <v>209</v>
      </c>
      <c r="Q1150" s="345" t="s">
        <v>210</v>
      </c>
      <c r="R1150" s="345" t="s">
        <v>223</v>
      </c>
      <c r="S1150" s="345" t="s">
        <v>224</v>
      </c>
    </row>
    <row r="1151" spans="1:19" x14ac:dyDescent="0.25">
      <c r="A1151" s="311"/>
      <c r="B1151" s="312"/>
      <c r="C1151" s="312"/>
      <c r="D1151" s="312"/>
      <c r="E1151" s="312"/>
      <c r="F1151" s="312"/>
      <c r="G1151" s="328"/>
      <c r="H1151" s="337"/>
      <c r="I1151" s="334"/>
      <c r="J1151" s="314"/>
      <c r="K1151" s="449"/>
      <c r="M1151" s="349" t="str">
        <f>N1151&amp;AS[[#This Row],[Insurer Code]]&amp;"; "&amp;O1151&amp;AS[[#This Row],[Reporting Year]]&amp;"; "&amp;P1151&amp;AS[[#This Row],[Insurance Category Code]]&amp;"; "&amp;Q1151&amp;AS[[#This Row],[Large Provider Entity Code]]&amp;"; "&amp;R1151&amp;AS[[#This Row],[Age Band Code]]&amp;"; "&amp;S1151&amp;AS[[#This Row],[Sex Code]]</f>
        <v xml:space="preserve">Insurer Code ; Reporting Year ; Insurance Category Code ; Large Provider Entity Code ; Age Band Code ; Sex Code </v>
      </c>
      <c r="N1151" s="345" t="s">
        <v>207</v>
      </c>
      <c r="O1151" s="345" t="s">
        <v>208</v>
      </c>
      <c r="P1151" s="345" t="s">
        <v>209</v>
      </c>
      <c r="Q1151" s="345" t="s">
        <v>210</v>
      </c>
      <c r="R1151" s="345" t="s">
        <v>223</v>
      </c>
      <c r="S1151" s="345" t="s">
        <v>224</v>
      </c>
    </row>
    <row r="1152" spans="1:19" x14ac:dyDescent="0.25">
      <c r="A1152" s="311"/>
      <c r="B1152" s="312"/>
      <c r="C1152" s="312"/>
      <c r="D1152" s="312"/>
      <c r="E1152" s="312"/>
      <c r="F1152" s="312"/>
      <c r="G1152" s="328"/>
      <c r="H1152" s="337"/>
      <c r="I1152" s="334"/>
      <c r="J1152" s="314"/>
      <c r="K1152" s="449"/>
      <c r="M1152" s="349" t="str">
        <f>N1152&amp;AS[[#This Row],[Insurer Code]]&amp;"; "&amp;O1152&amp;AS[[#This Row],[Reporting Year]]&amp;"; "&amp;P1152&amp;AS[[#This Row],[Insurance Category Code]]&amp;"; "&amp;Q1152&amp;AS[[#This Row],[Large Provider Entity Code]]&amp;"; "&amp;R1152&amp;AS[[#This Row],[Age Band Code]]&amp;"; "&amp;S1152&amp;AS[[#This Row],[Sex Code]]</f>
        <v xml:space="preserve">Insurer Code ; Reporting Year ; Insurance Category Code ; Large Provider Entity Code ; Age Band Code ; Sex Code </v>
      </c>
      <c r="N1152" s="345" t="s">
        <v>207</v>
      </c>
      <c r="O1152" s="345" t="s">
        <v>208</v>
      </c>
      <c r="P1152" s="345" t="s">
        <v>209</v>
      </c>
      <c r="Q1152" s="345" t="s">
        <v>210</v>
      </c>
      <c r="R1152" s="345" t="s">
        <v>223</v>
      </c>
      <c r="S1152" s="345" t="s">
        <v>224</v>
      </c>
    </row>
    <row r="1153" spans="1:19" x14ac:dyDescent="0.25">
      <c r="A1153" s="311"/>
      <c r="B1153" s="312"/>
      <c r="C1153" s="312"/>
      <c r="D1153" s="312"/>
      <c r="E1153" s="312"/>
      <c r="F1153" s="312"/>
      <c r="G1153" s="328"/>
      <c r="H1153" s="337"/>
      <c r="I1153" s="334"/>
      <c r="J1153" s="314"/>
      <c r="K1153" s="449"/>
      <c r="M1153" s="349" t="str">
        <f>N1153&amp;AS[[#This Row],[Insurer Code]]&amp;"; "&amp;O1153&amp;AS[[#This Row],[Reporting Year]]&amp;"; "&amp;P1153&amp;AS[[#This Row],[Insurance Category Code]]&amp;"; "&amp;Q1153&amp;AS[[#This Row],[Large Provider Entity Code]]&amp;"; "&amp;R1153&amp;AS[[#This Row],[Age Band Code]]&amp;"; "&amp;S1153&amp;AS[[#This Row],[Sex Code]]</f>
        <v xml:space="preserve">Insurer Code ; Reporting Year ; Insurance Category Code ; Large Provider Entity Code ; Age Band Code ; Sex Code </v>
      </c>
      <c r="N1153" s="345" t="s">
        <v>207</v>
      </c>
      <c r="O1153" s="345" t="s">
        <v>208</v>
      </c>
      <c r="P1153" s="345" t="s">
        <v>209</v>
      </c>
      <c r="Q1153" s="345" t="s">
        <v>210</v>
      </c>
      <c r="R1153" s="345" t="s">
        <v>223</v>
      </c>
      <c r="S1153" s="345" t="s">
        <v>224</v>
      </c>
    </row>
    <row r="1154" spans="1:19" x14ac:dyDescent="0.25">
      <c r="A1154" s="311"/>
      <c r="B1154" s="312"/>
      <c r="C1154" s="312"/>
      <c r="D1154" s="312"/>
      <c r="E1154" s="312"/>
      <c r="F1154" s="312"/>
      <c r="G1154" s="328"/>
      <c r="H1154" s="337"/>
      <c r="I1154" s="334"/>
      <c r="J1154" s="314"/>
      <c r="K1154" s="449"/>
      <c r="M1154" s="349" t="str">
        <f>N1154&amp;AS[[#This Row],[Insurer Code]]&amp;"; "&amp;O1154&amp;AS[[#This Row],[Reporting Year]]&amp;"; "&amp;P1154&amp;AS[[#This Row],[Insurance Category Code]]&amp;"; "&amp;Q1154&amp;AS[[#This Row],[Large Provider Entity Code]]&amp;"; "&amp;R1154&amp;AS[[#This Row],[Age Band Code]]&amp;"; "&amp;S1154&amp;AS[[#This Row],[Sex Code]]</f>
        <v xml:space="preserve">Insurer Code ; Reporting Year ; Insurance Category Code ; Large Provider Entity Code ; Age Band Code ; Sex Code </v>
      </c>
      <c r="N1154" s="345" t="s">
        <v>207</v>
      </c>
      <c r="O1154" s="345" t="s">
        <v>208</v>
      </c>
      <c r="P1154" s="345" t="s">
        <v>209</v>
      </c>
      <c r="Q1154" s="345" t="s">
        <v>210</v>
      </c>
      <c r="R1154" s="345" t="s">
        <v>223</v>
      </c>
      <c r="S1154" s="345" t="s">
        <v>224</v>
      </c>
    </row>
    <row r="1155" spans="1:19" x14ac:dyDescent="0.25">
      <c r="A1155" s="311"/>
      <c r="B1155" s="312"/>
      <c r="C1155" s="312"/>
      <c r="D1155" s="312"/>
      <c r="E1155" s="312"/>
      <c r="F1155" s="312"/>
      <c r="G1155" s="328"/>
      <c r="H1155" s="337"/>
      <c r="I1155" s="334"/>
      <c r="J1155" s="314"/>
      <c r="K1155" s="449"/>
      <c r="M1155" s="349" t="str">
        <f>N1155&amp;AS[[#This Row],[Insurer Code]]&amp;"; "&amp;O1155&amp;AS[[#This Row],[Reporting Year]]&amp;"; "&amp;P1155&amp;AS[[#This Row],[Insurance Category Code]]&amp;"; "&amp;Q1155&amp;AS[[#This Row],[Large Provider Entity Code]]&amp;"; "&amp;R1155&amp;AS[[#This Row],[Age Band Code]]&amp;"; "&amp;S1155&amp;AS[[#This Row],[Sex Code]]</f>
        <v xml:space="preserve">Insurer Code ; Reporting Year ; Insurance Category Code ; Large Provider Entity Code ; Age Band Code ; Sex Code </v>
      </c>
      <c r="N1155" s="345" t="s">
        <v>207</v>
      </c>
      <c r="O1155" s="345" t="s">
        <v>208</v>
      </c>
      <c r="P1155" s="345" t="s">
        <v>209</v>
      </c>
      <c r="Q1155" s="345" t="s">
        <v>210</v>
      </c>
      <c r="R1155" s="345" t="s">
        <v>223</v>
      </c>
      <c r="S1155" s="345" t="s">
        <v>224</v>
      </c>
    </row>
    <row r="1156" spans="1:19" x14ac:dyDescent="0.25">
      <c r="A1156" s="311"/>
      <c r="B1156" s="312"/>
      <c r="C1156" s="312"/>
      <c r="D1156" s="312"/>
      <c r="E1156" s="312"/>
      <c r="F1156" s="312"/>
      <c r="G1156" s="328"/>
      <c r="H1156" s="337"/>
      <c r="I1156" s="334"/>
      <c r="J1156" s="314"/>
      <c r="K1156" s="449"/>
      <c r="M1156" s="349" t="str">
        <f>N1156&amp;AS[[#This Row],[Insurer Code]]&amp;"; "&amp;O1156&amp;AS[[#This Row],[Reporting Year]]&amp;"; "&amp;P1156&amp;AS[[#This Row],[Insurance Category Code]]&amp;"; "&amp;Q1156&amp;AS[[#This Row],[Large Provider Entity Code]]&amp;"; "&amp;R1156&amp;AS[[#This Row],[Age Band Code]]&amp;"; "&amp;S1156&amp;AS[[#This Row],[Sex Code]]</f>
        <v xml:space="preserve">Insurer Code ; Reporting Year ; Insurance Category Code ; Large Provider Entity Code ; Age Band Code ; Sex Code </v>
      </c>
      <c r="N1156" s="345" t="s">
        <v>207</v>
      </c>
      <c r="O1156" s="345" t="s">
        <v>208</v>
      </c>
      <c r="P1156" s="345" t="s">
        <v>209</v>
      </c>
      <c r="Q1156" s="345" t="s">
        <v>210</v>
      </c>
      <c r="R1156" s="345" t="s">
        <v>223</v>
      </c>
      <c r="S1156" s="345" t="s">
        <v>224</v>
      </c>
    </row>
    <row r="1157" spans="1:19" x14ac:dyDescent="0.25">
      <c r="A1157" s="311"/>
      <c r="B1157" s="312"/>
      <c r="C1157" s="312"/>
      <c r="D1157" s="312"/>
      <c r="E1157" s="312"/>
      <c r="F1157" s="312"/>
      <c r="G1157" s="328"/>
      <c r="H1157" s="337"/>
      <c r="I1157" s="334"/>
      <c r="J1157" s="314"/>
      <c r="K1157" s="449"/>
      <c r="M1157" s="349" t="str">
        <f>N1157&amp;AS[[#This Row],[Insurer Code]]&amp;"; "&amp;O1157&amp;AS[[#This Row],[Reporting Year]]&amp;"; "&amp;P1157&amp;AS[[#This Row],[Insurance Category Code]]&amp;"; "&amp;Q1157&amp;AS[[#This Row],[Large Provider Entity Code]]&amp;"; "&amp;R1157&amp;AS[[#This Row],[Age Band Code]]&amp;"; "&amp;S1157&amp;AS[[#This Row],[Sex Code]]</f>
        <v xml:space="preserve">Insurer Code ; Reporting Year ; Insurance Category Code ; Large Provider Entity Code ; Age Band Code ; Sex Code </v>
      </c>
      <c r="N1157" s="345" t="s">
        <v>207</v>
      </c>
      <c r="O1157" s="345" t="s">
        <v>208</v>
      </c>
      <c r="P1157" s="345" t="s">
        <v>209</v>
      </c>
      <c r="Q1157" s="345" t="s">
        <v>210</v>
      </c>
      <c r="R1157" s="345" t="s">
        <v>223</v>
      </c>
      <c r="S1157" s="345" t="s">
        <v>224</v>
      </c>
    </row>
    <row r="1158" spans="1:19" x14ac:dyDescent="0.25">
      <c r="A1158" s="311"/>
      <c r="B1158" s="312"/>
      <c r="C1158" s="312"/>
      <c r="D1158" s="312"/>
      <c r="E1158" s="312"/>
      <c r="F1158" s="312"/>
      <c r="G1158" s="328"/>
      <c r="H1158" s="337"/>
      <c r="I1158" s="334"/>
      <c r="J1158" s="314"/>
      <c r="K1158" s="449"/>
      <c r="M1158" s="349" t="str">
        <f>N1158&amp;AS[[#This Row],[Insurer Code]]&amp;"; "&amp;O1158&amp;AS[[#This Row],[Reporting Year]]&amp;"; "&amp;P1158&amp;AS[[#This Row],[Insurance Category Code]]&amp;"; "&amp;Q1158&amp;AS[[#This Row],[Large Provider Entity Code]]&amp;"; "&amp;R1158&amp;AS[[#This Row],[Age Band Code]]&amp;"; "&amp;S1158&amp;AS[[#This Row],[Sex Code]]</f>
        <v xml:space="preserve">Insurer Code ; Reporting Year ; Insurance Category Code ; Large Provider Entity Code ; Age Band Code ; Sex Code </v>
      </c>
      <c r="N1158" s="345" t="s">
        <v>207</v>
      </c>
      <c r="O1158" s="345" t="s">
        <v>208</v>
      </c>
      <c r="P1158" s="345" t="s">
        <v>209</v>
      </c>
      <c r="Q1158" s="345" t="s">
        <v>210</v>
      </c>
      <c r="R1158" s="345" t="s">
        <v>223</v>
      </c>
      <c r="S1158" s="345" t="s">
        <v>224</v>
      </c>
    </row>
    <row r="1159" spans="1:19" x14ac:dyDescent="0.25">
      <c r="A1159" s="311"/>
      <c r="B1159" s="312"/>
      <c r="C1159" s="312"/>
      <c r="D1159" s="312"/>
      <c r="E1159" s="312"/>
      <c r="F1159" s="312"/>
      <c r="G1159" s="328"/>
      <c r="H1159" s="337"/>
      <c r="I1159" s="334"/>
      <c r="J1159" s="314"/>
      <c r="K1159" s="449"/>
      <c r="M1159" s="349" t="str">
        <f>N1159&amp;AS[[#This Row],[Insurer Code]]&amp;"; "&amp;O1159&amp;AS[[#This Row],[Reporting Year]]&amp;"; "&amp;P1159&amp;AS[[#This Row],[Insurance Category Code]]&amp;"; "&amp;Q1159&amp;AS[[#This Row],[Large Provider Entity Code]]&amp;"; "&amp;R1159&amp;AS[[#This Row],[Age Band Code]]&amp;"; "&amp;S1159&amp;AS[[#This Row],[Sex Code]]</f>
        <v xml:space="preserve">Insurer Code ; Reporting Year ; Insurance Category Code ; Large Provider Entity Code ; Age Band Code ; Sex Code </v>
      </c>
      <c r="N1159" s="345" t="s">
        <v>207</v>
      </c>
      <c r="O1159" s="345" t="s">
        <v>208</v>
      </c>
      <c r="P1159" s="345" t="s">
        <v>209</v>
      </c>
      <c r="Q1159" s="345" t="s">
        <v>210</v>
      </c>
      <c r="R1159" s="345" t="s">
        <v>223</v>
      </c>
      <c r="S1159" s="345" t="s">
        <v>224</v>
      </c>
    </row>
    <row r="1160" spans="1:19" x14ac:dyDescent="0.25">
      <c r="A1160" s="311"/>
      <c r="B1160" s="312"/>
      <c r="C1160" s="312"/>
      <c r="D1160" s="312"/>
      <c r="E1160" s="312"/>
      <c r="F1160" s="312"/>
      <c r="G1160" s="328"/>
      <c r="H1160" s="337"/>
      <c r="I1160" s="334"/>
      <c r="J1160" s="314"/>
      <c r="K1160" s="449"/>
      <c r="M1160" s="349" t="str">
        <f>N1160&amp;AS[[#This Row],[Insurer Code]]&amp;"; "&amp;O1160&amp;AS[[#This Row],[Reporting Year]]&amp;"; "&amp;P1160&amp;AS[[#This Row],[Insurance Category Code]]&amp;"; "&amp;Q1160&amp;AS[[#This Row],[Large Provider Entity Code]]&amp;"; "&amp;R1160&amp;AS[[#This Row],[Age Band Code]]&amp;"; "&amp;S1160&amp;AS[[#This Row],[Sex Code]]</f>
        <v xml:space="preserve">Insurer Code ; Reporting Year ; Insurance Category Code ; Large Provider Entity Code ; Age Band Code ; Sex Code </v>
      </c>
      <c r="N1160" s="345" t="s">
        <v>207</v>
      </c>
      <c r="O1160" s="345" t="s">
        <v>208</v>
      </c>
      <c r="P1160" s="345" t="s">
        <v>209</v>
      </c>
      <c r="Q1160" s="345" t="s">
        <v>210</v>
      </c>
      <c r="R1160" s="345" t="s">
        <v>223</v>
      </c>
      <c r="S1160" s="345" t="s">
        <v>224</v>
      </c>
    </row>
    <row r="1161" spans="1:19" x14ac:dyDescent="0.25">
      <c r="A1161" s="311"/>
      <c r="B1161" s="312"/>
      <c r="C1161" s="312"/>
      <c r="D1161" s="312"/>
      <c r="E1161" s="312"/>
      <c r="F1161" s="312"/>
      <c r="G1161" s="328"/>
      <c r="H1161" s="337"/>
      <c r="I1161" s="334"/>
      <c r="J1161" s="314"/>
      <c r="K1161" s="449"/>
      <c r="M1161" s="349" t="str">
        <f>N1161&amp;AS[[#This Row],[Insurer Code]]&amp;"; "&amp;O1161&amp;AS[[#This Row],[Reporting Year]]&amp;"; "&amp;P1161&amp;AS[[#This Row],[Insurance Category Code]]&amp;"; "&amp;Q1161&amp;AS[[#This Row],[Large Provider Entity Code]]&amp;"; "&amp;R1161&amp;AS[[#This Row],[Age Band Code]]&amp;"; "&amp;S1161&amp;AS[[#This Row],[Sex Code]]</f>
        <v xml:space="preserve">Insurer Code ; Reporting Year ; Insurance Category Code ; Large Provider Entity Code ; Age Band Code ; Sex Code </v>
      </c>
      <c r="N1161" s="345" t="s">
        <v>207</v>
      </c>
      <c r="O1161" s="345" t="s">
        <v>208</v>
      </c>
      <c r="P1161" s="345" t="s">
        <v>209</v>
      </c>
      <c r="Q1161" s="345" t="s">
        <v>210</v>
      </c>
      <c r="R1161" s="345" t="s">
        <v>223</v>
      </c>
      <c r="S1161" s="345" t="s">
        <v>224</v>
      </c>
    </row>
    <row r="1162" spans="1:19" x14ac:dyDescent="0.25">
      <c r="A1162" s="311"/>
      <c r="B1162" s="312"/>
      <c r="C1162" s="312"/>
      <c r="D1162" s="312"/>
      <c r="E1162" s="312"/>
      <c r="F1162" s="312"/>
      <c r="G1162" s="328"/>
      <c r="H1162" s="337"/>
      <c r="I1162" s="334"/>
      <c r="J1162" s="314"/>
      <c r="K1162" s="449"/>
      <c r="M1162" s="349" t="str">
        <f>N1162&amp;AS[[#This Row],[Insurer Code]]&amp;"; "&amp;O1162&amp;AS[[#This Row],[Reporting Year]]&amp;"; "&amp;P1162&amp;AS[[#This Row],[Insurance Category Code]]&amp;"; "&amp;Q1162&amp;AS[[#This Row],[Large Provider Entity Code]]&amp;"; "&amp;R1162&amp;AS[[#This Row],[Age Band Code]]&amp;"; "&amp;S1162&amp;AS[[#This Row],[Sex Code]]</f>
        <v xml:space="preserve">Insurer Code ; Reporting Year ; Insurance Category Code ; Large Provider Entity Code ; Age Band Code ; Sex Code </v>
      </c>
      <c r="N1162" s="345" t="s">
        <v>207</v>
      </c>
      <c r="O1162" s="345" t="s">
        <v>208</v>
      </c>
      <c r="P1162" s="345" t="s">
        <v>209</v>
      </c>
      <c r="Q1162" s="345" t="s">
        <v>210</v>
      </c>
      <c r="R1162" s="345" t="s">
        <v>223</v>
      </c>
      <c r="S1162" s="345" t="s">
        <v>224</v>
      </c>
    </row>
    <row r="1163" spans="1:19" x14ac:dyDescent="0.25">
      <c r="A1163" s="311"/>
      <c r="B1163" s="312"/>
      <c r="C1163" s="312"/>
      <c r="D1163" s="312"/>
      <c r="E1163" s="312"/>
      <c r="F1163" s="312"/>
      <c r="G1163" s="328"/>
      <c r="H1163" s="337"/>
      <c r="I1163" s="334"/>
      <c r="J1163" s="314"/>
      <c r="K1163" s="449"/>
      <c r="M1163" s="349" t="str">
        <f>N1163&amp;AS[[#This Row],[Insurer Code]]&amp;"; "&amp;O1163&amp;AS[[#This Row],[Reporting Year]]&amp;"; "&amp;P1163&amp;AS[[#This Row],[Insurance Category Code]]&amp;"; "&amp;Q1163&amp;AS[[#This Row],[Large Provider Entity Code]]&amp;"; "&amp;R1163&amp;AS[[#This Row],[Age Band Code]]&amp;"; "&amp;S1163&amp;AS[[#This Row],[Sex Code]]</f>
        <v xml:space="preserve">Insurer Code ; Reporting Year ; Insurance Category Code ; Large Provider Entity Code ; Age Band Code ; Sex Code </v>
      </c>
      <c r="N1163" s="345" t="s">
        <v>207</v>
      </c>
      <c r="O1163" s="345" t="s">
        <v>208</v>
      </c>
      <c r="P1163" s="345" t="s">
        <v>209</v>
      </c>
      <c r="Q1163" s="345" t="s">
        <v>210</v>
      </c>
      <c r="R1163" s="345" t="s">
        <v>223</v>
      </c>
      <c r="S1163" s="345" t="s">
        <v>224</v>
      </c>
    </row>
    <row r="1164" spans="1:19" x14ac:dyDescent="0.25">
      <c r="A1164" s="311"/>
      <c r="B1164" s="312"/>
      <c r="C1164" s="312"/>
      <c r="D1164" s="312"/>
      <c r="E1164" s="312"/>
      <c r="F1164" s="312"/>
      <c r="G1164" s="328"/>
      <c r="H1164" s="337"/>
      <c r="I1164" s="334"/>
      <c r="J1164" s="314"/>
      <c r="K1164" s="449"/>
      <c r="M1164" s="349" t="str">
        <f>N1164&amp;AS[[#This Row],[Insurer Code]]&amp;"; "&amp;O1164&amp;AS[[#This Row],[Reporting Year]]&amp;"; "&amp;P1164&amp;AS[[#This Row],[Insurance Category Code]]&amp;"; "&amp;Q1164&amp;AS[[#This Row],[Large Provider Entity Code]]&amp;"; "&amp;R1164&amp;AS[[#This Row],[Age Band Code]]&amp;"; "&amp;S1164&amp;AS[[#This Row],[Sex Code]]</f>
        <v xml:space="preserve">Insurer Code ; Reporting Year ; Insurance Category Code ; Large Provider Entity Code ; Age Band Code ; Sex Code </v>
      </c>
      <c r="N1164" s="345" t="s">
        <v>207</v>
      </c>
      <c r="O1164" s="345" t="s">
        <v>208</v>
      </c>
      <c r="P1164" s="345" t="s">
        <v>209</v>
      </c>
      <c r="Q1164" s="345" t="s">
        <v>210</v>
      </c>
      <c r="R1164" s="345" t="s">
        <v>223</v>
      </c>
      <c r="S1164" s="345" t="s">
        <v>224</v>
      </c>
    </row>
    <row r="1165" spans="1:19" x14ac:dyDescent="0.25">
      <c r="A1165" s="311"/>
      <c r="B1165" s="312"/>
      <c r="C1165" s="312"/>
      <c r="D1165" s="312"/>
      <c r="E1165" s="312"/>
      <c r="F1165" s="312"/>
      <c r="G1165" s="328"/>
      <c r="H1165" s="337"/>
      <c r="I1165" s="334"/>
      <c r="J1165" s="314"/>
      <c r="K1165" s="449"/>
      <c r="M1165" s="349" t="str">
        <f>N1165&amp;AS[[#This Row],[Insurer Code]]&amp;"; "&amp;O1165&amp;AS[[#This Row],[Reporting Year]]&amp;"; "&amp;P1165&amp;AS[[#This Row],[Insurance Category Code]]&amp;"; "&amp;Q1165&amp;AS[[#This Row],[Large Provider Entity Code]]&amp;"; "&amp;R1165&amp;AS[[#This Row],[Age Band Code]]&amp;"; "&amp;S1165&amp;AS[[#This Row],[Sex Code]]</f>
        <v xml:space="preserve">Insurer Code ; Reporting Year ; Insurance Category Code ; Large Provider Entity Code ; Age Band Code ; Sex Code </v>
      </c>
      <c r="N1165" s="345" t="s">
        <v>207</v>
      </c>
      <c r="O1165" s="345" t="s">
        <v>208</v>
      </c>
      <c r="P1165" s="345" t="s">
        <v>209</v>
      </c>
      <c r="Q1165" s="345" t="s">
        <v>210</v>
      </c>
      <c r="R1165" s="345" t="s">
        <v>223</v>
      </c>
      <c r="S1165" s="345" t="s">
        <v>224</v>
      </c>
    </row>
    <row r="1166" spans="1:19" x14ac:dyDescent="0.25">
      <c r="A1166" s="311"/>
      <c r="B1166" s="312"/>
      <c r="C1166" s="312"/>
      <c r="D1166" s="312"/>
      <c r="E1166" s="312"/>
      <c r="F1166" s="312"/>
      <c r="G1166" s="328"/>
      <c r="H1166" s="337"/>
      <c r="I1166" s="334"/>
      <c r="J1166" s="314"/>
      <c r="K1166" s="449"/>
      <c r="M1166" s="349" t="str">
        <f>N1166&amp;AS[[#This Row],[Insurer Code]]&amp;"; "&amp;O1166&amp;AS[[#This Row],[Reporting Year]]&amp;"; "&amp;P1166&amp;AS[[#This Row],[Insurance Category Code]]&amp;"; "&amp;Q1166&amp;AS[[#This Row],[Large Provider Entity Code]]&amp;"; "&amp;R1166&amp;AS[[#This Row],[Age Band Code]]&amp;"; "&amp;S1166&amp;AS[[#This Row],[Sex Code]]</f>
        <v xml:space="preserve">Insurer Code ; Reporting Year ; Insurance Category Code ; Large Provider Entity Code ; Age Band Code ; Sex Code </v>
      </c>
      <c r="N1166" s="345" t="s">
        <v>207</v>
      </c>
      <c r="O1166" s="345" t="s">
        <v>208</v>
      </c>
      <c r="P1166" s="345" t="s">
        <v>209</v>
      </c>
      <c r="Q1166" s="345" t="s">
        <v>210</v>
      </c>
      <c r="R1166" s="345" t="s">
        <v>223</v>
      </c>
      <c r="S1166" s="345" t="s">
        <v>224</v>
      </c>
    </row>
    <row r="1167" spans="1:19" x14ac:dyDescent="0.25">
      <c r="A1167" s="311"/>
      <c r="B1167" s="312"/>
      <c r="C1167" s="312"/>
      <c r="D1167" s="312"/>
      <c r="E1167" s="312"/>
      <c r="F1167" s="312"/>
      <c r="G1167" s="328"/>
      <c r="H1167" s="337"/>
      <c r="I1167" s="334"/>
      <c r="J1167" s="314"/>
      <c r="K1167" s="449"/>
      <c r="M1167" s="349" t="str">
        <f>N1167&amp;AS[[#This Row],[Insurer Code]]&amp;"; "&amp;O1167&amp;AS[[#This Row],[Reporting Year]]&amp;"; "&amp;P1167&amp;AS[[#This Row],[Insurance Category Code]]&amp;"; "&amp;Q1167&amp;AS[[#This Row],[Large Provider Entity Code]]&amp;"; "&amp;R1167&amp;AS[[#This Row],[Age Band Code]]&amp;"; "&amp;S1167&amp;AS[[#This Row],[Sex Code]]</f>
        <v xml:space="preserve">Insurer Code ; Reporting Year ; Insurance Category Code ; Large Provider Entity Code ; Age Band Code ; Sex Code </v>
      </c>
      <c r="N1167" s="345" t="s">
        <v>207</v>
      </c>
      <c r="O1167" s="345" t="s">
        <v>208</v>
      </c>
      <c r="P1167" s="345" t="s">
        <v>209</v>
      </c>
      <c r="Q1167" s="345" t="s">
        <v>210</v>
      </c>
      <c r="R1167" s="345" t="s">
        <v>223</v>
      </c>
      <c r="S1167" s="345" t="s">
        <v>224</v>
      </c>
    </row>
    <row r="1168" spans="1:19" x14ac:dyDescent="0.25">
      <c r="A1168" s="311"/>
      <c r="B1168" s="312"/>
      <c r="C1168" s="312"/>
      <c r="D1168" s="312"/>
      <c r="E1168" s="312"/>
      <c r="F1168" s="312"/>
      <c r="G1168" s="328"/>
      <c r="H1168" s="337"/>
      <c r="I1168" s="334"/>
      <c r="J1168" s="314"/>
      <c r="K1168" s="449"/>
      <c r="M1168" s="349" t="str">
        <f>N1168&amp;AS[[#This Row],[Insurer Code]]&amp;"; "&amp;O1168&amp;AS[[#This Row],[Reporting Year]]&amp;"; "&amp;P1168&amp;AS[[#This Row],[Insurance Category Code]]&amp;"; "&amp;Q1168&amp;AS[[#This Row],[Large Provider Entity Code]]&amp;"; "&amp;R1168&amp;AS[[#This Row],[Age Band Code]]&amp;"; "&amp;S1168&amp;AS[[#This Row],[Sex Code]]</f>
        <v xml:space="preserve">Insurer Code ; Reporting Year ; Insurance Category Code ; Large Provider Entity Code ; Age Band Code ; Sex Code </v>
      </c>
      <c r="N1168" s="345" t="s">
        <v>207</v>
      </c>
      <c r="O1168" s="345" t="s">
        <v>208</v>
      </c>
      <c r="P1168" s="345" t="s">
        <v>209</v>
      </c>
      <c r="Q1168" s="345" t="s">
        <v>210</v>
      </c>
      <c r="R1168" s="345" t="s">
        <v>223</v>
      </c>
      <c r="S1168" s="345" t="s">
        <v>224</v>
      </c>
    </row>
    <row r="1169" spans="1:19" x14ac:dyDescent="0.25">
      <c r="A1169" s="311"/>
      <c r="B1169" s="312"/>
      <c r="C1169" s="312"/>
      <c r="D1169" s="312"/>
      <c r="E1169" s="312"/>
      <c r="F1169" s="312"/>
      <c r="G1169" s="328"/>
      <c r="H1169" s="337"/>
      <c r="I1169" s="334"/>
      <c r="J1169" s="314"/>
      <c r="K1169" s="449"/>
      <c r="M1169" s="349" t="str">
        <f>N1169&amp;AS[[#This Row],[Insurer Code]]&amp;"; "&amp;O1169&amp;AS[[#This Row],[Reporting Year]]&amp;"; "&amp;P1169&amp;AS[[#This Row],[Insurance Category Code]]&amp;"; "&amp;Q1169&amp;AS[[#This Row],[Large Provider Entity Code]]&amp;"; "&amp;R1169&amp;AS[[#This Row],[Age Band Code]]&amp;"; "&amp;S1169&amp;AS[[#This Row],[Sex Code]]</f>
        <v xml:space="preserve">Insurer Code ; Reporting Year ; Insurance Category Code ; Large Provider Entity Code ; Age Band Code ; Sex Code </v>
      </c>
      <c r="N1169" s="345" t="s">
        <v>207</v>
      </c>
      <c r="O1169" s="345" t="s">
        <v>208</v>
      </c>
      <c r="P1169" s="345" t="s">
        <v>209</v>
      </c>
      <c r="Q1169" s="345" t="s">
        <v>210</v>
      </c>
      <c r="R1169" s="345" t="s">
        <v>223</v>
      </c>
      <c r="S1169" s="345" t="s">
        <v>224</v>
      </c>
    </row>
    <row r="1170" spans="1:19" x14ac:dyDescent="0.25">
      <c r="A1170" s="311"/>
      <c r="B1170" s="312"/>
      <c r="C1170" s="312"/>
      <c r="D1170" s="312"/>
      <c r="E1170" s="312"/>
      <c r="F1170" s="312"/>
      <c r="G1170" s="328"/>
      <c r="H1170" s="337"/>
      <c r="I1170" s="334"/>
      <c r="J1170" s="314"/>
      <c r="K1170" s="449"/>
      <c r="M1170" s="349" t="str">
        <f>N1170&amp;AS[[#This Row],[Insurer Code]]&amp;"; "&amp;O1170&amp;AS[[#This Row],[Reporting Year]]&amp;"; "&amp;P1170&amp;AS[[#This Row],[Insurance Category Code]]&amp;"; "&amp;Q1170&amp;AS[[#This Row],[Large Provider Entity Code]]&amp;"; "&amp;R1170&amp;AS[[#This Row],[Age Band Code]]&amp;"; "&amp;S1170&amp;AS[[#This Row],[Sex Code]]</f>
        <v xml:space="preserve">Insurer Code ; Reporting Year ; Insurance Category Code ; Large Provider Entity Code ; Age Band Code ; Sex Code </v>
      </c>
      <c r="N1170" s="345" t="s">
        <v>207</v>
      </c>
      <c r="O1170" s="345" t="s">
        <v>208</v>
      </c>
      <c r="P1170" s="345" t="s">
        <v>209</v>
      </c>
      <c r="Q1170" s="345" t="s">
        <v>210</v>
      </c>
      <c r="R1170" s="345" t="s">
        <v>223</v>
      </c>
      <c r="S1170" s="345" t="s">
        <v>224</v>
      </c>
    </row>
    <row r="1171" spans="1:19" x14ac:dyDescent="0.25">
      <c r="A1171" s="311"/>
      <c r="B1171" s="312"/>
      <c r="C1171" s="312"/>
      <c r="D1171" s="312"/>
      <c r="E1171" s="312"/>
      <c r="F1171" s="312"/>
      <c r="G1171" s="328"/>
      <c r="H1171" s="337"/>
      <c r="I1171" s="334"/>
      <c r="J1171" s="314"/>
      <c r="K1171" s="449"/>
      <c r="M1171" s="349" t="str">
        <f>N1171&amp;AS[[#This Row],[Insurer Code]]&amp;"; "&amp;O1171&amp;AS[[#This Row],[Reporting Year]]&amp;"; "&amp;P1171&amp;AS[[#This Row],[Insurance Category Code]]&amp;"; "&amp;Q1171&amp;AS[[#This Row],[Large Provider Entity Code]]&amp;"; "&amp;R1171&amp;AS[[#This Row],[Age Band Code]]&amp;"; "&amp;S1171&amp;AS[[#This Row],[Sex Code]]</f>
        <v xml:space="preserve">Insurer Code ; Reporting Year ; Insurance Category Code ; Large Provider Entity Code ; Age Band Code ; Sex Code </v>
      </c>
      <c r="N1171" s="345" t="s">
        <v>207</v>
      </c>
      <c r="O1171" s="345" t="s">
        <v>208</v>
      </c>
      <c r="P1171" s="345" t="s">
        <v>209</v>
      </c>
      <c r="Q1171" s="345" t="s">
        <v>210</v>
      </c>
      <c r="R1171" s="345" t="s">
        <v>223</v>
      </c>
      <c r="S1171" s="345" t="s">
        <v>224</v>
      </c>
    </row>
    <row r="1172" spans="1:19" x14ac:dyDescent="0.25">
      <c r="A1172" s="311"/>
      <c r="B1172" s="312"/>
      <c r="C1172" s="312"/>
      <c r="D1172" s="312"/>
      <c r="E1172" s="312"/>
      <c r="F1172" s="312"/>
      <c r="G1172" s="328"/>
      <c r="H1172" s="337"/>
      <c r="I1172" s="334"/>
      <c r="J1172" s="314"/>
      <c r="K1172" s="449"/>
      <c r="M1172" s="349" t="str">
        <f>N1172&amp;AS[[#This Row],[Insurer Code]]&amp;"; "&amp;O1172&amp;AS[[#This Row],[Reporting Year]]&amp;"; "&amp;P1172&amp;AS[[#This Row],[Insurance Category Code]]&amp;"; "&amp;Q1172&amp;AS[[#This Row],[Large Provider Entity Code]]&amp;"; "&amp;R1172&amp;AS[[#This Row],[Age Band Code]]&amp;"; "&amp;S1172&amp;AS[[#This Row],[Sex Code]]</f>
        <v xml:space="preserve">Insurer Code ; Reporting Year ; Insurance Category Code ; Large Provider Entity Code ; Age Band Code ; Sex Code </v>
      </c>
      <c r="N1172" s="345" t="s">
        <v>207</v>
      </c>
      <c r="O1172" s="345" t="s">
        <v>208</v>
      </c>
      <c r="P1172" s="345" t="s">
        <v>209</v>
      </c>
      <c r="Q1172" s="345" t="s">
        <v>210</v>
      </c>
      <c r="R1172" s="345" t="s">
        <v>223</v>
      </c>
      <c r="S1172" s="345" t="s">
        <v>224</v>
      </c>
    </row>
    <row r="1173" spans="1:19" x14ac:dyDescent="0.25">
      <c r="A1173" s="311"/>
      <c r="B1173" s="312"/>
      <c r="C1173" s="312"/>
      <c r="D1173" s="312"/>
      <c r="E1173" s="312"/>
      <c r="F1173" s="312"/>
      <c r="G1173" s="328"/>
      <c r="H1173" s="337"/>
      <c r="I1173" s="334"/>
      <c r="J1173" s="314"/>
      <c r="K1173" s="449"/>
      <c r="M1173" s="349" t="str">
        <f>N1173&amp;AS[[#This Row],[Insurer Code]]&amp;"; "&amp;O1173&amp;AS[[#This Row],[Reporting Year]]&amp;"; "&amp;P1173&amp;AS[[#This Row],[Insurance Category Code]]&amp;"; "&amp;Q1173&amp;AS[[#This Row],[Large Provider Entity Code]]&amp;"; "&amp;R1173&amp;AS[[#This Row],[Age Band Code]]&amp;"; "&amp;S1173&amp;AS[[#This Row],[Sex Code]]</f>
        <v xml:space="preserve">Insurer Code ; Reporting Year ; Insurance Category Code ; Large Provider Entity Code ; Age Band Code ; Sex Code </v>
      </c>
      <c r="N1173" s="345" t="s">
        <v>207</v>
      </c>
      <c r="O1173" s="345" t="s">
        <v>208</v>
      </c>
      <c r="P1173" s="345" t="s">
        <v>209</v>
      </c>
      <c r="Q1173" s="345" t="s">
        <v>210</v>
      </c>
      <c r="R1173" s="345" t="s">
        <v>223</v>
      </c>
      <c r="S1173" s="345" t="s">
        <v>224</v>
      </c>
    </row>
    <row r="1174" spans="1:19" x14ac:dyDescent="0.25">
      <c r="A1174" s="311"/>
      <c r="B1174" s="312"/>
      <c r="C1174" s="312"/>
      <c r="D1174" s="312"/>
      <c r="E1174" s="312"/>
      <c r="F1174" s="312"/>
      <c r="G1174" s="328"/>
      <c r="H1174" s="337"/>
      <c r="I1174" s="334"/>
      <c r="J1174" s="314"/>
      <c r="K1174" s="449"/>
      <c r="M1174" s="349" t="str">
        <f>N1174&amp;AS[[#This Row],[Insurer Code]]&amp;"; "&amp;O1174&amp;AS[[#This Row],[Reporting Year]]&amp;"; "&amp;P1174&amp;AS[[#This Row],[Insurance Category Code]]&amp;"; "&amp;Q1174&amp;AS[[#This Row],[Large Provider Entity Code]]&amp;"; "&amp;R1174&amp;AS[[#This Row],[Age Band Code]]&amp;"; "&amp;S1174&amp;AS[[#This Row],[Sex Code]]</f>
        <v xml:space="preserve">Insurer Code ; Reporting Year ; Insurance Category Code ; Large Provider Entity Code ; Age Band Code ; Sex Code </v>
      </c>
      <c r="N1174" s="345" t="s">
        <v>207</v>
      </c>
      <c r="O1174" s="345" t="s">
        <v>208</v>
      </c>
      <c r="P1174" s="345" t="s">
        <v>209</v>
      </c>
      <c r="Q1174" s="345" t="s">
        <v>210</v>
      </c>
      <c r="R1174" s="345" t="s">
        <v>223</v>
      </c>
      <c r="S1174" s="345" t="s">
        <v>224</v>
      </c>
    </row>
    <row r="1175" spans="1:19" x14ac:dyDescent="0.25">
      <c r="A1175" s="311"/>
      <c r="B1175" s="312"/>
      <c r="C1175" s="312"/>
      <c r="D1175" s="312"/>
      <c r="E1175" s="312"/>
      <c r="F1175" s="312"/>
      <c r="G1175" s="328"/>
      <c r="H1175" s="337"/>
      <c r="I1175" s="334"/>
      <c r="J1175" s="314"/>
      <c r="K1175" s="449"/>
      <c r="M1175" s="349" t="str">
        <f>N1175&amp;AS[[#This Row],[Insurer Code]]&amp;"; "&amp;O1175&amp;AS[[#This Row],[Reporting Year]]&amp;"; "&amp;P1175&amp;AS[[#This Row],[Insurance Category Code]]&amp;"; "&amp;Q1175&amp;AS[[#This Row],[Large Provider Entity Code]]&amp;"; "&amp;R1175&amp;AS[[#This Row],[Age Band Code]]&amp;"; "&amp;S1175&amp;AS[[#This Row],[Sex Code]]</f>
        <v xml:space="preserve">Insurer Code ; Reporting Year ; Insurance Category Code ; Large Provider Entity Code ; Age Band Code ; Sex Code </v>
      </c>
      <c r="N1175" s="345" t="s">
        <v>207</v>
      </c>
      <c r="O1175" s="345" t="s">
        <v>208</v>
      </c>
      <c r="P1175" s="345" t="s">
        <v>209</v>
      </c>
      <c r="Q1175" s="345" t="s">
        <v>210</v>
      </c>
      <c r="R1175" s="345" t="s">
        <v>223</v>
      </c>
      <c r="S1175" s="345" t="s">
        <v>224</v>
      </c>
    </row>
    <row r="1176" spans="1:19" x14ac:dyDescent="0.25">
      <c r="A1176" s="311"/>
      <c r="B1176" s="312"/>
      <c r="C1176" s="312"/>
      <c r="D1176" s="312"/>
      <c r="E1176" s="312"/>
      <c r="F1176" s="312"/>
      <c r="G1176" s="328"/>
      <c r="H1176" s="337"/>
      <c r="I1176" s="334"/>
      <c r="J1176" s="314"/>
      <c r="K1176" s="449"/>
      <c r="M1176" s="349" t="str">
        <f>N1176&amp;AS[[#This Row],[Insurer Code]]&amp;"; "&amp;O1176&amp;AS[[#This Row],[Reporting Year]]&amp;"; "&amp;P1176&amp;AS[[#This Row],[Insurance Category Code]]&amp;"; "&amp;Q1176&amp;AS[[#This Row],[Large Provider Entity Code]]&amp;"; "&amp;R1176&amp;AS[[#This Row],[Age Band Code]]&amp;"; "&amp;S1176&amp;AS[[#This Row],[Sex Code]]</f>
        <v xml:space="preserve">Insurer Code ; Reporting Year ; Insurance Category Code ; Large Provider Entity Code ; Age Band Code ; Sex Code </v>
      </c>
      <c r="N1176" s="345" t="s">
        <v>207</v>
      </c>
      <c r="O1176" s="345" t="s">
        <v>208</v>
      </c>
      <c r="P1176" s="345" t="s">
        <v>209</v>
      </c>
      <c r="Q1176" s="345" t="s">
        <v>210</v>
      </c>
      <c r="R1176" s="345" t="s">
        <v>223</v>
      </c>
      <c r="S1176" s="345" t="s">
        <v>224</v>
      </c>
    </row>
    <row r="1177" spans="1:19" x14ac:dyDescent="0.25">
      <c r="A1177" s="311"/>
      <c r="B1177" s="312"/>
      <c r="C1177" s="312"/>
      <c r="D1177" s="312"/>
      <c r="E1177" s="312"/>
      <c r="F1177" s="312"/>
      <c r="G1177" s="328"/>
      <c r="H1177" s="337"/>
      <c r="I1177" s="334"/>
      <c r="J1177" s="314"/>
      <c r="K1177" s="449"/>
      <c r="M1177" s="349" t="str">
        <f>N1177&amp;AS[[#This Row],[Insurer Code]]&amp;"; "&amp;O1177&amp;AS[[#This Row],[Reporting Year]]&amp;"; "&amp;P1177&amp;AS[[#This Row],[Insurance Category Code]]&amp;"; "&amp;Q1177&amp;AS[[#This Row],[Large Provider Entity Code]]&amp;"; "&amp;R1177&amp;AS[[#This Row],[Age Band Code]]&amp;"; "&amp;S1177&amp;AS[[#This Row],[Sex Code]]</f>
        <v xml:space="preserve">Insurer Code ; Reporting Year ; Insurance Category Code ; Large Provider Entity Code ; Age Band Code ; Sex Code </v>
      </c>
      <c r="N1177" s="345" t="s">
        <v>207</v>
      </c>
      <c r="O1177" s="345" t="s">
        <v>208</v>
      </c>
      <c r="P1177" s="345" t="s">
        <v>209</v>
      </c>
      <c r="Q1177" s="345" t="s">
        <v>210</v>
      </c>
      <c r="R1177" s="345" t="s">
        <v>223</v>
      </c>
      <c r="S1177" s="345" t="s">
        <v>224</v>
      </c>
    </row>
    <row r="1178" spans="1:19" x14ac:dyDescent="0.25">
      <c r="A1178" s="311"/>
      <c r="B1178" s="312"/>
      <c r="C1178" s="312"/>
      <c r="D1178" s="312"/>
      <c r="E1178" s="312"/>
      <c r="F1178" s="312"/>
      <c r="G1178" s="328"/>
      <c r="H1178" s="337"/>
      <c r="I1178" s="334"/>
      <c r="J1178" s="314"/>
      <c r="K1178" s="449"/>
      <c r="M1178" s="349" t="str">
        <f>N1178&amp;AS[[#This Row],[Insurer Code]]&amp;"; "&amp;O1178&amp;AS[[#This Row],[Reporting Year]]&amp;"; "&amp;P1178&amp;AS[[#This Row],[Insurance Category Code]]&amp;"; "&amp;Q1178&amp;AS[[#This Row],[Large Provider Entity Code]]&amp;"; "&amp;R1178&amp;AS[[#This Row],[Age Band Code]]&amp;"; "&amp;S1178&amp;AS[[#This Row],[Sex Code]]</f>
        <v xml:space="preserve">Insurer Code ; Reporting Year ; Insurance Category Code ; Large Provider Entity Code ; Age Band Code ; Sex Code </v>
      </c>
      <c r="N1178" s="345" t="s">
        <v>207</v>
      </c>
      <c r="O1178" s="345" t="s">
        <v>208</v>
      </c>
      <c r="P1178" s="345" t="s">
        <v>209</v>
      </c>
      <c r="Q1178" s="345" t="s">
        <v>210</v>
      </c>
      <c r="R1178" s="345" t="s">
        <v>223</v>
      </c>
      <c r="S1178" s="345" t="s">
        <v>224</v>
      </c>
    </row>
    <row r="1179" spans="1:19" x14ac:dyDescent="0.25">
      <c r="A1179" s="311"/>
      <c r="B1179" s="312"/>
      <c r="C1179" s="312"/>
      <c r="D1179" s="312"/>
      <c r="E1179" s="312"/>
      <c r="F1179" s="312"/>
      <c r="G1179" s="328"/>
      <c r="H1179" s="337"/>
      <c r="I1179" s="334"/>
      <c r="J1179" s="314"/>
      <c r="K1179" s="449"/>
      <c r="M1179" s="349" t="str">
        <f>N1179&amp;AS[[#This Row],[Insurer Code]]&amp;"; "&amp;O1179&amp;AS[[#This Row],[Reporting Year]]&amp;"; "&amp;P1179&amp;AS[[#This Row],[Insurance Category Code]]&amp;"; "&amp;Q1179&amp;AS[[#This Row],[Large Provider Entity Code]]&amp;"; "&amp;R1179&amp;AS[[#This Row],[Age Band Code]]&amp;"; "&amp;S1179&amp;AS[[#This Row],[Sex Code]]</f>
        <v xml:space="preserve">Insurer Code ; Reporting Year ; Insurance Category Code ; Large Provider Entity Code ; Age Band Code ; Sex Code </v>
      </c>
      <c r="N1179" s="345" t="s">
        <v>207</v>
      </c>
      <c r="O1179" s="345" t="s">
        <v>208</v>
      </c>
      <c r="P1179" s="345" t="s">
        <v>209</v>
      </c>
      <c r="Q1179" s="345" t="s">
        <v>210</v>
      </c>
      <c r="R1179" s="345" t="s">
        <v>223</v>
      </c>
      <c r="S1179" s="345" t="s">
        <v>224</v>
      </c>
    </row>
    <row r="1180" spans="1:19" x14ac:dyDescent="0.25">
      <c r="A1180" s="311"/>
      <c r="B1180" s="312"/>
      <c r="C1180" s="312"/>
      <c r="D1180" s="312"/>
      <c r="E1180" s="312"/>
      <c r="F1180" s="312"/>
      <c r="G1180" s="328"/>
      <c r="H1180" s="337"/>
      <c r="I1180" s="334"/>
      <c r="J1180" s="314"/>
      <c r="K1180" s="449"/>
      <c r="M1180" s="349" t="str">
        <f>N1180&amp;AS[[#This Row],[Insurer Code]]&amp;"; "&amp;O1180&amp;AS[[#This Row],[Reporting Year]]&amp;"; "&amp;P1180&amp;AS[[#This Row],[Insurance Category Code]]&amp;"; "&amp;Q1180&amp;AS[[#This Row],[Large Provider Entity Code]]&amp;"; "&amp;R1180&amp;AS[[#This Row],[Age Band Code]]&amp;"; "&amp;S1180&amp;AS[[#This Row],[Sex Code]]</f>
        <v xml:space="preserve">Insurer Code ; Reporting Year ; Insurance Category Code ; Large Provider Entity Code ; Age Band Code ; Sex Code </v>
      </c>
      <c r="N1180" s="345" t="s">
        <v>207</v>
      </c>
      <c r="O1180" s="345" t="s">
        <v>208</v>
      </c>
      <c r="P1180" s="345" t="s">
        <v>209</v>
      </c>
      <c r="Q1180" s="345" t="s">
        <v>210</v>
      </c>
      <c r="R1180" s="345" t="s">
        <v>223</v>
      </c>
      <c r="S1180" s="345" t="s">
        <v>224</v>
      </c>
    </row>
    <row r="1181" spans="1:19" x14ac:dyDescent="0.25">
      <c r="A1181" s="311"/>
      <c r="B1181" s="312"/>
      <c r="C1181" s="312"/>
      <c r="D1181" s="312"/>
      <c r="E1181" s="312"/>
      <c r="F1181" s="312"/>
      <c r="G1181" s="328"/>
      <c r="H1181" s="337"/>
      <c r="I1181" s="334"/>
      <c r="J1181" s="314"/>
      <c r="K1181" s="449"/>
      <c r="M1181" s="349" t="str">
        <f>N1181&amp;AS[[#This Row],[Insurer Code]]&amp;"; "&amp;O1181&amp;AS[[#This Row],[Reporting Year]]&amp;"; "&amp;P1181&amp;AS[[#This Row],[Insurance Category Code]]&amp;"; "&amp;Q1181&amp;AS[[#This Row],[Large Provider Entity Code]]&amp;"; "&amp;R1181&amp;AS[[#This Row],[Age Band Code]]&amp;"; "&amp;S1181&amp;AS[[#This Row],[Sex Code]]</f>
        <v xml:space="preserve">Insurer Code ; Reporting Year ; Insurance Category Code ; Large Provider Entity Code ; Age Band Code ; Sex Code </v>
      </c>
      <c r="N1181" s="345" t="s">
        <v>207</v>
      </c>
      <c r="O1181" s="345" t="s">
        <v>208</v>
      </c>
      <c r="P1181" s="345" t="s">
        <v>209</v>
      </c>
      <c r="Q1181" s="345" t="s">
        <v>210</v>
      </c>
      <c r="R1181" s="345" t="s">
        <v>223</v>
      </c>
      <c r="S1181" s="345" t="s">
        <v>224</v>
      </c>
    </row>
    <row r="1182" spans="1:19" x14ac:dyDescent="0.25">
      <c r="A1182" s="311"/>
      <c r="B1182" s="312"/>
      <c r="C1182" s="312"/>
      <c r="D1182" s="312"/>
      <c r="E1182" s="312"/>
      <c r="F1182" s="312"/>
      <c r="G1182" s="328"/>
      <c r="H1182" s="337"/>
      <c r="I1182" s="334"/>
      <c r="J1182" s="314"/>
      <c r="K1182" s="449"/>
      <c r="M1182" s="349" t="str">
        <f>N1182&amp;AS[[#This Row],[Insurer Code]]&amp;"; "&amp;O1182&amp;AS[[#This Row],[Reporting Year]]&amp;"; "&amp;P1182&amp;AS[[#This Row],[Insurance Category Code]]&amp;"; "&amp;Q1182&amp;AS[[#This Row],[Large Provider Entity Code]]&amp;"; "&amp;R1182&amp;AS[[#This Row],[Age Band Code]]&amp;"; "&amp;S1182&amp;AS[[#This Row],[Sex Code]]</f>
        <v xml:space="preserve">Insurer Code ; Reporting Year ; Insurance Category Code ; Large Provider Entity Code ; Age Band Code ; Sex Code </v>
      </c>
      <c r="N1182" s="345" t="s">
        <v>207</v>
      </c>
      <c r="O1182" s="345" t="s">
        <v>208</v>
      </c>
      <c r="P1182" s="345" t="s">
        <v>209</v>
      </c>
      <c r="Q1182" s="345" t="s">
        <v>210</v>
      </c>
      <c r="R1182" s="345" t="s">
        <v>223</v>
      </c>
      <c r="S1182" s="345" t="s">
        <v>224</v>
      </c>
    </row>
    <row r="1183" spans="1:19" x14ac:dyDescent="0.25">
      <c r="A1183" s="311"/>
      <c r="B1183" s="312"/>
      <c r="C1183" s="312"/>
      <c r="D1183" s="312"/>
      <c r="E1183" s="312"/>
      <c r="F1183" s="312"/>
      <c r="G1183" s="328"/>
      <c r="H1183" s="337"/>
      <c r="I1183" s="334"/>
      <c r="J1183" s="314"/>
      <c r="K1183" s="449"/>
      <c r="M1183" s="349" t="str">
        <f>N1183&amp;AS[[#This Row],[Insurer Code]]&amp;"; "&amp;O1183&amp;AS[[#This Row],[Reporting Year]]&amp;"; "&amp;P1183&amp;AS[[#This Row],[Insurance Category Code]]&amp;"; "&amp;Q1183&amp;AS[[#This Row],[Large Provider Entity Code]]&amp;"; "&amp;R1183&amp;AS[[#This Row],[Age Band Code]]&amp;"; "&amp;S1183&amp;AS[[#This Row],[Sex Code]]</f>
        <v xml:space="preserve">Insurer Code ; Reporting Year ; Insurance Category Code ; Large Provider Entity Code ; Age Band Code ; Sex Code </v>
      </c>
      <c r="N1183" s="345" t="s">
        <v>207</v>
      </c>
      <c r="O1183" s="345" t="s">
        <v>208</v>
      </c>
      <c r="P1183" s="345" t="s">
        <v>209</v>
      </c>
      <c r="Q1183" s="345" t="s">
        <v>210</v>
      </c>
      <c r="R1183" s="345" t="s">
        <v>223</v>
      </c>
      <c r="S1183" s="345" t="s">
        <v>224</v>
      </c>
    </row>
    <row r="1184" spans="1:19" x14ac:dyDescent="0.25">
      <c r="A1184" s="311"/>
      <c r="B1184" s="312"/>
      <c r="C1184" s="312"/>
      <c r="D1184" s="312"/>
      <c r="E1184" s="312"/>
      <c r="F1184" s="312"/>
      <c r="G1184" s="328"/>
      <c r="H1184" s="337"/>
      <c r="I1184" s="334"/>
      <c r="J1184" s="314"/>
      <c r="K1184" s="449"/>
      <c r="M1184" s="349" t="str">
        <f>N1184&amp;AS[[#This Row],[Insurer Code]]&amp;"; "&amp;O1184&amp;AS[[#This Row],[Reporting Year]]&amp;"; "&amp;P1184&amp;AS[[#This Row],[Insurance Category Code]]&amp;"; "&amp;Q1184&amp;AS[[#This Row],[Large Provider Entity Code]]&amp;"; "&amp;R1184&amp;AS[[#This Row],[Age Band Code]]&amp;"; "&amp;S1184&amp;AS[[#This Row],[Sex Code]]</f>
        <v xml:space="preserve">Insurer Code ; Reporting Year ; Insurance Category Code ; Large Provider Entity Code ; Age Band Code ; Sex Code </v>
      </c>
      <c r="N1184" s="345" t="s">
        <v>207</v>
      </c>
      <c r="O1184" s="345" t="s">
        <v>208</v>
      </c>
      <c r="P1184" s="345" t="s">
        <v>209</v>
      </c>
      <c r="Q1184" s="345" t="s">
        <v>210</v>
      </c>
      <c r="R1184" s="345" t="s">
        <v>223</v>
      </c>
      <c r="S1184" s="345" t="s">
        <v>224</v>
      </c>
    </row>
    <row r="1185" spans="1:19" x14ac:dyDescent="0.25">
      <c r="A1185" s="311"/>
      <c r="B1185" s="312"/>
      <c r="C1185" s="312"/>
      <c r="D1185" s="312"/>
      <c r="E1185" s="312"/>
      <c r="F1185" s="312"/>
      <c r="G1185" s="328"/>
      <c r="H1185" s="337"/>
      <c r="I1185" s="334"/>
      <c r="J1185" s="314"/>
      <c r="K1185" s="449"/>
      <c r="M1185" s="349" t="str">
        <f>N1185&amp;AS[[#This Row],[Insurer Code]]&amp;"; "&amp;O1185&amp;AS[[#This Row],[Reporting Year]]&amp;"; "&amp;P1185&amp;AS[[#This Row],[Insurance Category Code]]&amp;"; "&amp;Q1185&amp;AS[[#This Row],[Large Provider Entity Code]]&amp;"; "&amp;R1185&amp;AS[[#This Row],[Age Band Code]]&amp;"; "&amp;S1185&amp;AS[[#This Row],[Sex Code]]</f>
        <v xml:space="preserve">Insurer Code ; Reporting Year ; Insurance Category Code ; Large Provider Entity Code ; Age Band Code ; Sex Code </v>
      </c>
      <c r="N1185" s="345" t="s">
        <v>207</v>
      </c>
      <c r="O1185" s="345" t="s">
        <v>208</v>
      </c>
      <c r="P1185" s="345" t="s">
        <v>209</v>
      </c>
      <c r="Q1185" s="345" t="s">
        <v>210</v>
      </c>
      <c r="R1185" s="345" t="s">
        <v>223</v>
      </c>
      <c r="S1185" s="345" t="s">
        <v>224</v>
      </c>
    </row>
    <row r="1186" spans="1:19" x14ac:dyDescent="0.25">
      <c r="A1186" s="311"/>
      <c r="B1186" s="312"/>
      <c r="C1186" s="312"/>
      <c r="D1186" s="312"/>
      <c r="E1186" s="312"/>
      <c r="F1186" s="312"/>
      <c r="G1186" s="328"/>
      <c r="H1186" s="337"/>
      <c r="I1186" s="334"/>
      <c r="J1186" s="314"/>
      <c r="K1186" s="449"/>
      <c r="M1186" s="349" t="str">
        <f>N1186&amp;AS[[#This Row],[Insurer Code]]&amp;"; "&amp;O1186&amp;AS[[#This Row],[Reporting Year]]&amp;"; "&amp;P1186&amp;AS[[#This Row],[Insurance Category Code]]&amp;"; "&amp;Q1186&amp;AS[[#This Row],[Large Provider Entity Code]]&amp;"; "&amp;R1186&amp;AS[[#This Row],[Age Band Code]]&amp;"; "&amp;S1186&amp;AS[[#This Row],[Sex Code]]</f>
        <v xml:space="preserve">Insurer Code ; Reporting Year ; Insurance Category Code ; Large Provider Entity Code ; Age Band Code ; Sex Code </v>
      </c>
      <c r="N1186" s="345" t="s">
        <v>207</v>
      </c>
      <c r="O1186" s="345" t="s">
        <v>208</v>
      </c>
      <c r="P1186" s="345" t="s">
        <v>209</v>
      </c>
      <c r="Q1186" s="345" t="s">
        <v>210</v>
      </c>
      <c r="R1186" s="345" t="s">
        <v>223</v>
      </c>
      <c r="S1186" s="345" t="s">
        <v>224</v>
      </c>
    </row>
    <row r="1187" spans="1:19" x14ac:dyDescent="0.25">
      <c r="A1187" s="311"/>
      <c r="B1187" s="312"/>
      <c r="C1187" s="312"/>
      <c r="D1187" s="312"/>
      <c r="E1187" s="312"/>
      <c r="F1187" s="312"/>
      <c r="G1187" s="328"/>
      <c r="H1187" s="337"/>
      <c r="I1187" s="334"/>
      <c r="J1187" s="314"/>
      <c r="K1187" s="449"/>
      <c r="M1187" s="349" t="str">
        <f>N1187&amp;AS[[#This Row],[Insurer Code]]&amp;"; "&amp;O1187&amp;AS[[#This Row],[Reporting Year]]&amp;"; "&amp;P1187&amp;AS[[#This Row],[Insurance Category Code]]&amp;"; "&amp;Q1187&amp;AS[[#This Row],[Large Provider Entity Code]]&amp;"; "&amp;R1187&amp;AS[[#This Row],[Age Band Code]]&amp;"; "&amp;S1187&amp;AS[[#This Row],[Sex Code]]</f>
        <v xml:space="preserve">Insurer Code ; Reporting Year ; Insurance Category Code ; Large Provider Entity Code ; Age Band Code ; Sex Code </v>
      </c>
      <c r="N1187" s="345" t="s">
        <v>207</v>
      </c>
      <c r="O1187" s="345" t="s">
        <v>208</v>
      </c>
      <c r="P1187" s="345" t="s">
        <v>209</v>
      </c>
      <c r="Q1187" s="345" t="s">
        <v>210</v>
      </c>
      <c r="R1187" s="345" t="s">
        <v>223</v>
      </c>
      <c r="S1187" s="345" t="s">
        <v>224</v>
      </c>
    </row>
    <row r="1188" spans="1:19" x14ac:dyDescent="0.25">
      <c r="A1188" s="311"/>
      <c r="B1188" s="312"/>
      <c r="C1188" s="312"/>
      <c r="D1188" s="312"/>
      <c r="E1188" s="312"/>
      <c r="F1188" s="312"/>
      <c r="G1188" s="328"/>
      <c r="H1188" s="337"/>
      <c r="I1188" s="334"/>
      <c r="J1188" s="314"/>
      <c r="K1188" s="449"/>
      <c r="M1188" s="349" t="str">
        <f>N1188&amp;AS[[#This Row],[Insurer Code]]&amp;"; "&amp;O1188&amp;AS[[#This Row],[Reporting Year]]&amp;"; "&amp;P1188&amp;AS[[#This Row],[Insurance Category Code]]&amp;"; "&amp;Q1188&amp;AS[[#This Row],[Large Provider Entity Code]]&amp;"; "&amp;R1188&amp;AS[[#This Row],[Age Band Code]]&amp;"; "&amp;S1188&amp;AS[[#This Row],[Sex Code]]</f>
        <v xml:space="preserve">Insurer Code ; Reporting Year ; Insurance Category Code ; Large Provider Entity Code ; Age Band Code ; Sex Code </v>
      </c>
      <c r="N1188" s="345" t="s">
        <v>207</v>
      </c>
      <c r="O1188" s="345" t="s">
        <v>208</v>
      </c>
      <c r="P1188" s="345" t="s">
        <v>209</v>
      </c>
      <c r="Q1188" s="345" t="s">
        <v>210</v>
      </c>
      <c r="R1188" s="345" t="s">
        <v>223</v>
      </c>
      <c r="S1188" s="345" t="s">
        <v>224</v>
      </c>
    </row>
    <row r="1189" spans="1:19" x14ac:dyDescent="0.25">
      <c r="A1189" s="311"/>
      <c r="B1189" s="312"/>
      <c r="C1189" s="312"/>
      <c r="D1189" s="312"/>
      <c r="E1189" s="312"/>
      <c r="F1189" s="312"/>
      <c r="G1189" s="328"/>
      <c r="H1189" s="337"/>
      <c r="I1189" s="334"/>
      <c r="J1189" s="314"/>
      <c r="K1189" s="449"/>
      <c r="M1189" s="349" t="str">
        <f>N1189&amp;AS[[#This Row],[Insurer Code]]&amp;"; "&amp;O1189&amp;AS[[#This Row],[Reporting Year]]&amp;"; "&amp;P1189&amp;AS[[#This Row],[Insurance Category Code]]&amp;"; "&amp;Q1189&amp;AS[[#This Row],[Large Provider Entity Code]]&amp;"; "&amp;R1189&amp;AS[[#This Row],[Age Band Code]]&amp;"; "&amp;S1189&amp;AS[[#This Row],[Sex Code]]</f>
        <v xml:space="preserve">Insurer Code ; Reporting Year ; Insurance Category Code ; Large Provider Entity Code ; Age Band Code ; Sex Code </v>
      </c>
      <c r="N1189" s="345" t="s">
        <v>207</v>
      </c>
      <c r="O1189" s="345" t="s">
        <v>208</v>
      </c>
      <c r="P1189" s="345" t="s">
        <v>209</v>
      </c>
      <c r="Q1189" s="345" t="s">
        <v>210</v>
      </c>
      <c r="R1189" s="345" t="s">
        <v>223</v>
      </c>
      <c r="S1189" s="345" t="s">
        <v>224</v>
      </c>
    </row>
    <row r="1190" spans="1:19" x14ac:dyDescent="0.25">
      <c r="A1190" s="311"/>
      <c r="B1190" s="312"/>
      <c r="C1190" s="312"/>
      <c r="D1190" s="312"/>
      <c r="E1190" s="312"/>
      <c r="F1190" s="312"/>
      <c r="G1190" s="328"/>
      <c r="H1190" s="337"/>
      <c r="I1190" s="334"/>
      <c r="J1190" s="314"/>
      <c r="K1190" s="449"/>
      <c r="M1190" s="349" t="str">
        <f>N1190&amp;AS[[#This Row],[Insurer Code]]&amp;"; "&amp;O1190&amp;AS[[#This Row],[Reporting Year]]&amp;"; "&amp;P1190&amp;AS[[#This Row],[Insurance Category Code]]&amp;"; "&amp;Q1190&amp;AS[[#This Row],[Large Provider Entity Code]]&amp;"; "&amp;R1190&amp;AS[[#This Row],[Age Band Code]]&amp;"; "&amp;S1190&amp;AS[[#This Row],[Sex Code]]</f>
        <v xml:space="preserve">Insurer Code ; Reporting Year ; Insurance Category Code ; Large Provider Entity Code ; Age Band Code ; Sex Code </v>
      </c>
      <c r="N1190" s="345" t="s">
        <v>207</v>
      </c>
      <c r="O1190" s="345" t="s">
        <v>208</v>
      </c>
      <c r="P1190" s="345" t="s">
        <v>209</v>
      </c>
      <c r="Q1190" s="345" t="s">
        <v>210</v>
      </c>
      <c r="R1190" s="345" t="s">
        <v>223</v>
      </c>
      <c r="S1190" s="345" t="s">
        <v>224</v>
      </c>
    </row>
    <row r="1191" spans="1:19" x14ac:dyDescent="0.25">
      <c r="A1191" s="311"/>
      <c r="B1191" s="312"/>
      <c r="C1191" s="312"/>
      <c r="D1191" s="312"/>
      <c r="E1191" s="312"/>
      <c r="F1191" s="312"/>
      <c r="G1191" s="328"/>
      <c r="H1191" s="337"/>
      <c r="I1191" s="334"/>
      <c r="J1191" s="314"/>
      <c r="K1191" s="449"/>
      <c r="M1191" s="349" t="str">
        <f>N1191&amp;AS[[#This Row],[Insurer Code]]&amp;"; "&amp;O1191&amp;AS[[#This Row],[Reporting Year]]&amp;"; "&amp;P1191&amp;AS[[#This Row],[Insurance Category Code]]&amp;"; "&amp;Q1191&amp;AS[[#This Row],[Large Provider Entity Code]]&amp;"; "&amp;R1191&amp;AS[[#This Row],[Age Band Code]]&amp;"; "&amp;S1191&amp;AS[[#This Row],[Sex Code]]</f>
        <v xml:space="preserve">Insurer Code ; Reporting Year ; Insurance Category Code ; Large Provider Entity Code ; Age Band Code ; Sex Code </v>
      </c>
      <c r="N1191" s="345" t="s">
        <v>207</v>
      </c>
      <c r="O1191" s="345" t="s">
        <v>208</v>
      </c>
      <c r="P1191" s="345" t="s">
        <v>209</v>
      </c>
      <c r="Q1191" s="345" t="s">
        <v>210</v>
      </c>
      <c r="R1191" s="345" t="s">
        <v>223</v>
      </c>
      <c r="S1191" s="345" t="s">
        <v>224</v>
      </c>
    </row>
    <row r="1192" spans="1:19" x14ac:dyDescent="0.25">
      <c r="A1192" s="311"/>
      <c r="B1192" s="312"/>
      <c r="C1192" s="312"/>
      <c r="D1192" s="312"/>
      <c r="E1192" s="312"/>
      <c r="F1192" s="312"/>
      <c r="G1192" s="328"/>
      <c r="H1192" s="337"/>
      <c r="I1192" s="334"/>
      <c r="J1192" s="314"/>
      <c r="K1192" s="449"/>
      <c r="M1192" s="349" t="str">
        <f>N1192&amp;AS[[#This Row],[Insurer Code]]&amp;"; "&amp;O1192&amp;AS[[#This Row],[Reporting Year]]&amp;"; "&amp;P1192&amp;AS[[#This Row],[Insurance Category Code]]&amp;"; "&amp;Q1192&amp;AS[[#This Row],[Large Provider Entity Code]]&amp;"; "&amp;R1192&amp;AS[[#This Row],[Age Band Code]]&amp;"; "&amp;S1192&amp;AS[[#This Row],[Sex Code]]</f>
        <v xml:space="preserve">Insurer Code ; Reporting Year ; Insurance Category Code ; Large Provider Entity Code ; Age Band Code ; Sex Code </v>
      </c>
      <c r="N1192" s="345" t="s">
        <v>207</v>
      </c>
      <c r="O1192" s="345" t="s">
        <v>208</v>
      </c>
      <c r="P1192" s="345" t="s">
        <v>209</v>
      </c>
      <c r="Q1192" s="345" t="s">
        <v>210</v>
      </c>
      <c r="R1192" s="345" t="s">
        <v>223</v>
      </c>
      <c r="S1192" s="345" t="s">
        <v>224</v>
      </c>
    </row>
    <row r="1193" spans="1:19" x14ac:dyDescent="0.25">
      <c r="A1193" s="311"/>
      <c r="B1193" s="312"/>
      <c r="C1193" s="312"/>
      <c r="D1193" s="312"/>
      <c r="E1193" s="312"/>
      <c r="F1193" s="312"/>
      <c r="G1193" s="328"/>
      <c r="H1193" s="337"/>
      <c r="I1193" s="334"/>
      <c r="J1193" s="314"/>
      <c r="K1193" s="449"/>
      <c r="M1193" s="349" t="str">
        <f>N1193&amp;AS[[#This Row],[Insurer Code]]&amp;"; "&amp;O1193&amp;AS[[#This Row],[Reporting Year]]&amp;"; "&amp;P1193&amp;AS[[#This Row],[Insurance Category Code]]&amp;"; "&amp;Q1193&amp;AS[[#This Row],[Large Provider Entity Code]]&amp;"; "&amp;R1193&amp;AS[[#This Row],[Age Band Code]]&amp;"; "&amp;S1193&amp;AS[[#This Row],[Sex Code]]</f>
        <v xml:space="preserve">Insurer Code ; Reporting Year ; Insurance Category Code ; Large Provider Entity Code ; Age Band Code ; Sex Code </v>
      </c>
      <c r="N1193" s="345" t="s">
        <v>207</v>
      </c>
      <c r="O1193" s="345" t="s">
        <v>208</v>
      </c>
      <c r="P1193" s="345" t="s">
        <v>209</v>
      </c>
      <c r="Q1193" s="345" t="s">
        <v>210</v>
      </c>
      <c r="R1193" s="345" t="s">
        <v>223</v>
      </c>
      <c r="S1193" s="345" t="s">
        <v>224</v>
      </c>
    </row>
    <row r="1194" spans="1:19" x14ac:dyDescent="0.25">
      <c r="A1194" s="311"/>
      <c r="B1194" s="312"/>
      <c r="C1194" s="312"/>
      <c r="D1194" s="312"/>
      <c r="E1194" s="312"/>
      <c r="F1194" s="312"/>
      <c r="G1194" s="328"/>
      <c r="H1194" s="337"/>
      <c r="I1194" s="334"/>
      <c r="J1194" s="314"/>
      <c r="K1194" s="449"/>
      <c r="M1194" s="349" t="str">
        <f>N1194&amp;AS[[#This Row],[Insurer Code]]&amp;"; "&amp;O1194&amp;AS[[#This Row],[Reporting Year]]&amp;"; "&amp;P1194&amp;AS[[#This Row],[Insurance Category Code]]&amp;"; "&amp;Q1194&amp;AS[[#This Row],[Large Provider Entity Code]]&amp;"; "&amp;R1194&amp;AS[[#This Row],[Age Band Code]]&amp;"; "&amp;S1194&amp;AS[[#This Row],[Sex Code]]</f>
        <v xml:space="preserve">Insurer Code ; Reporting Year ; Insurance Category Code ; Large Provider Entity Code ; Age Band Code ; Sex Code </v>
      </c>
      <c r="N1194" s="345" t="s">
        <v>207</v>
      </c>
      <c r="O1194" s="345" t="s">
        <v>208</v>
      </c>
      <c r="P1194" s="345" t="s">
        <v>209</v>
      </c>
      <c r="Q1194" s="345" t="s">
        <v>210</v>
      </c>
      <c r="R1194" s="345" t="s">
        <v>223</v>
      </c>
      <c r="S1194" s="345" t="s">
        <v>224</v>
      </c>
    </row>
    <row r="1195" spans="1:19" x14ac:dyDescent="0.25">
      <c r="A1195" s="311"/>
      <c r="B1195" s="312"/>
      <c r="C1195" s="312"/>
      <c r="D1195" s="312"/>
      <c r="E1195" s="312"/>
      <c r="F1195" s="312"/>
      <c r="G1195" s="328"/>
      <c r="H1195" s="337"/>
      <c r="I1195" s="334"/>
      <c r="J1195" s="314"/>
      <c r="K1195" s="449"/>
      <c r="M1195" s="349" t="str">
        <f>N1195&amp;AS[[#This Row],[Insurer Code]]&amp;"; "&amp;O1195&amp;AS[[#This Row],[Reporting Year]]&amp;"; "&amp;P1195&amp;AS[[#This Row],[Insurance Category Code]]&amp;"; "&amp;Q1195&amp;AS[[#This Row],[Large Provider Entity Code]]&amp;"; "&amp;R1195&amp;AS[[#This Row],[Age Band Code]]&amp;"; "&amp;S1195&amp;AS[[#This Row],[Sex Code]]</f>
        <v xml:space="preserve">Insurer Code ; Reporting Year ; Insurance Category Code ; Large Provider Entity Code ; Age Band Code ; Sex Code </v>
      </c>
      <c r="N1195" s="345" t="s">
        <v>207</v>
      </c>
      <c r="O1195" s="345" t="s">
        <v>208</v>
      </c>
      <c r="P1195" s="345" t="s">
        <v>209</v>
      </c>
      <c r="Q1195" s="345" t="s">
        <v>210</v>
      </c>
      <c r="R1195" s="345" t="s">
        <v>223</v>
      </c>
      <c r="S1195" s="345" t="s">
        <v>224</v>
      </c>
    </row>
    <row r="1196" spans="1:19" x14ac:dyDescent="0.25">
      <c r="A1196" s="311"/>
      <c r="B1196" s="312"/>
      <c r="C1196" s="312"/>
      <c r="D1196" s="312"/>
      <c r="E1196" s="312"/>
      <c r="F1196" s="312"/>
      <c r="G1196" s="328"/>
      <c r="H1196" s="337"/>
      <c r="I1196" s="334"/>
      <c r="J1196" s="314"/>
      <c r="K1196" s="449"/>
      <c r="M1196" s="349" t="str">
        <f>N1196&amp;AS[[#This Row],[Insurer Code]]&amp;"; "&amp;O1196&amp;AS[[#This Row],[Reporting Year]]&amp;"; "&amp;P1196&amp;AS[[#This Row],[Insurance Category Code]]&amp;"; "&amp;Q1196&amp;AS[[#This Row],[Large Provider Entity Code]]&amp;"; "&amp;R1196&amp;AS[[#This Row],[Age Band Code]]&amp;"; "&amp;S1196&amp;AS[[#This Row],[Sex Code]]</f>
        <v xml:space="preserve">Insurer Code ; Reporting Year ; Insurance Category Code ; Large Provider Entity Code ; Age Band Code ; Sex Code </v>
      </c>
      <c r="N1196" s="345" t="s">
        <v>207</v>
      </c>
      <c r="O1196" s="345" t="s">
        <v>208</v>
      </c>
      <c r="P1196" s="345" t="s">
        <v>209</v>
      </c>
      <c r="Q1196" s="345" t="s">
        <v>210</v>
      </c>
      <c r="R1196" s="345" t="s">
        <v>223</v>
      </c>
      <c r="S1196" s="345" t="s">
        <v>224</v>
      </c>
    </row>
    <row r="1197" spans="1:19" x14ac:dyDescent="0.25">
      <c r="A1197" s="311"/>
      <c r="B1197" s="312"/>
      <c r="C1197" s="312"/>
      <c r="D1197" s="312"/>
      <c r="E1197" s="312"/>
      <c r="F1197" s="312"/>
      <c r="G1197" s="328"/>
      <c r="H1197" s="337"/>
      <c r="I1197" s="334"/>
      <c r="J1197" s="314"/>
      <c r="K1197" s="449"/>
      <c r="M1197" s="349" t="str">
        <f>N1197&amp;AS[[#This Row],[Insurer Code]]&amp;"; "&amp;O1197&amp;AS[[#This Row],[Reporting Year]]&amp;"; "&amp;P1197&amp;AS[[#This Row],[Insurance Category Code]]&amp;"; "&amp;Q1197&amp;AS[[#This Row],[Large Provider Entity Code]]&amp;"; "&amp;R1197&amp;AS[[#This Row],[Age Band Code]]&amp;"; "&amp;S1197&amp;AS[[#This Row],[Sex Code]]</f>
        <v xml:space="preserve">Insurer Code ; Reporting Year ; Insurance Category Code ; Large Provider Entity Code ; Age Band Code ; Sex Code </v>
      </c>
      <c r="N1197" s="345" t="s">
        <v>207</v>
      </c>
      <c r="O1197" s="345" t="s">
        <v>208</v>
      </c>
      <c r="P1197" s="345" t="s">
        <v>209</v>
      </c>
      <c r="Q1197" s="345" t="s">
        <v>210</v>
      </c>
      <c r="R1197" s="345" t="s">
        <v>223</v>
      </c>
      <c r="S1197" s="345" t="s">
        <v>224</v>
      </c>
    </row>
    <row r="1198" spans="1:19" x14ac:dyDescent="0.25">
      <c r="A1198" s="311"/>
      <c r="B1198" s="312"/>
      <c r="C1198" s="312"/>
      <c r="D1198" s="312"/>
      <c r="E1198" s="312"/>
      <c r="F1198" s="312"/>
      <c r="G1198" s="328"/>
      <c r="H1198" s="337"/>
      <c r="I1198" s="334"/>
      <c r="J1198" s="314"/>
      <c r="K1198" s="449"/>
      <c r="M1198" s="349" t="str">
        <f>N1198&amp;AS[[#This Row],[Insurer Code]]&amp;"; "&amp;O1198&amp;AS[[#This Row],[Reporting Year]]&amp;"; "&amp;P1198&amp;AS[[#This Row],[Insurance Category Code]]&amp;"; "&amp;Q1198&amp;AS[[#This Row],[Large Provider Entity Code]]&amp;"; "&amp;R1198&amp;AS[[#This Row],[Age Band Code]]&amp;"; "&amp;S1198&amp;AS[[#This Row],[Sex Code]]</f>
        <v xml:space="preserve">Insurer Code ; Reporting Year ; Insurance Category Code ; Large Provider Entity Code ; Age Band Code ; Sex Code </v>
      </c>
      <c r="N1198" s="345" t="s">
        <v>207</v>
      </c>
      <c r="O1198" s="345" t="s">
        <v>208</v>
      </c>
      <c r="P1198" s="345" t="s">
        <v>209</v>
      </c>
      <c r="Q1198" s="345" t="s">
        <v>210</v>
      </c>
      <c r="R1198" s="345" t="s">
        <v>223</v>
      </c>
      <c r="S1198" s="345" t="s">
        <v>224</v>
      </c>
    </row>
    <row r="1199" spans="1:19" x14ac:dyDescent="0.25">
      <c r="A1199" s="311"/>
      <c r="B1199" s="312"/>
      <c r="C1199" s="312"/>
      <c r="D1199" s="312"/>
      <c r="E1199" s="312"/>
      <c r="F1199" s="312"/>
      <c r="G1199" s="328"/>
      <c r="H1199" s="337"/>
      <c r="I1199" s="334"/>
      <c r="J1199" s="314"/>
      <c r="K1199" s="449"/>
      <c r="M1199" s="349" t="str">
        <f>N1199&amp;AS[[#This Row],[Insurer Code]]&amp;"; "&amp;O1199&amp;AS[[#This Row],[Reporting Year]]&amp;"; "&amp;P1199&amp;AS[[#This Row],[Insurance Category Code]]&amp;"; "&amp;Q1199&amp;AS[[#This Row],[Large Provider Entity Code]]&amp;"; "&amp;R1199&amp;AS[[#This Row],[Age Band Code]]&amp;"; "&amp;S1199&amp;AS[[#This Row],[Sex Code]]</f>
        <v xml:space="preserve">Insurer Code ; Reporting Year ; Insurance Category Code ; Large Provider Entity Code ; Age Band Code ; Sex Code </v>
      </c>
      <c r="N1199" s="345" t="s">
        <v>207</v>
      </c>
      <c r="O1199" s="345" t="s">
        <v>208</v>
      </c>
      <c r="P1199" s="345" t="s">
        <v>209</v>
      </c>
      <c r="Q1199" s="345" t="s">
        <v>210</v>
      </c>
      <c r="R1199" s="345" t="s">
        <v>223</v>
      </c>
      <c r="S1199" s="345" t="s">
        <v>224</v>
      </c>
    </row>
    <row r="1200" spans="1:19" x14ac:dyDescent="0.25">
      <c r="A1200" s="311"/>
      <c r="B1200" s="312"/>
      <c r="C1200" s="312"/>
      <c r="D1200" s="312"/>
      <c r="E1200" s="312"/>
      <c r="F1200" s="312"/>
      <c r="G1200" s="328"/>
      <c r="H1200" s="337"/>
      <c r="I1200" s="334"/>
      <c r="J1200" s="314"/>
      <c r="K1200" s="449"/>
      <c r="M1200" s="349" t="str">
        <f>N1200&amp;AS[[#This Row],[Insurer Code]]&amp;"; "&amp;O1200&amp;AS[[#This Row],[Reporting Year]]&amp;"; "&amp;P1200&amp;AS[[#This Row],[Insurance Category Code]]&amp;"; "&amp;Q1200&amp;AS[[#This Row],[Large Provider Entity Code]]&amp;"; "&amp;R1200&amp;AS[[#This Row],[Age Band Code]]&amp;"; "&amp;S1200&amp;AS[[#This Row],[Sex Code]]</f>
        <v xml:space="preserve">Insurer Code ; Reporting Year ; Insurance Category Code ; Large Provider Entity Code ; Age Band Code ; Sex Code </v>
      </c>
      <c r="N1200" s="345" t="s">
        <v>207</v>
      </c>
      <c r="O1200" s="345" t="s">
        <v>208</v>
      </c>
      <c r="P1200" s="345" t="s">
        <v>209</v>
      </c>
      <c r="Q1200" s="345" t="s">
        <v>210</v>
      </c>
      <c r="R1200" s="345" t="s">
        <v>223</v>
      </c>
      <c r="S1200" s="345" t="s">
        <v>224</v>
      </c>
    </row>
    <row r="1201" spans="1:19" x14ac:dyDescent="0.25">
      <c r="A1201" s="311"/>
      <c r="B1201" s="312"/>
      <c r="C1201" s="312"/>
      <c r="D1201" s="312"/>
      <c r="E1201" s="312"/>
      <c r="F1201" s="312"/>
      <c r="G1201" s="328"/>
      <c r="H1201" s="337"/>
      <c r="I1201" s="334"/>
      <c r="J1201" s="314"/>
      <c r="K1201" s="449"/>
      <c r="M1201" s="349" t="str">
        <f>N1201&amp;AS[[#This Row],[Insurer Code]]&amp;"; "&amp;O1201&amp;AS[[#This Row],[Reporting Year]]&amp;"; "&amp;P1201&amp;AS[[#This Row],[Insurance Category Code]]&amp;"; "&amp;Q1201&amp;AS[[#This Row],[Large Provider Entity Code]]&amp;"; "&amp;R1201&amp;AS[[#This Row],[Age Band Code]]&amp;"; "&amp;S1201&amp;AS[[#This Row],[Sex Code]]</f>
        <v xml:space="preserve">Insurer Code ; Reporting Year ; Insurance Category Code ; Large Provider Entity Code ; Age Band Code ; Sex Code </v>
      </c>
      <c r="N1201" s="345" t="s">
        <v>207</v>
      </c>
      <c r="O1201" s="345" t="s">
        <v>208</v>
      </c>
      <c r="P1201" s="345" t="s">
        <v>209</v>
      </c>
      <c r="Q1201" s="345" t="s">
        <v>210</v>
      </c>
      <c r="R1201" s="345" t="s">
        <v>223</v>
      </c>
      <c r="S1201" s="345" t="s">
        <v>224</v>
      </c>
    </row>
    <row r="1202" spans="1:19" x14ac:dyDescent="0.25">
      <c r="A1202" s="311"/>
      <c r="B1202" s="312"/>
      <c r="C1202" s="312"/>
      <c r="D1202" s="312"/>
      <c r="E1202" s="312"/>
      <c r="F1202" s="312"/>
      <c r="G1202" s="328"/>
      <c r="H1202" s="337"/>
      <c r="I1202" s="334"/>
      <c r="J1202" s="314"/>
      <c r="K1202" s="449"/>
      <c r="M1202" s="349" t="str">
        <f>N1202&amp;AS[[#This Row],[Insurer Code]]&amp;"; "&amp;O1202&amp;AS[[#This Row],[Reporting Year]]&amp;"; "&amp;P1202&amp;AS[[#This Row],[Insurance Category Code]]&amp;"; "&amp;Q1202&amp;AS[[#This Row],[Large Provider Entity Code]]&amp;"; "&amp;R1202&amp;AS[[#This Row],[Age Band Code]]&amp;"; "&amp;S1202&amp;AS[[#This Row],[Sex Code]]</f>
        <v xml:space="preserve">Insurer Code ; Reporting Year ; Insurance Category Code ; Large Provider Entity Code ; Age Band Code ; Sex Code </v>
      </c>
      <c r="N1202" s="345" t="s">
        <v>207</v>
      </c>
      <c r="O1202" s="345" t="s">
        <v>208</v>
      </c>
      <c r="P1202" s="345" t="s">
        <v>209</v>
      </c>
      <c r="Q1202" s="345" t="s">
        <v>210</v>
      </c>
      <c r="R1202" s="345" t="s">
        <v>223</v>
      </c>
      <c r="S1202" s="345" t="s">
        <v>224</v>
      </c>
    </row>
    <row r="1203" spans="1:19" x14ac:dyDescent="0.25">
      <c r="A1203" s="311"/>
      <c r="B1203" s="312"/>
      <c r="C1203" s="312"/>
      <c r="D1203" s="312"/>
      <c r="E1203" s="312"/>
      <c r="F1203" s="312"/>
      <c r="G1203" s="328"/>
      <c r="H1203" s="337"/>
      <c r="I1203" s="334"/>
      <c r="J1203" s="314"/>
      <c r="K1203" s="449"/>
      <c r="M1203" s="349" t="str">
        <f>N1203&amp;AS[[#This Row],[Insurer Code]]&amp;"; "&amp;O1203&amp;AS[[#This Row],[Reporting Year]]&amp;"; "&amp;P1203&amp;AS[[#This Row],[Insurance Category Code]]&amp;"; "&amp;Q1203&amp;AS[[#This Row],[Large Provider Entity Code]]&amp;"; "&amp;R1203&amp;AS[[#This Row],[Age Band Code]]&amp;"; "&amp;S1203&amp;AS[[#This Row],[Sex Code]]</f>
        <v xml:space="preserve">Insurer Code ; Reporting Year ; Insurance Category Code ; Large Provider Entity Code ; Age Band Code ; Sex Code </v>
      </c>
      <c r="N1203" s="345" t="s">
        <v>207</v>
      </c>
      <c r="O1203" s="345" t="s">
        <v>208</v>
      </c>
      <c r="P1203" s="345" t="s">
        <v>209</v>
      </c>
      <c r="Q1203" s="345" t="s">
        <v>210</v>
      </c>
      <c r="R1203" s="345" t="s">
        <v>223</v>
      </c>
      <c r="S1203" s="345" t="s">
        <v>224</v>
      </c>
    </row>
    <row r="1204" spans="1:19" x14ac:dyDescent="0.25">
      <c r="A1204" s="311"/>
      <c r="B1204" s="312"/>
      <c r="C1204" s="312"/>
      <c r="D1204" s="312"/>
      <c r="E1204" s="312"/>
      <c r="F1204" s="312"/>
      <c r="G1204" s="328"/>
      <c r="H1204" s="337"/>
      <c r="I1204" s="334"/>
      <c r="J1204" s="314"/>
      <c r="K1204" s="449"/>
      <c r="M1204" s="349" t="str">
        <f>N1204&amp;AS[[#This Row],[Insurer Code]]&amp;"; "&amp;O1204&amp;AS[[#This Row],[Reporting Year]]&amp;"; "&amp;P1204&amp;AS[[#This Row],[Insurance Category Code]]&amp;"; "&amp;Q1204&amp;AS[[#This Row],[Large Provider Entity Code]]&amp;"; "&amp;R1204&amp;AS[[#This Row],[Age Band Code]]&amp;"; "&amp;S1204&amp;AS[[#This Row],[Sex Code]]</f>
        <v xml:space="preserve">Insurer Code ; Reporting Year ; Insurance Category Code ; Large Provider Entity Code ; Age Band Code ; Sex Code </v>
      </c>
      <c r="N1204" s="345" t="s">
        <v>207</v>
      </c>
      <c r="O1204" s="345" t="s">
        <v>208</v>
      </c>
      <c r="P1204" s="345" t="s">
        <v>209</v>
      </c>
      <c r="Q1204" s="345" t="s">
        <v>210</v>
      </c>
      <c r="R1204" s="345" t="s">
        <v>223</v>
      </c>
      <c r="S1204" s="345" t="s">
        <v>224</v>
      </c>
    </row>
    <row r="1205" spans="1:19" x14ac:dyDescent="0.25">
      <c r="A1205" s="311"/>
      <c r="B1205" s="312"/>
      <c r="C1205" s="312"/>
      <c r="D1205" s="312"/>
      <c r="E1205" s="312"/>
      <c r="F1205" s="312"/>
      <c r="G1205" s="328"/>
      <c r="H1205" s="337"/>
      <c r="I1205" s="334"/>
      <c r="J1205" s="314"/>
      <c r="K1205" s="449"/>
      <c r="M1205" s="349" t="str">
        <f>N1205&amp;AS[[#This Row],[Insurer Code]]&amp;"; "&amp;O1205&amp;AS[[#This Row],[Reporting Year]]&amp;"; "&amp;P1205&amp;AS[[#This Row],[Insurance Category Code]]&amp;"; "&amp;Q1205&amp;AS[[#This Row],[Large Provider Entity Code]]&amp;"; "&amp;R1205&amp;AS[[#This Row],[Age Band Code]]&amp;"; "&amp;S1205&amp;AS[[#This Row],[Sex Code]]</f>
        <v xml:space="preserve">Insurer Code ; Reporting Year ; Insurance Category Code ; Large Provider Entity Code ; Age Band Code ; Sex Code </v>
      </c>
      <c r="N1205" s="345" t="s">
        <v>207</v>
      </c>
      <c r="O1205" s="345" t="s">
        <v>208</v>
      </c>
      <c r="P1205" s="345" t="s">
        <v>209</v>
      </c>
      <c r="Q1205" s="345" t="s">
        <v>210</v>
      </c>
      <c r="R1205" s="345" t="s">
        <v>223</v>
      </c>
      <c r="S1205" s="345" t="s">
        <v>224</v>
      </c>
    </row>
    <row r="1206" spans="1:19" x14ac:dyDescent="0.25">
      <c r="A1206" s="311"/>
      <c r="B1206" s="312"/>
      <c r="C1206" s="312"/>
      <c r="D1206" s="312"/>
      <c r="E1206" s="312"/>
      <c r="F1206" s="312"/>
      <c r="G1206" s="328"/>
      <c r="H1206" s="337"/>
      <c r="I1206" s="334"/>
      <c r="J1206" s="314"/>
      <c r="K1206" s="449"/>
      <c r="M1206" s="349" t="str">
        <f>N1206&amp;AS[[#This Row],[Insurer Code]]&amp;"; "&amp;O1206&amp;AS[[#This Row],[Reporting Year]]&amp;"; "&amp;P1206&amp;AS[[#This Row],[Insurance Category Code]]&amp;"; "&amp;Q1206&amp;AS[[#This Row],[Large Provider Entity Code]]&amp;"; "&amp;R1206&amp;AS[[#This Row],[Age Band Code]]&amp;"; "&amp;S1206&amp;AS[[#This Row],[Sex Code]]</f>
        <v xml:space="preserve">Insurer Code ; Reporting Year ; Insurance Category Code ; Large Provider Entity Code ; Age Band Code ; Sex Code </v>
      </c>
      <c r="N1206" s="345" t="s">
        <v>207</v>
      </c>
      <c r="O1206" s="345" t="s">
        <v>208</v>
      </c>
      <c r="P1206" s="345" t="s">
        <v>209</v>
      </c>
      <c r="Q1206" s="345" t="s">
        <v>210</v>
      </c>
      <c r="R1206" s="345" t="s">
        <v>223</v>
      </c>
      <c r="S1206" s="345" t="s">
        <v>224</v>
      </c>
    </row>
    <row r="1207" spans="1:19" x14ac:dyDescent="0.25">
      <c r="A1207" s="311"/>
      <c r="B1207" s="312"/>
      <c r="C1207" s="312"/>
      <c r="D1207" s="312"/>
      <c r="E1207" s="312"/>
      <c r="F1207" s="312"/>
      <c r="G1207" s="328"/>
      <c r="H1207" s="337"/>
      <c r="I1207" s="334"/>
      <c r="J1207" s="314"/>
      <c r="K1207" s="449"/>
      <c r="M1207" s="349" t="str">
        <f>N1207&amp;AS[[#This Row],[Insurer Code]]&amp;"; "&amp;O1207&amp;AS[[#This Row],[Reporting Year]]&amp;"; "&amp;P1207&amp;AS[[#This Row],[Insurance Category Code]]&amp;"; "&amp;Q1207&amp;AS[[#This Row],[Large Provider Entity Code]]&amp;"; "&amp;R1207&amp;AS[[#This Row],[Age Band Code]]&amp;"; "&amp;S1207&amp;AS[[#This Row],[Sex Code]]</f>
        <v xml:space="preserve">Insurer Code ; Reporting Year ; Insurance Category Code ; Large Provider Entity Code ; Age Band Code ; Sex Code </v>
      </c>
      <c r="N1207" s="345" t="s">
        <v>207</v>
      </c>
      <c r="O1207" s="345" t="s">
        <v>208</v>
      </c>
      <c r="P1207" s="345" t="s">
        <v>209</v>
      </c>
      <c r="Q1207" s="345" t="s">
        <v>210</v>
      </c>
      <c r="R1207" s="345" t="s">
        <v>223</v>
      </c>
      <c r="S1207" s="345" t="s">
        <v>224</v>
      </c>
    </row>
    <row r="1208" spans="1:19" x14ac:dyDescent="0.25">
      <c r="A1208" s="311"/>
      <c r="B1208" s="312"/>
      <c r="C1208" s="312"/>
      <c r="D1208" s="312"/>
      <c r="E1208" s="312"/>
      <c r="F1208" s="312"/>
      <c r="G1208" s="328"/>
      <c r="H1208" s="337"/>
      <c r="I1208" s="334"/>
      <c r="J1208" s="314"/>
      <c r="K1208" s="449"/>
      <c r="M1208" s="349" t="str">
        <f>N1208&amp;AS[[#This Row],[Insurer Code]]&amp;"; "&amp;O1208&amp;AS[[#This Row],[Reporting Year]]&amp;"; "&amp;P1208&amp;AS[[#This Row],[Insurance Category Code]]&amp;"; "&amp;Q1208&amp;AS[[#This Row],[Large Provider Entity Code]]&amp;"; "&amp;R1208&amp;AS[[#This Row],[Age Band Code]]&amp;"; "&amp;S1208&amp;AS[[#This Row],[Sex Code]]</f>
        <v xml:space="preserve">Insurer Code ; Reporting Year ; Insurance Category Code ; Large Provider Entity Code ; Age Band Code ; Sex Code </v>
      </c>
      <c r="N1208" s="345" t="s">
        <v>207</v>
      </c>
      <c r="O1208" s="345" t="s">
        <v>208</v>
      </c>
      <c r="P1208" s="345" t="s">
        <v>209</v>
      </c>
      <c r="Q1208" s="345" t="s">
        <v>210</v>
      </c>
      <c r="R1208" s="345" t="s">
        <v>223</v>
      </c>
      <c r="S1208" s="345" t="s">
        <v>224</v>
      </c>
    </row>
    <row r="1209" spans="1:19" x14ac:dyDescent="0.25">
      <c r="A1209" s="311"/>
      <c r="B1209" s="312"/>
      <c r="C1209" s="312"/>
      <c r="D1209" s="312"/>
      <c r="E1209" s="312"/>
      <c r="F1209" s="312"/>
      <c r="G1209" s="328"/>
      <c r="H1209" s="337"/>
      <c r="I1209" s="334"/>
      <c r="J1209" s="314"/>
      <c r="K1209" s="449"/>
      <c r="M1209" s="349" t="str">
        <f>N1209&amp;AS[[#This Row],[Insurer Code]]&amp;"; "&amp;O1209&amp;AS[[#This Row],[Reporting Year]]&amp;"; "&amp;P1209&amp;AS[[#This Row],[Insurance Category Code]]&amp;"; "&amp;Q1209&amp;AS[[#This Row],[Large Provider Entity Code]]&amp;"; "&amp;R1209&amp;AS[[#This Row],[Age Band Code]]&amp;"; "&amp;S1209&amp;AS[[#This Row],[Sex Code]]</f>
        <v xml:space="preserve">Insurer Code ; Reporting Year ; Insurance Category Code ; Large Provider Entity Code ; Age Band Code ; Sex Code </v>
      </c>
      <c r="N1209" s="345" t="s">
        <v>207</v>
      </c>
      <c r="O1209" s="345" t="s">
        <v>208</v>
      </c>
      <c r="P1209" s="345" t="s">
        <v>209</v>
      </c>
      <c r="Q1209" s="345" t="s">
        <v>210</v>
      </c>
      <c r="R1209" s="345" t="s">
        <v>223</v>
      </c>
      <c r="S1209" s="345" t="s">
        <v>224</v>
      </c>
    </row>
    <row r="1210" spans="1:19" x14ac:dyDescent="0.25">
      <c r="A1210" s="311"/>
      <c r="B1210" s="312"/>
      <c r="C1210" s="312"/>
      <c r="D1210" s="312"/>
      <c r="E1210" s="312"/>
      <c r="F1210" s="312"/>
      <c r="G1210" s="328"/>
      <c r="H1210" s="337"/>
      <c r="I1210" s="334"/>
      <c r="J1210" s="314"/>
      <c r="K1210" s="449"/>
      <c r="M1210" s="349" t="str">
        <f>N1210&amp;AS[[#This Row],[Insurer Code]]&amp;"; "&amp;O1210&amp;AS[[#This Row],[Reporting Year]]&amp;"; "&amp;P1210&amp;AS[[#This Row],[Insurance Category Code]]&amp;"; "&amp;Q1210&amp;AS[[#This Row],[Large Provider Entity Code]]&amp;"; "&amp;R1210&amp;AS[[#This Row],[Age Band Code]]&amp;"; "&amp;S1210&amp;AS[[#This Row],[Sex Code]]</f>
        <v xml:space="preserve">Insurer Code ; Reporting Year ; Insurance Category Code ; Large Provider Entity Code ; Age Band Code ; Sex Code </v>
      </c>
      <c r="N1210" s="345" t="s">
        <v>207</v>
      </c>
      <c r="O1210" s="345" t="s">
        <v>208</v>
      </c>
      <c r="P1210" s="345" t="s">
        <v>209</v>
      </c>
      <c r="Q1210" s="345" t="s">
        <v>210</v>
      </c>
      <c r="R1210" s="345" t="s">
        <v>223</v>
      </c>
      <c r="S1210" s="345" t="s">
        <v>224</v>
      </c>
    </row>
    <row r="1211" spans="1:19" x14ac:dyDescent="0.25">
      <c r="A1211" s="311"/>
      <c r="B1211" s="312"/>
      <c r="C1211" s="312"/>
      <c r="D1211" s="312"/>
      <c r="E1211" s="312"/>
      <c r="F1211" s="312"/>
      <c r="G1211" s="328"/>
      <c r="H1211" s="337"/>
      <c r="I1211" s="334"/>
      <c r="J1211" s="314"/>
      <c r="K1211" s="449"/>
      <c r="M1211" s="349" t="str">
        <f>N1211&amp;AS[[#This Row],[Insurer Code]]&amp;"; "&amp;O1211&amp;AS[[#This Row],[Reporting Year]]&amp;"; "&amp;P1211&amp;AS[[#This Row],[Insurance Category Code]]&amp;"; "&amp;Q1211&amp;AS[[#This Row],[Large Provider Entity Code]]&amp;"; "&amp;R1211&amp;AS[[#This Row],[Age Band Code]]&amp;"; "&amp;S1211&amp;AS[[#This Row],[Sex Code]]</f>
        <v xml:space="preserve">Insurer Code ; Reporting Year ; Insurance Category Code ; Large Provider Entity Code ; Age Band Code ; Sex Code </v>
      </c>
      <c r="N1211" s="345" t="s">
        <v>207</v>
      </c>
      <c r="O1211" s="345" t="s">
        <v>208</v>
      </c>
      <c r="P1211" s="345" t="s">
        <v>209</v>
      </c>
      <c r="Q1211" s="345" t="s">
        <v>210</v>
      </c>
      <c r="R1211" s="345" t="s">
        <v>223</v>
      </c>
      <c r="S1211" s="345" t="s">
        <v>224</v>
      </c>
    </row>
    <row r="1212" spans="1:19" x14ac:dyDescent="0.25">
      <c r="A1212" s="311"/>
      <c r="B1212" s="312"/>
      <c r="C1212" s="312"/>
      <c r="D1212" s="312"/>
      <c r="E1212" s="312"/>
      <c r="F1212" s="312"/>
      <c r="G1212" s="328"/>
      <c r="H1212" s="337"/>
      <c r="I1212" s="334"/>
      <c r="J1212" s="314"/>
      <c r="K1212" s="449"/>
      <c r="M1212" s="349" t="str">
        <f>N1212&amp;AS[[#This Row],[Insurer Code]]&amp;"; "&amp;O1212&amp;AS[[#This Row],[Reporting Year]]&amp;"; "&amp;P1212&amp;AS[[#This Row],[Insurance Category Code]]&amp;"; "&amp;Q1212&amp;AS[[#This Row],[Large Provider Entity Code]]&amp;"; "&amp;R1212&amp;AS[[#This Row],[Age Band Code]]&amp;"; "&amp;S1212&amp;AS[[#This Row],[Sex Code]]</f>
        <v xml:space="preserve">Insurer Code ; Reporting Year ; Insurance Category Code ; Large Provider Entity Code ; Age Band Code ; Sex Code </v>
      </c>
      <c r="N1212" s="345" t="s">
        <v>207</v>
      </c>
      <c r="O1212" s="345" t="s">
        <v>208</v>
      </c>
      <c r="P1212" s="345" t="s">
        <v>209</v>
      </c>
      <c r="Q1212" s="345" t="s">
        <v>210</v>
      </c>
      <c r="R1212" s="345" t="s">
        <v>223</v>
      </c>
      <c r="S1212" s="345" t="s">
        <v>224</v>
      </c>
    </row>
    <row r="1213" spans="1:19" x14ac:dyDescent="0.25">
      <c r="A1213" s="311"/>
      <c r="B1213" s="312"/>
      <c r="C1213" s="312"/>
      <c r="D1213" s="312"/>
      <c r="E1213" s="312"/>
      <c r="F1213" s="312"/>
      <c r="G1213" s="328"/>
      <c r="H1213" s="337"/>
      <c r="I1213" s="334"/>
      <c r="J1213" s="314"/>
      <c r="K1213" s="449"/>
      <c r="M1213" s="349" t="str">
        <f>N1213&amp;AS[[#This Row],[Insurer Code]]&amp;"; "&amp;O1213&amp;AS[[#This Row],[Reporting Year]]&amp;"; "&amp;P1213&amp;AS[[#This Row],[Insurance Category Code]]&amp;"; "&amp;Q1213&amp;AS[[#This Row],[Large Provider Entity Code]]&amp;"; "&amp;R1213&amp;AS[[#This Row],[Age Band Code]]&amp;"; "&amp;S1213&amp;AS[[#This Row],[Sex Code]]</f>
        <v xml:space="preserve">Insurer Code ; Reporting Year ; Insurance Category Code ; Large Provider Entity Code ; Age Band Code ; Sex Code </v>
      </c>
      <c r="N1213" s="345" t="s">
        <v>207</v>
      </c>
      <c r="O1213" s="345" t="s">
        <v>208</v>
      </c>
      <c r="P1213" s="345" t="s">
        <v>209</v>
      </c>
      <c r="Q1213" s="345" t="s">
        <v>210</v>
      </c>
      <c r="R1213" s="345" t="s">
        <v>223</v>
      </c>
      <c r="S1213" s="345" t="s">
        <v>224</v>
      </c>
    </row>
    <row r="1214" spans="1:19" x14ac:dyDescent="0.25">
      <c r="A1214" s="311"/>
      <c r="B1214" s="312"/>
      <c r="C1214" s="312"/>
      <c r="D1214" s="312"/>
      <c r="E1214" s="312"/>
      <c r="F1214" s="312"/>
      <c r="G1214" s="328"/>
      <c r="H1214" s="337"/>
      <c r="I1214" s="334"/>
      <c r="J1214" s="314"/>
      <c r="K1214" s="449"/>
      <c r="M1214" s="349" t="str">
        <f>N1214&amp;AS[[#This Row],[Insurer Code]]&amp;"; "&amp;O1214&amp;AS[[#This Row],[Reporting Year]]&amp;"; "&amp;P1214&amp;AS[[#This Row],[Insurance Category Code]]&amp;"; "&amp;Q1214&amp;AS[[#This Row],[Large Provider Entity Code]]&amp;"; "&amp;R1214&amp;AS[[#This Row],[Age Band Code]]&amp;"; "&amp;S1214&amp;AS[[#This Row],[Sex Code]]</f>
        <v xml:space="preserve">Insurer Code ; Reporting Year ; Insurance Category Code ; Large Provider Entity Code ; Age Band Code ; Sex Code </v>
      </c>
      <c r="N1214" s="345" t="s">
        <v>207</v>
      </c>
      <c r="O1214" s="345" t="s">
        <v>208</v>
      </c>
      <c r="P1214" s="345" t="s">
        <v>209</v>
      </c>
      <c r="Q1214" s="345" t="s">
        <v>210</v>
      </c>
      <c r="R1214" s="345" t="s">
        <v>223</v>
      </c>
      <c r="S1214" s="345" t="s">
        <v>224</v>
      </c>
    </row>
    <row r="1215" spans="1:19" x14ac:dyDescent="0.25">
      <c r="A1215" s="311"/>
      <c r="B1215" s="312"/>
      <c r="C1215" s="312"/>
      <c r="D1215" s="312"/>
      <c r="E1215" s="312"/>
      <c r="F1215" s="312"/>
      <c r="G1215" s="328"/>
      <c r="H1215" s="337"/>
      <c r="I1215" s="334"/>
      <c r="J1215" s="314"/>
      <c r="K1215" s="449"/>
      <c r="M1215" s="349" t="str">
        <f>N1215&amp;AS[[#This Row],[Insurer Code]]&amp;"; "&amp;O1215&amp;AS[[#This Row],[Reporting Year]]&amp;"; "&amp;P1215&amp;AS[[#This Row],[Insurance Category Code]]&amp;"; "&amp;Q1215&amp;AS[[#This Row],[Large Provider Entity Code]]&amp;"; "&amp;R1215&amp;AS[[#This Row],[Age Band Code]]&amp;"; "&amp;S1215&amp;AS[[#This Row],[Sex Code]]</f>
        <v xml:space="preserve">Insurer Code ; Reporting Year ; Insurance Category Code ; Large Provider Entity Code ; Age Band Code ; Sex Code </v>
      </c>
      <c r="N1215" s="345" t="s">
        <v>207</v>
      </c>
      <c r="O1215" s="345" t="s">
        <v>208</v>
      </c>
      <c r="P1215" s="345" t="s">
        <v>209</v>
      </c>
      <c r="Q1215" s="345" t="s">
        <v>210</v>
      </c>
      <c r="R1215" s="345" t="s">
        <v>223</v>
      </c>
      <c r="S1215" s="345" t="s">
        <v>224</v>
      </c>
    </row>
    <row r="1216" spans="1:19" x14ac:dyDescent="0.25">
      <c r="A1216" s="311"/>
      <c r="B1216" s="312"/>
      <c r="C1216" s="312"/>
      <c r="D1216" s="312"/>
      <c r="E1216" s="312"/>
      <c r="F1216" s="312"/>
      <c r="G1216" s="328"/>
      <c r="H1216" s="337"/>
      <c r="I1216" s="334"/>
      <c r="J1216" s="314"/>
      <c r="K1216" s="449"/>
      <c r="M1216" s="349" t="str">
        <f>N1216&amp;AS[[#This Row],[Insurer Code]]&amp;"; "&amp;O1216&amp;AS[[#This Row],[Reporting Year]]&amp;"; "&amp;P1216&amp;AS[[#This Row],[Insurance Category Code]]&amp;"; "&amp;Q1216&amp;AS[[#This Row],[Large Provider Entity Code]]&amp;"; "&amp;R1216&amp;AS[[#This Row],[Age Band Code]]&amp;"; "&amp;S1216&amp;AS[[#This Row],[Sex Code]]</f>
        <v xml:space="preserve">Insurer Code ; Reporting Year ; Insurance Category Code ; Large Provider Entity Code ; Age Band Code ; Sex Code </v>
      </c>
      <c r="N1216" s="345" t="s">
        <v>207</v>
      </c>
      <c r="O1216" s="345" t="s">
        <v>208</v>
      </c>
      <c r="P1216" s="345" t="s">
        <v>209</v>
      </c>
      <c r="Q1216" s="345" t="s">
        <v>210</v>
      </c>
      <c r="R1216" s="345" t="s">
        <v>223</v>
      </c>
      <c r="S1216" s="345" t="s">
        <v>224</v>
      </c>
    </row>
    <row r="1217" spans="1:19" x14ac:dyDescent="0.25">
      <c r="A1217" s="311"/>
      <c r="B1217" s="312"/>
      <c r="C1217" s="312"/>
      <c r="D1217" s="312"/>
      <c r="E1217" s="312"/>
      <c r="F1217" s="312"/>
      <c r="G1217" s="328"/>
      <c r="H1217" s="337"/>
      <c r="I1217" s="334"/>
      <c r="J1217" s="314"/>
      <c r="K1217" s="449"/>
      <c r="M1217" s="349" t="str">
        <f>N1217&amp;AS[[#This Row],[Insurer Code]]&amp;"; "&amp;O1217&amp;AS[[#This Row],[Reporting Year]]&amp;"; "&amp;P1217&amp;AS[[#This Row],[Insurance Category Code]]&amp;"; "&amp;Q1217&amp;AS[[#This Row],[Large Provider Entity Code]]&amp;"; "&amp;R1217&amp;AS[[#This Row],[Age Band Code]]&amp;"; "&amp;S1217&amp;AS[[#This Row],[Sex Code]]</f>
        <v xml:space="preserve">Insurer Code ; Reporting Year ; Insurance Category Code ; Large Provider Entity Code ; Age Band Code ; Sex Code </v>
      </c>
      <c r="N1217" s="345" t="s">
        <v>207</v>
      </c>
      <c r="O1217" s="345" t="s">
        <v>208</v>
      </c>
      <c r="P1217" s="345" t="s">
        <v>209</v>
      </c>
      <c r="Q1217" s="345" t="s">
        <v>210</v>
      </c>
      <c r="R1217" s="345" t="s">
        <v>223</v>
      </c>
      <c r="S1217" s="345" t="s">
        <v>224</v>
      </c>
    </row>
    <row r="1218" spans="1:19" x14ac:dyDescent="0.25">
      <c r="A1218" s="311"/>
      <c r="B1218" s="312"/>
      <c r="C1218" s="312"/>
      <c r="D1218" s="312"/>
      <c r="E1218" s="312"/>
      <c r="F1218" s="312"/>
      <c r="G1218" s="328"/>
      <c r="H1218" s="337"/>
      <c r="I1218" s="334"/>
      <c r="J1218" s="314"/>
      <c r="K1218" s="449"/>
      <c r="M1218" s="349" t="str">
        <f>N1218&amp;AS[[#This Row],[Insurer Code]]&amp;"; "&amp;O1218&amp;AS[[#This Row],[Reporting Year]]&amp;"; "&amp;P1218&amp;AS[[#This Row],[Insurance Category Code]]&amp;"; "&amp;Q1218&amp;AS[[#This Row],[Large Provider Entity Code]]&amp;"; "&amp;R1218&amp;AS[[#This Row],[Age Band Code]]&amp;"; "&amp;S1218&amp;AS[[#This Row],[Sex Code]]</f>
        <v xml:space="preserve">Insurer Code ; Reporting Year ; Insurance Category Code ; Large Provider Entity Code ; Age Band Code ; Sex Code </v>
      </c>
      <c r="N1218" s="345" t="s">
        <v>207</v>
      </c>
      <c r="O1218" s="345" t="s">
        <v>208</v>
      </c>
      <c r="P1218" s="345" t="s">
        <v>209</v>
      </c>
      <c r="Q1218" s="345" t="s">
        <v>210</v>
      </c>
      <c r="R1218" s="345" t="s">
        <v>223</v>
      </c>
      <c r="S1218" s="345" t="s">
        <v>224</v>
      </c>
    </row>
    <row r="1219" spans="1:19" x14ac:dyDescent="0.25">
      <c r="A1219" s="311"/>
      <c r="B1219" s="312"/>
      <c r="C1219" s="312"/>
      <c r="D1219" s="312"/>
      <c r="E1219" s="312"/>
      <c r="F1219" s="312"/>
      <c r="G1219" s="328"/>
      <c r="H1219" s="337"/>
      <c r="I1219" s="334"/>
      <c r="J1219" s="314"/>
      <c r="K1219" s="449"/>
      <c r="M1219" s="349" t="str">
        <f>N1219&amp;AS[[#This Row],[Insurer Code]]&amp;"; "&amp;O1219&amp;AS[[#This Row],[Reporting Year]]&amp;"; "&amp;P1219&amp;AS[[#This Row],[Insurance Category Code]]&amp;"; "&amp;Q1219&amp;AS[[#This Row],[Large Provider Entity Code]]&amp;"; "&amp;R1219&amp;AS[[#This Row],[Age Band Code]]&amp;"; "&amp;S1219&amp;AS[[#This Row],[Sex Code]]</f>
        <v xml:space="preserve">Insurer Code ; Reporting Year ; Insurance Category Code ; Large Provider Entity Code ; Age Band Code ; Sex Code </v>
      </c>
      <c r="N1219" s="345" t="s">
        <v>207</v>
      </c>
      <c r="O1219" s="345" t="s">
        <v>208</v>
      </c>
      <c r="P1219" s="345" t="s">
        <v>209</v>
      </c>
      <c r="Q1219" s="345" t="s">
        <v>210</v>
      </c>
      <c r="R1219" s="345" t="s">
        <v>223</v>
      </c>
      <c r="S1219" s="345" t="s">
        <v>224</v>
      </c>
    </row>
    <row r="1220" spans="1:19" x14ac:dyDescent="0.25">
      <c r="A1220" s="311"/>
      <c r="B1220" s="312"/>
      <c r="C1220" s="312"/>
      <c r="D1220" s="312"/>
      <c r="E1220" s="312"/>
      <c r="F1220" s="312"/>
      <c r="G1220" s="328"/>
      <c r="H1220" s="337"/>
      <c r="I1220" s="334"/>
      <c r="J1220" s="314"/>
      <c r="K1220" s="449"/>
      <c r="M1220" s="349" t="str">
        <f>N1220&amp;AS[[#This Row],[Insurer Code]]&amp;"; "&amp;O1220&amp;AS[[#This Row],[Reporting Year]]&amp;"; "&amp;P1220&amp;AS[[#This Row],[Insurance Category Code]]&amp;"; "&amp;Q1220&amp;AS[[#This Row],[Large Provider Entity Code]]&amp;"; "&amp;R1220&amp;AS[[#This Row],[Age Band Code]]&amp;"; "&amp;S1220&amp;AS[[#This Row],[Sex Code]]</f>
        <v xml:space="preserve">Insurer Code ; Reporting Year ; Insurance Category Code ; Large Provider Entity Code ; Age Band Code ; Sex Code </v>
      </c>
      <c r="N1220" s="345" t="s">
        <v>207</v>
      </c>
      <c r="O1220" s="345" t="s">
        <v>208</v>
      </c>
      <c r="P1220" s="345" t="s">
        <v>209</v>
      </c>
      <c r="Q1220" s="345" t="s">
        <v>210</v>
      </c>
      <c r="R1220" s="345" t="s">
        <v>223</v>
      </c>
      <c r="S1220" s="345" t="s">
        <v>224</v>
      </c>
    </row>
    <row r="1221" spans="1:19" x14ac:dyDescent="0.25">
      <c r="A1221" s="311"/>
      <c r="B1221" s="312"/>
      <c r="C1221" s="312"/>
      <c r="D1221" s="312"/>
      <c r="E1221" s="312"/>
      <c r="F1221" s="312"/>
      <c r="G1221" s="328"/>
      <c r="H1221" s="337"/>
      <c r="I1221" s="334"/>
      <c r="J1221" s="314"/>
      <c r="K1221" s="449"/>
      <c r="M1221" s="349" t="str">
        <f>N1221&amp;AS[[#This Row],[Insurer Code]]&amp;"; "&amp;O1221&amp;AS[[#This Row],[Reporting Year]]&amp;"; "&amp;P1221&amp;AS[[#This Row],[Insurance Category Code]]&amp;"; "&amp;Q1221&amp;AS[[#This Row],[Large Provider Entity Code]]&amp;"; "&amp;R1221&amp;AS[[#This Row],[Age Band Code]]&amp;"; "&amp;S1221&amp;AS[[#This Row],[Sex Code]]</f>
        <v xml:space="preserve">Insurer Code ; Reporting Year ; Insurance Category Code ; Large Provider Entity Code ; Age Band Code ; Sex Code </v>
      </c>
      <c r="N1221" s="345" t="s">
        <v>207</v>
      </c>
      <c r="O1221" s="345" t="s">
        <v>208</v>
      </c>
      <c r="P1221" s="345" t="s">
        <v>209</v>
      </c>
      <c r="Q1221" s="345" t="s">
        <v>210</v>
      </c>
      <c r="R1221" s="345" t="s">
        <v>223</v>
      </c>
      <c r="S1221" s="345" t="s">
        <v>224</v>
      </c>
    </row>
    <row r="1222" spans="1:19" x14ac:dyDescent="0.25">
      <c r="A1222" s="311"/>
      <c r="B1222" s="312"/>
      <c r="C1222" s="312"/>
      <c r="D1222" s="312"/>
      <c r="E1222" s="312"/>
      <c r="F1222" s="312"/>
      <c r="G1222" s="328"/>
      <c r="H1222" s="337"/>
      <c r="I1222" s="334"/>
      <c r="J1222" s="314"/>
      <c r="K1222" s="449"/>
      <c r="M1222" s="349" t="str">
        <f>N1222&amp;AS[[#This Row],[Insurer Code]]&amp;"; "&amp;O1222&amp;AS[[#This Row],[Reporting Year]]&amp;"; "&amp;P1222&amp;AS[[#This Row],[Insurance Category Code]]&amp;"; "&amp;Q1222&amp;AS[[#This Row],[Large Provider Entity Code]]&amp;"; "&amp;R1222&amp;AS[[#This Row],[Age Band Code]]&amp;"; "&amp;S1222&amp;AS[[#This Row],[Sex Code]]</f>
        <v xml:space="preserve">Insurer Code ; Reporting Year ; Insurance Category Code ; Large Provider Entity Code ; Age Band Code ; Sex Code </v>
      </c>
      <c r="N1222" s="345" t="s">
        <v>207</v>
      </c>
      <c r="O1222" s="345" t="s">
        <v>208</v>
      </c>
      <c r="P1222" s="345" t="s">
        <v>209</v>
      </c>
      <c r="Q1222" s="345" t="s">
        <v>210</v>
      </c>
      <c r="R1222" s="345" t="s">
        <v>223</v>
      </c>
      <c r="S1222" s="345" t="s">
        <v>224</v>
      </c>
    </row>
    <row r="1223" spans="1:19" x14ac:dyDescent="0.25">
      <c r="A1223" s="311"/>
      <c r="B1223" s="312"/>
      <c r="C1223" s="312"/>
      <c r="D1223" s="312"/>
      <c r="E1223" s="312"/>
      <c r="F1223" s="312"/>
      <c r="G1223" s="328"/>
      <c r="H1223" s="337"/>
      <c r="I1223" s="334"/>
      <c r="J1223" s="314"/>
      <c r="K1223" s="449"/>
      <c r="M1223" s="349" t="str">
        <f>N1223&amp;AS[[#This Row],[Insurer Code]]&amp;"; "&amp;O1223&amp;AS[[#This Row],[Reporting Year]]&amp;"; "&amp;P1223&amp;AS[[#This Row],[Insurance Category Code]]&amp;"; "&amp;Q1223&amp;AS[[#This Row],[Large Provider Entity Code]]&amp;"; "&amp;R1223&amp;AS[[#This Row],[Age Band Code]]&amp;"; "&amp;S1223&amp;AS[[#This Row],[Sex Code]]</f>
        <v xml:space="preserve">Insurer Code ; Reporting Year ; Insurance Category Code ; Large Provider Entity Code ; Age Band Code ; Sex Code </v>
      </c>
      <c r="N1223" s="345" t="s">
        <v>207</v>
      </c>
      <c r="O1223" s="345" t="s">
        <v>208</v>
      </c>
      <c r="P1223" s="345" t="s">
        <v>209</v>
      </c>
      <c r="Q1223" s="345" t="s">
        <v>210</v>
      </c>
      <c r="R1223" s="345" t="s">
        <v>223</v>
      </c>
      <c r="S1223" s="345" t="s">
        <v>224</v>
      </c>
    </row>
    <row r="1224" spans="1:19" x14ac:dyDescent="0.25">
      <c r="A1224" s="311"/>
      <c r="B1224" s="312"/>
      <c r="C1224" s="312"/>
      <c r="D1224" s="312"/>
      <c r="E1224" s="312"/>
      <c r="F1224" s="312"/>
      <c r="G1224" s="328"/>
      <c r="H1224" s="337"/>
      <c r="I1224" s="334"/>
      <c r="J1224" s="314"/>
      <c r="K1224" s="449"/>
      <c r="M1224" s="349" t="str">
        <f>N1224&amp;AS[[#This Row],[Insurer Code]]&amp;"; "&amp;O1224&amp;AS[[#This Row],[Reporting Year]]&amp;"; "&amp;P1224&amp;AS[[#This Row],[Insurance Category Code]]&amp;"; "&amp;Q1224&amp;AS[[#This Row],[Large Provider Entity Code]]&amp;"; "&amp;R1224&amp;AS[[#This Row],[Age Band Code]]&amp;"; "&amp;S1224&amp;AS[[#This Row],[Sex Code]]</f>
        <v xml:space="preserve">Insurer Code ; Reporting Year ; Insurance Category Code ; Large Provider Entity Code ; Age Band Code ; Sex Code </v>
      </c>
      <c r="N1224" s="345" t="s">
        <v>207</v>
      </c>
      <c r="O1224" s="345" t="s">
        <v>208</v>
      </c>
      <c r="P1224" s="345" t="s">
        <v>209</v>
      </c>
      <c r="Q1224" s="345" t="s">
        <v>210</v>
      </c>
      <c r="R1224" s="345" t="s">
        <v>223</v>
      </c>
      <c r="S1224" s="345" t="s">
        <v>224</v>
      </c>
    </row>
    <row r="1225" spans="1:19" x14ac:dyDescent="0.25">
      <c r="A1225" s="311"/>
      <c r="B1225" s="312"/>
      <c r="C1225" s="312"/>
      <c r="D1225" s="312"/>
      <c r="E1225" s="312"/>
      <c r="F1225" s="312"/>
      <c r="G1225" s="328"/>
      <c r="H1225" s="337"/>
      <c r="I1225" s="334"/>
      <c r="J1225" s="314"/>
      <c r="K1225" s="449"/>
      <c r="M1225" s="349" t="str">
        <f>N1225&amp;AS[[#This Row],[Insurer Code]]&amp;"; "&amp;O1225&amp;AS[[#This Row],[Reporting Year]]&amp;"; "&amp;P1225&amp;AS[[#This Row],[Insurance Category Code]]&amp;"; "&amp;Q1225&amp;AS[[#This Row],[Large Provider Entity Code]]&amp;"; "&amp;R1225&amp;AS[[#This Row],[Age Band Code]]&amp;"; "&amp;S1225&amp;AS[[#This Row],[Sex Code]]</f>
        <v xml:space="preserve">Insurer Code ; Reporting Year ; Insurance Category Code ; Large Provider Entity Code ; Age Band Code ; Sex Code </v>
      </c>
      <c r="N1225" s="345" t="s">
        <v>207</v>
      </c>
      <c r="O1225" s="345" t="s">
        <v>208</v>
      </c>
      <c r="P1225" s="345" t="s">
        <v>209</v>
      </c>
      <c r="Q1225" s="345" t="s">
        <v>210</v>
      </c>
      <c r="R1225" s="345" t="s">
        <v>223</v>
      </c>
      <c r="S1225" s="345" t="s">
        <v>224</v>
      </c>
    </row>
    <row r="1226" spans="1:19" x14ac:dyDescent="0.25">
      <c r="A1226" s="311"/>
      <c r="B1226" s="312"/>
      <c r="C1226" s="312"/>
      <c r="D1226" s="312"/>
      <c r="E1226" s="312"/>
      <c r="F1226" s="312"/>
      <c r="G1226" s="328"/>
      <c r="H1226" s="337"/>
      <c r="I1226" s="334"/>
      <c r="J1226" s="314"/>
      <c r="K1226" s="449"/>
      <c r="M1226" s="349" t="str">
        <f>N1226&amp;AS[[#This Row],[Insurer Code]]&amp;"; "&amp;O1226&amp;AS[[#This Row],[Reporting Year]]&amp;"; "&amp;P1226&amp;AS[[#This Row],[Insurance Category Code]]&amp;"; "&amp;Q1226&amp;AS[[#This Row],[Large Provider Entity Code]]&amp;"; "&amp;R1226&amp;AS[[#This Row],[Age Band Code]]&amp;"; "&amp;S1226&amp;AS[[#This Row],[Sex Code]]</f>
        <v xml:space="preserve">Insurer Code ; Reporting Year ; Insurance Category Code ; Large Provider Entity Code ; Age Band Code ; Sex Code </v>
      </c>
      <c r="N1226" s="345" t="s">
        <v>207</v>
      </c>
      <c r="O1226" s="345" t="s">
        <v>208</v>
      </c>
      <c r="P1226" s="345" t="s">
        <v>209</v>
      </c>
      <c r="Q1226" s="345" t="s">
        <v>210</v>
      </c>
      <c r="R1226" s="345" t="s">
        <v>223</v>
      </c>
      <c r="S1226" s="345" t="s">
        <v>224</v>
      </c>
    </row>
    <row r="1227" spans="1:19" x14ac:dyDescent="0.25">
      <c r="A1227" s="311"/>
      <c r="B1227" s="312"/>
      <c r="C1227" s="312"/>
      <c r="D1227" s="312"/>
      <c r="E1227" s="312"/>
      <c r="F1227" s="312"/>
      <c r="G1227" s="328"/>
      <c r="H1227" s="337"/>
      <c r="I1227" s="334"/>
      <c r="J1227" s="314"/>
      <c r="K1227" s="449"/>
      <c r="M1227" s="349" t="str">
        <f>N1227&amp;AS[[#This Row],[Insurer Code]]&amp;"; "&amp;O1227&amp;AS[[#This Row],[Reporting Year]]&amp;"; "&amp;P1227&amp;AS[[#This Row],[Insurance Category Code]]&amp;"; "&amp;Q1227&amp;AS[[#This Row],[Large Provider Entity Code]]&amp;"; "&amp;R1227&amp;AS[[#This Row],[Age Band Code]]&amp;"; "&amp;S1227&amp;AS[[#This Row],[Sex Code]]</f>
        <v xml:space="preserve">Insurer Code ; Reporting Year ; Insurance Category Code ; Large Provider Entity Code ; Age Band Code ; Sex Code </v>
      </c>
      <c r="N1227" s="345" t="s">
        <v>207</v>
      </c>
      <c r="O1227" s="345" t="s">
        <v>208</v>
      </c>
      <c r="P1227" s="345" t="s">
        <v>209</v>
      </c>
      <c r="Q1227" s="345" t="s">
        <v>210</v>
      </c>
      <c r="R1227" s="345" t="s">
        <v>223</v>
      </c>
      <c r="S1227" s="345" t="s">
        <v>224</v>
      </c>
    </row>
    <row r="1228" spans="1:19" x14ac:dyDescent="0.25">
      <c r="A1228" s="311"/>
      <c r="B1228" s="312"/>
      <c r="C1228" s="312"/>
      <c r="D1228" s="312"/>
      <c r="E1228" s="312"/>
      <c r="F1228" s="312"/>
      <c r="G1228" s="328"/>
      <c r="H1228" s="337"/>
      <c r="I1228" s="334"/>
      <c r="J1228" s="314"/>
      <c r="K1228" s="449"/>
      <c r="M1228" s="349" t="str">
        <f>N1228&amp;AS[[#This Row],[Insurer Code]]&amp;"; "&amp;O1228&amp;AS[[#This Row],[Reporting Year]]&amp;"; "&amp;P1228&amp;AS[[#This Row],[Insurance Category Code]]&amp;"; "&amp;Q1228&amp;AS[[#This Row],[Large Provider Entity Code]]&amp;"; "&amp;R1228&amp;AS[[#This Row],[Age Band Code]]&amp;"; "&amp;S1228&amp;AS[[#This Row],[Sex Code]]</f>
        <v xml:space="preserve">Insurer Code ; Reporting Year ; Insurance Category Code ; Large Provider Entity Code ; Age Band Code ; Sex Code </v>
      </c>
      <c r="N1228" s="345" t="s">
        <v>207</v>
      </c>
      <c r="O1228" s="345" t="s">
        <v>208</v>
      </c>
      <c r="P1228" s="345" t="s">
        <v>209</v>
      </c>
      <c r="Q1228" s="345" t="s">
        <v>210</v>
      </c>
      <c r="R1228" s="345" t="s">
        <v>223</v>
      </c>
      <c r="S1228" s="345" t="s">
        <v>224</v>
      </c>
    </row>
    <row r="1229" spans="1:19" x14ac:dyDescent="0.25">
      <c r="A1229" s="311"/>
      <c r="B1229" s="312"/>
      <c r="C1229" s="312"/>
      <c r="D1229" s="312"/>
      <c r="E1229" s="312"/>
      <c r="F1229" s="312"/>
      <c r="G1229" s="328"/>
      <c r="H1229" s="337"/>
      <c r="I1229" s="334"/>
      <c r="J1229" s="314"/>
      <c r="K1229" s="449"/>
      <c r="M1229" s="349" t="str">
        <f>N1229&amp;AS[[#This Row],[Insurer Code]]&amp;"; "&amp;O1229&amp;AS[[#This Row],[Reporting Year]]&amp;"; "&amp;P1229&amp;AS[[#This Row],[Insurance Category Code]]&amp;"; "&amp;Q1229&amp;AS[[#This Row],[Large Provider Entity Code]]&amp;"; "&amp;R1229&amp;AS[[#This Row],[Age Band Code]]&amp;"; "&amp;S1229&amp;AS[[#This Row],[Sex Code]]</f>
        <v xml:space="preserve">Insurer Code ; Reporting Year ; Insurance Category Code ; Large Provider Entity Code ; Age Band Code ; Sex Code </v>
      </c>
      <c r="N1229" s="345" t="s">
        <v>207</v>
      </c>
      <c r="O1229" s="345" t="s">
        <v>208</v>
      </c>
      <c r="P1229" s="345" t="s">
        <v>209</v>
      </c>
      <c r="Q1229" s="345" t="s">
        <v>210</v>
      </c>
      <c r="R1229" s="345" t="s">
        <v>223</v>
      </c>
      <c r="S1229" s="345" t="s">
        <v>224</v>
      </c>
    </row>
    <row r="1230" spans="1:19" x14ac:dyDescent="0.25">
      <c r="A1230" s="311"/>
      <c r="B1230" s="312"/>
      <c r="C1230" s="312"/>
      <c r="D1230" s="312"/>
      <c r="E1230" s="312"/>
      <c r="F1230" s="312"/>
      <c r="G1230" s="328"/>
      <c r="H1230" s="337"/>
      <c r="I1230" s="334"/>
      <c r="J1230" s="314"/>
      <c r="K1230" s="449"/>
      <c r="M1230" s="349" t="str">
        <f>N1230&amp;AS[[#This Row],[Insurer Code]]&amp;"; "&amp;O1230&amp;AS[[#This Row],[Reporting Year]]&amp;"; "&amp;P1230&amp;AS[[#This Row],[Insurance Category Code]]&amp;"; "&amp;Q1230&amp;AS[[#This Row],[Large Provider Entity Code]]&amp;"; "&amp;R1230&amp;AS[[#This Row],[Age Band Code]]&amp;"; "&amp;S1230&amp;AS[[#This Row],[Sex Code]]</f>
        <v xml:space="preserve">Insurer Code ; Reporting Year ; Insurance Category Code ; Large Provider Entity Code ; Age Band Code ; Sex Code </v>
      </c>
      <c r="N1230" s="345" t="s">
        <v>207</v>
      </c>
      <c r="O1230" s="345" t="s">
        <v>208</v>
      </c>
      <c r="P1230" s="345" t="s">
        <v>209</v>
      </c>
      <c r="Q1230" s="345" t="s">
        <v>210</v>
      </c>
      <c r="R1230" s="345" t="s">
        <v>223</v>
      </c>
      <c r="S1230" s="345" t="s">
        <v>224</v>
      </c>
    </row>
    <row r="1231" spans="1:19" x14ac:dyDescent="0.25">
      <c r="A1231" s="311"/>
      <c r="B1231" s="312"/>
      <c r="C1231" s="312"/>
      <c r="D1231" s="312"/>
      <c r="E1231" s="312"/>
      <c r="F1231" s="312"/>
      <c r="G1231" s="328"/>
      <c r="H1231" s="337"/>
      <c r="I1231" s="334"/>
      <c r="J1231" s="314"/>
      <c r="K1231" s="449"/>
      <c r="M1231" s="349" t="str">
        <f>N1231&amp;AS[[#This Row],[Insurer Code]]&amp;"; "&amp;O1231&amp;AS[[#This Row],[Reporting Year]]&amp;"; "&amp;P1231&amp;AS[[#This Row],[Insurance Category Code]]&amp;"; "&amp;Q1231&amp;AS[[#This Row],[Large Provider Entity Code]]&amp;"; "&amp;R1231&amp;AS[[#This Row],[Age Band Code]]&amp;"; "&amp;S1231&amp;AS[[#This Row],[Sex Code]]</f>
        <v xml:space="preserve">Insurer Code ; Reporting Year ; Insurance Category Code ; Large Provider Entity Code ; Age Band Code ; Sex Code </v>
      </c>
      <c r="N1231" s="345" t="s">
        <v>207</v>
      </c>
      <c r="O1231" s="345" t="s">
        <v>208</v>
      </c>
      <c r="P1231" s="345" t="s">
        <v>209</v>
      </c>
      <c r="Q1231" s="345" t="s">
        <v>210</v>
      </c>
      <c r="R1231" s="345" t="s">
        <v>223</v>
      </c>
      <c r="S1231" s="345" t="s">
        <v>224</v>
      </c>
    </row>
    <row r="1232" spans="1:19" x14ac:dyDescent="0.25">
      <c r="A1232" s="311"/>
      <c r="B1232" s="312"/>
      <c r="C1232" s="312"/>
      <c r="D1232" s="312"/>
      <c r="E1232" s="312"/>
      <c r="F1232" s="312"/>
      <c r="G1232" s="328"/>
      <c r="H1232" s="337"/>
      <c r="I1232" s="334"/>
      <c r="J1232" s="314"/>
      <c r="K1232" s="449"/>
      <c r="M1232" s="349" t="str">
        <f>N1232&amp;AS[[#This Row],[Insurer Code]]&amp;"; "&amp;O1232&amp;AS[[#This Row],[Reporting Year]]&amp;"; "&amp;P1232&amp;AS[[#This Row],[Insurance Category Code]]&amp;"; "&amp;Q1232&amp;AS[[#This Row],[Large Provider Entity Code]]&amp;"; "&amp;R1232&amp;AS[[#This Row],[Age Band Code]]&amp;"; "&amp;S1232&amp;AS[[#This Row],[Sex Code]]</f>
        <v xml:space="preserve">Insurer Code ; Reporting Year ; Insurance Category Code ; Large Provider Entity Code ; Age Band Code ; Sex Code </v>
      </c>
      <c r="N1232" s="345" t="s">
        <v>207</v>
      </c>
      <c r="O1232" s="345" t="s">
        <v>208</v>
      </c>
      <c r="P1232" s="345" t="s">
        <v>209</v>
      </c>
      <c r="Q1232" s="345" t="s">
        <v>210</v>
      </c>
      <c r="R1232" s="345" t="s">
        <v>223</v>
      </c>
      <c r="S1232" s="345" t="s">
        <v>224</v>
      </c>
    </row>
    <row r="1233" spans="1:19" x14ac:dyDescent="0.25">
      <c r="A1233" s="311"/>
      <c r="B1233" s="312"/>
      <c r="C1233" s="312"/>
      <c r="D1233" s="312"/>
      <c r="E1233" s="312"/>
      <c r="F1233" s="312"/>
      <c r="G1233" s="328"/>
      <c r="H1233" s="337"/>
      <c r="I1233" s="334"/>
      <c r="J1233" s="314"/>
      <c r="K1233" s="449"/>
      <c r="M1233" s="349" t="str">
        <f>N1233&amp;AS[[#This Row],[Insurer Code]]&amp;"; "&amp;O1233&amp;AS[[#This Row],[Reporting Year]]&amp;"; "&amp;P1233&amp;AS[[#This Row],[Insurance Category Code]]&amp;"; "&amp;Q1233&amp;AS[[#This Row],[Large Provider Entity Code]]&amp;"; "&amp;R1233&amp;AS[[#This Row],[Age Band Code]]&amp;"; "&amp;S1233&amp;AS[[#This Row],[Sex Code]]</f>
        <v xml:space="preserve">Insurer Code ; Reporting Year ; Insurance Category Code ; Large Provider Entity Code ; Age Band Code ; Sex Code </v>
      </c>
      <c r="N1233" s="345" t="s">
        <v>207</v>
      </c>
      <c r="O1233" s="345" t="s">
        <v>208</v>
      </c>
      <c r="P1233" s="345" t="s">
        <v>209</v>
      </c>
      <c r="Q1233" s="345" t="s">
        <v>210</v>
      </c>
      <c r="R1233" s="345" t="s">
        <v>223</v>
      </c>
      <c r="S1233" s="345" t="s">
        <v>224</v>
      </c>
    </row>
    <row r="1234" spans="1:19" x14ac:dyDescent="0.25">
      <c r="A1234" s="311"/>
      <c r="B1234" s="312"/>
      <c r="C1234" s="312"/>
      <c r="D1234" s="312"/>
      <c r="E1234" s="312"/>
      <c r="F1234" s="312"/>
      <c r="G1234" s="328"/>
      <c r="H1234" s="337"/>
      <c r="I1234" s="334"/>
      <c r="J1234" s="314"/>
      <c r="K1234" s="449"/>
      <c r="M1234" s="349" t="str">
        <f>N1234&amp;AS[[#This Row],[Insurer Code]]&amp;"; "&amp;O1234&amp;AS[[#This Row],[Reporting Year]]&amp;"; "&amp;P1234&amp;AS[[#This Row],[Insurance Category Code]]&amp;"; "&amp;Q1234&amp;AS[[#This Row],[Large Provider Entity Code]]&amp;"; "&amp;R1234&amp;AS[[#This Row],[Age Band Code]]&amp;"; "&amp;S1234&amp;AS[[#This Row],[Sex Code]]</f>
        <v xml:space="preserve">Insurer Code ; Reporting Year ; Insurance Category Code ; Large Provider Entity Code ; Age Band Code ; Sex Code </v>
      </c>
      <c r="N1234" s="345" t="s">
        <v>207</v>
      </c>
      <c r="O1234" s="345" t="s">
        <v>208</v>
      </c>
      <c r="P1234" s="345" t="s">
        <v>209</v>
      </c>
      <c r="Q1234" s="345" t="s">
        <v>210</v>
      </c>
      <c r="R1234" s="345" t="s">
        <v>223</v>
      </c>
      <c r="S1234" s="345" t="s">
        <v>224</v>
      </c>
    </row>
    <row r="1235" spans="1:19" x14ac:dyDescent="0.25">
      <c r="A1235" s="311"/>
      <c r="B1235" s="312"/>
      <c r="C1235" s="312"/>
      <c r="D1235" s="312"/>
      <c r="E1235" s="312"/>
      <c r="F1235" s="312"/>
      <c r="G1235" s="328"/>
      <c r="H1235" s="337"/>
      <c r="I1235" s="334"/>
      <c r="J1235" s="314"/>
      <c r="K1235" s="449"/>
      <c r="M1235" s="349" t="str">
        <f>N1235&amp;AS[[#This Row],[Insurer Code]]&amp;"; "&amp;O1235&amp;AS[[#This Row],[Reporting Year]]&amp;"; "&amp;P1235&amp;AS[[#This Row],[Insurance Category Code]]&amp;"; "&amp;Q1235&amp;AS[[#This Row],[Large Provider Entity Code]]&amp;"; "&amp;R1235&amp;AS[[#This Row],[Age Band Code]]&amp;"; "&amp;S1235&amp;AS[[#This Row],[Sex Code]]</f>
        <v xml:space="preserve">Insurer Code ; Reporting Year ; Insurance Category Code ; Large Provider Entity Code ; Age Band Code ; Sex Code </v>
      </c>
      <c r="N1235" s="345" t="s">
        <v>207</v>
      </c>
      <c r="O1235" s="345" t="s">
        <v>208</v>
      </c>
      <c r="P1235" s="345" t="s">
        <v>209</v>
      </c>
      <c r="Q1235" s="345" t="s">
        <v>210</v>
      </c>
      <c r="R1235" s="345" t="s">
        <v>223</v>
      </c>
      <c r="S1235" s="345" t="s">
        <v>224</v>
      </c>
    </row>
    <row r="1236" spans="1:19" x14ac:dyDescent="0.25">
      <c r="A1236" s="311"/>
      <c r="B1236" s="312"/>
      <c r="C1236" s="312"/>
      <c r="D1236" s="312"/>
      <c r="E1236" s="312"/>
      <c r="F1236" s="312"/>
      <c r="G1236" s="328"/>
      <c r="H1236" s="337"/>
      <c r="I1236" s="334"/>
      <c r="J1236" s="314"/>
      <c r="K1236" s="449"/>
      <c r="M1236" s="349" t="str">
        <f>N1236&amp;AS[[#This Row],[Insurer Code]]&amp;"; "&amp;O1236&amp;AS[[#This Row],[Reporting Year]]&amp;"; "&amp;P1236&amp;AS[[#This Row],[Insurance Category Code]]&amp;"; "&amp;Q1236&amp;AS[[#This Row],[Large Provider Entity Code]]&amp;"; "&amp;R1236&amp;AS[[#This Row],[Age Band Code]]&amp;"; "&amp;S1236&amp;AS[[#This Row],[Sex Code]]</f>
        <v xml:space="preserve">Insurer Code ; Reporting Year ; Insurance Category Code ; Large Provider Entity Code ; Age Band Code ; Sex Code </v>
      </c>
      <c r="N1236" s="345" t="s">
        <v>207</v>
      </c>
      <c r="O1236" s="345" t="s">
        <v>208</v>
      </c>
      <c r="P1236" s="345" t="s">
        <v>209</v>
      </c>
      <c r="Q1236" s="345" t="s">
        <v>210</v>
      </c>
      <c r="R1236" s="345" t="s">
        <v>223</v>
      </c>
      <c r="S1236" s="345" t="s">
        <v>224</v>
      </c>
    </row>
    <row r="1237" spans="1:19" x14ac:dyDescent="0.25">
      <c r="A1237" s="311"/>
      <c r="B1237" s="312"/>
      <c r="C1237" s="312"/>
      <c r="D1237" s="312"/>
      <c r="E1237" s="312"/>
      <c r="F1237" s="312"/>
      <c r="G1237" s="328"/>
      <c r="H1237" s="337"/>
      <c r="I1237" s="334"/>
      <c r="J1237" s="314"/>
      <c r="K1237" s="449"/>
      <c r="M1237" s="349" t="str">
        <f>N1237&amp;AS[[#This Row],[Insurer Code]]&amp;"; "&amp;O1237&amp;AS[[#This Row],[Reporting Year]]&amp;"; "&amp;P1237&amp;AS[[#This Row],[Insurance Category Code]]&amp;"; "&amp;Q1237&amp;AS[[#This Row],[Large Provider Entity Code]]&amp;"; "&amp;R1237&amp;AS[[#This Row],[Age Band Code]]&amp;"; "&amp;S1237&amp;AS[[#This Row],[Sex Code]]</f>
        <v xml:space="preserve">Insurer Code ; Reporting Year ; Insurance Category Code ; Large Provider Entity Code ; Age Band Code ; Sex Code </v>
      </c>
      <c r="N1237" s="345" t="s">
        <v>207</v>
      </c>
      <c r="O1237" s="345" t="s">
        <v>208</v>
      </c>
      <c r="P1237" s="345" t="s">
        <v>209</v>
      </c>
      <c r="Q1237" s="345" t="s">
        <v>210</v>
      </c>
      <c r="R1237" s="345" t="s">
        <v>223</v>
      </c>
      <c r="S1237" s="345" t="s">
        <v>224</v>
      </c>
    </row>
    <row r="1238" spans="1:19" x14ac:dyDescent="0.25">
      <c r="A1238" s="311"/>
      <c r="B1238" s="312"/>
      <c r="C1238" s="312"/>
      <c r="D1238" s="312"/>
      <c r="E1238" s="312"/>
      <c r="F1238" s="312"/>
      <c r="G1238" s="328"/>
      <c r="H1238" s="337"/>
      <c r="I1238" s="334"/>
      <c r="J1238" s="314"/>
      <c r="K1238" s="449"/>
      <c r="M1238" s="349" t="str">
        <f>N1238&amp;AS[[#This Row],[Insurer Code]]&amp;"; "&amp;O1238&amp;AS[[#This Row],[Reporting Year]]&amp;"; "&amp;P1238&amp;AS[[#This Row],[Insurance Category Code]]&amp;"; "&amp;Q1238&amp;AS[[#This Row],[Large Provider Entity Code]]&amp;"; "&amp;R1238&amp;AS[[#This Row],[Age Band Code]]&amp;"; "&amp;S1238&amp;AS[[#This Row],[Sex Code]]</f>
        <v xml:space="preserve">Insurer Code ; Reporting Year ; Insurance Category Code ; Large Provider Entity Code ; Age Band Code ; Sex Code </v>
      </c>
      <c r="N1238" s="345" t="s">
        <v>207</v>
      </c>
      <c r="O1238" s="345" t="s">
        <v>208</v>
      </c>
      <c r="P1238" s="345" t="s">
        <v>209</v>
      </c>
      <c r="Q1238" s="345" t="s">
        <v>210</v>
      </c>
      <c r="R1238" s="345" t="s">
        <v>223</v>
      </c>
      <c r="S1238" s="345" t="s">
        <v>224</v>
      </c>
    </row>
    <row r="1239" spans="1:19" x14ac:dyDescent="0.25">
      <c r="A1239" s="311"/>
      <c r="B1239" s="312"/>
      <c r="C1239" s="312"/>
      <c r="D1239" s="312"/>
      <c r="E1239" s="312"/>
      <c r="F1239" s="312"/>
      <c r="G1239" s="328"/>
      <c r="H1239" s="337"/>
      <c r="I1239" s="334"/>
      <c r="J1239" s="314"/>
      <c r="K1239" s="449"/>
      <c r="M1239" s="349" t="str">
        <f>N1239&amp;AS[[#This Row],[Insurer Code]]&amp;"; "&amp;O1239&amp;AS[[#This Row],[Reporting Year]]&amp;"; "&amp;P1239&amp;AS[[#This Row],[Insurance Category Code]]&amp;"; "&amp;Q1239&amp;AS[[#This Row],[Large Provider Entity Code]]&amp;"; "&amp;R1239&amp;AS[[#This Row],[Age Band Code]]&amp;"; "&amp;S1239&amp;AS[[#This Row],[Sex Code]]</f>
        <v xml:space="preserve">Insurer Code ; Reporting Year ; Insurance Category Code ; Large Provider Entity Code ; Age Band Code ; Sex Code </v>
      </c>
      <c r="N1239" s="345" t="s">
        <v>207</v>
      </c>
      <c r="O1239" s="345" t="s">
        <v>208</v>
      </c>
      <c r="P1239" s="345" t="s">
        <v>209</v>
      </c>
      <c r="Q1239" s="345" t="s">
        <v>210</v>
      </c>
      <c r="R1239" s="345" t="s">
        <v>223</v>
      </c>
      <c r="S1239" s="345" t="s">
        <v>224</v>
      </c>
    </row>
    <row r="1240" spans="1:19" x14ac:dyDescent="0.25">
      <c r="A1240" s="311"/>
      <c r="B1240" s="312"/>
      <c r="C1240" s="312"/>
      <c r="D1240" s="312"/>
      <c r="E1240" s="312"/>
      <c r="F1240" s="312"/>
      <c r="G1240" s="328"/>
      <c r="H1240" s="337"/>
      <c r="I1240" s="334"/>
      <c r="J1240" s="314"/>
      <c r="K1240" s="449"/>
      <c r="M1240" s="349" t="str">
        <f>N1240&amp;AS[[#This Row],[Insurer Code]]&amp;"; "&amp;O1240&amp;AS[[#This Row],[Reporting Year]]&amp;"; "&amp;P1240&amp;AS[[#This Row],[Insurance Category Code]]&amp;"; "&amp;Q1240&amp;AS[[#This Row],[Large Provider Entity Code]]&amp;"; "&amp;R1240&amp;AS[[#This Row],[Age Band Code]]&amp;"; "&amp;S1240&amp;AS[[#This Row],[Sex Code]]</f>
        <v xml:space="preserve">Insurer Code ; Reporting Year ; Insurance Category Code ; Large Provider Entity Code ; Age Band Code ; Sex Code </v>
      </c>
      <c r="N1240" s="345" t="s">
        <v>207</v>
      </c>
      <c r="O1240" s="345" t="s">
        <v>208</v>
      </c>
      <c r="P1240" s="345" t="s">
        <v>209</v>
      </c>
      <c r="Q1240" s="345" t="s">
        <v>210</v>
      </c>
      <c r="R1240" s="345" t="s">
        <v>223</v>
      </c>
      <c r="S1240" s="345" t="s">
        <v>224</v>
      </c>
    </row>
    <row r="1241" spans="1:19" x14ac:dyDescent="0.25">
      <c r="A1241" s="311"/>
      <c r="B1241" s="312"/>
      <c r="C1241" s="312"/>
      <c r="D1241" s="312"/>
      <c r="E1241" s="312"/>
      <c r="F1241" s="312"/>
      <c r="G1241" s="328"/>
      <c r="H1241" s="337"/>
      <c r="I1241" s="334"/>
      <c r="J1241" s="314"/>
      <c r="K1241" s="449"/>
      <c r="M1241" s="349" t="str">
        <f>N1241&amp;AS[[#This Row],[Insurer Code]]&amp;"; "&amp;O1241&amp;AS[[#This Row],[Reporting Year]]&amp;"; "&amp;P1241&amp;AS[[#This Row],[Insurance Category Code]]&amp;"; "&amp;Q1241&amp;AS[[#This Row],[Large Provider Entity Code]]&amp;"; "&amp;R1241&amp;AS[[#This Row],[Age Band Code]]&amp;"; "&amp;S1241&amp;AS[[#This Row],[Sex Code]]</f>
        <v xml:space="preserve">Insurer Code ; Reporting Year ; Insurance Category Code ; Large Provider Entity Code ; Age Band Code ; Sex Code </v>
      </c>
      <c r="N1241" s="345" t="s">
        <v>207</v>
      </c>
      <c r="O1241" s="345" t="s">
        <v>208</v>
      </c>
      <c r="P1241" s="345" t="s">
        <v>209</v>
      </c>
      <c r="Q1241" s="345" t="s">
        <v>210</v>
      </c>
      <c r="R1241" s="345" t="s">
        <v>223</v>
      </c>
      <c r="S1241" s="345" t="s">
        <v>224</v>
      </c>
    </row>
    <row r="1242" spans="1:19" x14ac:dyDescent="0.25">
      <c r="A1242" s="311"/>
      <c r="B1242" s="312"/>
      <c r="C1242" s="312"/>
      <c r="D1242" s="312"/>
      <c r="E1242" s="312"/>
      <c r="F1242" s="312"/>
      <c r="G1242" s="328"/>
      <c r="H1242" s="337"/>
      <c r="I1242" s="334"/>
      <c r="J1242" s="314"/>
      <c r="K1242" s="449"/>
      <c r="M1242" s="349" t="str">
        <f>N1242&amp;AS[[#This Row],[Insurer Code]]&amp;"; "&amp;O1242&amp;AS[[#This Row],[Reporting Year]]&amp;"; "&amp;P1242&amp;AS[[#This Row],[Insurance Category Code]]&amp;"; "&amp;Q1242&amp;AS[[#This Row],[Large Provider Entity Code]]&amp;"; "&amp;R1242&amp;AS[[#This Row],[Age Band Code]]&amp;"; "&amp;S1242&amp;AS[[#This Row],[Sex Code]]</f>
        <v xml:space="preserve">Insurer Code ; Reporting Year ; Insurance Category Code ; Large Provider Entity Code ; Age Band Code ; Sex Code </v>
      </c>
      <c r="N1242" s="345" t="s">
        <v>207</v>
      </c>
      <c r="O1242" s="345" t="s">
        <v>208</v>
      </c>
      <c r="P1242" s="345" t="s">
        <v>209</v>
      </c>
      <c r="Q1242" s="345" t="s">
        <v>210</v>
      </c>
      <c r="R1242" s="345" t="s">
        <v>223</v>
      </c>
      <c r="S1242" s="345" t="s">
        <v>224</v>
      </c>
    </row>
    <row r="1243" spans="1:19" x14ac:dyDescent="0.25">
      <c r="A1243" s="311"/>
      <c r="B1243" s="312"/>
      <c r="C1243" s="312"/>
      <c r="D1243" s="312"/>
      <c r="E1243" s="312"/>
      <c r="F1243" s="312"/>
      <c r="G1243" s="328"/>
      <c r="H1243" s="337"/>
      <c r="I1243" s="334"/>
      <c r="J1243" s="314"/>
      <c r="K1243" s="449"/>
      <c r="M1243" s="349" t="str">
        <f>N1243&amp;AS[[#This Row],[Insurer Code]]&amp;"; "&amp;O1243&amp;AS[[#This Row],[Reporting Year]]&amp;"; "&amp;P1243&amp;AS[[#This Row],[Insurance Category Code]]&amp;"; "&amp;Q1243&amp;AS[[#This Row],[Large Provider Entity Code]]&amp;"; "&amp;R1243&amp;AS[[#This Row],[Age Band Code]]&amp;"; "&amp;S1243&amp;AS[[#This Row],[Sex Code]]</f>
        <v xml:space="preserve">Insurer Code ; Reporting Year ; Insurance Category Code ; Large Provider Entity Code ; Age Band Code ; Sex Code </v>
      </c>
      <c r="N1243" s="345" t="s">
        <v>207</v>
      </c>
      <c r="O1243" s="345" t="s">
        <v>208</v>
      </c>
      <c r="P1243" s="345" t="s">
        <v>209</v>
      </c>
      <c r="Q1243" s="345" t="s">
        <v>210</v>
      </c>
      <c r="R1243" s="345" t="s">
        <v>223</v>
      </c>
      <c r="S1243" s="345" t="s">
        <v>224</v>
      </c>
    </row>
    <row r="1244" spans="1:19" x14ac:dyDescent="0.25">
      <c r="A1244" s="311"/>
      <c r="B1244" s="312"/>
      <c r="C1244" s="312"/>
      <c r="D1244" s="312"/>
      <c r="E1244" s="312"/>
      <c r="F1244" s="312"/>
      <c r="G1244" s="328"/>
      <c r="H1244" s="337"/>
      <c r="I1244" s="334"/>
      <c r="J1244" s="314"/>
      <c r="K1244" s="449"/>
      <c r="M1244" s="349" t="str">
        <f>N1244&amp;AS[[#This Row],[Insurer Code]]&amp;"; "&amp;O1244&amp;AS[[#This Row],[Reporting Year]]&amp;"; "&amp;P1244&amp;AS[[#This Row],[Insurance Category Code]]&amp;"; "&amp;Q1244&amp;AS[[#This Row],[Large Provider Entity Code]]&amp;"; "&amp;R1244&amp;AS[[#This Row],[Age Band Code]]&amp;"; "&amp;S1244&amp;AS[[#This Row],[Sex Code]]</f>
        <v xml:space="preserve">Insurer Code ; Reporting Year ; Insurance Category Code ; Large Provider Entity Code ; Age Band Code ; Sex Code </v>
      </c>
      <c r="N1244" s="345" t="s">
        <v>207</v>
      </c>
      <c r="O1244" s="345" t="s">
        <v>208</v>
      </c>
      <c r="P1244" s="345" t="s">
        <v>209</v>
      </c>
      <c r="Q1244" s="345" t="s">
        <v>210</v>
      </c>
      <c r="R1244" s="345" t="s">
        <v>223</v>
      </c>
      <c r="S1244" s="345" t="s">
        <v>224</v>
      </c>
    </row>
    <row r="1245" spans="1:19" x14ac:dyDescent="0.25">
      <c r="A1245" s="311"/>
      <c r="B1245" s="312"/>
      <c r="C1245" s="312"/>
      <c r="D1245" s="312"/>
      <c r="E1245" s="312"/>
      <c r="F1245" s="312"/>
      <c r="G1245" s="328"/>
      <c r="H1245" s="337"/>
      <c r="I1245" s="334"/>
      <c r="J1245" s="314"/>
      <c r="K1245" s="449"/>
      <c r="M1245" s="349" t="str">
        <f>N1245&amp;AS[[#This Row],[Insurer Code]]&amp;"; "&amp;O1245&amp;AS[[#This Row],[Reporting Year]]&amp;"; "&amp;P1245&amp;AS[[#This Row],[Insurance Category Code]]&amp;"; "&amp;Q1245&amp;AS[[#This Row],[Large Provider Entity Code]]&amp;"; "&amp;R1245&amp;AS[[#This Row],[Age Band Code]]&amp;"; "&amp;S1245&amp;AS[[#This Row],[Sex Code]]</f>
        <v xml:space="preserve">Insurer Code ; Reporting Year ; Insurance Category Code ; Large Provider Entity Code ; Age Band Code ; Sex Code </v>
      </c>
      <c r="N1245" s="345" t="s">
        <v>207</v>
      </c>
      <c r="O1245" s="345" t="s">
        <v>208</v>
      </c>
      <c r="P1245" s="345" t="s">
        <v>209</v>
      </c>
      <c r="Q1245" s="345" t="s">
        <v>210</v>
      </c>
      <c r="R1245" s="345" t="s">
        <v>223</v>
      </c>
      <c r="S1245" s="345" t="s">
        <v>224</v>
      </c>
    </row>
    <row r="1246" spans="1:19" x14ac:dyDescent="0.25">
      <c r="A1246" s="311"/>
      <c r="B1246" s="312"/>
      <c r="C1246" s="312"/>
      <c r="D1246" s="312"/>
      <c r="E1246" s="312"/>
      <c r="F1246" s="312"/>
      <c r="G1246" s="328"/>
      <c r="H1246" s="337"/>
      <c r="I1246" s="334"/>
      <c r="J1246" s="314"/>
      <c r="K1246" s="449"/>
      <c r="M1246" s="349" t="str">
        <f>N1246&amp;AS[[#This Row],[Insurer Code]]&amp;"; "&amp;O1246&amp;AS[[#This Row],[Reporting Year]]&amp;"; "&amp;P1246&amp;AS[[#This Row],[Insurance Category Code]]&amp;"; "&amp;Q1246&amp;AS[[#This Row],[Large Provider Entity Code]]&amp;"; "&amp;R1246&amp;AS[[#This Row],[Age Band Code]]&amp;"; "&amp;S1246&amp;AS[[#This Row],[Sex Code]]</f>
        <v xml:space="preserve">Insurer Code ; Reporting Year ; Insurance Category Code ; Large Provider Entity Code ; Age Band Code ; Sex Code </v>
      </c>
      <c r="N1246" s="345" t="s">
        <v>207</v>
      </c>
      <c r="O1246" s="345" t="s">
        <v>208</v>
      </c>
      <c r="P1246" s="345" t="s">
        <v>209</v>
      </c>
      <c r="Q1246" s="345" t="s">
        <v>210</v>
      </c>
      <c r="R1246" s="345" t="s">
        <v>223</v>
      </c>
      <c r="S1246" s="345" t="s">
        <v>224</v>
      </c>
    </row>
    <row r="1247" spans="1:19" x14ac:dyDescent="0.25">
      <c r="A1247" s="311"/>
      <c r="B1247" s="312"/>
      <c r="C1247" s="312"/>
      <c r="D1247" s="312"/>
      <c r="E1247" s="312"/>
      <c r="F1247" s="312"/>
      <c r="G1247" s="328"/>
      <c r="H1247" s="337"/>
      <c r="I1247" s="334"/>
      <c r="J1247" s="314"/>
      <c r="K1247" s="449"/>
      <c r="M1247" s="349" t="str">
        <f>N1247&amp;AS[[#This Row],[Insurer Code]]&amp;"; "&amp;O1247&amp;AS[[#This Row],[Reporting Year]]&amp;"; "&amp;P1247&amp;AS[[#This Row],[Insurance Category Code]]&amp;"; "&amp;Q1247&amp;AS[[#This Row],[Large Provider Entity Code]]&amp;"; "&amp;R1247&amp;AS[[#This Row],[Age Band Code]]&amp;"; "&amp;S1247&amp;AS[[#This Row],[Sex Code]]</f>
        <v xml:space="preserve">Insurer Code ; Reporting Year ; Insurance Category Code ; Large Provider Entity Code ; Age Band Code ; Sex Code </v>
      </c>
      <c r="N1247" s="345" t="s">
        <v>207</v>
      </c>
      <c r="O1247" s="345" t="s">
        <v>208</v>
      </c>
      <c r="P1247" s="345" t="s">
        <v>209</v>
      </c>
      <c r="Q1247" s="345" t="s">
        <v>210</v>
      </c>
      <c r="R1247" s="345" t="s">
        <v>223</v>
      </c>
      <c r="S1247" s="345" t="s">
        <v>224</v>
      </c>
    </row>
    <row r="1248" spans="1:19" x14ac:dyDescent="0.25">
      <c r="A1248" s="311"/>
      <c r="B1248" s="312"/>
      <c r="C1248" s="312"/>
      <c r="D1248" s="312"/>
      <c r="E1248" s="312"/>
      <c r="F1248" s="312"/>
      <c r="G1248" s="328"/>
      <c r="H1248" s="337"/>
      <c r="I1248" s="334"/>
      <c r="J1248" s="314"/>
      <c r="K1248" s="449"/>
      <c r="M1248" s="349" t="str">
        <f>N1248&amp;AS[[#This Row],[Insurer Code]]&amp;"; "&amp;O1248&amp;AS[[#This Row],[Reporting Year]]&amp;"; "&amp;P1248&amp;AS[[#This Row],[Insurance Category Code]]&amp;"; "&amp;Q1248&amp;AS[[#This Row],[Large Provider Entity Code]]&amp;"; "&amp;R1248&amp;AS[[#This Row],[Age Band Code]]&amp;"; "&amp;S1248&amp;AS[[#This Row],[Sex Code]]</f>
        <v xml:space="preserve">Insurer Code ; Reporting Year ; Insurance Category Code ; Large Provider Entity Code ; Age Band Code ; Sex Code </v>
      </c>
      <c r="N1248" s="345" t="s">
        <v>207</v>
      </c>
      <c r="O1248" s="345" t="s">
        <v>208</v>
      </c>
      <c r="P1248" s="345" t="s">
        <v>209</v>
      </c>
      <c r="Q1248" s="345" t="s">
        <v>210</v>
      </c>
      <c r="R1248" s="345" t="s">
        <v>223</v>
      </c>
      <c r="S1248" s="345" t="s">
        <v>224</v>
      </c>
    </row>
    <row r="1249" spans="1:19" x14ac:dyDescent="0.25">
      <c r="A1249" s="311"/>
      <c r="B1249" s="312"/>
      <c r="C1249" s="312"/>
      <c r="D1249" s="312"/>
      <c r="E1249" s="312"/>
      <c r="F1249" s="312"/>
      <c r="G1249" s="328"/>
      <c r="H1249" s="337"/>
      <c r="I1249" s="334"/>
      <c r="J1249" s="314"/>
      <c r="K1249" s="449"/>
      <c r="M1249" s="349" t="str">
        <f>N1249&amp;AS[[#This Row],[Insurer Code]]&amp;"; "&amp;O1249&amp;AS[[#This Row],[Reporting Year]]&amp;"; "&amp;P1249&amp;AS[[#This Row],[Insurance Category Code]]&amp;"; "&amp;Q1249&amp;AS[[#This Row],[Large Provider Entity Code]]&amp;"; "&amp;R1249&amp;AS[[#This Row],[Age Band Code]]&amp;"; "&amp;S1249&amp;AS[[#This Row],[Sex Code]]</f>
        <v xml:space="preserve">Insurer Code ; Reporting Year ; Insurance Category Code ; Large Provider Entity Code ; Age Band Code ; Sex Code </v>
      </c>
      <c r="N1249" s="345" t="s">
        <v>207</v>
      </c>
      <c r="O1249" s="345" t="s">
        <v>208</v>
      </c>
      <c r="P1249" s="345" t="s">
        <v>209</v>
      </c>
      <c r="Q1249" s="345" t="s">
        <v>210</v>
      </c>
      <c r="R1249" s="345" t="s">
        <v>223</v>
      </c>
      <c r="S1249" s="345" t="s">
        <v>224</v>
      </c>
    </row>
    <row r="1250" spans="1:19" x14ac:dyDescent="0.25">
      <c r="A1250" s="311"/>
      <c r="B1250" s="312"/>
      <c r="C1250" s="312"/>
      <c r="D1250" s="312"/>
      <c r="E1250" s="312"/>
      <c r="F1250" s="312"/>
      <c r="G1250" s="328"/>
      <c r="H1250" s="337"/>
      <c r="I1250" s="334"/>
      <c r="J1250" s="314"/>
      <c r="K1250" s="449"/>
      <c r="M1250" s="349" t="str">
        <f>N1250&amp;AS[[#This Row],[Insurer Code]]&amp;"; "&amp;O1250&amp;AS[[#This Row],[Reporting Year]]&amp;"; "&amp;P1250&amp;AS[[#This Row],[Insurance Category Code]]&amp;"; "&amp;Q1250&amp;AS[[#This Row],[Large Provider Entity Code]]&amp;"; "&amp;R1250&amp;AS[[#This Row],[Age Band Code]]&amp;"; "&amp;S1250&amp;AS[[#This Row],[Sex Code]]</f>
        <v xml:space="preserve">Insurer Code ; Reporting Year ; Insurance Category Code ; Large Provider Entity Code ; Age Band Code ; Sex Code </v>
      </c>
      <c r="N1250" s="345" t="s">
        <v>207</v>
      </c>
      <c r="O1250" s="345" t="s">
        <v>208</v>
      </c>
      <c r="P1250" s="345" t="s">
        <v>209</v>
      </c>
      <c r="Q1250" s="345" t="s">
        <v>210</v>
      </c>
      <c r="R1250" s="345" t="s">
        <v>223</v>
      </c>
      <c r="S1250" s="345" t="s">
        <v>224</v>
      </c>
    </row>
    <row r="1251" spans="1:19" x14ac:dyDescent="0.25">
      <c r="A1251" s="311"/>
      <c r="B1251" s="312"/>
      <c r="C1251" s="312"/>
      <c r="D1251" s="312"/>
      <c r="E1251" s="312"/>
      <c r="F1251" s="312"/>
      <c r="G1251" s="328"/>
      <c r="H1251" s="337"/>
      <c r="I1251" s="334"/>
      <c r="J1251" s="314"/>
      <c r="K1251" s="449"/>
      <c r="M1251" s="349" t="str">
        <f>N1251&amp;AS[[#This Row],[Insurer Code]]&amp;"; "&amp;O1251&amp;AS[[#This Row],[Reporting Year]]&amp;"; "&amp;P1251&amp;AS[[#This Row],[Insurance Category Code]]&amp;"; "&amp;Q1251&amp;AS[[#This Row],[Large Provider Entity Code]]&amp;"; "&amp;R1251&amp;AS[[#This Row],[Age Band Code]]&amp;"; "&amp;S1251&amp;AS[[#This Row],[Sex Code]]</f>
        <v xml:space="preserve">Insurer Code ; Reporting Year ; Insurance Category Code ; Large Provider Entity Code ; Age Band Code ; Sex Code </v>
      </c>
      <c r="N1251" s="345" t="s">
        <v>207</v>
      </c>
      <c r="O1251" s="345" t="s">
        <v>208</v>
      </c>
      <c r="P1251" s="345" t="s">
        <v>209</v>
      </c>
      <c r="Q1251" s="345" t="s">
        <v>210</v>
      </c>
      <c r="R1251" s="345" t="s">
        <v>223</v>
      </c>
      <c r="S1251" s="345" t="s">
        <v>224</v>
      </c>
    </row>
    <row r="1252" spans="1:19" x14ac:dyDescent="0.25">
      <c r="A1252" s="311"/>
      <c r="B1252" s="312"/>
      <c r="C1252" s="312"/>
      <c r="D1252" s="312"/>
      <c r="E1252" s="312"/>
      <c r="F1252" s="312"/>
      <c r="G1252" s="328"/>
      <c r="H1252" s="337"/>
      <c r="I1252" s="334"/>
      <c r="J1252" s="314"/>
      <c r="K1252" s="449"/>
      <c r="M1252" s="349" t="str">
        <f>N1252&amp;AS[[#This Row],[Insurer Code]]&amp;"; "&amp;O1252&amp;AS[[#This Row],[Reporting Year]]&amp;"; "&amp;P1252&amp;AS[[#This Row],[Insurance Category Code]]&amp;"; "&amp;Q1252&amp;AS[[#This Row],[Large Provider Entity Code]]&amp;"; "&amp;R1252&amp;AS[[#This Row],[Age Band Code]]&amp;"; "&amp;S1252&amp;AS[[#This Row],[Sex Code]]</f>
        <v xml:space="preserve">Insurer Code ; Reporting Year ; Insurance Category Code ; Large Provider Entity Code ; Age Band Code ; Sex Code </v>
      </c>
      <c r="N1252" s="345" t="s">
        <v>207</v>
      </c>
      <c r="O1252" s="345" t="s">
        <v>208</v>
      </c>
      <c r="P1252" s="345" t="s">
        <v>209</v>
      </c>
      <c r="Q1252" s="345" t="s">
        <v>210</v>
      </c>
      <c r="R1252" s="345" t="s">
        <v>223</v>
      </c>
      <c r="S1252" s="345" t="s">
        <v>224</v>
      </c>
    </row>
    <row r="1253" spans="1:19" x14ac:dyDescent="0.25">
      <c r="A1253" s="311"/>
      <c r="B1253" s="312"/>
      <c r="C1253" s="312"/>
      <c r="D1253" s="312"/>
      <c r="E1253" s="312"/>
      <c r="F1253" s="312"/>
      <c r="G1253" s="328"/>
      <c r="H1253" s="337"/>
      <c r="I1253" s="334"/>
      <c r="J1253" s="314"/>
      <c r="K1253" s="449"/>
      <c r="M1253" s="349" t="str">
        <f>N1253&amp;AS[[#This Row],[Insurer Code]]&amp;"; "&amp;O1253&amp;AS[[#This Row],[Reporting Year]]&amp;"; "&amp;P1253&amp;AS[[#This Row],[Insurance Category Code]]&amp;"; "&amp;Q1253&amp;AS[[#This Row],[Large Provider Entity Code]]&amp;"; "&amp;R1253&amp;AS[[#This Row],[Age Band Code]]&amp;"; "&amp;S1253&amp;AS[[#This Row],[Sex Code]]</f>
        <v xml:space="preserve">Insurer Code ; Reporting Year ; Insurance Category Code ; Large Provider Entity Code ; Age Band Code ; Sex Code </v>
      </c>
      <c r="N1253" s="345" t="s">
        <v>207</v>
      </c>
      <c r="O1253" s="345" t="s">
        <v>208</v>
      </c>
      <c r="P1253" s="345" t="s">
        <v>209</v>
      </c>
      <c r="Q1253" s="345" t="s">
        <v>210</v>
      </c>
      <c r="R1253" s="345" t="s">
        <v>223</v>
      </c>
      <c r="S1253" s="345" t="s">
        <v>224</v>
      </c>
    </row>
    <row r="1254" spans="1:19" x14ac:dyDescent="0.25">
      <c r="A1254" s="311"/>
      <c r="B1254" s="312"/>
      <c r="C1254" s="312"/>
      <c r="D1254" s="312"/>
      <c r="E1254" s="312"/>
      <c r="F1254" s="312"/>
      <c r="G1254" s="328"/>
      <c r="H1254" s="337"/>
      <c r="I1254" s="334"/>
      <c r="J1254" s="314"/>
      <c r="K1254" s="449"/>
      <c r="M1254" s="349" t="str">
        <f>N1254&amp;AS[[#This Row],[Insurer Code]]&amp;"; "&amp;O1254&amp;AS[[#This Row],[Reporting Year]]&amp;"; "&amp;P1254&amp;AS[[#This Row],[Insurance Category Code]]&amp;"; "&amp;Q1254&amp;AS[[#This Row],[Large Provider Entity Code]]&amp;"; "&amp;R1254&amp;AS[[#This Row],[Age Band Code]]&amp;"; "&amp;S1254&amp;AS[[#This Row],[Sex Code]]</f>
        <v xml:space="preserve">Insurer Code ; Reporting Year ; Insurance Category Code ; Large Provider Entity Code ; Age Band Code ; Sex Code </v>
      </c>
      <c r="N1254" s="345" t="s">
        <v>207</v>
      </c>
      <c r="O1254" s="345" t="s">
        <v>208</v>
      </c>
      <c r="P1254" s="345" t="s">
        <v>209</v>
      </c>
      <c r="Q1254" s="345" t="s">
        <v>210</v>
      </c>
      <c r="R1254" s="345" t="s">
        <v>223</v>
      </c>
      <c r="S1254" s="345" t="s">
        <v>224</v>
      </c>
    </row>
    <row r="1255" spans="1:19" x14ac:dyDescent="0.25">
      <c r="A1255" s="311"/>
      <c r="B1255" s="312"/>
      <c r="C1255" s="312"/>
      <c r="D1255" s="312"/>
      <c r="E1255" s="312"/>
      <c r="F1255" s="312"/>
      <c r="G1255" s="328"/>
      <c r="H1255" s="337"/>
      <c r="I1255" s="334"/>
      <c r="J1255" s="314"/>
      <c r="K1255" s="449"/>
      <c r="M1255" s="349" t="str">
        <f>N1255&amp;AS[[#This Row],[Insurer Code]]&amp;"; "&amp;O1255&amp;AS[[#This Row],[Reporting Year]]&amp;"; "&amp;P1255&amp;AS[[#This Row],[Insurance Category Code]]&amp;"; "&amp;Q1255&amp;AS[[#This Row],[Large Provider Entity Code]]&amp;"; "&amp;R1255&amp;AS[[#This Row],[Age Band Code]]&amp;"; "&amp;S1255&amp;AS[[#This Row],[Sex Code]]</f>
        <v xml:space="preserve">Insurer Code ; Reporting Year ; Insurance Category Code ; Large Provider Entity Code ; Age Band Code ; Sex Code </v>
      </c>
      <c r="N1255" s="345" t="s">
        <v>207</v>
      </c>
      <c r="O1255" s="345" t="s">
        <v>208</v>
      </c>
      <c r="P1255" s="345" t="s">
        <v>209</v>
      </c>
      <c r="Q1255" s="345" t="s">
        <v>210</v>
      </c>
      <c r="R1255" s="345" t="s">
        <v>223</v>
      </c>
      <c r="S1255" s="345" t="s">
        <v>224</v>
      </c>
    </row>
    <row r="1256" spans="1:19" x14ac:dyDescent="0.25">
      <c r="A1256" s="311"/>
      <c r="B1256" s="312"/>
      <c r="C1256" s="312"/>
      <c r="D1256" s="312"/>
      <c r="E1256" s="312"/>
      <c r="F1256" s="312"/>
      <c r="G1256" s="328"/>
      <c r="H1256" s="337"/>
      <c r="I1256" s="334"/>
      <c r="J1256" s="314"/>
      <c r="K1256" s="449"/>
      <c r="M1256" s="349" t="str">
        <f>N1256&amp;AS[[#This Row],[Insurer Code]]&amp;"; "&amp;O1256&amp;AS[[#This Row],[Reporting Year]]&amp;"; "&amp;P1256&amp;AS[[#This Row],[Insurance Category Code]]&amp;"; "&amp;Q1256&amp;AS[[#This Row],[Large Provider Entity Code]]&amp;"; "&amp;R1256&amp;AS[[#This Row],[Age Band Code]]&amp;"; "&amp;S1256&amp;AS[[#This Row],[Sex Code]]</f>
        <v xml:space="preserve">Insurer Code ; Reporting Year ; Insurance Category Code ; Large Provider Entity Code ; Age Band Code ; Sex Code </v>
      </c>
      <c r="N1256" s="345" t="s">
        <v>207</v>
      </c>
      <c r="O1256" s="345" t="s">
        <v>208</v>
      </c>
      <c r="P1256" s="345" t="s">
        <v>209</v>
      </c>
      <c r="Q1256" s="345" t="s">
        <v>210</v>
      </c>
      <c r="R1256" s="345" t="s">
        <v>223</v>
      </c>
      <c r="S1256" s="345" t="s">
        <v>224</v>
      </c>
    </row>
    <row r="1257" spans="1:19" x14ac:dyDescent="0.25">
      <c r="A1257" s="311"/>
      <c r="B1257" s="312"/>
      <c r="C1257" s="312"/>
      <c r="D1257" s="312"/>
      <c r="E1257" s="312"/>
      <c r="F1257" s="312"/>
      <c r="G1257" s="328"/>
      <c r="H1257" s="337"/>
      <c r="I1257" s="334"/>
      <c r="J1257" s="314"/>
      <c r="K1257" s="449"/>
      <c r="M1257" s="349" t="str">
        <f>N1257&amp;AS[[#This Row],[Insurer Code]]&amp;"; "&amp;O1257&amp;AS[[#This Row],[Reporting Year]]&amp;"; "&amp;P1257&amp;AS[[#This Row],[Insurance Category Code]]&amp;"; "&amp;Q1257&amp;AS[[#This Row],[Large Provider Entity Code]]&amp;"; "&amp;R1257&amp;AS[[#This Row],[Age Band Code]]&amp;"; "&amp;S1257&amp;AS[[#This Row],[Sex Code]]</f>
        <v xml:space="preserve">Insurer Code ; Reporting Year ; Insurance Category Code ; Large Provider Entity Code ; Age Band Code ; Sex Code </v>
      </c>
      <c r="N1257" s="345" t="s">
        <v>207</v>
      </c>
      <c r="O1257" s="345" t="s">
        <v>208</v>
      </c>
      <c r="P1257" s="345" t="s">
        <v>209</v>
      </c>
      <c r="Q1257" s="345" t="s">
        <v>210</v>
      </c>
      <c r="R1257" s="345" t="s">
        <v>223</v>
      </c>
      <c r="S1257" s="345" t="s">
        <v>224</v>
      </c>
    </row>
    <row r="1258" spans="1:19" x14ac:dyDescent="0.25">
      <c r="A1258" s="311"/>
      <c r="B1258" s="312"/>
      <c r="C1258" s="312"/>
      <c r="D1258" s="312"/>
      <c r="E1258" s="312"/>
      <c r="F1258" s="312"/>
      <c r="G1258" s="328"/>
      <c r="H1258" s="337"/>
      <c r="I1258" s="334"/>
      <c r="J1258" s="314"/>
      <c r="K1258" s="449"/>
      <c r="M1258" s="349" t="str">
        <f>N1258&amp;AS[[#This Row],[Insurer Code]]&amp;"; "&amp;O1258&amp;AS[[#This Row],[Reporting Year]]&amp;"; "&amp;P1258&amp;AS[[#This Row],[Insurance Category Code]]&amp;"; "&amp;Q1258&amp;AS[[#This Row],[Large Provider Entity Code]]&amp;"; "&amp;R1258&amp;AS[[#This Row],[Age Band Code]]&amp;"; "&amp;S1258&amp;AS[[#This Row],[Sex Code]]</f>
        <v xml:space="preserve">Insurer Code ; Reporting Year ; Insurance Category Code ; Large Provider Entity Code ; Age Band Code ; Sex Code </v>
      </c>
      <c r="N1258" s="345" t="s">
        <v>207</v>
      </c>
      <c r="O1258" s="345" t="s">
        <v>208</v>
      </c>
      <c r="P1258" s="345" t="s">
        <v>209</v>
      </c>
      <c r="Q1258" s="345" t="s">
        <v>210</v>
      </c>
      <c r="R1258" s="345" t="s">
        <v>223</v>
      </c>
      <c r="S1258" s="345" t="s">
        <v>224</v>
      </c>
    </row>
    <row r="1259" spans="1:19" x14ac:dyDescent="0.25">
      <c r="A1259" s="311"/>
      <c r="B1259" s="312"/>
      <c r="C1259" s="312"/>
      <c r="D1259" s="312"/>
      <c r="E1259" s="312"/>
      <c r="F1259" s="312"/>
      <c r="G1259" s="328"/>
      <c r="H1259" s="337"/>
      <c r="I1259" s="334"/>
      <c r="J1259" s="314"/>
      <c r="K1259" s="449"/>
      <c r="M1259" s="349" t="str">
        <f>N1259&amp;AS[[#This Row],[Insurer Code]]&amp;"; "&amp;O1259&amp;AS[[#This Row],[Reporting Year]]&amp;"; "&amp;P1259&amp;AS[[#This Row],[Insurance Category Code]]&amp;"; "&amp;Q1259&amp;AS[[#This Row],[Large Provider Entity Code]]&amp;"; "&amp;R1259&amp;AS[[#This Row],[Age Band Code]]&amp;"; "&amp;S1259&amp;AS[[#This Row],[Sex Code]]</f>
        <v xml:space="preserve">Insurer Code ; Reporting Year ; Insurance Category Code ; Large Provider Entity Code ; Age Band Code ; Sex Code </v>
      </c>
      <c r="N1259" s="345" t="s">
        <v>207</v>
      </c>
      <c r="O1259" s="345" t="s">
        <v>208</v>
      </c>
      <c r="P1259" s="345" t="s">
        <v>209</v>
      </c>
      <c r="Q1259" s="345" t="s">
        <v>210</v>
      </c>
      <c r="R1259" s="345" t="s">
        <v>223</v>
      </c>
      <c r="S1259" s="345" t="s">
        <v>224</v>
      </c>
    </row>
    <row r="1260" spans="1:19" x14ac:dyDescent="0.25">
      <c r="A1260" s="311"/>
      <c r="B1260" s="312"/>
      <c r="C1260" s="312"/>
      <c r="D1260" s="312"/>
      <c r="E1260" s="312"/>
      <c r="F1260" s="312"/>
      <c r="G1260" s="328"/>
      <c r="H1260" s="337"/>
      <c r="I1260" s="334"/>
      <c r="J1260" s="314"/>
      <c r="K1260" s="449"/>
      <c r="M1260" s="349" t="str">
        <f>N1260&amp;AS[[#This Row],[Insurer Code]]&amp;"; "&amp;O1260&amp;AS[[#This Row],[Reporting Year]]&amp;"; "&amp;P1260&amp;AS[[#This Row],[Insurance Category Code]]&amp;"; "&amp;Q1260&amp;AS[[#This Row],[Large Provider Entity Code]]&amp;"; "&amp;R1260&amp;AS[[#This Row],[Age Band Code]]&amp;"; "&amp;S1260&amp;AS[[#This Row],[Sex Code]]</f>
        <v xml:space="preserve">Insurer Code ; Reporting Year ; Insurance Category Code ; Large Provider Entity Code ; Age Band Code ; Sex Code </v>
      </c>
      <c r="N1260" s="345" t="s">
        <v>207</v>
      </c>
      <c r="O1260" s="345" t="s">
        <v>208</v>
      </c>
      <c r="P1260" s="345" t="s">
        <v>209</v>
      </c>
      <c r="Q1260" s="345" t="s">
        <v>210</v>
      </c>
      <c r="R1260" s="345" t="s">
        <v>223</v>
      </c>
      <c r="S1260" s="345" t="s">
        <v>224</v>
      </c>
    </row>
    <row r="1261" spans="1:19" x14ac:dyDescent="0.25">
      <c r="A1261" s="311"/>
      <c r="B1261" s="312"/>
      <c r="C1261" s="312"/>
      <c r="D1261" s="312"/>
      <c r="E1261" s="312"/>
      <c r="F1261" s="312"/>
      <c r="G1261" s="328"/>
      <c r="H1261" s="337"/>
      <c r="I1261" s="334"/>
      <c r="J1261" s="314"/>
      <c r="K1261" s="449"/>
      <c r="M1261" s="349" t="str">
        <f>N1261&amp;AS[[#This Row],[Insurer Code]]&amp;"; "&amp;O1261&amp;AS[[#This Row],[Reporting Year]]&amp;"; "&amp;P1261&amp;AS[[#This Row],[Insurance Category Code]]&amp;"; "&amp;Q1261&amp;AS[[#This Row],[Large Provider Entity Code]]&amp;"; "&amp;R1261&amp;AS[[#This Row],[Age Band Code]]&amp;"; "&amp;S1261&amp;AS[[#This Row],[Sex Code]]</f>
        <v xml:space="preserve">Insurer Code ; Reporting Year ; Insurance Category Code ; Large Provider Entity Code ; Age Band Code ; Sex Code </v>
      </c>
      <c r="N1261" s="345" t="s">
        <v>207</v>
      </c>
      <c r="O1261" s="345" t="s">
        <v>208</v>
      </c>
      <c r="P1261" s="345" t="s">
        <v>209</v>
      </c>
      <c r="Q1261" s="345" t="s">
        <v>210</v>
      </c>
      <c r="R1261" s="345" t="s">
        <v>223</v>
      </c>
      <c r="S1261" s="345" t="s">
        <v>224</v>
      </c>
    </row>
    <row r="1262" spans="1:19" x14ac:dyDescent="0.25">
      <c r="A1262" s="311"/>
      <c r="B1262" s="312"/>
      <c r="C1262" s="312"/>
      <c r="D1262" s="312"/>
      <c r="E1262" s="312"/>
      <c r="F1262" s="312"/>
      <c r="G1262" s="328"/>
      <c r="H1262" s="337"/>
      <c r="I1262" s="334"/>
      <c r="J1262" s="314"/>
      <c r="K1262" s="449"/>
      <c r="M1262" s="349" t="str">
        <f>N1262&amp;AS[[#This Row],[Insurer Code]]&amp;"; "&amp;O1262&amp;AS[[#This Row],[Reporting Year]]&amp;"; "&amp;P1262&amp;AS[[#This Row],[Insurance Category Code]]&amp;"; "&amp;Q1262&amp;AS[[#This Row],[Large Provider Entity Code]]&amp;"; "&amp;R1262&amp;AS[[#This Row],[Age Band Code]]&amp;"; "&amp;S1262&amp;AS[[#This Row],[Sex Code]]</f>
        <v xml:space="preserve">Insurer Code ; Reporting Year ; Insurance Category Code ; Large Provider Entity Code ; Age Band Code ; Sex Code </v>
      </c>
      <c r="N1262" s="345" t="s">
        <v>207</v>
      </c>
      <c r="O1262" s="345" t="s">
        <v>208</v>
      </c>
      <c r="P1262" s="345" t="s">
        <v>209</v>
      </c>
      <c r="Q1262" s="345" t="s">
        <v>210</v>
      </c>
      <c r="R1262" s="345" t="s">
        <v>223</v>
      </c>
      <c r="S1262" s="345" t="s">
        <v>224</v>
      </c>
    </row>
    <row r="1263" spans="1:19" x14ac:dyDescent="0.25">
      <c r="A1263" s="311"/>
      <c r="B1263" s="312"/>
      <c r="C1263" s="312"/>
      <c r="D1263" s="312"/>
      <c r="E1263" s="312"/>
      <c r="F1263" s="312"/>
      <c r="G1263" s="328"/>
      <c r="H1263" s="337"/>
      <c r="I1263" s="334"/>
      <c r="J1263" s="314"/>
      <c r="K1263" s="449"/>
      <c r="M1263" s="349" t="str">
        <f>N1263&amp;AS[[#This Row],[Insurer Code]]&amp;"; "&amp;O1263&amp;AS[[#This Row],[Reporting Year]]&amp;"; "&amp;P1263&amp;AS[[#This Row],[Insurance Category Code]]&amp;"; "&amp;Q1263&amp;AS[[#This Row],[Large Provider Entity Code]]&amp;"; "&amp;R1263&amp;AS[[#This Row],[Age Band Code]]&amp;"; "&amp;S1263&amp;AS[[#This Row],[Sex Code]]</f>
        <v xml:space="preserve">Insurer Code ; Reporting Year ; Insurance Category Code ; Large Provider Entity Code ; Age Band Code ; Sex Code </v>
      </c>
      <c r="N1263" s="345" t="s">
        <v>207</v>
      </c>
      <c r="O1263" s="345" t="s">
        <v>208</v>
      </c>
      <c r="P1263" s="345" t="s">
        <v>209</v>
      </c>
      <c r="Q1263" s="345" t="s">
        <v>210</v>
      </c>
      <c r="R1263" s="345" t="s">
        <v>223</v>
      </c>
      <c r="S1263" s="345" t="s">
        <v>224</v>
      </c>
    </row>
    <row r="1264" spans="1:19" x14ac:dyDescent="0.25">
      <c r="A1264" s="311"/>
      <c r="B1264" s="312"/>
      <c r="C1264" s="312"/>
      <c r="D1264" s="312"/>
      <c r="E1264" s="312"/>
      <c r="F1264" s="312"/>
      <c r="G1264" s="328"/>
      <c r="H1264" s="337"/>
      <c r="I1264" s="334"/>
      <c r="J1264" s="314"/>
      <c r="K1264" s="449"/>
      <c r="M1264" s="349" t="str">
        <f>N1264&amp;AS[[#This Row],[Insurer Code]]&amp;"; "&amp;O1264&amp;AS[[#This Row],[Reporting Year]]&amp;"; "&amp;P1264&amp;AS[[#This Row],[Insurance Category Code]]&amp;"; "&amp;Q1264&amp;AS[[#This Row],[Large Provider Entity Code]]&amp;"; "&amp;R1264&amp;AS[[#This Row],[Age Band Code]]&amp;"; "&amp;S1264&amp;AS[[#This Row],[Sex Code]]</f>
        <v xml:space="preserve">Insurer Code ; Reporting Year ; Insurance Category Code ; Large Provider Entity Code ; Age Band Code ; Sex Code </v>
      </c>
      <c r="N1264" s="345" t="s">
        <v>207</v>
      </c>
      <c r="O1264" s="345" t="s">
        <v>208</v>
      </c>
      <c r="P1264" s="345" t="s">
        <v>209</v>
      </c>
      <c r="Q1264" s="345" t="s">
        <v>210</v>
      </c>
      <c r="R1264" s="345" t="s">
        <v>223</v>
      </c>
      <c r="S1264" s="345" t="s">
        <v>224</v>
      </c>
    </row>
    <row r="1265" spans="1:19" x14ac:dyDescent="0.25">
      <c r="A1265" s="311"/>
      <c r="B1265" s="312"/>
      <c r="C1265" s="312"/>
      <c r="D1265" s="312"/>
      <c r="E1265" s="312"/>
      <c r="F1265" s="312"/>
      <c r="G1265" s="328"/>
      <c r="H1265" s="337"/>
      <c r="I1265" s="334"/>
      <c r="J1265" s="314"/>
      <c r="K1265" s="449"/>
      <c r="M1265" s="349" t="str">
        <f>N1265&amp;AS[[#This Row],[Insurer Code]]&amp;"; "&amp;O1265&amp;AS[[#This Row],[Reporting Year]]&amp;"; "&amp;P1265&amp;AS[[#This Row],[Insurance Category Code]]&amp;"; "&amp;Q1265&amp;AS[[#This Row],[Large Provider Entity Code]]&amp;"; "&amp;R1265&amp;AS[[#This Row],[Age Band Code]]&amp;"; "&amp;S1265&amp;AS[[#This Row],[Sex Code]]</f>
        <v xml:space="preserve">Insurer Code ; Reporting Year ; Insurance Category Code ; Large Provider Entity Code ; Age Band Code ; Sex Code </v>
      </c>
      <c r="N1265" s="345" t="s">
        <v>207</v>
      </c>
      <c r="O1265" s="345" t="s">
        <v>208</v>
      </c>
      <c r="P1265" s="345" t="s">
        <v>209</v>
      </c>
      <c r="Q1265" s="345" t="s">
        <v>210</v>
      </c>
      <c r="R1265" s="345" t="s">
        <v>223</v>
      </c>
      <c r="S1265" s="345" t="s">
        <v>224</v>
      </c>
    </row>
    <row r="1266" spans="1:19" x14ac:dyDescent="0.25">
      <c r="A1266" s="311"/>
      <c r="B1266" s="312"/>
      <c r="C1266" s="312"/>
      <c r="D1266" s="312"/>
      <c r="E1266" s="312"/>
      <c r="F1266" s="312"/>
      <c r="G1266" s="328"/>
      <c r="H1266" s="337"/>
      <c r="I1266" s="334"/>
      <c r="J1266" s="314"/>
      <c r="K1266" s="449"/>
      <c r="M1266" s="349" t="str">
        <f>N1266&amp;AS[[#This Row],[Insurer Code]]&amp;"; "&amp;O1266&amp;AS[[#This Row],[Reporting Year]]&amp;"; "&amp;P1266&amp;AS[[#This Row],[Insurance Category Code]]&amp;"; "&amp;Q1266&amp;AS[[#This Row],[Large Provider Entity Code]]&amp;"; "&amp;R1266&amp;AS[[#This Row],[Age Band Code]]&amp;"; "&amp;S1266&amp;AS[[#This Row],[Sex Code]]</f>
        <v xml:space="preserve">Insurer Code ; Reporting Year ; Insurance Category Code ; Large Provider Entity Code ; Age Band Code ; Sex Code </v>
      </c>
      <c r="N1266" s="345" t="s">
        <v>207</v>
      </c>
      <c r="O1266" s="345" t="s">
        <v>208</v>
      </c>
      <c r="P1266" s="345" t="s">
        <v>209</v>
      </c>
      <c r="Q1266" s="345" t="s">
        <v>210</v>
      </c>
      <c r="R1266" s="345" t="s">
        <v>223</v>
      </c>
      <c r="S1266" s="345" t="s">
        <v>224</v>
      </c>
    </row>
    <row r="1267" spans="1:19" x14ac:dyDescent="0.25">
      <c r="A1267" s="311"/>
      <c r="B1267" s="312"/>
      <c r="C1267" s="312"/>
      <c r="D1267" s="312"/>
      <c r="E1267" s="312"/>
      <c r="F1267" s="312"/>
      <c r="G1267" s="328"/>
      <c r="H1267" s="337"/>
      <c r="I1267" s="334"/>
      <c r="J1267" s="314"/>
      <c r="K1267" s="449"/>
      <c r="M1267" s="349" t="str">
        <f>N1267&amp;AS[[#This Row],[Insurer Code]]&amp;"; "&amp;O1267&amp;AS[[#This Row],[Reporting Year]]&amp;"; "&amp;P1267&amp;AS[[#This Row],[Insurance Category Code]]&amp;"; "&amp;Q1267&amp;AS[[#This Row],[Large Provider Entity Code]]&amp;"; "&amp;R1267&amp;AS[[#This Row],[Age Band Code]]&amp;"; "&amp;S1267&amp;AS[[#This Row],[Sex Code]]</f>
        <v xml:space="preserve">Insurer Code ; Reporting Year ; Insurance Category Code ; Large Provider Entity Code ; Age Band Code ; Sex Code </v>
      </c>
      <c r="N1267" s="345" t="s">
        <v>207</v>
      </c>
      <c r="O1267" s="345" t="s">
        <v>208</v>
      </c>
      <c r="P1267" s="345" t="s">
        <v>209</v>
      </c>
      <c r="Q1267" s="345" t="s">
        <v>210</v>
      </c>
      <c r="R1267" s="345" t="s">
        <v>223</v>
      </c>
      <c r="S1267" s="345" t="s">
        <v>224</v>
      </c>
    </row>
    <row r="1268" spans="1:19" x14ac:dyDescent="0.25">
      <c r="A1268" s="311"/>
      <c r="B1268" s="312"/>
      <c r="C1268" s="312"/>
      <c r="D1268" s="312"/>
      <c r="E1268" s="312"/>
      <c r="F1268" s="312"/>
      <c r="G1268" s="328"/>
      <c r="H1268" s="337"/>
      <c r="I1268" s="334"/>
      <c r="J1268" s="314"/>
      <c r="K1268" s="449"/>
      <c r="M1268" s="349" t="str">
        <f>N1268&amp;AS[[#This Row],[Insurer Code]]&amp;"; "&amp;O1268&amp;AS[[#This Row],[Reporting Year]]&amp;"; "&amp;P1268&amp;AS[[#This Row],[Insurance Category Code]]&amp;"; "&amp;Q1268&amp;AS[[#This Row],[Large Provider Entity Code]]&amp;"; "&amp;R1268&amp;AS[[#This Row],[Age Band Code]]&amp;"; "&amp;S1268&amp;AS[[#This Row],[Sex Code]]</f>
        <v xml:space="preserve">Insurer Code ; Reporting Year ; Insurance Category Code ; Large Provider Entity Code ; Age Band Code ; Sex Code </v>
      </c>
      <c r="N1268" s="345" t="s">
        <v>207</v>
      </c>
      <c r="O1268" s="345" t="s">
        <v>208</v>
      </c>
      <c r="P1268" s="345" t="s">
        <v>209</v>
      </c>
      <c r="Q1268" s="345" t="s">
        <v>210</v>
      </c>
      <c r="R1268" s="345" t="s">
        <v>223</v>
      </c>
      <c r="S1268" s="345" t="s">
        <v>224</v>
      </c>
    </row>
    <row r="1269" spans="1:19" x14ac:dyDescent="0.25">
      <c r="A1269" s="311"/>
      <c r="B1269" s="312"/>
      <c r="C1269" s="312"/>
      <c r="D1269" s="312"/>
      <c r="E1269" s="312"/>
      <c r="F1269" s="312"/>
      <c r="G1269" s="335"/>
      <c r="H1269" s="336"/>
      <c r="I1269" s="334"/>
      <c r="J1269" s="332"/>
      <c r="K1269" s="449"/>
      <c r="M1269" s="349" t="str">
        <f>N1269&amp;AS[[#This Row],[Insurer Code]]&amp;"; "&amp;O1269&amp;AS[[#This Row],[Reporting Year]]&amp;"; "&amp;P1269&amp;AS[[#This Row],[Insurance Category Code]]&amp;"; "&amp;Q1269&amp;AS[[#This Row],[Large Provider Entity Code]]&amp;"; "&amp;R1269&amp;AS[[#This Row],[Age Band Code]]&amp;"; "&amp;S1269&amp;AS[[#This Row],[Sex Code]]</f>
        <v xml:space="preserve">Insurer Code ; Reporting Year ; Insurance Category Code ; Large Provider Entity Code ; Age Band Code ; Sex Code </v>
      </c>
      <c r="N1269" s="345" t="s">
        <v>207</v>
      </c>
      <c r="O1269" s="345" t="s">
        <v>208</v>
      </c>
      <c r="P1269" s="345" t="s">
        <v>209</v>
      </c>
      <c r="Q1269" s="345" t="s">
        <v>210</v>
      </c>
      <c r="R1269" s="345" t="s">
        <v>223</v>
      </c>
      <c r="S1269" s="345" t="s">
        <v>224</v>
      </c>
    </row>
    <row r="1270" spans="1:19" x14ac:dyDescent="0.25">
      <c r="A1270" s="311"/>
      <c r="B1270" s="312"/>
      <c r="C1270" s="312"/>
      <c r="D1270" s="312"/>
      <c r="E1270" s="312"/>
      <c r="F1270" s="312"/>
      <c r="G1270" s="313"/>
      <c r="H1270" s="336"/>
      <c r="I1270" s="334"/>
      <c r="J1270" s="332"/>
      <c r="K1270" s="449"/>
      <c r="M1270" s="349" t="str">
        <f>N1270&amp;AS[[#This Row],[Insurer Code]]&amp;"; "&amp;O1270&amp;AS[[#This Row],[Reporting Year]]&amp;"; "&amp;P1270&amp;AS[[#This Row],[Insurance Category Code]]&amp;"; "&amp;Q1270&amp;AS[[#This Row],[Large Provider Entity Code]]&amp;"; "&amp;R1270&amp;AS[[#This Row],[Age Band Code]]&amp;"; "&amp;S1270&amp;AS[[#This Row],[Sex Code]]</f>
        <v xml:space="preserve">Insurer Code ; Reporting Year ; Insurance Category Code ; Large Provider Entity Code ; Age Band Code ; Sex Code </v>
      </c>
      <c r="N1270" s="345" t="s">
        <v>207</v>
      </c>
      <c r="O1270" s="345" t="s">
        <v>208</v>
      </c>
      <c r="P1270" s="345" t="s">
        <v>209</v>
      </c>
      <c r="Q1270" s="345" t="s">
        <v>210</v>
      </c>
      <c r="R1270" s="345" t="s">
        <v>223</v>
      </c>
      <c r="S1270" s="345" t="s">
        <v>224</v>
      </c>
    </row>
    <row r="1271" spans="1:19" x14ac:dyDescent="0.25">
      <c r="A1271" s="311"/>
      <c r="B1271" s="312"/>
      <c r="C1271" s="312"/>
      <c r="D1271" s="312"/>
      <c r="E1271" s="333"/>
      <c r="F1271" s="333"/>
      <c r="G1271" s="313"/>
      <c r="H1271" s="314"/>
      <c r="I1271" s="334"/>
      <c r="J1271" s="314"/>
      <c r="K1271" s="449"/>
      <c r="M1271" s="349" t="str">
        <f>N1271&amp;AS[[#This Row],[Insurer Code]]&amp;"; "&amp;O1271&amp;AS[[#This Row],[Reporting Year]]&amp;"; "&amp;P1271&amp;AS[[#This Row],[Insurance Category Code]]&amp;"; "&amp;Q1271&amp;AS[[#This Row],[Large Provider Entity Code]]&amp;"; "&amp;R1271&amp;AS[[#This Row],[Age Band Code]]&amp;"; "&amp;S1271&amp;AS[[#This Row],[Sex Code]]</f>
        <v xml:space="preserve">Insurer Code ; Reporting Year ; Insurance Category Code ; Large Provider Entity Code ; Age Band Code ; Sex Code </v>
      </c>
      <c r="N1271" s="345" t="s">
        <v>207</v>
      </c>
      <c r="O1271" s="345" t="s">
        <v>208</v>
      </c>
      <c r="P1271" s="345" t="s">
        <v>209</v>
      </c>
      <c r="Q1271" s="345" t="s">
        <v>210</v>
      </c>
      <c r="R1271" s="345" t="s">
        <v>223</v>
      </c>
      <c r="S1271" s="345" t="s">
        <v>224</v>
      </c>
    </row>
    <row r="1272" spans="1:19" x14ac:dyDescent="0.25">
      <c r="A1272" s="311"/>
      <c r="B1272" s="312"/>
      <c r="C1272" s="312"/>
      <c r="D1272" s="312"/>
      <c r="E1272" s="333"/>
      <c r="F1272" s="333"/>
      <c r="G1272" s="313"/>
      <c r="H1272" s="314"/>
      <c r="I1272" s="334"/>
      <c r="J1272" s="314"/>
      <c r="K1272" s="449"/>
      <c r="M1272" s="349" t="str">
        <f>N1272&amp;AS[[#This Row],[Insurer Code]]&amp;"; "&amp;O1272&amp;AS[[#This Row],[Reporting Year]]&amp;"; "&amp;P1272&amp;AS[[#This Row],[Insurance Category Code]]&amp;"; "&amp;Q1272&amp;AS[[#This Row],[Large Provider Entity Code]]&amp;"; "&amp;R1272&amp;AS[[#This Row],[Age Band Code]]&amp;"; "&amp;S1272&amp;AS[[#This Row],[Sex Code]]</f>
        <v xml:space="preserve">Insurer Code ; Reporting Year ; Insurance Category Code ; Large Provider Entity Code ; Age Band Code ; Sex Code </v>
      </c>
      <c r="N1272" s="345" t="s">
        <v>207</v>
      </c>
      <c r="O1272" s="345" t="s">
        <v>208</v>
      </c>
      <c r="P1272" s="345" t="s">
        <v>209</v>
      </c>
      <c r="Q1272" s="345" t="s">
        <v>210</v>
      </c>
      <c r="R1272" s="345" t="s">
        <v>223</v>
      </c>
      <c r="S1272" s="345" t="s">
        <v>224</v>
      </c>
    </row>
    <row r="1273" spans="1:19" x14ac:dyDescent="0.25">
      <c r="A1273" s="311"/>
      <c r="B1273" s="312"/>
      <c r="C1273" s="312"/>
      <c r="D1273" s="312"/>
      <c r="E1273" s="333"/>
      <c r="F1273" s="333"/>
      <c r="G1273" s="313"/>
      <c r="H1273" s="314"/>
      <c r="I1273" s="334"/>
      <c r="J1273" s="314"/>
      <c r="K1273" s="449"/>
      <c r="M1273" s="349" t="str">
        <f>N1273&amp;AS[[#This Row],[Insurer Code]]&amp;"; "&amp;O1273&amp;AS[[#This Row],[Reporting Year]]&amp;"; "&amp;P1273&amp;AS[[#This Row],[Insurance Category Code]]&amp;"; "&amp;Q1273&amp;AS[[#This Row],[Large Provider Entity Code]]&amp;"; "&amp;R1273&amp;AS[[#This Row],[Age Band Code]]&amp;"; "&amp;S1273&amp;AS[[#This Row],[Sex Code]]</f>
        <v xml:space="preserve">Insurer Code ; Reporting Year ; Insurance Category Code ; Large Provider Entity Code ; Age Band Code ; Sex Code </v>
      </c>
      <c r="N1273" s="345" t="s">
        <v>207</v>
      </c>
      <c r="O1273" s="345" t="s">
        <v>208</v>
      </c>
      <c r="P1273" s="345" t="s">
        <v>209</v>
      </c>
      <c r="Q1273" s="345" t="s">
        <v>210</v>
      </c>
      <c r="R1273" s="345" t="s">
        <v>223</v>
      </c>
      <c r="S1273" s="345" t="s">
        <v>224</v>
      </c>
    </row>
    <row r="1274" spans="1:19" x14ac:dyDescent="0.25">
      <c r="A1274" s="311"/>
      <c r="B1274" s="312"/>
      <c r="C1274" s="312"/>
      <c r="D1274" s="312"/>
      <c r="E1274" s="333"/>
      <c r="F1274" s="333"/>
      <c r="G1274" s="313"/>
      <c r="H1274" s="314"/>
      <c r="I1274" s="334"/>
      <c r="J1274" s="314"/>
      <c r="K1274" s="449"/>
      <c r="M1274" s="349" t="str">
        <f>N1274&amp;AS[[#This Row],[Insurer Code]]&amp;"; "&amp;O1274&amp;AS[[#This Row],[Reporting Year]]&amp;"; "&amp;P1274&amp;AS[[#This Row],[Insurance Category Code]]&amp;"; "&amp;Q1274&amp;AS[[#This Row],[Large Provider Entity Code]]&amp;"; "&amp;R1274&amp;AS[[#This Row],[Age Band Code]]&amp;"; "&amp;S1274&amp;AS[[#This Row],[Sex Code]]</f>
        <v xml:space="preserve">Insurer Code ; Reporting Year ; Insurance Category Code ; Large Provider Entity Code ; Age Band Code ; Sex Code </v>
      </c>
      <c r="N1274" s="345" t="s">
        <v>207</v>
      </c>
      <c r="O1274" s="345" t="s">
        <v>208</v>
      </c>
      <c r="P1274" s="345" t="s">
        <v>209</v>
      </c>
      <c r="Q1274" s="345" t="s">
        <v>210</v>
      </c>
      <c r="R1274" s="345" t="s">
        <v>223</v>
      </c>
      <c r="S1274" s="345" t="s">
        <v>224</v>
      </c>
    </row>
    <row r="1275" spans="1:19" x14ac:dyDescent="0.25">
      <c r="A1275" s="311"/>
      <c r="B1275" s="312"/>
      <c r="C1275" s="312"/>
      <c r="D1275" s="312"/>
      <c r="E1275" s="333"/>
      <c r="F1275" s="333"/>
      <c r="G1275" s="313"/>
      <c r="H1275" s="314"/>
      <c r="I1275" s="334"/>
      <c r="J1275" s="314"/>
      <c r="K1275" s="449"/>
      <c r="M1275" s="349" t="str">
        <f>N1275&amp;AS[[#This Row],[Insurer Code]]&amp;"; "&amp;O1275&amp;AS[[#This Row],[Reporting Year]]&amp;"; "&amp;P1275&amp;AS[[#This Row],[Insurance Category Code]]&amp;"; "&amp;Q1275&amp;AS[[#This Row],[Large Provider Entity Code]]&amp;"; "&amp;R1275&amp;AS[[#This Row],[Age Band Code]]&amp;"; "&amp;S1275&amp;AS[[#This Row],[Sex Code]]</f>
        <v xml:space="preserve">Insurer Code ; Reporting Year ; Insurance Category Code ; Large Provider Entity Code ; Age Band Code ; Sex Code </v>
      </c>
      <c r="N1275" s="345" t="s">
        <v>207</v>
      </c>
      <c r="O1275" s="345" t="s">
        <v>208</v>
      </c>
      <c r="P1275" s="345" t="s">
        <v>209</v>
      </c>
      <c r="Q1275" s="345" t="s">
        <v>210</v>
      </c>
      <c r="R1275" s="345" t="s">
        <v>223</v>
      </c>
      <c r="S1275" s="345" t="s">
        <v>224</v>
      </c>
    </row>
    <row r="1276" spans="1:19" x14ac:dyDescent="0.25">
      <c r="A1276" s="311"/>
      <c r="B1276" s="312"/>
      <c r="C1276" s="312"/>
      <c r="D1276" s="312"/>
      <c r="E1276" s="333"/>
      <c r="F1276" s="333"/>
      <c r="G1276" s="313"/>
      <c r="H1276" s="314"/>
      <c r="I1276" s="334"/>
      <c r="J1276" s="314"/>
      <c r="K1276" s="449"/>
      <c r="M1276" s="349" t="str">
        <f>N1276&amp;AS[[#This Row],[Insurer Code]]&amp;"; "&amp;O1276&amp;AS[[#This Row],[Reporting Year]]&amp;"; "&amp;P1276&amp;AS[[#This Row],[Insurance Category Code]]&amp;"; "&amp;Q1276&amp;AS[[#This Row],[Large Provider Entity Code]]&amp;"; "&amp;R1276&amp;AS[[#This Row],[Age Band Code]]&amp;"; "&amp;S1276&amp;AS[[#This Row],[Sex Code]]</f>
        <v xml:space="preserve">Insurer Code ; Reporting Year ; Insurance Category Code ; Large Provider Entity Code ; Age Band Code ; Sex Code </v>
      </c>
      <c r="N1276" s="345" t="s">
        <v>207</v>
      </c>
      <c r="O1276" s="345" t="s">
        <v>208</v>
      </c>
      <c r="P1276" s="345" t="s">
        <v>209</v>
      </c>
      <c r="Q1276" s="345" t="s">
        <v>210</v>
      </c>
      <c r="R1276" s="345" t="s">
        <v>223</v>
      </c>
      <c r="S1276" s="345" t="s">
        <v>224</v>
      </c>
    </row>
    <row r="1277" spans="1:19" x14ac:dyDescent="0.25">
      <c r="A1277" s="311"/>
      <c r="B1277" s="312"/>
      <c r="C1277" s="312"/>
      <c r="D1277" s="312"/>
      <c r="E1277" s="333"/>
      <c r="F1277" s="333"/>
      <c r="G1277" s="313"/>
      <c r="H1277" s="314"/>
      <c r="I1277" s="334"/>
      <c r="J1277" s="314"/>
      <c r="K1277" s="449"/>
      <c r="M1277" s="349" t="str">
        <f>N1277&amp;AS[[#This Row],[Insurer Code]]&amp;"; "&amp;O1277&amp;AS[[#This Row],[Reporting Year]]&amp;"; "&amp;P1277&amp;AS[[#This Row],[Insurance Category Code]]&amp;"; "&amp;Q1277&amp;AS[[#This Row],[Large Provider Entity Code]]&amp;"; "&amp;R1277&amp;AS[[#This Row],[Age Band Code]]&amp;"; "&amp;S1277&amp;AS[[#This Row],[Sex Code]]</f>
        <v xml:space="preserve">Insurer Code ; Reporting Year ; Insurance Category Code ; Large Provider Entity Code ; Age Band Code ; Sex Code </v>
      </c>
      <c r="N1277" s="345" t="s">
        <v>207</v>
      </c>
      <c r="O1277" s="345" t="s">
        <v>208</v>
      </c>
      <c r="P1277" s="345" t="s">
        <v>209</v>
      </c>
      <c r="Q1277" s="345" t="s">
        <v>210</v>
      </c>
      <c r="R1277" s="345" t="s">
        <v>223</v>
      </c>
      <c r="S1277" s="345" t="s">
        <v>224</v>
      </c>
    </row>
    <row r="1278" spans="1:19" x14ac:dyDescent="0.25">
      <c r="A1278" s="311"/>
      <c r="B1278" s="312"/>
      <c r="C1278" s="312"/>
      <c r="D1278" s="312"/>
      <c r="E1278" s="333"/>
      <c r="F1278" s="333"/>
      <c r="G1278" s="313"/>
      <c r="H1278" s="314"/>
      <c r="I1278" s="334"/>
      <c r="J1278" s="314"/>
      <c r="K1278" s="449"/>
      <c r="M1278" s="349" t="str">
        <f>N1278&amp;AS[[#This Row],[Insurer Code]]&amp;"; "&amp;O1278&amp;AS[[#This Row],[Reporting Year]]&amp;"; "&amp;P1278&amp;AS[[#This Row],[Insurance Category Code]]&amp;"; "&amp;Q1278&amp;AS[[#This Row],[Large Provider Entity Code]]&amp;"; "&amp;R1278&amp;AS[[#This Row],[Age Band Code]]&amp;"; "&amp;S1278&amp;AS[[#This Row],[Sex Code]]</f>
        <v xml:space="preserve">Insurer Code ; Reporting Year ; Insurance Category Code ; Large Provider Entity Code ; Age Band Code ; Sex Code </v>
      </c>
      <c r="N1278" s="345" t="s">
        <v>207</v>
      </c>
      <c r="O1278" s="345" t="s">
        <v>208</v>
      </c>
      <c r="P1278" s="345" t="s">
        <v>209</v>
      </c>
      <c r="Q1278" s="345" t="s">
        <v>210</v>
      </c>
      <c r="R1278" s="345" t="s">
        <v>223</v>
      </c>
      <c r="S1278" s="345" t="s">
        <v>224</v>
      </c>
    </row>
    <row r="1279" spans="1:19" x14ac:dyDescent="0.25">
      <c r="A1279" s="311"/>
      <c r="B1279" s="312"/>
      <c r="C1279" s="312"/>
      <c r="D1279" s="312"/>
      <c r="E1279" s="333"/>
      <c r="F1279" s="333"/>
      <c r="G1279" s="313"/>
      <c r="H1279" s="314"/>
      <c r="I1279" s="334"/>
      <c r="J1279" s="314"/>
      <c r="K1279" s="449"/>
      <c r="M1279" s="349" t="str">
        <f>N1279&amp;AS[[#This Row],[Insurer Code]]&amp;"; "&amp;O1279&amp;AS[[#This Row],[Reporting Year]]&amp;"; "&amp;P1279&amp;AS[[#This Row],[Insurance Category Code]]&amp;"; "&amp;Q1279&amp;AS[[#This Row],[Large Provider Entity Code]]&amp;"; "&amp;R1279&amp;AS[[#This Row],[Age Band Code]]&amp;"; "&amp;S1279&amp;AS[[#This Row],[Sex Code]]</f>
        <v xml:space="preserve">Insurer Code ; Reporting Year ; Insurance Category Code ; Large Provider Entity Code ; Age Band Code ; Sex Code </v>
      </c>
      <c r="N1279" s="345" t="s">
        <v>207</v>
      </c>
      <c r="O1279" s="345" t="s">
        <v>208</v>
      </c>
      <c r="P1279" s="345" t="s">
        <v>209</v>
      </c>
      <c r="Q1279" s="345" t="s">
        <v>210</v>
      </c>
      <c r="R1279" s="345" t="s">
        <v>223</v>
      </c>
      <c r="S1279" s="345" t="s">
        <v>224</v>
      </c>
    </row>
    <row r="1280" spans="1:19" x14ac:dyDescent="0.25">
      <c r="A1280" s="311"/>
      <c r="B1280" s="312"/>
      <c r="C1280" s="312"/>
      <c r="D1280" s="312"/>
      <c r="E1280" s="333"/>
      <c r="F1280" s="333"/>
      <c r="G1280" s="313"/>
      <c r="H1280" s="314"/>
      <c r="I1280" s="334"/>
      <c r="J1280" s="314"/>
      <c r="K1280" s="449"/>
      <c r="M1280" s="349" t="str">
        <f>N1280&amp;AS[[#This Row],[Insurer Code]]&amp;"; "&amp;O1280&amp;AS[[#This Row],[Reporting Year]]&amp;"; "&amp;P1280&amp;AS[[#This Row],[Insurance Category Code]]&amp;"; "&amp;Q1280&amp;AS[[#This Row],[Large Provider Entity Code]]&amp;"; "&amp;R1280&amp;AS[[#This Row],[Age Band Code]]&amp;"; "&amp;S1280&amp;AS[[#This Row],[Sex Code]]</f>
        <v xml:space="preserve">Insurer Code ; Reporting Year ; Insurance Category Code ; Large Provider Entity Code ; Age Band Code ; Sex Code </v>
      </c>
      <c r="N1280" s="345" t="s">
        <v>207</v>
      </c>
      <c r="O1280" s="345" t="s">
        <v>208</v>
      </c>
      <c r="P1280" s="345" t="s">
        <v>209</v>
      </c>
      <c r="Q1280" s="345" t="s">
        <v>210</v>
      </c>
      <c r="R1280" s="345" t="s">
        <v>223</v>
      </c>
      <c r="S1280" s="345" t="s">
        <v>224</v>
      </c>
    </row>
    <row r="1281" spans="1:19" x14ac:dyDescent="0.25">
      <c r="A1281" s="311"/>
      <c r="B1281" s="312"/>
      <c r="C1281" s="312"/>
      <c r="D1281" s="312"/>
      <c r="E1281" s="312"/>
      <c r="F1281" s="312"/>
      <c r="G1281" s="335"/>
      <c r="H1281" s="336"/>
      <c r="I1281" s="334"/>
      <c r="J1281" s="332"/>
      <c r="K1281" s="449"/>
      <c r="M1281" s="349" t="str">
        <f>N1281&amp;AS[[#This Row],[Insurer Code]]&amp;"; "&amp;O1281&amp;AS[[#This Row],[Reporting Year]]&amp;"; "&amp;P1281&amp;AS[[#This Row],[Insurance Category Code]]&amp;"; "&amp;Q1281&amp;AS[[#This Row],[Large Provider Entity Code]]&amp;"; "&amp;R1281&amp;AS[[#This Row],[Age Band Code]]&amp;"; "&amp;S1281&amp;AS[[#This Row],[Sex Code]]</f>
        <v xml:space="preserve">Insurer Code ; Reporting Year ; Insurance Category Code ; Large Provider Entity Code ; Age Band Code ; Sex Code </v>
      </c>
      <c r="N1281" s="345" t="s">
        <v>207</v>
      </c>
      <c r="O1281" s="345" t="s">
        <v>208</v>
      </c>
      <c r="P1281" s="345" t="s">
        <v>209</v>
      </c>
      <c r="Q1281" s="345" t="s">
        <v>210</v>
      </c>
      <c r="R1281" s="345" t="s">
        <v>223</v>
      </c>
      <c r="S1281" s="345" t="s">
        <v>224</v>
      </c>
    </row>
    <row r="1282" spans="1:19" x14ac:dyDescent="0.25">
      <c r="A1282" s="311"/>
      <c r="B1282" s="312"/>
      <c r="C1282" s="312"/>
      <c r="D1282" s="312"/>
      <c r="E1282" s="312"/>
      <c r="F1282" s="312"/>
      <c r="G1282" s="313"/>
      <c r="H1282" s="336"/>
      <c r="I1282" s="334"/>
      <c r="J1282" s="332"/>
      <c r="K1282" s="449"/>
      <c r="M1282" s="349" t="str">
        <f>N1282&amp;AS[[#This Row],[Insurer Code]]&amp;"; "&amp;O1282&amp;AS[[#This Row],[Reporting Year]]&amp;"; "&amp;P1282&amp;AS[[#This Row],[Insurance Category Code]]&amp;"; "&amp;Q1282&amp;AS[[#This Row],[Large Provider Entity Code]]&amp;"; "&amp;R1282&amp;AS[[#This Row],[Age Band Code]]&amp;"; "&amp;S1282&amp;AS[[#This Row],[Sex Code]]</f>
        <v xml:space="preserve">Insurer Code ; Reporting Year ; Insurance Category Code ; Large Provider Entity Code ; Age Band Code ; Sex Code </v>
      </c>
      <c r="N1282" s="345" t="s">
        <v>207</v>
      </c>
      <c r="O1282" s="345" t="s">
        <v>208</v>
      </c>
      <c r="P1282" s="345" t="s">
        <v>209</v>
      </c>
      <c r="Q1282" s="345" t="s">
        <v>210</v>
      </c>
      <c r="R1282" s="345" t="s">
        <v>223</v>
      </c>
      <c r="S1282" s="345" t="s">
        <v>224</v>
      </c>
    </row>
    <row r="1283" spans="1:19" x14ac:dyDescent="0.25">
      <c r="A1283" s="311"/>
      <c r="B1283" s="312"/>
      <c r="C1283" s="312"/>
      <c r="D1283" s="312"/>
      <c r="E1283" s="312"/>
      <c r="F1283" s="312"/>
      <c r="G1283" s="335"/>
      <c r="H1283" s="336"/>
      <c r="I1283" s="334"/>
      <c r="J1283" s="332"/>
      <c r="K1283" s="449"/>
      <c r="M1283" s="349" t="str">
        <f>N1283&amp;AS[[#This Row],[Insurer Code]]&amp;"; "&amp;O1283&amp;AS[[#This Row],[Reporting Year]]&amp;"; "&amp;P1283&amp;AS[[#This Row],[Insurance Category Code]]&amp;"; "&amp;Q1283&amp;AS[[#This Row],[Large Provider Entity Code]]&amp;"; "&amp;R1283&amp;AS[[#This Row],[Age Band Code]]&amp;"; "&amp;S1283&amp;AS[[#This Row],[Sex Code]]</f>
        <v xml:space="preserve">Insurer Code ; Reporting Year ; Insurance Category Code ; Large Provider Entity Code ; Age Band Code ; Sex Code </v>
      </c>
      <c r="N1283" s="345" t="s">
        <v>207</v>
      </c>
      <c r="O1283" s="345" t="s">
        <v>208</v>
      </c>
      <c r="P1283" s="345" t="s">
        <v>209</v>
      </c>
      <c r="Q1283" s="345" t="s">
        <v>210</v>
      </c>
      <c r="R1283" s="345" t="s">
        <v>223</v>
      </c>
      <c r="S1283" s="345" t="s">
        <v>224</v>
      </c>
    </row>
    <row r="1284" spans="1:19" x14ac:dyDescent="0.25">
      <c r="A1284" s="311"/>
      <c r="B1284" s="312"/>
      <c r="C1284" s="312"/>
      <c r="D1284" s="312"/>
      <c r="E1284" s="312"/>
      <c r="F1284" s="312"/>
      <c r="G1284" s="335"/>
      <c r="H1284" s="336"/>
      <c r="I1284" s="334"/>
      <c r="J1284" s="332"/>
      <c r="K1284" s="449"/>
      <c r="M1284" s="349" t="str">
        <f>N1284&amp;AS[[#This Row],[Insurer Code]]&amp;"; "&amp;O1284&amp;AS[[#This Row],[Reporting Year]]&amp;"; "&amp;P1284&amp;AS[[#This Row],[Insurance Category Code]]&amp;"; "&amp;Q1284&amp;AS[[#This Row],[Large Provider Entity Code]]&amp;"; "&amp;R1284&amp;AS[[#This Row],[Age Band Code]]&amp;"; "&amp;S1284&amp;AS[[#This Row],[Sex Code]]</f>
        <v xml:space="preserve">Insurer Code ; Reporting Year ; Insurance Category Code ; Large Provider Entity Code ; Age Band Code ; Sex Code </v>
      </c>
      <c r="N1284" s="345" t="s">
        <v>207</v>
      </c>
      <c r="O1284" s="345" t="s">
        <v>208</v>
      </c>
      <c r="P1284" s="345" t="s">
        <v>209</v>
      </c>
      <c r="Q1284" s="345" t="s">
        <v>210</v>
      </c>
      <c r="R1284" s="345" t="s">
        <v>223</v>
      </c>
      <c r="S1284" s="345" t="s">
        <v>224</v>
      </c>
    </row>
    <row r="1285" spans="1:19" x14ac:dyDescent="0.25">
      <c r="A1285" s="311"/>
      <c r="B1285" s="312"/>
      <c r="C1285" s="312"/>
      <c r="D1285" s="312"/>
      <c r="E1285" s="312"/>
      <c r="F1285" s="312"/>
      <c r="G1285" s="313"/>
      <c r="H1285" s="336"/>
      <c r="I1285" s="334"/>
      <c r="J1285" s="332"/>
      <c r="K1285" s="449"/>
      <c r="M1285" s="349" t="str">
        <f>N1285&amp;AS[[#This Row],[Insurer Code]]&amp;"; "&amp;O1285&amp;AS[[#This Row],[Reporting Year]]&amp;"; "&amp;P1285&amp;AS[[#This Row],[Insurance Category Code]]&amp;"; "&amp;Q1285&amp;AS[[#This Row],[Large Provider Entity Code]]&amp;"; "&amp;R1285&amp;AS[[#This Row],[Age Band Code]]&amp;"; "&amp;S1285&amp;AS[[#This Row],[Sex Code]]</f>
        <v xml:space="preserve">Insurer Code ; Reporting Year ; Insurance Category Code ; Large Provider Entity Code ; Age Band Code ; Sex Code </v>
      </c>
      <c r="N1285" s="345" t="s">
        <v>207</v>
      </c>
      <c r="O1285" s="345" t="s">
        <v>208</v>
      </c>
      <c r="P1285" s="345" t="s">
        <v>209</v>
      </c>
      <c r="Q1285" s="345" t="s">
        <v>210</v>
      </c>
      <c r="R1285" s="345" t="s">
        <v>223</v>
      </c>
      <c r="S1285" s="345" t="s">
        <v>224</v>
      </c>
    </row>
    <row r="1286" spans="1:19" x14ac:dyDescent="0.25">
      <c r="A1286" s="311"/>
      <c r="B1286" s="312"/>
      <c r="C1286" s="312"/>
      <c r="D1286" s="312"/>
      <c r="E1286" s="312"/>
      <c r="F1286" s="312"/>
      <c r="G1286" s="335"/>
      <c r="H1286" s="336"/>
      <c r="I1286" s="334"/>
      <c r="J1286" s="332"/>
      <c r="K1286" s="449"/>
      <c r="M1286" s="349" t="str">
        <f>N1286&amp;AS[[#This Row],[Insurer Code]]&amp;"; "&amp;O1286&amp;AS[[#This Row],[Reporting Year]]&amp;"; "&amp;P1286&amp;AS[[#This Row],[Insurance Category Code]]&amp;"; "&amp;Q1286&amp;AS[[#This Row],[Large Provider Entity Code]]&amp;"; "&amp;R1286&amp;AS[[#This Row],[Age Band Code]]&amp;"; "&amp;S1286&amp;AS[[#This Row],[Sex Code]]</f>
        <v xml:space="preserve">Insurer Code ; Reporting Year ; Insurance Category Code ; Large Provider Entity Code ; Age Band Code ; Sex Code </v>
      </c>
      <c r="N1286" s="345" t="s">
        <v>207</v>
      </c>
      <c r="O1286" s="345" t="s">
        <v>208</v>
      </c>
      <c r="P1286" s="345" t="s">
        <v>209</v>
      </c>
      <c r="Q1286" s="345" t="s">
        <v>210</v>
      </c>
      <c r="R1286" s="345" t="s">
        <v>223</v>
      </c>
      <c r="S1286" s="345" t="s">
        <v>224</v>
      </c>
    </row>
    <row r="1287" spans="1:19" x14ac:dyDescent="0.25">
      <c r="A1287" s="311"/>
      <c r="B1287" s="312"/>
      <c r="C1287" s="312"/>
      <c r="D1287" s="312"/>
      <c r="E1287" s="312"/>
      <c r="F1287" s="312"/>
      <c r="G1287" s="313"/>
      <c r="H1287" s="336"/>
      <c r="I1287" s="334"/>
      <c r="J1287" s="332"/>
      <c r="K1287" s="449"/>
      <c r="M1287" s="349" t="str">
        <f>N1287&amp;AS[[#This Row],[Insurer Code]]&amp;"; "&amp;O1287&amp;AS[[#This Row],[Reporting Year]]&amp;"; "&amp;P1287&amp;AS[[#This Row],[Insurance Category Code]]&amp;"; "&amp;Q1287&amp;AS[[#This Row],[Large Provider Entity Code]]&amp;"; "&amp;R1287&amp;AS[[#This Row],[Age Band Code]]&amp;"; "&amp;S1287&amp;AS[[#This Row],[Sex Code]]</f>
        <v xml:space="preserve">Insurer Code ; Reporting Year ; Insurance Category Code ; Large Provider Entity Code ; Age Band Code ; Sex Code </v>
      </c>
      <c r="N1287" s="345" t="s">
        <v>207</v>
      </c>
      <c r="O1287" s="345" t="s">
        <v>208</v>
      </c>
      <c r="P1287" s="345" t="s">
        <v>209</v>
      </c>
      <c r="Q1287" s="345" t="s">
        <v>210</v>
      </c>
      <c r="R1287" s="345" t="s">
        <v>223</v>
      </c>
      <c r="S1287" s="345" t="s">
        <v>224</v>
      </c>
    </row>
    <row r="1288" spans="1:19" x14ac:dyDescent="0.25">
      <c r="A1288" s="311"/>
      <c r="B1288" s="312"/>
      <c r="C1288" s="312"/>
      <c r="D1288" s="312"/>
      <c r="E1288" s="312"/>
      <c r="F1288" s="312"/>
      <c r="G1288" s="335"/>
      <c r="H1288" s="336"/>
      <c r="I1288" s="334"/>
      <c r="J1288" s="332"/>
      <c r="K1288" s="449"/>
      <c r="M1288" s="349" t="str">
        <f>N1288&amp;AS[[#This Row],[Insurer Code]]&amp;"; "&amp;O1288&amp;AS[[#This Row],[Reporting Year]]&amp;"; "&amp;P1288&amp;AS[[#This Row],[Insurance Category Code]]&amp;"; "&amp;Q1288&amp;AS[[#This Row],[Large Provider Entity Code]]&amp;"; "&amp;R1288&amp;AS[[#This Row],[Age Band Code]]&amp;"; "&amp;S1288&amp;AS[[#This Row],[Sex Code]]</f>
        <v xml:space="preserve">Insurer Code ; Reporting Year ; Insurance Category Code ; Large Provider Entity Code ; Age Band Code ; Sex Code </v>
      </c>
      <c r="N1288" s="345" t="s">
        <v>207</v>
      </c>
      <c r="O1288" s="345" t="s">
        <v>208</v>
      </c>
      <c r="P1288" s="345" t="s">
        <v>209</v>
      </c>
      <c r="Q1288" s="345" t="s">
        <v>210</v>
      </c>
      <c r="R1288" s="345" t="s">
        <v>223</v>
      </c>
      <c r="S1288" s="345" t="s">
        <v>224</v>
      </c>
    </row>
    <row r="1289" spans="1:19" x14ac:dyDescent="0.25">
      <c r="A1289" s="311"/>
      <c r="B1289" s="312"/>
      <c r="C1289" s="312"/>
      <c r="D1289" s="312"/>
      <c r="E1289" s="312"/>
      <c r="F1289" s="312"/>
      <c r="G1289" s="313"/>
      <c r="H1289" s="336"/>
      <c r="I1289" s="334"/>
      <c r="J1289" s="332"/>
      <c r="K1289" s="449"/>
      <c r="M1289" s="349" t="str">
        <f>N1289&amp;AS[[#This Row],[Insurer Code]]&amp;"; "&amp;O1289&amp;AS[[#This Row],[Reporting Year]]&amp;"; "&amp;P1289&amp;AS[[#This Row],[Insurance Category Code]]&amp;"; "&amp;Q1289&amp;AS[[#This Row],[Large Provider Entity Code]]&amp;"; "&amp;R1289&amp;AS[[#This Row],[Age Band Code]]&amp;"; "&amp;S1289&amp;AS[[#This Row],[Sex Code]]</f>
        <v xml:space="preserve">Insurer Code ; Reporting Year ; Insurance Category Code ; Large Provider Entity Code ; Age Band Code ; Sex Code </v>
      </c>
      <c r="N1289" s="345" t="s">
        <v>207</v>
      </c>
      <c r="O1289" s="345" t="s">
        <v>208</v>
      </c>
      <c r="P1289" s="345" t="s">
        <v>209</v>
      </c>
      <c r="Q1289" s="345" t="s">
        <v>210</v>
      </c>
      <c r="R1289" s="345" t="s">
        <v>223</v>
      </c>
      <c r="S1289" s="345" t="s">
        <v>224</v>
      </c>
    </row>
    <row r="1290" spans="1:19" x14ac:dyDescent="0.25">
      <c r="A1290" s="311"/>
      <c r="B1290" s="312"/>
      <c r="C1290" s="312"/>
      <c r="D1290" s="312"/>
      <c r="E1290" s="312"/>
      <c r="F1290" s="312"/>
      <c r="G1290" s="335"/>
      <c r="H1290" s="336"/>
      <c r="I1290" s="334"/>
      <c r="J1290" s="332"/>
      <c r="K1290" s="449"/>
      <c r="M1290" s="349" t="str">
        <f>N1290&amp;AS[[#This Row],[Insurer Code]]&amp;"; "&amp;O1290&amp;AS[[#This Row],[Reporting Year]]&amp;"; "&amp;P1290&amp;AS[[#This Row],[Insurance Category Code]]&amp;"; "&amp;Q1290&amp;AS[[#This Row],[Large Provider Entity Code]]&amp;"; "&amp;R1290&amp;AS[[#This Row],[Age Band Code]]&amp;"; "&amp;S1290&amp;AS[[#This Row],[Sex Code]]</f>
        <v xml:space="preserve">Insurer Code ; Reporting Year ; Insurance Category Code ; Large Provider Entity Code ; Age Band Code ; Sex Code </v>
      </c>
      <c r="N1290" s="345" t="s">
        <v>207</v>
      </c>
      <c r="O1290" s="345" t="s">
        <v>208</v>
      </c>
      <c r="P1290" s="345" t="s">
        <v>209</v>
      </c>
      <c r="Q1290" s="345" t="s">
        <v>210</v>
      </c>
      <c r="R1290" s="345" t="s">
        <v>223</v>
      </c>
      <c r="S1290" s="345" t="s">
        <v>224</v>
      </c>
    </row>
    <row r="1291" spans="1:19" x14ac:dyDescent="0.25">
      <c r="A1291" s="311"/>
      <c r="B1291" s="312"/>
      <c r="C1291" s="312"/>
      <c r="D1291" s="312"/>
      <c r="E1291" s="312"/>
      <c r="F1291" s="312"/>
      <c r="G1291" s="313"/>
      <c r="H1291" s="336"/>
      <c r="I1291" s="334"/>
      <c r="J1291" s="332"/>
      <c r="K1291" s="449"/>
      <c r="M1291" s="349" t="str">
        <f>N1291&amp;AS[[#This Row],[Insurer Code]]&amp;"; "&amp;O1291&amp;AS[[#This Row],[Reporting Year]]&amp;"; "&amp;P1291&amp;AS[[#This Row],[Insurance Category Code]]&amp;"; "&amp;Q1291&amp;AS[[#This Row],[Large Provider Entity Code]]&amp;"; "&amp;R1291&amp;AS[[#This Row],[Age Band Code]]&amp;"; "&amp;S1291&amp;AS[[#This Row],[Sex Code]]</f>
        <v xml:space="preserve">Insurer Code ; Reporting Year ; Insurance Category Code ; Large Provider Entity Code ; Age Band Code ; Sex Code </v>
      </c>
      <c r="N1291" s="345" t="s">
        <v>207</v>
      </c>
      <c r="O1291" s="345" t="s">
        <v>208</v>
      </c>
      <c r="P1291" s="345" t="s">
        <v>209</v>
      </c>
      <c r="Q1291" s="345" t="s">
        <v>210</v>
      </c>
      <c r="R1291" s="345" t="s">
        <v>223</v>
      </c>
      <c r="S1291" s="345" t="s">
        <v>224</v>
      </c>
    </row>
    <row r="1292" spans="1:19" x14ac:dyDescent="0.25">
      <c r="A1292" s="311"/>
      <c r="B1292" s="312"/>
      <c r="C1292" s="312"/>
      <c r="D1292" s="312"/>
      <c r="E1292" s="312"/>
      <c r="F1292" s="312"/>
      <c r="G1292" s="335"/>
      <c r="H1292" s="336"/>
      <c r="I1292" s="334"/>
      <c r="J1292" s="332"/>
      <c r="K1292" s="449"/>
      <c r="M1292" s="349" t="str">
        <f>N1292&amp;AS[[#This Row],[Insurer Code]]&amp;"; "&amp;O1292&amp;AS[[#This Row],[Reporting Year]]&amp;"; "&amp;P1292&amp;AS[[#This Row],[Insurance Category Code]]&amp;"; "&amp;Q1292&amp;AS[[#This Row],[Large Provider Entity Code]]&amp;"; "&amp;R1292&amp;AS[[#This Row],[Age Band Code]]&amp;"; "&amp;S1292&amp;AS[[#This Row],[Sex Code]]</f>
        <v xml:space="preserve">Insurer Code ; Reporting Year ; Insurance Category Code ; Large Provider Entity Code ; Age Band Code ; Sex Code </v>
      </c>
      <c r="N1292" s="345" t="s">
        <v>207</v>
      </c>
      <c r="O1292" s="345" t="s">
        <v>208</v>
      </c>
      <c r="P1292" s="345" t="s">
        <v>209</v>
      </c>
      <c r="Q1292" s="345" t="s">
        <v>210</v>
      </c>
      <c r="R1292" s="345" t="s">
        <v>223</v>
      </c>
      <c r="S1292" s="345" t="s">
        <v>224</v>
      </c>
    </row>
    <row r="1293" spans="1:19" x14ac:dyDescent="0.25">
      <c r="A1293" s="311"/>
      <c r="B1293" s="312"/>
      <c r="C1293" s="312"/>
      <c r="D1293" s="312"/>
      <c r="E1293" s="312"/>
      <c r="F1293" s="312"/>
      <c r="G1293" s="313"/>
      <c r="H1293" s="336"/>
      <c r="I1293" s="334"/>
      <c r="J1293" s="332"/>
      <c r="K1293" s="449"/>
      <c r="M1293" s="349" t="str">
        <f>N1293&amp;AS[[#This Row],[Insurer Code]]&amp;"; "&amp;O1293&amp;AS[[#This Row],[Reporting Year]]&amp;"; "&amp;P1293&amp;AS[[#This Row],[Insurance Category Code]]&amp;"; "&amp;Q1293&amp;AS[[#This Row],[Large Provider Entity Code]]&amp;"; "&amp;R1293&amp;AS[[#This Row],[Age Band Code]]&amp;"; "&amp;S1293&amp;AS[[#This Row],[Sex Code]]</f>
        <v xml:space="preserve">Insurer Code ; Reporting Year ; Insurance Category Code ; Large Provider Entity Code ; Age Band Code ; Sex Code </v>
      </c>
      <c r="N1293" s="345" t="s">
        <v>207</v>
      </c>
      <c r="O1293" s="345" t="s">
        <v>208</v>
      </c>
      <c r="P1293" s="345" t="s">
        <v>209</v>
      </c>
      <c r="Q1293" s="345" t="s">
        <v>210</v>
      </c>
      <c r="R1293" s="345" t="s">
        <v>223</v>
      </c>
      <c r="S1293" s="345" t="s">
        <v>224</v>
      </c>
    </row>
    <row r="1294" spans="1:19" x14ac:dyDescent="0.25">
      <c r="A1294" s="311"/>
      <c r="B1294" s="312"/>
      <c r="C1294" s="312"/>
      <c r="D1294" s="312"/>
      <c r="E1294" s="312"/>
      <c r="F1294" s="312"/>
      <c r="G1294" s="328"/>
      <c r="H1294" s="337"/>
      <c r="I1294" s="334"/>
      <c r="J1294" s="314"/>
      <c r="K1294" s="449"/>
      <c r="M1294" s="349" t="str">
        <f>N1294&amp;AS[[#This Row],[Insurer Code]]&amp;"; "&amp;O1294&amp;AS[[#This Row],[Reporting Year]]&amp;"; "&amp;P1294&amp;AS[[#This Row],[Insurance Category Code]]&amp;"; "&amp;Q1294&amp;AS[[#This Row],[Large Provider Entity Code]]&amp;"; "&amp;R1294&amp;AS[[#This Row],[Age Band Code]]&amp;"; "&amp;S1294&amp;AS[[#This Row],[Sex Code]]</f>
        <v xml:space="preserve">Insurer Code ; Reporting Year ; Insurance Category Code ; Large Provider Entity Code ; Age Band Code ; Sex Code </v>
      </c>
      <c r="N1294" s="345" t="s">
        <v>207</v>
      </c>
      <c r="O1294" s="345" t="s">
        <v>208</v>
      </c>
      <c r="P1294" s="345" t="s">
        <v>209</v>
      </c>
      <c r="Q1294" s="345" t="s">
        <v>210</v>
      </c>
      <c r="R1294" s="345" t="s">
        <v>223</v>
      </c>
      <c r="S1294" s="345" t="s">
        <v>224</v>
      </c>
    </row>
    <row r="1295" spans="1:19" x14ac:dyDescent="0.25">
      <c r="A1295" s="311"/>
      <c r="B1295" s="312"/>
      <c r="C1295" s="312"/>
      <c r="D1295" s="312"/>
      <c r="E1295" s="312"/>
      <c r="F1295" s="312"/>
      <c r="G1295" s="328"/>
      <c r="H1295" s="337"/>
      <c r="I1295" s="334"/>
      <c r="J1295" s="314"/>
      <c r="K1295" s="449"/>
      <c r="M1295" s="349" t="str">
        <f>N1295&amp;AS[[#This Row],[Insurer Code]]&amp;"; "&amp;O1295&amp;AS[[#This Row],[Reporting Year]]&amp;"; "&amp;P1295&amp;AS[[#This Row],[Insurance Category Code]]&amp;"; "&amp;Q1295&amp;AS[[#This Row],[Large Provider Entity Code]]&amp;"; "&amp;R1295&amp;AS[[#This Row],[Age Band Code]]&amp;"; "&amp;S1295&amp;AS[[#This Row],[Sex Code]]</f>
        <v xml:space="preserve">Insurer Code ; Reporting Year ; Insurance Category Code ; Large Provider Entity Code ; Age Band Code ; Sex Code </v>
      </c>
      <c r="N1295" s="345" t="s">
        <v>207</v>
      </c>
      <c r="O1295" s="345" t="s">
        <v>208</v>
      </c>
      <c r="P1295" s="345" t="s">
        <v>209</v>
      </c>
      <c r="Q1295" s="345" t="s">
        <v>210</v>
      </c>
      <c r="R1295" s="345" t="s">
        <v>223</v>
      </c>
      <c r="S1295" s="345" t="s">
        <v>224</v>
      </c>
    </row>
    <row r="1296" spans="1:19" x14ac:dyDescent="0.25">
      <c r="A1296" s="311"/>
      <c r="B1296" s="312"/>
      <c r="C1296" s="312"/>
      <c r="D1296" s="312"/>
      <c r="E1296" s="312"/>
      <c r="F1296" s="312"/>
      <c r="G1296" s="328"/>
      <c r="H1296" s="337"/>
      <c r="I1296" s="334"/>
      <c r="J1296" s="314"/>
      <c r="K1296" s="449"/>
      <c r="M1296" s="349" t="str">
        <f>N1296&amp;AS[[#This Row],[Insurer Code]]&amp;"; "&amp;O1296&amp;AS[[#This Row],[Reporting Year]]&amp;"; "&amp;P1296&amp;AS[[#This Row],[Insurance Category Code]]&amp;"; "&amp;Q1296&amp;AS[[#This Row],[Large Provider Entity Code]]&amp;"; "&amp;R1296&amp;AS[[#This Row],[Age Band Code]]&amp;"; "&amp;S1296&amp;AS[[#This Row],[Sex Code]]</f>
        <v xml:space="preserve">Insurer Code ; Reporting Year ; Insurance Category Code ; Large Provider Entity Code ; Age Band Code ; Sex Code </v>
      </c>
      <c r="N1296" s="345" t="s">
        <v>207</v>
      </c>
      <c r="O1296" s="345" t="s">
        <v>208</v>
      </c>
      <c r="P1296" s="345" t="s">
        <v>209</v>
      </c>
      <c r="Q1296" s="345" t="s">
        <v>210</v>
      </c>
      <c r="R1296" s="345" t="s">
        <v>223</v>
      </c>
      <c r="S1296" s="345" t="s">
        <v>224</v>
      </c>
    </row>
    <row r="1297" spans="1:19" x14ac:dyDescent="0.25">
      <c r="A1297" s="311"/>
      <c r="B1297" s="312"/>
      <c r="C1297" s="312"/>
      <c r="D1297" s="312"/>
      <c r="E1297" s="312"/>
      <c r="F1297" s="312"/>
      <c r="G1297" s="328"/>
      <c r="H1297" s="337"/>
      <c r="I1297" s="334"/>
      <c r="J1297" s="314"/>
      <c r="K1297" s="449"/>
      <c r="M1297" s="349" t="str">
        <f>N1297&amp;AS[[#This Row],[Insurer Code]]&amp;"; "&amp;O1297&amp;AS[[#This Row],[Reporting Year]]&amp;"; "&amp;P1297&amp;AS[[#This Row],[Insurance Category Code]]&amp;"; "&amp;Q1297&amp;AS[[#This Row],[Large Provider Entity Code]]&amp;"; "&amp;R1297&amp;AS[[#This Row],[Age Band Code]]&amp;"; "&amp;S1297&amp;AS[[#This Row],[Sex Code]]</f>
        <v xml:space="preserve">Insurer Code ; Reporting Year ; Insurance Category Code ; Large Provider Entity Code ; Age Band Code ; Sex Code </v>
      </c>
      <c r="N1297" s="345" t="s">
        <v>207</v>
      </c>
      <c r="O1297" s="345" t="s">
        <v>208</v>
      </c>
      <c r="P1297" s="345" t="s">
        <v>209</v>
      </c>
      <c r="Q1297" s="345" t="s">
        <v>210</v>
      </c>
      <c r="R1297" s="345" t="s">
        <v>223</v>
      </c>
      <c r="S1297" s="345" t="s">
        <v>224</v>
      </c>
    </row>
    <row r="1298" spans="1:19" x14ac:dyDescent="0.25">
      <c r="A1298" s="311"/>
      <c r="B1298" s="312"/>
      <c r="C1298" s="312"/>
      <c r="D1298" s="312"/>
      <c r="E1298" s="312"/>
      <c r="F1298" s="312"/>
      <c r="G1298" s="328"/>
      <c r="H1298" s="337"/>
      <c r="I1298" s="334"/>
      <c r="J1298" s="314"/>
      <c r="K1298" s="449"/>
      <c r="M1298" s="349" t="str">
        <f>N1298&amp;AS[[#This Row],[Insurer Code]]&amp;"; "&amp;O1298&amp;AS[[#This Row],[Reporting Year]]&amp;"; "&amp;P1298&amp;AS[[#This Row],[Insurance Category Code]]&amp;"; "&amp;Q1298&amp;AS[[#This Row],[Large Provider Entity Code]]&amp;"; "&amp;R1298&amp;AS[[#This Row],[Age Band Code]]&amp;"; "&amp;S1298&amp;AS[[#This Row],[Sex Code]]</f>
        <v xml:space="preserve">Insurer Code ; Reporting Year ; Insurance Category Code ; Large Provider Entity Code ; Age Band Code ; Sex Code </v>
      </c>
      <c r="N1298" s="345" t="s">
        <v>207</v>
      </c>
      <c r="O1298" s="345" t="s">
        <v>208</v>
      </c>
      <c r="P1298" s="345" t="s">
        <v>209</v>
      </c>
      <c r="Q1298" s="345" t="s">
        <v>210</v>
      </c>
      <c r="R1298" s="345" t="s">
        <v>223</v>
      </c>
      <c r="S1298" s="345" t="s">
        <v>224</v>
      </c>
    </row>
    <row r="1299" spans="1:19" x14ac:dyDescent="0.25">
      <c r="A1299" s="311"/>
      <c r="B1299" s="312"/>
      <c r="C1299" s="312"/>
      <c r="D1299" s="312"/>
      <c r="E1299" s="312"/>
      <c r="F1299" s="312"/>
      <c r="G1299" s="328"/>
      <c r="H1299" s="337"/>
      <c r="I1299" s="334"/>
      <c r="J1299" s="314"/>
      <c r="K1299" s="449"/>
      <c r="M1299" s="349" t="str">
        <f>N1299&amp;AS[[#This Row],[Insurer Code]]&amp;"; "&amp;O1299&amp;AS[[#This Row],[Reporting Year]]&amp;"; "&amp;P1299&amp;AS[[#This Row],[Insurance Category Code]]&amp;"; "&amp;Q1299&amp;AS[[#This Row],[Large Provider Entity Code]]&amp;"; "&amp;R1299&amp;AS[[#This Row],[Age Band Code]]&amp;"; "&amp;S1299&amp;AS[[#This Row],[Sex Code]]</f>
        <v xml:space="preserve">Insurer Code ; Reporting Year ; Insurance Category Code ; Large Provider Entity Code ; Age Band Code ; Sex Code </v>
      </c>
      <c r="N1299" s="345" t="s">
        <v>207</v>
      </c>
      <c r="O1299" s="345" t="s">
        <v>208</v>
      </c>
      <c r="P1299" s="345" t="s">
        <v>209</v>
      </c>
      <c r="Q1299" s="345" t="s">
        <v>210</v>
      </c>
      <c r="R1299" s="345" t="s">
        <v>223</v>
      </c>
      <c r="S1299" s="345" t="s">
        <v>224</v>
      </c>
    </row>
    <row r="1300" spans="1:19" x14ac:dyDescent="0.25">
      <c r="A1300" s="311"/>
      <c r="B1300" s="312"/>
      <c r="C1300" s="312"/>
      <c r="D1300" s="312"/>
      <c r="E1300" s="312"/>
      <c r="F1300" s="312"/>
      <c r="G1300" s="328"/>
      <c r="H1300" s="337"/>
      <c r="I1300" s="334"/>
      <c r="J1300" s="314"/>
      <c r="K1300" s="449"/>
      <c r="M1300" s="349" t="str">
        <f>N1300&amp;AS[[#This Row],[Insurer Code]]&amp;"; "&amp;O1300&amp;AS[[#This Row],[Reporting Year]]&amp;"; "&amp;P1300&amp;AS[[#This Row],[Insurance Category Code]]&amp;"; "&amp;Q1300&amp;AS[[#This Row],[Large Provider Entity Code]]&amp;"; "&amp;R1300&amp;AS[[#This Row],[Age Band Code]]&amp;"; "&amp;S1300&amp;AS[[#This Row],[Sex Code]]</f>
        <v xml:space="preserve">Insurer Code ; Reporting Year ; Insurance Category Code ; Large Provider Entity Code ; Age Band Code ; Sex Code </v>
      </c>
      <c r="N1300" s="345" t="s">
        <v>207</v>
      </c>
      <c r="O1300" s="345" t="s">
        <v>208</v>
      </c>
      <c r="P1300" s="345" t="s">
        <v>209</v>
      </c>
      <c r="Q1300" s="345" t="s">
        <v>210</v>
      </c>
      <c r="R1300" s="345" t="s">
        <v>223</v>
      </c>
      <c r="S1300" s="345" t="s">
        <v>224</v>
      </c>
    </row>
    <row r="1301" spans="1:19" x14ac:dyDescent="0.25">
      <c r="A1301" s="311"/>
      <c r="B1301" s="312"/>
      <c r="C1301" s="312"/>
      <c r="D1301" s="312"/>
      <c r="E1301" s="312"/>
      <c r="F1301" s="312"/>
      <c r="G1301" s="328"/>
      <c r="H1301" s="337"/>
      <c r="I1301" s="334"/>
      <c r="J1301" s="314"/>
      <c r="K1301" s="449"/>
      <c r="M1301" s="349" t="str">
        <f>N1301&amp;AS[[#This Row],[Insurer Code]]&amp;"; "&amp;O1301&amp;AS[[#This Row],[Reporting Year]]&amp;"; "&amp;P1301&amp;AS[[#This Row],[Insurance Category Code]]&amp;"; "&amp;Q1301&amp;AS[[#This Row],[Large Provider Entity Code]]&amp;"; "&amp;R1301&amp;AS[[#This Row],[Age Band Code]]&amp;"; "&amp;S1301&amp;AS[[#This Row],[Sex Code]]</f>
        <v xml:space="preserve">Insurer Code ; Reporting Year ; Insurance Category Code ; Large Provider Entity Code ; Age Band Code ; Sex Code </v>
      </c>
      <c r="N1301" s="345" t="s">
        <v>207</v>
      </c>
      <c r="O1301" s="345" t="s">
        <v>208</v>
      </c>
      <c r="P1301" s="345" t="s">
        <v>209</v>
      </c>
      <c r="Q1301" s="345" t="s">
        <v>210</v>
      </c>
      <c r="R1301" s="345" t="s">
        <v>223</v>
      </c>
      <c r="S1301" s="345" t="s">
        <v>224</v>
      </c>
    </row>
    <row r="1302" spans="1:19" x14ac:dyDescent="0.25">
      <c r="A1302" s="311"/>
      <c r="B1302" s="312"/>
      <c r="C1302" s="312"/>
      <c r="D1302" s="312"/>
      <c r="E1302" s="312"/>
      <c r="F1302" s="312"/>
      <c r="G1302" s="328"/>
      <c r="H1302" s="337"/>
      <c r="I1302" s="334"/>
      <c r="J1302" s="314"/>
      <c r="K1302" s="449"/>
      <c r="M1302" s="349" t="str">
        <f>N1302&amp;AS[[#This Row],[Insurer Code]]&amp;"; "&amp;O1302&amp;AS[[#This Row],[Reporting Year]]&amp;"; "&amp;P1302&amp;AS[[#This Row],[Insurance Category Code]]&amp;"; "&amp;Q1302&amp;AS[[#This Row],[Large Provider Entity Code]]&amp;"; "&amp;R1302&amp;AS[[#This Row],[Age Band Code]]&amp;"; "&amp;S1302&amp;AS[[#This Row],[Sex Code]]</f>
        <v xml:space="preserve">Insurer Code ; Reporting Year ; Insurance Category Code ; Large Provider Entity Code ; Age Band Code ; Sex Code </v>
      </c>
      <c r="N1302" s="345" t="s">
        <v>207</v>
      </c>
      <c r="O1302" s="345" t="s">
        <v>208</v>
      </c>
      <c r="P1302" s="345" t="s">
        <v>209</v>
      </c>
      <c r="Q1302" s="345" t="s">
        <v>210</v>
      </c>
      <c r="R1302" s="345" t="s">
        <v>223</v>
      </c>
      <c r="S1302" s="345" t="s">
        <v>224</v>
      </c>
    </row>
    <row r="1303" spans="1:19" x14ac:dyDescent="0.25">
      <c r="A1303" s="311"/>
      <c r="B1303" s="312"/>
      <c r="C1303" s="312"/>
      <c r="D1303" s="312"/>
      <c r="E1303" s="312"/>
      <c r="F1303" s="312"/>
      <c r="G1303" s="328"/>
      <c r="H1303" s="337"/>
      <c r="I1303" s="334"/>
      <c r="J1303" s="314"/>
      <c r="K1303" s="449"/>
      <c r="M1303" s="349" t="str">
        <f>N1303&amp;AS[[#This Row],[Insurer Code]]&amp;"; "&amp;O1303&amp;AS[[#This Row],[Reporting Year]]&amp;"; "&amp;P1303&amp;AS[[#This Row],[Insurance Category Code]]&amp;"; "&amp;Q1303&amp;AS[[#This Row],[Large Provider Entity Code]]&amp;"; "&amp;R1303&amp;AS[[#This Row],[Age Band Code]]&amp;"; "&amp;S1303&amp;AS[[#This Row],[Sex Code]]</f>
        <v xml:space="preserve">Insurer Code ; Reporting Year ; Insurance Category Code ; Large Provider Entity Code ; Age Band Code ; Sex Code </v>
      </c>
      <c r="N1303" s="345" t="s">
        <v>207</v>
      </c>
      <c r="O1303" s="345" t="s">
        <v>208</v>
      </c>
      <c r="P1303" s="345" t="s">
        <v>209</v>
      </c>
      <c r="Q1303" s="345" t="s">
        <v>210</v>
      </c>
      <c r="R1303" s="345" t="s">
        <v>223</v>
      </c>
      <c r="S1303" s="345" t="s">
        <v>224</v>
      </c>
    </row>
    <row r="1304" spans="1:19" x14ac:dyDescent="0.25">
      <c r="A1304" s="311"/>
      <c r="B1304" s="312"/>
      <c r="C1304" s="312"/>
      <c r="D1304" s="312"/>
      <c r="E1304" s="312"/>
      <c r="F1304" s="312"/>
      <c r="G1304" s="328"/>
      <c r="H1304" s="337"/>
      <c r="I1304" s="334"/>
      <c r="J1304" s="314"/>
      <c r="K1304" s="449"/>
      <c r="M1304" s="349" t="str">
        <f>N1304&amp;AS[[#This Row],[Insurer Code]]&amp;"; "&amp;O1304&amp;AS[[#This Row],[Reporting Year]]&amp;"; "&amp;P1304&amp;AS[[#This Row],[Insurance Category Code]]&amp;"; "&amp;Q1304&amp;AS[[#This Row],[Large Provider Entity Code]]&amp;"; "&amp;R1304&amp;AS[[#This Row],[Age Band Code]]&amp;"; "&amp;S1304&amp;AS[[#This Row],[Sex Code]]</f>
        <v xml:space="preserve">Insurer Code ; Reporting Year ; Insurance Category Code ; Large Provider Entity Code ; Age Band Code ; Sex Code </v>
      </c>
      <c r="N1304" s="345" t="s">
        <v>207</v>
      </c>
      <c r="O1304" s="345" t="s">
        <v>208</v>
      </c>
      <c r="P1304" s="345" t="s">
        <v>209</v>
      </c>
      <c r="Q1304" s="345" t="s">
        <v>210</v>
      </c>
      <c r="R1304" s="345" t="s">
        <v>223</v>
      </c>
      <c r="S1304" s="345" t="s">
        <v>224</v>
      </c>
    </row>
    <row r="1305" spans="1:19" x14ac:dyDescent="0.25">
      <c r="A1305" s="311"/>
      <c r="B1305" s="312"/>
      <c r="C1305" s="312"/>
      <c r="D1305" s="312"/>
      <c r="E1305" s="312"/>
      <c r="F1305" s="312"/>
      <c r="G1305" s="328"/>
      <c r="H1305" s="337"/>
      <c r="I1305" s="334"/>
      <c r="J1305" s="314"/>
      <c r="K1305" s="449"/>
      <c r="M1305" s="349" t="str">
        <f>N1305&amp;AS[[#This Row],[Insurer Code]]&amp;"; "&amp;O1305&amp;AS[[#This Row],[Reporting Year]]&amp;"; "&amp;P1305&amp;AS[[#This Row],[Insurance Category Code]]&amp;"; "&amp;Q1305&amp;AS[[#This Row],[Large Provider Entity Code]]&amp;"; "&amp;R1305&amp;AS[[#This Row],[Age Band Code]]&amp;"; "&amp;S1305&amp;AS[[#This Row],[Sex Code]]</f>
        <v xml:space="preserve">Insurer Code ; Reporting Year ; Insurance Category Code ; Large Provider Entity Code ; Age Band Code ; Sex Code </v>
      </c>
      <c r="N1305" s="345" t="s">
        <v>207</v>
      </c>
      <c r="O1305" s="345" t="s">
        <v>208</v>
      </c>
      <c r="P1305" s="345" t="s">
        <v>209</v>
      </c>
      <c r="Q1305" s="345" t="s">
        <v>210</v>
      </c>
      <c r="R1305" s="345" t="s">
        <v>223</v>
      </c>
      <c r="S1305" s="345" t="s">
        <v>224</v>
      </c>
    </row>
    <row r="1306" spans="1:19" x14ac:dyDescent="0.25">
      <c r="A1306" s="311"/>
      <c r="B1306" s="312"/>
      <c r="C1306" s="312"/>
      <c r="D1306" s="312"/>
      <c r="E1306" s="312"/>
      <c r="F1306" s="312"/>
      <c r="G1306" s="328"/>
      <c r="H1306" s="337"/>
      <c r="I1306" s="334"/>
      <c r="J1306" s="314"/>
      <c r="K1306" s="449"/>
      <c r="M1306" s="349" t="str">
        <f>N1306&amp;AS[[#This Row],[Insurer Code]]&amp;"; "&amp;O1306&amp;AS[[#This Row],[Reporting Year]]&amp;"; "&amp;P1306&amp;AS[[#This Row],[Insurance Category Code]]&amp;"; "&amp;Q1306&amp;AS[[#This Row],[Large Provider Entity Code]]&amp;"; "&amp;R1306&amp;AS[[#This Row],[Age Band Code]]&amp;"; "&amp;S1306&amp;AS[[#This Row],[Sex Code]]</f>
        <v xml:space="preserve">Insurer Code ; Reporting Year ; Insurance Category Code ; Large Provider Entity Code ; Age Band Code ; Sex Code </v>
      </c>
      <c r="N1306" s="345" t="s">
        <v>207</v>
      </c>
      <c r="O1306" s="345" t="s">
        <v>208</v>
      </c>
      <c r="P1306" s="345" t="s">
        <v>209</v>
      </c>
      <c r="Q1306" s="345" t="s">
        <v>210</v>
      </c>
      <c r="R1306" s="345" t="s">
        <v>223</v>
      </c>
      <c r="S1306" s="345" t="s">
        <v>224</v>
      </c>
    </row>
    <row r="1307" spans="1:19" x14ac:dyDescent="0.25">
      <c r="A1307" s="311"/>
      <c r="B1307" s="312"/>
      <c r="C1307" s="312"/>
      <c r="D1307" s="312"/>
      <c r="E1307" s="312"/>
      <c r="F1307" s="312"/>
      <c r="G1307" s="328"/>
      <c r="H1307" s="337"/>
      <c r="I1307" s="334"/>
      <c r="J1307" s="314"/>
      <c r="K1307" s="449"/>
      <c r="M1307" s="349" t="str">
        <f>N1307&amp;AS[[#This Row],[Insurer Code]]&amp;"; "&amp;O1307&amp;AS[[#This Row],[Reporting Year]]&amp;"; "&amp;P1307&amp;AS[[#This Row],[Insurance Category Code]]&amp;"; "&amp;Q1307&amp;AS[[#This Row],[Large Provider Entity Code]]&amp;"; "&amp;R1307&amp;AS[[#This Row],[Age Band Code]]&amp;"; "&amp;S1307&amp;AS[[#This Row],[Sex Code]]</f>
        <v xml:space="preserve">Insurer Code ; Reporting Year ; Insurance Category Code ; Large Provider Entity Code ; Age Band Code ; Sex Code </v>
      </c>
      <c r="N1307" s="345" t="s">
        <v>207</v>
      </c>
      <c r="O1307" s="345" t="s">
        <v>208</v>
      </c>
      <c r="P1307" s="345" t="s">
        <v>209</v>
      </c>
      <c r="Q1307" s="345" t="s">
        <v>210</v>
      </c>
      <c r="R1307" s="345" t="s">
        <v>223</v>
      </c>
      <c r="S1307" s="345" t="s">
        <v>224</v>
      </c>
    </row>
    <row r="1308" spans="1:19" x14ac:dyDescent="0.25">
      <c r="A1308" s="311"/>
      <c r="B1308" s="312"/>
      <c r="C1308" s="312"/>
      <c r="D1308" s="312"/>
      <c r="E1308" s="312"/>
      <c r="F1308" s="312"/>
      <c r="G1308" s="328"/>
      <c r="H1308" s="337"/>
      <c r="I1308" s="334"/>
      <c r="J1308" s="314"/>
      <c r="K1308" s="449"/>
      <c r="M1308" s="349" t="str">
        <f>N1308&amp;AS[[#This Row],[Insurer Code]]&amp;"; "&amp;O1308&amp;AS[[#This Row],[Reporting Year]]&amp;"; "&amp;P1308&amp;AS[[#This Row],[Insurance Category Code]]&amp;"; "&amp;Q1308&amp;AS[[#This Row],[Large Provider Entity Code]]&amp;"; "&amp;R1308&amp;AS[[#This Row],[Age Band Code]]&amp;"; "&amp;S1308&amp;AS[[#This Row],[Sex Code]]</f>
        <v xml:space="preserve">Insurer Code ; Reporting Year ; Insurance Category Code ; Large Provider Entity Code ; Age Band Code ; Sex Code </v>
      </c>
      <c r="N1308" s="345" t="s">
        <v>207</v>
      </c>
      <c r="O1308" s="345" t="s">
        <v>208</v>
      </c>
      <c r="P1308" s="345" t="s">
        <v>209</v>
      </c>
      <c r="Q1308" s="345" t="s">
        <v>210</v>
      </c>
      <c r="R1308" s="345" t="s">
        <v>223</v>
      </c>
      <c r="S1308" s="345" t="s">
        <v>224</v>
      </c>
    </row>
    <row r="1309" spans="1:19" x14ac:dyDescent="0.25">
      <c r="A1309" s="311"/>
      <c r="B1309" s="312"/>
      <c r="C1309" s="312"/>
      <c r="D1309" s="312"/>
      <c r="E1309" s="312"/>
      <c r="F1309" s="312"/>
      <c r="G1309" s="328"/>
      <c r="H1309" s="337"/>
      <c r="I1309" s="334"/>
      <c r="J1309" s="314"/>
      <c r="K1309" s="449"/>
      <c r="M1309" s="349" t="str">
        <f>N1309&amp;AS[[#This Row],[Insurer Code]]&amp;"; "&amp;O1309&amp;AS[[#This Row],[Reporting Year]]&amp;"; "&amp;P1309&amp;AS[[#This Row],[Insurance Category Code]]&amp;"; "&amp;Q1309&amp;AS[[#This Row],[Large Provider Entity Code]]&amp;"; "&amp;R1309&amp;AS[[#This Row],[Age Band Code]]&amp;"; "&amp;S1309&amp;AS[[#This Row],[Sex Code]]</f>
        <v xml:space="preserve">Insurer Code ; Reporting Year ; Insurance Category Code ; Large Provider Entity Code ; Age Band Code ; Sex Code </v>
      </c>
      <c r="N1309" s="345" t="s">
        <v>207</v>
      </c>
      <c r="O1309" s="345" t="s">
        <v>208</v>
      </c>
      <c r="P1309" s="345" t="s">
        <v>209</v>
      </c>
      <c r="Q1309" s="345" t="s">
        <v>210</v>
      </c>
      <c r="R1309" s="345" t="s">
        <v>223</v>
      </c>
      <c r="S1309" s="345" t="s">
        <v>224</v>
      </c>
    </row>
    <row r="1310" spans="1:19" x14ac:dyDescent="0.25">
      <c r="A1310" s="311"/>
      <c r="B1310" s="312"/>
      <c r="C1310" s="312"/>
      <c r="D1310" s="312"/>
      <c r="E1310" s="312"/>
      <c r="F1310" s="312"/>
      <c r="G1310" s="328"/>
      <c r="H1310" s="337"/>
      <c r="I1310" s="334"/>
      <c r="J1310" s="314"/>
      <c r="K1310" s="449"/>
      <c r="M1310" s="349" t="str">
        <f>N1310&amp;AS[[#This Row],[Insurer Code]]&amp;"; "&amp;O1310&amp;AS[[#This Row],[Reporting Year]]&amp;"; "&amp;P1310&amp;AS[[#This Row],[Insurance Category Code]]&amp;"; "&amp;Q1310&amp;AS[[#This Row],[Large Provider Entity Code]]&amp;"; "&amp;R1310&amp;AS[[#This Row],[Age Band Code]]&amp;"; "&amp;S1310&amp;AS[[#This Row],[Sex Code]]</f>
        <v xml:space="preserve">Insurer Code ; Reporting Year ; Insurance Category Code ; Large Provider Entity Code ; Age Band Code ; Sex Code </v>
      </c>
      <c r="N1310" s="345" t="s">
        <v>207</v>
      </c>
      <c r="O1310" s="345" t="s">
        <v>208</v>
      </c>
      <c r="P1310" s="345" t="s">
        <v>209</v>
      </c>
      <c r="Q1310" s="345" t="s">
        <v>210</v>
      </c>
      <c r="R1310" s="345" t="s">
        <v>223</v>
      </c>
      <c r="S1310" s="345" t="s">
        <v>224</v>
      </c>
    </row>
    <row r="1311" spans="1:19" x14ac:dyDescent="0.25">
      <c r="A1311" s="311"/>
      <c r="B1311" s="312"/>
      <c r="C1311" s="312"/>
      <c r="D1311" s="312"/>
      <c r="E1311" s="312"/>
      <c r="F1311" s="312"/>
      <c r="G1311" s="328"/>
      <c r="H1311" s="337"/>
      <c r="I1311" s="334"/>
      <c r="J1311" s="314"/>
      <c r="K1311" s="449"/>
      <c r="M1311" s="349" t="str">
        <f>N1311&amp;AS[[#This Row],[Insurer Code]]&amp;"; "&amp;O1311&amp;AS[[#This Row],[Reporting Year]]&amp;"; "&amp;P1311&amp;AS[[#This Row],[Insurance Category Code]]&amp;"; "&amp;Q1311&amp;AS[[#This Row],[Large Provider Entity Code]]&amp;"; "&amp;R1311&amp;AS[[#This Row],[Age Band Code]]&amp;"; "&amp;S1311&amp;AS[[#This Row],[Sex Code]]</f>
        <v xml:space="preserve">Insurer Code ; Reporting Year ; Insurance Category Code ; Large Provider Entity Code ; Age Band Code ; Sex Code </v>
      </c>
      <c r="N1311" s="345" t="s">
        <v>207</v>
      </c>
      <c r="O1311" s="345" t="s">
        <v>208</v>
      </c>
      <c r="P1311" s="345" t="s">
        <v>209</v>
      </c>
      <c r="Q1311" s="345" t="s">
        <v>210</v>
      </c>
      <c r="R1311" s="345" t="s">
        <v>223</v>
      </c>
      <c r="S1311" s="345" t="s">
        <v>224</v>
      </c>
    </row>
    <row r="1312" spans="1:19" x14ac:dyDescent="0.25">
      <c r="A1312" s="311"/>
      <c r="B1312" s="312"/>
      <c r="C1312" s="312"/>
      <c r="D1312" s="312"/>
      <c r="E1312" s="312"/>
      <c r="F1312" s="312"/>
      <c r="G1312" s="328"/>
      <c r="H1312" s="337"/>
      <c r="I1312" s="334"/>
      <c r="J1312" s="314"/>
      <c r="K1312" s="449"/>
      <c r="M1312" s="349" t="str">
        <f>N1312&amp;AS[[#This Row],[Insurer Code]]&amp;"; "&amp;O1312&amp;AS[[#This Row],[Reporting Year]]&amp;"; "&amp;P1312&amp;AS[[#This Row],[Insurance Category Code]]&amp;"; "&amp;Q1312&amp;AS[[#This Row],[Large Provider Entity Code]]&amp;"; "&amp;R1312&amp;AS[[#This Row],[Age Band Code]]&amp;"; "&amp;S1312&amp;AS[[#This Row],[Sex Code]]</f>
        <v xml:space="preserve">Insurer Code ; Reporting Year ; Insurance Category Code ; Large Provider Entity Code ; Age Band Code ; Sex Code </v>
      </c>
      <c r="N1312" s="345" t="s">
        <v>207</v>
      </c>
      <c r="O1312" s="345" t="s">
        <v>208</v>
      </c>
      <c r="P1312" s="345" t="s">
        <v>209</v>
      </c>
      <c r="Q1312" s="345" t="s">
        <v>210</v>
      </c>
      <c r="R1312" s="345" t="s">
        <v>223</v>
      </c>
      <c r="S1312" s="345" t="s">
        <v>224</v>
      </c>
    </row>
    <row r="1313" spans="1:19" x14ac:dyDescent="0.25">
      <c r="A1313" s="311"/>
      <c r="B1313" s="312"/>
      <c r="C1313" s="312"/>
      <c r="D1313" s="312"/>
      <c r="E1313" s="312"/>
      <c r="F1313" s="312"/>
      <c r="G1313" s="328"/>
      <c r="H1313" s="337"/>
      <c r="I1313" s="334"/>
      <c r="J1313" s="314"/>
      <c r="K1313" s="449"/>
      <c r="M1313" s="349" t="str">
        <f>N1313&amp;AS[[#This Row],[Insurer Code]]&amp;"; "&amp;O1313&amp;AS[[#This Row],[Reporting Year]]&amp;"; "&amp;P1313&amp;AS[[#This Row],[Insurance Category Code]]&amp;"; "&amp;Q1313&amp;AS[[#This Row],[Large Provider Entity Code]]&amp;"; "&amp;R1313&amp;AS[[#This Row],[Age Band Code]]&amp;"; "&amp;S1313&amp;AS[[#This Row],[Sex Code]]</f>
        <v xml:space="preserve">Insurer Code ; Reporting Year ; Insurance Category Code ; Large Provider Entity Code ; Age Band Code ; Sex Code </v>
      </c>
      <c r="N1313" s="345" t="s">
        <v>207</v>
      </c>
      <c r="O1313" s="345" t="s">
        <v>208</v>
      </c>
      <c r="P1313" s="345" t="s">
        <v>209</v>
      </c>
      <c r="Q1313" s="345" t="s">
        <v>210</v>
      </c>
      <c r="R1313" s="345" t="s">
        <v>223</v>
      </c>
      <c r="S1313" s="345" t="s">
        <v>224</v>
      </c>
    </row>
    <row r="1314" spans="1:19" x14ac:dyDescent="0.25">
      <c r="A1314" s="311"/>
      <c r="B1314" s="312"/>
      <c r="C1314" s="312"/>
      <c r="D1314" s="312"/>
      <c r="E1314" s="312"/>
      <c r="F1314" s="312"/>
      <c r="G1314" s="328"/>
      <c r="H1314" s="337"/>
      <c r="I1314" s="334"/>
      <c r="J1314" s="314"/>
      <c r="K1314" s="449"/>
      <c r="M1314" s="349" t="str">
        <f>N1314&amp;AS[[#This Row],[Insurer Code]]&amp;"; "&amp;O1314&amp;AS[[#This Row],[Reporting Year]]&amp;"; "&amp;P1314&amp;AS[[#This Row],[Insurance Category Code]]&amp;"; "&amp;Q1314&amp;AS[[#This Row],[Large Provider Entity Code]]&amp;"; "&amp;R1314&amp;AS[[#This Row],[Age Band Code]]&amp;"; "&amp;S1314&amp;AS[[#This Row],[Sex Code]]</f>
        <v xml:space="preserve">Insurer Code ; Reporting Year ; Insurance Category Code ; Large Provider Entity Code ; Age Band Code ; Sex Code </v>
      </c>
      <c r="N1314" s="345" t="s">
        <v>207</v>
      </c>
      <c r="O1314" s="345" t="s">
        <v>208</v>
      </c>
      <c r="P1314" s="345" t="s">
        <v>209</v>
      </c>
      <c r="Q1314" s="345" t="s">
        <v>210</v>
      </c>
      <c r="R1314" s="345" t="s">
        <v>223</v>
      </c>
      <c r="S1314" s="345" t="s">
        <v>224</v>
      </c>
    </row>
    <row r="1315" spans="1:19" x14ac:dyDescent="0.25">
      <c r="A1315" s="311"/>
      <c r="B1315" s="312"/>
      <c r="C1315" s="312"/>
      <c r="D1315" s="312"/>
      <c r="E1315" s="312"/>
      <c r="F1315" s="312"/>
      <c r="G1315" s="328"/>
      <c r="H1315" s="337"/>
      <c r="I1315" s="334"/>
      <c r="J1315" s="314"/>
      <c r="K1315" s="449"/>
      <c r="M1315" s="349" t="str">
        <f>N1315&amp;AS[[#This Row],[Insurer Code]]&amp;"; "&amp;O1315&amp;AS[[#This Row],[Reporting Year]]&amp;"; "&amp;P1315&amp;AS[[#This Row],[Insurance Category Code]]&amp;"; "&amp;Q1315&amp;AS[[#This Row],[Large Provider Entity Code]]&amp;"; "&amp;R1315&amp;AS[[#This Row],[Age Band Code]]&amp;"; "&amp;S1315&amp;AS[[#This Row],[Sex Code]]</f>
        <v xml:space="preserve">Insurer Code ; Reporting Year ; Insurance Category Code ; Large Provider Entity Code ; Age Band Code ; Sex Code </v>
      </c>
      <c r="N1315" s="345" t="s">
        <v>207</v>
      </c>
      <c r="O1315" s="345" t="s">
        <v>208</v>
      </c>
      <c r="P1315" s="345" t="s">
        <v>209</v>
      </c>
      <c r="Q1315" s="345" t="s">
        <v>210</v>
      </c>
      <c r="R1315" s="345" t="s">
        <v>223</v>
      </c>
      <c r="S1315" s="345" t="s">
        <v>224</v>
      </c>
    </row>
    <row r="1316" spans="1:19" x14ac:dyDescent="0.25">
      <c r="A1316" s="311"/>
      <c r="B1316" s="312"/>
      <c r="C1316" s="312"/>
      <c r="D1316" s="312"/>
      <c r="E1316" s="312"/>
      <c r="F1316" s="312"/>
      <c r="G1316" s="328"/>
      <c r="H1316" s="337"/>
      <c r="I1316" s="334"/>
      <c r="J1316" s="314"/>
      <c r="K1316" s="449"/>
      <c r="M1316" s="349" t="str">
        <f>N1316&amp;AS[[#This Row],[Insurer Code]]&amp;"; "&amp;O1316&amp;AS[[#This Row],[Reporting Year]]&amp;"; "&amp;P1316&amp;AS[[#This Row],[Insurance Category Code]]&amp;"; "&amp;Q1316&amp;AS[[#This Row],[Large Provider Entity Code]]&amp;"; "&amp;R1316&amp;AS[[#This Row],[Age Band Code]]&amp;"; "&amp;S1316&amp;AS[[#This Row],[Sex Code]]</f>
        <v xml:space="preserve">Insurer Code ; Reporting Year ; Insurance Category Code ; Large Provider Entity Code ; Age Band Code ; Sex Code </v>
      </c>
      <c r="N1316" s="345" t="s">
        <v>207</v>
      </c>
      <c r="O1316" s="345" t="s">
        <v>208</v>
      </c>
      <c r="P1316" s="345" t="s">
        <v>209</v>
      </c>
      <c r="Q1316" s="345" t="s">
        <v>210</v>
      </c>
      <c r="R1316" s="345" t="s">
        <v>223</v>
      </c>
      <c r="S1316" s="345" t="s">
        <v>224</v>
      </c>
    </row>
    <row r="1317" spans="1:19" x14ac:dyDescent="0.25">
      <c r="A1317" s="311"/>
      <c r="B1317" s="312"/>
      <c r="C1317" s="312"/>
      <c r="D1317" s="312"/>
      <c r="E1317" s="312"/>
      <c r="F1317" s="312"/>
      <c r="G1317" s="328"/>
      <c r="H1317" s="337"/>
      <c r="I1317" s="334"/>
      <c r="J1317" s="314"/>
      <c r="K1317" s="449"/>
      <c r="M1317" s="349" t="str">
        <f>N1317&amp;AS[[#This Row],[Insurer Code]]&amp;"; "&amp;O1317&amp;AS[[#This Row],[Reporting Year]]&amp;"; "&amp;P1317&amp;AS[[#This Row],[Insurance Category Code]]&amp;"; "&amp;Q1317&amp;AS[[#This Row],[Large Provider Entity Code]]&amp;"; "&amp;R1317&amp;AS[[#This Row],[Age Band Code]]&amp;"; "&amp;S1317&amp;AS[[#This Row],[Sex Code]]</f>
        <v xml:space="preserve">Insurer Code ; Reporting Year ; Insurance Category Code ; Large Provider Entity Code ; Age Band Code ; Sex Code </v>
      </c>
      <c r="N1317" s="345" t="s">
        <v>207</v>
      </c>
      <c r="O1317" s="345" t="s">
        <v>208</v>
      </c>
      <c r="P1317" s="345" t="s">
        <v>209</v>
      </c>
      <c r="Q1317" s="345" t="s">
        <v>210</v>
      </c>
      <c r="R1317" s="345" t="s">
        <v>223</v>
      </c>
      <c r="S1317" s="345" t="s">
        <v>224</v>
      </c>
    </row>
    <row r="1318" spans="1:19" x14ac:dyDescent="0.25">
      <c r="A1318" s="311"/>
      <c r="B1318" s="312"/>
      <c r="C1318" s="312"/>
      <c r="D1318" s="312"/>
      <c r="E1318" s="312"/>
      <c r="F1318" s="312"/>
      <c r="G1318" s="328"/>
      <c r="H1318" s="337"/>
      <c r="I1318" s="334"/>
      <c r="J1318" s="314"/>
      <c r="K1318" s="449"/>
      <c r="M1318" s="349" t="str">
        <f>N1318&amp;AS[[#This Row],[Insurer Code]]&amp;"; "&amp;O1318&amp;AS[[#This Row],[Reporting Year]]&amp;"; "&amp;P1318&amp;AS[[#This Row],[Insurance Category Code]]&amp;"; "&amp;Q1318&amp;AS[[#This Row],[Large Provider Entity Code]]&amp;"; "&amp;R1318&amp;AS[[#This Row],[Age Band Code]]&amp;"; "&amp;S1318&amp;AS[[#This Row],[Sex Code]]</f>
        <v xml:space="preserve">Insurer Code ; Reporting Year ; Insurance Category Code ; Large Provider Entity Code ; Age Band Code ; Sex Code </v>
      </c>
      <c r="N1318" s="345" t="s">
        <v>207</v>
      </c>
      <c r="O1318" s="345" t="s">
        <v>208</v>
      </c>
      <c r="P1318" s="345" t="s">
        <v>209</v>
      </c>
      <c r="Q1318" s="345" t="s">
        <v>210</v>
      </c>
      <c r="R1318" s="345" t="s">
        <v>223</v>
      </c>
      <c r="S1318" s="345" t="s">
        <v>224</v>
      </c>
    </row>
    <row r="1319" spans="1:19" x14ac:dyDescent="0.25">
      <c r="A1319" s="311"/>
      <c r="B1319" s="312"/>
      <c r="C1319" s="312"/>
      <c r="D1319" s="312"/>
      <c r="E1319" s="312"/>
      <c r="F1319" s="312"/>
      <c r="G1319" s="328"/>
      <c r="H1319" s="337"/>
      <c r="I1319" s="334"/>
      <c r="J1319" s="314"/>
      <c r="K1319" s="449"/>
      <c r="M1319" s="349" t="str">
        <f>N1319&amp;AS[[#This Row],[Insurer Code]]&amp;"; "&amp;O1319&amp;AS[[#This Row],[Reporting Year]]&amp;"; "&amp;P1319&amp;AS[[#This Row],[Insurance Category Code]]&amp;"; "&amp;Q1319&amp;AS[[#This Row],[Large Provider Entity Code]]&amp;"; "&amp;R1319&amp;AS[[#This Row],[Age Band Code]]&amp;"; "&amp;S1319&amp;AS[[#This Row],[Sex Code]]</f>
        <v xml:space="preserve">Insurer Code ; Reporting Year ; Insurance Category Code ; Large Provider Entity Code ; Age Band Code ; Sex Code </v>
      </c>
      <c r="N1319" s="345" t="s">
        <v>207</v>
      </c>
      <c r="O1319" s="345" t="s">
        <v>208</v>
      </c>
      <c r="P1319" s="345" t="s">
        <v>209</v>
      </c>
      <c r="Q1319" s="345" t="s">
        <v>210</v>
      </c>
      <c r="R1319" s="345" t="s">
        <v>223</v>
      </c>
      <c r="S1319" s="345" t="s">
        <v>224</v>
      </c>
    </row>
    <row r="1320" spans="1:19" x14ac:dyDescent="0.25">
      <c r="A1320" s="311"/>
      <c r="B1320" s="312"/>
      <c r="C1320" s="312"/>
      <c r="D1320" s="312"/>
      <c r="E1320" s="312"/>
      <c r="F1320" s="312"/>
      <c r="G1320" s="328"/>
      <c r="H1320" s="337"/>
      <c r="I1320" s="334"/>
      <c r="J1320" s="314"/>
      <c r="K1320" s="449"/>
      <c r="M1320" s="349" t="str">
        <f>N1320&amp;AS[[#This Row],[Insurer Code]]&amp;"; "&amp;O1320&amp;AS[[#This Row],[Reporting Year]]&amp;"; "&amp;P1320&amp;AS[[#This Row],[Insurance Category Code]]&amp;"; "&amp;Q1320&amp;AS[[#This Row],[Large Provider Entity Code]]&amp;"; "&amp;R1320&amp;AS[[#This Row],[Age Band Code]]&amp;"; "&amp;S1320&amp;AS[[#This Row],[Sex Code]]</f>
        <v xml:space="preserve">Insurer Code ; Reporting Year ; Insurance Category Code ; Large Provider Entity Code ; Age Band Code ; Sex Code </v>
      </c>
      <c r="N1320" s="345" t="s">
        <v>207</v>
      </c>
      <c r="O1320" s="345" t="s">
        <v>208</v>
      </c>
      <c r="P1320" s="345" t="s">
        <v>209</v>
      </c>
      <c r="Q1320" s="345" t="s">
        <v>210</v>
      </c>
      <c r="R1320" s="345" t="s">
        <v>223</v>
      </c>
      <c r="S1320" s="345" t="s">
        <v>224</v>
      </c>
    </row>
    <row r="1321" spans="1:19" x14ac:dyDescent="0.25">
      <c r="A1321" s="311"/>
      <c r="B1321" s="312"/>
      <c r="C1321" s="312"/>
      <c r="D1321" s="312"/>
      <c r="E1321" s="312"/>
      <c r="F1321" s="312"/>
      <c r="G1321" s="328"/>
      <c r="H1321" s="337"/>
      <c r="I1321" s="334"/>
      <c r="J1321" s="314"/>
      <c r="K1321" s="449"/>
      <c r="M1321" s="349" t="str">
        <f>N1321&amp;AS[[#This Row],[Insurer Code]]&amp;"; "&amp;O1321&amp;AS[[#This Row],[Reporting Year]]&amp;"; "&amp;P1321&amp;AS[[#This Row],[Insurance Category Code]]&amp;"; "&amp;Q1321&amp;AS[[#This Row],[Large Provider Entity Code]]&amp;"; "&amp;R1321&amp;AS[[#This Row],[Age Band Code]]&amp;"; "&amp;S1321&amp;AS[[#This Row],[Sex Code]]</f>
        <v xml:space="preserve">Insurer Code ; Reporting Year ; Insurance Category Code ; Large Provider Entity Code ; Age Band Code ; Sex Code </v>
      </c>
      <c r="N1321" s="345" t="s">
        <v>207</v>
      </c>
      <c r="O1321" s="345" t="s">
        <v>208</v>
      </c>
      <c r="P1321" s="345" t="s">
        <v>209</v>
      </c>
      <c r="Q1321" s="345" t="s">
        <v>210</v>
      </c>
      <c r="R1321" s="345" t="s">
        <v>223</v>
      </c>
      <c r="S1321" s="345" t="s">
        <v>224</v>
      </c>
    </row>
    <row r="1322" spans="1:19" x14ac:dyDescent="0.25">
      <c r="A1322" s="311"/>
      <c r="B1322" s="312"/>
      <c r="C1322" s="312"/>
      <c r="D1322" s="312"/>
      <c r="E1322" s="312"/>
      <c r="F1322" s="312"/>
      <c r="G1322" s="328"/>
      <c r="H1322" s="337"/>
      <c r="I1322" s="334"/>
      <c r="J1322" s="314"/>
      <c r="K1322" s="449"/>
      <c r="M1322" s="349" t="str">
        <f>N1322&amp;AS[[#This Row],[Insurer Code]]&amp;"; "&amp;O1322&amp;AS[[#This Row],[Reporting Year]]&amp;"; "&amp;P1322&amp;AS[[#This Row],[Insurance Category Code]]&amp;"; "&amp;Q1322&amp;AS[[#This Row],[Large Provider Entity Code]]&amp;"; "&amp;R1322&amp;AS[[#This Row],[Age Band Code]]&amp;"; "&amp;S1322&amp;AS[[#This Row],[Sex Code]]</f>
        <v xml:space="preserve">Insurer Code ; Reporting Year ; Insurance Category Code ; Large Provider Entity Code ; Age Band Code ; Sex Code </v>
      </c>
      <c r="N1322" s="345" t="s">
        <v>207</v>
      </c>
      <c r="O1322" s="345" t="s">
        <v>208</v>
      </c>
      <c r="P1322" s="345" t="s">
        <v>209</v>
      </c>
      <c r="Q1322" s="345" t="s">
        <v>210</v>
      </c>
      <c r="R1322" s="345" t="s">
        <v>223</v>
      </c>
      <c r="S1322" s="345" t="s">
        <v>224</v>
      </c>
    </row>
    <row r="1323" spans="1:19" x14ac:dyDescent="0.25">
      <c r="A1323" s="311"/>
      <c r="B1323" s="312"/>
      <c r="C1323" s="312"/>
      <c r="D1323" s="312"/>
      <c r="E1323" s="312"/>
      <c r="F1323" s="312"/>
      <c r="G1323" s="328"/>
      <c r="H1323" s="337"/>
      <c r="I1323" s="334"/>
      <c r="J1323" s="314"/>
      <c r="K1323" s="449"/>
      <c r="M1323" s="349" t="str">
        <f>N1323&amp;AS[[#This Row],[Insurer Code]]&amp;"; "&amp;O1323&amp;AS[[#This Row],[Reporting Year]]&amp;"; "&amp;P1323&amp;AS[[#This Row],[Insurance Category Code]]&amp;"; "&amp;Q1323&amp;AS[[#This Row],[Large Provider Entity Code]]&amp;"; "&amp;R1323&amp;AS[[#This Row],[Age Band Code]]&amp;"; "&amp;S1323&amp;AS[[#This Row],[Sex Code]]</f>
        <v xml:space="preserve">Insurer Code ; Reporting Year ; Insurance Category Code ; Large Provider Entity Code ; Age Band Code ; Sex Code </v>
      </c>
      <c r="N1323" s="345" t="s">
        <v>207</v>
      </c>
      <c r="O1323" s="345" t="s">
        <v>208</v>
      </c>
      <c r="P1323" s="345" t="s">
        <v>209</v>
      </c>
      <c r="Q1323" s="345" t="s">
        <v>210</v>
      </c>
      <c r="R1323" s="345" t="s">
        <v>223</v>
      </c>
      <c r="S1323" s="345" t="s">
        <v>224</v>
      </c>
    </row>
    <row r="1324" spans="1:19" x14ac:dyDescent="0.25">
      <c r="A1324" s="311"/>
      <c r="B1324" s="312"/>
      <c r="C1324" s="312"/>
      <c r="D1324" s="312"/>
      <c r="E1324" s="312"/>
      <c r="F1324" s="312"/>
      <c r="G1324" s="328"/>
      <c r="H1324" s="337"/>
      <c r="I1324" s="334"/>
      <c r="J1324" s="314"/>
      <c r="K1324" s="449"/>
      <c r="M1324" s="349" t="str">
        <f>N1324&amp;AS[[#This Row],[Insurer Code]]&amp;"; "&amp;O1324&amp;AS[[#This Row],[Reporting Year]]&amp;"; "&amp;P1324&amp;AS[[#This Row],[Insurance Category Code]]&amp;"; "&amp;Q1324&amp;AS[[#This Row],[Large Provider Entity Code]]&amp;"; "&amp;R1324&amp;AS[[#This Row],[Age Band Code]]&amp;"; "&amp;S1324&amp;AS[[#This Row],[Sex Code]]</f>
        <v xml:space="preserve">Insurer Code ; Reporting Year ; Insurance Category Code ; Large Provider Entity Code ; Age Band Code ; Sex Code </v>
      </c>
      <c r="N1324" s="345" t="s">
        <v>207</v>
      </c>
      <c r="O1324" s="345" t="s">
        <v>208</v>
      </c>
      <c r="P1324" s="345" t="s">
        <v>209</v>
      </c>
      <c r="Q1324" s="345" t="s">
        <v>210</v>
      </c>
      <c r="R1324" s="345" t="s">
        <v>223</v>
      </c>
      <c r="S1324" s="345" t="s">
        <v>224</v>
      </c>
    </row>
    <row r="1325" spans="1:19" x14ac:dyDescent="0.25">
      <c r="A1325" s="311"/>
      <c r="B1325" s="312"/>
      <c r="C1325" s="312"/>
      <c r="D1325" s="312"/>
      <c r="E1325" s="312"/>
      <c r="F1325" s="312"/>
      <c r="G1325" s="328"/>
      <c r="H1325" s="337"/>
      <c r="I1325" s="334"/>
      <c r="J1325" s="314"/>
      <c r="K1325" s="449"/>
      <c r="M1325" s="349" t="str">
        <f>N1325&amp;AS[[#This Row],[Insurer Code]]&amp;"; "&amp;O1325&amp;AS[[#This Row],[Reporting Year]]&amp;"; "&amp;P1325&amp;AS[[#This Row],[Insurance Category Code]]&amp;"; "&amp;Q1325&amp;AS[[#This Row],[Large Provider Entity Code]]&amp;"; "&amp;R1325&amp;AS[[#This Row],[Age Band Code]]&amp;"; "&amp;S1325&amp;AS[[#This Row],[Sex Code]]</f>
        <v xml:space="preserve">Insurer Code ; Reporting Year ; Insurance Category Code ; Large Provider Entity Code ; Age Band Code ; Sex Code </v>
      </c>
      <c r="N1325" s="345" t="s">
        <v>207</v>
      </c>
      <c r="O1325" s="345" t="s">
        <v>208</v>
      </c>
      <c r="P1325" s="345" t="s">
        <v>209</v>
      </c>
      <c r="Q1325" s="345" t="s">
        <v>210</v>
      </c>
      <c r="R1325" s="345" t="s">
        <v>223</v>
      </c>
      <c r="S1325" s="345" t="s">
        <v>224</v>
      </c>
    </row>
    <row r="1326" spans="1:19" x14ac:dyDescent="0.25">
      <c r="A1326" s="311"/>
      <c r="B1326" s="312"/>
      <c r="C1326" s="312"/>
      <c r="D1326" s="312"/>
      <c r="E1326" s="312"/>
      <c r="F1326" s="312"/>
      <c r="G1326" s="328"/>
      <c r="H1326" s="337"/>
      <c r="I1326" s="334"/>
      <c r="J1326" s="314"/>
      <c r="K1326" s="449"/>
      <c r="M1326" s="349" t="str">
        <f>N1326&amp;AS[[#This Row],[Insurer Code]]&amp;"; "&amp;O1326&amp;AS[[#This Row],[Reporting Year]]&amp;"; "&amp;P1326&amp;AS[[#This Row],[Insurance Category Code]]&amp;"; "&amp;Q1326&amp;AS[[#This Row],[Large Provider Entity Code]]&amp;"; "&amp;R1326&amp;AS[[#This Row],[Age Band Code]]&amp;"; "&amp;S1326&amp;AS[[#This Row],[Sex Code]]</f>
        <v xml:space="preserve">Insurer Code ; Reporting Year ; Insurance Category Code ; Large Provider Entity Code ; Age Band Code ; Sex Code </v>
      </c>
      <c r="N1326" s="345" t="s">
        <v>207</v>
      </c>
      <c r="O1326" s="345" t="s">
        <v>208</v>
      </c>
      <c r="P1326" s="345" t="s">
        <v>209</v>
      </c>
      <c r="Q1326" s="345" t="s">
        <v>210</v>
      </c>
      <c r="R1326" s="345" t="s">
        <v>223</v>
      </c>
      <c r="S1326" s="345" t="s">
        <v>224</v>
      </c>
    </row>
    <row r="1327" spans="1:19" x14ac:dyDescent="0.25">
      <c r="A1327" s="311"/>
      <c r="B1327" s="312"/>
      <c r="C1327" s="312"/>
      <c r="D1327" s="312"/>
      <c r="E1327" s="312"/>
      <c r="F1327" s="312"/>
      <c r="G1327" s="328"/>
      <c r="H1327" s="337"/>
      <c r="I1327" s="334"/>
      <c r="J1327" s="314"/>
      <c r="K1327" s="449"/>
      <c r="M1327" s="349" t="str">
        <f>N1327&amp;AS[[#This Row],[Insurer Code]]&amp;"; "&amp;O1327&amp;AS[[#This Row],[Reporting Year]]&amp;"; "&amp;P1327&amp;AS[[#This Row],[Insurance Category Code]]&amp;"; "&amp;Q1327&amp;AS[[#This Row],[Large Provider Entity Code]]&amp;"; "&amp;R1327&amp;AS[[#This Row],[Age Band Code]]&amp;"; "&amp;S1327&amp;AS[[#This Row],[Sex Code]]</f>
        <v xml:space="preserve">Insurer Code ; Reporting Year ; Insurance Category Code ; Large Provider Entity Code ; Age Band Code ; Sex Code </v>
      </c>
      <c r="N1327" s="345" t="s">
        <v>207</v>
      </c>
      <c r="O1327" s="345" t="s">
        <v>208</v>
      </c>
      <c r="P1327" s="345" t="s">
        <v>209</v>
      </c>
      <c r="Q1327" s="345" t="s">
        <v>210</v>
      </c>
      <c r="R1327" s="345" t="s">
        <v>223</v>
      </c>
      <c r="S1327" s="345" t="s">
        <v>224</v>
      </c>
    </row>
    <row r="1328" spans="1:19" x14ac:dyDescent="0.25">
      <c r="A1328" s="311"/>
      <c r="B1328" s="312"/>
      <c r="C1328" s="312"/>
      <c r="D1328" s="312"/>
      <c r="E1328" s="312"/>
      <c r="F1328" s="312"/>
      <c r="G1328" s="328"/>
      <c r="H1328" s="337"/>
      <c r="I1328" s="334"/>
      <c r="J1328" s="314"/>
      <c r="K1328" s="449"/>
      <c r="M1328" s="349" t="str">
        <f>N1328&amp;AS[[#This Row],[Insurer Code]]&amp;"; "&amp;O1328&amp;AS[[#This Row],[Reporting Year]]&amp;"; "&amp;P1328&amp;AS[[#This Row],[Insurance Category Code]]&amp;"; "&amp;Q1328&amp;AS[[#This Row],[Large Provider Entity Code]]&amp;"; "&amp;R1328&amp;AS[[#This Row],[Age Band Code]]&amp;"; "&amp;S1328&amp;AS[[#This Row],[Sex Code]]</f>
        <v xml:space="preserve">Insurer Code ; Reporting Year ; Insurance Category Code ; Large Provider Entity Code ; Age Band Code ; Sex Code </v>
      </c>
      <c r="N1328" s="345" t="s">
        <v>207</v>
      </c>
      <c r="O1328" s="345" t="s">
        <v>208</v>
      </c>
      <c r="P1328" s="345" t="s">
        <v>209</v>
      </c>
      <c r="Q1328" s="345" t="s">
        <v>210</v>
      </c>
      <c r="R1328" s="345" t="s">
        <v>223</v>
      </c>
      <c r="S1328" s="345" t="s">
        <v>224</v>
      </c>
    </row>
    <row r="1329" spans="1:19" x14ac:dyDescent="0.25">
      <c r="A1329" s="311"/>
      <c r="B1329" s="312"/>
      <c r="C1329" s="312"/>
      <c r="D1329" s="312"/>
      <c r="E1329" s="312"/>
      <c r="F1329" s="312"/>
      <c r="G1329" s="328"/>
      <c r="H1329" s="337"/>
      <c r="I1329" s="334"/>
      <c r="J1329" s="314"/>
      <c r="K1329" s="449"/>
      <c r="M1329" s="349" t="str">
        <f>N1329&amp;AS[[#This Row],[Insurer Code]]&amp;"; "&amp;O1329&amp;AS[[#This Row],[Reporting Year]]&amp;"; "&amp;P1329&amp;AS[[#This Row],[Insurance Category Code]]&amp;"; "&amp;Q1329&amp;AS[[#This Row],[Large Provider Entity Code]]&amp;"; "&amp;R1329&amp;AS[[#This Row],[Age Band Code]]&amp;"; "&amp;S1329&amp;AS[[#This Row],[Sex Code]]</f>
        <v xml:space="preserve">Insurer Code ; Reporting Year ; Insurance Category Code ; Large Provider Entity Code ; Age Band Code ; Sex Code </v>
      </c>
      <c r="N1329" s="345" t="s">
        <v>207</v>
      </c>
      <c r="O1329" s="345" t="s">
        <v>208</v>
      </c>
      <c r="P1329" s="345" t="s">
        <v>209</v>
      </c>
      <c r="Q1329" s="345" t="s">
        <v>210</v>
      </c>
      <c r="R1329" s="345" t="s">
        <v>223</v>
      </c>
      <c r="S1329" s="345" t="s">
        <v>224</v>
      </c>
    </row>
    <row r="1330" spans="1:19" x14ac:dyDescent="0.25">
      <c r="A1330" s="311"/>
      <c r="B1330" s="312"/>
      <c r="C1330" s="312"/>
      <c r="D1330" s="312"/>
      <c r="E1330" s="312"/>
      <c r="F1330" s="312"/>
      <c r="G1330" s="328"/>
      <c r="H1330" s="337"/>
      <c r="I1330" s="334"/>
      <c r="J1330" s="314"/>
      <c r="K1330" s="449"/>
      <c r="M1330" s="349" t="str">
        <f>N1330&amp;AS[[#This Row],[Insurer Code]]&amp;"; "&amp;O1330&amp;AS[[#This Row],[Reporting Year]]&amp;"; "&amp;P1330&amp;AS[[#This Row],[Insurance Category Code]]&amp;"; "&amp;Q1330&amp;AS[[#This Row],[Large Provider Entity Code]]&amp;"; "&amp;R1330&amp;AS[[#This Row],[Age Band Code]]&amp;"; "&amp;S1330&amp;AS[[#This Row],[Sex Code]]</f>
        <v xml:space="preserve">Insurer Code ; Reporting Year ; Insurance Category Code ; Large Provider Entity Code ; Age Band Code ; Sex Code </v>
      </c>
      <c r="N1330" s="345" t="s">
        <v>207</v>
      </c>
      <c r="O1330" s="345" t="s">
        <v>208</v>
      </c>
      <c r="P1330" s="345" t="s">
        <v>209</v>
      </c>
      <c r="Q1330" s="345" t="s">
        <v>210</v>
      </c>
      <c r="R1330" s="345" t="s">
        <v>223</v>
      </c>
      <c r="S1330" s="345" t="s">
        <v>224</v>
      </c>
    </row>
    <row r="1331" spans="1:19" x14ac:dyDescent="0.25">
      <c r="A1331" s="311"/>
      <c r="B1331" s="312"/>
      <c r="C1331" s="312"/>
      <c r="D1331" s="312"/>
      <c r="E1331" s="312"/>
      <c r="F1331" s="312"/>
      <c r="G1331" s="328"/>
      <c r="H1331" s="337"/>
      <c r="I1331" s="334"/>
      <c r="J1331" s="314"/>
      <c r="K1331" s="449"/>
      <c r="M1331" s="349" t="str">
        <f>N1331&amp;AS[[#This Row],[Insurer Code]]&amp;"; "&amp;O1331&amp;AS[[#This Row],[Reporting Year]]&amp;"; "&amp;P1331&amp;AS[[#This Row],[Insurance Category Code]]&amp;"; "&amp;Q1331&amp;AS[[#This Row],[Large Provider Entity Code]]&amp;"; "&amp;R1331&amp;AS[[#This Row],[Age Band Code]]&amp;"; "&amp;S1331&amp;AS[[#This Row],[Sex Code]]</f>
        <v xml:space="preserve">Insurer Code ; Reporting Year ; Insurance Category Code ; Large Provider Entity Code ; Age Band Code ; Sex Code </v>
      </c>
      <c r="N1331" s="345" t="s">
        <v>207</v>
      </c>
      <c r="O1331" s="345" t="s">
        <v>208</v>
      </c>
      <c r="P1331" s="345" t="s">
        <v>209</v>
      </c>
      <c r="Q1331" s="345" t="s">
        <v>210</v>
      </c>
      <c r="R1331" s="345" t="s">
        <v>223</v>
      </c>
      <c r="S1331" s="345" t="s">
        <v>224</v>
      </c>
    </row>
    <row r="1332" spans="1:19" x14ac:dyDescent="0.25">
      <c r="A1332" s="311"/>
      <c r="B1332" s="312"/>
      <c r="C1332" s="312"/>
      <c r="D1332" s="312"/>
      <c r="E1332" s="312"/>
      <c r="F1332" s="312"/>
      <c r="G1332" s="328"/>
      <c r="H1332" s="337"/>
      <c r="I1332" s="334"/>
      <c r="J1332" s="314"/>
      <c r="K1332" s="449"/>
      <c r="M1332" s="349" t="str">
        <f>N1332&amp;AS[[#This Row],[Insurer Code]]&amp;"; "&amp;O1332&amp;AS[[#This Row],[Reporting Year]]&amp;"; "&amp;P1332&amp;AS[[#This Row],[Insurance Category Code]]&amp;"; "&amp;Q1332&amp;AS[[#This Row],[Large Provider Entity Code]]&amp;"; "&amp;R1332&amp;AS[[#This Row],[Age Band Code]]&amp;"; "&amp;S1332&amp;AS[[#This Row],[Sex Code]]</f>
        <v xml:space="preserve">Insurer Code ; Reporting Year ; Insurance Category Code ; Large Provider Entity Code ; Age Band Code ; Sex Code </v>
      </c>
      <c r="N1332" s="345" t="s">
        <v>207</v>
      </c>
      <c r="O1332" s="345" t="s">
        <v>208</v>
      </c>
      <c r="P1332" s="345" t="s">
        <v>209</v>
      </c>
      <c r="Q1332" s="345" t="s">
        <v>210</v>
      </c>
      <c r="R1332" s="345" t="s">
        <v>223</v>
      </c>
      <c r="S1332" s="345" t="s">
        <v>224</v>
      </c>
    </row>
    <row r="1333" spans="1:19" x14ac:dyDescent="0.25">
      <c r="A1333" s="311"/>
      <c r="B1333" s="312"/>
      <c r="C1333" s="312"/>
      <c r="D1333" s="312"/>
      <c r="E1333" s="312"/>
      <c r="F1333" s="312"/>
      <c r="G1333" s="328"/>
      <c r="H1333" s="337"/>
      <c r="I1333" s="334"/>
      <c r="J1333" s="314"/>
      <c r="K1333" s="449"/>
      <c r="M1333" s="349" t="str">
        <f>N1333&amp;AS[[#This Row],[Insurer Code]]&amp;"; "&amp;O1333&amp;AS[[#This Row],[Reporting Year]]&amp;"; "&amp;P1333&amp;AS[[#This Row],[Insurance Category Code]]&amp;"; "&amp;Q1333&amp;AS[[#This Row],[Large Provider Entity Code]]&amp;"; "&amp;R1333&amp;AS[[#This Row],[Age Band Code]]&amp;"; "&amp;S1333&amp;AS[[#This Row],[Sex Code]]</f>
        <v xml:space="preserve">Insurer Code ; Reporting Year ; Insurance Category Code ; Large Provider Entity Code ; Age Band Code ; Sex Code </v>
      </c>
      <c r="N1333" s="345" t="s">
        <v>207</v>
      </c>
      <c r="O1333" s="345" t="s">
        <v>208</v>
      </c>
      <c r="P1333" s="345" t="s">
        <v>209</v>
      </c>
      <c r="Q1333" s="345" t="s">
        <v>210</v>
      </c>
      <c r="R1333" s="345" t="s">
        <v>223</v>
      </c>
      <c r="S1333" s="345" t="s">
        <v>224</v>
      </c>
    </row>
    <row r="1334" spans="1:19" x14ac:dyDescent="0.25">
      <c r="A1334" s="311"/>
      <c r="B1334" s="312"/>
      <c r="C1334" s="312"/>
      <c r="D1334" s="312"/>
      <c r="E1334" s="312"/>
      <c r="F1334" s="312"/>
      <c r="G1334" s="328"/>
      <c r="H1334" s="337"/>
      <c r="I1334" s="334"/>
      <c r="J1334" s="314"/>
      <c r="K1334" s="449"/>
      <c r="M1334" s="349" t="str">
        <f>N1334&amp;AS[[#This Row],[Insurer Code]]&amp;"; "&amp;O1334&amp;AS[[#This Row],[Reporting Year]]&amp;"; "&amp;P1334&amp;AS[[#This Row],[Insurance Category Code]]&amp;"; "&amp;Q1334&amp;AS[[#This Row],[Large Provider Entity Code]]&amp;"; "&amp;R1334&amp;AS[[#This Row],[Age Band Code]]&amp;"; "&amp;S1334&amp;AS[[#This Row],[Sex Code]]</f>
        <v xml:space="preserve">Insurer Code ; Reporting Year ; Insurance Category Code ; Large Provider Entity Code ; Age Band Code ; Sex Code </v>
      </c>
      <c r="N1334" s="345" t="s">
        <v>207</v>
      </c>
      <c r="O1334" s="345" t="s">
        <v>208</v>
      </c>
      <c r="P1334" s="345" t="s">
        <v>209</v>
      </c>
      <c r="Q1334" s="345" t="s">
        <v>210</v>
      </c>
      <c r="R1334" s="345" t="s">
        <v>223</v>
      </c>
      <c r="S1334" s="345" t="s">
        <v>224</v>
      </c>
    </row>
    <row r="1335" spans="1:19" x14ac:dyDescent="0.25">
      <c r="A1335" s="311"/>
      <c r="B1335" s="312"/>
      <c r="C1335" s="312"/>
      <c r="D1335" s="312"/>
      <c r="E1335" s="312"/>
      <c r="F1335" s="312"/>
      <c r="G1335" s="328"/>
      <c r="H1335" s="337"/>
      <c r="I1335" s="334"/>
      <c r="J1335" s="314"/>
      <c r="K1335" s="449"/>
      <c r="M1335" s="349" t="str">
        <f>N1335&amp;AS[[#This Row],[Insurer Code]]&amp;"; "&amp;O1335&amp;AS[[#This Row],[Reporting Year]]&amp;"; "&amp;P1335&amp;AS[[#This Row],[Insurance Category Code]]&amp;"; "&amp;Q1335&amp;AS[[#This Row],[Large Provider Entity Code]]&amp;"; "&amp;R1335&amp;AS[[#This Row],[Age Band Code]]&amp;"; "&amp;S1335&amp;AS[[#This Row],[Sex Code]]</f>
        <v xml:space="preserve">Insurer Code ; Reporting Year ; Insurance Category Code ; Large Provider Entity Code ; Age Band Code ; Sex Code </v>
      </c>
      <c r="N1335" s="345" t="s">
        <v>207</v>
      </c>
      <c r="O1335" s="345" t="s">
        <v>208</v>
      </c>
      <c r="P1335" s="345" t="s">
        <v>209</v>
      </c>
      <c r="Q1335" s="345" t="s">
        <v>210</v>
      </c>
      <c r="R1335" s="345" t="s">
        <v>223</v>
      </c>
      <c r="S1335" s="345" t="s">
        <v>224</v>
      </c>
    </row>
    <row r="1336" spans="1:19" x14ac:dyDescent="0.25">
      <c r="A1336" s="311"/>
      <c r="B1336" s="312"/>
      <c r="C1336" s="312"/>
      <c r="D1336" s="312"/>
      <c r="E1336" s="312"/>
      <c r="F1336" s="312"/>
      <c r="G1336" s="328"/>
      <c r="H1336" s="337"/>
      <c r="I1336" s="334"/>
      <c r="J1336" s="314"/>
      <c r="K1336" s="449"/>
      <c r="M1336" s="349" t="str">
        <f>N1336&amp;AS[[#This Row],[Insurer Code]]&amp;"; "&amp;O1336&amp;AS[[#This Row],[Reporting Year]]&amp;"; "&amp;P1336&amp;AS[[#This Row],[Insurance Category Code]]&amp;"; "&amp;Q1336&amp;AS[[#This Row],[Large Provider Entity Code]]&amp;"; "&amp;R1336&amp;AS[[#This Row],[Age Band Code]]&amp;"; "&amp;S1336&amp;AS[[#This Row],[Sex Code]]</f>
        <v xml:space="preserve">Insurer Code ; Reporting Year ; Insurance Category Code ; Large Provider Entity Code ; Age Band Code ; Sex Code </v>
      </c>
      <c r="N1336" s="345" t="s">
        <v>207</v>
      </c>
      <c r="O1336" s="345" t="s">
        <v>208</v>
      </c>
      <c r="P1336" s="345" t="s">
        <v>209</v>
      </c>
      <c r="Q1336" s="345" t="s">
        <v>210</v>
      </c>
      <c r="R1336" s="345" t="s">
        <v>223</v>
      </c>
      <c r="S1336" s="345" t="s">
        <v>224</v>
      </c>
    </row>
    <row r="1337" spans="1:19" x14ac:dyDescent="0.25">
      <c r="A1337" s="311"/>
      <c r="B1337" s="312"/>
      <c r="C1337" s="312"/>
      <c r="D1337" s="312"/>
      <c r="E1337" s="312"/>
      <c r="F1337" s="312"/>
      <c r="G1337" s="328"/>
      <c r="H1337" s="337"/>
      <c r="I1337" s="334"/>
      <c r="J1337" s="314"/>
      <c r="K1337" s="449"/>
      <c r="M1337" s="349" t="str">
        <f>N1337&amp;AS[[#This Row],[Insurer Code]]&amp;"; "&amp;O1337&amp;AS[[#This Row],[Reporting Year]]&amp;"; "&amp;P1337&amp;AS[[#This Row],[Insurance Category Code]]&amp;"; "&amp;Q1337&amp;AS[[#This Row],[Large Provider Entity Code]]&amp;"; "&amp;R1337&amp;AS[[#This Row],[Age Band Code]]&amp;"; "&amp;S1337&amp;AS[[#This Row],[Sex Code]]</f>
        <v xml:space="preserve">Insurer Code ; Reporting Year ; Insurance Category Code ; Large Provider Entity Code ; Age Band Code ; Sex Code </v>
      </c>
      <c r="N1337" s="345" t="s">
        <v>207</v>
      </c>
      <c r="O1337" s="345" t="s">
        <v>208</v>
      </c>
      <c r="P1337" s="345" t="s">
        <v>209</v>
      </c>
      <c r="Q1337" s="345" t="s">
        <v>210</v>
      </c>
      <c r="R1337" s="345" t="s">
        <v>223</v>
      </c>
      <c r="S1337" s="345" t="s">
        <v>224</v>
      </c>
    </row>
    <row r="1338" spans="1:19" x14ac:dyDescent="0.25">
      <c r="A1338" s="311"/>
      <c r="B1338" s="312"/>
      <c r="C1338" s="312"/>
      <c r="D1338" s="312"/>
      <c r="E1338" s="312"/>
      <c r="F1338" s="312"/>
      <c r="G1338" s="328"/>
      <c r="H1338" s="337"/>
      <c r="I1338" s="334"/>
      <c r="J1338" s="314"/>
      <c r="K1338" s="449"/>
      <c r="M1338" s="349" t="str">
        <f>N1338&amp;AS[[#This Row],[Insurer Code]]&amp;"; "&amp;O1338&amp;AS[[#This Row],[Reporting Year]]&amp;"; "&amp;P1338&amp;AS[[#This Row],[Insurance Category Code]]&amp;"; "&amp;Q1338&amp;AS[[#This Row],[Large Provider Entity Code]]&amp;"; "&amp;R1338&amp;AS[[#This Row],[Age Band Code]]&amp;"; "&amp;S1338&amp;AS[[#This Row],[Sex Code]]</f>
        <v xml:space="preserve">Insurer Code ; Reporting Year ; Insurance Category Code ; Large Provider Entity Code ; Age Band Code ; Sex Code </v>
      </c>
      <c r="N1338" s="345" t="s">
        <v>207</v>
      </c>
      <c r="O1338" s="345" t="s">
        <v>208</v>
      </c>
      <c r="P1338" s="345" t="s">
        <v>209</v>
      </c>
      <c r="Q1338" s="345" t="s">
        <v>210</v>
      </c>
      <c r="R1338" s="345" t="s">
        <v>223</v>
      </c>
      <c r="S1338" s="345" t="s">
        <v>224</v>
      </c>
    </row>
    <row r="1339" spans="1:19" x14ac:dyDescent="0.25">
      <c r="A1339" s="311"/>
      <c r="B1339" s="312"/>
      <c r="C1339" s="312"/>
      <c r="D1339" s="312"/>
      <c r="E1339" s="312"/>
      <c r="F1339" s="312"/>
      <c r="G1339" s="328"/>
      <c r="H1339" s="337"/>
      <c r="I1339" s="334"/>
      <c r="J1339" s="314"/>
      <c r="K1339" s="449"/>
      <c r="M1339" s="349" t="str">
        <f>N1339&amp;AS[[#This Row],[Insurer Code]]&amp;"; "&amp;O1339&amp;AS[[#This Row],[Reporting Year]]&amp;"; "&amp;P1339&amp;AS[[#This Row],[Insurance Category Code]]&amp;"; "&amp;Q1339&amp;AS[[#This Row],[Large Provider Entity Code]]&amp;"; "&amp;R1339&amp;AS[[#This Row],[Age Band Code]]&amp;"; "&amp;S1339&amp;AS[[#This Row],[Sex Code]]</f>
        <v xml:space="preserve">Insurer Code ; Reporting Year ; Insurance Category Code ; Large Provider Entity Code ; Age Band Code ; Sex Code </v>
      </c>
      <c r="N1339" s="345" t="s">
        <v>207</v>
      </c>
      <c r="O1339" s="345" t="s">
        <v>208</v>
      </c>
      <c r="P1339" s="345" t="s">
        <v>209</v>
      </c>
      <c r="Q1339" s="345" t="s">
        <v>210</v>
      </c>
      <c r="R1339" s="345" t="s">
        <v>223</v>
      </c>
      <c r="S1339" s="345" t="s">
        <v>224</v>
      </c>
    </row>
    <row r="1340" spans="1:19" x14ac:dyDescent="0.25">
      <c r="A1340" s="311"/>
      <c r="B1340" s="312"/>
      <c r="C1340" s="312"/>
      <c r="D1340" s="312"/>
      <c r="E1340" s="312"/>
      <c r="F1340" s="312"/>
      <c r="G1340" s="328"/>
      <c r="H1340" s="337"/>
      <c r="I1340" s="334"/>
      <c r="J1340" s="314"/>
      <c r="K1340" s="449"/>
      <c r="M1340" s="349" t="str">
        <f>N1340&amp;AS[[#This Row],[Insurer Code]]&amp;"; "&amp;O1340&amp;AS[[#This Row],[Reporting Year]]&amp;"; "&amp;P1340&amp;AS[[#This Row],[Insurance Category Code]]&amp;"; "&amp;Q1340&amp;AS[[#This Row],[Large Provider Entity Code]]&amp;"; "&amp;R1340&amp;AS[[#This Row],[Age Band Code]]&amp;"; "&amp;S1340&amp;AS[[#This Row],[Sex Code]]</f>
        <v xml:space="preserve">Insurer Code ; Reporting Year ; Insurance Category Code ; Large Provider Entity Code ; Age Band Code ; Sex Code </v>
      </c>
      <c r="N1340" s="345" t="s">
        <v>207</v>
      </c>
      <c r="O1340" s="345" t="s">
        <v>208</v>
      </c>
      <c r="P1340" s="345" t="s">
        <v>209</v>
      </c>
      <c r="Q1340" s="345" t="s">
        <v>210</v>
      </c>
      <c r="R1340" s="345" t="s">
        <v>223</v>
      </c>
      <c r="S1340" s="345" t="s">
        <v>224</v>
      </c>
    </row>
    <row r="1341" spans="1:19" x14ac:dyDescent="0.25">
      <c r="A1341" s="311"/>
      <c r="B1341" s="312"/>
      <c r="C1341" s="312"/>
      <c r="D1341" s="312"/>
      <c r="E1341" s="312"/>
      <c r="F1341" s="312"/>
      <c r="G1341" s="328"/>
      <c r="H1341" s="337"/>
      <c r="I1341" s="334"/>
      <c r="J1341" s="314"/>
      <c r="K1341" s="449"/>
      <c r="M1341" s="349" t="str">
        <f>N1341&amp;AS[[#This Row],[Insurer Code]]&amp;"; "&amp;O1341&amp;AS[[#This Row],[Reporting Year]]&amp;"; "&amp;P1341&amp;AS[[#This Row],[Insurance Category Code]]&amp;"; "&amp;Q1341&amp;AS[[#This Row],[Large Provider Entity Code]]&amp;"; "&amp;R1341&amp;AS[[#This Row],[Age Band Code]]&amp;"; "&amp;S1341&amp;AS[[#This Row],[Sex Code]]</f>
        <v xml:space="preserve">Insurer Code ; Reporting Year ; Insurance Category Code ; Large Provider Entity Code ; Age Band Code ; Sex Code </v>
      </c>
      <c r="N1341" s="345" t="s">
        <v>207</v>
      </c>
      <c r="O1341" s="345" t="s">
        <v>208</v>
      </c>
      <c r="P1341" s="345" t="s">
        <v>209</v>
      </c>
      <c r="Q1341" s="345" t="s">
        <v>210</v>
      </c>
      <c r="R1341" s="345" t="s">
        <v>223</v>
      </c>
      <c r="S1341" s="345" t="s">
        <v>224</v>
      </c>
    </row>
    <row r="1342" spans="1:19" x14ac:dyDescent="0.25">
      <c r="A1342" s="311"/>
      <c r="B1342" s="312"/>
      <c r="C1342" s="312"/>
      <c r="D1342" s="312"/>
      <c r="E1342" s="312"/>
      <c r="F1342" s="312"/>
      <c r="G1342" s="328"/>
      <c r="H1342" s="337"/>
      <c r="I1342" s="334"/>
      <c r="J1342" s="314"/>
      <c r="K1342" s="449"/>
      <c r="M1342" s="349" t="str">
        <f>N1342&amp;AS[[#This Row],[Insurer Code]]&amp;"; "&amp;O1342&amp;AS[[#This Row],[Reporting Year]]&amp;"; "&amp;P1342&amp;AS[[#This Row],[Insurance Category Code]]&amp;"; "&amp;Q1342&amp;AS[[#This Row],[Large Provider Entity Code]]&amp;"; "&amp;R1342&amp;AS[[#This Row],[Age Band Code]]&amp;"; "&amp;S1342&amp;AS[[#This Row],[Sex Code]]</f>
        <v xml:space="preserve">Insurer Code ; Reporting Year ; Insurance Category Code ; Large Provider Entity Code ; Age Band Code ; Sex Code </v>
      </c>
      <c r="N1342" s="345" t="s">
        <v>207</v>
      </c>
      <c r="O1342" s="345" t="s">
        <v>208</v>
      </c>
      <c r="P1342" s="345" t="s">
        <v>209</v>
      </c>
      <c r="Q1342" s="345" t="s">
        <v>210</v>
      </c>
      <c r="R1342" s="345" t="s">
        <v>223</v>
      </c>
      <c r="S1342" s="345" t="s">
        <v>224</v>
      </c>
    </row>
    <row r="1343" spans="1:19" x14ac:dyDescent="0.25">
      <c r="A1343" s="311"/>
      <c r="B1343" s="312"/>
      <c r="C1343" s="312"/>
      <c r="D1343" s="312"/>
      <c r="E1343" s="312"/>
      <c r="F1343" s="312"/>
      <c r="G1343" s="328"/>
      <c r="H1343" s="337"/>
      <c r="I1343" s="334"/>
      <c r="J1343" s="314"/>
      <c r="K1343" s="449"/>
      <c r="M1343" s="349" t="str">
        <f>N1343&amp;AS[[#This Row],[Insurer Code]]&amp;"; "&amp;O1343&amp;AS[[#This Row],[Reporting Year]]&amp;"; "&amp;P1343&amp;AS[[#This Row],[Insurance Category Code]]&amp;"; "&amp;Q1343&amp;AS[[#This Row],[Large Provider Entity Code]]&amp;"; "&amp;R1343&amp;AS[[#This Row],[Age Band Code]]&amp;"; "&amp;S1343&amp;AS[[#This Row],[Sex Code]]</f>
        <v xml:space="preserve">Insurer Code ; Reporting Year ; Insurance Category Code ; Large Provider Entity Code ; Age Band Code ; Sex Code </v>
      </c>
      <c r="N1343" s="345" t="s">
        <v>207</v>
      </c>
      <c r="O1343" s="345" t="s">
        <v>208</v>
      </c>
      <c r="P1343" s="345" t="s">
        <v>209</v>
      </c>
      <c r="Q1343" s="345" t="s">
        <v>210</v>
      </c>
      <c r="R1343" s="345" t="s">
        <v>223</v>
      </c>
      <c r="S1343" s="345" t="s">
        <v>224</v>
      </c>
    </row>
    <row r="1344" spans="1:19" x14ac:dyDescent="0.25">
      <c r="A1344" s="311"/>
      <c r="B1344" s="312"/>
      <c r="C1344" s="312"/>
      <c r="D1344" s="312"/>
      <c r="E1344" s="312"/>
      <c r="F1344" s="312"/>
      <c r="G1344" s="328"/>
      <c r="H1344" s="337"/>
      <c r="I1344" s="334"/>
      <c r="J1344" s="314"/>
      <c r="K1344" s="449"/>
      <c r="M1344" s="349" t="str">
        <f>N1344&amp;AS[[#This Row],[Insurer Code]]&amp;"; "&amp;O1344&amp;AS[[#This Row],[Reporting Year]]&amp;"; "&amp;P1344&amp;AS[[#This Row],[Insurance Category Code]]&amp;"; "&amp;Q1344&amp;AS[[#This Row],[Large Provider Entity Code]]&amp;"; "&amp;R1344&amp;AS[[#This Row],[Age Band Code]]&amp;"; "&amp;S1344&amp;AS[[#This Row],[Sex Code]]</f>
        <v xml:space="preserve">Insurer Code ; Reporting Year ; Insurance Category Code ; Large Provider Entity Code ; Age Band Code ; Sex Code </v>
      </c>
      <c r="N1344" s="345" t="s">
        <v>207</v>
      </c>
      <c r="O1344" s="345" t="s">
        <v>208</v>
      </c>
      <c r="P1344" s="345" t="s">
        <v>209</v>
      </c>
      <c r="Q1344" s="345" t="s">
        <v>210</v>
      </c>
      <c r="R1344" s="345" t="s">
        <v>223</v>
      </c>
      <c r="S1344" s="345" t="s">
        <v>224</v>
      </c>
    </row>
    <row r="1345" spans="1:19" x14ac:dyDescent="0.25">
      <c r="A1345" s="311"/>
      <c r="B1345" s="312"/>
      <c r="C1345" s="312"/>
      <c r="D1345" s="312"/>
      <c r="E1345" s="312"/>
      <c r="F1345" s="312"/>
      <c r="G1345" s="328"/>
      <c r="H1345" s="337"/>
      <c r="I1345" s="334"/>
      <c r="J1345" s="314"/>
      <c r="K1345" s="449"/>
      <c r="M1345" s="349" t="str">
        <f>N1345&amp;AS[[#This Row],[Insurer Code]]&amp;"; "&amp;O1345&amp;AS[[#This Row],[Reporting Year]]&amp;"; "&amp;P1345&amp;AS[[#This Row],[Insurance Category Code]]&amp;"; "&amp;Q1345&amp;AS[[#This Row],[Large Provider Entity Code]]&amp;"; "&amp;R1345&amp;AS[[#This Row],[Age Band Code]]&amp;"; "&amp;S1345&amp;AS[[#This Row],[Sex Code]]</f>
        <v xml:space="preserve">Insurer Code ; Reporting Year ; Insurance Category Code ; Large Provider Entity Code ; Age Band Code ; Sex Code </v>
      </c>
      <c r="N1345" s="345" t="s">
        <v>207</v>
      </c>
      <c r="O1345" s="345" t="s">
        <v>208</v>
      </c>
      <c r="P1345" s="345" t="s">
        <v>209</v>
      </c>
      <c r="Q1345" s="345" t="s">
        <v>210</v>
      </c>
      <c r="R1345" s="345" t="s">
        <v>223</v>
      </c>
      <c r="S1345" s="345" t="s">
        <v>224</v>
      </c>
    </row>
    <row r="1346" spans="1:19" x14ac:dyDescent="0.25">
      <c r="A1346" s="311"/>
      <c r="B1346" s="312"/>
      <c r="C1346" s="312"/>
      <c r="D1346" s="312"/>
      <c r="E1346" s="312"/>
      <c r="F1346" s="312"/>
      <c r="G1346" s="328"/>
      <c r="H1346" s="337"/>
      <c r="I1346" s="334"/>
      <c r="J1346" s="314"/>
      <c r="K1346" s="449"/>
      <c r="M1346" s="349" t="str">
        <f>N1346&amp;AS[[#This Row],[Insurer Code]]&amp;"; "&amp;O1346&amp;AS[[#This Row],[Reporting Year]]&amp;"; "&amp;P1346&amp;AS[[#This Row],[Insurance Category Code]]&amp;"; "&amp;Q1346&amp;AS[[#This Row],[Large Provider Entity Code]]&amp;"; "&amp;R1346&amp;AS[[#This Row],[Age Band Code]]&amp;"; "&amp;S1346&amp;AS[[#This Row],[Sex Code]]</f>
        <v xml:space="preserve">Insurer Code ; Reporting Year ; Insurance Category Code ; Large Provider Entity Code ; Age Band Code ; Sex Code </v>
      </c>
      <c r="N1346" s="345" t="s">
        <v>207</v>
      </c>
      <c r="O1346" s="345" t="s">
        <v>208</v>
      </c>
      <c r="P1346" s="345" t="s">
        <v>209</v>
      </c>
      <c r="Q1346" s="345" t="s">
        <v>210</v>
      </c>
      <c r="R1346" s="345" t="s">
        <v>223</v>
      </c>
      <c r="S1346" s="345" t="s">
        <v>224</v>
      </c>
    </row>
    <row r="1347" spans="1:19" x14ac:dyDescent="0.25">
      <c r="A1347" s="311"/>
      <c r="B1347" s="312"/>
      <c r="C1347" s="312"/>
      <c r="D1347" s="312"/>
      <c r="E1347" s="312"/>
      <c r="F1347" s="312"/>
      <c r="G1347" s="328"/>
      <c r="H1347" s="337"/>
      <c r="I1347" s="334"/>
      <c r="J1347" s="314"/>
      <c r="K1347" s="449"/>
      <c r="M1347" s="349" t="str">
        <f>N1347&amp;AS[[#This Row],[Insurer Code]]&amp;"; "&amp;O1347&amp;AS[[#This Row],[Reporting Year]]&amp;"; "&amp;P1347&amp;AS[[#This Row],[Insurance Category Code]]&amp;"; "&amp;Q1347&amp;AS[[#This Row],[Large Provider Entity Code]]&amp;"; "&amp;R1347&amp;AS[[#This Row],[Age Band Code]]&amp;"; "&amp;S1347&amp;AS[[#This Row],[Sex Code]]</f>
        <v xml:space="preserve">Insurer Code ; Reporting Year ; Insurance Category Code ; Large Provider Entity Code ; Age Band Code ; Sex Code </v>
      </c>
      <c r="N1347" s="345" t="s">
        <v>207</v>
      </c>
      <c r="O1347" s="345" t="s">
        <v>208</v>
      </c>
      <c r="P1347" s="345" t="s">
        <v>209</v>
      </c>
      <c r="Q1347" s="345" t="s">
        <v>210</v>
      </c>
      <c r="R1347" s="345" t="s">
        <v>223</v>
      </c>
      <c r="S1347" s="345" t="s">
        <v>224</v>
      </c>
    </row>
    <row r="1348" spans="1:19" x14ac:dyDescent="0.25">
      <c r="A1348" s="311"/>
      <c r="B1348" s="312"/>
      <c r="C1348" s="312"/>
      <c r="D1348" s="312"/>
      <c r="E1348" s="312"/>
      <c r="F1348" s="312"/>
      <c r="G1348" s="328"/>
      <c r="H1348" s="337"/>
      <c r="I1348" s="334"/>
      <c r="J1348" s="314"/>
      <c r="K1348" s="449"/>
      <c r="M1348" s="349" t="str">
        <f>N1348&amp;AS[[#This Row],[Insurer Code]]&amp;"; "&amp;O1348&amp;AS[[#This Row],[Reporting Year]]&amp;"; "&amp;P1348&amp;AS[[#This Row],[Insurance Category Code]]&amp;"; "&amp;Q1348&amp;AS[[#This Row],[Large Provider Entity Code]]&amp;"; "&amp;R1348&amp;AS[[#This Row],[Age Band Code]]&amp;"; "&amp;S1348&amp;AS[[#This Row],[Sex Code]]</f>
        <v xml:space="preserve">Insurer Code ; Reporting Year ; Insurance Category Code ; Large Provider Entity Code ; Age Band Code ; Sex Code </v>
      </c>
      <c r="N1348" s="345" t="s">
        <v>207</v>
      </c>
      <c r="O1348" s="345" t="s">
        <v>208</v>
      </c>
      <c r="P1348" s="345" t="s">
        <v>209</v>
      </c>
      <c r="Q1348" s="345" t="s">
        <v>210</v>
      </c>
      <c r="R1348" s="345" t="s">
        <v>223</v>
      </c>
      <c r="S1348" s="345" t="s">
        <v>224</v>
      </c>
    </row>
    <row r="1349" spans="1:19" x14ac:dyDescent="0.25">
      <c r="A1349" s="311"/>
      <c r="B1349" s="312"/>
      <c r="C1349" s="312"/>
      <c r="D1349" s="312"/>
      <c r="E1349" s="312"/>
      <c r="F1349" s="312"/>
      <c r="G1349" s="328"/>
      <c r="H1349" s="337"/>
      <c r="I1349" s="334"/>
      <c r="J1349" s="314"/>
      <c r="K1349" s="449"/>
      <c r="M1349" s="349" t="str">
        <f>N1349&amp;AS[[#This Row],[Insurer Code]]&amp;"; "&amp;O1349&amp;AS[[#This Row],[Reporting Year]]&amp;"; "&amp;P1349&amp;AS[[#This Row],[Insurance Category Code]]&amp;"; "&amp;Q1349&amp;AS[[#This Row],[Large Provider Entity Code]]&amp;"; "&amp;R1349&amp;AS[[#This Row],[Age Band Code]]&amp;"; "&amp;S1349&amp;AS[[#This Row],[Sex Code]]</f>
        <v xml:space="preserve">Insurer Code ; Reporting Year ; Insurance Category Code ; Large Provider Entity Code ; Age Band Code ; Sex Code </v>
      </c>
      <c r="N1349" s="345" t="s">
        <v>207</v>
      </c>
      <c r="O1349" s="345" t="s">
        <v>208</v>
      </c>
      <c r="P1349" s="345" t="s">
        <v>209</v>
      </c>
      <c r="Q1349" s="345" t="s">
        <v>210</v>
      </c>
      <c r="R1349" s="345" t="s">
        <v>223</v>
      </c>
      <c r="S1349" s="345" t="s">
        <v>224</v>
      </c>
    </row>
    <row r="1350" spans="1:19" x14ac:dyDescent="0.25">
      <c r="A1350" s="311"/>
      <c r="B1350" s="312"/>
      <c r="C1350" s="312"/>
      <c r="D1350" s="312"/>
      <c r="E1350" s="312"/>
      <c r="F1350" s="312"/>
      <c r="G1350" s="328"/>
      <c r="H1350" s="337"/>
      <c r="I1350" s="334"/>
      <c r="J1350" s="314"/>
      <c r="K1350" s="449"/>
      <c r="M1350" s="349" t="str">
        <f>N1350&amp;AS[[#This Row],[Insurer Code]]&amp;"; "&amp;O1350&amp;AS[[#This Row],[Reporting Year]]&amp;"; "&amp;P1350&amp;AS[[#This Row],[Insurance Category Code]]&amp;"; "&amp;Q1350&amp;AS[[#This Row],[Large Provider Entity Code]]&amp;"; "&amp;R1350&amp;AS[[#This Row],[Age Band Code]]&amp;"; "&amp;S1350&amp;AS[[#This Row],[Sex Code]]</f>
        <v xml:space="preserve">Insurer Code ; Reporting Year ; Insurance Category Code ; Large Provider Entity Code ; Age Band Code ; Sex Code </v>
      </c>
      <c r="N1350" s="345" t="s">
        <v>207</v>
      </c>
      <c r="O1350" s="345" t="s">
        <v>208</v>
      </c>
      <c r="P1350" s="345" t="s">
        <v>209</v>
      </c>
      <c r="Q1350" s="345" t="s">
        <v>210</v>
      </c>
      <c r="R1350" s="345" t="s">
        <v>223</v>
      </c>
      <c r="S1350" s="345" t="s">
        <v>224</v>
      </c>
    </row>
    <row r="1351" spans="1:19" x14ac:dyDescent="0.25">
      <c r="A1351" s="311"/>
      <c r="B1351" s="312"/>
      <c r="C1351" s="312"/>
      <c r="D1351" s="312"/>
      <c r="E1351" s="312"/>
      <c r="F1351" s="312"/>
      <c r="G1351" s="328"/>
      <c r="H1351" s="337"/>
      <c r="I1351" s="334"/>
      <c r="J1351" s="314"/>
      <c r="K1351" s="449"/>
      <c r="M1351" s="349" t="str">
        <f>N1351&amp;AS[[#This Row],[Insurer Code]]&amp;"; "&amp;O1351&amp;AS[[#This Row],[Reporting Year]]&amp;"; "&amp;P1351&amp;AS[[#This Row],[Insurance Category Code]]&amp;"; "&amp;Q1351&amp;AS[[#This Row],[Large Provider Entity Code]]&amp;"; "&amp;R1351&amp;AS[[#This Row],[Age Band Code]]&amp;"; "&amp;S1351&amp;AS[[#This Row],[Sex Code]]</f>
        <v xml:space="preserve">Insurer Code ; Reporting Year ; Insurance Category Code ; Large Provider Entity Code ; Age Band Code ; Sex Code </v>
      </c>
      <c r="N1351" s="345" t="s">
        <v>207</v>
      </c>
      <c r="O1351" s="345" t="s">
        <v>208</v>
      </c>
      <c r="P1351" s="345" t="s">
        <v>209</v>
      </c>
      <c r="Q1351" s="345" t="s">
        <v>210</v>
      </c>
      <c r="R1351" s="345" t="s">
        <v>223</v>
      </c>
      <c r="S1351" s="345" t="s">
        <v>224</v>
      </c>
    </row>
    <row r="1352" spans="1:19" x14ac:dyDescent="0.25">
      <c r="A1352" s="311"/>
      <c r="B1352" s="312"/>
      <c r="C1352" s="312"/>
      <c r="D1352" s="312"/>
      <c r="E1352" s="312"/>
      <c r="F1352" s="312"/>
      <c r="G1352" s="328"/>
      <c r="H1352" s="337"/>
      <c r="I1352" s="334"/>
      <c r="J1352" s="314"/>
      <c r="K1352" s="449"/>
      <c r="M1352" s="349" t="str">
        <f>N1352&amp;AS[[#This Row],[Insurer Code]]&amp;"; "&amp;O1352&amp;AS[[#This Row],[Reporting Year]]&amp;"; "&amp;P1352&amp;AS[[#This Row],[Insurance Category Code]]&amp;"; "&amp;Q1352&amp;AS[[#This Row],[Large Provider Entity Code]]&amp;"; "&amp;R1352&amp;AS[[#This Row],[Age Band Code]]&amp;"; "&amp;S1352&amp;AS[[#This Row],[Sex Code]]</f>
        <v xml:space="preserve">Insurer Code ; Reporting Year ; Insurance Category Code ; Large Provider Entity Code ; Age Band Code ; Sex Code </v>
      </c>
      <c r="N1352" s="345" t="s">
        <v>207</v>
      </c>
      <c r="O1352" s="345" t="s">
        <v>208</v>
      </c>
      <c r="P1352" s="345" t="s">
        <v>209</v>
      </c>
      <c r="Q1352" s="345" t="s">
        <v>210</v>
      </c>
      <c r="R1352" s="345" t="s">
        <v>223</v>
      </c>
      <c r="S1352" s="345" t="s">
        <v>224</v>
      </c>
    </row>
    <row r="1353" spans="1:19" x14ac:dyDescent="0.25">
      <c r="A1353" s="311"/>
      <c r="B1353" s="312"/>
      <c r="C1353" s="312"/>
      <c r="D1353" s="312"/>
      <c r="E1353" s="312"/>
      <c r="F1353" s="312"/>
      <c r="G1353" s="328"/>
      <c r="H1353" s="337"/>
      <c r="I1353" s="334"/>
      <c r="J1353" s="314"/>
      <c r="K1353" s="449"/>
      <c r="M1353" s="349" t="str">
        <f>N1353&amp;AS[[#This Row],[Insurer Code]]&amp;"; "&amp;O1353&amp;AS[[#This Row],[Reporting Year]]&amp;"; "&amp;P1353&amp;AS[[#This Row],[Insurance Category Code]]&amp;"; "&amp;Q1353&amp;AS[[#This Row],[Large Provider Entity Code]]&amp;"; "&amp;R1353&amp;AS[[#This Row],[Age Band Code]]&amp;"; "&amp;S1353&amp;AS[[#This Row],[Sex Code]]</f>
        <v xml:space="preserve">Insurer Code ; Reporting Year ; Insurance Category Code ; Large Provider Entity Code ; Age Band Code ; Sex Code </v>
      </c>
      <c r="N1353" s="345" t="s">
        <v>207</v>
      </c>
      <c r="O1353" s="345" t="s">
        <v>208</v>
      </c>
      <c r="P1353" s="345" t="s">
        <v>209</v>
      </c>
      <c r="Q1353" s="345" t="s">
        <v>210</v>
      </c>
      <c r="R1353" s="345" t="s">
        <v>223</v>
      </c>
      <c r="S1353" s="345" t="s">
        <v>224</v>
      </c>
    </row>
    <row r="1354" spans="1:19" x14ac:dyDescent="0.25">
      <c r="A1354" s="311"/>
      <c r="B1354" s="312"/>
      <c r="C1354" s="312"/>
      <c r="D1354" s="312"/>
      <c r="E1354" s="312"/>
      <c r="F1354" s="312"/>
      <c r="G1354" s="328"/>
      <c r="H1354" s="337"/>
      <c r="I1354" s="334"/>
      <c r="J1354" s="314"/>
      <c r="K1354" s="449"/>
      <c r="M1354" s="349" t="str">
        <f>N1354&amp;AS[[#This Row],[Insurer Code]]&amp;"; "&amp;O1354&amp;AS[[#This Row],[Reporting Year]]&amp;"; "&amp;P1354&amp;AS[[#This Row],[Insurance Category Code]]&amp;"; "&amp;Q1354&amp;AS[[#This Row],[Large Provider Entity Code]]&amp;"; "&amp;R1354&amp;AS[[#This Row],[Age Band Code]]&amp;"; "&amp;S1354&amp;AS[[#This Row],[Sex Code]]</f>
        <v xml:space="preserve">Insurer Code ; Reporting Year ; Insurance Category Code ; Large Provider Entity Code ; Age Band Code ; Sex Code </v>
      </c>
      <c r="N1354" s="345" t="s">
        <v>207</v>
      </c>
      <c r="O1354" s="345" t="s">
        <v>208</v>
      </c>
      <c r="P1354" s="345" t="s">
        <v>209</v>
      </c>
      <c r="Q1354" s="345" t="s">
        <v>210</v>
      </c>
      <c r="R1354" s="345" t="s">
        <v>223</v>
      </c>
      <c r="S1354" s="345" t="s">
        <v>224</v>
      </c>
    </row>
    <row r="1355" spans="1:19" x14ac:dyDescent="0.25">
      <c r="A1355" s="311"/>
      <c r="B1355" s="312"/>
      <c r="C1355" s="312"/>
      <c r="D1355" s="312"/>
      <c r="E1355" s="312"/>
      <c r="F1355" s="312"/>
      <c r="G1355" s="328"/>
      <c r="H1355" s="337"/>
      <c r="I1355" s="334"/>
      <c r="J1355" s="314"/>
      <c r="K1355" s="449"/>
      <c r="M1355" s="349" t="str">
        <f>N1355&amp;AS[[#This Row],[Insurer Code]]&amp;"; "&amp;O1355&amp;AS[[#This Row],[Reporting Year]]&amp;"; "&amp;P1355&amp;AS[[#This Row],[Insurance Category Code]]&amp;"; "&amp;Q1355&amp;AS[[#This Row],[Large Provider Entity Code]]&amp;"; "&amp;R1355&amp;AS[[#This Row],[Age Band Code]]&amp;"; "&amp;S1355&amp;AS[[#This Row],[Sex Code]]</f>
        <v xml:space="preserve">Insurer Code ; Reporting Year ; Insurance Category Code ; Large Provider Entity Code ; Age Band Code ; Sex Code </v>
      </c>
      <c r="N1355" s="345" t="s">
        <v>207</v>
      </c>
      <c r="O1355" s="345" t="s">
        <v>208</v>
      </c>
      <c r="P1355" s="345" t="s">
        <v>209</v>
      </c>
      <c r="Q1355" s="345" t="s">
        <v>210</v>
      </c>
      <c r="R1355" s="345" t="s">
        <v>223</v>
      </c>
      <c r="S1355" s="345" t="s">
        <v>224</v>
      </c>
    </row>
    <row r="1356" spans="1:19" x14ac:dyDescent="0.25">
      <c r="A1356" s="311"/>
      <c r="B1356" s="312"/>
      <c r="C1356" s="312"/>
      <c r="D1356" s="312"/>
      <c r="E1356" s="312"/>
      <c r="F1356" s="312"/>
      <c r="G1356" s="328"/>
      <c r="H1356" s="337"/>
      <c r="I1356" s="334"/>
      <c r="J1356" s="314"/>
      <c r="K1356" s="449"/>
      <c r="M1356" s="349" t="str">
        <f>N1356&amp;AS[[#This Row],[Insurer Code]]&amp;"; "&amp;O1356&amp;AS[[#This Row],[Reporting Year]]&amp;"; "&amp;P1356&amp;AS[[#This Row],[Insurance Category Code]]&amp;"; "&amp;Q1356&amp;AS[[#This Row],[Large Provider Entity Code]]&amp;"; "&amp;R1356&amp;AS[[#This Row],[Age Band Code]]&amp;"; "&amp;S1356&amp;AS[[#This Row],[Sex Code]]</f>
        <v xml:space="preserve">Insurer Code ; Reporting Year ; Insurance Category Code ; Large Provider Entity Code ; Age Band Code ; Sex Code </v>
      </c>
      <c r="N1356" s="345" t="s">
        <v>207</v>
      </c>
      <c r="O1356" s="345" t="s">
        <v>208</v>
      </c>
      <c r="P1356" s="345" t="s">
        <v>209</v>
      </c>
      <c r="Q1356" s="345" t="s">
        <v>210</v>
      </c>
      <c r="R1356" s="345" t="s">
        <v>223</v>
      </c>
      <c r="S1356" s="345" t="s">
        <v>224</v>
      </c>
    </row>
    <row r="1357" spans="1:19" x14ac:dyDescent="0.25">
      <c r="A1357" s="311"/>
      <c r="B1357" s="312"/>
      <c r="C1357" s="312"/>
      <c r="D1357" s="312"/>
      <c r="E1357" s="312"/>
      <c r="F1357" s="312"/>
      <c r="G1357" s="328"/>
      <c r="H1357" s="337"/>
      <c r="I1357" s="334"/>
      <c r="J1357" s="314"/>
      <c r="K1357" s="449"/>
      <c r="M1357" s="349" t="str">
        <f>N1357&amp;AS[[#This Row],[Insurer Code]]&amp;"; "&amp;O1357&amp;AS[[#This Row],[Reporting Year]]&amp;"; "&amp;P1357&amp;AS[[#This Row],[Insurance Category Code]]&amp;"; "&amp;Q1357&amp;AS[[#This Row],[Large Provider Entity Code]]&amp;"; "&amp;R1357&amp;AS[[#This Row],[Age Band Code]]&amp;"; "&amp;S1357&amp;AS[[#This Row],[Sex Code]]</f>
        <v xml:space="preserve">Insurer Code ; Reporting Year ; Insurance Category Code ; Large Provider Entity Code ; Age Band Code ; Sex Code </v>
      </c>
      <c r="N1357" s="345" t="s">
        <v>207</v>
      </c>
      <c r="O1357" s="345" t="s">
        <v>208</v>
      </c>
      <c r="P1357" s="345" t="s">
        <v>209</v>
      </c>
      <c r="Q1357" s="345" t="s">
        <v>210</v>
      </c>
      <c r="R1357" s="345" t="s">
        <v>223</v>
      </c>
      <c r="S1357" s="345" t="s">
        <v>224</v>
      </c>
    </row>
    <row r="1358" spans="1:19" x14ac:dyDescent="0.25">
      <c r="A1358" s="311"/>
      <c r="B1358" s="312"/>
      <c r="C1358" s="312"/>
      <c r="D1358" s="312"/>
      <c r="E1358" s="312"/>
      <c r="F1358" s="312"/>
      <c r="G1358" s="328"/>
      <c r="H1358" s="337"/>
      <c r="I1358" s="334"/>
      <c r="J1358" s="314"/>
      <c r="K1358" s="449"/>
      <c r="M1358" s="349" t="str">
        <f>N1358&amp;AS[[#This Row],[Insurer Code]]&amp;"; "&amp;O1358&amp;AS[[#This Row],[Reporting Year]]&amp;"; "&amp;P1358&amp;AS[[#This Row],[Insurance Category Code]]&amp;"; "&amp;Q1358&amp;AS[[#This Row],[Large Provider Entity Code]]&amp;"; "&amp;R1358&amp;AS[[#This Row],[Age Band Code]]&amp;"; "&amp;S1358&amp;AS[[#This Row],[Sex Code]]</f>
        <v xml:space="preserve">Insurer Code ; Reporting Year ; Insurance Category Code ; Large Provider Entity Code ; Age Band Code ; Sex Code </v>
      </c>
      <c r="N1358" s="345" t="s">
        <v>207</v>
      </c>
      <c r="O1358" s="345" t="s">
        <v>208</v>
      </c>
      <c r="P1358" s="345" t="s">
        <v>209</v>
      </c>
      <c r="Q1358" s="345" t="s">
        <v>210</v>
      </c>
      <c r="R1358" s="345" t="s">
        <v>223</v>
      </c>
      <c r="S1358" s="345" t="s">
        <v>224</v>
      </c>
    </row>
    <row r="1359" spans="1:19" x14ac:dyDescent="0.25">
      <c r="A1359" s="311"/>
      <c r="B1359" s="312"/>
      <c r="C1359" s="312"/>
      <c r="D1359" s="312"/>
      <c r="E1359" s="312"/>
      <c r="F1359" s="312"/>
      <c r="G1359" s="328"/>
      <c r="H1359" s="337"/>
      <c r="I1359" s="334"/>
      <c r="J1359" s="314"/>
      <c r="K1359" s="449"/>
      <c r="M1359" s="349" t="str">
        <f>N1359&amp;AS[[#This Row],[Insurer Code]]&amp;"; "&amp;O1359&amp;AS[[#This Row],[Reporting Year]]&amp;"; "&amp;P1359&amp;AS[[#This Row],[Insurance Category Code]]&amp;"; "&amp;Q1359&amp;AS[[#This Row],[Large Provider Entity Code]]&amp;"; "&amp;R1359&amp;AS[[#This Row],[Age Band Code]]&amp;"; "&amp;S1359&amp;AS[[#This Row],[Sex Code]]</f>
        <v xml:space="preserve">Insurer Code ; Reporting Year ; Insurance Category Code ; Large Provider Entity Code ; Age Band Code ; Sex Code </v>
      </c>
      <c r="N1359" s="345" t="s">
        <v>207</v>
      </c>
      <c r="O1359" s="345" t="s">
        <v>208</v>
      </c>
      <c r="P1359" s="345" t="s">
        <v>209</v>
      </c>
      <c r="Q1359" s="345" t="s">
        <v>210</v>
      </c>
      <c r="R1359" s="345" t="s">
        <v>223</v>
      </c>
      <c r="S1359" s="345" t="s">
        <v>224</v>
      </c>
    </row>
    <row r="1360" spans="1:19" x14ac:dyDescent="0.25">
      <c r="A1360" s="311"/>
      <c r="B1360" s="312"/>
      <c r="C1360" s="312"/>
      <c r="D1360" s="312"/>
      <c r="E1360" s="312"/>
      <c r="F1360" s="312"/>
      <c r="G1360" s="328"/>
      <c r="H1360" s="337"/>
      <c r="I1360" s="334"/>
      <c r="J1360" s="314"/>
      <c r="K1360" s="449"/>
      <c r="M1360" s="349" t="str">
        <f>N1360&amp;AS[[#This Row],[Insurer Code]]&amp;"; "&amp;O1360&amp;AS[[#This Row],[Reporting Year]]&amp;"; "&amp;P1360&amp;AS[[#This Row],[Insurance Category Code]]&amp;"; "&amp;Q1360&amp;AS[[#This Row],[Large Provider Entity Code]]&amp;"; "&amp;R1360&amp;AS[[#This Row],[Age Band Code]]&amp;"; "&amp;S1360&amp;AS[[#This Row],[Sex Code]]</f>
        <v xml:space="preserve">Insurer Code ; Reporting Year ; Insurance Category Code ; Large Provider Entity Code ; Age Band Code ; Sex Code </v>
      </c>
      <c r="N1360" s="345" t="s">
        <v>207</v>
      </c>
      <c r="O1360" s="345" t="s">
        <v>208</v>
      </c>
      <c r="P1360" s="345" t="s">
        <v>209</v>
      </c>
      <c r="Q1360" s="345" t="s">
        <v>210</v>
      </c>
      <c r="R1360" s="345" t="s">
        <v>223</v>
      </c>
      <c r="S1360" s="345" t="s">
        <v>224</v>
      </c>
    </row>
    <row r="1361" spans="1:19" x14ac:dyDescent="0.25">
      <c r="A1361" s="311"/>
      <c r="B1361" s="312"/>
      <c r="C1361" s="312"/>
      <c r="D1361" s="312"/>
      <c r="E1361" s="312"/>
      <c r="F1361" s="312"/>
      <c r="G1361" s="328"/>
      <c r="H1361" s="337"/>
      <c r="I1361" s="334"/>
      <c r="J1361" s="314"/>
      <c r="K1361" s="449"/>
      <c r="M1361" s="349" t="str">
        <f>N1361&amp;AS[[#This Row],[Insurer Code]]&amp;"; "&amp;O1361&amp;AS[[#This Row],[Reporting Year]]&amp;"; "&amp;P1361&amp;AS[[#This Row],[Insurance Category Code]]&amp;"; "&amp;Q1361&amp;AS[[#This Row],[Large Provider Entity Code]]&amp;"; "&amp;R1361&amp;AS[[#This Row],[Age Band Code]]&amp;"; "&amp;S1361&amp;AS[[#This Row],[Sex Code]]</f>
        <v xml:space="preserve">Insurer Code ; Reporting Year ; Insurance Category Code ; Large Provider Entity Code ; Age Band Code ; Sex Code </v>
      </c>
      <c r="N1361" s="345" t="s">
        <v>207</v>
      </c>
      <c r="O1361" s="345" t="s">
        <v>208</v>
      </c>
      <c r="P1361" s="345" t="s">
        <v>209</v>
      </c>
      <c r="Q1361" s="345" t="s">
        <v>210</v>
      </c>
      <c r="R1361" s="345" t="s">
        <v>223</v>
      </c>
      <c r="S1361" s="345" t="s">
        <v>224</v>
      </c>
    </row>
    <row r="1362" spans="1:19" x14ac:dyDescent="0.25">
      <c r="A1362" s="311"/>
      <c r="B1362" s="312"/>
      <c r="C1362" s="312"/>
      <c r="D1362" s="312"/>
      <c r="E1362" s="312"/>
      <c r="F1362" s="312"/>
      <c r="G1362" s="328"/>
      <c r="H1362" s="337"/>
      <c r="I1362" s="334"/>
      <c r="J1362" s="314"/>
      <c r="K1362" s="449"/>
      <c r="M1362" s="349" t="str">
        <f>N1362&amp;AS[[#This Row],[Insurer Code]]&amp;"; "&amp;O1362&amp;AS[[#This Row],[Reporting Year]]&amp;"; "&amp;P1362&amp;AS[[#This Row],[Insurance Category Code]]&amp;"; "&amp;Q1362&amp;AS[[#This Row],[Large Provider Entity Code]]&amp;"; "&amp;R1362&amp;AS[[#This Row],[Age Band Code]]&amp;"; "&amp;S1362&amp;AS[[#This Row],[Sex Code]]</f>
        <v xml:space="preserve">Insurer Code ; Reporting Year ; Insurance Category Code ; Large Provider Entity Code ; Age Band Code ; Sex Code </v>
      </c>
      <c r="N1362" s="345" t="s">
        <v>207</v>
      </c>
      <c r="O1362" s="345" t="s">
        <v>208</v>
      </c>
      <c r="P1362" s="345" t="s">
        <v>209</v>
      </c>
      <c r="Q1362" s="345" t="s">
        <v>210</v>
      </c>
      <c r="R1362" s="345" t="s">
        <v>223</v>
      </c>
      <c r="S1362" s="345" t="s">
        <v>224</v>
      </c>
    </row>
    <row r="1363" spans="1:19" x14ac:dyDescent="0.25">
      <c r="A1363" s="311"/>
      <c r="B1363" s="312"/>
      <c r="C1363" s="312"/>
      <c r="D1363" s="312"/>
      <c r="E1363" s="312"/>
      <c r="F1363" s="312"/>
      <c r="G1363" s="328"/>
      <c r="H1363" s="337"/>
      <c r="I1363" s="334"/>
      <c r="J1363" s="314"/>
      <c r="K1363" s="449"/>
      <c r="M1363" s="349" t="str">
        <f>N1363&amp;AS[[#This Row],[Insurer Code]]&amp;"; "&amp;O1363&amp;AS[[#This Row],[Reporting Year]]&amp;"; "&amp;P1363&amp;AS[[#This Row],[Insurance Category Code]]&amp;"; "&amp;Q1363&amp;AS[[#This Row],[Large Provider Entity Code]]&amp;"; "&amp;R1363&amp;AS[[#This Row],[Age Band Code]]&amp;"; "&amp;S1363&amp;AS[[#This Row],[Sex Code]]</f>
        <v xml:space="preserve">Insurer Code ; Reporting Year ; Insurance Category Code ; Large Provider Entity Code ; Age Band Code ; Sex Code </v>
      </c>
      <c r="N1363" s="345" t="s">
        <v>207</v>
      </c>
      <c r="O1363" s="345" t="s">
        <v>208</v>
      </c>
      <c r="P1363" s="345" t="s">
        <v>209</v>
      </c>
      <c r="Q1363" s="345" t="s">
        <v>210</v>
      </c>
      <c r="R1363" s="345" t="s">
        <v>223</v>
      </c>
      <c r="S1363" s="345" t="s">
        <v>224</v>
      </c>
    </row>
    <row r="1364" spans="1:19" x14ac:dyDescent="0.25">
      <c r="A1364" s="311"/>
      <c r="B1364" s="312"/>
      <c r="C1364" s="312"/>
      <c r="D1364" s="312"/>
      <c r="E1364" s="312"/>
      <c r="F1364" s="312"/>
      <c r="G1364" s="328"/>
      <c r="H1364" s="337"/>
      <c r="I1364" s="334"/>
      <c r="J1364" s="314"/>
      <c r="K1364" s="449"/>
      <c r="M1364" s="349" t="str">
        <f>N1364&amp;AS[[#This Row],[Insurer Code]]&amp;"; "&amp;O1364&amp;AS[[#This Row],[Reporting Year]]&amp;"; "&amp;P1364&amp;AS[[#This Row],[Insurance Category Code]]&amp;"; "&amp;Q1364&amp;AS[[#This Row],[Large Provider Entity Code]]&amp;"; "&amp;R1364&amp;AS[[#This Row],[Age Band Code]]&amp;"; "&amp;S1364&amp;AS[[#This Row],[Sex Code]]</f>
        <v xml:space="preserve">Insurer Code ; Reporting Year ; Insurance Category Code ; Large Provider Entity Code ; Age Band Code ; Sex Code </v>
      </c>
      <c r="N1364" s="345" t="s">
        <v>207</v>
      </c>
      <c r="O1364" s="345" t="s">
        <v>208</v>
      </c>
      <c r="P1364" s="345" t="s">
        <v>209</v>
      </c>
      <c r="Q1364" s="345" t="s">
        <v>210</v>
      </c>
      <c r="R1364" s="345" t="s">
        <v>223</v>
      </c>
      <c r="S1364" s="345" t="s">
        <v>224</v>
      </c>
    </row>
    <row r="1365" spans="1:19" x14ac:dyDescent="0.25">
      <c r="A1365" s="311"/>
      <c r="B1365" s="312"/>
      <c r="C1365" s="312"/>
      <c r="D1365" s="312"/>
      <c r="E1365" s="312"/>
      <c r="F1365" s="312"/>
      <c r="G1365" s="328"/>
      <c r="H1365" s="337"/>
      <c r="I1365" s="334"/>
      <c r="J1365" s="314"/>
      <c r="K1365" s="449"/>
      <c r="M1365" s="349" t="str">
        <f>N1365&amp;AS[[#This Row],[Insurer Code]]&amp;"; "&amp;O1365&amp;AS[[#This Row],[Reporting Year]]&amp;"; "&amp;P1365&amp;AS[[#This Row],[Insurance Category Code]]&amp;"; "&amp;Q1365&amp;AS[[#This Row],[Large Provider Entity Code]]&amp;"; "&amp;R1365&amp;AS[[#This Row],[Age Band Code]]&amp;"; "&amp;S1365&amp;AS[[#This Row],[Sex Code]]</f>
        <v xml:space="preserve">Insurer Code ; Reporting Year ; Insurance Category Code ; Large Provider Entity Code ; Age Band Code ; Sex Code </v>
      </c>
      <c r="N1365" s="345" t="s">
        <v>207</v>
      </c>
      <c r="O1365" s="345" t="s">
        <v>208</v>
      </c>
      <c r="P1365" s="345" t="s">
        <v>209</v>
      </c>
      <c r="Q1365" s="345" t="s">
        <v>210</v>
      </c>
      <c r="R1365" s="345" t="s">
        <v>223</v>
      </c>
      <c r="S1365" s="345" t="s">
        <v>224</v>
      </c>
    </row>
    <row r="1366" spans="1:19" x14ac:dyDescent="0.25">
      <c r="A1366" s="311"/>
      <c r="B1366" s="312"/>
      <c r="C1366" s="312"/>
      <c r="D1366" s="312"/>
      <c r="E1366" s="312"/>
      <c r="F1366" s="312"/>
      <c r="G1366" s="328"/>
      <c r="H1366" s="337"/>
      <c r="I1366" s="334"/>
      <c r="J1366" s="314"/>
      <c r="K1366" s="449"/>
      <c r="M1366" s="349" t="str">
        <f>N1366&amp;AS[[#This Row],[Insurer Code]]&amp;"; "&amp;O1366&amp;AS[[#This Row],[Reporting Year]]&amp;"; "&amp;P1366&amp;AS[[#This Row],[Insurance Category Code]]&amp;"; "&amp;Q1366&amp;AS[[#This Row],[Large Provider Entity Code]]&amp;"; "&amp;R1366&amp;AS[[#This Row],[Age Band Code]]&amp;"; "&amp;S1366&amp;AS[[#This Row],[Sex Code]]</f>
        <v xml:space="preserve">Insurer Code ; Reporting Year ; Insurance Category Code ; Large Provider Entity Code ; Age Band Code ; Sex Code </v>
      </c>
      <c r="N1366" s="345" t="s">
        <v>207</v>
      </c>
      <c r="O1366" s="345" t="s">
        <v>208</v>
      </c>
      <c r="P1366" s="345" t="s">
        <v>209</v>
      </c>
      <c r="Q1366" s="345" t="s">
        <v>210</v>
      </c>
      <c r="R1366" s="345" t="s">
        <v>223</v>
      </c>
      <c r="S1366" s="345" t="s">
        <v>224</v>
      </c>
    </row>
    <row r="1367" spans="1:19" x14ac:dyDescent="0.25">
      <c r="A1367" s="311"/>
      <c r="B1367" s="312"/>
      <c r="C1367" s="312"/>
      <c r="D1367" s="312"/>
      <c r="E1367" s="312"/>
      <c r="F1367" s="312"/>
      <c r="G1367" s="328"/>
      <c r="H1367" s="337"/>
      <c r="I1367" s="334"/>
      <c r="J1367" s="314"/>
      <c r="K1367" s="449"/>
      <c r="M1367" s="349" t="str">
        <f>N1367&amp;AS[[#This Row],[Insurer Code]]&amp;"; "&amp;O1367&amp;AS[[#This Row],[Reporting Year]]&amp;"; "&amp;P1367&amp;AS[[#This Row],[Insurance Category Code]]&amp;"; "&amp;Q1367&amp;AS[[#This Row],[Large Provider Entity Code]]&amp;"; "&amp;R1367&amp;AS[[#This Row],[Age Band Code]]&amp;"; "&amp;S1367&amp;AS[[#This Row],[Sex Code]]</f>
        <v xml:space="preserve">Insurer Code ; Reporting Year ; Insurance Category Code ; Large Provider Entity Code ; Age Band Code ; Sex Code </v>
      </c>
      <c r="N1367" s="345" t="s">
        <v>207</v>
      </c>
      <c r="O1367" s="345" t="s">
        <v>208</v>
      </c>
      <c r="P1367" s="345" t="s">
        <v>209</v>
      </c>
      <c r="Q1367" s="345" t="s">
        <v>210</v>
      </c>
      <c r="R1367" s="345" t="s">
        <v>223</v>
      </c>
      <c r="S1367" s="345" t="s">
        <v>224</v>
      </c>
    </row>
    <row r="1368" spans="1:19" x14ac:dyDescent="0.25">
      <c r="A1368" s="311"/>
      <c r="B1368" s="312"/>
      <c r="C1368" s="312"/>
      <c r="D1368" s="312"/>
      <c r="E1368" s="312"/>
      <c r="F1368" s="312"/>
      <c r="G1368" s="328"/>
      <c r="H1368" s="337"/>
      <c r="I1368" s="334"/>
      <c r="J1368" s="314"/>
      <c r="K1368" s="449"/>
      <c r="M1368" s="349" t="str">
        <f>N1368&amp;AS[[#This Row],[Insurer Code]]&amp;"; "&amp;O1368&amp;AS[[#This Row],[Reporting Year]]&amp;"; "&amp;P1368&amp;AS[[#This Row],[Insurance Category Code]]&amp;"; "&amp;Q1368&amp;AS[[#This Row],[Large Provider Entity Code]]&amp;"; "&amp;R1368&amp;AS[[#This Row],[Age Band Code]]&amp;"; "&amp;S1368&amp;AS[[#This Row],[Sex Code]]</f>
        <v xml:space="preserve">Insurer Code ; Reporting Year ; Insurance Category Code ; Large Provider Entity Code ; Age Band Code ; Sex Code </v>
      </c>
      <c r="N1368" s="345" t="s">
        <v>207</v>
      </c>
      <c r="O1368" s="345" t="s">
        <v>208</v>
      </c>
      <c r="P1368" s="345" t="s">
        <v>209</v>
      </c>
      <c r="Q1368" s="345" t="s">
        <v>210</v>
      </c>
      <c r="R1368" s="345" t="s">
        <v>223</v>
      </c>
      <c r="S1368" s="345" t="s">
        <v>224</v>
      </c>
    </row>
    <row r="1369" spans="1:19" x14ac:dyDescent="0.25">
      <c r="A1369" s="311"/>
      <c r="B1369" s="312"/>
      <c r="C1369" s="312"/>
      <c r="D1369" s="312"/>
      <c r="E1369" s="312"/>
      <c r="F1369" s="312"/>
      <c r="G1369" s="328"/>
      <c r="H1369" s="337"/>
      <c r="I1369" s="334"/>
      <c r="J1369" s="314"/>
      <c r="K1369" s="449"/>
      <c r="M1369" s="349" t="str">
        <f>N1369&amp;AS[[#This Row],[Insurer Code]]&amp;"; "&amp;O1369&amp;AS[[#This Row],[Reporting Year]]&amp;"; "&amp;P1369&amp;AS[[#This Row],[Insurance Category Code]]&amp;"; "&amp;Q1369&amp;AS[[#This Row],[Large Provider Entity Code]]&amp;"; "&amp;R1369&amp;AS[[#This Row],[Age Band Code]]&amp;"; "&amp;S1369&amp;AS[[#This Row],[Sex Code]]</f>
        <v xml:space="preserve">Insurer Code ; Reporting Year ; Insurance Category Code ; Large Provider Entity Code ; Age Band Code ; Sex Code </v>
      </c>
      <c r="N1369" s="345" t="s">
        <v>207</v>
      </c>
      <c r="O1369" s="345" t="s">
        <v>208</v>
      </c>
      <c r="P1369" s="345" t="s">
        <v>209</v>
      </c>
      <c r="Q1369" s="345" t="s">
        <v>210</v>
      </c>
      <c r="R1369" s="345" t="s">
        <v>223</v>
      </c>
      <c r="S1369" s="345" t="s">
        <v>224</v>
      </c>
    </row>
    <row r="1370" spans="1:19" x14ac:dyDescent="0.25">
      <c r="A1370" s="311"/>
      <c r="B1370" s="312"/>
      <c r="C1370" s="312"/>
      <c r="D1370" s="312"/>
      <c r="E1370" s="312"/>
      <c r="F1370" s="312"/>
      <c r="G1370" s="328"/>
      <c r="H1370" s="337"/>
      <c r="I1370" s="334"/>
      <c r="J1370" s="314"/>
      <c r="K1370" s="449"/>
      <c r="M1370" s="349" t="str">
        <f>N1370&amp;AS[[#This Row],[Insurer Code]]&amp;"; "&amp;O1370&amp;AS[[#This Row],[Reporting Year]]&amp;"; "&amp;P1370&amp;AS[[#This Row],[Insurance Category Code]]&amp;"; "&amp;Q1370&amp;AS[[#This Row],[Large Provider Entity Code]]&amp;"; "&amp;R1370&amp;AS[[#This Row],[Age Band Code]]&amp;"; "&amp;S1370&amp;AS[[#This Row],[Sex Code]]</f>
        <v xml:space="preserve">Insurer Code ; Reporting Year ; Insurance Category Code ; Large Provider Entity Code ; Age Band Code ; Sex Code </v>
      </c>
      <c r="N1370" s="345" t="s">
        <v>207</v>
      </c>
      <c r="O1370" s="345" t="s">
        <v>208</v>
      </c>
      <c r="P1370" s="345" t="s">
        <v>209</v>
      </c>
      <c r="Q1370" s="345" t="s">
        <v>210</v>
      </c>
      <c r="R1370" s="345" t="s">
        <v>223</v>
      </c>
      <c r="S1370" s="345" t="s">
        <v>224</v>
      </c>
    </row>
    <row r="1371" spans="1:19" x14ac:dyDescent="0.25">
      <c r="A1371" s="311"/>
      <c r="B1371" s="312"/>
      <c r="C1371" s="312"/>
      <c r="D1371" s="312"/>
      <c r="E1371" s="312"/>
      <c r="F1371" s="312"/>
      <c r="G1371" s="328"/>
      <c r="H1371" s="337"/>
      <c r="I1371" s="334"/>
      <c r="J1371" s="314"/>
      <c r="K1371" s="449"/>
      <c r="M1371" s="349" t="str">
        <f>N1371&amp;AS[[#This Row],[Insurer Code]]&amp;"; "&amp;O1371&amp;AS[[#This Row],[Reporting Year]]&amp;"; "&amp;P1371&amp;AS[[#This Row],[Insurance Category Code]]&amp;"; "&amp;Q1371&amp;AS[[#This Row],[Large Provider Entity Code]]&amp;"; "&amp;R1371&amp;AS[[#This Row],[Age Band Code]]&amp;"; "&amp;S1371&amp;AS[[#This Row],[Sex Code]]</f>
        <v xml:space="preserve">Insurer Code ; Reporting Year ; Insurance Category Code ; Large Provider Entity Code ; Age Band Code ; Sex Code </v>
      </c>
      <c r="N1371" s="345" t="s">
        <v>207</v>
      </c>
      <c r="O1371" s="345" t="s">
        <v>208</v>
      </c>
      <c r="P1371" s="345" t="s">
        <v>209</v>
      </c>
      <c r="Q1371" s="345" t="s">
        <v>210</v>
      </c>
      <c r="R1371" s="345" t="s">
        <v>223</v>
      </c>
      <c r="S1371" s="345" t="s">
        <v>224</v>
      </c>
    </row>
    <row r="1372" spans="1:19" x14ac:dyDescent="0.25">
      <c r="A1372" s="311"/>
      <c r="B1372" s="312"/>
      <c r="C1372" s="312"/>
      <c r="D1372" s="312"/>
      <c r="E1372" s="312"/>
      <c r="F1372" s="312"/>
      <c r="G1372" s="328"/>
      <c r="H1372" s="337"/>
      <c r="I1372" s="334"/>
      <c r="J1372" s="314"/>
      <c r="K1372" s="449"/>
      <c r="M1372" s="349" t="str">
        <f>N1372&amp;AS[[#This Row],[Insurer Code]]&amp;"; "&amp;O1372&amp;AS[[#This Row],[Reporting Year]]&amp;"; "&amp;P1372&amp;AS[[#This Row],[Insurance Category Code]]&amp;"; "&amp;Q1372&amp;AS[[#This Row],[Large Provider Entity Code]]&amp;"; "&amp;R1372&amp;AS[[#This Row],[Age Band Code]]&amp;"; "&amp;S1372&amp;AS[[#This Row],[Sex Code]]</f>
        <v xml:space="preserve">Insurer Code ; Reporting Year ; Insurance Category Code ; Large Provider Entity Code ; Age Band Code ; Sex Code </v>
      </c>
      <c r="N1372" s="345" t="s">
        <v>207</v>
      </c>
      <c r="O1372" s="345" t="s">
        <v>208</v>
      </c>
      <c r="P1372" s="345" t="s">
        <v>209</v>
      </c>
      <c r="Q1372" s="345" t="s">
        <v>210</v>
      </c>
      <c r="R1372" s="345" t="s">
        <v>223</v>
      </c>
      <c r="S1372" s="345" t="s">
        <v>224</v>
      </c>
    </row>
    <row r="1373" spans="1:19" x14ac:dyDescent="0.25">
      <c r="A1373" s="311"/>
      <c r="B1373" s="312"/>
      <c r="C1373" s="312"/>
      <c r="D1373" s="312"/>
      <c r="E1373" s="312"/>
      <c r="F1373" s="312"/>
      <c r="G1373" s="328"/>
      <c r="H1373" s="337"/>
      <c r="I1373" s="334"/>
      <c r="J1373" s="314"/>
      <c r="K1373" s="449"/>
      <c r="M1373" s="349" t="str">
        <f>N1373&amp;AS[[#This Row],[Insurer Code]]&amp;"; "&amp;O1373&amp;AS[[#This Row],[Reporting Year]]&amp;"; "&amp;P1373&amp;AS[[#This Row],[Insurance Category Code]]&amp;"; "&amp;Q1373&amp;AS[[#This Row],[Large Provider Entity Code]]&amp;"; "&amp;R1373&amp;AS[[#This Row],[Age Band Code]]&amp;"; "&amp;S1373&amp;AS[[#This Row],[Sex Code]]</f>
        <v xml:space="preserve">Insurer Code ; Reporting Year ; Insurance Category Code ; Large Provider Entity Code ; Age Band Code ; Sex Code </v>
      </c>
      <c r="N1373" s="345" t="s">
        <v>207</v>
      </c>
      <c r="O1373" s="345" t="s">
        <v>208</v>
      </c>
      <c r="P1373" s="345" t="s">
        <v>209</v>
      </c>
      <c r="Q1373" s="345" t="s">
        <v>210</v>
      </c>
      <c r="R1373" s="345" t="s">
        <v>223</v>
      </c>
      <c r="S1373" s="345" t="s">
        <v>224</v>
      </c>
    </row>
    <row r="1374" spans="1:19" x14ac:dyDescent="0.25">
      <c r="A1374" s="311"/>
      <c r="B1374" s="312"/>
      <c r="C1374" s="312"/>
      <c r="D1374" s="312"/>
      <c r="E1374" s="312"/>
      <c r="F1374" s="312"/>
      <c r="G1374" s="328"/>
      <c r="H1374" s="337"/>
      <c r="I1374" s="334"/>
      <c r="J1374" s="314"/>
      <c r="K1374" s="449"/>
      <c r="M1374" s="349" t="str">
        <f>N1374&amp;AS[[#This Row],[Insurer Code]]&amp;"; "&amp;O1374&amp;AS[[#This Row],[Reporting Year]]&amp;"; "&amp;P1374&amp;AS[[#This Row],[Insurance Category Code]]&amp;"; "&amp;Q1374&amp;AS[[#This Row],[Large Provider Entity Code]]&amp;"; "&amp;R1374&amp;AS[[#This Row],[Age Band Code]]&amp;"; "&amp;S1374&amp;AS[[#This Row],[Sex Code]]</f>
        <v xml:space="preserve">Insurer Code ; Reporting Year ; Insurance Category Code ; Large Provider Entity Code ; Age Band Code ; Sex Code </v>
      </c>
      <c r="N1374" s="345" t="s">
        <v>207</v>
      </c>
      <c r="O1374" s="345" t="s">
        <v>208</v>
      </c>
      <c r="P1374" s="345" t="s">
        <v>209</v>
      </c>
      <c r="Q1374" s="345" t="s">
        <v>210</v>
      </c>
      <c r="R1374" s="345" t="s">
        <v>223</v>
      </c>
      <c r="S1374" s="345" t="s">
        <v>224</v>
      </c>
    </row>
    <row r="1375" spans="1:19" x14ac:dyDescent="0.25">
      <c r="A1375" s="311"/>
      <c r="B1375" s="312"/>
      <c r="C1375" s="312"/>
      <c r="D1375" s="312"/>
      <c r="E1375" s="312"/>
      <c r="F1375" s="312"/>
      <c r="G1375" s="328"/>
      <c r="H1375" s="337"/>
      <c r="I1375" s="334"/>
      <c r="J1375" s="314"/>
      <c r="K1375" s="449"/>
      <c r="M1375" s="349" t="str">
        <f>N1375&amp;AS[[#This Row],[Insurer Code]]&amp;"; "&amp;O1375&amp;AS[[#This Row],[Reporting Year]]&amp;"; "&amp;P1375&amp;AS[[#This Row],[Insurance Category Code]]&amp;"; "&amp;Q1375&amp;AS[[#This Row],[Large Provider Entity Code]]&amp;"; "&amp;R1375&amp;AS[[#This Row],[Age Band Code]]&amp;"; "&amp;S1375&amp;AS[[#This Row],[Sex Code]]</f>
        <v xml:space="preserve">Insurer Code ; Reporting Year ; Insurance Category Code ; Large Provider Entity Code ; Age Band Code ; Sex Code </v>
      </c>
      <c r="N1375" s="345" t="s">
        <v>207</v>
      </c>
      <c r="O1375" s="345" t="s">
        <v>208</v>
      </c>
      <c r="P1375" s="345" t="s">
        <v>209</v>
      </c>
      <c r="Q1375" s="345" t="s">
        <v>210</v>
      </c>
      <c r="R1375" s="345" t="s">
        <v>223</v>
      </c>
      <c r="S1375" s="345" t="s">
        <v>224</v>
      </c>
    </row>
    <row r="1376" spans="1:19" x14ac:dyDescent="0.25">
      <c r="A1376" s="311"/>
      <c r="B1376" s="312"/>
      <c r="C1376" s="312"/>
      <c r="D1376" s="312"/>
      <c r="E1376" s="312"/>
      <c r="F1376" s="312"/>
      <c r="G1376" s="328"/>
      <c r="H1376" s="337"/>
      <c r="I1376" s="334"/>
      <c r="J1376" s="314"/>
      <c r="K1376" s="449"/>
      <c r="M1376" s="349" t="str">
        <f>N1376&amp;AS[[#This Row],[Insurer Code]]&amp;"; "&amp;O1376&amp;AS[[#This Row],[Reporting Year]]&amp;"; "&amp;P1376&amp;AS[[#This Row],[Insurance Category Code]]&amp;"; "&amp;Q1376&amp;AS[[#This Row],[Large Provider Entity Code]]&amp;"; "&amp;R1376&amp;AS[[#This Row],[Age Band Code]]&amp;"; "&amp;S1376&amp;AS[[#This Row],[Sex Code]]</f>
        <v xml:space="preserve">Insurer Code ; Reporting Year ; Insurance Category Code ; Large Provider Entity Code ; Age Band Code ; Sex Code </v>
      </c>
      <c r="N1376" s="345" t="s">
        <v>207</v>
      </c>
      <c r="O1376" s="345" t="s">
        <v>208</v>
      </c>
      <c r="P1376" s="345" t="s">
        <v>209</v>
      </c>
      <c r="Q1376" s="345" t="s">
        <v>210</v>
      </c>
      <c r="R1376" s="345" t="s">
        <v>223</v>
      </c>
      <c r="S1376" s="345" t="s">
        <v>224</v>
      </c>
    </row>
    <row r="1377" spans="1:19" x14ac:dyDescent="0.25">
      <c r="A1377" s="311"/>
      <c r="B1377" s="312"/>
      <c r="C1377" s="312"/>
      <c r="D1377" s="312"/>
      <c r="E1377" s="312"/>
      <c r="F1377" s="312"/>
      <c r="G1377" s="328"/>
      <c r="H1377" s="337"/>
      <c r="I1377" s="334"/>
      <c r="J1377" s="314"/>
      <c r="K1377" s="449"/>
      <c r="M1377" s="349" t="str">
        <f>N1377&amp;AS[[#This Row],[Insurer Code]]&amp;"; "&amp;O1377&amp;AS[[#This Row],[Reporting Year]]&amp;"; "&amp;P1377&amp;AS[[#This Row],[Insurance Category Code]]&amp;"; "&amp;Q1377&amp;AS[[#This Row],[Large Provider Entity Code]]&amp;"; "&amp;R1377&amp;AS[[#This Row],[Age Band Code]]&amp;"; "&amp;S1377&amp;AS[[#This Row],[Sex Code]]</f>
        <v xml:space="preserve">Insurer Code ; Reporting Year ; Insurance Category Code ; Large Provider Entity Code ; Age Band Code ; Sex Code </v>
      </c>
      <c r="N1377" s="345" t="s">
        <v>207</v>
      </c>
      <c r="O1377" s="345" t="s">
        <v>208</v>
      </c>
      <c r="P1377" s="345" t="s">
        <v>209</v>
      </c>
      <c r="Q1377" s="345" t="s">
        <v>210</v>
      </c>
      <c r="R1377" s="345" t="s">
        <v>223</v>
      </c>
      <c r="S1377" s="345" t="s">
        <v>224</v>
      </c>
    </row>
    <row r="1378" spans="1:19" x14ac:dyDescent="0.25">
      <c r="A1378" s="311"/>
      <c r="B1378" s="312"/>
      <c r="C1378" s="312"/>
      <c r="D1378" s="312"/>
      <c r="E1378" s="312"/>
      <c r="F1378" s="312"/>
      <c r="G1378" s="328"/>
      <c r="H1378" s="337"/>
      <c r="I1378" s="334"/>
      <c r="J1378" s="314"/>
      <c r="K1378" s="449"/>
      <c r="M1378" s="349" t="str">
        <f>N1378&amp;AS[[#This Row],[Insurer Code]]&amp;"; "&amp;O1378&amp;AS[[#This Row],[Reporting Year]]&amp;"; "&amp;P1378&amp;AS[[#This Row],[Insurance Category Code]]&amp;"; "&amp;Q1378&amp;AS[[#This Row],[Large Provider Entity Code]]&amp;"; "&amp;R1378&amp;AS[[#This Row],[Age Band Code]]&amp;"; "&amp;S1378&amp;AS[[#This Row],[Sex Code]]</f>
        <v xml:space="preserve">Insurer Code ; Reporting Year ; Insurance Category Code ; Large Provider Entity Code ; Age Band Code ; Sex Code </v>
      </c>
      <c r="N1378" s="345" t="s">
        <v>207</v>
      </c>
      <c r="O1378" s="345" t="s">
        <v>208</v>
      </c>
      <c r="P1378" s="345" t="s">
        <v>209</v>
      </c>
      <c r="Q1378" s="345" t="s">
        <v>210</v>
      </c>
      <c r="R1378" s="345" t="s">
        <v>223</v>
      </c>
      <c r="S1378" s="345" t="s">
        <v>224</v>
      </c>
    </row>
    <row r="1379" spans="1:19" x14ac:dyDescent="0.25">
      <c r="A1379" s="311"/>
      <c r="B1379" s="312"/>
      <c r="C1379" s="312"/>
      <c r="D1379" s="312"/>
      <c r="E1379" s="312"/>
      <c r="F1379" s="312"/>
      <c r="G1379" s="328"/>
      <c r="H1379" s="337"/>
      <c r="I1379" s="334"/>
      <c r="J1379" s="314"/>
      <c r="K1379" s="449"/>
      <c r="M1379" s="349" t="str">
        <f>N1379&amp;AS[[#This Row],[Insurer Code]]&amp;"; "&amp;O1379&amp;AS[[#This Row],[Reporting Year]]&amp;"; "&amp;P1379&amp;AS[[#This Row],[Insurance Category Code]]&amp;"; "&amp;Q1379&amp;AS[[#This Row],[Large Provider Entity Code]]&amp;"; "&amp;R1379&amp;AS[[#This Row],[Age Band Code]]&amp;"; "&amp;S1379&amp;AS[[#This Row],[Sex Code]]</f>
        <v xml:space="preserve">Insurer Code ; Reporting Year ; Insurance Category Code ; Large Provider Entity Code ; Age Band Code ; Sex Code </v>
      </c>
      <c r="N1379" s="345" t="s">
        <v>207</v>
      </c>
      <c r="O1379" s="345" t="s">
        <v>208</v>
      </c>
      <c r="P1379" s="345" t="s">
        <v>209</v>
      </c>
      <c r="Q1379" s="345" t="s">
        <v>210</v>
      </c>
      <c r="R1379" s="345" t="s">
        <v>223</v>
      </c>
      <c r="S1379" s="345" t="s">
        <v>224</v>
      </c>
    </row>
    <row r="1380" spans="1:19" x14ac:dyDescent="0.25">
      <c r="A1380" s="311"/>
      <c r="B1380" s="312"/>
      <c r="C1380" s="312"/>
      <c r="D1380" s="312"/>
      <c r="E1380" s="312"/>
      <c r="F1380" s="312"/>
      <c r="G1380" s="328"/>
      <c r="H1380" s="337"/>
      <c r="I1380" s="334"/>
      <c r="J1380" s="314"/>
      <c r="K1380" s="449"/>
      <c r="M1380" s="349" t="str">
        <f>N1380&amp;AS[[#This Row],[Insurer Code]]&amp;"; "&amp;O1380&amp;AS[[#This Row],[Reporting Year]]&amp;"; "&amp;P1380&amp;AS[[#This Row],[Insurance Category Code]]&amp;"; "&amp;Q1380&amp;AS[[#This Row],[Large Provider Entity Code]]&amp;"; "&amp;R1380&amp;AS[[#This Row],[Age Band Code]]&amp;"; "&amp;S1380&amp;AS[[#This Row],[Sex Code]]</f>
        <v xml:space="preserve">Insurer Code ; Reporting Year ; Insurance Category Code ; Large Provider Entity Code ; Age Band Code ; Sex Code </v>
      </c>
      <c r="N1380" s="345" t="s">
        <v>207</v>
      </c>
      <c r="O1380" s="345" t="s">
        <v>208</v>
      </c>
      <c r="P1380" s="345" t="s">
        <v>209</v>
      </c>
      <c r="Q1380" s="345" t="s">
        <v>210</v>
      </c>
      <c r="R1380" s="345" t="s">
        <v>223</v>
      </c>
      <c r="S1380" s="345" t="s">
        <v>224</v>
      </c>
    </row>
    <row r="1381" spans="1:19" x14ac:dyDescent="0.25">
      <c r="A1381" s="311"/>
      <c r="B1381" s="312"/>
      <c r="C1381" s="312"/>
      <c r="D1381" s="312"/>
      <c r="E1381" s="312"/>
      <c r="F1381" s="312"/>
      <c r="G1381" s="328"/>
      <c r="H1381" s="337"/>
      <c r="I1381" s="334"/>
      <c r="J1381" s="314"/>
      <c r="K1381" s="449"/>
      <c r="M1381" s="349" t="str">
        <f>N1381&amp;AS[[#This Row],[Insurer Code]]&amp;"; "&amp;O1381&amp;AS[[#This Row],[Reporting Year]]&amp;"; "&amp;P1381&amp;AS[[#This Row],[Insurance Category Code]]&amp;"; "&amp;Q1381&amp;AS[[#This Row],[Large Provider Entity Code]]&amp;"; "&amp;R1381&amp;AS[[#This Row],[Age Band Code]]&amp;"; "&amp;S1381&amp;AS[[#This Row],[Sex Code]]</f>
        <v xml:space="preserve">Insurer Code ; Reporting Year ; Insurance Category Code ; Large Provider Entity Code ; Age Band Code ; Sex Code </v>
      </c>
      <c r="N1381" s="345" t="s">
        <v>207</v>
      </c>
      <c r="O1381" s="345" t="s">
        <v>208</v>
      </c>
      <c r="P1381" s="345" t="s">
        <v>209</v>
      </c>
      <c r="Q1381" s="345" t="s">
        <v>210</v>
      </c>
      <c r="R1381" s="345" t="s">
        <v>223</v>
      </c>
      <c r="S1381" s="345" t="s">
        <v>224</v>
      </c>
    </row>
    <row r="1382" spans="1:19" x14ac:dyDescent="0.25">
      <c r="A1382" s="311"/>
      <c r="B1382" s="312"/>
      <c r="C1382" s="312"/>
      <c r="D1382" s="312"/>
      <c r="E1382" s="312"/>
      <c r="F1382" s="312"/>
      <c r="G1382" s="328"/>
      <c r="H1382" s="337"/>
      <c r="I1382" s="334"/>
      <c r="J1382" s="314"/>
      <c r="K1382" s="449"/>
      <c r="M1382" s="349" t="str">
        <f>N1382&amp;AS[[#This Row],[Insurer Code]]&amp;"; "&amp;O1382&amp;AS[[#This Row],[Reporting Year]]&amp;"; "&amp;P1382&amp;AS[[#This Row],[Insurance Category Code]]&amp;"; "&amp;Q1382&amp;AS[[#This Row],[Large Provider Entity Code]]&amp;"; "&amp;R1382&amp;AS[[#This Row],[Age Band Code]]&amp;"; "&amp;S1382&amp;AS[[#This Row],[Sex Code]]</f>
        <v xml:space="preserve">Insurer Code ; Reporting Year ; Insurance Category Code ; Large Provider Entity Code ; Age Band Code ; Sex Code </v>
      </c>
      <c r="N1382" s="345" t="s">
        <v>207</v>
      </c>
      <c r="O1382" s="345" t="s">
        <v>208</v>
      </c>
      <c r="P1382" s="345" t="s">
        <v>209</v>
      </c>
      <c r="Q1382" s="345" t="s">
        <v>210</v>
      </c>
      <c r="R1382" s="345" t="s">
        <v>223</v>
      </c>
      <c r="S1382" s="345" t="s">
        <v>224</v>
      </c>
    </row>
    <row r="1383" spans="1:19" x14ac:dyDescent="0.25">
      <c r="A1383" s="311"/>
      <c r="B1383" s="312"/>
      <c r="C1383" s="312"/>
      <c r="D1383" s="312"/>
      <c r="E1383" s="312"/>
      <c r="F1383" s="312"/>
      <c r="G1383" s="328"/>
      <c r="H1383" s="337"/>
      <c r="I1383" s="334"/>
      <c r="J1383" s="314"/>
      <c r="K1383" s="449"/>
      <c r="M1383" s="349" t="str">
        <f>N1383&amp;AS[[#This Row],[Insurer Code]]&amp;"; "&amp;O1383&amp;AS[[#This Row],[Reporting Year]]&amp;"; "&amp;P1383&amp;AS[[#This Row],[Insurance Category Code]]&amp;"; "&amp;Q1383&amp;AS[[#This Row],[Large Provider Entity Code]]&amp;"; "&amp;R1383&amp;AS[[#This Row],[Age Band Code]]&amp;"; "&amp;S1383&amp;AS[[#This Row],[Sex Code]]</f>
        <v xml:space="preserve">Insurer Code ; Reporting Year ; Insurance Category Code ; Large Provider Entity Code ; Age Band Code ; Sex Code </v>
      </c>
      <c r="N1383" s="345" t="s">
        <v>207</v>
      </c>
      <c r="O1383" s="345" t="s">
        <v>208</v>
      </c>
      <c r="P1383" s="345" t="s">
        <v>209</v>
      </c>
      <c r="Q1383" s="345" t="s">
        <v>210</v>
      </c>
      <c r="R1383" s="345" t="s">
        <v>223</v>
      </c>
      <c r="S1383" s="345" t="s">
        <v>224</v>
      </c>
    </row>
    <row r="1384" spans="1:19" x14ac:dyDescent="0.25">
      <c r="A1384" s="311"/>
      <c r="B1384" s="312"/>
      <c r="C1384" s="312"/>
      <c r="D1384" s="312"/>
      <c r="E1384" s="312"/>
      <c r="F1384" s="312"/>
      <c r="G1384" s="328"/>
      <c r="H1384" s="337"/>
      <c r="I1384" s="334"/>
      <c r="J1384" s="314"/>
      <c r="K1384" s="449"/>
      <c r="M1384" s="349" t="str">
        <f>N1384&amp;AS[[#This Row],[Insurer Code]]&amp;"; "&amp;O1384&amp;AS[[#This Row],[Reporting Year]]&amp;"; "&amp;P1384&amp;AS[[#This Row],[Insurance Category Code]]&amp;"; "&amp;Q1384&amp;AS[[#This Row],[Large Provider Entity Code]]&amp;"; "&amp;R1384&amp;AS[[#This Row],[Age Band Code]]&amp;"; "&amp;S1384&amp;AS[[#This Row],[Sex Code]]</f>
        <v xml:space="preserve">Insurer Code ; Reporting Year ; Insurance Category Code ; Large Provider Entity Code ; Age Band Code ; Sex Code </v>
      </c>
      <c r="N1384" s="345" t="s">
        <v>207</v>
      </c>
      <c r="O1384" s="345" t="s">
        <v>208</v>
      </c>
      <c r="P1384" s="345" t="s">
        <v>209</v>
      </c>
      <c r="Q1384" s="345" t="s">
        <v>210</v>
      </c>
      <c r="R1384" s="345" t="s">
        <v>223</v>
      </c>
      <c r="S1384" s="345" t="s">
        <v>224</v>
      </c>
    </row>
    <row r="1385" spans="1:19" x14ac:dyDescent="0.25">
      <c r="A1385" s="311"/>
      <c r="B1385" s="312"/>
      <c r="C1385" s="312"/>
      <c r="D1385" s="312"/>
      <c r="E1385" s="312"/>
      <c r="F1385" s="312"/>
      <c r="G1385" s="328"/>
      <c r="H1385" s="337"/>
      <c r="I1385" s="334"/>
      <c r="J1385" s="314"/>
      <c r="K1385" s="449"/>
      <c r="M1385" s="349" t="str">
        <f>N1385&amp;AS[[#This Row],[Insurer Code]]&amp;"; "&amp;O1385&amp;AS[[#This Row],[Reporting Year]]&amp;"; "&amp;P1385&amp;AS[[#This Row],[Insurance Category Code]]&amp;"; "&amp;Q1385&amp;AS[[#This Row],[Large Provider Entity Code]]&amp;"; "&amp;R1385&amp;AS[[#This Row],[Age Band Code]]&amp;"; "&amp;S1385&amp;AS[[#This Row],[Sex Code]]</f>
        <v xml:space="preserve">Insurer Code ; Reporting Year ; Insurance Category Code ; Large Provider Entity Code ; Age Band Code ; Sex Code </v>
      </c>
      <c r="N1385" s="345" t="s">
        <v>207</v>
      </c>
      <c r="O1385" s="345" t="s">
        <v>208</v>
      </c>
      <c r="P1385" s="345" t="s">
        <v>209</v>
      </c>
      <c r="Q1385" s="345" t="s">
        <v>210</v>
      </c>
      <c r="R1385" s="345" t="s">
        <v>223</v>
      </c>
      <c r="S1385" s="345" t="s">
        <v>224</v>
      </c>
    </row>
    <row r="1386" spans="1:19" x14ac:dyDescent="0.25">
      <c r="A1386" s="311"/>
      <c r="B1386" s="312"/>
      <c r="C1386" s="312"/>
      <c r="D1386" s="312"/>
      <c r="E1386" s="312"/>
      <c r="F1386" s="312"/>
      <c r="G1386" s="328"/>
      <c r="H1386" s="337"/>
      <c r="I1386" s="334"/>
      <c r="J1386" s="314"/>
      <c r="K1386" s="449"/>
      <c r="M1386" s="349" t="str">
        <f>N1386&amp;AS[[#This Row],[Insurer Code]]&amp;"; "&amp;O1386&amp;AS[[#This Row],[Reporting Year]]&amp;"; "&amp;P1386&amp;AS[[#This Row],[Insurance Category Code]]&amp;"; "&amp;Q1386&amp;AS[[#This Row],[Large Provider Entity Code]]&amp;"; "&amp;R1386&amp;AS[[#This Row],[Age Band Code]]&amp;"; "&amp;S1386&amp;AS[[#This Row],[Sex Code]]</f>
        <v xml:space="preserve">Insurer Code ; Reporting Year ; Insurance Category Code ; Large Provider Entity Code ; Age Band Code ; Sex Code </v>
      </c>
      <c r="N1386" s="345" t="s">
        <v>207</v>
      </c>
      <c r="O1386" s="345" t="s">
        <v>208</v>
      </c>
      <c r="P1386" s="345" t="s">
        <v>209</v>
      </c>
      <c r="Q1386" s="345" t="s">
        <v>210</v>
      </c>
      <c r="R1386" s="345" t="s">
        <v>223</v>
      </c>
      <c r="S1386" s="345" t="s">
        <v>224</v>
      </c>
    </row>
    <row r="1387" spans="1:19" x14ac:dyDescent="0.25">
      <c r="A1387" s="311"/>
      <c r="B1387" s="312"/>
      <c r="C1387" s="312"/>
      <c r="D1387" s="312"/>
      <c r="E1387" s="312"/>
      <c r="F1387" s="312"/>
      <c r="G1387" s="328"/>
      <c r="H1387" s="337"/>
      <c r="I1387" s="334"/>
      <c r="J1387" s="314"/>
      <c r="K1387" s="449"/>
      <c r="M1387" s="349" t="str">
        <f>N1387&amp;AS[[#This Row],[Insurer Code]]&amp;"; "&amp;O1387&amp;AS[[#This Row],[Reporting Year]]&amp;"; "&amp;P1387&amp;AS[[#This Row],[Insurance Category Code]]&amp;"; "&amp;Q1387&amp;AS[[#This Row],[Large Provider Entity Code]]&amp;"; "&amp;R1387&amp;AS[[#This Row],[Age Band Code]]&amp;"; "&amp;S1387&amp;AS[[#This Row],[Sex Code]]</f>
        <v xml:space="preserve">Insurer Code ; Reporting Year ; Insurance Category Code ; Large Provider Entity Code ; Age Band Code ; Sex Code </v>
      </c>
      <c r="N1387" s="345" t="s">
        <v>207</v>
      </c>
      <c r="O1387" s="345" t="s">
        <v>208</v>
      </c>
      <c r="P1387" s="345" t="s">
        <v>209</v>
      </c>
      <c r="Q1387" s="345" t="s">
        <v>210</v>
      </c>
      <c r="R1387" s="345" t="s">
        <v>223</v>
      </c>
      <c r="S1387" s="345" t="s">
        <v>224</v>
      </c>
    </row>
    <row r="1388" spans="1:19" x14ac:dyDescent="0.25">
      <c r="A1388" s="311"/>
      <c r="B1388" s="312"/>
      <c r="C1388" s="312"/>
      <c r="D1388" s="312"/>
      <c r="E1388" s="312"/>
      <c r="F1388" s="312"/>
      <c r="G1388" s="328"/>
      <c r="H1388" s="337"/>
      <c r="I1388" s="334"/>
      <c r="J1388" s="314"/>
      <c r="K1388" s="449"/>
      <c r="M1388" s="349" t="str">
        <f>N1388&amp;AS[[#This Row],[Insurer Code]]&amp;"; "&amp;O1388&amp;AS[[#This Row],[Reporting Year]]&amp;"; "&amp;P1388&amp;AS[[#This Row],[Insurance Category Code]]&amp;"; "&amp;Q1388&amp;AS[[#This Row],[Large Provider Entity Code]]&amp;"; "&amp;R1388&amp;AS[[#This Row],[Age Band Code]]&amp;"; "&amp;S1388&amp;AS[[#This Row],[Sex Code]]</f>
        <v xml:space="preserve">Insurer Code ; Reporting Year ; Insurance Category Code ; Large Provider Entity Code ; Age Band Code ; Sex Code </v>
      </c>
      <c r="N1388" s="345" t="s">
        <v>207</v>
      </c>
      <c r="O1388" s="345" t="s">
        <v>208</v>
      </c>
      <c r="P1388" s="345" t="s">
        <v>209</v>
      </c>
      <c r="Q1388" s="345" t="s">
        <v>210</v>
      </c>
      <c r="R1388" s="345" t="s">
        <v>223</v>
      </c>
      <c r="S1388" s="345" t="s">
        <v>224</v>
      </c>
    </row>
    <row r="1389" spans="1:19" x14ac:dyDescent="0.25">
      <c r="A1389" s="311"/>
      <c r="B1389" s="312"/>
      <c r="C1389" s="312"/>
      <c r="D1389" s="312"/>
      <c r="E1389" s="312"/>
      <c r="F1389" s="312"/>
      <c r="G1389" s="328"/>
      <c r="H1389" s="337"/>
      <c r="I1389" s="334"/>
      <c r="J1389" s="314"/>
      <c r="K1389" s="449"/>
      <c r="M1389" s="349" t="str">
        <f>N1389&amp;AS[[#This Row],[Insurer Code]]&amp;"; "&amp;O1389&amp;AS[[#This Row],[Reporting Year]]&amp;"; "&amp;P1389&amp;AS[[#This Row],[Insurance Category Code]]&amp;"; "&amp;Q1389&amp;AS[[#This Row],[Large Provider Entity Code]]&amp;"; "&amp;R1389&amp;AS[[#This Row],[Age Band Code]]&amp;"; "&amp;S1389&amp;AS[[#This Row],[Sex Code]]</f>
        <v xml:space="preserve">Insurer Code ; Reporting Year ; Insurance Category Code ; Large Provider Entity Code ; Age Band Code ; Sex Code </v>
      </c>
      <c r="N1389" s="345" t="s">
        <v>207</v>
      </c>
      <c r="O1389" s="345" t="s">
        <v>208</v>
      </c>
      <c r="P1389" s="345" t="s">
        <v>209</v>
      </c>
      <c r="Q1389" s="345" t="s">
        <v>210</v>
      </c>
      <c r="R1389" s="345" t="s">
        <v>223</v>
      </c>
      <c r="S1389" s="345" t="s">
        <v>224</v>
      </c>
    </row>
    <row r="1390" spans="1:19" x14ac:dyDescent="0.25">
      <c r="A1390" s="311"/>
      <c r="B1390" s="312"/>
      <c r="C1390" s="312"/>
      <c r="D1390" s="312"/>
      <c r="E1390" s="312"/>
      <c r="F1390" s="312"/>
      <c r="G1390" s="328"/>
      <c r="H1390" s="337"/>
      <c r="I1390" s="334"/>
      <c r="J1390" s="314"/>
      <c r="K1390" s="449"/>
      <c r="M1390" s="349" t="str">
        <f>N1390&amp;AS[[#This Row],[Insurer Code]]&amp;"; "&amp;O1390&amp;AS[[#This Row],[Reporting Year]]&amp;"; "&amp;P1390&amp;AS[[#This Row],[Insurance Category Code]]&amp;"; "&amp;Q1390&amp;AS[[#This Row],[Large Provider Entity Code]]&amp;"; "&amp;R1390&amp;AS[[#This Row],[Age Band Code]]&amp;"; "&amp;S1390&amp;AS[[#This Row],[Sex Code]]</f>
        <v xml:space="preserve">Insurer Code ; Reporting Year ; Insurance Category Code ; Large Provider Entity Code ; Age Band Code ; Sex Code </v>
      </c>
      <c r="N1390" s="345" t="s">
        <v>207</v>
      </c>
      <c r="O1390" s="345" t="s">
        <v>208</v>
      </c>
      <c r="P1390" s="345" t="s">
        <v>209</v>
      </c>
      <c r="Q1390" s="345" t="s">
        <v>210</v>
      </c>
      <c r="R1390" s="345" t="s">
        <v>223</v>
      </c>
      <c r="S1390" s="345" t="s">
        <v>224</v>
      </c>
    </row>
    <row r="1391" spans="1:19" x14ac:dyDescent="0.25">
      <c r="A1391" s="311"/>
      <c r="B1391" s="312"/>
      <c r="C1391" s="312"/>
      <c r="D1391" s="312"/>
      <c r="E1391" s="312"/>
      <c r="F1391" s="312"/>
      <c r="G1391" s="328"/>
      <c r="H1391" s="337"/>
      <c r="I1391" s="334"/>
      <c r="J1391" s="314"/>
      <c r="K1391" s="449"/>
      <c r="M1391" s="349" t="str">
        <f>N1391&amp;AS[[#This Row],[Insurer Code]]&amp;"; "&amp;O1391&amp;AS[[#This Row],[Reporting Year]]&amp;"; "&amp;P1391&amp;AS[[#This Row],[Insurance Category Code]]&amp;"; "&amp;Q1391&amp;AS[[#This Row],[Large Provider Entity Code]]&amp;"; "&amp;R1391&amp;AS[[#This Row],[Age Band Code]]&amp;"; "&amp;S1391&amp;AS[[#This Row],[Sex Code]]</f>
        <v xml:space="preserve">Insurer Code ; Reporting Year ; Insurance Category Code ; Large Provider Entity Code ; Age Band Code ; Sex Code </v>
      </c>
      <c r="N1391" s="345" t="s">
        <v>207</v>
      </c>
      <c r="O1391" s="345" t="s">
        <v>208</v>
      </c>
      <c r="P1391" s="345" t="s">
        <v>209</v>
      </c>
      <c r="Q1391" s="345" t="s">
        <v>210</v>
      </c>
      <c r="R1391" s="345" t="s">
        <v>223</v>
      </c>
      <c r="S1391" s="345" t="s">
        <v>224</v>
      </c>
    </row>
    <row r="1392" spans="1:19" x14ac:dyDescent="0.25">
      <c r="A1392" s="311"/>
      <c r="B1392" s="312"/>
      <c r="C1392" s="312"/>
      <c r="D1392" s="312"/>
      <c r="E1392" s="312"/>
      <c r="F1392" s="312"/>
      <c r="G1392" s="328"/>
      <c r="H1392" s="337"/>
      <c r="I1392" s="334"/>
      <c r="J1392" s="314"/>
      <c r="K1392" s="449"/>
      <c r="M1392" s="349" t="str">
        <f>N1392&amp;AS[[#This Row],[Insurer Code]]&amp;"; "&amp;O1392&amp;AS[[#This Row],[Reporting Year]]&amp;"; "&amp;P1392&amp;AS[[#This Row],[Insurance Category Code]]&amp;"; "&amp;Q1392&amp;AS[[#This Row],[Large Provider Entity Code]]&amp;"; "&amp;R1392&amp;AS[[#This Row],[Age Band Code]]&amp;"; "&amp;S1392&amp;AS[[#This Row],[Sex Code]]</f>
        <v xml:space="preserve">Insurer Code ; Reporting Year ; Insurance Category Code ; Large Provider Entity Code ; Age Band Code ; Sex Code </v>
      </c>
      <c r="N1392" s="345" t="s">
        <v>207</v>
      </c>
      <c r="O1392" s="345" t="s">
        <v>208</v>
      </c>
      <c r="P1392" s="345" t="s">
        <v>209</v>
      </c>
      <c r="Q1392" s="345" t="s">
        <v>210</v>
      </c>
      <c r="R1392" s="345" t="s">
        <v>223</v>
      </c>
      <c r="S1392" s="345" t="s">
        <v>224</v>
      </c>
    </row>
    <row r="1393" spans="1:19" x14ac:dyDescent="0.25">
      <c r="A1393" s="311"/>
      <c r="B1393" s="312"/>
      <c r="C1393" s="312"/>
      <c r="D1393" s="312"/>
      <c r="E1393" s="312"/>
      <c r="F1393" s="312"/>
      <c r="G1393" s="328"/>
      <c r="H1393" s="337"/>
      <c r="I1393" s="334"/>
      <c r="J1393" s="314"/>
      <c r="K1393" s="449"/>
      <c r="M1393" s="349" t="str">
        <f>N1393&amp;AS[[#This Row],[Insurer Code]]&amp;"; "&amp;O1393&amp;AS[[#This Row],[Reporting Year]]&amp;"; "&amp;P1393&amp;AS[[#This Row],[Insurance Category Code]]&amp;"; "&amp;Q1393&amp;AS[[#This Row],[Large Provider Entity Code]]&amp;"; "&amp;R1393&amp;AS[[#This Row],[Age Band Code]]&amp;"; "&amp;S1393&amp;AS[[#This Row],[Sex Code]]</f>
        <v xml:space="preserve">Insurer Code ; Reporting Year ; Insurance Category Code ; Large Provider Entity Code ; Age Band Code ; Sex Code </v>
      </c>
      <c r="N1393" s="345" t="s">
        <v>207</v>
      </c>
      <c r="O1393" s="345" t="s">
        <v>208</v>
      </c>
      <c r="P1393" s="345" t="s">
        <v>209</v>
      </c>
      <c r="Q1393" s="345" t="s">
        <v>210</v>
      </c>
      <c r="R1393" s="345" t="s">
        <v>223</v>
      </c>
      <c r="S1393" s="345" t="s">
        <v>224</v>
      </c>
    </row>
    <row r="1394" spans="1:19" x14ac:dyDescent="0.25">
      <c r="A1394" s="311"/>
      <c r="B1394" s="312"/>
      <c r="C1394" s="312"/>
      <c r="D1394" s="312"/>
      <c r="E1394" s="312"/>
      <c r="F1394" s="312"/>
      <c r="G1394" s="328"/>
      <c r="H1394" s="337"/>
      <c r="I1394" s="334"/>
      <c r="J1394" s="314"/>
      <c r="K1394" s="449"/>
      <c r="M1394" s="349" t="str">
        <f>N1394&amp;AS[[#This Row],[Insurer Code]]&amp;"; "&amp;O1394&amp;AS[[#This Row],[Reporting Year]]&amp;"; "&amp;P1394&amp;AS[[#This Row],[Insurance Category Code]]&amp;"; "&amp;Q1394&amp;AS[[#This Row],[Large Provider Entity Code]]&amp;"; "&amp;R1394&amp;AS[[#This Row],[Age Band Code]]&amp;"; "&amp;S1394&amp;AS[[#This Row],[Sex Code]]</f>
        <v xml:space="preserve">Insurer Code ; Reporting Year ; Insurance Category Code ; Large Provider Entity Code ; Age Band Code ; Sex Code </v>
      </c>
      <c r="N1394" s="345" t="s">
        <v>207</v>
      </c>
      <c r="O1394" s="345" t="s">
        <v>208</v>
      </c>
      <c r="P1394" s="345" t="s">
        <v>209</v>
      </c>
      <c r="Q1394" s="345" t="s">
        <v>210</v>
      </c>
      <c r="R1394" s="345" t="s">
        <v>223</v>
      </c>
      <c r="S1394" s="345" t="s">
        <v>224</v>
      </c>
    </row>
    <row r="1395" spans="1:19" x14ac:dyDescent="0.25">
      <c r="A1395" s="311"/>
      <c r="B1395" s="312"/>
      <c r="C1395" s="312"/>
      <c r="D1395" s="312"/>
      <c r="E1395" s="312"/>
      <c r="F1395" s="312"/>
      <c r="G1395" s="328"/>
      <c r="H1395" s="337"/>
      <c r="I1395" s="334"/>
      <c r="J1395" s="314"/>
      <c r="K1395" s="449"/>
      <c r="M1395" s="349" t="str">
        <f>N1395&amp;AS[[#This Row],[Insurer Code]]&amp;"; "&amp;O1395&amp;AS[[#This Row],[Reporting Year]]&amp;"; "&amp;P1395&amp;AS[[#This Row],[Insurance Category Code]]&amp;"; "&amp;Q1395&amp;AS[[#This Row],[Large Provider Entity Code]]&amp;"; "&amp;R1395&amp;AS[[#This Row],[Age Band Code]]&amp;"; "&amp;S1395&amp;AS[[#This Row],[Sex Code]]</f>
        <v xml:space="preserve">Insurer Code ; Reporting Year ; Insurance Category Code ; Large Provider Entity Code ; Age Band Code ; Sex Code </v>
      </c>
      <c r="N1395" s="345" t="s">
        <v>207</v>
      </c>
      <c r="O1395" s="345" t="s">
        <v>208</v>
      </c>
      <c r="P1395" s="345" t="s">
        <v>209</v>
      </c>
      <c r="Q1395" s="345" t="s">
        <v>210</v>
      </c>
      <c r="R1395" s="345" t="s">
        <v>223</v>
      </c>
      <c r="S1395" s="345" t="s">
        <v>224</v>
      </c>
    </row>
    <row r="1396" spans="1:19" x14ac:dyDescent="0.25">
      <c r="A1396" s="311"/>
      <c r="B1396" s="312"/>
      <c r="C1396" s="312"/>
      <c r="D1396" s="312"/>
      <c r="E1396" s="312"/>
      <c r="F1396" s="312"/>
      <c r="G1396" s="328"/>
      <c r="H1396" s="337"/>
      <c r="I1396" s="334"/>
      <c r="J1396" s="314"/>
      <c r="K1396" s="449"/>
      <c r="M1396" s="349" t="str">
        <f>N1396&amp;AS[[#This Row],[Insurer Code]]&amp;"; "&amp;O1396&amp;AS[[#This Row],[Reporting Year]]&amp;"; "&amp;P1396&amp;AS[[#This Row],[Insurance Category Code]]&amp;"; "&amp;Q1396&amp;AS[[#This Row],[Large Provider Entity Code]]&amp;"; "&amp;R1396&amp;AS[[#This Row],[Age Band Code]]&amp;"; "&amp;S1396&amp;AS[[#This Row],[Sex Code]]</f>
        <v xml:space="preserve">Insurer Code ; Reporting Year ; Insurance Category Code ; Large Provider Entity Code ; Age Band Code ; Sex Code </v>
      </c>
      <c r="N1396" s="345" t="s">
        <v>207</v>
      </c>
      <c r="O1396" s="345" t="s">
        <v>208</v>
      </c>
      <c r="P1396" s="345" t="s">
        <v>209</v>
      </c>
      <c r="Q1396" s="345" t="s">
        <v>210</v>
      </c>
      <c r="R1396" s="345" t="s">
        <v>223</v>
      </c>
      <c r="S1396" s="345" t="s">
        <v>224</v>
      </c>
    </row>
    <row r="1397" spans="1:19" x14ac:dyDescent="0.25">
      <c r="A1397" s="311"/>
      <c r="B1397" s="312"/>
      <c r="C1397" s="312"/>
      <c r="D1397" s="312"/>
      <c r="E1397" s="312"/>
      <c r="F1397" s="312"/>
      <c r="G1397" s="328"/>
      <c r="H1397" s="337"/>
      <c r="I1397" s="334"/>
      <c r="J1397" s="314"/>
      <c r="K1397" s="449"/>
      <c r="M1397" s="349" t="str">
        <f>N1397&amp;AS[[#This Row],[Insurer Code]]&amp;"; "&amp;O1397&amp;AS[[#This Row],[Reporting Year]]&amp;"; "&amp;P1397&amp;AS[[#This Row],[Insurance Category Code]]&amp;"; "&amp;Q1397&amp;AS[[#This Row],[Large Provider Entity Code]]&amp;"; "&amp;R1397&amp;AS[[#This Row],[Age Band Code]]&amp;"; "&amp;S1397&amp;AS[[#This Row],[Sex Code]]</f>
        <v xml:space="preserve">Insurer Code ; Reporting Year ; Insurance Category Code ; Large Provider Entity Code ; Age Band Code ; Sex Code </v>
      </c>
      <c r="N1397" s="345" t="s">
        <v>207</v>
      </c>
      <c r="O1397" s="345" t="s">
        <v>208</v>
      </c>
      <c r="P1397" s="345" t="s">
        <v>209</v>
      </c>
      <c r="Q1397" s="345" t="s">
        <v>210</v>
      </c>
      <c r="R1397" s="345" t="s">
        <v>223</v>
      </c>
      <c r="S1397" s="345" t="s">
        <v>224</v>
      </c>
    </row>
    <row r="1398" spans="1:19" x14ac:dyDescent="0.25">
      <c r="A1398" s="311"/>
      <c r="B1398" s="312"/>
      <c r="C1398" s="312"/>
      <c r="D1398" s="312"/>
      <c r="E1398" s="312"/>
      <c r="F1398" s="312"/>
      <c r="G1398" s="328"/>
      <c r="H1398" s="337"/>
      <c r="I1398" s="334"/>
      <c r="J1398" s="314"/>
      <c r="K1398" s="449"/>
      <c r="M1398" s="349" t="str">
        <f>N1398&amp;AS[[#This Row],[Insurer Code]]&amp;"; "&amp;O1398&amp;AS[[#This Row],[Reporting Year]]&amp;"; "&amp;P1398&amp;AS[[#This Row],[Insurance Category Code]]&amp;"; "&amp;Q1398&amp;AS[[#This Row],[Large Provider Entity Code]]&amp;"; "&amp;R1398&amp;AS[[#This Row],[Age Band Code]]&amp;"; "&amp;S1398&amp;AS[[#This Row],[Sex Code]]</f>
        <v xml:space="preserve">Insurer Code ; Reporting Year ; Insurance Category Code ; Large Provider Entity Code ; Age Band Code ; Sex Code </v>
      </c>
      <c r="N1398" s="345" t="s">
        <v>207</v>
      </c>
      <c r="O1398" s="345" t="s">
        <v>208</v>
      </c>
      <c r="P1398" s="345" t="s">
        <v>209</v>
      </c>
      <c r="Q1398" s="345" t="s">
        <v>210</v>
      </c>
      <c r="R1398" s="345" t="s">
        <v>223</v>
      </c>
      <c r="S1398" s="345" t="s">
        <v>224</v>
      </c>
    </row>
    <row r="1399" spans="1:19" x14ac:dyDescent="0.25">
      <c r="A1399" s="311"/>
      <c r="B1399" s="312"/>
      <c r="C1399" s="312"/>
      <c r="D1399" s="312"/>
      <c r="E1399" s="312"/>
      <c r="F1399" s="312"/>
      <c r="G1399" s="328"/>
      <c r="H1399" s="337"/>
      <c r="I1399" s="334"/>
      <c r="J1399" s="314"/>
      <c r="K1399" s="449"/>
      <c r="M1399" s="349" t="str">
        <f>N1399&amp;AS[[#This Row],[Insurer Code]]&amp;"; "&amp;O1399&amp;AS[[#This Row],[Reporting Year]]&amp;"; "&amp;P1399&amp;AS[[#This Row],[Insurance Category Code]]&amp;"; "&amp;Q1399&amp;AS[[#This Row],[Large Provider Entity Code]]&amp;"; "&amp;R1399&amp;AS[[#This Row],[Age Band Code]]&amp;"; "&amp;S1399&amp;AS[[#This Row],[Sex Code]]</f>
        <v xml:space="preserve">Insurer Code ; Reporting Year ; Insurance Category Code ; Large Provider Entity Code ; Age Band Code ; Sex Code </v>
      </c>
      <c r="N1399" s="345" t="s">
        <v>207</v>
      </c>
      <c r="O1399" s="345" t="s">
        <v>208</v>
      </c>
      <c r="P1399" s="345" t="s">
        <v>209</v>
      </c>
      <c r="Q1399" s="345" t="s">
        <v>210</v>
      </c>
      <c r="R1399" s="345" t="s">
        <v>223</v>
      </c>
      <c r="S1399" s="345" t="s">
        <v>224</v>
      </c>
    </row>
    <row r="1400" spans="1:19" x14ac:dyDescent="0.25">
      <c r="A1400" s="311"/>
      <c r="B1400" s="312"/>
      <c r="C1400" s="312"/>
      <c r="D1400" s="312"/>
      <c r="E1400" s="312"/>
      <c r="F1400" s="312"/>
      <c r="G1400" s="328"/>
      <c r="H1400" s="337"/>
      <c r="I1400" s="334"/>
      <c r="J1400" s="314"/>
      <c r="K1400" s="449"/>
      <c r="M1400" s="349" t="str">
        <f>N1400&amp;AS[[#This Row],[Insurer Code]]&amp;"; "&amp;O1400&amp;AS[[#This Row],[Reporting Year]]&amp;"; "&amp;P1400&amp;AS[[#This Row],[Insurance Category Code]]&amp;"; "&amp;Q1400&amp;AS[[#This Row],[Large Provider Entity Code]]&amp;"; "&amp;R1400&amp;AS[[#This Row],[Age Band Code]]&amp;"; "&amp;S1400&amp;AS[[#This Row],[Sex Code]]</f>
        <v xml:space="preserve">Insurer Code ; Reporting Year ; Insurance Category Code ; Large Provider Entity Code ; Age Band Code ; Sex Code </v>
      </c>
      <c r="N1400" s="345" t="s">
        <v>207</v>
      </c>
      <c r="O1400" s="345" t="s">
        <v>208</v>
      </c>
      <c r="P1400" s="345" t="s">
        <v>209</v>
      </c>
      <c r="Q1400" s="345" t="s">
        <v>210</v>
      </c>
      <c r="R1400" s="345" t="s">
        <v>223</v>
      </c>
      <c r="S1400" s="345" t="s">
        <v>224</v>
      </c>
    </row>
    <row r="1401" spans="1:19" x14ac:dyDescent="0.25">
      <c r="A1401" s="311"/>
      <c r="B1401" s="312"/>
      <c r="C1401" s="312"/>
      <c r="D1401" s="312"/>
      <c r="E1401" s="312"/>
      <c r="F1401" s="312"/>
      <c r="G1401" s="328"/>
      <c r="H1401" s="337"/>
      <c r="I1401" s="334"/>
      <c r="J1401" s="314"/>
      <c r="K1401" s="449"/>
      <c r="M1401" s="349" t="str">
        <f>N1401&amp;AS[[#This Row],[Insurer Code]]&amp;"; "&amp;O1401&amp;AS[[#This Row],[Reporting Year]]&amp;"; "&amp;P1401&amp;AS[[#This Row],[Insurance Category Code]]&amp;"; "&amp;Q1401&amp;AS[[#This Row],[Large Provider Entity Code]]&amp;"; "&amp;R1401&amp;AS[[#This Row],[Age Band Code]]&amp;"; "&amp;S1401&amp;AS[[#This Row],[Sex Code]]</f>
        <v xml:space="preserve">Insurer Code ; Reporting Year ; Insurance Category Code ; Large Provider Entity Code ; Age Band Code ; Sex Code </v>
      </c>
      <c r="N1401" s="345" t="s">
        <v>207</v>
      </c>
      <c r="O1401" s="345" t="s">
        <v>208</v>
      </c>
      <c r="P1401" s="345" t="s">
        <v>209</v>
      </c>
      <c r="Q1401" s="345" t="s">
        <v>210</v>
      </c>
      <c r="R1401" s="345" t="s">
        <v>223</v>
      </c>
      <c r="S1401" s="345" t="s">
        <v>224</v>
      </c>
    </row>
    <row r="1402" spans="1:19" x14ac:dyDescent="0.25">
      <c r="A1402" s="311"/>
      <c r="B1402" s="312"/>
      <c r="C1402" s="312"/>
      <c r="D1402" s="312"/>
      <c r="E1402" s="312"/>
      <c r="F1402" s="312"/>
      <c r="G1402" s="328"/>
      <c r="H1402" s="337"/>
      <c r="I1402" s="334"/>
      <c r="J1402" s="314"/>
      <c r="K1402" s="449"/>
      <c r="M1402" s="349" t="str">
        <f>N1402&amp;AS[[#This Row],[Insurer Code]]&amp;"; "&amp;O1402&amp;AS[[#This Row],[Reporting Year]]&amp;"; "&amp;P1402&amp;AS[[#This Row],[Insurance Category Code]]&amp;"; "&amp;Q1402&amp;AS[[#This Row],[Large Provider Entity Code]]&amp;"; "&amp;R1402&amp;AS[[#This Row],[Age Band Code]]&amp;"; "&amp;S1402&amp;AS[[#This Row],[Sex Code]]</f>
        <v xml:space="preserve">Insurer Code ; Reporting Year ; Insurance Category Code ; Large Provider Entity Code ; Age Band Code ; Sex Code </v>
      </c>
      <c r="N1402" s="345" t="s">
        <v>207</v>
      </c>
      <c r="O1402" s="345" t="s">
        <v>208</v>
      </c>
      <c r="P1402" s="345" t="s">
        <v>209</v>
      </c>
      <c r="Q1402" s="345" t="s">
        <v>210</v>
      </c>
      <c r="R1402" s="345" t="s">
        <v>223</v>
      </c>
      <c r="S1402" s="345" t="s">
        <v>224</v>
      </c>
    </row>
    <row r="1403" spans="1:19" x14ac:dyDescent="0.25">
      <c r="A1403" s="311"/>
      <c r="B1403" s="312"/>
      <c r="C1403" s="312"/>
      <c r="D1403" s="312"/>
      <c r="E1403" s="312"/>
      <c r="F1403" s="312"/>
      <c r="G1403" s="328"/>
      <c r="H1403" s="337"/>
      <c r="I1403" s="334"/>
      <c r="J1403" s="314"/>
      <c r="K1403" s="449"/>
      <c r="M1403" s="349" t="str">
        <f>N1403&amp;AS[[#This Row],[Insurer Code]]&amp;"; "&amp;O1403&amp;AS[[#This Row],[Reporting Year]]&amp;"; "&amp;P1403&amp;AS[[#This Row],[Insurance Category Code]]&amp;"; "&amp;Q1403&amp;AS[[#This Row],[Large Provider Entity Code]]&amp;"; "&amp;R1403&amp;AS[[#This Row],[Age Band Code]]&amp;"; "&amp;S1403&amp;AS[[#This Row],[Sex Code]]</f>
        <v xml:space="preserve">Insurer Code ; Reporting Year ; Insurance Category Code ; Large Provider Entity Code ; Age Band Code ; Sex Code </v>
      </c>
      <c r="N1403" s="345" t="s">
        <v>207</v>
      </c>
      <c r="O1403" s="345" t="s">
        <v>208</v>
      </c>
      <c r="P1403" s="345" t="s">
        <v>209</v>
      </c>
      <c r="Q1403" s="345" t="s">
        <v>210</v>
      </c>
      <c r="R1403" s="345" t="s">
        <v>223</v>
      </c>
      <c r="S1403" s="345" t="s">
        <v>224</v>
      </c>
    </row>
    <row r="1404" spans="1:19" x14ac:dyDescent="0.25">
      <c r="A1404" s="311"/>
      <c r="B1404" s="312"/>
      <c r="C1404" s="312"/>
      <c r="D1404" s="312"/>
      <c r="E1404" s="312"/>
      <c r="F1404" s="312"/>
      <c r="G1404" s="328"/>
      <c r="H1404" s="337"/>
      <c r="I1404" s="334"/>
      <c r="J1404" s="314"/>
      <c r="K1404" s="449"/>
      <c r="M1404" s="349" t="str">
        <f>N1404&amp;AS[[#This Row],[Insurer Code]]&amp;"; "&amp;O1404&amp;AS[[#This Row],[Reporting Year]]&amp;"; "&amp;P1404&amp;AS[[#This Row],[Insurance Category Code]]&amp;"; "&amp;Q1404&amp;AS[[#This Row],[Large Provider Entity Code]]&amp;"; "&amp;R1404&amp;AS[[#This Row],[Age Band Code]]&amp;"; "&amp;S1404&amp;AS[[#This Row],[Sex Code]]</f>
        <v xml:space="preserve">Insurer Code ; Reporting Year ; Insurance Category Code ; Large Provider Entity Code ; Age Band Code ; Sex Code </v>
      </c>
      <c r="N1404" s="345" t="s">
        <v>207</v>
      </c>
      <c r="O1404" s="345" t="s">
        <v>208</v>
      </c>
      <c r="P1404" s="345" t="s">
        <v>209</v>
      </c>
      <c r="Q1404" s="345" t="s">
        <v>210</v>
      </c>
      <c r="R1404" s="345" t="s">
        <v>223</v>
      </c>
      <c r="S1404" s="345" t="s">
        <v>224</v>
      </c>
    </row>
    <row r="1405" spans="1:19" x14ac:dyDescent="0.25">
      <c r="A1405" s="311"/>
      <c r="B1405" s="312"/>
      <c r="C1405" s="312"/>
      <c r="D1405" s="312"/>
      <c r="E1405" s="312"/>
      <c r="F1405" s="312"/>
      <c r="G1405" s="328"/>
      <c r="H1405" s="337"/>
      <c r="I1405" s="334"/>
      <c r="J1405" s="314"/>
      <c r="K1405" s="449"/>
      <c r="M1405" s="349" t="str">
        <f>N1405&amp;AS[[#This Row],[Insurer Code]]&amp;"; "&amp;O1405&amp;AS[[#This Row],[Reporting Year]]&amp;"; "&amp;P1405&amp;AS[[#This Row],[Insurance Category Code]]&amp;"; "&amp;Q1405&amp;AS[[#This Row],[Large Provider Entity Code]]&amp;"; "&amp;R1405&amp;AS[[#This Row],[Age Band Code]]&amp;"; "&amp;S1405&amp;AS[[#This Row],[Sex Code]]</f>
        <v xml:space="preserve">Insurer Code ; Reporting Year ; Insurance Category Code ; Large Provider Entity Code ; Age Band Code ; Sex Code </v>
      </c>
      <c r="N1405" s="345" t="s">
        <v>207</v>
      </c>
      <c r="O1405" s="345" t="s">
        <v>208</v>
      </c>
      <c r="P1405" s="345" t="s">
        <v>209</v>
      </c>
      <c r="Q1405" s="345" t="s">
        <v>210</v>
      </c>
      <c r="R1405" s="345" t="s">
        <v>223</v>
      </c>
      <c r="S1405" s="345" t="s">
        <v>224</v>
      </c>
    </row>
    <row r="1406" spans="1:19" x14ac:dyDescent="0.25">
      <c r="A1406" s="311"/>
      <c r="B1406" s="312"/>
      <c r="C1406" s="312"/>
      <c r="D1406" s="312"/>
      <c r="E1406" s="312"/>
      <c r="F1406" s="312"/>
      <c r="G1406" s="328"/>
      <c r="H1406" s="337"/>
      <c r="I1406" s="334"/>
      <c r="J1406" s="314"/>
      <c r="K1406" s="449"/>
      <c r="M1406" s="349" t="str">
        <f>N1406&amp;AS[[#This Row],[Insurer Code]]&amp;"; "&amp;O1406&amp;AS[[#This Row],[Reporting Year]]&amp;"; "&amp;P1406&amp;AS[[#This Row],[Insurance Category Code]]&amp;"; "&amp;Q1406&amp;AS[[#This Row],[Large Provider Entity Code]]&amp;"; "&amp;R1406&amp;AS[[#This Row],[Age Band Code]]&amp;"; "&amp;S1406&amp;AS[[#This Row],[Sex Code]]</f>
        <v xml:space="preserve">Insurer Code ; Reporting Year ; Insurance Category Code ; Large Provider Entity Code ; Age Band Code ; Sex Code </v>
      </c>
      <c r="N1406" s="345" t="s">
        <v>207</v>
      </c>
      <c r="O1406" s="345" t="s">
        <v>208</v>
      </c>
      <c r="P1406" s="345" t="s">
        <v>209</v>
      </c>
      <c r="Q1406" s="345" t="s">
        <v>210</v>
      </c>
      <c r="R1406" s="345" t="s">
        <v>223</v>
      </c>
      <c r="S1406" s="345" t="s">
        <v>224</v>
      </c>
    </row>
    <row r="1407" spans="1:19" x14ac:dyDescent="0.25">
      <c r="A1407" s="311"/>
      <c r="B1407" s="312"/>
      <c r="C1407" s="312"/>
      <c r="D1407" s="312"/>
      <c r="E1407" s="312"/>
      <c r="F1407" s="312"/>
      <c r="G1407" s="328"/>
      <c r="H1407" s="337"/>
      <c r="I1407" s="334"/>
      <c r="J1407" s="314"/>
      <c r="K1407" s="449"/>
      <c r="M1407" s="349" t="str">
        <f>N1407&amp;AS[[#This Row],[Insurer Code]]&amp;"; "&amp;O1407&amp;AS[[#This Row],[Reporting Year]]&amp;"; "&amp;P1407&amp;AS[[#This Row],[Insurance Category Code]]&amp;"; "&amp;Q1407&amp;AS[[#This Row],[Large Provider Entity Code]]&amp;"; "&amp;R1407&amp;AS[[#This Row],[Age Band Code]]&amp;"; "&amp;S1407&amp;AS[[#This Row],[Sex Code]]</f>
        <v xml:space="preserve">Insurer Code ; Reporting Year ; Insurance Category Code ; Large Provider Entity Code ; Age Band Code ; Sex Code </v>
      </c>
      <c r="N1407" s="345" t="s">
        <v>207</v>
      </c>
      <c r="O1407" s="345" t="s">
        <v>208</v>
      </c>
      <c r="P1407" s="345" t="s">
        <v>209</v>
      </c>
      <c r="Q1407" s="345" t="s">
        <v>210</v>
      </c>
      <c r="R1407" s="345" t="s">
        <v>223</v>
      </c>
      <c r="S1407" s="345" t="s">
        <v>224</v>
      </c>
    </row>
    <row r="1408" spans="1:19" x14ac:dyDescent="0.25">
      <c r="A1408" s="311"/>
      <c r="B1408" s="312"/>
      <c r="C1408" s="312"/>
      <c r="D1408" s="312"/>
      <c r="E1408" s="312"/>
      <c r="F1408" s="312"/>
      <c r="G1408" s="328"/>
      <c r="H1408" s="337"/>
      <c r="I1408" s="334"/>
      <c r="J1408" s="314"/>
      <c r="K1408" s="449"/>
      <c r="M1408" s="349" t="str">
        <f>N1408&amp;AS[[#This Row],[Insurer Code]]&amp;"; "&amp;O1408&amp;AS[[#This Row],[Reporting Year]]&amp;"; "&amp;P1408&amp;AS[[#This Row],[Insurance Category Code]]&amp;"; "&amp;Q1408&amp;AS[[#This Row],[Large Provider Entity Code]]&amp;"; "&amp;R1408&amp;AS[[#This Row],[Age Band Code]]&amp;"; "&amp;S1408&amp;AS[[#This Row],[Sex Code]]</f>
        <v xml:space="preserve">Insurer Code ; Reporting Year ; Insurance Category Code ; Large Provider Entity Code ; Age Band Code ; Sex Code </v>
      </c>
      <c r="N1408" s="345" t="s">
        <v>207</v>
      </c>
      <c r="O1408" s="345" t="s">
        <v>208</v>
      </c>
      <c r="P1408" s="345" t="s">
        <v>209</v>
      </c>
      <c r="Q1408" s="345" t="s">
        <v>210</v>
      </c>
      <c r="R1408" s="345" t="s">
        <v>223</v>
      </c>
      <c r="S1408" s="345" t="s">
        <v>224</v>
      </c>
    </row>
    <row r="1409" spans="1:19" x14ac:dyDescent="0.25">
      <c r="A1409" s="311"/>
      <c r="B1409" s="312"/>
      <c r="C1409" s="312"/>
      <c r="D1409" s="312"/>
      <c r="E1409" s="312"/>
      <c r="F1409" s="312"/>
      <c r="G1409" s="328"/>
      <c r="H1409" s="337"/>
      <c r="I1409" s="334"/>
      <c r="J1409" s="314"/>
      <c r="K1409" s="449"/>
      <c r="M1409" s="349" t="str">
        <f>N1409&amp;AS[[#This Row],[Insurer Code]]&amp;"; "&amp;O1409&amp;AS[[#This Row],[Reporting Year]]&amp;"; "&amp;P1409&amp;AS[[#This Row],[Insurance Category Code]]&amp;"; "&amp;Q1409&amp;AS[[#This Row],[Large Provider Entity Code]]&amp;"; "&amp;R1409&amp;AS[[#This Row],[Age Band Code]]&amp;"; "&amp;S1409&amp;AS[[#This Row],[Sex Code]]</f>
        <v xml:space="preserve">Insurer Code ; Reporting Year ; Insurance Category Code ; Large Provider Entity Code ; Age Band Code ; Sex Code </v>
      </c>
      <c r="N1409" s="345" t="s">
        <v>207</v>
      </c>
      <c r="O1409" s="345" t="s">
        <v>208</v>
      </c>
      <c r="P1409" s="345" t="s">
        <v>209</v>
      </c>
      <c r="Q1409" s="345" t="s">
        <v>210</v>
      </c>
      <c r="R1409" s="345" t="s">
        <v>223</v>
      </c>
      <c r="S1409" s="345" t="s">
        <v>224</v>
      </c>
    </row>
    <row r="1410" spans="1:19" x14ac:dyDescent="0.25">
      <c r="A1410" s="311"/>
      <c r="B1410" s="312"/>
      <c r="C1410" s="312"/>
      <c r="D1410" s="312"/>
      <c r="E1410" s="312"/>
      <c r="F1410" s="312"/>
      <c r="G1410" s="328"/>
      <c r="H1410" s="337"/>
      <c r="I1410" s="334"/>
      <c r="J1410" s="314"/>
      <c r="K1410" s="449"/>
      <c r="M1410" s="349" t="str">
        <f>N1410&amp;AS[[#This Row],[Insurer Code]]&amp;"; "&amp;O1410&amp;AS[[#This Row],[Reporting Year]]&amp;"; "&amp;P1410&amp;AS[[#This Row],[Insurance Category Code]]&amp;"; "&amp;Q1410&amp;AS[[#This Row],[Large Provider Entity Code]]&amp;"; "&amp;R1410&amp;AS[[#This Row],[Age Band Code]]&amp;"; "&amp;S1410&amp;AS[[#This Row],[Sex Code]]</f>
        <v xml:space="preserve">Insurer Code ; Reporting Year ; Insurance Category Code ; Large Provider Entity Code ; Age Band Code ; Sex Code </v>
      </c>
      <c r="N1410" s="345" t="s">
        <v>207</v>
      </c>
      <c r="O1410" s="345" t="s">
        <v>208</v>
      </c>
      <c r="P1410" s="345" t="s">
        <v>209</v>
      </c>
      <c r="Q1410" s="345" t="s">
        <v>210</v>
      </c>
      <c r="R1410" s="345" t="s">
        <v>223</v>
      </c>
      <c r="S1410" s="345" t="s">
        <v>224</v>
      </c>
    </row>
    <row r="1411" spans="1:19" x14ac:dyDescent="0.25">
      <c r="A1411" s="311"/>
      <c r="B1411" s="312"/>
      <c r="C1411" s="312"/>
      <c r="D1411" s="312"/>
      <c r="E1411" s="312"/>
      <c r="F1411" s="312"/>
      <c r="G1411" s="328"/>
      <c r="H1411" s="337"/>
      <c r="I1411" s="334"/>
      <c r="J1411" s="314"/>
      <c r="K1411" s="449"/>
      <c r="M1411" s="349" t="str">
        <f>N1411&amp;AS[[#This Row],[Insurer Code]]&amp;"; "&amp;O1411&amp;AS[[#This Row],[Reporting Year]]&amp;"; "&amp;P1411&amp;AS[[#This Row],[Insurance Category Code]]&amp;"; "&amp;Q1411&amp;AS[[#This Row],[Large Provider Entity Code]]&amp;"; "&amp;R1411&amp;AS[[#This Row],[Age Band Code]]&amp;"; "&amp;S1411&amp;AS[[#This Row],[Sex Code]]</f>
        <v xml:space="preserve">Insurer Code ; Reporting Year ; Insurance Category Code ; Large Provider Entity Code ; Age Band Code ; Sex Code </v>
      </c>
      <c r="N1411" s="345" t="s">
        <v>207</v>
      </c>
      <c r="O1411" s="345" t="s">
        <v>208</v>
      </c>
      <c r="P1411" s="345" t="s">
        <v>209</v>
      </c>
      <c r="Q1411" s="345" t="s">
        <v>210</v>
      </c>
      <c r="R1411" s="345" t="s">
        <v>223</v>
      </c>
      <c r="S1411" s="345" t="s">
        <v>224</v>
      </c>
    </row>
    <row r="1412" spans="1:19" x14ac:dyDescent="0.25">
      <c r="A1412" s="311"/>
      <c r="B1412" s="312"/>
      <c r="C1412" s="312"/>
      <c r="D1412" s="312"/>
      <c r="E1412" s="312"/>
      <c r="F1412" s="312"/>
      <c r="G1412" s="328"/>
      <c r="H1412" s="337"/>
      <c r="I1412" s="334"/>
      <c r="J1412" s="314"/>
      <c r="K1412" s="449"/>
      <c r="M1412" s="349" t="str">
        <f>N1412&amp;AS[[#This Row],[Insurer Code]]&amp;"; "&amp;O1412&amp;AS[[#This Row],[Reporting Year]]&amp;"; "&amp;P1412&amp;AS[[#This Row],[Insurance Category Code]]&amp;"; "&amp;Q1412&amp;AS[[#This Row],[Large Provider Entity Code]]&amp;"; "&amp;R1412&amp;AS[[#This Row],[Age Band Code]]&amp;"; "&amp;S1412&amp;AS[[#This Row],[Sex Code]]</f>
        <v xml:space="preserve">Insurer Code ; Reporting Year ; Insurance Category Code ; Large Provider Entity Code ; Age Band Code ; Sex Code </v>
      </c>
      <c r="N1412" s="345" t="s">
        <v>207</v>
      </c>
      <c r="O1412" s="345" t="s">
        <v>208</v>
      </c>
      <c r="P1412" s="345" t="s">
        <v>209</v>
      </c>
      <c r="Q1412" s="345" t="s">
        <v>210</v>
      </c>
      <c r="R1412" s="345" t="s">
        <v>223</v>
      </c>
      <c r="S1412" s="345" t="s">
        <v>224</v>
      </c>
    </row>
    <row r="1413" spans="1:19" x14ac:dyDescent="0.25">
      <c r="A1413" s="311"/>
      <c r="B1413" s="312"/>
      <c r="C1413" s="312"/>
      <c r="D1413" s="312"/>
      <c r="E1413" s="312"/>
      <c r="F1413" s="312"/>
      <c r="G1413" s="328"/>
      <c r="H1413" s="337"/>
      <c r="I1413" s="334"/>
      <c r="J1413" s="314"/>
      <c r="K1413" s="449"/>
      <c r="M1413" s="349" t="str">
        <f>N1413&amp;AS[[#This Row],[Insurer Code]]&amp;"; "&amp;O1413&amp;AS[[#This Row],[Reporting Year]]&amp;"; "&amp;P1413&amp;AS[[#This Row],[Insurance Category Code]]&amp;"; "&amp;Q1413&amp;AS[[#This Row],[Large Provider Entity Code]]&amp;"; "&amp;R1413&amp;AS[[#This Row],[Age Band Code]]&amp;"; "&amp;S1413&amp;AS[[#This Row],[Sex Code]]</f>
        <v xml:space="preserve">Insurer Code ; Reporting Year ; Insurance Category Code ; Large Provider Entity Code ; Age Band Code ; Sex Code </v>
      </c>
      <c r="N1413" s="345" t="s">
        <v>207</v>
      </c>
      <c r="O1413" s="345" t="s">
        <v>208</v>
      </c>
      <c r="P1413" s="345" t="s">
        <v>209</v>
      </c>
      <c r="Q1413" s="345" t="s">
        <v>210</v>
      </c>
      <c r="R1413" s="345" t="s">
        <v>223</v>
      </c>
      <c r="S1413" s="345" t="s">
        <v>224</v>
      </c>
    </row>
    <row r="1414" spans="1:19" x14ac:dyDescent="0.25">
      <c r="A1414" s="311"/>
      <c r="B1414" s="312"/>
      <c r="C1414" s="312"/>
      <c r="D1414" s="312"/>
      <c r="E1414" s="312"/>
      <c r="F1414" s="312"/>
      <c r="G1414" s="328"/>
      <c r="H1414" s="337"/>
      <c r="I1414" s="334"/>
      <c r="J1414" s="314"/>
      <c r="K1414" s="449"/>
      <c r="M1414" s="349" t="str">
        <f>N1414&amp;AS[[#This Row],[Insurer Code]]&amp;"; "&amp;O1414&amp;AS[[#This Row],[Reporting Year]]&amp;"; "&amp;P1414&amp;AS[[#This Row],[Insurance Category Code]]&amp;"; "&amp;Q1414&amp;AS[[#This Row],[Large Provider Entity Code]]&amp;"; "&amp;R1414&amp;AS[[#This Row],[Age Band Code]]&amp;"; "&amp;S1414&amp;AS[[#This Row],[Sex Code]]</f>
        <v xml:space="preserve">Insurer Code ; Reporting Year ; Insurance Category Code ; Large Provider Entity Code ; Age Band Code ; Sex Code </v>
      </c>
      <c r="N1414" s="345" t="s">
        <v>207</v>
      </c>
      <c r="O1414" s="345" t="s">
        <v>208</v>
      </c>
      <c r="P1414" s="345" t="s">
        <v>209</v>
      </c>
      <c r="Q1414" s="345" t="s">
        <v>210</v>
      </c>
      <c r="R1414" s="345" t="s">
        <v>223</v>
      </c>
      <c r="S1414" s="345" t="s">
        <v>224</v>
      </c>
    </row>
    <row r="1415" spans="1:19" x14ac:dyDescent="0.25">
      <c r="A1415" s="311"/>
      <c r="B1415" s="312"/>
      <c r="C1415" s="312"/>
      <c r="D1415" s="312"/>
      <c r="E1415" s="312"/>
      <c r="F1415" s="312"/>
      <c r="G1415" s="328"/>
      <c r="H1415" s="337"/>
      <c r="I1415" s="334"/>
      <c r="J1415" s="314"/>
      <c r="K1415" s="449"/>
      <c r="M1415" s="349" t="str">
        <f>N1415&amp;AS[[#This Row],[Insurer Code]]&amp;"; "&amp;O1415&amp;AS[[#This Row],[Reporting Year]]&amp;"; "&amp;P1415&amp;AS[[#This Row],[Insurance Category Code]]&amp;"; "&amp;Q1415&amp;AS[[#This Row],[Large Provider Entity Code]]&amp;"; "&amp;R1415&amp;AS[[#This Row],[Age Band Code]]&amp;"; "&amp;S1415&amp;AS[[#This Row],[Sex Code]]</f>
        <v xml:space="preserve">Insurer Code ; Reporting Year ; Insurance Category Code ; Large Provider Entity Code ; Age Band Code ; Sex Code </v>
      </c>
      <c r="N1415" s="345" t="s">
        <v>207</v>
      </c>
      <c r="O1415" s="345" t="s">
        <v>208</v>
      </c>
      <c r="P1415" s="345" t="s">
        <v>209</v>
      </c>
      <c r="Q1415" s="345" t="s">
        <v>210</v>
      </c>
      <c r="R1415" s="345" t="s">
        <v>223</v>
      </c>
      <c r="S1415" s="345" t="s">
        <v>224</v>
      </c>
    </row>
    <row r="1416" spans="1:19" x14ac:dyDescent="0.25">
      <c r="A1416" s="311"/>
      <c r="B1416" s="312"/>
      <c r="C1416" s="312"/>
      <c r="D1416" s="312"/>
      <c r="E1416" s="312"/>
      <c r="F1416" s="312"/>
      <c r="G1416" s="328"/>
      <c r="H1416" s="337"/>
      <c r="I1416" s="334"/>
      <c r="J1416" s="314"/>
      <c r="K1416" s="449"/>
      <c r="M1416" s="349" t="str">
        <f>N1416&amp;AS[[#This Row],[Insurer Code]]&amp;"; "&amp;O1416&amp;AS[[#This Row],[Reporting Year]]&amp;"; "&amp;P1416&amp;AS[[#This Row],[Insurance Category Code]]&amp;"; "&amp;Q1416&amp;AS[[#This Row],[Large Provider Entity Code]]&amp;"; "&amp;R1416&amp;AS[[#This Row],[Age Band Code]]&amp;"; "&amp;S1416&amp;AS[[#This Row],[Sex Code]]</f>
        <v xml:space="preserve">Insurer Code ; Reporting Year ; Insurance Category Code ; Large Provider Entity Code ; Age Band Code ; Sex Code </v>
      </c>
      <c r="N1416" s="345" t="s">
        <v>207</v>
      </c>
      <c r="O1416" s="345" t="s">
        <v>208</v>
      </c>
      <c r="P1416" s="345" t="s">
        <v>209</v>
      </c>
      <c r="Q1416" s="345" t="s">
        <v>210</v>
      </c>
      <c r="R1416" s="345" t="s">
        <v>223</v>
      </c>
      <c r="S1416" s="345" t="s">
        <v>224</v>
      </c>
    </row>
    <row r="1417" spans="1:19" x14ac:dyDescent="0.25">
      <c r="A1417" s="311"/>
      <c r="B1417" s="312"/>
      <c r="C1417" s="312"/>
      <c r="D1417" s="312"/>
      <c r="E1417" s="312"/>
      <c r="F1417" s="312"/>
      <c r="G1417" s="328"/>
      <c r="H1417" s="337"/>
      <c r="I1417" s="334"/>
      <c r="J1417" s="314"/>
      <c r="K1417" s="449"/>
      <c r="M1417" s="349" t="str">
        <f>N1417&amp;AS[[#This Row],[Insurer Code]]&amp;"; "&amp;O1417&amp;AS[[#This Row],[Reporting Year]]&amp;"; "&amp;P1417&amp;AS[[#This Row],[Insurance Category Code]]&amp;"; "&amp;Q1417&amp;AS[[#This Row],[Large Provider Entity Code]]&amp;"; "&amp;R1417&amp;AS[[#This Row],[Age Band Code]]&amp;"; "&amp;S1417&amp;AS[[#This Row],[Sex Code]]</f>
        <v xml:space="preserve">Insurer Code ; Reporting Year ; Insurance Category Code ; Large Provider Entity Code ; Age Band Code ; Sex Code </v>
      </c>
      <c r="N1417" s="345" t="s">
        <v>207</v>
      </c>
      <c r="O1417" s="345" t="s">
        <v>208</v>
      </c>
      <c r="P1417" s="345" t="s">
        <v>209</v>
      </c>
      <c r="Q1417" s="345" t="s">
        <v>210</v>
      </c>
      <c r="R1417" s="345" t="s">
        <v>223</v>
      </c>
      <c r="S1417" s="345" t="s">
        <v>224</v>
      </c>
    </row>
    <row r="1418" spans="1:19" x14ac:dyDescent="0.25">
      <c r="A1418" s="311"/>
      <c r="B1418" s="312"/>
      <c r="C1418" s="312"/>
      <c r="D1418" s="312"/>
      <c r="E1418" s="312"/>
      <c r="F1418" s="312"/>
      <c r="G1418" s="328"/>
      <c r="H1418" s="337"/>
      <c r="I1418" s="334"/>
      <c r="J1418" s="314"/>
      <c r="K1418" s="449"/>
      <c r="M1418" s="349" t="str">
        <f>N1418&amp;AS[[#This Row],[Insurer Code]]&amp;"; "&amp;O1418&amp;AS[[#This Row],[Reporting Year]]&amp;"; "&amp;P1418&amp;AS[[#This Row],[Insurance Category Code]]&amp;"; "&amp;Q1418&amp;AS[[#This Row],[Large Provider Entity Code]]&amp;"; "&amp;R1418&amp;AS[[#This Row],[Age Band Code]]&amp;"; "&amp;S1418&amp;AS[[#This Row],[Sex Code]]</f>
        <v xml:space="preserve">Insurer Code ; Reporting Year ; Insurance Category Code ; Large Provider Entity Code ; Age Band Code ; Sex Code </v>
      </c>
      <c r="N1418" s="345" t="s">
        <v>207</v>
      </c>
      <c r="O1418" s="345" t="s">
        <v>208</v>
      </c>
      <c r="P1418" s="345" t="s">
        <v>209</v>
      </c>
      <c r="Q1418" s="345" t="s">
        <v>210</v>
      </c>
      <c r="R1418" s="345" t="s">
        <v>223</v>
      </c>
      <c r="S1418" s="345" t="s">
        <v>224</v>
      </c>
    </row>
    <row r="1419" spans="1:19" x14ac:dyDescent="0.25">
      <c r="A1419" s="311"/>
      <c r="B1419" s="312"/>
      <c r="C1419" s="312"/>
      <c r="D1419" s="312"/>
      <c r="E1419" s="312"/>
      <c r="F1419" s="312"/>
      <c r="G1419" s="328"/>
      <c r="H1419" s="337"/>
      <c r="I1419" s="334"/>
      <c r="J1419" s="314"/>
      <c r="K1419" s="449"/>
      <c r="M1419" s="349" t="str">
        <f>N1419&amp;AS[[#This Row],[Insurer Code]]&amp;"; "&amp;O1419&amp;AS[[#This Row],[Reporting Year]]&amp;"; "&amp;P1419&amp;AS[[#This Row],[Insurance Category Code]]&amp;"; "&amp;Q1419&amp;AS[[#This Row],[Large Provider Entity Code]]&amp;"; "&amp;R1419&amp;AS[[#This Row],[Age Band Code]]&amp;"; "&amp;S1419&amp;AS[[#This Row],[Sex Code]]</f>
        <v xml:space="preserve">Insurer Code ; Reporting Year ; Insurance Category Code ; Large Provider Entity Code ; Age Band Code ; Sex Code </v>
      </c>
      <c r="N1419" s="345" t="s">
        <v>207</v>
      </c>
      <c r="O1419" s="345" t="s">
        <v>208</v>
      </c>
      <c r="P1419" s="345" t="s">
        <v>209</v>
      </c>
      <c r="Q1419" s="345" t="s">
        <v>210</v>
      </c>
      <c r="R1419" s="345" t="s">
        <v>223</v>
      </c>
      <c r="S1419" s="345" t="s">
        <v>224</v>
      </c>
    </row>
    <row r="1420" spans="1:19" x14ac:dyDescent="0.25">
      <c r="A1420" s="311"/>
      <c r="B1420" s="312"/>
      <c r="C1420" s="312"/>
      <c r="D1420" s="312"/>
      <c r="E1420" s="312"/>
      <c r="F1420" s="312"/>
      <c r="G1420" s="328"/>
      <c r="H1420" s="337"/>
      <c r="I1420" s="334"/>
      <c r="J1420" s="314"/>
      <c r="K1420" s="449"/>
      <c r="M1420" s="349" t="str">
        <f>N1420&amp;AS[[#This Row],[Insurer Code]]&amp;"; "&amp;O1420&amp;AS[[#This Row],[Reporting Year]]&amp;"; "&amp;P1420&amp;AS[[#This Row],[Insurance Category Code]]&amp;"; "&amp;Q1420&amp;AS[[#This Row],[Large Provider Entity Code]]&amp;"; "&amp;R1420&amp;AS[[#This Row],[Age Band Code]]&amp;"; "&amp;S1420&amp;AS[[#This Row],[Sex Code]]</f>
        <v xml:space="preserve">Insurer Code ; Reporting Year ; Insurance Category Code ; Large Provider Entity Code ; Age Band Code ; Sex Code </v>
      </c>
      <c r="N1420" s="345" t="s">
        <v>207</v>
      </c>
      <c r="O1420" s="345" t="s">
        <v>208</v>
      </c>
      <c r="P1420" s="345" t="s">
        <v>209</v>
      </c>
      <c r="Q1420" s="345" t="s">
        <v>210</v>
      </c>
      <c r="R1420" s="345" t="s">
        <v>223</v>
      </c>
      <c r="S1420" s="345" t="s">
        <v>224</v>
      </c>
    </row>
    <row r="1421" spans="1:19" x14ac:dyDescent="0.25">
      <c r="A1421" s="311"/>
      <c r="B1421" s="312"/>
      <c r="C1421" s="312"/>
      <c r="D1421" s="312"/>
      <c r="E1421" s="312"/>
      <c r="F1421" s="312"/>
      <c r="G1421" s="328"/>
      <c r="H1421" s="337"/>
      <c r="I1421" s="334"/>
      <c r="J1421" s="314"/>
      <c r="K1421" s="449"/>
      <c r="M1421" s="349" t="str">
        <f>N1421&amp;AS[[#This Row],[Insurer Code]]&amp;"; "&amp;O1421&amp;AS[[#This Row],[Reporting Year]]&amp;"; "&amp;P1421&amp;AS[[#This Row],[Insurance Category Code]]&amp;"; "&amp;Q1421&amp;AS[[#This Row],[Large Provider Entity Code]]&amp;"; "&amp;R1421&amp;AS[[#This Row],[Age Band Code]]&amp;"; "&amp;S1421&amp;AS[[#This Row],[Sex Code]]</f>
        <v xml:space="preserve">Insurer Code ; Reporting Year ; Insurance Category Code ; Large Provider Entity Code ; Age Band Code ; Sex Code </v>
      </c>
      <c r="N1421" s="345" t="s">
        <v>207</v>
      </c>
      <c r="O1421" s="345" t="s">
        <v>208</v>
      </c>
      <c r="P1421" s="345" t="s">
        <v>209</v>
      </c>
      <c r="Q1421" s="345" t="s">
        <v>210</v>
      </c>
      <c r="R1421" s="345" t="s">
        <v>223</v>
      </c>
      <c r="S1421" s="345" t="s">
        <v>224</v>
      </c>
    </row>
    <row r="1422" spans="1:19" x14ac:dyDescent="0.25">
      <c r="A1422" s="311"/>
      <c r="B1422" s="312"/>
      <c r="C1422" s="312"/>
      <c r="D1422" s="312"/>
      <c r="E1422" s="312"/>
      <c r="F1422" s="312"/>
      <c r="G1422" s="328"/>
      <c r="H1422" s="337"/>
      <c r="I1422" s="334"/>
      <c r="J1422" s="314"/>
      <c r="K1422" s="449"/>
      <c r="M1422" s="349" t="str">
        <f>N1422&amp;AS[[#This Row],[Insurer Code]]&amp;"; "&amp;O1422&amp;AS[[#This Row],[Reporting Year]]&amp;"; "&amp;P1422&amp;AS[[#This Row],[Insurance Category Code]]&amp;"; "&amp;Q1422&amp;AS[[#This Row],[Large Provider Entity Code]]&amp;"; "&amp;R1422&amp;AS[[#This Row],[Age Band Code]]&amp;"; "&amp;S1422&amp;AS[[#This Row],[Sex Code]]</f>
        <v xml:space="preserve">Insurer Code ; Reporting Year ; Insurance Category Code ; Large Provider Entity Code ; Age Band Code ; Sex Code </v>
      </c>
      <c r="N1422" s="345" t="s">
        <v>207</v>
      </c>
      <c r="O1422" s="345" t="s">
        <v>208</v>
      </c>
      <c r="P1422" s="345" t="s">
        <v>209</v>
      </c>
      <c r="Q1422" s="345" t="s">
        <v>210</v>
      </c>
      <c r="R1422" s="345" t="s">
        <v>223</v>
      </c>
      <c r="S1422" s="345" t="s">
        <v>224</v>
      </c>
    </row>
    <row r="1423" spans="1:19" x14ac:dyDescent="0.25">
      <c r="A1423" s="311"/>
      <c r="B1423" s="312"/>
      <c r="C1423" s="312"/>
      <c r="D1423" s="312"/>
      <c r="E1423" s="312"/>
      <c r="F1423" s="312"/>
      <c r="G1423" s="328"/>
      <c r="H1423" s="337"/>
      <c r="I1423" s="334"/>
      <c r="J1423" s="314"/>
      <c r="K1423" s="449"/>
      <c r="M1423" s="349" t="str">
        <f>N1423&amp;AS[[#This Row],[Insurer Code]]&amp;"; "&amp;O1423&amp;AS[[#This Row],[Reporting Year]]&amp;"; "&amp;P1423&amp;AS[[#This Row],[Insurance Category Code]]&amp;"; "&amp;Q1423&amp;AS[[#This Row],[Large Provider Entity Code]]&amp;"; "&amp;R1423&amp;AS[[#This Row],[Age Band Code]]&amp;"; "&amp;S1423&amp;AS[[#This Row],[Sex Code]]</f>
        <v xml:space="preserve">Insurer Code ; Reporting Year ; Insurance Category Code ; Large Provider Entity Code ; Age Band Code ; Sex Code </v>
      </c>
      <c r="N1423" s="345" t="s">
        <v>207</v>
      </c>
      <c r="O1423" s="345" t="s">
        <v>208</v>
      </c>
      <c r="P1423" s="345" t="s">
        <v>209</v>
      </c>
      <c r="Q1423" s="345" t="s">
        <v>210</v>
      </c>
      <c r="R1423" s="345" t="s">
        <v>223</v>
      </c>
      <c r="S1423" s="345" t="s">
        <v>224</v>
      </c>
    </row>
    <row r="1424" spans="1:19" x14ac:dyDescent="0.25">
      <c r="A1424" s="311"/>
      <c r="B1424" s="312"/>
      <c r="C1424" s="312"/>
      <c r="D1424" s="312"/>
      <c r="E1424" s="312"/>
      <c r="F1424" s="312"/>
      <c r="G1424" s="328"/>
      <c r="H1424" s="337"/>
      <c r="I1424" s="334"/>
      <c r="J1424" s="314"/>
      <c r="K1424" s="449"/>
      <c r="M1424" s="349" t="str">
        <f>N1424&amp;AS[[#This Row],[Insurer Code]]&amp;"; "&amp;O1424&amp;AS[[#This Row],[Reporting Year]]&amp;"; "&amp;P1424&amp;AS[[#This Row],[Insurance Category Code]]&amp;"; "&amp;Q1424&amp;AS[[#This Row],[Large Provider Entity Code]]&amp;"; "&amp;R1424&amp;AS[[#This Row],[Age Band Code]]&amp;"; "&amp;S1424&amp;AS[[#This Row],[Sex Code]]</f>
        <v xml:space="preserve">Insurer Code ; Reporting Year ; Insurance Category Code ; Large Provider Entity Code ; Age Band Code ; Sex Code </v>
      </c>
      <c r="N1424" s="345" t="s">
        <v>207</v>
      </c>
      <c r="O1424" s="345" t="s">
        <v>208</v>
      </c>
      <c r="P1424" s="345" t="s">
        <v>209</v>
      </c>
      <c r="Q1424" s="345" t="s">
        <v>210</v>
      </c>
      <c r="R1424" s="345" t="s">
        <v>223</v>
      </c>
      <c r="S1424" s="345" t="s">
        <v>224</v>
      </c>
    </row>
    <row r="1425" spans="1:19" x14ac:dyDescent="0.25">
      <c r="A1425" s="311"/>
      <c r="B1425" s="312"/>
      <c r="C1425" s="312"/>
      <c r="D1425" s="312"/>
      <c r="E1425" s="312"/>
      <c r="F1425" s="312"/>
      <c r="G1425" s="328"/>
      <c r="H1425" s="337"/>
      <c r="I1425" s="334"/>
      <c r="J1425" s="314"/>
      <c r="K1425" s="449"/>
      <c r="M1425" s="349" t="str">
        <f>N1425&amp;AS[[#This Row],[Insurer Code]]&amp;"; "&amp;O1425&amp;AS[[#This Row],[Reporting Year]]&amp;"; "&amp;P1425&amp;AS[[#This Row],[Insurance Category Code]]&amp;"; "&amp;Q1425&amp;AS[[#This Row],[Large Provider Entity Code]]&amp;"; "&amp;R1425&amp;AS[[#This Row],[Age Band Code]]&amp;"; "&amp;S1425&amp;AS[[#This Row],[Sex Code]]</f>
        <v xml:space="preserve">Insurer Code ; Reporting Year ; Insurance Category Code ; Large Provider Entity Code ; Age Band Code ; Sex Code </v>
      </c>
      <c r="N1425" s="345" t="s">
        <v>207</v>
      </c>
      <c r="O1425" s="345" t="s">
        <v>208</v>
      </c>
      <c r="P1425" s="345" t="s">
        <v>209</v>
      </c>
      <c r="Q1425" s="345" t="s">
        <v>210</v>
      </c>
      <c r="R1425" s="345" t="s">
        <v>223</v>
      </c>
      <c r="S1425" s="345" t="s">
        <v>224</v>
      </c>
    </row>
    <row r="1426" spans="1:19" x14ac:dyDescent="0.25">
      <c r="A1426" s="311"/>
      <c r="B1426" s="312"/>
      <c r="C1426" s="312"/>
      <c r="D1426" s="312"/>
      <c r="E1426" s="312"/>
      <c r="F1426" s="312"/>
      <c r="G1426" s="328"/>
      <c r="H1426" s="337"/>
      <c r="I1426" s="334"/>
      <c r="J1426" s="314"/>
      <c r="K1426" s="449"/>
      <c r="M1426" s="349" t="str">
        <f>N1426&amp;AS[[#This Row],[Insurer Code]]&amp;"; "&amp;O1426&amp;AS[[#This Row],[Reporting Year]]&amp;"; "&amp;P1426&amp;AS[[#This Row],[Insurance Category Code]]&amp;"; "&amp;Q1426&amp;AS[[#This Row],[Large Provider Entity Code]]&amp;"; "&amp;R1426&amp;AS[[#This Row],[Age Band Code]]&amp;"; "&amp;S1426&amp;AS[[#This Row],[Sex Code]]</f>
        <v xml:space="preserve">Insurer Code ; Reporting Year ; Insurance Category Code ; Large Provider Entity Code ; Age Band Code ; Sex Code </v>
      </c>
      <c r="N1426" s="345" t="s">
        <v>207</v>
      </c>
      <c r="O1426" s="345" t="s">
        <v>208</v>
      </c>
      <c r="P1426" s="345" t="s">
        <v>209</v>
      </c>
      <c r="Q1426" s="345" t="s">
        <v>210</v>
      </c>
      <c r="R1426" s="345" t="s">
        <v>223</v>
      </c>
      <c r="S1426" s="345" t="s">
        <v>224</v>
      </c>
    </row>
    <row r="1427" spans="1:19" x14ac:dyDescent="0.25">
      <c r="A1427" s="311"/>
      <c r="B1427" s="312"/>
      <c r="C1427" s="312"/>
      <c r="D1427" s="312"/>
      <c r="E1427" s="312"/>
      <c r="F1427" s="312"/>
      <c r="G1427" s="328"/>
      <c r="H1427" s="337"/>
      <c r="I1427" s="334"/>
      <c r="J1427" s="314"/>
      <c r="K1427" s="449"/>
      <c r="M1427" s="349" t="str">
        <f>N1427&amp;AS[[#This Row],[Insurer Code]]&amp;"; "&amp;O1427&amp;AS[[#This Row],[Reporting Year]]&amp;"; "&amp;P1427&amp;AS[[#This Row],[Insurance Category Code]]&amp;"; "&amp;Q1427&amp;AS[[#This Row],[Large Provider Entity Code]]&amp;"; "&amp;R1427&amp;AS[[#This Row],[Age Band Code]]&amp;"; "&amp;S1427&amp;AS[[#This Row],[Sex Code]]</f>
        <v xml:space="preserve">Insurer Code ; Reporting Year ; Insurance Category Code ; Large Provider Entity Code ; Age Band Code ; Sex Code </v>
      </c>
      <c r="N1427" s="345" t="s">
        <v>207</v>
      </c>
      <c r="O1427" s="345" t="s">
        <v>208</v>
      </c>
      <c r="P1427" s="345" t="s">
        <v>209</v>
      </c>
      <c r="Q1427" s="345" t="s">
        <v>210</v>
      </c>
      <c r="R1427" s="345" t="s">
        <v>223</v>
      </c>
      <c r="S1427" s="345" t="s">
        <v>224</v>
      </c>
    </row>
    <row r="1428" spans="1:19" x14ac:dyDescent="0.25">
      <c r="A1428" s="311"/>
      <c r="B1428" s="312"/>
      <c r="C1428" s="312"/>
      <c r="D1428" s="312"/>
      <c r="E1428" s="312"/>
      <c r="F1428" s="312"/>
      <c r="G1428" s="328"/>
      <c r="H1428" s="337"/>
      <c r="I1428" s="334"/>
      <c r="J1428" s="314"/>
      <c r="K1428" s="449"/>
      <c r="M1428" s="349" t="str">
        <f>N1428&amp;AS[[#This Row],[Insurer Code]]&amp;"; "&amp;O1428&amp;AS[[#This Row],[Reporting Year]]&amp;"; "&amp;P1428&amp;AS[[#This Row],[Insurance Category Code]]&amp;"; "&amp;Q1428&amp;AS[[#This Row],[Large Provider Entity Code]]&amp;"; "&amp;R1428&amp;AS[[#This Row],[Age Band Code]]&amp;"; "&amp;S1428&amp;AS[[#This Row],[Sex Code]]</f>
        <v xml:space="preserve">Insurer Code ; Reporting Year ; Insurance Category Code ; Large Provider Entity Code ; Age Band Code ; Sex Code </v>
      </c>
      <c r="N1428" s="345" t="s">
        <v>207</v>
      </c>
      <c r="O1428" s="345" t="s">
        <v>208</v>
      </c>
      <c r="P1428" s="345" t="s">
        <v>209</v>
      </c>
      <c r="Q1428" s="345" t="s">
        <v>210</v>
      </c>
      <c r="R1428" s="345" t="s">
        <v>223</v>
      </c>
      <c r="S1428" s="345" t="s">
        <v>224</v>
      </c>
    </row>
    <row r="1429" spans="1:19" x14ac:dyDescent="0.25">
      <c r="A1429" s="311"/>
      <c r="B1429" s="312"/>
      <c r="C1429" s="312"/>
      <c r="D1429" s="312"/>
      <c r="E1429" s="312"/>
      <c r="F1429" s="312"/>
      <c r="G1429" s="328"/>
      <c r="H1429" s="337"/>
      <c r="I1429" s="334"/>
      <c r="J1429" s="314"/>
      <c r="K1429" s="449"/>
      <c r="M1429" s="349" t="str">
        <f>N1429&amp;AS[[#This Row],[Insurer Code]]&amp;"; "&amp;O1429&amp;AS[[#This Row],[Reporting Year]]&amp;"; "&amp;P1429&amp;AS[[#This Row],[Insurance Category Code]]&amp;"; "&amp;Q1429&amp;AS[[#This Row],[Large Provider Entity Code]]&amp;"; "&amp;R1429&amp;AS[[#This Row],[Age Band Code]]&amp;"; "&amp;S1429&amp;AS[[#This Row],[Sex Code]]</f>
        <v xml:space="preserve">Insurer Code ; Reporting Year ; Insurance Category Code ; Large Provider Entity Code ; Age Band Code ; Sex Code </v>
      </c>
      <c r="N1429" s="345" t="s">
        <v>207</v>
      </c>
      <c r="O1429" s="345" t="s">
        <v>208</v>
      </c>
      <c r="P1429" s="345" t="s">
        <v>209</v>
      </c>
      <c r="Q1429" s="345" t="s">
        <v>210</v>
      </c>
      <c r="R1429" s="345" t="s">
        <v>223</v>
      </c>
      <c r="S1429" s="345" t="s">
        <v>224</v>
      </c>
    </row>
    <row r="1430" spans="1:19" x14ac:dyDescent="0.25">
      <c r="A1430" s="311"/>
      <c r="B1430" s="312"/>
      <c r="C1430" s="312"/>
      <c r="D1430" s="312"/>
      <c r="E1430" s="312"/>
      <c r="F1430" s="312"/>
      <c r="G1430" s="328"/>
      <c r="H1430" s="337"/>
      <c r="I1430" s="334"/>
      <c r="J1430" s="314"/>
      <c r="K1430" s="449"/>
      <c r="M1430" s="349" t="str">
        <f>N1430&amp;AS[[#This Row],[Insurer Code]]&amp;"; "&amp;O1430&amp;AS[[#This Row],[Reporting Year]]&amp;"; "&amp;P1430&amp;AS[[#This Row],[Insurance Category Code]]&amp;"; "&amp;Q1430&amp;AS[[#This Row],[Large Provider Entity Code]]&amp;"; "&amp;R1430&amp;AS[[#This Row],[Age Band Code]]&amp;"; "&amp;S1430&amp;AS[[#This Row],[Sex Code]]</f>
        <v xml:space="preserve">Insurer Code ; Reporting Year ; Insurance Category Code ; Large Provider Entity Code ; Age Band Code ; Sex Code </v>
      </c>
      <c r="N1430" s="345" t="s">
        <v>207</v>
      </c>
      <c r="O1430" s="345" t="s">
        <v>208</v>
      </c>
      <c r="P1430" s="345" t="s">
        <v>209</v>
      </c>
      <c r="Q1430" s="345" t="s">
        <v>210</v>
      </c>
      <c r="R1430" s="345" t="s">
        <v>223</v>
      </c>
      <c r="S1430" s="345" t="s">
        <v>224</v>
      </c>
    </row>
    <row r="1431" spans="1:19" x14ac:dyDescent="0.25">
      <c r="A1431" s="311"/>
      <c r="B1431" s="312"/>
      <c r="C1431" s="312"/>
      <c r="D1431" s="312"/>
      <c r="E1431" s="312"/>
      <c r="F1431" s="312"/>
      <c r="G1431" s="328"/>
      <c r="H1431" s="337"/>
      <c r="I1431" s="334"/>
      <c r="J1431" s="314"/>
      <c r="K1431" s="449"/>
      <c r="M1431" s="349" t="str">
        <f>N1431&amp;AS[[#This Row],[Insurer Code]]&amp;"; "&amp;O1431&amp;AS[[#This Row],[Reporting Year]]&amp;"; "&amp;P1431&amp;AS[[#This Row],[Insurance Category Code]]&amp;"; "&amp;Q1431&amp;AS[[#This Row],[Large Provider Entity Code]]&amp;"; "&amp;R1431&amp;AS[[#This Row],[Age Band Code]]&amp;"; "&amp;S1431&amp;AS[[#This Row],[Sex Code]]</f>
        <v xml:space="preserve">Insurer Code ; Reporting Year ; Insurance Category Code ; Large Provider Entity Code ; Age Band Code ; Sex Code </v>
      </c>
      <c r="N1431" s="345" t="s">
        <v>207</v>
      </c>
      <c r="O1431" s="345" t="s">
        <v>208</v>
      </c>
      <c r="P1431" s="345" t="s">
        <v>209</v>
      </c>
      <c r="Q1431" s="345" t="s">
        <v>210</v>
      </c>
      <c r="R1431" s="345" t="s">
        <v>223</v>
      </c>
      <c r="S1431" s="345" t="s">
        <v>224</v>
      </c>
    </row>
    <row r="1432" spans="1:19" x14ac:dyDescent="0.25">
      <c r="A1432" s="311"/>
      <c r="B1432" s="312"/>
      <c r="C1432" s="312"/>
      <c r="D1432" s="312"/>
      <c r="E1432" s="312"/>
      <c r="F1432" s="312"/>
      <c r="G1432" s="328"/>
      <c r="H1432" s="337"/>
      <c r="I1432" s="334"/>
      <c r="J1432" s="314"/>
      <c r="K1432" s="449"/>
      <c r="M1432" s="349" t="str">
        <f>N1432&amp;AS[[#This Row],[Insurer Code]]&amp;"; "&amp;O1432&amp;AS[[#This Row],[Reporting Year]]&amp;"; "&amp;P1432&amp;AS[[#This Row],[Insurance Category Code]]&amp;"; "&amp;Q1432&amp;AS[[#This Row],[Large Provider Entity Code]]&amp;"; "&amp;R1432&amp;AS[[#This Row],[Age Band Code]]&amp;"; "&amp;S1432&amp;AS[[#This Row],[Sex Code]]</f>
        <v xml:space="preserve">Insurer Code ; Reporting Year ; Insurance Category Code ; Large Provider Entity Code ; Age Band Code ; Sex Code </v>
      </c>
      <c r="N1432" s="345" t="s">
        <v>207</v>
      </c>
      <c r="O1432" s="345" t="s">
        <v>208</v>
      </c>
      <c r="P1432" s="345" t="s">
        <v>209</v>
      </c>
      <c r="Q1432" s="345" t="s">
        <v>210</v>
      </c>
      <c r="R1432" s="345" t="s">
        <v>223</v>
      </c>
      <c r="S1432" s="345" t="s">
        <v>224</v>
      </c>
    </row>
    <row r="1433" spans="1:19" x14ac:dyDescent="0.25">
      <c r="A1433" s="311"/>
      <c r="B1433" s="312"/>
      <c r="C1433" s="312"/>
      <c r="D1433" s="312"/>
      <c r="E1433" s="312"/>
      <c r="F1433" s="312"/>
      <c r="G1433" s="328"/>
      <c r="H1433" s="337"/>
      <c r="I1433" s="334"/>
      <c r="J1433" s="314"/>
      <c r="K1433" s="449"/>
      <c r="M1433" s="349" t="str">
        <f>N1433&amp;AS[[#This Row],[Insurer Code]]&amp;"; "&amp;O1433&amp;AS[[#This Row],[Reporting Year]]&amp;"; "&amp;P1433&amp;AS[[#This Row],[Insurance Category Code]]&amp;"; "&amp;Q1433&amp;AS[[#This Row],[Large Provider Entity Code]]&amp;"; "&amp;R1433&amp;AS[[#This Row],[Age Band Code]]&amp;"; "&amp;S1433&amp;AS[[#This Row],[Sex Code]]</f>
        <v xml:space="preserve">Insurer Code ; Reporting Year ; Insurance Category Code ; Large Provider Entity Code ; Age Band Code ; Sex Code </v>
      </c>
      <c r="N1433" s="345" t="s">
        <v>207</v>
      </c>
      <c r="O1433" s="345" t="s">
        <v>208</v>
      </c>
      <c r="P1433" s="345" t="s">
        <v>209</v>
      </c>
      <c r="Q1433" s="345" t="s">
        <v>210</v>
      </c>
      <c r="R1433" s="345" t="s">
        <v>223</v>
      </c>
      <c r="S1433" s="345" t="s">
        <v>224</v>
      </c>
    </row>
    <row r="1434" spans="1:19" x14ac:dyDescent="0.25">
      <c r="A1434" s="311"/>
      <c r="B1434" s="312"/>
      <c r="C1434" s="312"/>
      <c r="D1434" s="312"/>
      <c r="E1434" s="312"/>
      <c r="F1434" s="312"/>
      <c r="G1434" s="328"/>
      <c r="H1434" s="337"/>
      <c r="I1434" s="334"/>
      <c r="J1434" s="314"/>
      <c r="K1434" s="449"/>
      <c r="M1434" s="349" t="str">
        <f>N1434&amp;AS[[#This Row],[Insurer Code]]&amp;"; "&amp;O1434&amp;AS[[#This Row],[Reporting Year]]&amp;"; "&amp;P1434&amp;AS[[#This Row],[Insurance Category Code]]&amp;"; "&amp;Q1434&amp;AS[[#This Row],[Large Provider Entity Code]]&amp;"; "&amp;R1434&amp;AS[[#This Row],[Age Band Code]]&amp;"; "&amp;S1434&amp;AS[[#This Row],[Sex Code]]</f>
        <v xml:space="preserve">Insurer Code ; Reporting Year ; Insurance Category Code ; Large Provider Entity Code ; Age Band Code ; Sex Code </v>
      </c>
      <c r="N1434" s="345" t="s">
        <v>207</v>
      </c>
      <c r="O1434" s="345" t="s">
        <v>208</v>
      </c>
      <c r="P1434" s="345" t="s">
        <v>209</v>
      </c>
      <c r="Q1434" s="345" t="s">
        <v>210</v>
      </c>
      <c r="R1434" s="345" t="s">
        <v>223</v>
      </c>
      <c r="S1434" s="345" t="s">
        <v>224</v>
      </c>
    </row>
    <row r="1435" spans="1:19" x14ac:dyDescent="0.25">
      <c r="A1435" s="311"/>
      <c r="B1435" s="312"/>
      <c r="C1435" s="312"/>
      <c r="D1435" s="312"/>
      <c r="E1435" s="312"/>
      <c r="F1435" s="312"/>
      <c r="G1435" s="328"/>
      <c r="H1435" s="337"/>
      <c r="I1435" s="334"/>
      <c r="J1435" s="314"/>
      <c r="K1435" s="449"/>
      <c r="M1435" s="349" t="str">
        <f>N1435&amp;AS[[#This Row],[Insurer Code]]&amp;"; "&amp;O1435&amp;AS[[#This Row],[Reporting Year]]&amp;"; "&amp;P1435&amp;AS[[#This Row],[Insurance Category Code]]&amp;"; "&amp;Q1435&amp;AS[[#This Row],[Large Provider Entity Code]]&amp;"; "&amp;R1435&amp;AS[[#This Row],[Age Band Code]]&amp;"; "&amp;S1435&amp;AS[[#This Row],[Sex Code]]</f>
        <v xml:space="preserve">Insurer Code ; Reporting Year ; Insurance Category Code ; Large Provider Entity Code ; Age Band Code ; Sex Code </v>
      </c>
      <c r="N1435" s="345" t="s">
        <v>207</v>
      </c>
      <c r="O1435" s="345" t="s">
        <v>208</v>
      </c>
      <c r="P1435" s="345" t="s">
        <v>209</v>
      </c>
      <c r="Q1435" s="345" t="s">
        <v>210</v>
      </c>
      <c r="R1435" s="345" t="s">
        <v>223</v>
      </c>
      <c r="S1435" s="345" t="s">
        <v>224</v>
      </c>
    </row>
    <row r="1436" spans="1:19" x14ac:dyDescent="0.25">
      <c r="A1436" s="311"/>
      <c r="B1436" s="312"/>
      <c r="C1436" s="312"/>
      <c r="D1436" s="312"/>
      <c r="E1436" s="312"/>
      <c r="F1436" s="312"/>
      <c r="G1436" s="328"/>
      <c r="H1436" s="337"/>
      <c r="I1436" s="334"/>
      <c r="J1436" s="314"/>
      <c r="K1436" s="449"/>
      <c r="M1436" s="349" t="str">
        <f>N1436&amp;AS[[#This Row],[Insurer Code]]&amp;"; "&amp;O1436&amp;AS[[#This Row],[Reporting Year]]&amp;"; "&amp;P1436&amp;AS[[#This Row],[Insurance Category Code]]&amp;"; "&amp;Q1436&amp;AS[[#This Row],[Large Provider Entity Code]]&amp;"; "&amp;R1436&amp;AS[[#This Row],[Age Band Code]]&amp;"; "&amp;S1436&amp;AS[[#This Row],[Sex Code]]</f>
        <v xml:space="preserve">Insurer Code ; Reporting Year ; Insurance Category Code ; Large Provider Entity Code ; Age Band Code ; Sex Code </v>
      </c>
      <c r="N1436" s="345" t="s">
        <v>207</v>
      </c>
      <c r="O1436" s="345" t="s">
        <v>208</v>
      </c>
      <c r="P1436" s="345" t="s">
        <v>209</v>
      </c>
      <c r="Q1436" s="345" t="s">
        <v>210</v>
      </c>
      <c r="R1436" s="345" t="s">
        <v>223</v>
      </c>
      <c r="S1436" s="345" t="s">
        <v>224</v>
      </c>
    </row>
    <row r="1437" spans="1:19" x14ac:dyDescent="0.25">
      <c r="A1437" s="311"/>
      <c r="B1437" s="312"/>
      <c r="C1437" s="312"/>
      <c r="D1437" s="312"/>
      <c r="E1437" s="312"/>
      <c r="F1437" s="312"/>
      <c r="G1437" s="328"/>
      <c r="H1437" s="337"/>
      <c r="I1437" s="334"/>
      <c r="J1437" s="314"/>
      <c r="K1437" s="449"/>
      <c r="M1437" s="349" t="str">
        <f>N1437&amp;AS[[#This Row],[Insurer Code]]&amp;"; "&amp;O1437&amp;AS[[#This Row],[Reporting Year]]&amp;"; "&amp;P1437&amp;AS[[#This Row],[Insurance Category Code]]&amp;"; "&amp;Q1437&amp;AS[[#This Row],[Large Provider Entity Code]]&amp;"; "&amp;R1437&amp;AS[[#This Row],[Age Band Code]]&amp;"; "&amp;S1437&amp;AS[[#This Row],[Sex Code]]</f>
        <v xml:space="preserve">Insurer Code ; Reporting Year ; Insurance Category Code ; Large Provider Entity Code ; Age Band Code ; Sex Code </v>
      </c>
      <c r="N1437" s="345" t="s">
        <v>207</v>
      </c>
      <c r="O1437" s="345" t="s">
        <v>208</v>
      </c>
      <c r="P1437" s="345" t="s">
        <v>209</v>
      </c>
      <c r="Q1437" s="345" t="s">
        <v>210</v>
      </c>
      <c r="R1437" s="345" t="s">
        <v>223</v>
      </c>
      <c r="S1437" s="345" t="s">
        <v>224</v>
      </c>
    </row>
    <row r="1438" spans="1:19" x14ac:dyDescent="0.25">
      <c r="A1438" s="311"/>
      <c r="B1438" s="312"/>
      <c r="C1438" s="312"/>
      <c r="D1438" s="312"/>
      <c r="E1438" s="312"/>
      <c r="F1438" s="312"/>
      <c r="G1438" s="328"/>
      <c r="H1438" s="337"/>
      <c r="I1438" s="334"/>
      <c r="J1438" s="314"/>
      <c r="K1438" s="449"/>
      <c r="M1438" s="349" t="str">
        <f>N1438&amp;AS[[#This Row],[Insurer Code]]&amp;"; "&amp;O1438&amp;AS[[#This Row],[Reporting Year]]&amp;"; "&amp;P1438&amp;AS[[#This Row],[Insurance Category Code]]&amp;"; "&amp;Q1438&amp;AS[[#This Row],[Large Provider Entity Code]]&amp;"; "&amp;R1438&amp;AS[[#This Row],[Age Band Code]]&amp;"; "&amp;S1438&amp;AS[[#This Row],[Sex Code]]</f>
        <v xml:space="preserve">Insurer Code ; Reporting Year ; Insurance Category Code ; Large Provider Entity Code ; Age Band Code ; Sex Code </v>
      </c>
      <c r="N1438" s="345" t="s">
        <v>207</v>
      </c>
      <c r="O1438" s="345" t="s">
        <v>208</v>
      </c>
      <c r="P1438" s="345" t="s">
        <v>209</v>
      </c>
      <c r="Q1438" s="345" t="s">
        <v>210</v>
      </c>
      <c r="R1438" s="345" t="s">
        <v>223</v>
      </c>
      <c r="S1438" s="345" t="s">
        <v>224</v>
      </c>
    </row>
    <row r="1439" spans="1:19" x14ac:dyDescent="0.25">
      <c r="A1439" s="311"/>
      <c r="B1439" s="312"/>
      <c r="C1439" s="312"/>
      <c r="D1439" s="312"/>
      <c r="E1439" s="312"/>
      <c r="F1439" s="312"/>
      <c r="G1439" s="328"/>
      <c r="H1439" s="337"/>
      <c r="I1439" s="334"/>
      <c r="J1439" s="314"/>
      <c r="K1439" s="449"/>
      <c r="M1439" s="349" t="str">
        <f>N1439&amp;AS[[#This Row],[Insurer Code]]&amp;"; "&amp;O1439&amp;AS[[#This Row],[Reporting Year]]&amp;"; "&amp;P1439&amp;AS[[#This Row],[Insurance Category Code]]&amp;"; "&amp;Q1439&amp;AS[[#This Row],[Large Provider Entity Code]]&amp;"; "&amp;R1439&amp;AS[[#This Row],[Age Band Code]]&amp;"; "&amp;S1439&amp;AS[[#This Row],[Sex Code]]</f>
        <v xml:space="preserve">Insurer Code ; Reporting Year ; Insurance Category Code ; Large Provider Entity Code ; Age Band Code ; Sex Code </v>
      </c>
      <c r="N1439" s="345" t="s">
        <v>207</v>
      </c>
      <c r="O1439" s="345" t="s">
        <v>208</v>
      </c>
      <c r="P1439" s="345" t="s">
        <v>209</v>
      </c>
      <c r="Q1439" s="345" t="s">
        <v>210</v>
      </c>
      <c r="R1439" s="345" t="s">
        <v>223</v>
      </c>
      <c r="S1439" s="345" t="s">
        <v>224</v>
      </c>
    </row>
    <row r="1440" spans="1:19" x14ac:dyDescent="0.25">
      <c r="A1440" s="311"/>
      <c r="B1440" s="312"/>
      <c r="C1440" s="312"/>
      <c r="D1440" s="312"/>
      <c r="E1440" s="312"/>
      <c r="F1440" s="312"/>
      <c r="G1440" s="328"/>
      <c r="H1440" s="337"/>
      <c r="I1440" s="334"/>
      <c r="J1440" s="314"/>
      <c r="K1440" s="449"/>
      <c r="M1440" s="349" t="str">
        <f>N1440&amp;AS[[#This Row],[Insurer Code]]&amp;"; "&amp;O1440&amp;AS[[#This Row],[Reporting Year]]&amp;"; "&amp;P1440&amp;AS[[#This Row],[Insurance Category Code]]&amp;"; "&amp;Q1440&amp;AS[[#This Row],[Large Provider Entity Code]]&amp;"; "&amp;R1440&amp;AS[[#This Row],[Age Band Code]]&amp;"; "&amp;S1440&amp;AS[[#This Row],[Sex Code]]</f>
        <v xml:space="preserve">Insurer Code ; Reporting Year ; Insurance Category Code ; Large Provider Entity Code ; Age Band Code ; Sex Code </v>
      </c>
      <c r="N1440" s="345" t="s">
        <v>207</v>
      </c>
      <c r="O1440" s="345" t="s">
        <v>208</v>
      </c>
      <c r="P1440" s="345" t="s">
        <v>209</v>
      </c>
      <c r="Q1440" s="345" t="s">
        <v>210</v>
      </c>
      <c r="R1440" s="345" t="s">
        <v>223</v>
      </c>
      <c r="S1440" s="345" t="s">
        <v>224</v>
      </c>
    </row>
    <row r="1441" spans="1:19" x14ac:dyDescent="0.25">
      <c r="A1441" s="311"/>
      <c r="B1441" s="312"/>
      <c r="C1441" s="312"/>
      <c r="D1441" s="312"/>
      <c r="E1441" s="312"/>
      <c r="F1441" s="312"/>
      <c r="G1441" s="328"/>
      <c r="H1441" s="337"/>
      <c r="I1441" s="334"/>
      <c r="J1441" s="314"/>
      <c r="K1441" s="449"/>
      <c r="M1441" s="349" t="str">
        <f>N1441&amp;AS[[#This Row],[Insurer Code]]&amp;"; "&amp;O1441&amp;AS[[#This Row],[Reporting Year]]&amp;"; "&amp;P1441&amp;AS[[#This Row],[Insurance Category Code]]&amp;"; "&amp;Q1441&amp;AS[[#This Row],[Large Provider Entity Code]]&amp;"; "&amp;R1441&amp;AS[[#This Row],[Age Band Code]]&amp;"; "&amp;S1441&amp;AS[[#This Row],[Sex Code]]</f>
        <v xml:space="preserve">Insurer Code ; Reporting Year ; Insurance Category Code ; Large Provider Entity Code ; Age Band Code ; Sex Code </v>
      </c>
      <c r="N1441" s="345" t="s">
        <v>207</v>
      </c>
      <c r="O1441" s="345" t="s">
        <v>208</v>
      </c>
      <c r="P1441" s="345" t="s">
        <v>209</v>
      </c>
      <c r="Q1441" s="345" t="s">
        <v>210</v>
      </c>
      <c r="R1441" s="345" t="s">
        <v>223</v>
      </c>
      <c r="S1441" s="345" t="s">
        <v>224</v>
      </c>
    </row>
    <row r="1442" spans="1:19" x14ac:dyDescent="0.25">
      <c r="A1442" s="311"/>
      <c r="B1442" s="312"/>
      <c r="C1442" s="312"/>
      <c r="D1442" s="312"/>
      <c r="E1442" s="312"/>
      <c r="F1442" s="312"/>
      <c r="G1442" s="328"/>
      <c r="H1442" s="337"/>
      <c r="I1442" s="334"/>
      <c r="J1442" s="314"/>
      <c r="K1442" s="449"/>
      <c r="M1442" s="349" t="str">
        <f>N1442&amp;AS[[#This Row],[Insurer Code]]&amp;"; "&amp;O1442&amp;AS[[#This Row],[Reporting Year]]&amp;"; "&amp;P1442&amp;AS[[#This Row],[Insurance Category Code]]&amp;"; "&amp;Q1442&amp;AS[[#This Row],[Large Provider Entity Code]]&amp;"; "&amp;R1442&amp;AS[[#This Row],[Age Band Code]]&amp;"; "&amp;S1442&amp;AS[[#This Row],[Sex Code]]</f>
        <v xml:space="preserve">Insurer Code ; Reporting Year ; Insurance Category Code ; Large Provider Entity Code ; Age Band Code ; Sex Code </v>
      </c>
      <c r="N1442" s="345" t="s">
        <v>207</v>
      </c>
      <c r="O1442" s="345" t="s">
        <v>208</v>
      </c>
      <c r="P1442" s="345" t="s">
        <v>209</v>
      </c>
      <c r="Q1442" s="345" t="s">
        <v>210</v>
      </c>
      <c r="R1442" s="345" t="s">
        <v>223</v>
      </c>
      <c r="S1442" s="345" t="s">
        <v>224</v>
      </c>
    </row>
    <row r="1443" spans="1:19" x14ac:dyDescent="0.25">
      <c r="A1443" s="311"/>
      <c r="B1443" s="312"/>
      <c r="C1443" s="312"/>
      <c r="D1443" s="312"/>
      <c r="E1443" s="312"/>
      <c r="F1443" s="312"/>
      <c r="G1443" s="328"/>
      <c r="H1443" s="337"/>
      <c r="I1443" s="334"/>
      <c r="J1443" s="314"/>
      <c r="K1443" s="449"/>
      <c r="M1443" s="349" t="str">
        <f>N1443&amp;AS[[#This Row],[Insurer Code]]&amp;"; "&amp;O1443&amp;AS[[#This Row],[Reporting Year]]&amp;"; "&amp;P1443&amp;AS[[#This Row],[Insurance Category Code]]&amp;"; "&amp;Q1443&amp;AS[[#This Row],[Large Provider Entity Code]]&amp;"; "&amp;R1443&amp;AS[[#This Row],[Age Band Code]]&amp;"; "&amp;S1443&amp;AS[[#This Row],[Sex Code]]</f>
        <v xml:space="preserve">Insurer Code ; Reporting Year ; Insurance Category Code ; Large Provider Entity Code ; Age Band Code ; Sex Code </v>
      </c>
      <c r="N1443" s="345" t="s">
        <v>207</v>
      </c>
      <c r="O1443" s="345" t="s">
        <v>208</v>
      </c>
      <c r="P1443" s="345" t="s">
        <v>209</v>
      </c>
      <c r="Q1443" s="345" t="s">
        <v>210</v>
      </c>
      <c r="R1443" s="345" t="s">
        <v>223</v>
      </c>
      <c r="S1443" s="345" t="s">
        <v>224</v>
      </c>
    </row>
    <row r="1444" spans="1:19" x14ac:dyDescent="0.25">
      <c r="A1444" s="311"/>
      <c r="B1444" s="312"/>
      <c r="C1444" s="312"/>
      <c r="D1444" s="312"/>
      <c r="E1444" s="312"/>
      <c r="F1444" s="312"/>
      <c r="G1444" s="328"/>
      <c r="H1444" s="337"/>
      <c r="I1444" s="334"/>
      <c r="J1444" s="314"/>
      <c r="K1444" s="449"/>
      <c r="M1444" s="349" t="str">
        <f>N1444&amp;AS[[#This Row],[Insurer Code]]&amp;"; "&amp;O1444&amp;AS[[#This Row],[Reporting Year]]&amp;"; "&amp;P1444&amp;AS[[#This Row],[Insurance Category Code]]&amp;"; "&amp;Q1444&amp;AS[[#This Row],[Large Provider Entity Code]]&amp;"; "&amp;R1444&amp;AS[[#This Row],[Age Band Code]]&amp;"; "&amp;S1444&amp;AS[[#This Row],[Sex Code]]</f>
        <v xml:space="preserve">Insurer Code ; Reporting Year ; Insurance Category Code ; Large Provider Entity Code ; Age Band Code ; Sex Code </v>
      </c>
      <c r="N1444" s="345" t="s">
        <v>207</v>
      </c>
      <c r="O1444" s="345" t="s">
        <v>208</v>
      </c>
      <c r="P1444" s="345" t="s">
        <v>209</v>
      </c>
      <c r="Q1444" s="345" t="s">
        <v>210</v>
      </c>
      <c r="R1444" s="345" t="s">
        <v>223</v>
      </c>
      <c r="S1444" s="345" t="s">
        <v>224</v>
      </c>
    </row>
    <row r="1445" spans="1:19" x14ac:dyDescent="0.25">
      <c r="A1445" s="311"/>
      <c r="B1445" s="312"/>
      <c r="C1445" s="312"/>
      <c r="D1445" s="312"/>
      <c r="E1445" s="312"/>
      <c r="F1445" s="312"/>
      <c r="G1445" s="328"/>
      <c r="H1445" s="337"/>
      <c r="I1445" s="334"/>
      <c r="J1445" s="314"/>
      <c r="K1445" s="449"/>
      <c r="M1445" s="349" t="str">
        <f>N1445&amp;AS[[#This Row],[Insurer Code]]&amp;"; "&amp;O1445&amp;AS[[#This Row],[Reporting Year]]&amp;"; "&amp;P1445&amp;AS[[#This Row],[Insurance Category Code]]&amp;"; "&amp;Q1445&amp;AS[[#This Row],[Large Provider Entity Code]]&amp;"; "&amp;R1445&amp;AS[[#This Row],[Age Band Code]]&amp;"; "&amp;S1445&amp;AS[[#This Row],[Sex Code]]</f>
        <v xml:space="preserve">Insurer Code ; Reporting Year ; Insurance Category Code ; Large Provider Entity Code ; Age Band Code ; Sex Code </v>
      </c>
      <c r="N1445" s="345" t="s">
        <v>207</v>
      </c>
      <c r="O1445" s="345" t="s">
        <v>208</v>
      </c>
      <c r="P1445" s="345" t="s">
        <v>209</v>
      </c>
      <c r="Q1445" s="345" t="s">
        <v>210</v>
      </c>
      <c r="R1445" s="345" t="s">
        <v>223</v>
      </c>
      <c r="S1445" s="345" t="s">
        <v>224</v>
      </c>
    </row>
    <row r="1446" spans="1:19" x14ac:dyDescent="0.25">
      <c r="A1446" s="311"/>
      <c r="B1446" s="312"/>
      <c r="C1446" s="312"/>
      <c r="D1446" s="312"/>
      <c r="E1446" s="312"/>
      <c r="F1446" s="312"/>
      <c r="G1446" s="328"/>
      <c r="H1446" s="337"/>
      <c r="I1446" s="334"/>
      <c r="J1446" s="314"/>
      <c r="K1446" s="449"/>
      <c r="M1446" s="349" t="str">
        <f>N1446&amp;AS[[#This Row],[Insurer Code]]&amp;"; "&amp;O1446&amp;AS[[#This Row],[Reporting Year]]&amp;"; "&amp;P1446&amp;AS[[#This Row],[Insurance Category Code]]&amp;"; "&amp;Q1446&amp;AS[[#This Row],[Large Provider Entity Code]]&amp;"; "&amp;R1446&amp;AS[[#This Row],[Age Band Code]]&amp;"; "&amp;S1446&amp;AS[[#This Row],[Sex Code]]</f>
        <v xml:space="preserve">Insurer Code ; Reporting Year ; Insurance Category Code ; Large Provider Entity Code ; Age Band Code ; Sex Code </v>
      </c>
      <c r="N1446" s="345" t="s">
        <v>207</v>
      </c>
      <c r="O1446" s="345" t="s">
        <v>208</v>
      </c>
      <c r="P1446" s="345" t="s">
        <v>209</v>
      </c>
      <c r="Q1446" s="345" t="s">
        <v>210</v>
      </c>
      <c r="R1446" s="345" t="s">
        <v>223</v>
      </c>
      <c r="S1446" s="345" t="s">
        <v>224</v>
      </c>
    </row>
    <row r="1447" spans="1:19" x14ac:dyDescent="0.25">
      <c r="A1447" s="311"/>
      <c r="B1447" s="312"/>
      <c r="C1447" s="312"/>
      <c r="D1447" s="312"/>
      <c r="E1447" s="312"/>
      <c r="F1447" s="312"/>
      <c r="G1447" s="328"/>
      <c r="H1447" s="337"/>
      <c r="I1447" s="334"/>
      <c r="J1447" s="314"/>
      <c r="K1447" s="449"/>
      <c r="M1447" s="349" t="str">
        <f>N1447&amp;AS[[#This Row],[Insurer Code]]&amp;"; "&amp;O1447&amp;AS[[#This Row],[Reporting Year]]&amp;"; "&amp;P1447&amp;AS[[#This Row],[Insurance Category Code]]&amp;"; "&amp;Q1447&amp;AS[[#This Row],[Large Provider Entity Code]]&amp;"; "&amp;R1447&amp;AS[[#This Row],[Age Band Code]]&amp;"; "&amp;S1447&amp;AS[[#This Row],[Sex Code]]</f>
        <v xml:space="preserve">Insurer Code ; Reporting Year ; Insurance Category Code ; Large Provider Entity Code ; Age Band Code ; Sex Code </v>
      </c>
      <c r="N1447" s="345" t="s">
        <v>207</v>
      </c>
      <c r="O1447" s="345" t="s">
        <v>208</v>
      </c>
      <c r="P1447" s="345" t="s">
        <v>209</v>
      </c>
      <c r="Q1447" s="345" t="s">
        <v>210</v>
      </c>
      <c r="R1447" s="345" t="s">
        <v>223</v>
      </c>
      <c r="S1447" s="345" t="s">
        <v>224</v>
      </c>
    </row>
    <row r="1448" spans="1:19" x14ac:dyDescent="0.25">
      <c r="A1448" s="311"/>
      <c r="B1448" s="312"/>
      <c r="C1448" s="312"/>
      <c r="D1448" s="312"/>
      <c r="E1448" s="312"/>
      <c r="F1448" s="312"/>
      <c r="G1448" s="328"/>
      <c r="H1448" s="337"/>
      <c r="I1448" s="334"/>
      <c r="J1448" s="314"/>
      <c r="K1448" s="449"/>
      <c r="M1448" s="349" t="str">
        <f>N1448&amp;AS[[#This Row],[Insurer Code]]&amp;"; "&amp;O1448&amp;AS[[#This Row],[Reporting Year]]&amp;"; "&amp;P1448&amp;AS[[#This Row],[Insurance Category Code]]&amp;"; "&amp;Q1448&amp;AS[[#This Row],[Large Provider Entity Code]]&amp;"; "&amp;R1448&amp;AS[[#This Row],[Age Band Code]]&amp;"; "&amp;S1448&amp;AS[[#This Row],[Sex Code]]</f>
        <v xml:space="preserve">Insurer Code ; Reporting Year ; Insurance Category Code ; Large Provider Entity Code ; Age Band Code ; Sex Code </v>
      </c>
      <c r="N1448" s="345" t="s">
        <v>207</v>
      </c>
      <c r="O1448" s="345" t="s">
        <v>208</v>
      </c>
      <c r="P1448" s="345" t="s">
        <v>209</v>
      </c>
      <c r="Q1448" s="345" t="s">
        <v>210</v>
      </c>
      <c r="R1448" s="345" t="s">
        <v>223</v>
      </c>
      <c r="S1448" s="345" t="s">
        <v>224</v>
      </c>
    </row>
    <row r="1449" spans="1:19" x14ac:dyDescent="0.25">
      <c r="A1449" s="311"/>
      <c r="B1449" s="312"/>
      <c r="C1449" s="312"/>
      <c r="D1449" s="312"/>
      <c r="E1449" s="312"/>
      <c r="F1449" s="312"/>
      <c r="G1449" s="328"/>
      <c r="H1449" s="337"/>
      <c r="I1449" s="334"/>
      <c r="J1449" s="314"/>
      <c r="K1449" s="449"/>
      <c r="M1449" s="349" t="str">
        <f>N1449&amp;AS[[#This Row],[Insurer Code]]&amp;"; "&amp;O1449&amp;AS[[#This Row],[Reporting Year]]&amp;"; "&amp;P1449&amp;AS[[#This Row],[Insurance Category Code]]&amp;"; "&amp;Q1449&amp;AS[[#This Row],[Large Provider Entity Code]]&amp;"; "&amp;R1449&amp;AS[[#This Row],[Age Band Code]]&amp;"; "&amp;S1449&amp;AS[[#This Row],[Sex Code]]</f>
        <v xml:space="preserve">Insurer Code ; Reporting Year ; Insurance Category Code ; Large Provider Entity Code ; Age Band Code ; Sex Code </v>
      </c>
      <c r="N1449" s="345" t="s">
        <v>207</v>
      </c>
      <c r="O1449" s="345" t="s">
        <v>208</v>
      </c>
      <c r="P1449" s="345" t="s">
        <v>209</v>
      </c>
      <c r="Q1449" s="345" t="s">
        <v>210</v>
      </c>
      <c r="R1449" s="345" t="s">
        <v>223</v>
      </c>
      <c r="S1449" s="345" t="s">
        <v>224</v>
      </c>
    </row>
    <row r="1450" spans="1:19" x14ac:dyDescent="0.25">
      <c r="A1450" s="311"/>
      <c r="B1450" s="312"/>
      <c r="C1450" s="312"/>
      <c r="D1450" s="312"/>
      <c r="E1450" s="312"/>
      <c r="F1450" s="312"/>
      <c r="G1450" s="328"/>
      <c r="H1450" s="337"/>
      <c r="I1450" s="334"/>
      <c r="J1450" s="314"/>
      <c r="K1450" s="449"/>
      <c r="M1450" s="349" t="str">
        <f>N1450&amp;AS[[#This Row],[Insurer Code]]&amp;"; "&amp;O1450&amp;AS[[#This Row],[Reporting Year]]&amp;"; "&amp;P1450&amp;AS[[#This Row],[Insurance Category Code]]&amp;"; "&amp;Q1450&amp;AS[[#This Row],[Large Provider Entity Code]]&amp;"; "&amp;R1450&amp;AS[[#This Row],[Age Band Code]]&amp;"; "&amp;S1450&amp;AS[[#This Row],[Sex Code]]</f>
        <v xml:space="preserve">Insurer Code ; Reporting Year ; Insurance Category Code ; Large Provider Entity Code ; Age Band Code ; Sex Code </v>
      </c>
      <c r="N1450" s="345" t="s">
        <v>207</v>
      </c>
      <c r="O1450" s="345" t="s">
        <v>208</v>
      </c>
      <c r="P1450" s="345" t="s">
        <v>209</v>
      </c>
      <c r="Q1450" s="345" t="s">
        <v>210</v>
      </c>
      <c r="R1450" s="345" t="s">
        <v>223</v>
      </c>
      <c r="S1450" s="345" t="s">
        <v>224</v>
      </c>
    </row>
    <row r="1451" spans="1:19" x14ac:dyDescent="0.25">
      <c r="A1451" s="311"/>
      <c r="B1451" s="312"/>
      <c r="C1451" s="312"/>
      <c r="D1451" s="312"/>
      <c r="E1451" s="312"/>
      <c r="F1451" s="312"/>
      <c r="G1451" s="328"/>
      <c r="H1451" s="337"/>
      <c r="I1451" s="334"/>
      <c r="J1451" s="314"/>
      <c r="K1451" s="449"/>
      <c r="M1451" s="349" t="str">
        <f>N1451&amp;AS[[#This Row],[Insurer Code]]&amp;"; "&amp;O1451&amp;AS[[#This Row],[Reporting Year]]&amp;"; "&amp;P1451&amp;AS[[#This Row],[Insurance Category Code]]&amp;"; "&amp;Q1451&amp;AS[[#This Row],[Large Provider Entity Code]]&amp;"; "&amp;R1451&amp;AS[[#This Row],[Age Band Code]]&amp;"; "&amp;S1451&amp;AS[[#This Row],[Sex Code]]</f>
        <v xml:space="preserve">Insurer Code ; Reporting Year ; Insurance Category Code ; Large Provider Entity Code ; Age Band Code ; Sex Code </v>
      </c>
      <c r="N1451" s="345" t="s">
        <v>207</v>
      </c>
      <c r="O1451" s="345" t="s">
        <v>208</v>
      </c>
      <c r="P1451" s="345" t="s">
        <v>209</v>
      </c>
      <c r="Q1451" s="345" t="s">
        <v>210</v>
      </c>
      <c r="R1451" s="345" t="s">
        <v>223</v>
      </c>
      <c r="S1451" s="345" t="s">
        <v>224</v>
      </c>
    </row>
    <row r="1452" spans="1:19" x14ac:dyDescent="0.25">
      <c r="A1452" s="311"/>
      <c r="B1452" s="312"/>
      <c r="C1452" s="312"/>
      <c r="D1452" s="312"/>
      <c r="E1452" s="312"/>
      <c r="F1452" s="312"/>
      <c r="G1452" s="328"/>
      <c r="H1452" s="337"/>
      <c r="I1452" s="334"/>
      <c r="J1452" s="314"/>
      <c r="K1452" s="449"/>
      <c r="M1452" s="349" t="str">
        <f>N1452&amp;AS[[#This Row],[Insurer Code]]&amp;"; "&amp;O1452&amp;AS[[#This Row],[Reporting Year]]&amp;"; "&amp;P1452&amp;AS[[#This Row],[Insurance Category Code]]&amp;"; "&amp;Q1452&amp;AS[[#This Row],[Large Provider Entity Code]]&amp;"; "&amp;R1452&amp;AS[[#This Row],[Age Band Code]]&amp;"; "&amp;S1452&amp;AS[[#This Row],[Sex Code]]</f>
        <v xml:space="preserve">Insurer Code ; Reporting Year ; Insurance Category Code ; Large Provider Entity Code ; Age Band Code ; Sex Code </v>
      </c>
      <c r="N1452" s="345" t="s">
        <v>207</v>
      </c>
      <c r="O1452" s="345" t="s">
        <v>208</v>
      </c>
      <c r="P1452" s="345" t="s">
        <v>209</v>
      </c>
      <c r="Q1452" s="345" t="s">
        <v>210</v>
      </c>
      <c r="R1452" s="345" t="s">
        <v>223</v>
      </c>
      <c r="S1452" s="345" t="s">
        <v>224</v>
      </c>
    </row>
    <row r="1453" spans="1:19" x14ac:dyDescent="0.25">
      <c r="A1453" s="311"/>
      <c r="B1453" s="312"/>
      <c r="C1453" s="312"/>
      <c r="D1453" s="312"/>
      <c r="E1453" s="312"/>
      <c r="F1453" s="312"/>
      <c r="G1453" s="328"/>
      <c r="H1453" s="337"/>
      <c r="I1453" s="334"/>
      <c r="J1453" s="314"/>
      <c r="K1453" s="449"/>
      <c r="M1453" s="349" t="str">
        <f>N1453&amp;AS[[#This Row],[Insurer Code]]&amp;"; "&amp;O1453&amp;AS[[#This Row],[Reporting Year]]&amp;"; "&amp;P1453&amp;AS[[#This Row],[Insurance Category Code]]&amp;"; "&amp;Q1453&amp;AS[[#This Row],[Large Provider Entity Code]]&amp;"; "&amp;R1453&amp;AS[[#This Row],[Age Band Code]]&amp;"; "&amp;S1453&amp;AS[[#This Row],[Sex Code]]</f>
        <v xml:space="preserve">Insurer Code ; Reporting Year ; Insurance Category Code ; Large Provider Entity Code ; Age Band Code ; Sex Code </v>
      </c>
      <c r="N1453" s="345" t="s">
        <v>207</v>
      </c>
      <c r="O1453" s="345" t="s">
        <v>208</v>
      </c>
      <c r="P1453" s="345" t="s">
        <v>209</v>
      </c>
      <c r="Q1453" s="345" t="s">
        <v>210</v>
      </c>
      <c r="R1453" s="345" t="s">
        <v>223</v>
      </c>
      <c r="S1453" s="345" t="s">
        <v>224</v>
      </c>
    </row>
    <row r="1454" spans="1:19" x14ac:dyDescent="0.25">
      <c r="A1454" s="311"/>
      <c r="B1454" s="312"/>
      <c r="C1454" s="312"/>
      <c r="D1454" s="312"/>
      <c r="E1454" s="312"/>
      <c r="F1454" s="312"/>
      <c r="G1454" s="328"/>
      <c r="H1454" s="337"/>
      <c r="I1454" s="334"/>
      <c r="J1454" s="314"/>
      <c r="K1454" s="449"/>
      <c r="M1454" s="349" t="str">
        <f>N1454&amp;AS[[#This Row],[Insurer Code]]&amp;"; "&amp;O1454&amp;AS[[#This Row],[Reporting Year]]&amp;"; "&amp;P1454&amp;AS[[#This Row],[Insurance Category Code]]&amp;"; "&amp;Q1454&amp;AS[[#This Row],[Large Provider Entity Code]]&amp;"; "&amp;R1454&amp;AS[[#This Row],[Age Band Code]]&amp;"; "&amp;S1454&amp;AS[[#This Row],[Sex Code]]</f>
        <v xml:space="preserve">Insurer Code ; Reporting Year ; Insurance Category Code ; Large Provider Entity Code ; Age Band Code ; Sex Code </v>
      </c>
      <c r="N1454" s="345" t="s">
        <v>207</v>
      </c>
      <c r="O1454" s="345" t="s">
        <v>208</v>
      </c>
      <c r="P1454" s="345" t="s">
        <v>209</v>
      </c>
      <c r="Q1454" s="345" t="s">
        <v>210</v>
      </c>
      <c r="R1454" s="345" t="s">
        <v>223</v>
      </c>
      <c r="S1454" s="345" t="s">
        <v>224</v>
      </c>
    </row>
    <row r="1455" spans="1:19" x14ac:dyDescent="0.25">
      <c r="A1455" s="311"/>
      <c r="B1455" s="312"/>
      <c r="C1455" s="312"/>
      <c r="D1455" s="312"/>
      <c r="E1455" s="312"/>
      <c r="F1455" s="312"/>
      <c r="G1455" s="328"/>
      <c r="H1455" s="337"/>
      <c r="I1455" s="334"/>
      <c r="J1455" s="314"/>
      <c r="K1455" s="449"/>
      <c r="M1455" s="349" t="str">
        <f>N1455&amp;AS[[#This Row],[Insurer Code]]&amp;"; "&amp;O1455&amp;AS[[#This Row],[Reporting Year]]&amp;"; "&amp;P1455&amp;AS[[#This Row],[Insurance Category Code]]&amp;"; "&amp;Q1455&amp;AS[[#This Row],[Large Provider Entity Code]]&amp;"; "&amp;R1455&amp;AS[[#This Row],[Age Band Code]]&amp;"; "&amp;S1455&amp;AS[[#This Row],[Sex Code]]</f>
        <v xml:space="preserve">Insurer Code ; Reporting Year ; Insurance Category Code ; Large Provider Entity Code ; Age Band Code ; Sex Code </v>
      </c>
      <c r="N1455" s="345" t="s">
        <v>207</v>
      </c>
      <c r="O1455" s="345" t="s">
        <v>208</v>
      </c>
      <c r="P1455" s="345" t="s">
        <v>209</v>
      </c>
      <c r="Q1455" s="345" t="s">
        <v>210</v>
      </c>
      <c r="R1455" s="345" t="s">
        <v>223</v>
      </c>
      <c r="S1455" s="345" t="s">
        <v>224</v>
      </c>
    </row>
    <row r="1456" spans="1:19" x14ac:dyDescent="0.25">
      <c r="A1456" s="311"/>
      <c r="B1456" s="312"/>
      <c r="C1456" s="312"/>
      <c r="D1456" s="312"/>
      <c r="E1456" s="312"/>
      <c r="F1456" s="312"/>
      <c r="G1456" s="328"/>
      <c r="H1456" s="337"/>
      <c r="I1456" s="334"/>
      <c r="J1456" s="314"/>
      <c r="K1456" s="449"/>
      <c r="M1456" s="349" t="str">
        <f>N1456&amp;AS[[#This Row],[Insurer Code]]&amp;"; "&amp;O1456&amp;AS[[#This Row],[Reporting Year]]&amp;"; "&amp;P1456&amp;AS[[#This Row],[Insurance Category Code]]&amp;"; "&amp;Q1456&amp;AS[[#This Row],[Large Provider Entity Code]]&amp;"; "&amp;R1456&amp;AS[[#This Row],[Age Band Code]]&amp;"; "&amp;S1456&amp;AS[[#This Row],[Sex Code]]</f>
        <v xml:space="preserve">Insurer Code ; Reporting Year ; Insurance Category Code ; Large Provider Entity Code ; Age Band Code ; Sex Code </v>
      </c>
      <c r="N1456" s="345" t="s">
        <v>207</v>
      </c>
      <c r="O1456" s="345" t="s">
        <v>208</v>
      </c>
      <c r="P1456" s="345" t="s">
        <v>209</v>
      </c>
      <c r="Q1456" s="345" t="s">
        <v>210</v>
      </c>
      <c r="R1456" s="345" t="s">
        <v>223</v>
      </c>
      <c r="S1456" s="345" t="s">
        <v>224</v>
      </c>
    </row>
    <row r="1457" spans="1:19" x14ac:dyDescent="0.25">
      <c r="A1457" s="311"/>
      <c r="B1457" s="312"/>
      <c r="C1457" s="312"/>
      <c r="D1457" s="312"/>
      <c r="E1457" s="312"/>
      <c r="F1457" s="312"/>
      <c r="G1457" s="328"/>
      <c r="H1457" s="337"/>
      <c r="I1457" s="334"/>
      <c r="J1457" s="314"/>
      <c r="K1457" s="449"/>
      <c r="M1457" s="349" t="str">
        <f>N1457&amp;AS[[#This Row],[Insurer Code]]&amp;"; "&amp;O1457&amp;AS[[#This Row],[Reporting Year]]&amp;"; "&amp;P1457&amp;AS[[#This Row],[Insurance Category Code]]&amp;"; "&amp;Q1457&amp;AS[[#This Row],[Large Provider Entity Code]]&amp;"; "&amp;R1457&amp;AS[[#This Row],[Age Band Code]]&amp;"; "&amp;S1457&amp;AS[[#This Row],[Sex Code]]</f>
        <v xml:space="preserve">Insurer Code ; Reporting Year ; Insurance Category Code ; Large Provider Entity Code ; Age Band Code ; Sex Code </v>
      </c>
      <c r="N1457" s="345" t="s">
        <v>207</v>
      </c>
      <c r="O1457" s="345" t="s">
        <v>208</v>
      </c>
      <c r="P1457" s="345" t="s">
        <v>209</v>
      </c>
      <c r="Q1457" s="345" t="s">
        <v>210</v>
      </c>
      <c r="R1457" s="345" t="s">
        <v>223</v>
      </c>
      <c r="S1457" s="345" t="s">
        <v>224</v>
      </c>
    </row>
    <row r="1458" spans="1:19" x14ac:dyDescent="0.25">
      <c r="A1458" s="311"/>
      <c r="B1458" s="312"/>
      <c r="C1458" s="312"/>
      <c r="D1458" s="312"/>
      <c r="E1458" s="312"/>
      <c r="F1458" s="312"/>
      <c r="G1458" s="328"/>
      <c r="H1458" s="337"/>
      <c r="I1458" s="334"/>
      <c r="J1458" s="314"/>
      <c r="K1458" s="449"/>
      <c r="M1458" s="349" t="str">
        <f>N1458&amp;AS[[#This Row],[Insurer Code]]&amp;"; "&amp;O1458&amp;AS[[#This Row],[Reporting Year]]&amp;"; "&amp;P1458&amp;AS[[#This Row],[Insurance Category Code]]&amp;"; "&amp;Q1458&amp;AS[[#This Row],[Large Provider Entity Code]]&amp;"; "&amp;R1458&amp;AS[[#This Row],[Age Band Code]]&amp;"; "&amp;S1458&amp;AS[[#This Row],[Sex Code]]</f>
        <v xml:space="preserve">Insurer Code ; Reporting Year ; Insurance Category Code ; Large Provider Entity Code ; Age Band Code ; Sex Code </v>
      </c>
      <c r="N1458" s="345" t="s">
        <v>207</v>
      </c>
      <c r="O1458" s="345" t="s">
        <v>208</v>
      </c>
      <c r="P1458" s="345" t="s">
        <v>209</v>
      </c>
      <c r="Q1458" s="345" t="s">
        <v>210</v>
      </c>
      <c r="R1458" s="345" t="s">
        <v>223</v>
      </c>
      <c r="S1458" s="345" t="s">
        <v>224</v>
      </c>
    </row>
    <row r="1459" spans="1:19" x14ac:dyDescent="0.25">
      <c r="A1459" s="311"/>
      <c r="B1459" s="312"/>
      <c r="C1459" s="312"/>
      <c r="D1459" s="312"/>
      <c r="E1459" s="312"/>
      <c r="F1459" s="312"/>
      <c r="G1459" s="328"/>
      <c r="H1459" s="337"/>
      <c r="I1459" s="334"/>
      <c r="J1459" s="314"/>
      <c r="K1459" s="449"/>
      <c r="M1459" s="349" t="str">
        <f>N1459&amp;AS[[#This Row],[Insurer Code]]&amp;"; "&amp;O1459&amp;AS[[#This Row],[Reporting Year]]&amp;"; "&amp;P1459&amp;AS[[#This Row],[Insurance Category Code]]&amp;"; "&amp;Q1459&amp;AS[[#This Row],[Large Provider Entity Code]]&amp;"; "&amp;R1459&amp;AS[[#This Row],[Age Band Code]]&amp;"; "&amp;S1459&amp;AS[[#This Row],[Sex Code]]</f>
        <v xml:space="preserve">Insurer Code ; Reporting Year ; Insurance Category Code ; Large Provider Entity Code ; Age Band Code ; Sex Code </v>
      </c>
      <c r="N1459" s="345" t="s">
        <v>207</v>
      </c>
      <c r="O1459" s="345" t="s">
        <v>208</v>
      </c>
      <c r="P1459" s="345" t="s">
        <v>209</v>
      </c>
      <c r="Q1459" s="345" t="s">
        <v>210</v>
      </c>
      <c r="R1459" s="345" t="s">
        <v>223</v>
      </c>
      <c r="S1459" s="345" t="s">
        <v>224</v>
      </c>
    </row>
    <row r="1460" spans="1:19" x14ac:dyDescent="0.25">
      <c r="A1460" s="311"/>
      <c r="B1460" s="312"/>
      <c r="C1460" s="312"/>
      <c r="D1460" s="312"/>
      <c r="E1460" s="312"/>
      <c r="F1460" s="312"/>
      <c r="G1460" s="328"/>
      <c r="H1460" s="337"/>
      <c r="I1460" s="334"/>
      <c r="J1460" s="314"/>
      <c r="K1460" s="449"/>
      <c r="M1460" s="349" t="str">
        <f>N1460&amp;AS[[#This Row],[Insurer Code]]&amp;"; "&amp;O1460&amp;AS[[#This Row],[Reporting Year]]&amp;"; "&amp;P1460&amp;AS[[#This Row],[Insurance Category Code]]&amp;"; "&amp;Q1460&amp;AS[[#This Row],[Large Provider Entity Code]]&amp;"; "&amp;R1460&amp;AS[[#This Row],[Age Band Code]]&amp;"; "&amp;S1460&amp;AS[[#This Row],[Sex Code]]</f>
        <v xml:space="preserve">Insurer Code ; Reporting Year ; Insurance Category Code ; Large Provider Entity Code ; Age Band Code ; Sex Code </v>
      </c>
      <c r="N1460" s="345" t="s">
        <v>207</v>
      </c>
      <c r="O1460" s="345" t="s">
        <v>208</v>
      </c>
      <c r="P1460" s="345" t="s">
        <v>209</v>
      </c>
      <c r="Q1460" s="345" t="s">
        <v>210</v>
      </c>
      <c r="R1460" s="345" t="s">
        <v>223</v>
      </c>
      <c r="S1460" s="345" t="s">
        <v>224</v>
      </c>
    </row>
    <row r="1461" spans="1:19" x14ac:dyDescent="0.25">
      <c r="A1461" s="311"/>
      <c r="B1461" s="312"/>
      <c r="C1461" s="312"/>
      <c r="D1461" s="312"/>
      <c r="E1461" s="312"/>
      <c r="F1461" s="312"/>
      <c r="G1461" s="328"/>
      <c r="H1461" s="337"/>
      <c r="I1461" s="334"/>
      <c r="J1461" s="314"/>
      <c r="K1461" s="449"/>
      <c r="M1461" s="349" t="str">
        <f>N1461&amp;AS[[#This Row],[Insurer Code]]&amp;"; "&amp;O1461&amp;AS[[#This Row],[Reporting Year]]&amp;"; "&amp;P1461&amp;AS[[#This Row],[Insurance Category Code]]&amp;"; "&amp;Q1461&amp;AS[[#This Row],[Large Provider Entity Code]]&amp;"; "&amp;R1461&amp;AS[[#This Row],[Age Band Code]]&amp;"; "&amp;S1461&amp;AS[[#This Row],[Sex Code]]</f>
        <v xml:space="preserve">Insurer Code ; Reporting Year ; Insurance Category Code ; Large Provider Entity Code ; Age Band Code ; Sex Code </v>
      </c>
      <c r="N1461" s="345" t="s">
        <v>207</v>
      </c>
      <c r="O1461" s="345" t="s">
        <v>208</v>
      </c>
      <c r="P1461" s="345" t="s">
        <v>209</v>
      </c>
      <c r="Q1461" s="345" t="s">
        <v>210</v>
      </c>
      <c r="R1461" s="345" t="s">
        <v>223</v>
      </c>
      <c r="S1461" s="345" t="s">
        <v>224</v>
      </c>
    </row>
    <row r="1462" spans="1:19" x14ac:dyDescent="0.25">
      <c r="A1462" s="311"/>
      <c r="B1462" s="312"/>
      <c r="C1462" s="312"/>
      <c r="D1462" s="312"/>
      <c r="E1462" s="312"/>
      <c r="F1462" s="312"/>
      <c r="G1462" s="328"/>
      <c r="H1462" s="337"/>
      <c r="I1462" s="334"/>
      <c r="J1462" s="314"/>
      <c r="K1462" s="449"/>
      <c r="M1462" s="349" t="str">
        <f>N1462&amp;AS[[#This Row],[Insurer Code]]&amp;"; "&amp;O1462&amp;AS[[#This Row],[Reporting Year]]&amp;"; "&amp;P1462&amp;AS[[#This Row],[Insurance Category Code]]&amp;"; "&amp;Q1462&amp;AS[[#This Row],[Large Provider Entity Code]]&amp;"; "&amp;R1462&amp;AS[[#This Row],[Age Band Code]]&amp;"; "&amp;S1462&amp;AS[[#This Row],[Sex Code]]</f>
        <v xml:space="preserve">Insurer Code ; Reporting Year ; Insurance Category Code ; Large Provider Entity Code ; Age Band Code ; Sex Code </v>
      </c>
      <c r="N1462" s="345" t="s">
        <v>207</v>
      </c>
      <c r="O1462" s="345" t="s">
        <v>208</v>
      </c>
      <c r="P1462" s="345" t="s">
        <v>209</v>
      </c>
      <c r="Q1462" s="345" t="s">
        <v>210</v>
      </c>
      <c r="R1462" s="345" t="s">
        <v>223</v>
      </c>
      <c r="S1462" s="345" t="s">
        <v>224</v>
      </c>
    </row>
    <row r="1463" spans="1:19" x14ac:dyDescent="0.25">
      <c r="A1463" s="311"/>
      <c r="B1463" s="312"/>
      <c r="C1463" s="312"/>
      <c r="D1463" s="312"/>
      <c r="E1463" s="312"/>
      <c r="F1463" s="312"/>
      <c r="G1463" s="328"/>
      <c r="H1463" s="337"/>
      <c r="I1463" s="334"/>
      <c r="J1463" s="314"/>
      <c r="K1463" s="449"/>
      <c r="M1463" s="349" t="str">
        <f>N1463&amp;AS[[#This Row],[Insurer Code]]&amp;"; "&amp;O1463&amp;AS[[#This Row],[Reporting Year]]&amp;"; "&amp;P1463&amp;AS[[#This Row],[Insurance Category Code]]&amp;"; "&amp;Q1463&amp;AS[[#This Row],[Large Provider Entity Code]]&amp;"; "&amp;R1463&amp;AS[[#This Row],[Age Band Code]]&amp;"; "&amp;S1463&amp;AS[[#This Row],[Sex Code]]</f>
        <v xml:space="preserve">Insurer Code ; Reporting Year ; Insurance Category Code ; Large Provider Entity Code ; Age Band Code ; Sex Code </v>
      </c>
      <c r="N1463" s="345" t="s">
        <v>207</v>
      </c>
      <c r="O1463" s="345" t="s">
        <v>208</v>
      </c>
      <c r="P1463" s="345" t="s">
        <v>209</v>
      </c>
      <c r="Q1463" s="345" t="s">
        <v>210</v>
      </c>
      <c r="R1463" s="345" t="s">
        <v>223</v>
      </c>
      <c r="S1463" s="345" t="s">
        <v>224</v>
      </c>
    </row>
    <row r="1464" spans="1:19" x14ac:dyDescent="0.25">
      <c r="A1464" s="311"/>
      <c r="B1464" s="312"/>
      <c r="C1464" s="312"/>
      <c r="D1464" s="312"/>
      <c r="E1464" s="312"/>
      <c r="F1464" s="312"/>
      <c r="G1464" s="328"/>
      <c r="H1464" s="337"/>
      <c r="I1464" s="334"/>
      <c r="J1464" s="314"/>
      <c r="K1464" s="449"/>
      <c r="M1464" s="349" t="str">
        <f>N1464&amp;AS[[#This Row],[Insurer Code]]&amp;"; "&amp;O1464&amp;AS[[#This Row],[Reporting Year]]&amp;"; "&amp;P1464&amp;AS[[#This Row],[Insurance Category Code]]&amp;"; "&amp;Q1464&amp;AS[[#This Row],[Large Provider Entity Code]]&amp;"; "&amp;R1464&amp;AS[[#This Row],[Age Band Code]]&amp;"; "&amp;S1464&amp;AS[[#This Row],[Sex Code]]</f>
        <v xml:space="preserve">Insurer Code ; Reporting Year ; Insurance Category Code ; Large Provider Entity Code ; Age Band Code ; Sex Code </v>
      </c>
      <c r="N1464" s="345" t="s">
        <v>207</v>
      </c>
      <c r="O1464" s="345" t="s">
        <v>208</v>
      </c>
      <c r="P1464" s="345" t="s">
        <v>209</v>
      </c>
      <c r="Q1464" s="345" t="s">
        <v>210</v>
      </c>
      <c r="R1464" s="345" t="s">
        <v>223</v>
      </c>
      <c r="S1464" s="345" t="s">
        <v>224</v>
      </c>
    </row>
    <row r="1465" spans="1:19" x14ac:dyDescent="0.25">
      <c r="A1465" s="311"/>
      <c r="B1465" s="312"/>
      <c r="C1465" s="312"/>
      <c r="D1465" s="312"/>
      <c r="E1465" s="312"/>
      <c r="F1465" s="312"/>
      <c r="G1465" s="328"/>
      <c r="H1465" s="337"/>
      <c r="I1465" s="334"/>
      <c r="J1465" s="314"/>
      <c r="K1465" s="449"/>
      <c r="M1465" s="349" t="str">
        <f>N1465&amp;AS[[#This Row],[Insurer Code]]&amp;"; "&amp;O1465&amp;AS[[#This Row],[Reporting Year]]&amp;"; "&amp;P1465&amp;AS[[#This Row],[Insurance Category Code]]&amp;"; "&amp;Q1465&amp;AS[[#This Row],[Large Provider Entity Code]]&amp;"; "&amp;R1465&amp;AS[[#This Row],[Age Band Code]]&amp;"; "&amp;S1465&amp;AS[[#This Row],[Sex Code]]</f>
        <v xml:space="preserve">Insurer Code ; Reporting Year ; Insurance Category Code ; Large Provider Entity Code ; Age Band Code ; Sex Code </v>
      </c>
      <c r="N1465" s="345" t="s">
        <v>207</v>
      </c>
      <c r="O1465" s="345" t="s">
        <v>208</v>
      </c>
      <c r="P1465" s="345" t="s">
        <v>209</v>
      </c>
      <c r="Q1465" s="345" t="s">
        <v>210</v>
      </c>
      <c r="R1465" s="345" t="s">
        <v>223</v>
      </c>
      <c r="S1465" s="345" t="s">
        <v>224</v>
      </c>
    </row>
    <row r="1466" spans="1:19" x14ac:dyDescent="0.25">
      <c r="A1466" s="311"/>
      <c r="B1466" s="312"/>
      <c r="C1466" s="312"/>
      <c r="D1466" s="312"/>
      <c r="E1466" s="312"/>
      <c r="F1466" s="312"/>
      <c r="G1466" s="328"/>
      <c r="H1466" s="337"/>
      <c r="I1466" s="334"/>
      <c r="J1466" s="314"/>
      <c r="K1466" s="449"/>
      <c r="M1466" s="349" t="str">
        <f>N1466&amp;AS[[#This Row],[Insurer Code]]&amp;"; "&amp;O1466&amp;AS[[#This Row],[Reporting Year]]&amp;"; "&amp;P1466&amp;AS[[#This Row],[Insurance Category Code]]&amp;"; "&amp;Q1466&amp;AS[[#This Row],[Large Provider Entity Code]]&amp;"; "&amp;R1466&amp;AS[[#This Row],[Age Band Code]]&amp;"; "&amp;S1466&amp;AS[[#This Row],[Sex Code]]</f>
        <v xml:space="preserve">Insurer Code ; Reporting Year ; Insurance Category Code ; Large Provider Entity Code ; Age Band Code ; Sex Code </v>
      </c>
      <c r="N1466" s="345" t="s">
        <v>207</v>
      </c>
      <c r="O1466" s="345" t="s">
        <v>208</v>
      </c>
      <c r="P1466" s="345" t="s">
        <v>209</v>
      </c>
      <c r="Q1466" s="345" t="s">
        <v>210</v>
      </c>
      <c r="R1466" s="345" t="s">
        <v>223</v>
      </c>
      <c r="S1466" s="345" t="s">
        <v>224</v>
      </c>
    </row>
    <row r="1467" spans="1:19" x14ac:dyDescent="0.25">
      <c r="A1467" s="311"/>
      <c r="B1467" s="312"/>
      <c r="C1467" s="312"/>
      <c r="D1467" s="312"/>
      <c r="E1467" s="312"/>
      <c r="F1467" s="312"/>
      <c r="G1467" s="328"/>
      <c r="H1467" s="337"/>
      <c r="I1467" s="334"/>
      <c r="J1467" s="314"/>
      <c r="K1467" s="449"/>
      <c r="M1467" s="349" t="str">
        <f>N1467&amp;AS[[#This Row],[Insurer Code]]&amp;"; "&amp;O1467&amp;AS[[#This Row],[Reporting Year]]&amp;"; "&amp;P1467&amp;AS[[#This Row],[Insurance Category Code]]&amp;"; "&amp;Q1467&amp;AS[[#This Row],[Large Provider Entity Code]]&amp;"; "&amp;R1467&amp;AS[[#This Row],[Age Band Code]]&amp;"; "&amp;S1467&amp;AS[[#This Row],[Sex Code]]</f>
        <v xml:space="preserve">Insurer Code ; Reporting Year ; Insurance Category Code ; Large Provider Entity Code ; Age Band Code ; Sex Code </v>
      </c>
      <c r="N1467" s="345" t="s">
        <v>207</v>
      </c>
      <c r="O1467" s="345" t="s">
        <v>208</v>
      </c>
      <c r="P1467" s="345" t="s">
        <v>209</v>
      </c>
      <c r="Q1467" s="345" t="s">
        <v>210</v>
      </c>
      <c r="R1467" s="345" t="s">
        <v>223</v>
      </c>
      <c r="S1467" s="345" t="s">
        <v>224</v>
      </c>
    </row>
    <row r="1468" spans="1:19" x14ac:dyDescent="0.25">
      <c r="A1468" s="311"/>
      <c r="B1468" s="312"/>
      <c r="C1468" s="312"/>
      <c r="D1468" s="312"/>
      <c r="E1468" s="312"/>
      <c r="F1468" s="312"/>
      <c r="G1468" s="328"/>
      <c r="H1468" s="337"/>
      <c r="I1468" s="334"/>
      <c r="J1468" s="314"/>
      <c r="K1468" s="449"/>
      <c r="M1468" s="349" t="str">
        <f>N1468&amp;AS[[#This Row],[Insurer Code]]&amp;"; "&amp;O1468&amp;AS[[#This Row],[Reporting Year]]&amp;"; "&amp;P1468&amp;AS[[#This Row],[Insurance Category Code]]&amp;"; "&amp;Q1468&amp;AS[[#This Row],[Large Provider Entity Code]]&amp;"; "&amp;R1468&amp;AS[[#This Row],[Age Band Code]]&amp;"; "&amp;S1468&amp;AS[[#This Row],[Sex Code]]</f>
        <v xml:space="preserve">Insurer Code ; Reporting Year ; Insurance Category Code ; Large Provider Entity Code ; Age Band Code ; Sex Code </v>
      </c>
      <c r="N1468" s="345" t="s">
        <v>207</v>
      </c>
      <c r="O1468" s="345" t="s">
        <v>208</v>
      </c>
      <c r="P1468" s="345" t="s">
        <v>209</v>
      </c>
      <c r="Q1468" s="345" t="s">
        <v>210</v>
      </c>
      <c r="R1468" s="345" t="s">
        <v>223</v>
      </c>
      <c r="S1468" s="345" t="s">
        <v>224</v>
      </c>
    </row>
    <row r="1469" spans="1:19" x14ac:dyDescent="0.25">
      <c r="A1469" s="311"/>
      <c r="B1469" s="312"/>
      <c r="C1469" s="312"/>
      <c r="D1469" s="312"/>
      <c r="E1469" s="312"/>
      <c r="F1469" s="312"/>
      <c r="G1469" s="328"/>
      <c r="H1469" s="337"/>
      <c r="I1469" s="334"/>
      <c r="J1469" s="314"/>
      <c r="K1469" s="449"/>
      <c r="M1469" s="349" t="str">
        <f>N1469&amp;AS[[#This Row],[Insurer Code]]&amp;"; "&amp;O1469&amp;AS[[#This Row],[Reporting Year]]&amp;"; "&amp;P1469&amp;AS[[#This Row],[Insurance Category Code]]&amp;"; "&amp;Q1469&amp;AS[[#This Row],[Large Provider Entity Code]]&amp;"; "&amp;R1469&amp;AS[[#This Row],[Age Band Code]]&amp;"; "&amp;S1469&amp;AS[[#This Row],[Sex Code]]</f>
        <v xml:space="preserve">Insurer Code ; Reporting Year ; Insurance Category Code ; Large Provider Entity Code ; Age Band Code ; Sex Code </v>
      </c>
      <c r="N1469" s="345" t="s">
        <v>207</v>
      </c>
      <c r="O1469" s="345" t="s">
        <v>208</v>
      </c>
      <c r="P1469" s="345" t="s">
        <v>209</v>
      </c>
      <c r="Q1469" s="345" t="s">
        <v>210</v>
      </c>
      <c r="R1469" s="345" t="s">
        <v>223</v>
      </c>
      <c r="S1469" s="345" t="s">
        <v>224</v>
      </c>
    </row>
    <row r="1470" spans="1:19" x14ac:dyDescent="0.25">
      <c r="A1470" s="311"/>
      <c r="B1470" s="312"/>
      <c r="C1470" s="312"/>
      <c r="D1470" s="312"/>
      <c r="E1470" s="312"/>
      <c r="F1470" s="312"/>
      <c r="G1470" s="328"/>
      <c r="H1470" s="337"/>
      <c r="I1470" s="334"/>
      <c r="J1470" s="314"/>
      <c r="K1470" s="449"/>
      <c r="M1470" s="349" t="str">
        <f>N1470&amp;AS[[#This Row],[Insurer Code]]&amp;"; "&amp;O1470&amp;AS[[#This Row],[Reporting Year]]&amp;"; "&amp;P1470&amp;AS[[#This Row],[Insurance Category Code]]&amp;"; "&amp;Q1470&amp;AS[[#This Row],[Large Provider Entity Code]]&amp;"; "&amp;R1470&amp;AS[[#This Row],[Age Band Code]]&amp;"; "&amp;S1470&amp;AS[[#This Row],[Sex Code]]</f>
        <v xml:space="preserve">Insurer Code ; Reporting Year ; Insurance Category Code ; Large Provider Entity Code ; Age Band Code ; Sex Code </v>
      </c>
      <c r="N1470" s="345" t="s">
        <v>207</v>
      </c>
      <c r="O1470" s="345" t="s">
        <v>208</v>
      </c>
      <c r="P1470" s="345" t="s">
        <v>209</v>
      </c>
      <c r="Q1470" s="345" t="s">
        <v>210</v>
      </c>
      <c r="R1470" s="345" t="s">
        <v>223</v>
      </c>
      <c r="S1470" s="345" t="s">
        <v>224</v>
      </c>
    </row>
    <row r="1471" spans="1:19" x14ac:dyDescent="0.25">
      <c r="A1471" s="311"/>
      <c r="B1471" s="312"/>
      <c r="C1471" s="312"/>
      <c r="D1471" s="312"/>
      <c r="E1471" s="312"/>
      <c r="F1471" s="312"/>
      <c r="G1471" s="328"/>
      <c r="H1471" s="337"/>
      <c r="I1471" s="334"/>
      <c r="J1471" s="314"/>
      <c r="K1471" s="449"/>
      <c r="M1471" s="349" t="str">
        <f>N1471&amp;AS[[#This Row],[Insurer Code]]&amp;"; "&amp;O1471&amp;AS[[#This Row],[Reporting Year]]&amp;"; "&amp;P1471&amp;AS[[#This Row],[Insurance Category Code]]&amp;"; "&amp;Q1471&amp;AS[[#This Row],[Large Provider Entity Code]]&amp;"; "&amp;R1471&amp;AS[[#This Row],[Age Band Code]]&amp;"; "&amp;S1471&amp;AS[[#This Row],[Sex Code]]</f>
        <v xml:space="preserve">Insurer Code ; Reporting Year ; Insurance Category Code ; Large Provider Entity Code ; Age Band Code ; Sex Code </v>
      </c>
      <c r="N1471" s="345" t="s">
        <v>207</v>
      </c>
      <c r="O1471" s="345" t="s">
        <v>208</v>
      </c>
      <c r="P1471" s="345" t="s">
        <v>209</v>
      </c>
      <c r="Q1471" s="345" t="s">
        <v>210</v>
      </c>
      <c r="R1471" s="345" t="s">
        <v>223</v>
      </c>
      <c r="S1471" s="345" t="s">
        <v>224</v>
      </c>
    </row>
    <row r="1472" spans="1:19" x14ac:dyDescent="0.25">
      <c r="A1472" s="311"/>
      <c r="B1472" s="312"/>
      <c r="C1472" s="312"/>
      <c r="D1472" s="312"/>
      <c r="E1472" s="312"/>
      <c r="F1472" s="312"/>
      <c r="G1472" s="328"/>
      <c r="H1472" s="337"/>
      <c r="I1472" s="334"/>
      <c r="J1472" s="314"/>
      <c r="K1472" s="449"/>
      <c r="M1472" s="349" t="str">
        <f>N1472&amp;AS[[#This Row],[Insurer Code]]&amp;"; "&amp;O1472&amp;AS[[#This Row],[Reporting Year]]&amp;"; "&amp;P1472&amp;AS[[#This Row],[Insurance Category Code]]&amp;"; "&amp;Q1472&amp;AS[[#This Row],[Large Provider Entity Code]]&amp;"; "&amp;R1472&amp;AS[[#This Row],[Age Band Code]]&amp;"; "&amp;S1472&amp;AS[[#This Row],[Sex Code]]</f>
        <v xml:space="preserve">Insurer Code ; Reporting Year ; Insurance Category Code ; Large Provider Entity Code ; Age Band Code ; Sex Code </v>
      </c>
      <c r="N1472" s="345" t="s">
        <v>207</v>
      </c>
      <c r="O1472" s="345" t="s">
        <v>208</v>
      </c>
      <c r="P1472" s="345" t="s">
        <v>209</v>
      </c>
      <c r="Q1472" s="345" t="s">
        <v>210</v>
      </c>
      <c r="R1472" s="345" t="s">
        <v>223</v>
      </c>
      <c r="S1472" s="345" t="s">
        <v>224</v>
      </c>
    </row>
    <row r="1473" spans="1:19" x14ac:dyDescent="0.25">
      <c r="A1473" s="311"/>
      <c r="B1473" s="312"/>
      <c r="C1473" s="312"/>
      <c r="D1473" s="312"/>
      <c r="E1473" s="312"/>
      <c r="F1473" s="312"/>
      <c r="G1473" s="328"/>
      <c r="H1473" s="337"/>
      <c r="I1473" s="334"/>
      <c r="J1473" s="314"/>
      <c r="K1473" s="449"/>
      <c r="M1473" s="349" t="str">
        <f>N1473&amp;AS[[#This Row],[Insurer Code]]&amp;"; "&amp;O1473&amp;AS[[#This Row],[Reporting Year]]&amp;"; "&amp;P1473&amp;AS[[#This Row],[Insurance Category Code]]&amp;"; "&amp;Q1473&amp;AS[[#This Row],[Large Provider Entity Code]]&amp;"; "&amp;R1473&amp;AS[[#This Row],[Age Band Code]]&amp;"; "&amp;S1473&amp;AS[[#This Row],[Sex Code]]</f>
        <v xml:space="preserve">Insurer Code ; Reporting Year ; Insurance Category Code ; Large Provider Entity Code ; Age Band Code ; Sex Code </v>
      </c>
      <c r="N1473" s="345" t="s">
        <v>207</v>
      </c>
      <c r="O1473" s="345" t="s">
        <v>208</v>
      </c>
      <c r="P1473" s="345" t="s">
        <v>209</v>
      </c>
      <c r="Q1473" s="345" t="s">
        <v>210</v>
      </c>
      <c r="R1473" s="345" t="s">
        <v>223</v>
      </c>
      <c r="S1473" s="345" t="s">
        <v>224</v>
      </c>
    </row>
    <row r="1474" spans="1:19" x14ac:dyDescent="0.25">
      <c r="A1474" s="311"/>
      <c r="B1474" s="312"/>
      <c r="C1474" s="312"/>
      <c r="D1474" s="312"/>
      <c r="E1474" s="312"/>
      <c r="F1474" s="312"/>
      <c r="G1474" s="328"/>
      <c r="H1474" s="337"/>
      <c r="I1474" s="334"/>
      <c r="J1474" s="314"/>
      <c r="K1474" s="449"/>
      <c r="M1474" s="349" t="str">
        <f>N1474&amp;AS[[#This Row],[Insurer Code]]&amp;"; "&amp;O1474&amp;AS[[#This Row],[Reporting Year]]&amp;"; "&amp;P1474&amp;AS[[#This Row],[Insurance Category Code]]&amp;"; "&amp;Q1474&amp;AS[[#This Row],[Large Provider Entity Code]]&amp;"; "&amp;R1474&amp;AS[[#This Row],[Age Band Code]]&amp;"; "&amp;S1474&amp;AS[[#This Row],[Sex Code]]</f>
        <v xml:space="preserve">Insurer Code ; Reporting Year ; Insurance Category Code ; Large Provider Entity Code ; Age Band Code ; Sex Code </v>
      </c>
      <c r="N1474" s="345" t="s">
        <v>207</v>
      </c>
      <c r="O1474" s="345" t="s">
        <v>208</v>
      </c>
      <c r="P1474" s="345" t="s">
        <v>209</v>
      </c>
      <c r="Q1474" s="345" t="s">
        <v>210</v>
      </c>
      <c r="R1474" s="345" t="s">
        <v>223</v>
      </c>
      <c r="S1474" s="345" t="s">
        <v>224</v>
      </c>
    </row>
    <row r="1475" spans="1:19" x14ac:dyDescent="0.25">
      <c r="A1475" s="311"/>
      <c r="B1475" s="312"/>
      <c r="C1475" s="312"/>
      <c r="D1475" s="312"/>
      <c r="E1475" s="312"/>
      <c r="F1475" s="312"/>
      <c r="G1475" s="328"/>
      <c r="H1475" s="337"/>
      <c r="I1475" s="334"/>
      <c r="J1475" s="314"/>
      <c r="K1475" s="449"/>
      <c r="M1475" s="349" t="str">
        <f>N1475&amp;AS[[#This Row],[Insurer Code]]&amp;"; "&amp;O1475&amp;AS[[#This Row],[Reporting Year]]&amp;"; "&amp;P1475&amp;AS[[#This Row],[Insurance Category Code]]&amp;"; "&amp;Q1475&amp;AS[[#This Row],[Large Provider Entity Code]]&amp;"; "&amp;R1475&amp;AS[[#This Row],[Age Band Code]]&amp;"; "&amp;S1475&amp;AS[[#This Row],[Sex Code]]</f>
        <v xml:space="preserve">Insurer Code ; Reporting Year ; Insurance Category Code ; Large Provider Entity Code ; Age Band Code ; Sex Code </v>
      </c>
      <c r="N1475" s="345" t="s">
        <v>207</v>
      </c>
      <c r="O1475" s="345" t="s">
        <v>208</v>
      </c>
      <c r="P1475" s="345" t="s">
        <v>209</v>
      </c>
      <c r="Q1475" s="345" t="s">
        <v>210</v>
      </c>
      <c r="R1475" s="345" t="s">
        <v>223</v>
      </c>
      <c r="S1475" s="345" t="s">
        <v>224</v>
      </c>
    </row>
    <row r="1476" spans="1:19" x14ac:dyDescent="0.25">
      <c r="A1476" s="311"/>
      <c r="B1476" s="312"/>
      <c r="C1476" s="312"/>
      <c r="D1476" s="312"/>
      <c r="E1476" s="312"/>
      <c r="F1476" s="312"/>
      <c r="G1476" s="328"/>
      <c r="H1476" s="337"/>
      <c r="I1476" s="334"/>
      <c r="J1476" s="314"/>
      <c r="K1476" s="449"/>
      <c r="M1476" s="349" t="str">
        <f>N1476&amp;AS[[#This Row],[Insurer Code]]&amp;"; "&amp;O1476&amp;AS[[#This Row],[Reporting Year]]&amp;"; "&amp;P1476&amp;AS[[#This Row],[Insurance Category Code]]&amp;"; "&amp;Q1476&amp;AS[[#This Row],[Large Provider Entity Code]]&amp;"; "&amp;R1476&amp;AS[[#This Row],[Age Band Code]]&amp;"; "&amp;S1476&amp;AS[[#This Row],[Sex Code]]</f>
        <v xml:space="preserve">Insurer Code ; Reporting Year ; Insurance Category Code ; Large Provider Entity Code ; Age Band Code ; Sex Code </v>
      </c>
      <c r="N1476" s="345" t="s">
        <v>207</v>
      </c>
      <c r="O1476" s="345" t="s">
        <v>208</v>
      </c>
      <c r="P1476" s="345" t="s">
        <v>209</v>
      </c>
      <c r="Q1476" s="345" t="s">
        <v>210</v>
      </c>
      <c r="R1476" s="345" t="s">
        <v>223</v>
      </c>
      <c r="S1476" s="345" t="s">
        <v>224</v>
      </c>
    </row>
    <row r="1477" spans="1:19" x14ac:dyDescent="0.25">
      <c r="A1477" s="311"/>
      <c r="B1477" s="312"/>
      <c r="C1477" s="312"/>
      <c r="D1477" s="312"/>
      <c r="E1477" s="312"/>
      <c r="F1477" s="312"/>
      <c r="G1477" s="328"/>
      <c r="H1477" s="337"/>
      <c r="I1477" s="334"/>
      <c r="J1477" s="314"/>
      <c r="K1477" s="449"/>
      <c r="M1477" s="349" t="str">
        <f>N1477&amp;AS[[#This Row],[Insurer Code]]&amp;"; "&amp;O1477&amp;AS[[#This Row],[Reporting Year]]&amp;"; "&amp;P1477&amp;AS[[#This Row],[Insurance Category Code]]&amp;"; "&amp;Q1477&amp;AS[[#This Row],[Large Provider Entity Code]]&amp;"; "&amp;R1477&amp;AS[[#This Row],[Age Band Code]]&amp;"; "&amp;S1477&amp;AS[[#This Row],[Sex Code]]</f>
        <v xml:space="preserve">Insurer Code ; Reporting Year ; Insurance Category Code ; Large Provider Entity Code ; Age Band Code ; Sex Code </v>
      </c>
      <c r="N1477" s="345" t="s">
        <v>207</v>
      </c>
      <c r="O1477" s="345" t="s">
        <v>208</v>
      </c>
      <c r="P1477" s="345" t="s">
        <v>209</v>
      </c>
      <c r="Q1477" s="345" t="s">
        <v>210</v>
      </c>
      <c r="R1477" s="345" t="s">
        <v>223</v>
      </c>
      <c r="S1477" s="345" t="s">
        <v>224</v>
      </c>
    </row>
    <row r="1478" spans="1:19" x14ac:dyDescent="0.25">
      <c r="A1478" s="311"/>
      <c r="B1478" s="312"/>
      <c r="C1478" s="312"/>
      <c r="D1478" s="312"/>
      <c r="E1478" s="312"/>
      <c r="F1478" s="312"/>
      <c r="G1478" s="328"/>
      <c r="H1478" s="337"/>
      <c r="I1478" s="334"/>
      <c r="J1478" s="314"/>
      <c r="K1478" s="449"/>
      <c r="M1478" s="349" t="str">
        <f>N1478&amp;AS[[#This Row],[Insurer Code]]&amp;"; "&amp;O1478&amp;AS[[#This Row],[Reporting Year]]&amp;"; "&amp;P1478&amp;AS[[#This Row],[Insurance Category Code]]&amp;"; "&amp;Q1478&amp;AS[[#This Row],[Large Provider Entity Code]]&amp;"; "&amp;R1478&amp;AS[[#This Row],[Age Band Code]]&amp;"; "&amp;S1478&amp;AS[[#This Row],[Sex Code]]</f>
        <v xml:space="preserve">Insurer Code ; Reporting Year ; Insurance Category Code ; Large Provider Entity Code ; Age Band Code ; Sex Code </v>
      </c>
      <c r="N1478" s="345" t="s">
        <v>207</v>
      </c>
      <c r="O1478" s="345" t="s">
        <v>208</v>
      </c>
      <c r="P1478" s="345" t="s">
        <v>209</v>
      </c>
      <c r="Q1478" s="345" t="s">
        <v>210</v>
      </c>
      <c r="R1478" s="345" t="s">
        <v>223</v>
      </c>
      <c r="S1478" s="345" t="s">
        <v>224</v>
      </c>
    </row>
    <row r="1479" spans="1:19" x14ac:dyDescent="0.25">
      <c r="A1479" s="311"/>
      <c r="B1479" s="312"/>
      <c r="C1479" s="312"/>
      <c r="D1479" s="312"/>
      <c r="E1479" s="312"/>
      <c r="F1479" s="312"/>
      <c r="G1479" s="328"/>
      <c r="H1479" s="337"/>
      <c r="I1479" s="334"/>
      <c r="J1479" s="314"/>
      <c r="K1479" s="449"/>
      <c r="M1479" s="349" t="str">
        <f>N1479&amp;AS[[#This Row],[Insurer Code]]&amp;"; "&amp;O1479&amp;AS[[#This Row],[Reporting Year]]&amp;"; "&amp;P1479&amp;AS[[#This Row],[Insurance Category Code]]&amp;"; "&amp;Q1479&amp;AS[[#This Row],[Large Provider Entity Code]]&amp;"; "&amp;R1479&amp;AS[[#This Row],[Age Band Code]]&amp;"; "&amp;S1479&amp;AS[[#This Row],[Sex Code]]</f>
        <v xml:space="preserve">Insurer Code ; Reporting Year ; Insurance Category Code ; Large Provider Entity Code ; Age Band Code ; Sex Code </v>
      </c>
      <c r="N1479" s="345" t="s">
        <v>207</v>
      </c>
      <c r="O1479" s="345" t="s">
        <v>208</v>
      </c>
      <c r="P1479" s="345" t="s">
        <v>209</v>
      </c>
      <c r="Q1479" s="345" t="s">
        <v>210</v>
      </c>
      <c r="R1479" s="345" t="s">
        <v>223</v>
      </c>
      <c r="S1479" s="345" t="s">
        <v>224</v>
      </c>
    </row>
    <row r="1480" spans="1:19" x14ac:dyDescent="0.25">
      <c r="A1480" s="311"/>
      <c r="B1480" s="312"/>
      <c r="C1480" s="312"/>
      <c r="D1480" s="312"/>
      <c r="E1480" s="312"/>
      <c r="F1480" s="312"/>
      <c r="G1480" s="328"/>
      <c r="H1480" s="337"/>
      <c r="I1480" s="334"/>
      <c r="J1480" s="314"/>
      <c r="K1480" s="449"/>
      <c r="M1480" s="349" t="str">
        <f>N1480&amp;AS[[#This Row],[Insurer Code]]&amp;"; "&amp;O1480&amp;AS[[#This Row],[Reporting Year]]&amp;"; "&amp;P1480&amp;AS[[#This Row],[Insurance Category Code]]&amp;"; "&amp;Q1480&amp;AS[[#This Row],[Large Provider Entity Code]]&amp;"; "&amp;R1480&amp;AS[[#This Row],[Age Band Code]]&amp;"; "&amp;S1480&amp;AS[[#This Row],[Sex Code]]</f>
        <v xml:space="preserve">Insurer Code ; Reporting Year ; Insurance Category Code ; Large Provider Entity Code ; Age Band Code ; Sex Code </v>
      </c>
      <c r="N1480" s="345" t="s">
        <v>207</v>
      </c>
      <c r="O1480" s="345" t="s">
        <v>208</v>
      </c>
      <c r="P1480" s="345" t="s">
        <v>209</v>
      </c>
      <c r="Q1480" s="345" t="s">
        <v>210</v>
      </c>
      <c r="R1480" s="345" t="s">
        <v>223</v>
      </c>
      <c r="S1480" s="345" t="s">
        <v>224</v>
      </c>
    </row>
    <row r="1481" spans="1:19" x14ac:dyDescent="0.25">
      <c r="A1481" s="311"/>
      <c r="B1481" s="312"/>
      <c r="C1481" s="312"/>
      <c r="D1481" s="312"/>
      <c r="E1481" s="312"/>
      <c r="F1481" s="312"/>
      <c r="G1481" s="328"/>
      <c r="H1481" s="337"/>
      <c r="I1481" s="334"/>
      <c r="J1481" s="314"/>
      <c r="K1481" s="449"/>
      <c r="M1481" s="349" t="str">
        <f>N1481&amp;AS[[#This Row],[Insurer Code]]&amp;"; "&amp;O1481&amp;AS[[#This Row],[Reporting Year]]&amp;"; "&amp;P1481&amp;AS[[#This Row],[Insurance Category Code]]&amp;"; "&amp;Q1481&amp;AS[[#This Row],[Large Provider Entity Code]]&amp;"; "&amp;R1481&amp;AS[[#This Row],[Age Band Code]]&amp;"; "&amp;S1481&amp;AS[[#This Row],[Sex Code]]</f>
        <v xml:space="preserve">Insurer Code ; Reporting Year ; Insurance Category Code ; Large Provider Entity Code ; Age Band Code ; Sex Code </v>
      </c>
      <c r="N1481" s="345" t="s">
        <v>207</v>
      </c>
      <c r="O1481" s="345" t="s">
        <v>208</v>
      </c>
      <c r="P1481" s="345" t="s">
        <v>209</v>
      </c>
      <c r="Q1481" s="345" t="s">
        <v>210</v>
      </c>
      <c r="R1481" s="345" t="s">
        <v>223</v>
      </c>
      <c r="S1481" s="345" t="s">
        <v>224</v>
      </c>
    </row>
    <row r="1482" spans="1:19" x14ac:dyDescent="0.25">
      <c r="A1482" s="311"/>
      <c r="B1482" s="312"/>
      <c r="C1482" s="312"/>
      <c r="D1482" s="312"/>
      <c r="E1482" s="312"/>
      <c r="F1482" s="312"/>
      <c r="G1482" s="328"/>
      <c r="H1482" s="337"/>
      <c r="I1482" s="334"/>
      <c r="J1482" s="314"/>
      <c r="K1482" s="449"/>
      <c r="M1482" s="349" t="str">
        <f>N1482&amp;AS[[#This Row],[Insurer Code]]&amp;"; "&amp;O1482&amp;AS[[#This Row],[Reporting Year]]&amp;"; "&amp;P1482&amp;AS[[#This Row],[Insurance Category Code]]&amp;"; "&amp;Q1482&amp;AS[[#This Row],[Large Provider Entity Code]]&amp;"; "&amp;R1482&amp;AS[[#This Row],[Age Band Code]]&amp;"; "&amp;S1482&amp;AS[[#This Row],[Sex Code]]</f>
        <v xml:space="preserve">Insurer Code ; Reporting Year ; Insurance Category Code ; Large Provider Entity Code ; Age Band Code ; Sex Code </v>
      </c>
      <c r="N1482" s="345" t="s">
        <v>207</v>
      </c>
      <c r="O1482" s="345" t="s">
        <v>208</v>
      </c>
      <c r="P1482" s="345" t="s">
        <v>209</v>
      </c>
      <c r="Q1482" s="345" t="s">
        <v>210</v>
      </c>
      <c r="R1482" s="345" t="s">
        <v>223</v>
      </c>
      <c r="S1482" s="345" t="s">
        <v>224</v>
      </c>
    </row>
    <row r="1483" spans="1:19" x14ac:dyDescent="0.25">
      <c r="A1483" s="311"/>
      <c r="B1483" s="312"/>
      <c r="C1483" s="312"/>
      <c r="D1483" s="312"/>
      <c r="E1483" s="312"/>
      <c r="F1483" s="312"/>
      <c r="G1483" s="328"/>
      <c r="H1483" s="337"/>
      <c r="I1483" s="334"/>
      <c r="J1483" s="314"/>
      <c r="K1483" s="449"/>
      <c r="M1483" s="349" t="str">
        <f>N1483&amp;AS[[#This Row],[Insurer Code]]&amp;"; "&amp;O1483&amp;AS[[#This Row],[Reporting Year]]&amp;"; "&amp;P1483&amp;AS[[#This Row],[Insurance Category Code]]&amp;"; "&amp;Q1483&amp;AS[[#This Row],[Large Provider Entity Code]]&amp;"; "&amp;R1483&amp;AS[[#This Row],[Age Band Code]]&amp;"; "&amp;S1483&amp;AS[[#This Row],[Sex Code]]</f>
        <v xml:space="preserve">Insurer Code ; Reporting Year ; Insurance Category Code ; Large Provider Entity Code ; Age Band Code ; Sex Code </v>
      </c>
      <c r="N1483" s="345" t="s">
        <v>207</v>
      </c>
      <c r="O1483" s="345" t="s">
        <v>208</v>
      </c>
      <c r="P1483" s="345" t="s">
        <v>209</v>
      </c>
      <c r="Q1483" s="345" t="s">
        <v>210</v>
      </c>
      <c r="R1483" s="345" t="s">
        <v>223</v>
      </c>
      <c r="S1483" s="345" t="s">
        <v>224</v>
      </c>
    </row>
    <row r="1484" spans="1:19" x14ac:dyDescent="0.25">
      <c r="A1484" s="311"/>
      <c r="B1484" s="312"/>
      <c r="C1484" s="312"/>
      <c r="D1484" s="312"/>
      <c r="E1484" s="312"/>
      <c r="F1484" s="312"/>
      <c r="G1484" s="328"/>
      <c r="H1484" s="337"/>
      <c r="I1484" s="334"/>
      <c r="J1484" s="314"/>
      <c r="K1484" s="449"/>
      <c r="M1484" s="349" t="str">
        <f>N1484&amp;AS[[#This Row],[Insurer Code]]&amp;"; "&amp;O1484&amp;AS[[#This Row],[Reporting Year]]&amp;"; "&amp;P1484&amp;AS[[#This Row],[Insurance Category Code]]&amp;"; "&amp;Q1484&amp;AS[[#This Row],[Large Provider Entity Code]]&amp;"; "&amp;R1484&amp;AS[[#This Row],[Age Band Code]]&amp;"; "&amp;S1484&amp;AS[[#This Row],[Sex Code]]</f>
        <v xml:space="preserve">Insurer Code ; Reporting Year ; Insurance Category Code ; Large Provider Entity Code ; Age Band Code ; Sex Code </v>
      </c>
      <c r="N1484" s="345" t="s">
        <v>207</v>
      </c>
      <c r="O1484" s="345" t="s">
        <v>208</v>
      </c>
      <c r="P1484" s="345" t="s">
        <v>209</v>
      </c>
      <c r="Q1484" s="345" t="s">
        <v>210</v>
      </c>
      <c r="R1484" s="345" t="s">
        <v>223</v>
      </c>
      <c r="S1484" s="345" t="s">
        <v>224</v>
      </c>
    </row>
    <row r="1485" spans="1:19" x14ac:dyDescent="0.25">
      <c r="A1485" s="311"/>
      <c r="B1485" s="312"/>
      <c r="C1485" s="312"/>
      <c r="D1485" s="312"/>
      <c r="E1485" s="312"/>
      <c r="F1485" s="312"/>
      <c r="G1485" s="328"/>
      <c r="H1485" s="337"/>
      <c r="I1485" s="334"/>
      <c r="J1485" s="314"/>
      <c r="K1485" s="449"/>
      <c r="M1485" s="349" t="str">
        <f>N1485&amp;AS[[#This Row],[Insurer Code]]&amp;"; "&amp;O1485&amp;AS[[#This Row],[Reporting Year]]&amp;"; "&amp;P1485&amp;AS[[#This Row],[Insurance Category Code]]&amp;"; "&amp;Q1485&amp;AS[[#This Row],[Large Provider Entity Code]]&amp;"; "&amp;R1485&amp;AS[[#This Row],[Age Band Code]]&amp;"; "&amp;S1485&amp;AS[[#This Row],[Sex Code]]</f>
        <v xml:space="preserve">Insurer Code ; Reporting Year ; Insurance Category Code ; Large Provider Entity Code ; Age Band Code ; Sex Code </v>
      </c>
      <c r="N1485" s="345" t="s">
        <v>207</v>
      </c>
      <c r="O1485" s="345" t="s">
        <v>208</v>
      </c>
      <c r="P1485" s="345" t="s">
        <v>209</v>
      </c>
      <c r="Q1485" s="345" t="s">
        <v>210</v>
      </c>
      <c r="R1485" s="345" t="s">
        <v>223</v>
      </c>
      <c r="S1485" s="345" t="s">
        <v>224</v>
      </c>
    </row>
    <row r="1486" spans="1:19" x14ac:dyDescent="0.25">
      <c r="A1486" s="311"/>
      <c r="B1486" s="312"/>
      <c r="C1486" s="312"/>
      <c r="D1486" s="312"/>
      <c r="E1486" s="312"/>
      <c r="F1486" s="312"/>
      <c r="G1486" s="328"/>
      <c r="H1486" s="337"/>
      <c r="I1486" s="334"/>
      <c r="J1486" s="314"/>
      <c r="K1486" s="449"/>
      <c r="M1486" s="349" t="str">
        <f>N1486&amp;AS[[#This Row],[Insurer Code]]&amp;"; "&amp;O1486&amp;AS[[#This Row],[Reporting Year]]&amp;"; "&amp;P1486&amp;AS[[#This Row],[Insurance Category Code]]&amp;"; "&amp;Q1486&amp;AS[[#This Row],[Large Provider Entity Code]]&amp;"; "&amp;R1486&amp;AS[[#This Row],[Age Band Code]]&amp;"; "&amp;S1486&amp;AS[[#This Row],[Sex Code]]</f>
        <v xml:space="preserve">Insurer Code ; Reporting Year ; Insurance Category Code ; Large Provider Entity Code ; Age Band Code ; Sex Code </v>
      </c>
      <c r="N1486" s="345" t="s">
        <v>207</v>
      </c>
      <c r="O1486" s="345" t="s">
        <v>208</v>
      </c>
      <c r="P1486" s="345" t="s">
        <v>209</v>
      </c>
      <c r="Q1486" s="345" t="s">
        <v>210</v>
      </c>
      <c r="R1486" s="345" t="s">
        <v>223</v>
      </c>
      <c r="S1486" s="345" t="s">
        <v>224</v>
      </c>
    </row>
    <row r="1487" spans="1:19" x14ac:dyDescent="0.25">
      <c r="A1487" s="311"/>
      <c r="B1487" s="312"/>
      <c r="C1487" s="312"/>
      <c r="D1487" s="312"/>
      <c r="E1487" s="312"/>
      <c r="F1487" s="312"/>
      <c r="G1487" s="328"/>
      <c r="H1487" s="337"/>
      <c r="I1487" s="334"/>
      <c r="J1487" s="314"/>
      <c r="K1487" s="449"/>
      <c r="M1487" s="349" t="str">
        <f>N1487&amp;AS[[#This Row],[Insurer Code]]&amp;"; "&amp;O1487&amp;AS[[#This Row],[Reporting Year]]&amp;"; "&amp;P1487&amp;AS[[#This Row],[Insurance Category Code]]&amp;"; "&amp;Q1487&amp;AS[[#This Row],[Large Provider Entity Code]]&amp;"; "&amp;R1487&amp;AS[[#This Row],[Age Band Code]]&amp;"; "&amp;S1487&amp;AS[[#This Row],[Sex Code]]</f>
        <v xml:space="preserve">Insurer Code ; Reporting Year ; Insurance Category Code ; Large Provider Entity Code ; Age Band Code ; Sex Code </v>
      </c>
      <c r="N1487" s="345" t="s">
        <v>207</v>
      </c>
      <c r="O1487" s="345" t="s">
        <v>208</v>
      </c>
      <c r="P1487" s="345" t="s">
        <v>209</v>
      </c>
      <c r="Q1487" s="345" t="s">
        <v>210</v>
      </c>
      <c r="R1487" s="345" t="s">
        <v>223</v>
      </c>
      <c r="S1487" s="345" t="s">
        <v>224</v>
      </c>
    </row>
    <row r="1488" spans="1:19" x14ac:dyDescent="0.25">
      <c r="A1488" s="311"/>
      <c r="B1488" s="312"/>
      <c r="C1488" s="312"/>
      <c r="D1488" s="312"/>
      <c r="E1488" s="312"/>
      <c r="F1488" s="312"/>
      <c r="G1488" s="328"/>
      <c r="H1488" s="337"/>
      <c r="I1488" s="334"/>
      <c r="J1488" s="314"/>
      <c r="K1488" s="449"/>
      <c r="M1488" s="349" t="str">
        <f>N1488&amp;AS[[#This Row],[Insurer Code]]&amp;"; "&amp;O1488&amp;AS[[#This Row],[Reporting Year]]&amp;"; "&amp;P1488&amp;AS[[#This Row],[Insurance Category Code]]&amp;"; "&amp;Q1488&amp;AS[[#This Row],[Large Provider Entity Code]]&amp;"; "&amp;R1488&amp;AS[[#This Row],[Age Band Code]]&amp;"; "&amp;S1488&amp;AS[[#This Row],[Sex Code]]</f>
        <v xml:space="preserve">Insurer Code ; Reporting Year ; Insurance Category Code ; Large Provider Entity Code ; Age Band Code ; Sex Code </v>
      </c>
      <c r="N1488" s="345" t="s">
        <v>207</v>
      </c>
      <c r="O1488" s="345" t="s">
        <v>208</v>
      </c>
      <c r="P1488" s="345" t="s">
        <v>209</v>
      </c>
      <c r="Q1488" s="345" t="s">
        <v>210</v>
      </c>
      <c r="R1488" s="345" t="s">
        <v>223</v>
      </c>
      <c r="S1488" s="345" t="s">
        <v>224</v>
      </c>
    </row>
    <row r="1489" spans="1:19" x14ac:dyDescent="0.25">
      <c r="A1489" s="311"/>
      <c r="B1489" s="312"/>
      <c r="C1489" s="312"/>
      <c r="D1489" s="312"/>
      <c r="E1489" s="312"/>
      <c r="F1489" s="312"/>
      <c r="G1489" s="328"/>
      <c r="H1489" s="337"/>
      <c r="I1489" s="334"/>
      <c r="J1489" s="314"/>
      <c r="K1489" s="449"/>
      <c r="M1489" s="349" t="str">
        <f>N1489&amp;AS[[#This Row],[Insurer Code]]&amp;"; "&amp;O1489&amp;AS[[#This Row],[Reporting Year]]&amp;"; "&amp;P1489&amp;AS[[#This Row],[Insurance Category Code]]&amp;"; "&amp;Q1489&amp;AS[[#This Row],[Large Provider Entity Code]]&amp;"; "&amp;R1489&amp;AS[[#This Row],[Age Band Code]]&amp;"; "&amp;S1489&amp;AS[[#This Row],[Sex Code]]</f>
        <v xml:space="preserve">Insurer Code ; Reporting Year ; Insurance Category Code ; Large Provider Entity Code ; Age Band Code ; Sex Code </v>
      </c>
      <c r="N1489" s="345" t="s">
        <v>207</v>
      </c>
      <c r="O1489" s="345" t="s">
        <v>208</v>
      </c>
      <c r="P1489" s="345" t="s">
        <v>209</v>
      </c>
      <c r="Q1489" s="345" t="s">
        <v>210</v>
      </c>
      <c r="R1489" s="345" t="s">
        <v>223</v>
      </c>
      <c r="S1489" s="345" t="s">
        <v>224</v>
      </c>
    </row>
    <row r="1490" spans="1:19" x14ac:dyDescent="0.25">
      <c r="A1490" s="311"/>
      <c r="B1490" s="312"/>
      <c r="C1490" s="312"/>
      <c r="D1490" s="312"/>
      <c r="E1490" s="312"/>
      <c r="F1490" s="312"/>
      <c r="G1490" s="328"/>
      <c r="H1490" s="337"/>
      <c r="I1490" s="334"/>
      <c r="J1490" s="314"/>
      <c r="K1490" s="449"/>
      <c r="M1490" s="349" t="str">
        <f>N1490&amp;AS[[#This Row],[Insurer Code]]&amp;"; "&amp;O1490&amp;AS[[#This Row],[Reporting Year]]&amp;"; "&amp;P1490&amp;AS[[#This Row],[Insurance Category Code]]&amp;"; "&amp;Q1490&amp;AS[[#This Row],[Large Provider Entity Code]]&amp;"; "&amp;R1490&amp;AS[[#This Row],[Age Band Code]]&amp;"; "&amp;S1490&amp;AS[[#This Row],[Sex Code]]</f>
        <v xml:space="preserve">Insurer Code ; Reporting Year ; Insurance Category Code ; Large Provider Entity Code ; Age Band Code ; Sex Code </v>
      </c>
      <c r="N1490" s="345" t="s">
        <v>207</v>
      </c>
      <c r="O1490" s="345" t="s">
        <v>208</v>
      </c>
      <c r="P1490" s="345" t="s">
        <v>209</v>
      </c>
      <c r="Q1490" s="345" t="s">
        <v>210</v>
      </c>
      <c r="R1490" s="345" t="s">
        <v>223</v>
      </c>
      <c r="S1490" s="345" t="s">
        <v>224</v>
      </c>
    </row>
    <row r="1491" spans="1:19" x14ac:dyDescent="0.25">
      <c r="A1491" s="311"/>
      <c r="B1491" s="312"/>
      <c r="C1491" s="312"/>
      <c r="D1491" s="312"/>
      <c r="E1491" s="312"/>
      <c r="F1491" s="312"/>
      <c r="G1491" s="328"/>
      <c r="H1491" s="337"/>
      <c r="I1491" s="334"/>
      <c r="J1491" s="314"/>
      <c r="K1491" s="449"/>
      <c r="M1491" s="349" t="str">
        <f>N1491&amp;AS[[#This Row],[Insurer Code]]&amp;"; "&amp;O1491&amp;AS[[#This Row],[Reporting Year]]&amp;"; "&amp;P1491&amp;AS[[#This Row],[Insurance Category Code]]&amp;"; "&amp;Q1491&amp;AS[[#This Row],[Large Provider Entity Code]]&amp;"; "&amp;R1491&amp;AS[[#This Row],[Age Band Code]]&amp;"; "&amp;S1491&amp;AS[[#This Row],[Sex Code]]</f>
        <v xml:space="preserve">Insurer Code ; Reporting Year ; Insurance Category Code ; Large Provider Entity Code ; Age Band Code ; Sex Code </v>
      </c>
      <c r="N1491" s="345" t="s">
        <v>207</v>
      </c>
      <c r="O1491" s="345" t="s">
        <v>208</v>
      </c>
      <c r="P1491" s="345" t="s">
        <v>209</v>
      </c>
      <c r="Q1491" s="345" t="s">
        <v>210</v>
      </c>
      <c r="R1491" s="345" t="s">
        <v>223</v>
      </c>
      <c r="S1491" s="345" t="s">
        <v>224</v>
      </c>
    </row>
    <row r="1492" spans="1:19" x14ac:dyDescent="0.25">
      <c r="A1492" s="311"/>
      <c r="B1492" s="312"/>
      <c r="C1492" s="312"/>
      <c r="D1492" s="312"/>
      <c r="E1492" s="312"/>
      <c r="F1492" s="312"/>
      <c r="G1492" s="328"/>
      <c r="H1492" s="337"/>
      <c r="I1492" s="334"/>
      <c r="J1492" s="314"/>
      <c r="K1492" s="449"/>
      <c r="M1492" s="349" t="str">
        <f>N1492&amp;AS[[#This Row],[Insurer Code]]&amp;"; "&amp;O1492&amp;AS[[#This Row],[Reporting Year]]&amp;"; "&amp;P1492&amp;AS[[#This Row],[Insurance Category Code]]&amp;"; "&amp;Q1492&amp;AS[[#This Row],[Large Provider Entity Code]]&amp;"; "&amp;R1492&amp;AS[[#This Row],[Age Band Code]]&amp;"; "&amp;S1492&amp;AS[[#This Row],[Sex Code]]</f>
        <v xml:space="preserve">Insurer Code ; Reporting Year ; Insurance Category Code ; Large Provider Entity Code ; Age Band Code ; Sex Code </v>
      </c>
      <c r="N1492" s="345" t="s">
        <v>207</v>
      </c>
      <c r="O1492" s="345" t="s">
        <v>208</v>
      </c>
      <c r="P1492" s="345" t="s">
        <v>209</v>
      </c>
      <c r="Q1492" s="345" t="s">
        <v>210</v>
      </c>
      <c r="R1492" s="345" t="s">
        <v>223</v>
      </c>
      <c r="S1492" s="345" t="s">
        <v>224</v>
      </c>
    </row>
    <row r="1493" spans="1:19" x14ac:dyDescent="0.25">
      <c r="A1493" s="311"/>
      <c r="B1493" s="312"/>
      <c r="C1493" s="312"/>
      <c r="D1493" s="312"/>
      <c r="E1493" s="312"/>
      <c r="F1493" s="312"/>
      <c r="G1493" s="328"/>
      <c r="H1493" s="337"/>
      <c r="I1493" s="334"/>
      <c r="J1493" s="314"/>
      <c r="K1493" s="449"/>
      <c r="M1493" s="349" t="str">
        <f>N1493&amp;AS[[#This Row],[Insurer Code]]&amp;"; "&amp;O1493&amp;AS[[#This Row],[Reporting Year]]&amp;"; "&amp;P1493&amp;AS[[#This Row],[Insurance Category Code]]&amp;"; "&amp;Q1493&amp;AS[[#This Row],[Large Provider Entity Code]]&amp;"; "&amp;R1493&amp;AS[[#This Row],[Age Band Code]]&amp;"; "&amp;S1493&amp;AS[[#This Row],[Sex Code]]</f>
        <v xml:space="preserve">Insurer Code ; Reporting Year ; Insurance Category Code ; Large Provider Entity Code ; Age Band Code ; Sex Code </v>
      </c>
      <c r="N1493" s="345" t="s">
        <v>207</v>
      </c>
      <c r="O1493" s="345" t="s">
        <v>208</v>
      </c>
      <c r="P1493" s="345" t="s">
        <v>209</v>
      </c>
      <c r="Q1493" s="345" t="s">
        <v>210</v>
      </c>
      <c r="R1493" s="345" t="s">
        <v>223</v>
      </c>
      <c r="S1493" s="345" t="s">
        <v>224</v>
      </c>
    </row>
    <row r="1494" spans="1:19" x14ac:dyDescent="0.25">
      <c r="A1494" s="311"/>
      <c r="B1494" s="312"/>
      <c r="C1494" s="312"/>
      <c r="D1494" s="312"/>
      <c r="E1494" s="312"/>
      <c r="F1494" s="312"/>
      <c r="G1494" s="328"/>
      <c r="H1494" s="337"/>
      <c r="I1494" s="334"/>
      <c r="J1494" s="314"/>
      <c r="K1494" s="449"/>
      <c r="M1494" s="349" t="str">
        <f>N1494&amp;AS[[#This Row],[Insurer Code]]&amp;"; "&amp;O1494&amp;AS[[#This Row],[Reporting Year]]&amp;"; "&amp;P1494&amp;AS[[#This Row],[Insurance Category Code]]&amp;"; "&amp;Q1494&amp;AS[[#This Row],[Large Provider Entity Code]]&amp;"; "&amp;R1494&amp;AS[[#This Row],[Age Band Code]]&amp;"; "&amp;S1494&amp;AS[[#This Row],[Sex Code]]</f>
        <v xml:space="preserve">Insurer Code ; Reporting Year ; Insurance Category Code ; Large Provider Entity Code ; Age Band Code ; Sex Code </v>
      </c>
      <c r="N1494" s="345" t="s">
        <v>207</v>
      </c>
      <c r="O1494" s="345" t="s">
        <v>208</v>
      </c>
      <c r="P1494" s="345" t="s">
        <v>209</v>
      </c>
      <c r="Q1494" s="345" t="s">
        <v>210</v>
      </c>
      <c r="R1494" s="345" t="s">
        <v>223</v>
      </c>
      <c r="S1494" s="345" t="s">
        <v>224</v>
      </c>
    </row>
    <row r="1495" spans="1:19" x14ac:dyDescent="0.25">
      <c r="A1495" s="311"/>
      <c r="B1495" s="312"/>
      <c r="C1495" s="312"/>
      <c r="D1495" s="312"/>
      <c r="E1495" s="312"/>
      <c r="F1495" s="312"/>
      <c r="G1495" s="328"/>
      <c r="H1495" s="337"/>
      <c r="I1495" s="334"/>
      <c r="J1495" s="314"/>
      <c r="K1495" s="449"/>
      <c r="M1495" s="349" t="str">
        <f>N1495&amp;AS[[#This Row],[Insurer Code]]&amp;"; "&amp;O1495&amp;AS[[#This Row],[Reporting Year]]&amp;"; "&amp;P1495&amp;AS[[#This Row],[Insurance Category Code]]&amp;"; "&amp;Q1495&amp;AS[[#This Row],[Large Provider Entity Code]]&amp;"; "&amp;R1495&amp;AS[[#This Row],[Age Band Code]]&amp;"; "&amp;S1495&amp;AS[[#This Row],[Sex Code]]</f>
        <v xml:space="preserve">Insurer Code ; Reporting Year ; Insurance Category Code ; Large Provider Entity Code ; Age Band Code ; Sex Code </v>
      </c>
      <c r="N1495" s="345" t="s">
        <v>207</v>
      </c>
      <c r="O1495" s="345" t="s">
        <v>208</v>
      </c>
      <c r="P1495" s="345" t="s">
        <v>209</v>
      </c>
      <c r="Q1495" s="345" t="s">
        <v>210</v>
      </c>
      <c r="R1495" s="345" t="s">
        <v>223</v>
      </c>
      <c r="S1495" s="345" t="s">
        <v>224</v>
      </c>
    </row>
    <row r="1496" spans="1:19" x14ac:dyDescent="0.25">
      <c r="A1496" s="311"/>
      <c r="B1496" s="312"/>
      <c r="C1496" s="312"/>
      <c r="D1496" s="312"/>
      <c r="E1496" s="312"/>
      <c r="F1496" s="312"/>
      <c r="G1496" s="328"/>
      <c r="H1496" s="337"/>
      <c r="I1496" s="334"/>
      <c r="J1496" s="314"/>
      <c r="K1496" s="449"/>
      <c r="M1496" s="349" t="str">
        <f>N1496&amp;AS[[#This Row],[Insurer Code]]&amp;"; "&amp;O1496&amp;AS[[#This Row],[Reporting Year]]&amp;"; "&amp;P1496&amp;AS[[#This Row],[Insurance Category Code]]&amp;"; "&amp;Q1496&amp;AS[[#This Row],[Large Provider Entity Code]]&amp;"; "&amp;R1496&amp;AS[[#This Row],[Age Band Code]]&amp;"; "&amp;S1496&amp;AS[[#This Row],[Sex Code]]</f>
        <v xml:space="preserve">Insurer Code ; Reporting Year ; Insurance Category Code ; Large Provider Entity Code ; Age Band Code ; Sex Code </v>
      </c>
      <c r="N1496" s="345" t="s">
        <v>207</v>
      </c>
      <c r="O1496" s="345" t="s">
        <v>208</v>
      </c>
      <c r="P1496" s="345" t="s">
        <v>209</v>
      </c>
      <c r="Q1496" s="345" t="s">
        <v>210</v>
      </c>
      <c r="R1496" s="345" t="s">
        <v>223</v>
      </c>
      <c r="S1496" s="345" t="s">
        <v>224</v>
      </c>
    </row>
    <row r="1497" spans="1:19" x14ac:dyDescent="0.25">
      <c r="A1497" s="311"/>
      <c r="B1497" s="312"/>
      <c r="C1497" s="312"/>
      <c r="D1497" s="312"/>
      <c r="E1497" s="312"/>
      <c r="F1497" s="312"/>
      <c r="G1497" s="328"/>
      <c r="H1497" s="337"/>
      <c r="I1497" s="334"/>
      <c r="J1497" s="314"/>
      <c r="K1497" s="449"/>
      <c r="M1497" s="349" t="str">
        <f>N1497&amp;AS[[#This Row],[Insurer Code]]&amp;"; "&amp;O1497&amp;AS[[#This Row],[Reporting Year]]&amp;"; "&amp;P1497&amp;AS[[#This Row],[Insurance Category Code]]&amp;"; "&amp;Q1497&amp;AS[[#This Row],[Large Provider Entity Code]]&amp;"; "&amp;R1497&amp;AS[[#This Row],[Age Band Code]]&amp;"; "&amp;S1497&amp;AS[[#This Row],[Sex Code]]</f>
        <v xml:space="preserve">Insurer Code ; Reporting Year ; Insurance Category Code ; Large Provider Entity Code ; Age Band Code ; Sex Code </v>
      </c>
      <c r="N1497" s="345" t="s">
        <v>207</v>
      </c>
      <c r="O1497" s="345" t="s">
        <v>208</v>
      </c>
      <c r="P1497" s="345" t="s">
        <v>209</v>
      </c>
      <c r="Q1497" s="345" t="s">
        <v>210</v>
      </c>
      <c r="R1497" s="345" t="s">
        <v>223</v>
      </c>
      <c r="S1497" s="345" t="s">
        <v>224</v>
      </c>
    </row>
    <row r="1498" spans="1:19" x14ac:dyDescent="0.25">
      <c r="A1498" s="311"/>
      <c r="B1498" s="312"/>
      <c r="C1498" s="312"/>
      <c r="D1498" s="312"/>
      <c r="E1498" s="312"/>
      <c r="F1498" s="312"/>
      <c r="G1498" s="328"/>
      <c r="H1498" s="337"/>
      <c r="I1498" s="334"/>
      <c r="J1498" s="314"/>
      <c r="K1498" s="449"/>
      <c r="M1498" s="349" t="str">
        <f>N1498&amp;AS[[#This Row],[Insurer Code]]&amp;"; "&amp;O1498&amp;AS[[#This Row],[Reporting Year]]&amp;"; "&amp;P1498&amp;AS[[#This Row],[Insurance Category Code]]&amp;"; "&amp;Q1498&amp;AS[[#This Row],[Large Provider Entity Code]]&amp;"; "&amp;R1498&amp;AS[[#This Row],[Age Band Code]]&amp;"; "&amp;S1498&amp;AS[[#This Row],[Sex Code]]</f>
        <v xml:space="preserve">Insurer Code ; Reporting Year ; Insurance Category Code ; Large Provider Entity Code ; Age Band Code ; Sex Code </v>
      </c>
      <c r="N1498" s="345" t="s">
        <v>207</v>
      </c>
      <c r="O1498" s="345" t="s">
        <v>208</v>
      </c>
      <c r="P1498" s="345" t="s">
        <v>209</v>
      </c>
      <c r="Q1498" s="345" t="s">
        <v>210</v>
      </c>
      <c r="R1498" s="345" t="s">
        <v>223</v>
      </c>
      <c r="S1498" s="345" t="s">
        <v>224</v>
      </c>
    </row>
    <row r="1499" spans="1:19" x14ac:dyDescent="0.25">
      <c r="A1499" s="311"/>
      <c r="B1499" s="312"/>
      <c r="C1499" s="312"/>
      <c r="D1499" s="312"/>
      <c r="E1499" s="312"/>
      <c r="F1499" s="312"/>
      <c r="G1499" s="328"/>
      <c r="H1499" s="337"/>
      <c r="I1499" s="334"/>
      <c r="J1499" s="314"/>
      <c r="K1499" s="449"/>
      <c r="M1499" s="349" t="str">
        <f>N1499&amp;AS[[#This Row],[Insurer Code]]&amp;"; "&amp;O1499&amp;AS[[#This Row],[Reporting Year]]&amp;"; "&amp;P1499&amp;AS[[#This Row],[Insurance Category Code]]&amp;"; "&amp;Q1499&amp;AS[[#This Row],[Large Provider Entity Code]]&amp;"; "&amp;R1499&amp;AS[[#This Row],[Age Band Code]]&amp;"; "&amp;S1499&amp;AS[[#This Row],[Sex Code]]</f>
        <v xml:space="preserve">Insurer Code ; Reporting Year ; Insurance Category Code ; Large Provider Entity Code ; Age Band Code ; Sex Code </v>
      </c>
      <c r="N1499" s="345" t="s">
        <v>207</v>
      </c>
      <c r="O1499" s="345" t="s">
        <v>208</v>
      </c>
      <c r="P1499" s="345" t="s">
        <v>209</v>
      </c>
      <c r="Q1499" s="345" t="s">
        <v>210</v>
      </c>
      <c r="R1499" s="345" t="s">
        <v>223</v>
      </c>
      <c r="S1499" s="345" t="s">
        <v>224</v>
      </c>
    </row>
    <row r="1500" spans="1:19" x14ac:dyDescent="0.25">
      <c r="A1500" s="311"/>
      <c r="B1500" s="312"/>
      <c r="C1500" s="312"/>
      <c r="D1500" s="312"/>
      <c r="E1500" s="312"/>
      <c r="F1500" s="312"/>
      <c r="G1500" s="328"/>
      <c r="H1500" s="337"/>
      <c r="I1500" s="334"/>
      <c r="J1500" s="314"/>
      <c r="K1500" s="449"/>
      <c r="M1500" s="349" t="str">
        <f>N1500&amp;AS[[#This Row],[Insurer Code]]&amp;"; "&amp;O1500&amp;AS[[#This Row],[Reporting Year]]&amp;"; "&amp;P1500&amp;AS[[#This Row],[Insurance Category Code]]&amp;"; "&amp;Q1500&amp;AS[[#This Row],[Large Provider Entity Code]]&amp;"; "&amp;R1500&amp;AS[[#This Row],[Age Band Code]]&amp;"; "&amp;S1500&amp;AS[[#This Row],[Sex Code]]</f>
        <v xml:space="preserve">Insurer Code ; Reporting Year ; Insurance Category Code ; Large Provider Entity Code ; Age Band Code ; Sex Code </v>
      </c>
      <c r="N1500" s="345" t="s">
        <v>207</v>
      </c>
      <c r="O1500" s="345" t="s">
        <v>208</v>
      </c>
      <c r="P1500" s="345" t="s">
        <v>209</v>
      </c>
      <c r="Q1500" s="345" t="s">
        <v>210</v>
      </c>
      <c r="R1500" s="345" t="s">
        <v>223</v>
      </c>
      <c r="S1500" s="345" t="s">
        <v>224</v>
      </c>
    </row>
    <row r="1501" spans="1:19" x14ac:dyDescent="0.25">
      <c r="A1501" s="311"/>
      <c r="B1501" s="312"/>
      <c r="C1501" s="312"/>
      <c r="D1501" s="312"/>
      <c r="E1501" s="312"/>
      <c r="F1501" s="312"/>
      <c r="G1501" s="328"/>
      <c r="H1501" s="337"/>
      <c r="I1501" s="334"/>
      <c r="J1501" s="314"/>
      <c r="K1501" s="449"/>
      <c r="M1501" s="349" t="str">
        <f>N1501&amp;AS[[#This Row],[Insurer Code]]&amp;"; "&amp;O1501&amp;AS[[#This Row],[Reporting Year]]&amp;"; "&amp;P1501&amp;AS[[#This Row],[Insurance Category Code]]&amp;"; "&amp;Q1501&amp;AS[[#This Row],[Large Provider Entity Code]]&amp;"; "&amp;R1501&amp;AS[[#This Row],[Age Band Code]]&amp;"; "&amp;S1501&amp;AS[[#This Row],[Sex Code]]</f>
        <v xml:space="preserve">Insurer Code ; Reporting Year ; Insurance Category Code ; Large Provider Entity Code ; Age Band Code ; Sex Code </v>
      </c>
      <c r="N1501" s="345" t="s">
        <v>207</v>
      </c>
      <c r="O1501" s="345" t="s">
        <v>208</v>
      </c>
      <c r="P1501" s="345" t="s">
        <v>209</v>
      </c>
      <c r="Q1501" s="345" t="s">
        <v>210</v>
      </c>
      <c r="R1501" s="345" t="s">
        <v>223</v>
      </c>
      <c r="S1501" s="345" t="s">
        <v>224</v>
      </c>
    </row>
    <row r="1502" spans="1:19" x14ac:dyDescent="0.25">
      <c r="A1502" s="311"/>
      <c r="B1502" s="312"/>
      <c r="C1502" s="312"/>
      <c r="D1502" s="312"/>
      <c r="E1502" s="312"/>
      <c r="F1502" s="312"/>
      <c r="G1502" s="328"/>
      <c r="H1502" s="337"/>
      <c r="I1502" s="334"/>
      <c r="J1502" s="314"/>
      <c r="K1502" s="449"/>
      <c r="M1502" s="349" t="str">
        <f>N1502&amp;AS[[#This Row],[Insurer Code]]&amp;"; "&amp;O1502&amp;AS[[#This Row],[Reporting Year]]&amp;"; "&amp;P1502&amp;AS[[#This Row],[Insurance Category Code]]&amp;"; "&amp;Q1502&amp;AS[[#This Row],[Large Provider Entity Code]]&amp;"; "&amp;R1502&amp;AS[[#This Row],[Age Band Code]]&amp;"; "&amp;S1502&amp;AS[[#This Row],[Sex Code]]</f>
        <v xml:space="preserve">Insurer Code ; Reporting Year ; Insurance Category Code ; Large Provider Entity Code ; Age Band Code ; Sex Code </v>
      </c>
      <c r="N1502" s="345" t="s">
        <v>207</v>
      </c>
      <c r="O1502" s="345" t="s">
        <v>208</v>
      </c>
      <c r="P1502" s="345" t="s">
        <v>209</v>
      </c>
      <c r="Q1502" s="345" t="s">
        <v>210</v>
      </c>
      <c r="R1502" s="345" t="s">
        <v>223</v>
      </c>
      <c r="S1502" s="345" t="s">
        <v>224</v>
      </c>
    </row>
    <row r="1503" spans="1:19" x14ac:dyDescent="0.25">
      <c r="A1503" s="311"/>
      <c r="B1503" s="312"/>
      <c r="C1503" s="312"/>
      <c r="D1503" s="312"/>
      <c r="E1503" s="312"/>
      <c r="F1503" s="312"/>
      <c r="G1503" s="328"/>
      <c r="H1503" s="337"/>
      <c r="I1503" s="334"/>
      <c r="J1503" s="314"/>
      <c r="K1503" s="449"/>
      <c r="M1503" s="349" t="str">
        <f>N1503&amp;AS[[#This Row],[Insurer Code]]&amp;"; "&amp;O1503&amp;AS[[#This Row],[Reporting Year]]&amp;"; "&amp;P1503&amp;AS[[#This Row],[Insurance Category Code]]&amp;"; "&amp;Q1503&amp;AS[[#This Row],[Large Provider Entity Code]]&amp;"; "&amp;R1503&amp;AS[[#This Row],[Age Band Code]]&amp;"; "&amp;S1503&amp;AS[[#This Row],[Sex Code]]</f>
        <v xml:space="preserve">Insurer Code ; Reporting Year ; Insurance Category Code ; Large Provider Entity Code ; Age Band Code ; Sex Code </v>
      </c>
      <c r="N1503" s="345" t="s">
        <v>207</v>
      </c>
      <c r="O1503" s="345" t="s">
        <v>208</v>
      </c>
      <c r="P1503" s="345" t="s">
        <v>209</v>
      </c>
      <c r="Q1503" s="345" t="s">
        <v>210</v>
      </c>
      <c r="R1503" s="345" t="s">
        <v>223</v>
      </c>
      <c r="S1503" s="345" t="s">
        <v>224</v>
      </c>
    </row>
    <row r="1504" spans="1:19" x14ac:dyDescent="0.25">
      <c r="A1504" s="311"/>
      <c r="B1504" s="312"/>
      <c r="C1504" s="312"/>
      <c r="D1504" s="312"/>
      <c r="E1504" s="312"/>
      <c r="F1504" s="312"/>
      <c r="G1504" s="328"/>
      <c r="H1504" s="337"/>
      <c r="I1504" s="334"/>
      <c r="J1504" s="314"/>
      <c r="K1504" s="449"/>
      <c r="M1504" s="349" t="str">
        <f>N1504&amp;AS[[#This Row],[Insurer Code]]&amp;"; "&amp;O1504&amp;AS[[#This Row],[Reporting Year]]&amp;"; "&amp;P1504&amp;AS[[#This Row],[Insurance Category Code]]&amp;"; "&amp;Q1504&amp;AS[[#This Row],[Large Provider Entity Code]]&amp;"; "&amp;R1504&amp;AS[[#This Row],[Age Band Code]]&amp;"; "&amp;S1504&amp;AS[[#This Row],[Sex Code]]</f>
        <v xml:space="preserve">Insurer Code ; Reporting Year ; Insurance Category Code ; Large Provider Entity Code ; Age Band Code ; Sex Code </v>
      </c>
      <c r="N1504" s="345" t="s">
        <v>207</v>
      </c>
      <c r="O1504" s="345" t="s">
        <v>208</v>
      </c>
      <c r="P1504" s="345" t="s">
        <v>209</v>
      </c>
      <c r="Q1504" s="345" t="s">
        <v>210</v>
      </c>
      <c r="R1504" s="345" t="s">
        <v>223</v>
      </c>
      <c r="S1504" s="345" t="s">
        <v>224</v>
      </c>
    </row>
    <row r="1505" spans="1:19" x14ac:dyDescent="0.25">
      <c r="A1505" s="311"/>
      <c r="B1505" s="312"/>
      <c r="C1505" s="312"/>
      <c r="D1505" s="312"/>
      <c r="E1505" s="312"/>
      <c r="F1505" s="312"/>
      <c r="G1505" s="328"/>
      <c r="H1505" s="337"/>
      <c r="I1505" s="334"/>
      <c r="J1505" s="314"/>
      <c r="K1505" s="449"/>
      <c r="M1505" s="349" t="str">
        <f>N1505&amp;AS[[#This Row],[Insurer Code]]&amp;"; "&amp;O1505&amp;AS[[#This Row],[Reporting Year]]&amp;"; "&amp;P1505&amp;AS[[#This Row],[Insurance Category Code]]&amp;"; "&amp;Q1505&amp;AS[[#This Row],[Large Provider Entity Code]]&amp;"; "&amp;R1505&amp;AS[[#This Row],[Age Band Code]]&amp;"; "&amp;S1505&amp;AS[[#This Row],[Sex Code]]</f>
        <v xml:space="preserve">Insurer Code ; Reporting Year ; Insurance Category Code ; Large Provider Entity Code ; Age Band Code ; Sex Code </v>
      </c>
      <c r="N1505" s="345" t="s">
        <v>207</v>
      </c>
      <c r="O1505" s="345" t="s">
        <v>208</v>
      </c>
      <c r="P1505" s="345" t="s">
        <v>209</v>
      </c>
      <c r="Q1505" s="345" t="s">
        <v>210</v>
      </c>
      <c r="R1505" s="345" t="s">
        <v>223</v>
      </c>
      <c r="S1505" s="345" t="s">
        <v>224</v>
      </c>
    </row>
    <row r="1506" spans="1:19" x14ac:dyDescent="0.25">
      <c r="A1506" s="311"/>
      <c r="B1506" s="312"/>
      <c r="C1506" s="312"/>
      <c r="D1506" s="312"/>
      <c r="E1506" s="312"/>
      <c r="F1506" s="312"/>
      <c r="G1506" s="328"/>
      <c r="H1506" s="337"/>
      <c r="I1506" s="334"/>
      <c r="J1506" s="314"/>
      <c r="K1506" s="449"/>
      <c r="M1506" s="349" t="str">
        <f>N1506&amp;AS[[#This Row],[Insurer Code]]&amp;"; "&amp;O1506&amp;AS[[#This Row],[Reporting Year]]&amp;"; "&amp;P1506&amp;AS[[#This Row],[Insurance Category Code]]&amp;"; "&amp;Q1506&amp;AS[[#This Row],[Large Provider Entity Code]]&amp;"; "&amp;R1506&amp;AS[[#This Row],[Age Band Code]]&amp;"; "&amp;S1506&amp;AS[[#This Row],[Sex Code]]</f>
        <v xml:space="preserve">Insurer Code ; Reporting Year ; Insurance Category Code ; Large Provider Entity Code ; Age Band Code ; Sex Code </v>
      </c>
      <c r="N1506" s="345" t="s">
        <v>207</v>
      </c>
      <c r="O1506" s="345" t="s">
        <v>208</v>
      </c>
      <c r="P1506" s="345" t="s">
        <v>209</v>
      </c>
      <c r="Q1506" s="345" t="s">
        <v>210</v>
      </c>
      <c r="R1506" s="345" t="s">
        <v>223</v>
      </c>
      <c r="S1506" s="345" t="s">
        <v>224</v>
      </c>
    </row>
    <row r="1507" spans="1:19" x14ac:dyDescent="0.25">
      <c r="A1507" s="311"/>
      <c r="B1507" s="312"/>
      <c r="C1507" s="312"/>
      <c r="D1507" s="312"/>
      <c r="E1507" s="312"/>
      <c r="F1507" s="312"/>
      <c r="G1507" s="328"/>
      <c r="H1507" s="337"/>
      <c r="I1507" s="334"/>
      <c r="J1507" s="314"/>
      <c r="K1507" s="449"/>
      <c r="M1507" s="349" t="str">
        <f>N1507&amp;AS[[#This Row],[Insurer Code]]&amp;"; "&amp;O1507&amp;AS[[#This Row],[Reporting Year]]&amp;"; "&amp;P1507&amp;AS[[#This Row],[Insurance Category Code]]&amp;"; "&amp;Q1507&amp;AS[[#This Row],[Large Provider Entity Code]]&amp;"; "&amp;R1507&amp;AS[[#This Row],[Age Band Code]]&amp;"; "&amp;S1507&amp;AS[[#This Row],[Sex Code]]</f>
        <v xml:space="preserve">Insurer Code ; Reporting Year ; Insurance Category Code ; Large Provider Entity Code ; Age Band Code ; Sex Code </v>
      </c>
      <c r="N1507" s="345" t="s">
        <v>207</v>
      </c>
      <c r="O1507" s="345" t="s">
        <v>208</v>
      </c>
      <c r="P1507" s="345" t="s">
        <v>209</v>
      </c>
      <c r="Q1507" s="345" t="s">
        <v>210</v>
      </c>
      <c r="R1507" s="345" t="s">
        <v>223</v>
      </c>
      <c r="S1507" s="345" t="s">
        <v>224</v>
      </c>
    </row>
    <row r="1508" spans="1:19" x14ac:dyDescent="0.25">
      <c r="A1508" s="311"/>
      <c r="B1508" s="312"/>
      <c r="C1508" s="312"/>
      <c r="D1508" s="312"/>
      <c r="E1508" s="312"/>
      <c r="F1508" s="312"/>
      <c r="G1508" s="328"/>
      <c r="H1508" s="337"/>
      <c r="I1508" s="334"/>
      <c r="J1508" s="314"/>
      <c r="K1508" s="449"/>
      <c r="M1508" s="349" t="str">
        <f>N1508&amp;AS[[#This Row],[Insurer Code]]&amp;"; "&amp;O1508&amp;AS[[#This Row],[Reporting Year]]&amp;"; "&amp;P1508&amp;AS[[#This Row],[Insurance Category Code]]&amp;"; "&amp;Q1508&amp;AS[[#This Row],[Large Provider Entity Code]]&amp;"; "&amp;R1508&amp;AS[[#This Row],[Age Band Code]]&amp;"; "&amp;S1508&amp;AS[[#This Row],[Sex Code]]</f>
        <v xml:space="preserve">Insurer Code ; Reporting Year ; Insurance Category Code ; Large Provider Entity Code ; Age Band Code ; Sex Code </v>
      </c>
      <c r="N1508" s="345" t="s">
        <v>207</v>
      </c>
      <c r="O1508" s="345" t="s">
        <v>208</v>
      </c>
      <c r="P1508" s="345" t="s">
        <v>209</v>
      </c>
      <c r="Q1508" s="345" t="s">
        <v>210</v>
      </c>
      <c r="R1508" s="345" t="s">
        <v>223</v>
      </c>
      <c r="S1508" s="345" t="s">
        <v>224</v>
      </c>
    </row>
    <row r="1509" spans="1:19" x14ac:dyDescent="0.25">
      <c r="A1509" s="311"/>
      <c r="B1509" s="312"/>
      <c r="C1509" s="312"/>
      <c r="D1509" s="312"/>
      <c r="E1509" s="312"/>
      <c r="F1509" s="312"/>
      <c r="G1509" s="328"/>
      <c r="H1509" s="337"/>
      <c r="I1509" s="334"/>
      <c r="J1509" s="314"/>
      <c r="K1509" s="449"/>
      <c r="M1509" s="349" t="str">
        <f>N1509&amp;AS[[#This Row],[Insurer Code]]&amp;"; "&amp;O1509&amp;AS[[#This Row],[Reporting Year]]&amp;"; "&amp;P1509&amp;AS[[#This Row],[Insurance Category Code]]&amp;"; "&amp;Q1509&amp;AS[[#This Row],[Large Provider Entity Code]]&amp;"; "&amp;R1509&amp;AS[[#This Row],[Age Band Code]]&amp;"; "&amp;S1509&amp;AS[[#This Row],[Sex Code]]</f>
        <v xml:space="preserve">Insurer Code ; Reporting Year ; Insurance Category Code ; Large Provider Entity Code ; Age Band Code ; Sex Code </v>
      </c>
      <c r="N1509" s="345" t="s">
        <v>207</v>
      </c>
      <c r="O1509" s="345" t="s">
        <v>208</v>
      </c>
      <c r="P1509" s="345" t="s">
        <v>209</v>
      </c>
      <c r="Q1509" s="345" t="s">
        <v>210</v>
      </c>
      <c r="R1509" s="345" t="s">
        <v>223</v>
      </c>
      <c r="S1509" s="345" t="s">
        <v>224</v>
      </c>
    </row>
    <row r="1510" spans="1:19" x14ac:dyDescent="0.25">
      <c r="A1510" s="311"/>
      <c r="B1510" s="312"/>
      <c r="C1510" s="312"/>
      <c r="D1510" s="312"/>
      <c r="E1510" s="312"/>
      <c r="F1510" s="312"/>
      <c r="G1510" s="328"/>
      <c r="H1510" s="337"/>
      <c r="I1510" s="334"/>
      <c r="J1510" s="314"/>
      <c r="K1510" s="449"/>
      <c r="M1510" s="349" t="str">
        <f>N1510&amp;AS[[#This Row],[Insurer Code]]&amp;"; "&amp;O1510&amp;AS[[#This Row],[Reporting Year]]&amp;"; "&amp;P1510&amp;AS[[#This Row],[Insurance Category Code]]&amp;"; "&amp;Q1510&amp;AS[[#This Row],[Large Provider Entity Code]]&amp;"; "&amp;R1510&amp;AS[[#This Row],[Age Band Code]]&amp;"; "&amp;S1510&amp;AS[[#This Row],[Sex Code]]</f>
        <v xml:space="preserve">Insurer Code ; Reporting Year ; Insurance Category Code ; Large Provider Entity Code ; Age Band Code ; Sex Code </v>
      </c>
      <c r="N1510" s="345" t="s">
        <v>207</v>
      </c>
      <c r="O1510" s="345" t="s">
        <v>208</v>
      </c>
      <c r="P1510" s="345" t="s">
        <v>209</v>
      </c>
      <c r="Q1510" s="345" t="s">
        <v>210</v>
      </c>
      <c r="R1510" s="345" t="s">
        <v>223</v>
      </c>
      <c r="S1510" s="345" t="s">
        <v>224</v>
      </c>
    </row>
    <row r="1511" spans="1:19" x14ac:dyDescent="0.25">
      <c r="A1511" s="311"/>
      <c r="B1511" s="312"/>
      <c r="C1511" s="312"/>
      <c r="D1511" s="312"/>
      <c r="E1511" s="312"/>
      <c r="F1511" s="312"/>
      <c r="G1511" s="328"/>
      <c r="H1511" s="337"/>
      <c r="I1511" s="334"/>
      <c r="J1511" s="314"/>
      <c r="K1511" s="449"/>
      <c r="M1511" s="349" t="str">
        <f>N1511&amp;AS[[#This Row],[Insurer Code]]&amp;"; "&amp;O1511&amp;AS[[#This Row],[Reporting Year]]&amp;"; "&amp;P1511&amp;AS[[#This Row],[Insurance Category Code]]&amp;"; "&amp;Q1511&amp;AS[[#This Row],[Large Provider Entity Code]]&amp;"; "&amp;R1511&amp;AS[[#This Row],[Age Band Code]]&amp;"; "&amp;S1511&amp;AS[[#This Row],[Sex Code]]</f>
        <v xml:space="preserve">Insurer Code ; Reporting Year ; Insurance Category Code ; Large Provider Entity Code ; Age Band Code ; Sex Code </v>
      </c>
      <c r="N1511" s="345" t="s">
        <v>207</v>
      </c>
      <c r="O1511" s="345" t="s">
        <v>208</v>
      </c>
      <c r="P1511" s="345" t="s">
        <v>209</v>
      </c>
      <c r="Q1511" s="345" t="s">
        <v>210</v>
      </c>
      <c r="R1511" s="345" t="s">
        <v>223</v>
      </c>
      <c r="S1511" s="345" t="s">
        <v>224</v>
      </c>
    </row>
    <row r="1512" spans="1:19" x14ac:dyDescent="0.25">
      <c r="A1512" s="311"/>
      <c r="B1512" s="312"/>
      <c r="C1512" s="312"/>
      <c r="D1512" s="312"/>
      <c r="E1512" s="312"/>
      <c r="F1512" s="312"/>
      <c r="G1512" s="328"/>
      <c r="H1512" s="337"/>
      <c r="I1512" s="334"/>
      <c r="J1512" s="314"/>
      <c r="K1512" s="449"/>
      <c r="M1512" s="349" t="str">
        <f>N1512&amp;AS[[#This Row],[Insurer Code]]&amp;"; "&amp;O1512&amp;AS[[#This Row],[Reporting Year]]&amp;"; "&amp;P1512&amp;AS[[#This Row],[Insurance Category Code]]&amp;"; "&amp;Q1512&amp;AS[[#This Row],[Large Provider Entity Code]]&amp;"; "&amp;R1512&amp;AS[[#This Row],[Age Band Code]]&amp;"; "&amp;S1512&amp;AS[[#This Row],[Sex Code]]</f>
        <v xml:space="preserve">Insurer Code ; Reporting Year ; Insurance Category Code ; Large Provider Entity Code ; Age Band Code ; Sex Code </v>
      </c>
      <c r="N1512" s="345" t="s">
        <v>207</v>
      </c>
      <c r="O1512" s="345" t="s">
        <v>208</v>
      </c>
      <c r="P1512" s="345" t="s">
        <v>209</v>
      </c>
      <c r="Q1512" s="345" t="s">
        <v>210</v>
      </c>
      <c r="R1512" s="345" t="s">
        <v>223</v>
      </c>
      <c r="S1512" s="345" t="s">
        <v>224</v>
      </c>
    </row>
    <row r="1513" spans="1:19" x14ac:dyDescent="0.25">
      <c r="A1513" s="311"/>
      <c r="B1513" s="312"/>
      <c r="C1513" s="312"/>
      <c r="D1513" s="312"/>
      <c r="E1513" s="312"/>
      <c r="F1513" s="312"/>
      <c r="G1513" s="328"/>
      <c r="H1513" s="337"/>
      <c r="I1513" s="334"/>
      <c r="J1513" s="314"/>
      <c r="K1513" s="449"/>
      <c r="M1513" s="349" t="str">
        <f>N1513&amp;AS[[#This Row],[Insurer Code]]&amp;"; "&amp;O1513&amp;AS[[#This Row],[Reporting Year]]&amp;"; "&amp;P1513&amp;AS[[#This Row],[Insurance Category Code]]&amp;"; "&amp;Q1513&amp;AS[[#This Row],[Large Provider Entity Code]]&amp;"; "&amp;R1513&amp;AS[[#This Row],[Age Band Code]]&amp;"; "&amp;S1513&amp;AS[[#This Row],[Sex Code]]</f>
        <v xml:space="preserve">Insurer Code ; Reporting Year ; Insurance Category Code ; Large Provider Entity Code ; Age Band Code ; Sex Code </v>
      </c>
      <c r="N1513" s="345" t="s">
        <v>207</v>
      </c>
      <c r="O1513" s="345" t="s">
        <v>208</v>
      </c>
      <c r="P1513" s="345" t="s">
        <v>209</v>
      </c>
      <c r="Q1513" s="345" t="s">
        <v>210</v>
      </c>
      <c r="R1513" s="345" t="s">
        <v>223</v>
      </c>
      <c r="S1513" s="345" t="s">
        <v>224</v>
      </c>
    </row>
    <row r="1514" spans="1:19" x14ac:dyDescent="0.25">
      <c r="A1514" s="311"/>
      <c r="B1514" s="312"/>
      <c r="C1514" s="312"/>
      <c r="D1514" s="312"/>
      <c r="E1514" s="312"/>
      <c r="F1514" s="312"/>
      <c r="G1514" s="328"/>
      <c r="H1514" s="337"/>
      <c r="I1514" s="334"/>
      <c r="J1514" s="314"/>
      <c r="K1514" s="449"/>
      <c r="M1514" s="349" t="str">
        <f>N1514&amp;AS[[#This Row],[Insurer Code]]&amp;"; "&amp;O1514&amp;AS[[#This Row],[Reporting Year]]&amp;"; "&amp;P1514&amp;AS[[#This Row],[Insurance Category Code]]&amp;"; "&amp;Q1514&amp;AS[[#This Row],[Large Provider Entity Code]]&amp;"; "&amp;R1514&amp;AS[[#This Row],[Age Band Code]]&amp;"; "&amp;S1514&amp;AS[[#This Row],[Sex Code]]</f>
        <v xml:space="preserve">Insurer Code ; Reporting Year ; Insurance Category Code ; Large Provider Entity Code ; Age Band Code ; Sex Code </v>
      </c>
      <c r="N1514" s="345" t="s">
        <v>207</v>
      </c>
      <c r="O1514" s="345" t="s">
        <v>208</v>
      </c>
      <c r="P1514" s="345" t="s">
        <v>209</v>
      </c>
      <c r="Q1514" s="345" t="s">
        <v>210</v>
      </c>
      <c r="R1514" s="345" t="s">
        <v>223</v>
      </c>
      <c r="S1514" s="345" t="s">
        <v>224</v>
      </c>
    </row>
    <row r="1515" spans="1:19" x14ac:dyDescent="0.25">
      <c r="A1515" s="311"/>
      <c r="B1515" s="312"/>
      <c r="C1515" s="312"/>
      <c r="D1515" s="312"/>
      <c r="E1515" s="312"/>
      <c r="F1515" s="312"/>
      <c r="G1515" s="328"/>
      <c r="H1515" s="337"/>
      <c r="I1515" s="334"/>
      <c r="J1515" s="314"/>
      <c r="K1515" s="449"/>
      <c r="M1515" s="349" t="str">
        <f>N1515&amp;AS[[#This Row],[Insurer Code]]&amp;"; "&amp;O1515&amp;AS[[#This Row],[Reporting Year]]&amp;"; "&amp;P1515&amp;AS[[#This Row],[Insurance Category Code]]&amp;"; "&amp;Q1515&amp;AS[[#This Row],[Large Provider Entity Code]]&amp;"; "&amp;R1515&amp;AS[[#This Row],[Age Band Code]]&amp;"; "&amp;S1515&amp;AS[[#This Row],[Sex Code]]</f>
        <v xml:space="preserve">Insurer Code ; Reporting Year ; Insurance Category Code ; Large Provider Entity Code ; Age Band Code ; Sex Code </v>
      </c>
      <c r="N1515" s="345" t="s">
        <v>207</v>
      </c>
      <c r="O1515" s="345" t="s">
        <v>208</v>
      </c>
      <c r="P1515" s="345" t="s">
        <v>209</v>
      </c>
      <c r="Q1515" s="345" t="s">
        <v>210</v>
      </c>
      <c r="R1515" s="345" t="s">
        <v>223</v>
      </c>
      <c r="S1515" s="345" t="s">
        <v>224</v>
      </c>
    </row>
    <row r="1516" spans="1:19" x14ac:dyDescent="0.25">
      <c r="A1516" s="311"/>
      <c r="B1516" s="312"/>
      <c r="C1516" s="312"/>
      <c r="D1516" s="312"/>
      <c r="E1516" s="312"/>
      <c r="F1516" s="312"/>
      <c r="G1516" s="328"/>
      <c r="H1516" s="337"/>
      <c r="I1516" s="334"/>
      <c r="J1516" s="314"/>
      <c r="K1516" s="449"/>
      <c r="M1516" s="349" t="str">
        <f>N1516&amp;AS[[#This Row],[Insurer Code]]&amp;"; "&amp;O1516&amp;AS[[#This Row],[Reporting Year]]&amp;"; "&amp;P1516&amp;AS[[#This Row],[Insurance Category Code]]&amp;"; "&amp;Q1516&amp;AS[[#This Row],[Large Provider Entity Code]]&amp;"; "&amp;R1516&amp;AS[[#This Row],[Age Band Code]]&amp;"; "&amp;S1516&amp;AS[[#This Row],[Sex Code]]</f>
        <v xml:space="preserve">Insurer Code ; Reporting Year ; Insurance Category Code ; Large Provider Entity Code ; Age Band Code ; Sex Code </v>
      </c>
      <c r="N1516" s="345" t="s">
        <v>207</v>
      </c>
      <c r="O1516" s="345" t="s">
        <v>208</v>
      </c>
      <c r="P1516" s="345" t="s">
        <v>209</v>
      </c>
      <c r="Q1516" s="345" t="s">
        <v>210</v>
      </c>
      <c r="R1516" s="345" t="s">
        <v>223</v>
      </c>
      <c r="S1516" s="345" t="s">
        <v>224</v>
      </c>
    </row>
    <row r="1517" spans="1:19" x14ac:dyDescent="0.25">
      <c r="A1517" s="311"/>
      <c r="B1517" s="312"/>
      <c r="C1517" s="312"/>
      <c r="D1517" s="312"/>
      <c r="E1517" s="312"/>
      <c r="F1517" s="312"/>
      <c r="G1517" s="328"/>
      <c r="H1517" s="337"/>
      <c r="I1517" s="334"/>
      <c r="J1517" s="314"/>
      <c r="K1517" s="449"/>
      <c r="M1517" s="349" t="str">
        <f>N1517&amp;AS[[#This Row],[Insurer Code]]&amp;"; "&amp;O1517&amp;AS[[#This Row],[Reporting Year]]&amp;"; "&amp;P1517&amp;AS[[#This Row],[Insurance Category Code]]&amp;"; "&amp;Q1517&amp;AS[[#This Row],[Large Provider Entity Code]]&amp;"; "&amp;R1517&amp;AS[[#This Row],[Age Band Code]]&amp;"; "&amp;S1517&amp;AS[[#This Row],[Sex Code]]</f>
        <v xml:space="preserve">Insurer Code ; Reporting Year ; Insurance Category Code ; Large Provider Entity Code ; Age Band Code ; Sex Code </v>
      </c>
      <c r="N1517" s="345" t="s">
        <v>207</v>
      </c>
      <c r="O1517" s="345" t="s">
        <v>208</v>
      </c>
      <c r="P1517" s="345" t="s">
        <v>209</v>
      </c>
      <c r="Q1517" s="345" t="s">
        <v>210</v>
      </c>
      <c r="R1517" s="345" t="s">
        <v>223</v>
      </c>
      <c r="S1517" s="345" t="s">
        <v>224</v>
      </c>
    </row>
    <row r="1518" spans="1:19" x14ac:dyDescent="0.25">
      <c r="A1518" s="311"/>
      <c r="B1518" s="312"/>
      <c r="C1518" s="312"/>
      <c r="D1518" s="312"/>
      <c r="E1518" s="312"/>
      <c r="F1518" s="312"/>
      <c r="G1518" s="328"/>
      <c r="H1518" s="337"/>
      <c r="I1518" s="334"/>
      <c r="J1518" s="314"/>
      <c r="K1518" s="449"/>
      <c r="M1518" s="349" t="str">
        <f>N1518&amp;AS[[#This Row],[Insurer Code]]&amp;"; "&amp;O1518&amp;AS[[#This Row],[Reporting Year]]&amp;"; "&amp;P1518&amp;AS[[#This Row],[Insurance Category Code]]&amp;"; "&amp;Q1518&amp;AS[[#This Row],[Large Provider Entity Code]]&amp;"; "&amp;R1518&amp;AS[[#This Row],[Age Band Code]]&amp;"; "&amp;S1518&amp;AS[[#This Row],[Sex Code]]</f>
        <v xml:space="preserve">Insurer Code ; Reporting Year ; Insurance Category Code ; Large Provider Entity Code ; Age Band Code ; Sex Code </v>
      </c>
      <c r="N1518" s="345" t="s">
        <v>207</v>
      </c>
      <c r="O1518" s="345" t="s">
        <v>208</v>
      </c>
      <c r="P1518" s="345" t="s">
        <v>209</v>
      </c>
      <c r="Q1518" s="345" t="s">
        <v>210</v>
      </c>
      <c r="R1518" s="345" t="s">
        <v>223</v>
      </c>
      <c r="S1518" s="345" t="s">
        <v>224</v>
      </c>
    </row>
    <row r="1519" spans="1:19" x14ac:dyDescent="0.25">
      <c r="A1519" s="311"/>
      <c r="B1519" s="312"/>
      <c r="C1519" s="312"/>
      <c r="D1519" s="312"/>
      <c r="E1519" s="312"/>
      <c r="F1519" s="312"/>
      <c r="G1519" s="328"/>
      <c r="H1519" s="337"/>
      <c r="I1519" s="334"/>
      <c r="J1519" s="314"/>
      <c r="K1519" s="449"/>
      <c r="M1519" s="349" t="str">
        <f>N1519&amp;AS[[#This Row],[Insurer Code]]&amp;"; "&amp;O1519&amp;AS[[#This Row],[Reporting Year]]&amp;"; "&amp;P1519&amp;AS[[#This Row],[Insurance Category Code]]&amp;"; "&amp;Q1519&amp;AS[[#This Row],[Large Provider Entity Code]]&amp;"; "&amp;R1519&amp;AS[[#This Row],[Age Band Code]]&amp;"; "&amp;S1519&amp;AS[[#This Row],[Sex Code]]</f>
        <v xml:space="preserve">Insurer Code ; Reporting Year ; Insurance Category Code ; Large Provider Entity Code ; Age Band Code ; Sex Code </v>
      </c>
      <c r="N1519" s="345" t="s">
        <v>207</v>
      </c>
      <c r="O1519" s="345" t="s">
        <v>208</v>
      </c>
      <c r="P1519" s="345" t="s">
        <v>209</v>
      </c>
      <c r="Q1519" s="345" t="s">
        <v>210</v>
      </c>
      <c r="R1519" s="345" t="s">
        <v>223</v>
      </c>
      <c r="S1519" s="345" t="s">
        <v>224</v>
      </c>
    </row>
    <row r="1520" spans="1:19" x14ac:dyDescent="0.25">
      <c r="A1520" s="311"/>
      <c r="B1520" s="312"/>
      <c r="C1520" s="312"/>
      <c r="D1520" s="312"/>
      <c r="E1520" s="312"/>
      <c r="F1520" s="312"/>
      <c r="G1520" s="328"/>
      <c r="H1520" s="337"/>
      <c r="I1520" s="334"/>
      <c r="J1520" s="314"/>
      <c r="K1520" s="449"/>
      <c r="M1520" s="349" t="str">
        <f>N1520&amp;AS[[#This Row],[Insurer Code]]&amp;"; "&amp;O1520&amp;AS[[#This Row],[Reporting Year]]&amp;"; "&amp;P1520&amp;AS[[#This Row],[Insurance Category Code]]&amp;"; "&amp;Q1520&amp;AS[[#This Row],[Large Provider Entity Code]]&amp;"; "&amp;R1520&amp;AS[[#This Row],[Age Band Code]]&amp;"; "&amp;S1520&amp;AS[[#This Row],[Sex Code]]</f>
        <v xml:space="preserve">Insurer Code ; Reporting Year ; Insurance Category Code ; Large Provider Entity Code ; Age Band Code ; Sex Code </v>
      </c>
      <c r="N1520" s="345" t="s">
        <v>207</v>
      </c>
      <c r="O1520" s="345" t="s">
        <v>208</v>
      </c>
      <c r="P1520" s="345" t="s">
        <v>209</v>
      </c>
      <c r="Q1520" s="345" t="s">
        <v>210</v>
      </c>
      <c r="R1520" s="345" t="s">
        <v>223</v>
      </c>
      <c r="S1520" s="345" t="s">
        <v>224</v>
      </c>
    </row>
    <row r="1521" spans="1:19" x14ac:dyDescent="0.25">
      <c r="A1521" s="311"/>
      <c r="B1521" s="312"/>
      <c r="C1521" s="312"/>
      <c r="D1521" s="312"/>
      <c r="E1521" s="312"/>
      <c r="F1521" s="312"/>
      <c r="G1521" s="328"/>
      <c r="H1521" s="337"/>
      <c r="I1521" s="334"/>
      <c r="J1521" s="314"/>
      <c r="K1521" s="449"/>
      <c r="M1521" s="349" t="str">
        <f>N1521&amp;AS[[#This Row],[Insurer Code]]&amp;"; "&amp;O1521&amp;AS[[#This Row],[Reporting Year]]&amp;"; "&amp;P1521&amp;AS[[#This Row],[Insurance Category Code]]&amp;"; "&amp;Q1521&amp;AS[[#This Row],[Large Provider Entity Code]]&amp;"; "&amp;R1521&amp;AS[[#This Row],[Age Band Code]]&amp;"; "&amp;S1521&amp;AS[[#This Row],[Sex Code]]</f>
        <v xml:space="preserve">Insurer Code ; Reporting Year ; Insurance Category Code ; Large Provider Entity Code ; Age Band Code ; Sex Code </v>
      </c>
      <c r="N1521" s="345" t="s">
        <v>207</v>
      </c>
      <c r="O1521" s="345" t="s">
        <v>208</v>
      </c>
      <c r="P1521" s="345" t="s">
        <v>209</v>
      </c>
      <c r="Q1521" s="345" t="s">
        <v>210</v>
      </c>
      <c r="R1521" s="345" t="s">
        <v>223</v>
      </c>
      <c r="S1521" s="345" t="s">
        <v>224</v>
      </c>
    </row>
    <row r="1522" spans="1:19" x14ac:dyDescent="0.25">
      <c r="A1522" s="311"/>
      <c r="B1522" s="312"/>
      <c r="C1522" s="312"/>
      <c r="D1522" s="312"/>
      <c r="E1522" s="312"/>
      <c r="F1522" s="312"/>
      <c r="G1522" s="328"/>
      <c r="H1522" s="337"/>
      <c r="I1522" s="334"/>
      <c r="J1522" s="314"/>
      <c r="K1522" s="449"/>
      <c r="M1522" s="349" t="str">
        <f>N1522&amp;AS[[#This Row],[Insurer Code]]&amp;"; "&amp;O1522&amp;AS[[#This Row],[Reporting Year]]&amp;"; "&amp;P1522&amp;AS[[#This Row],[Insurance Category Code]]&amp;"; "&amp;Q1522&amp;AS[[#This Row],[Large Provider Entity Code]]&amp;"; "&amp;R1522&amp;AS[[#This Row],[Age Band Code]]&amp;"; "&amp;S1522&amp;AS[[#This Row],[Sex Code]]</f>
        <v xml:space="preserve">Insurer Code ; Reporting Year ; Insurance Category Code ; Large Provider Entity Code ; Age Band Code ; Sex Code </v>
      </c>
      <c r="N1522" s="345" t="s">
        <v>207</v>
      </c>
      <c r="O1522" s="345" t="s">
        <v>208</v>
      </c>
      <c r="P1522" s="345" t="s">
        <v>209</v>
      </c>
      <c r="Q1522" s="345" t="s">
        <v>210</v>
      </c>
      <c r="R1522" s="345" t="s">
        <v>223</v>
      </c>
      <c r="S1522" s="345" t="s">
        <v>224</v>
      </c>
    </row>
    <row r="1523" spans="1:19" x14ac:dyDescent="0.25">
      <c r="A1523" s="311"/>
      <c r="B1523" s="312"/>
      <c r="C1523" s="312"/>
      <c r="D1523" s="312"/>
      <c r="E1523" s="312"/>
      <c r="F1523" s="312"/>
      <c r="G1523" s="328"/>
      <c r="H1523" s="337"/>
      <c r="I1523" s="334"/>
      <c r="J1523" s="314"/>
      <c r="K1523" s="449"/>
      <c r="M1523" s="349" t="str">
        <f>N1523&amp;AS[[#This Row],[Insurer Code]]&amp;"; "&amp;O1523&amp;AS[[#This Row],[Reporting Year]]&amp;"; "&amp;P1523&amp;AS[[#This Row],[Insurance Category Code]]&amp;"; "&amp;Q1523&amp;AS[[#This Row],[Large Provider Entity Code]]&amp;"; "&amp;R1523&amp;AS[[#This Row],[Age Band Code]]&amp;"; "&amp;S1523&amp;AS[[#This Row],[Sex Code]]</f>
        <v xml:space="preserve">Insurer Code ; Reporting Year ; Insurance Category Code ; Large Provider Entity Code ; Age Band Code ; Sex Code </v>
      </c>
      <c r="N1523" s="345" t="s">
        <v>207</v>
      </c>
      <c r="O1523" s="345" t="s">
        <v>208</v>
      </c>
      <c r="P1523" s="345" t="s">
        <v>209</v>
      </c>
      <c r="Q1523" s="345" t="s">
        <v>210</v>
      </c>
      <c r="R1523" s="345" t="s">
        <v>223</v>
      </c>
      <c r="S1523" s="345" t="s">
        <v>224</v>
      </c>
    </row>
    <row r="1524" spans="1:19" x14ac:dyDescent="0.25">
      <c r="A1524" s="311"/>
      <c r="B1524" s="312"/>
      <c r="C1524" s="312"/>
      <c r="D1524" s="312"/>
      <c r="E1524" s="312"/>
      <c r="F1524" s="312"/>
      <c r="G1524" s="328"/>
      <c r="H1524" s="337"/>
      <c r="I1524" s="334"/>
      <c r="J1524" s="314"/>
      <c r="K1524" s="449"/>
      <c r="M1524" s="349" t="str">
        <f>N1524&amp;AS[[#This Row],[Insurer Code]]&amp;"; "&amp;O1524&amp;AS[[#This Row],[Reporting Year]]&amp;"; "&amp;P1524&amp;AS[[#This Row],[Insurance Category Code]]&amp;"; "&amp;Q1524&amp;AS[[#This Row],[Large Provider Entity Code]]&amp;"; "&amp;R1524&amp;AS[[#This Row],[Age Band Code]]&amp;"; "&amp;S1524&amp;AS[[#This Row],[Sex Code]]</f>
        <v xml:space="preserve">Insurer Code ; Reporting Year ; Insurance Category Code ; Large Provider Entity Code ; Age Band Code ; Sex Code </v>
      </c>
      <c r="N1524" s="345" t="s">
        <v>207</v>
      </c>
      <c r="O1524" s="345" t="s">
        <v>208</v>
      </c>
      <c r="P1524" s="345" t="s">
        <v>209</v>
      </c>
      <c r="Q1524" s="345" t="s">
        <v>210</v>
      </c>
      <c r="R1524" s="345" t="s">
        <v>223</v>
      </c>
      <c r="S1524" s="345" t="s">
        <v>224</v>
      </c>
    </row>
    <row r="1525" spans="1:19" x14ac:dyDescent="0.25">
      <c r="A1525" s="311"/>
      <c r="B1525" s="312"/>
      <c r="C1525" s="312"/>
      <c r="D1525" s="312"/>
      <c r="E1525" s="312"/>
      <c r="F1525" s="312"/>
      <c r="G1525" s="328"/>
      <c r="H1525" s="337"/>
      <c r="I1525" s="334"/>
      <c r="J1525" s="314"/>
      <c r="K1525" s="449"/>
      <c r="M1525" s="349" t="str">
        <f>N1525&amp;AS[[#This Row],[Insurer Code]]&amp;"; "&amp;O1525&amp;AS[[#This Row],[Reporting Year]]&amp;"; "&amp;P1525&amp;AS[[#This Row],[Insurance Category Code]]&amp;"; "&amp;Q1525&amp;AS[[#This Row],[Large Provider Entity Code]]&amp;"; "&amp;R1525&amp;AS[[#This Row],[Age Band Code]]&amp;"; "&amp;S1525&amp;AS[[#This Row],[Sex Code]]</f>
        <v xml:space="preserve">Insurer Code ; Reporting Year ; Insurance Category Code ; Large Provider Entity Code ; Age Band Code ; Sex Code </v>
      </c>
      <c r="N1525" s="345" t="s">
        <v>207</v>
      </c>
      <c r="O1525" s="345" t="s">
        <v>208</v>
      </c>
      <c r="P1525" s="345" t="s">
        <v>209</v>
      </c>
      <c r="Q1525" s="345" t="s">
        <v>210</v>
      </c>
      <c r="R1525" s="345" t="s">
        <v>223</v>
      </c>
      <c r="S1525" s="345" t="s">
        <v>224</v>
      </c>
    </row>
    <row r="1526" spans="1:19" x14ac:dyDescent="0.25">
      <c r="A1526" s="311"/>
      <c r="B1526" s="312"/>
      <c r="C1526" s="312"/>
      <c r="D1526" s="312"/>
      <c r="E1526" s="312"/>
      <c r="F1526" s="312"/>
      <c r="G1526" s="328"/>
      <c r="H1526" s="337"/>
      <c r="I1526" s="334"/>
      <c r="J1526" s="314"/>
      <c r="K1526" s="449"/>
      <c r="M1526" s="349" t="str">
        <f>N1526&amp;AS[[#This Row],[Insurer Code]]&amp;"; "&amp;O1526&amp;AS[[#This Row],[Reporting Year]]&amp;"; "&amp;P1526&amp;AS[[#This Row],[Insurance Category Code]]&amp;"; "&amp;Q1526&amp;AS[[#This Row],[Large Provider Entity Code]]&amp;"; "&amp;R1526&amp;AS[[#This Row],[Age Band Code]]&amp;"; "&amp;S1526&amp;AS[[#This Row],[Sex Code]]</f>
        <v xml:space="preserve">Insurer Code ; Reporting Year ; Insurance Category Code ; Large Provider Entity Code ; Age Band Code ; Sex Code </v>
      </c>
      <c r="N1526" s="345" t="s">
        <v>207</v>
      </c>
      <c r="O1526" s="345" t="s">
        <v>208</v>
      </c>
      <c r="P1526" s="345" t="s">
        <v>209</v>
      </c>
      <c r="Q1526" s="345" t="s">
        <v>210</v>
      </c>
      <c r="R1526" s="345" t="s">
        <v>223</v>
      </c>
      <c r="S1526" s="345" t="s">
        <v>224</v>
      </c>
    </row>
    <row r="1527" spans="1:19" x14ac:dyDescent="0.25">
      <c r="A1527" s="311"/>
      <c r="B1527" s="312"/>
      <c r="C1527" s="312"/>
      <c r="D1527" s="312"/>
      <c r="E1527" s="312"/>
      <c r="F1527" s="312"/>
      <c r="G1527" s="328"/>
      <c r="H1527" s="337"/>
      <c r="I1527" s="334"/>
      <c r="J1527" s="314"/>
      <c r="K1527" s="449"/>
      <c r="M1527" s="349" t="str">
        <f>N1527&amp;AS[[#This Row],[Insurer Code]]&amp;"; "&amp;O1527&amp;AS[[#This Row],[Reporting Year]]&amp;"; "&amp;P1527&amp;AS[[#This Row],[Insurance Category Code]]&amp;"; "&amp;Q1527&amp;AS[[#This Row],[Large Provider Entity Code]]&amp;"; "&amp;R1527&amp;AS[[#This Row],[Age Band Code]]&amp;"; "&amp;S1527&amp;AS[[#This Row],[Sex Code]]</f>
        <v xml:space="preserve">Insurer Code ; Reporting Year ; Insurance Category Code ; Large Provider Entity Code ; Age Band Code ; Sex Code </v>
      </c>
      <c r="N1527" s="345" t="s">
        <v>207</v>
      </c>
      <c r="O1527" s="345" t="s">
        <v>208</v>
      </c>
      <c r="P1527" s="345" t="s">
        <v>209</v>
      </c>
      <c r="Q1527" s="345" t="s">
        <v>210</v>
      </c>
      <c r="R1527" s="345" t="s">
        <v>223</v>
      </c>
      <c r="S1527" s="345" t="s">
        <v>224</v>
      </c>
    </row>
    <row r="1528" spans="1:19" x14ac:dyDescent="0.25">
      <c r="A1528" s="311"/>
      <c r="B1528" s="312"/>
      <c r="C1528" s="312"/>
      <c r="D1528" s="312"/>
      <c r="E1528" s="312"/>
      <c r="F1528" s="312"/>
      <c r="G1528" s="328"/>
      <c r="H1528" s="337"/>
      <c r="I1528" s="334"/>
      <c r="J1528" s="314"/>
      <c r="K1528" s="449"/>
      <c r="M1528" s="349" t="str">
        <f>N1528&amp;AS[[#This Row],[Insurer Code]]&amp;"; "&amp;O1528&amp;AS[[#This Row],[Reporting Year]]&amp;"; "&amp;P1528&amp;AS[[#This Row],[Insurance Category Code]]&amp;"; "&amp;Q1528&amp;AS[[#This Row],[Large Provider Entity Code]]&amp;"; "&amp;R1528&amp;AS[[#This Row],[Age Band Code]]&amp;"; "&amp;S1528&amp;AS[[#This Row],[Sex Code]]</f>
        <v xml:space="preserve">Insurer Code ; Reporting Year ; Insurance Category Code ; Large Provider Entity Code ; Age Band Code ; Sex Code </v>
      </c>
      <c r="N1528" s="345" t="s">
        <v>207</v>
      </c>
      <c r="O1528" s="345" t="s">
        <v>208</v>
      </c>
      <c r="P1528" s="345" t="s">
        <v>209</v>
      </c>
      <c r="Q1528" s="345" t="s">
        <v>210</v>
      </c>
      <c r="R1528" s="345" t="s">
        <v>223</v>
      </c>
      <c r="S1528" s="345" t="s">
        <v>224</v>
      </c>
    </row>
    <row r="1529" spans="1:19" x14ac:dyDescent="0.25">
      <c r="A1529" s="311"/>
      <c r="B1529" s="312"/>
      <c r="C1529" s="312"/>
      <c r="D1529" s="312"/>
      <c r="E1529" s="312"/>
      <c r="F1529" s="312"/>
      <c r="G1529" s="328"/>
      <c r="H1529" s="337"/>
      <c r="I1529" s="334"/>
      <c r="J1529" s="314"/>
      <c r="K1529" s="449"/>
      <c r="M1529" s="349" t="str">
        <f>N1529&amp;AS[[#This Row],[Insurer Code]]&amp;"; "&amp;O1529&amp;AS[[#This Row],[Reporting Year]]&amp;"; "&amp;P1529&amp;AS[[#This Row],[Insurance Category Code]]&amp;"; "&amp;Q1529&amp;AS[[#This Row],[Large Provider Entity Code]]&amp;"; "&amp;R1529&amp;AS[[#This Row],[Age Band Code]]&amp;"; "&amp;S1529&amp;AS[[#This Row],[Sex Code]]</f>
        <v xml:space="preserve">Insurer Code ; Reporting Year ; Insurance Category Code ; Large Provider Entity Code ; Age Band Code ; Sex Code </v>
      </c>
      <c r="N1529" s="345" t="s">
        <v>207</v>
      </c>
      <c r="O1529" s="345" t="s">
        <v>208</v>
      </c>
      <c r="P1529" s="345" t="s">
        <v>209</v>
      </c>
      <c r="Q1529" s="345" t="s">
        <v>210</v>
      </c>
      <c r="R1529" s="345" t="s">
        <v>223</v>
      </c>
      <c r="S1529" s="345" t="s">
        <v>224</v>
      </c>
    </row>
    <row r="1530" spans="1:19" x14ac:dyDescent="0.25">
      <c r="A1530" s="311"/>
      <c r="B1530" s="312"/>
      <c r="C1530" s="312"/>
      <c r="D1530" s="312"/>
      <c r="E1530" s="312"/>
      <c r="F1530" s="312"/>
      <c r="G1530" s="328"/>
      <c r="H1530" s="337"/>
      <c r="I1530" s="334"/>
      <c r="J1530" s="314"/>
      <c r="K1530" s="449"/>
      <c r="M1530" s="349" t="str">
        <f>N1530&amp;AS[[#This Row],[Insurer Code]]&amp;"; "&amp;O1530&amp;AS[[#This Row],[Reporting Year]]&amp;"; "&amp;P1530&amp;AS[[#This Row],[Insurance Category Code]]&amp;"; "&amp;Q1530&amp;AS[[#This Row],[Large Provider Entity Code]]&amp;"; "&amp;R1530&amp;AS[[#This Row],[Age Band Code]]&amp;"; "&amp;S1530&amp;AS[[#This Row],[Sex Code]]</f>
        <v xml:space="preserve">Insurer Code ; Reporting Year ; Insurance Category Code ; Large Provider Entity Code ; Age Band Code ; Sex Code </v>
      </c>
      <c r="N1530" s="345" t="s">
        <v>207</v>
      </c>
      <c r="O1530" s="345" t="s">
        <v>208</v>
      </c>
      <c r="P1530" s="345" t="s">
        <v>209</v>
      </c>
      <c r="Q1530" s="345" t="s">
        <v>210</v>
      </c>
      <c r="R1530" s="345" t="s">
        <v>223</v>
      </c>
      <c r="S1530" s="345" t="s">
        <v>224</v>
      </c>
    </row>
    <row r="1531" spans="1:19" x14ac:dyDescent="0.25">
      <c r="A1531" s="311"/>
      <c r="B1531" s="312"/>
      <c r="C1531" s="312"/>
      <c r="D1531" s="312"/>
      <c r="E1531" s="312"/>
      <c r="F1531" s="312"/>
      <c r="G1531" s="328"/>
      <c r="H1531" s="337"/>
      <c r="I1531" s="334"/>
      <c r="J1531" s="314"/>
      <c r="K1531" s="449"/>
      <c r="M1531" s="349" t="str">
        <f>N1531&amp;AS[[#This Row],[Insurer Code]]&amp;"; "&amp;O1531&amp;AS[[#This Row],[Reporting Year]]&amp;"; "&amp;P1531&amp;AS[[#This Row],[Insurance Category Code]]&amp;"; "&amp;Q1531&amp;AS[[#This Row],[Large Provider Entity Code]]&amp;"; "&amp;R1531&amp;AS[[#This Row],[Age Band Code]]&amp;"; "&amp;S1531&amp;AS[[#This Row],[Sex Code]]</f>
        <v xml:space="preserve">Insurer Code ; Reporting Year ; Insurance Category Code ; Large Provider Entity Code ; Age Band Code ; Sex Code </v>
      </c>
      <c r="N1531" s="345" t="s">
        <v>207</v>
      </c>
      <c r="O1531" s="345" t="s">
        <v>208</v>
      </c>
      <c r="P1531" s="345" t="s">
        <v>209</v>
      </c>
      <c r="Q1531" s="345" t="s">
        <v>210</v>
      </c>
      <c r="R1531" s="345" t="s">
        <v>223</v>
      </c>
      <c r="S1531" s="345" t="s">
        <v>224</v>
      </c>
    </row>
    <row r="1532" spans="1:19" x14ac:dyDescent="0.25">
      <c r="A1532" s="311"/>
      <c r="B1532" s="312"/>
      <c r="C1532" s="312"/>
      <c r="D1532" s="312"/>
      <c r="E1532" s="312"/>
      <c r="F1532" s="312"/>
      <c r="G1532" s="328"/>
      <c r="H1532" s="337"/>
      <c r="I1532" s="334"/>
      <c r="J1532" s="314"/>
      <c r="K1532" s="449"/>
      <c r="M1532" s="349" t="str">
        <f>N1532&amp;AS[[#This Row],[Insurer Code]]&amp;"; "&amp;O1532&amp;AS[[#This Row],[Reporting Year]]&amp;"; "&amp;P1532&amp;AS[[#This Row],[Insurance Category Code]]&amp;"; "&amp;Q1532&amp;AS[[#This Row],[Large Provider Entity Code]]&amp;"; "&amp;R1532&amp;AS[[#This Row],[Age Band Code]]&amp;"; "&amp;S1532&amp;AS[[#This Row],[Sex Code]]</f>
        <v xml:space="preserve">Insurer Code ; Reporting Year ; Insurance Category Code ; Large Provider Entity Code ; Age Band Code ; Sex Code </v>
      </c>
      <c r="N1532" s="345" t="s">
        <v>207</v>
      </c>
      <c r="O1532" s="345" t="s">
        <v>208</v>
      </c>
      <c r="P1532" s="345" t="s">
        <v>209</v>
      </c>
      <c r="Q1532" s="345" t="s">
        <v>210</v>
      </c>
      <c r="R1532" s="345" t="s">
        <v>223</v>
      </c>
      <c r="S1532" s="345" t="s">
        <v>224</v>
      </c>
    </row>
    <row r="1533" spans="1:19" x14ac:dyDescent="0.25">
      <c r="A1533" s="311"/>
      <c r="B1533" s="312"/>
      <c r="C1533" s="312"/>
      <c r="D1533" s="312"/>
      <c r="E1533" s="312"/>
      <c r="F1533" s="312"/>
      <c r="G1533" s="328"/>
      <c r="H1533" s="337"/>
      <c r="I1533" s="334"/>
      <c r="J1533" s="314"/>
      <c r="K1533" s="449"/>
      <c r="M1533" s="349" t="str">
        <f>N1533&amp;AS[[#This Row],[Insurer Code]]&amp;"; "&amp;O1533&amp;AS[[#This Row],[Reporting Year]]&amp;"; "&amp;P1533&amp;AS[[#This Row],[Insurance Category Code]]&amp;"; "&amp;Q1533&amp;AS[[#This Row],[Large Provider Entity Code]]&amp;"; "&amp;R1533&amp;AS[[#This Row],[Age Band Code]]&amp;"; "&amp;S1533&amp;AS[[#This Row],[Sex Code]]</f>
        <v xml:space="preserve">Insurer Code ; Reporting Year ; Insurance Category Code ; Large Provider Entity Code ; Age Band Code ; Sex Code </v>
      </c>
      <c r="N1533" s="345" t="s">
        <v>207</v>
      </c>
      <c r="O1533" s="345" t="s">
        <v>208</v>
      </c>
      <c r="P1533" s="345" t="s">
        <v>209</v>
      </c>
      <c r="Q1533" s="345" t="s">
        <v>210</v>
      </c>
      <c r="R1533" s="345" t="s">
        <v>223</v>
      </c>
      <c r="S1533" s="345" t="s">
        <v>224</v>
      </c>
    </row>
    <row r="1534" spans="1:19" x14ac:dyDescent="0.25">
      <c r="A1534" s="311"/>
      <c r="B1534" s="312"/>
      <c r="C1534" s="312"/>
      <c r="D1534" s="312"/>
      <c r="E1534" s="312"/>
      <c r="F1534" s="312"/>
      <c r="G1534" s="328"/>
      <c r="H1534" s="337"/>
      <c r="I1534" s="334"/>
      <c r="J1534" s="314"/>
      <c r="K1534" s="449"/>
      <c r="M1534" s="349" t="str">
        <f>N1534&amp;AS[[#This Row],[Insurer Code]]&amp;"; "&amp;O1534&amp;AS[[#This Row],[Reporting Year]]&amp;"; "&amp;P1534&amp;AS[[#This Row],[Insurance Category Code]]&amp;"; "&amp;Q1534&amp;AS[[#This Row],[Large Provider Entity Code]]&amp;"; "&amp;R1534&amp;AS[[#This Row],[Age Band Code]]&amp;"; "&amp;S1534&amp;AS[[#This Row],[Sex Code]]</f>
        <v xml:space="preserve">Insurer Code ; Reporting Year ; Insurance Category Code ; Large Provider Entity Code ; Age Band Code ; Sex Code </v>
      </c>
      <c r="N1534" s="345" t="s">
        <v>207</v>
      </c>
      <c r="O1534" s="345" t="s">
        <v>208</v>
      </c>
      <c r="P1534" s="345" t="s">
        <v>209</v>
      </c>
      <c r="Q1534" s="345" t="s">
        <v>210</v>
      </c>
      <c r="R1534" s="345" t="s">
        <v>223</v>
      </c>
      <c r="S1534" s="345" t="s">
        <v>224</v>
      </c>
    </row>
    <row r="1535" spans="1:19" x14ac:dyDescent="0.25">
      <c r="A1535" s="311"/>
      <c r="B1535" s="312"/>
      <c r="C1535" s="312"/>
      <c r="D1535" s="312"/>
      <c r="E1535" s="312"/>
      <c r="F1535" s="312"/>
      <c r="G1535" s="328"/>
      <c r="H1535" s="337"/>
      <c r="I1535" s="334"/>
      <c r="J1535" s="314"/>
      <c r="K1535" s="449"/>
      <c r="M1535" s="349" t="str">
        <f>N1535&amp;AS[[#This Row],[Insurer Code]]&amp;"; "&amp;O1535&amp;AS[[#This Row],[Reporting Year]]&amp;"; "&amp;P1535&amp;AS[[#This Row],[Insurance Category Code]]&amp;"; "&amp;Q1535&amp;AS[[#This Row],[Large Provider Entity Code]]&amp;"; "&amp;R1535&amp;AS[[#This Row],[Age Band Code]]&amp;"; "&amp;S1535&amp;AS[[#This Row],[Sex Code]]</f>
        <v xml:space="preserve">Insurer Code ; Reporting Year ; Insurance Category Code ; Large Provider Entity Code ; Age Band Code ; Sex Code </v>
      </c>
      <c r="N1535" s="345" t="s">
        <v>207</v>
      </c>
      <c r="O1535" s="345" t="s">
        <v>208</v>
      </c>
      <c r="P1535" s="345" t="s">
        <v>209</v>
      </c>
      <c r="Q1535" s="345" t="s">
        <v>210</v>
      </c>
      <c r="R1535" s="345" t="s">
        <v>223</v>
      </c>
      <c r="S1535" s="345" t="s">
        <v>224</v>
      </c>
    </row>
    <row r="1536" spans="1:19" x14ac:dyDescent="0.25">
      <c r="A1536" s="311"/>
      <c r="B1536" s="312"/>
      <c r="C1536" s="312"/>
      <c r="D1536" s="312"/>
      <c r="E1536" s="312"/>
      <c r="F1536" s="312"/>
      <c r="G1536" s="328"/>
      <c r="H1536" s="337"/>
      <c r="I1536" s="334"/>
      <c r="J1536" s="314"/>
      <c r="K1536" s="449"/>
      <c r="M1536" s="349" t="str">
        <f>N1536&amp;AS[[#This Row],[Insurer Code]]&amp;"; "&amp;O1536&amp;AS[[#This Row],[Reporting Year]]&amp;"; "&amp;P1536&amp;AS[[#This Row],[Insurance Category Code]]&amp;"; "&amp;Q1536&amp;AS[[#This Row],[Large Provider Entity Code]]&amp;"; "&amp;R1536&amp;AS[[#This Row],[Age Band Code]]&amp;"; "&amp;S1536&amp;AS[[#This Row],[Sex Code]]</f>
        <v xml:space="preserve">Insurer Code ; Reporting Year ; Insurance Category Code ; Large Provider Entity Code ; Age Band Code ; Sex Code </v>
      </c>
      <c r="N1536" s="345" t="s">
        <v>207</v>
      </c>
      <c r="O1536" s="345" t="s">
        <v>208</v>
      </c>
      <c r="P1536" s="345" t="s">
        <v>209</v>
      </c>
      <c r="Q1536" s="345" t="s">
        <v>210</v>
      </c>
      <c r="R1536" s="345" t="s">
        <v>223</v>
      </c>
      <c r="S1536" s="345" t="s">
        <v>224</v>
      </c>
    </row>
    <row r="1537" spans="1:19" x14ac:dyDescent="0.25">
      <c r="A1537" s="311"/>
      <c r="B1537" s="312"/>
      <c r="C1537" s="312"/>
      <c r="D1537" s="312"/>
      <c r="E1537" s="312"/>
      <c r="F1537" s="312"/>
      <c r="G1537" s="328"/>
      <c r="H1537" s="337"/>
      <c r="I1537" s="334"/>
      <c r="J1537" s="314"/>
      <c r="K1537" s="449"/>
      <c r="M1537" s="349" t="str">
        <f>N1537&amp;AS[[#This Row],[Insurer Code]]&amp;"; "&amp;O1537&amp;AS[[#This Row],[Reporting Year]]&amp;"; "&amp;P1537&amp;AS[[#This Row],[Insurance Category Code]]&amp;"; "&amp;Q1537&amp;AS[[#This Row],[Large Provider Entity Code]]&amp;"; "&amp;R1537&amp;AS[[#This Row],[Age Band Code]]&amp;"; "&amp;S1537&amp;AS[[#This Row],[Sex Code]]</f>
        <v xml:space="preserve">Insurer Code ; Reporting Year ; Insurance Category Code ; Large Provider Entity Code ; Age Band Code ; Sex Code </v>
      </c>
      <c r="N1537" s="345" t="s">
        <v>207</v>
      </c>
      <c r="O1537" s="345" t="s">
        <v>208</v>
      </c>
      <c r="P1537" s="345" t="s">
        <v>209</v>
      </c>
      <c r="Q1537" s="345" t="s">
        <v>210</v>
      </c>
      <c r="R1537" s="345" t="s">
        <v>223</v>
      </c>
      <c r="S1537" s="345" t="s">
        <v>224</v>
      </c>
    </row>
    <row r="1538" spans="1:19" x14ac:dyDescent="0.25">
      <c r="A1538" s="311"/>
      <c r="B1538" s="312"/>
      <c r="C1538" s="312"/>
      <c r="D1538" s="312"/>
      <c r="E1538" s="312"/>
      <c r="F1538" s="312"/>
      <c r="G1538" s="328"/>
      <c r="H1538" s="337"/>
      <c r="I1538" s="334"/>
      <c r="J1538" s="314"/>
      <c r="K1538" s="449"/>
      <c r="M1538" s="349" t="str">
        <f>N1538&amp;AS[[#This Row],[Insurer Code]]&amp;"; "&amp;O1538&amp;AS[[#This Row],[Reporting Year]]&amp;"; "&amp;P1538&amp;AS[[#This Row],[Insurance Category Code]]&amp;"; "&amp;Q1538&amp;AS[[#This Row],[Large Provider Entity Code]]&amp;"; "&amp;R1538&amp;AS[[#This Row],[Age Band Code]]&amp;"; "&amp;S1538&amp;AS[[#This Row],[Sex Code]]</f>
        <v xml:space="preserve">Insurer Code ; Reporting Year ; Insurance Category Code ; Large Provider Entity Code ; Age Band Code ; Sex Code </v>
      </c>
      <c r="N1538" s="345" t="s">
        <v>207</v>
      </c>
      <c r="O1538" s="345" t="s">
        <v>208</v>
      </c>
      <c r="P1538" s="345" t="s">
        <v>209</v>
      </c>
      <c r="Q1538" s="345" t="s">
        <v>210</v>
      </c>
      <c r="R1538" s="345" t="s">
        <v>223</v>
      </c>
      <c r="S1538" s="345" t="s">
        <v>224</v>
      </c>
    </row>
    <row r="1539" spans="1:19" x14ac:dyDescent="0.25">
      <c r="A1539" s="311"/>
      <c r="B1539" s="312"/>
      <c r="C1539" s="312"/>
      <c r="D1539" s="312"/>
      <c r="E1539" s="312"/>
      <c r="F1539" s="312"/>
      <c r="G1539" s="328"/>
      <c r="H1539" s="337"/>
      <c r="I1539" s="334"/>
      <c r="J1539" s="314"/>
      <c r="K1539" s="449"/>
      <c r="M1539" s="349" t="str">
        <f>N1539&amp;AS[[#This Row],[Insurer Code]]&amp;"; "&amp;O1539&amp;AS[[#This Row],[Reporting Year]]&amp;"; "&amp;P1539&amp;AS[[#This Row],[Insurance Category Code]]&amp;"; "&amp;Q1539&amp;AS[[#This Row],[Large Provider Entity Code]]&amp;"; "&amp;R1539&amp;AS[[#This Row],[Age Band Code]]&amp;"; "&amp;S1539&amp;AS[[#This Row],[Sex Code]]</f>
        <v xml:space="preserve">Insurer Code ; Reporting Year ; Insurance Category Code ; Large Provider Entity Code ; Age Band Code ; Sex Code </v>
      </c>
      <c r="N1539" s="345" t="s">
        <v>207</v>
      </c>
      <c r="O1539" s="345" t="s">
        <v>208</v>
      </c>
      <c r="P1539" s="345" t="s">
        <v>209</v>
      </c>
      <c r="Q1539" s="345" t="s">
        <v>210</v>
      </c>
      <c r="R1539" s="345" t="s">
        <v>223</v>
      </c>
      <c r="S1539" s="345" t="s">
        <v>224</v>
      </c>
    </row>
    <row r="1540" spans="1:19" x14ac:dyDescent="0.25">
      <c r="A1540" s="311"/>
      <c r="B1540" s="312"/>
      <c r="C1540" s="312"/>
      <c r="D1540" s="312"/>
      <c r="E1540" s="312"/>
      <c r="F1540" s="312"/>
      <c r="G1540" s="328"/>
      <c r="H1540" s="337"/>
      <c r="I1540" s="334"/>
      <c r="J1540" s="314"/>
      <c r="K1540" s="449"/>
      <c r="M1540" s="349" t="str">
        <f>N1540&amp;AS[[#This Row],[Insurer Code]]&amp;"; "&amp;O1540&amp;AS[[#This Row],[Reporting Year]]&amp;"; "&amp;P1540&amp;AS[[#This Row],[Insurance Category Code]]&amp;"; "&amp;Q1540&amp;AS[[#This Row],[Large Provider Entity Code]]&amp;"; "&amp;R1540&amp;AS[[#This Row],[Age Band Code]]&amp;"; "&amp;S1540&amp;AS[[#This Row],[Sex Code]]</f>
        <v xml:space="preserve">Insurer Code ; Reporting Year ; Insurance Category Code ; Large Provider Entity Code ; Age Band Code ; Sex Code </v>
      </c>
      <c r="N1540" s="345" t="s">
        <v>207</v>
      </c>
      <c r="O1540" s="345" t="s">
        <v>208</v>
      </c>
      <c r="P1540" s="345" t="s">
        <v>209</v>
      </c>
      <c r="Q1540" s="345" t="s">
        <v>210</v>
      </c>
      <c r="R1540" s="345" t="s">
        <v>223</v>
      </c>
      <c r="S1540" s="345" t="s">
        <v>224</v>
      </c>
    </row>
    <row r="1541" spans="1:19" x14ac:dyDescent="0.25">
      <c r="A1541" s="311"/>
      <c r="B1541" s="312"/>
      <c r="C1541" s="312"/>
      <c r="D1541" s="312"/>
      <c r="E1541" s="312"/>
      <c r="F1541" s="312"/>
      <c r="G1541" s="328"/>
      <c r="H1541" s="337"/>
      <c r="I1541" s="334"/>
      <c r="J1541" s="314"/>
      <c r="K1541" s="449"/>
      <c r="M1541" s="349" t="str">
        <f>N1541&amp;AS[[#This Row],[Insurer Code]]&amp;"; "&amp;O1541&amp;AS[[#This Row],[Reporting Year]]&amp;"; "&amp;P1541&amp;AS[[#This Row],[Insurance Category Code]]&amp;"; "&amp;Q1541&amp;AS[[#This Row],[Large Provider Entity Code]]&amp;"; "&amp;R1541&amp;AS[[#This Row],[Age Band Code]]&amp;"; "&amp;S1541&amp;AS[[#This Row],[Sex Code]]</f>
        <v xml:space="preserve">Insurer Code ; Reporting Year ; Insurance Category Code ; Large Provider Entity Code ; Age Band Code ; Sex Code </v>
      </c>
      <c r="N1541" s="345" t="s">
        <v>207</v>
      </c>
      <c r="O1541" s="345" t="s">
        <v>208</v>
      </c>
      <c r="P1541" s="345" t="s">
        <v>209</v>
      </c>
      <c r="Q1541" s="345" t="s">
        <v>210</v>
      </c>
      <c r="R1541" s="345" t="s">
        <v>223</v>
      </c>
      <c r="S1541" s="345" t="s">
        <v>224</v>
      </c>
    </row>
    <row r="1542" spans="1:19" x14ac:dyDescent="0.25">
      <c r="A1542" s="311"/>
      <c r="B1542" s="312"/>
      <c r="C1542" s="312"/>
      <c r="D1542" s="312"/>
      <c r="E1542" s="312"/>
      <c r="F1542" s="312"/>
      <c r="G1542" s="328"/>
      <c r="H1542" s="337"/>
      <c r="I1542" s="334"/>
      <c r="J1542" s="314"/>
      <c r="K1542" s="449"/>
      <c r="M1542" s="349" t="str">
        <f>N1542&amp;AS[[#This Row],[Insurer Code]]&amp;"; "&amp;O1542&amp;AS[[#This Row],[Reporting Year]]&amp;"; "&amp;P1542&amp;AS[[#This Row],[Insurance Category Code]]&amp;"; "&amp;Q1542&amp;AS[[#This Row],[Large Provider Entity Code]]&amp;"; "&amp;R1542&amp;AS[[#This Row],[Age Band Code]]&amp;"; "&amp;S1542&amp;AS[[#This Row],[Sex Code]]</f>
        <v xml:space="preserve">Insurer Code ; Reporting Year ; Insurance Category Code ; Large Provider Entity Code ; Age Band Code ; Sex Code </v>
      </c>
      <c r="N1542" s="345" t="s">
        <v>207</v>
      </c>
      <c r="O1542" s="345" t="s">
        <v>208</v>
      </c>
      <c r="P1542" s="345" t="s">
        <v>209</v>
      </c>
      <c r="Q1542" s="345" t="s">
        <v>210</v>
      </c>
      <c r="R1542" s="345" t="s">
        <v>223</v>
      </c>
      <c r="S1542" s="345" t="s">
        <v>224</v>
      </c>
    </row>
    <row r="1543" spans="1:19" x14ac:dyDescent="0.25">
      <c r="A1543" s="311"/>
      <c r="B1543" s="312"/>
      <c r="C1543" s="312"/>
      <c r="D1543" s="312"/>
      <c r="E1543" s="312"/>
      <c r="F1543" s="312"/>
      <c r="G1543" s="328"/>
      <c r="H1543" s="337"/>
      <c r="I1543" s="334"/>
      <c r="J1543" s="314"/>
      <c r="K1543" s="449"/>
      <c r="M1543" s="349" t="str">
        <f>N1543&amp;AS[[#This Row],[Insurer Code]]&amp;"; "&amp;O1543&amp;AS[[#This Row],[Reporting Year]]&amp;"; "&amp;P1543&amp;AS[[#This Row],[Insurance Category Code]]&amp;"; "&amp;Q1543&amp;AS[[#This Row],[Large Provider Entity Code]]&amp;"; "&amp;R1543&amp;AS[[#This Row],[Age Band Code]]&amp;"; "&amp;S1543&amp;AS[[#This Row],[Sex Code]]</f>
        <v xml:space="preserve">Insurer Code ; Reporting Year ; Insurance Category Code ; Large Provider Entity Code ; Age Band Code ; Sex Code </v>
      </c>
      <c r="N1543" s="345" t="s">
        <v>207</v>
      </c>
      <c r="O1543" s="345" t="s">
        <v>208</v>
      </c>
      <c r="P1543" s="345" t="s">
        <v>209</v>
      </c>
      <c r="Q1543" s="345" t="s">
        <v>210</v>
      </c>
      <c r="R1543" s="345" t="s">
        <v>223</v>
      </c>
      <c r="S1543" s="345" t="s">
        <v>224</v>
      </c>
    </row>
    <row r="1544" spans="1:19" x14ac:dyDescent="0.25">
      <c r="A1544" s="311"/>
      <c r="B1544" s="312"/>
      <c r="C1544" s="312"/>
      <c r="D1544" s="312"/>
      <c r="E1544" s="312"/>
      <c r="F1544" s="312"/>
      <c r="G1544" s="328"/>
      <c r="H1544" s="337"/>
      <c r="I1544" s="334"/>
      <c r="J1544" s="314"/>
      <c r="K1544" s="449"/>
      <c r="M1544" s="349" t="str">
        <f>N1544&amp;AS[[#This Row],[Insurer Code]]&amp;"; "&amp;O1544&amp;AS[[#This Row],[Reporting Year]]&amp;"; "&amp;P1544&amp;AS[[#This Row],[Insurance Category Code]]&amp;"; "&amp;Q1544&amp;AS[[#This Row],[Large Provider Entity Code]]&amp;"; "&amp;R1544&amp;AS[[#This Row],[Age Band Code]]&amp;"; "&amp;S1544&amp;AS[[#This Row],[Sex Code]]</f>
        <v xml:space="preserve">Insurer Code ; Reporting Year ; Insurance Category Code ; Large Provider Entity Code ; Age Band Code ; Sex Code </v>
      </c>
      <c r="N1544" s="345" t="s">
        <v>207</v>
      </c>
      <c r="O1544" s="345" t="s">
        <v>208</v>
      </c>
      <c r="P1544" s="345" t="s">
        <v>209</v>
      </c>
      <c r="Q1544" s="345" t="s">
        <v>210</v>
      </c>
      <c r="R1544" s="345" t="s">
        <v>223</v>
      </c>
      <c r="S1544" s="345" t="s">
        <v>224</v>
      </c>
    </row>
    <row r="1545" spans="1:19" x14ac:dyDescent="0.25">
      <c r="A1545" s="311"/>
      <c r="B1545" s="312"/>
      <c r="C1545" s="312"/>
      <c r="D1545" s="312"/>
      <c r="E1545" s="312"/>
      <c r="F1545" s="312"/>
      <c r="G1545" s="328"/>
      <c r="H1545" s="337"/>
      <c r="I1545" s="334"/>
      <c r="J1545" s="314"/>
      <c r="K1545" s="449"/>
      <c r="M1545" s="349" t="str">
        <f>N1545&amp;AS[[#This Row],[Insurer Code]]&amp;"; "&amp;O1545&amp;AS[[#This Row],[Reporting Year]]&amp;"; "&amp;P1545&amp;AS[[#This Row],[Insurance Category Code]]&amp;"; "&amp;Q1545&amp;AS[[#This Row],[Large Provider Entity Code]]&amp;"; "&amp;R1545&amp;AS[[#This Row],[Age Band Code]]&amp;"; "&amp;S1545&amp;AS[[#This Row],[Sex Code]]</f>
        <v xml:space="preserve">Insurer Code ; Reporting Year ; Insurance Category Code ; Large Provider Entity Code ; Age Band Code ; Sex Code </v>
      </c>
      <c r="N1545" s="345" t="s">
        <v>207</v>
      </c>
      <c r="O1545" s="345" t="s">
        <v>208</v>
      </c>
      <c r="P1545" s="345" t="s">
        <v>209</v>
      </c>
      <c r="Q1545" s="345" t="s">
        <v>210</v>
      </c>
      <c r="R1545" s="345" t="s">
        <v>223</v>
      </c>
      <c r="S1545" s="345" t="s">
        <v>224</v>
      </c>
    </row>
    <row r="1546" spans="1:19" x14ac:dyDescent="0.25">
      <c r="A1546" s="311"/>
      <c r="B1546" s="312"/>
      <c r="C1546" s="312"/>
      <c r="D1546" s="312"/>
      <c r="E1546" s="312"/>
      <c r="F1546" s="312"/>
      <c r="G1546" s="328"/>
      <c r="H1546" s="337"/>
      <c r="I1546" s="334"/>
      <c r="J1546" s="314"/>
      <c r="K1546" s="449"/>
      <c r="M1546" s="349" t="str">
        <f>N1546&amp;AS[[#This Row],[Insurer Code]]&amp;"; "&amp;O1546&amp;AS[[#This Row],[Reporting Year]]&amp;"; "&amp;P1546&amp;AS[[#This Row],[Insurance Category Code]]&amp;"; "&amp;Q1546&amp;AS[[#This Row],[Large Provider Entity Code]]&amp;"; "&amp;R1546&amp;AS[[#This Row],[Age Band Code]]&amp;"; "&amp;S1546&amp;AS[[#This Row],[Sex Code]]</f>
        <v xml:space="preserve">Insurer Code ; Reporting Year ; Insurance Category Code ; Large Provider Entity Code ; Age Band Code ; Sex Code </v>
      </c>
      <c r="N1546" s="345" t="s">
        <v>207</v>
      </c>
      <c r="O1546" s="345" t="s">
        <v>208</v>
      </c>
      <c r="P1546" s="345" t="s">
        <v>209</v>
      </c>
      <c r="Q1546" s="345" t="s">
        <v>210</v>
      </c>
      <c r="R1546" s="345" t="s">
        <v>223</v>
      </c>
      <c r="S1546" s="345" t="s">
        <v>224</v>
      </c>
    </row>
    <row r="1547" spans="1:19" x14ac:dyDescent="0.25">
      <c r="A1547" s="311"/>
      <c r="B1547" s="312"/>
      <c r="C1547" s="312"/>
      <c r="D1547" s="312"/>
      <c r="E1547" s="312"/>
      <c r="F1547" s="312"/>
      <c r="G1547" s="328"/>
      <c r="H1547" s="337"/>
      <c r="I1547" s="334"/>
      <c r="J1547" s="314"/>
      <c r="K1547" s="449"/>
      <c r="M1547" s="349" t="str">
        <f>N1547&amp;AS[[#This Row],[Insurer Code]]&amp;"; "&amp;O1547&amp;AS[[#This Row],[Reporting Year]]&amp;"; "&amp;P1547&amp;AS[[#This Row],[Insurance Category Code]]&amp;"; "&amp;Q1547&amp;AS[[#This Row],[Large Provider Entity Code]]&amp;"; "&amp;R1547&amp;AS[[#This Row],[Age Band Code]]&amp;"; "&amp;S1547&amp;AS[[#This Row],[Sex Code]]</f>
        <v xml:space="preserve">Insurer Code ; Reporting Year ; Insurance Category Code ; Large Provider Entity Code ; Age Band Code ; Sex Code </v>
      </c>
      <c r="N1547" s="345" t="s">
        <v>207</v>
      </c>
      <c r="O1547" s="345" t="s">
        <v>208</v>
      </c>
      <c r="P1547" s="345" t="s">
        <v>209</v>
      </c>
      <c r="Q1547" s="345" t="s">
        <v>210</v>
      </c>
      <c r="R1547" s="345" t="s">
        <v>223</v>
      </c>
      <c r="S1547" s="345" t="s">
        <v>224</v>
      </c>
    </row>
    <row r="1548" spans="1:19" x14ac:dyDescent="0.25">
      <c r="A1548" s="311"/>
      <c r="B1548" s="312"/>
      <c r="C1548" s="312"/>
      <c r="D1548" s="312"/>
      <c r="E1548" s="312"/>
      <c r="F1548" s="312"/>
      <c r="G1548" s="328"/>
      <c r="H1548" s="337"/>
      <c r="I1548" s="334"/>
      <c r="J1548" s="314"/>
      <c r="K1548" s="449"/>
      <c r="M1548" s="349" t="str">
        <f>N1548&amp;AS[[#This Row],[Insurer Code]]&amp;"; "&amp;O1548&amp;AS[[#This Row],[Reporting Year]]&amp;"; "&amp;P1548&amp;AS[[#This Row],[Insurance Category Code]]&amp;"; "&amp;Q1548&amp;AS[[#This Row],[Large Provider Entity Code]]&amp;"; "&amp;R1548&amp;AS[[#This Row],[Age Band Code]]&amp;"; "&amp;S1548&amp;AS[[#This Row],[Sex Code]]</f>
        <v xml:space="preserve">Insurer Code ; Reporting Year ; Insurance Category Code ; Large Provider Entity Code ; Age Band Code ; Sex Code </v>
      </c>
      <c r="N1548" s="345" t="s">
        <v>207</v>
      </c>
      <c r="O1548" s="345" t="s">
        <v>208</v>
      </c>
      <c r="P1548" s="345" t="s">
        <v>209</v>
      </c>
      <c r="Q1548" s="345" t="s">
        <v>210</v>
      </c>
      <c r="R1548" s="345" t="s">
        <v>223</v>
      </c>
      <c r="S1548" s="345" t="s">
        <v>224</v>
      </c>
    </row>
    <row r="1549" spans="1:19" x14ac:dyDescent="0.25">
      <c r="A1549" s="311"/>
      <c r="B1549" s="312"/>
      <c r="C1549" s="312"/>
      <c r="D1549" s="312"/>
      <c r="E1549" s="312"/>
      <c r="F1549" s="312"/>
      <c r="G1549" s="328"/>
      <c r="H1549" s="337"/>
      <c r="I1549" s="334"/>
      <c r="J1549" s="314"/>
      <c r="K1549" s="449"/>
      <c r="M1549" s="349" t="str">
        <f>N1549&amp;AS[[#This Row],[Insurer Code]]&amp;"; "&amp;O1549&amp;AS[[#This Row],[Reporting Year]]&amp;"; "&amp;P1549&amp;AS[[#This Row],[Insurance Category Code]]&amp;"; "&amp;Q1549&amp;AS[[#This Row],[Large Provider Entity Code]]&amp;"; "&amp;R1549&amp;AS[[#This Row],[Age Band Code]]&amp;"; "&amp;S1549&amp;AS[[#This Row],[Sex Code]]</f>
        <v xml:space="preserve">Insurer Code ; Reporting Year ; Insurance Category Code ; Large Provider Entity Code ; Age Band Code ; Sex Code </v>
      </c>
      <c r="N1549" s="345" t="s">
        <v>207</v>
      </c>
      <c r="O1549" s="345" t="s">
        <v>208</v>
      </c>
      <c r="P1549" s="345" t="s">
        <v>209</v>
      </c>
      <c r="Q1549" s="345" t="s">
        <v>210</v>
      </c>
      <c r="R1549" s="345" t="s">
        <v>223</v>
      </c>
      <c r="S1549" s="345" t="s">
        <v>224</v>
      </c>
    </row>
    <row r="1550" spans="1:19" x14ac:dyDescent="0.25">
      <c r="A1550" s="311"/>
      <c r="B1550" s="312"/>
      <c r="C1550" s="312"/>
      <c r="D1550" s="312"/>
      <c r="E1550" s="312"/>
      <c r="F1550" s="312"/>
      <c r="G1550" s="328"/>
      <c r="H1550" s="337"/>
      <c r="I1550" s="334"/>
      <c r="J1550" s="314"/>
      <c r="K1550" s="449"/>
      <c r="M1550" s="349" t="str">
        <f>N1550&amp;AS[[#This Row],[Insurer Code]]&amp;"; "&amp;O1550&amp;AS[[#This Row],[Reporting Year]]&amp;"; "&amp;P1550&amp;AS[[#This Row],[Insurance Category Code]]&amp;"; "&amp;Q1550&amp;AS[[#This Row],[Large Provider Entity Code]]&amp;"; "&amp;R1550&amp;AS[[#This Row],[Age Band Code]]&amp;"; "&amp;S1550&amp;AS[[#This Row],[Sex Code]]</f>
        <v xml:space="preserve">Insurer Code ; Reporting Year ; Insurance Category Code ; Large Provider Entity Code ; Age Band Code ; Sex Code </v>
      </c>
      <c r="N1550" s="345" t="s">
        <v>207</v>
      </c>
      <c r="O1550" s="345" t="s">
        <v>208</v>
      </c>
      <c r="P1550" s="345" t="s">
        <v>209</v>
      </c>
      <c r="Q1550" s="345" t="s">
        <v>210</v>
      </c>
      <c r="R1550" s="345" t="s">
        <v>223</v>
      </c>
      <c r="S1550" s="345" t="s">
        <v>224</v>
      </c>
    </row>
    <row r="1551" spans="1:19" x14ac:dyDescent="0.25">
      <c r="A1551" s="311"/>
      <c r="B1551" s="312"/>
      <c r="C1551" s="312"/>
      <c r="D1551" s="312"/>
      <c r="E1551" s="312"/>
      <c r="F1551" s="312"/>
      <c r="G1551" s="328"/>
      <c r="H1551" s="337"/>
      <c r="I1551" s="334"/>
      <c r="J1551" s="314"/>
      <c r="K1551" s="449"/>
      <c r="M1551" s="349" t="str">
        <f>N1551&amp;AS[[#This Row],[Insurer Code]]&amp;"; "&amp;O1551&amp;AS[[#This Row],[Reporting Year]]&amp;"; "&amp;P1551&amp;AS[[#This Row],[Insurance Category Code]]&amp;"; "&amp;Q1551&amp;AS[[#This Row],[Large Provider Entity Code]]&amp;"; "&amp;R1551&amp;AS[[#This Row],[Age Band Code]]&amp;"; "&amp;S1551&amp;AS[[#This Row],[Sex Code]]</f>
        <v xml:space="preserve">Insurer Code ; Reporting Year ; Insurance Category Code ; Large Provider Entity Code ; Age Band Code ; Sex Code </v>
      </c>
      <c r="N1551" s="345" t="s">
        <v>207</v>
      </c>
      <c r="O1551" s="345" t="s">
        <v>208</v>
      </c>
      <c r="P1551" s="345" t="s">
        <v>209</v>
      </c>
      <c r="Q1551" s="345" t="s">
        <v>210</v>
      </c>
      <c r="R1551" s="345" t="s">
        <v>223</v>
      </c>
      <c r="S1551" s="345" t="s">
        <v>224</v>
      </c>
    </row>
    <row r="1552" spans="1:19" x14ac:dyDescent="0.25">
      <c r="A1552" s="311"/>
      <c r="B1552" s="312"/>
      <c r="C1552" s="312"/>
      <c r="D1552" s="312"/>
      <c r="E1552" s="312"/>
      <c r="F1552" s="312"/>
      <c r="G1552" s="328"/>
      <c r="H1552" s="337"/>
      <c r="I1552" s="334"/>
      <c r="J1552" s="314"/>
      <c r="K1552" s="449"/>
      <c r="M1552" s="349" t="str">
        <f>N1552&amp;AS[[#This Row],[Insurer Code]]&amp;"; "&amp;O1552&amp;AS[[#This Row],[Reporting Year]]&amp;"; "&amp;P1552&amp;AS[[#This Row],[Insurance Category Code]]&amp;"; "&amp;Q1552&amp;AS[[#This Row],[Large Provider Entity Code]]&amp;"; "&amp;R1552&amp;AS[[#This Row],[Age Band Code]]&amp;"; "&amp;S1552&amp;AS[[#This Row],[Sex Code]]</f>
        <v xml:space="preserve">Insurer Code ; Reporting Year ; Insurance Category Code ; Large Provider Entity Code ; Age Band Code ; Sex Code </v>
      </c>
      <c r="N1552" s="345" t="s">
        <v>207</v>
      </c>
      <c r="O1552" s="345" t="s">
        <v>208</v>
      </c>
      <c r="P1552" s="345" t="s">
        <v>209</v>
      </c>
      <c r="Q1552" s="345" t="s">
        <v>210</v>
      </c>
      <c r="R1552" s="345" t="s">
        <v>223</v>
      </c>
      <c r="S1552" s="345" t="s">
        <v>224</v>
      </c>
    </row>
    <row r="1553" spans="1:19" x14ac:dyDescent="0.25">
      <c r="A1553" s="311"/>
      <c r="B1553" s="312"/>
      <c r="C1553" s="312"/>
      <c r="D1553" s="312"/>
      <c r="E1553" s="312"/>
      <c r="F1553" s="312"/>
      <c r="G1553" s="328"/>
      <c r="H1553" s="337"/>
      <c r="I1553" s="334"/>
      <c r="J1553" s="314"/>
      <c r="K1553" s="449"/>
      <c r="M1553" s="349" t="str">
        <f>N1553&amp;AS[[#This Row],[Insurer Code]]&amp;"; "&amp;O1553&amp;AS[[#This Row],[Reporting Year]]&amp;"; "&amp;P1553&amp;AS[[#This Row],[Insurance Category Code]]&amp;"; "&amp;Q1553&amp;AS[[#This Row],[Large Provider Entity Code]]&amp;"; "&amp;R1553&amp;AS[[#This Row],[Age Band Code]]&amp;"; "&amp;S1553&amp;AS[[#This Row],[Sex Code]]</f>
        <v xml:space="preserve">Insurer Code ; Reporting Year ; Insurance Category Code ; Large Provider Entity Code ; Age Band Code ; Sex Code </v>
      </c>
      <c r="N1553" s="345" t="s">
        <v>207</v>
      </c>
      <c r="O1553" s="345" t="s">
        <v>208</v>
      </c>
      <c r="P1553" s="345" t="s">
        <v>209</v>
      </c>
      <c r="Q1553" s="345" t="s">
        <v>210</v>
      </c>
      <c r="R1553" s="345" t="s">
        <v>223</v>
      </c>
      <c r="S1553" s="345" t="s">
        <v>224</v>
      </c>
    </row>
    <row r="1554" spans="1:19" x14ac:dyDescent="0.25">
      <c r="A1554" s="311"/>
      <c r="B1554" s="312"/>
      <c r="C1554" s="312"/>
      <c r="D1554" s="312"/>
      <c r="E1554" s="312"/>
      <c r="F1554" s="312"/>
      <c r="G1554" s="328"/>
      <c r="H1554" s="337"/>
      <c r="I1554" s="334"/>
      <c r="J1554" s="314"/>
      <c r="K1554" s="449"/>
      <c r="M1554" s="349" t="str">
        <f>N1554&amp;AS[[#This Row],[Insurer Code]]&amp;"; "&amp;O1554&amp;AS[[#This Row],[Reporting Year]]&amp;"; "&amp;P1554&amp;AS[[#This Row],[Insurance Category Code]]&amp;"; "&amp;Q1554&amp;AS[[#This Row],[Large Provider Entity Code]]&amp;"; "&amp;R1554&amp;AS[[#This Row],[Age Band Code]]&amp;"; "&amp;S1554&amp;AS[[#This Row],[Sex Code]]</f>
        <v xml:space="preserve">Insurer Code ; Reporting Year ; Insurance Category Code ; Large Provider Entity Code ; Age Band Code ; Sex Code </v>
      </c>
      <c r="N1554" s="345" t="s">
        <v>207</v>
      </c>
      <c r="O1554" s="345" t="s">
        <v>208</v>
      </c>
      <c r="P1554" s="345" t="s">
        <v>209</v>
      </c>
      <c r="Q1554" s="345" t="s">
        <v>210</v>
      </c>
      <c r="R1554" s="345" t="s">
        <v>223</v>
      </c>
      <c r="S1554" s="345" t="s">
        <v>224</v>
      </c>
    </row>
    <row r="1555" spans="1:19" x14ac:dyDescent="0.25">
      <c r="A1555" s="311"/>
      <c r="B1555" s="312"/>
      <c r="C1555" s="312"/>
      <c r="D1555" s="312"/>
      <c r="E1555" s="312"/>
      <c r="F1555" s="312"/>
      <c r="G1555" s="328"/>
      <c r="H1555" s="337"/>
      <c r="I1555" s="334"/>
      <c r="J1555" s="314"/>
      <c r="K1555" s="449"/>
      <c r="M1555" s="349" t="str">
        <f>N1555&amp;AS[[#This Row],[Insurer Code]]&amp;"; "&amp;O1555&amp;AS[[#This Row],[Reporting Year]]&amp;"; "&amp;P1555&amp;AS[[#This Row],[Insurance Category Code]]&amp;"; "&amp;Q1555&amp;AS[[#This Row],[Large Provider Entity Code]]&amp;"; "&amp;R1555&amp;AS[[#This Row],[Age Band Code]]&amp;"; "&amp;S1555&amp;AS[[#This Row],[Sex Code]]</f>
        <v xml:space="preserve">Insurer Code ; Reporting Year ; Insurance Category Code ; Large Provider Entity Code ; Age Band Code ; Sex Code </v>
      </c>
      <c r="N1555" s="345" t="s">
        <v>207</v>
      </c>
      <c r="O1555" s="345" t="s">
        <v>208</v>
      </c>
      <c r="P1555" s="345" t="s">
        <v>209</v>
      </c>
      <c r="Q1555" s="345" t="s">
        <v>210</v>
      </c>
      <c r="R1555" s="345" t="s">
        <v>223</v>
      </c>
      <c r="S1555" s="345" t="s">
        <v>224</v>
      </c>
    </row>
    <row r="1556" spans="1:19" x14ac:dyDescent="0.25">
      <c r="A1556" s="311"/>
      <c r="B1556" s="312"/>
      <c r="C1556" s="312"/>
      <c r="D1556" s="312"/>
      <c r="E1556" s="312"/>
      <c r="F1556" s="312"/>
      <c r="G1556" s="328"/>
      <c r="H1556" s="337"/>
      <c r="I1556" s="334"/>
      <c r="J1556" s="314"/>
      <c r="K1556" s="449"/>
      <c r="M1556" s="349" t="str">
        <f>N1556&amp;AS[[#This Row],[Insurer Code]]&amp;"; "&amp;O1556&amp;AS[[#This Row],[Reporting Year]]&amp;"; "&amp;P1556&amp;AS[[#This Row],[Insurance Category Code]]&amp;"; "&amp;Q1556&amp;AS[[#This Row],[Large Provider Entity Code]]&amp;"; "&amp;R1556&amp;AS[[#This Row],[Age Band Code]]&amp;"; "&amp;S1556&amp;AS[[#This Row],[Sex Code]]</f>
        <v xml:space="preserve">Insurer Code ; Reporting Year ; Insurance Category Code ; Large Provider Entity Code ; Age Band Code ; Sex Code </v>
      </c>
      <c r="N1556" s="345" t="s">
        <v>207</v>
      </c>
      <c r="O1556" s="345" t="s">
        <v>208</v>
      </c>
      <c r="P1556" s="345" t="s">
        <v>209</v>
      </c>
      <c r="Q1556" s="345" t="s">
        <v>210</v>
      </c>
      <c r="R1556" s="345" t="s">
        <v>223</v>
      </c>
      <c r="S1556" s="345" t="s">
        <v>224</v>
      </c>
    </row>
    <row r="1557" spans="1:19" x14ac:dyDescent="0.25">
      <c r="A1557" s="311"/>
      <c r="B1557" s="312"/>
      <c r="C1557" s="312"/>
      <c r="D1557" s="312"/>
      <c r="E1557" s="312"/>
      <c r="F1557" s="312"/>
      <c r="G1557" s="328"/>
      <c r="H1557" s="337"/>
      <c r="I1557" s="334"/>
      <c r="J1557" s="314"/>
      <c r="K1557" s="449"/>
      <c r="M1557" s="349" t="str">
        <f>N1557&amp;AS[[#This Row],[Insurer Code]]&amp;"; "&amp;O1557&amp;AS[[#This Row],[Reporting Year]]&amp;"; "&amp;P1557&amp;AS[[#This Row],[Insurance Category Code]]&amp;"; "&amp;Q1557&amp;AS[[#This Row],[Large Provider Entity Code]]&amp;"; "&amp;R1557&amp;AS[[#This Row],[Age Band Code]]&amp;"; "&amp;S1557&amp;AS[[#This Row],[Sex Code]]</f>
        <v xml:space="preserve">Insurer Code ; Reporting Year ; Insurance Category Code ; Large Provider Entity Code ; Age Band Code ; Sex Code </v>
      </c>
      <c r="N1557" s="345" t="s">
        <v>207</v>
      </c>
      <c r="O1557" s="345" t="s">
        <v>208</v>
      </c>
      <c r="P1557" s="345" t="s">
        <v>209</v>
      </c>
      <c r="Q1557" s="345" t="s">
        <v>210</v>
      </c>
      <c r="R1557" s="345" t="s">
        <v>223</v>
      </c>
      <c r="S1557" s="345" t="s">
        <v>224</v>
      </c>
    </row>
    <row r="1558" spans="1:19" x14ac:dyDescent="0.25">
      <c r="A1558" s="311"/>
      <c r="B1558" s="312"/>
      <c r="C1558" s="312"/>
      <c r="D1558" s="312"/>
      <c r="E1558" s="312"/>
      <c r="F1558" s="312"/>
      <c r="G1558" s="328"/>
      <c r="H1558" s="337"/>
      <c r="I1558" s="334"/>
      <c r="J1558" s="314"/>
      <c r="K1558" s="449"/>
      <c r="M1558" s="349" t="str">
        <f>N1558&amp;AS[[#This Row],[Insurer Code]]&amp;"; "&amp;O1558&amp;AS[[#This Row],[Reporting Year]]&amp;"; "&amp;P1558&amp;AS[[#This Row],[Insurance Category Code]]&amp;"; "&amp;Q1558&amp;AS[[#This Row],[Large Provider Entity Code]]&amp;"; "&amp;R1558&amp;AS[[#This Row],[Age Band Code]]&amp;"; "&amp;S1558&amp;AS[[#This Row],[Sex Code]]</f>
        <v xml:space="preserve">Insurer Code ; Reporting Year ; Insurance Category Code ; Large Provider Entity Code ; Age Band Code ; Sex Code </v>
      </c>
      <c r="N1558" s="345" t="s">
        <v>207</v>
      </c>
      <c r="O1558" s="345" t="s">
        <v>208</v>
      </c>
      <c r="P1558" s="345" t="s">
        <v>209</v>
      </c>
      <c r="Q1558" s="345" t="s">
        <v>210</v>
      </c>
      <c r="R1558" s="345" t="s">
        <v>223</v>
      </c>
      <c r="S1558" s="345" t="s">
        <v>224</v>
      </c>
    </row>
    <row r="1559" spans="1:19" x14ac:dyDescent="0.25">
      <c r="A1559" s="311"/>
      <c r="B1559" s="312"/>
      <c r="C1559" s="312"/>
      <c r="D1559" s="312"/>
      <c r="E1559" s="312"/>
      <c r="F1559" s="312"/>
      <c r="G1559" s="328"/>
      <c r="H1559" s="337"/>
      <c r="I1559" s="334"/>
      <c r="J1559" s="314"/>
      <c r="K1559" s="449"/>
      <c r="M1559" s="349" t="str">
        <f>N1559&amp;AS[[#This Row],[Insurer Code]]&amp;"; "&amp;O1559&amp;AS[[#This Row],[Reporting Year]]&amp;"; "&amp;P1559&amp;AS[[#This Row],[Insurance Category Code]]&amp;"; "&amp;Q1559&amp;AS[[#This Row],[Large Provider Entity Code]]&amp;"; "&amp;R1559&amp;AS[[#This Row],[Age Band Code]]&amp;"; "&amp;S1559&amp;AS[[#This Row],[Sex Code]]</f>
        <v xml:space="preserve">Insurer Code ; Reporting Year ; Insurance Category Code ; Large Provider Entity Code ; Age Band Code ; Sex Code </v>
      </c>
      <c r="N1559" s="345" t="s">
        <v>207</v>
      </c>
      <c r="O1559" s="345" t="s">
        <v>208</v>
      </c>
      <c r="P1559" s="345" t="s">
        <v>209</v>
      </c>
      <c r="Q1559" s="345" t="s">
        <v>210</v>
      </c>
      <c r="R1559" s="345" t="s">
        <v>223</v>
      </c>
      <c r="S1559" s="345" t="s">
        <v>224</v>
      </c>
    </row>
    <row r="1560" spans="1:19" x14ac:dyDescent="0.25">
      <c r="A1560" s="311"/>
      <c r="B1560" s="312"/>
      <c r="C1560" s="312"/>
      <c r="D1560" s="312"/>
      <c r="E1560" s="312"/>
      <c r="F1560" s="312"/>
      <c r="G1560" s="328"/>
      <c r="H1560" s="337"/>
      <c r="I1560" s="334"/>
      <c r="J1560" s="314"/>
      <c r="K1560" s="449"/>
      <c r="M1560" s="349" t="str">
        <f>N1560&amp;AS[[#This Row],[Insurer Code]]&amp;"; "&amp;O1560&amp;AS[[#This Row],[Reporting Year]]&amp;"; "&amp;P1560&amp;AS[[#This Row],[Insurance Category Code]]&amp;"; "&amp;Q1560&amp;AS[[#This Row],[Large Provider Entity Code]]&amp;"; "&amp;R1560&amp;AS[[#This Row],[Age Band Code]]&amp;"; "&amp;S1560&amp;AS[[#This Row],[Sex Code]]</f>
        <v xml:space="preserve">Insurer Code ; Reporting Year ; Insurance Category Code ; Large Provider Entity Code ; Age Band Code ; Sex Code </v>
      </c>
      <c r="N1560" s="345" t="s">
        <v>207</v>
      </c>
      <c r="O1560" s="345" t="s">
        <v>208</v>
      </c>
      <c r="P1560" s="345" t="s">
        <v>209</v>
      </c>
      <c r="Q1560" s="345" t="s">
        <v>210</v>
      </c>
      <c r="R1560" s="345" t="s">
        <v>223</v>
      </c>
      <c r="S1560" s="345" t="s">
        <v>224</v>
      </c>
    </row>
    <row r="1561" spans="1:19" x14ac:dyDescent="0.25">
      <c r="A1561" s="311"/>
      <c r="B1561" s="312"/>
      <c r="C1561" s="312"/>
      <c r="D1561" s="312"/>
      <c r="E1561" s="312"/>
      <c r="F1561" s="312"/>
      <c r="G1561" s="328"/>
      <c r="H1561" s="337"/>
      <c r="I1561" s="334"/>
      <c r="J1561" s="314"/>
      <c r="K1561" s="449"/>
      <c r="M1561" s="349" t="str">
        <f>N1561&amp;AS[[#This Row],[Insurer Code]]&amp;"; "&amp;O1561&amp;AS[[#This Row],[Reporting Year]]&amp;"; "&amp;P1561&amp;AS[[#This Row],[Insurance Category Code]]&amp;"; "&amp;Q1561&amp;AS[[#This Row],[Large Provider Entity Code]]&amp;"; "&amp;R1561&amp;AS[[#This Row],[Age Band Code]]&amp;"; "&amp;S1561&amp;AS[[#This Row],[Sex Code]]</f>
        <v xml:space="preserve">Insurer Code ; Reporting Year ; Insurance Category Code ; Large Provider Entity Code ; Age Band Code ; Sex Code </v>
      </c>
      <c r="N1561" s="345" t="s">
        <v>207</v>
      </c>
      <c r="O1561" s="345" t="s">
        <v>208</v>
      </c>
      <c r="P1561" s="345" t="s">
        <v>209</v>
      </c>
      <c r="Q1561" s="345" t="s">
        <v>210</v>
      </c>
      <c r="R1561" s="345" t="s">
        <v>223</v>
      </c>
      <c r="S1561" s="345" t="s">
        <v>224</v>
      </c>
    </row>
    <row r="1562" spans="1:19" x14ac:dyDescent="0.25">
      <c r="A1562" s="311"/>
      <c r="B1562" s="312"/>
      <c r="C1562" s="312"/>
      <c r="D1562" s="312"/>
      <c r="E1562" s="312"/>
      <c r="F1562" s="312"/>
      <c r="G1562" s="328"/>
      <c r="H1562" s="337"/>
      <c r="I1562" s="334"/>
      <c r="J1562" s="314"/>
      <c r="K1562" s="449"/>
      <c r="M1562" s="349" t="str">
        <f>N1562&amp;AS[[#This Row],[Insurer Code]]&amp;"; "&amp;O1562&amp;AS[[#This Row],[Reporting Year]]&amp;"; "&amp;P1562&amp;AS[[#This Row],[Insurance Category Code]]&amp;"; "&amp;Q1562&amp;AS[[#This Row],[Large Provider Entity Code]]&amp;"; "&amp;R1562&amp;AS[[#This Row],[Age Band Code]]&amp;"; "&amp;S1562&amp;AS[[#This Row],[Sex Code]]</f>
        <v xml:space="preserve">Insurer Code ; Reporting Year ; Insurance Category Code ; Large Provider Entity Code ; Age Band Code ; Sex Code </v>
      </c>
      <c r="N1562" s="345" t="s">
        <v>207</v>
      </c>
      <c r="O1562" s="345" t="s">
        <v>208</v>
      </c>
      <c r="P1562" s="345" t="s">
        <v>209</v>
      </c>
      <c r="Q1562" s="345" t="s">
        <v>210</v>
      </c>
      <c r="R1562" s="345" t="s">
        <v>223</v>
      </c>
      <c r="S1562" s="345" t="s">
        <v>224</v>
      </c>
    </row>
    <row r="1563" spans="1:19" x14ac:dyDescent="0.25">
      <c r="A1563" s="311"/>
      <c r="B1563" s="312"/>
      <c r="C1563" s="312"/>
      <c r="D1563" s="312"/>
      <c r="E1563" s="312"/>
      <c r="F1563" s="312"/>
      <c r="G1563" s="328"/>
      <c r="H1563" s="337"/>
      <c r="I1563" s="334"/>
      <c r="J1563" s="314"/>
      <c r="K1563" s="449"/>
      <c r="M1563" s="349" t="str">
        <f>N1563&amp;AS[[#This Row],[Insurer Code]]&amp;"; "&amp;O1563&amp;AS[[#This Row],[Reporting Year]]&amp;"; "&amp;P1563&amp;AS[[#This Row],[Insurance Category Code]]&amp;"; "&amp;Q1563&amp;AS[[#This Row],[Large Provider Entity Code]]&amp;"; "&amp;R1563&amp;AS[[#This Row],[Age Band Code]]&amp;"; "&amp;S1563&amp;AS[[#This Row],[Sex Code]]</f>
        <v xml:space="preserve">Insurer Code ; Reporting Year ; Insurance Category Code ; Large Provider Entity Code ; Age Band Code ; Sex Code </v>
      </c>
      <c r="N1563" s="345" t="s">
        <v>207</v>
      </c>
      <c r="O1563" s="345" t="s">
        <v>208</v>
      </c>
      <c r="P1563" s="345" t="s">
        <v>209</v>
      </c>
      <c r="Q1563" s="345" t="s">
        <v>210</v>
      </c>
      <c r="R1563" s="345" t="s">
        <v>223</v>
      </c>
      <c r="S1563" s="345" t="s">
        <v>224</v>
      </c>
    </row>
    <row r="1564" spans="1:19" x14ac:dyDescent="0.25">
      <c r="A1564" s="311"/>
      <c r="B1564" s="312"/>
      <c r="C1564" s="312"/>
      <c r="D1564" s="312"/>
      <c r="E1564" s="312"/>
      <c r="F1564" s="312"/>
      <c r="G1564" s="328"/>
      <c r="H1564" s="337"/>
      <c r="I1564" s="334"/>
      <c r="J1564" s="314"/>
      <c r="K1564" s="449"/>
      <c r="M1564" s="349" t="str">
        <f>N1564&amp;AS[[#This Row],[Insurer Code]]&amp;"; "&amp;O1564&amp;AS[[#This Row],[Reporting Year]]&amp;"; "&amp;P1564&amp;AS[[#This Row],[Insurance Category Code]]&amp;"; "&amp;Q1564&amp;AS[[#This Row],[Large Provider Entity Code]]&amp;"; "&amp;R1564&amp;AS[[#This Row],[Age Band Code]]&amp;"; "&amp;S1564&amp;AS[[#This Row],[Sex Code]]</f>
        <v xml:space="preserve">Insurer Code ; Reporting Year ; Insurance Category Code ; Large Provider Entity Code ; Age Band Code ; Sex Code </v>
      </c>
      <c r="N1564" s="345" t="s">
        <v>207</v>
      </c>
      <c r="O1564" s="345" t="s">
        <v>208</v>
      </c>
      <c r="P1564" s="345" t="s">
        <v>209</v>
      </c>
      <c r="Q1564" s="345" t="s">
        <v>210</v>
      </c>
      <c r="R1564" s="345" t="s">
        <v>223</v>
      </c>
      <c r="S1564" s="345" t="s">
        <v>224</v>
      </c>
    </row>
    <row r="1565" spans="1:19" x14ac:dyDescent="0.25">
      <c r="A1565" s="311"/>
      <c r="B1565" s="312"/>
      <c r="C1565" s="312"/>
      <c r="D1565" s="312"/>
      <c r="E1565" s="312"/>
      <c r="F1565" s="312"/>
      <c r="G1565" s="328"/>
      <c r="H1565" s="337"/>
      <c r="I1565" s="334"/>
      <c r="J1565" s="314"/>
      <c r="K1565" s="449"/>
      <c r="M1565" s="349" t="str">
        <f>N1565&amp;AS[[#This Row],[Insurer Code]]&amp;"; "&amp;O1565&amp;AS[[#This Row],[Reporting Year]]&amp;"; "&amp;P1565&amp;AS[[#This Row],[Insurance Category Code]]&amp;"; "&amp;Q1565&amp;AS[[#This Row],[Large Provider Entity Code]]&amp;"; "&amp;R1565&amp;AS[[#This Row],[Age Band Code]]&amp;"; "&amp;S1565&amp;AS[[#This Row],[Sex Code]]</f>
        <v xml:space="preserve">Insurer Code ; Reporting Year ; Insurance Category Code ; Large Provider Entity Code ; Age Band Code ; Sex Code </v>
      </c>
      <c r="N1565" s="345" t="s">
        <v>207</v>
      </c>
      <c r="O1565" s="345" t="s">
        <v>208</v>
      </c>
      <c r="P1565" s="345" t="s">
        <v>209</v>
      </c>
      <c r="Q1565" s="345" t="s">
        <v>210</v>
      </c>
      <c r="R1565" s="345" t="s">
        <v>223</v>
      </c>
      <c r="S1565" s="345" t="s">
        <v>224</v>
      </c>
    </row>
    <row r="1566" spans="1:19" x14ac:dyDescent="0.25">
      <c r="A1566" s="311"/>
      <c r="B1566" s="312"/>
      <c r="C1566" s="312"/>
      <c r="D1566" s="312"/>
      <c r="E1566" s="312"/>
      <c r="F1566" s="312"/>
      <c r="G1566" s="328"/>
      <c r="H1566" s="337"/>
      <c r="I1566" s="334"/>
      <c r="J1566" s="314"/>
      <c r="K1566" s="449"/>
      <c r="M1566" s="349" t="str">
        <f>N1566&amp;AS[[#This Row],[Insurer Code]]&amp;"; "&amp;O1566&amp;AS[[#This Row],[Reporting Year]]&amp;"; "&amp;P1566&amp;AS[[#This Row],[Insurance Category Code]]&amp;"; "&amp;Q1566&amp;AS[[#This Row],[Large Provider Entity Code]]&amp;"; "&amp;R1566&amp;AS[[#This Row],[Age Band Code]]&amp;"; "&amp;S1566&amp;AS[[#This Row],[Sex Code]]</f>
        <v xml:space="preserve">Insurer Code ; Reporting Year ; Insurance Category Code ; Large Provider Entity Code ; Age Band Code ; Sex Code </v>
      </c>
      <c r="N1566" s="345" t="s">
        <v>207</v>
      </c>
      <c r="O1566" s="345" t="s">
        <v>208</v>
      </c>
      <c r="P1566" s="345" t="s">
        <v>209</v>
      </c>
      <c r="Q1566" s="345" t="s">
        <v>210</v>
      </c>
      <c r="R1566" s="345" t="s">
        <v>223</v>
      </c>
      <c r="S1566" s="345" t="s">
        <v>224</v>
      </c>
    </row>
    <row r="1567" spans="1:19" x14ac:dyDescent="0.25">
      <c r="A1567" s="311"/>
      <c r="B1567" s="312"/>
      <c r="C1567" s="312"/>
      <c r="D1567" s="312"/>
      <c r="E1567" s="312"/>
      <c r="F1567" s="312"/>
      <c r="G1567" s="328"/>
      <c r="H1567" s="337"/>
      <c r="I1567" s="334"/>
      <c r="J1567" s="314"/>
      <c r="K1567" s="449"/>
      <c r="M1567" s="349" t="str">
        <f>N1567&amp;AS[[#This Row],[Insurer Code]]&amp;"; "&amp;O1567&amp;AS[[#This Row],[Reporting Year]]&amp;"; "&amp;P1567&amp;AS[[#This Row],[Insurance Category Code]]&amp;"; "&amp;Q1567&amp;AS[[#This Row],[Large Provider Entity Code]]&amp;"; "&amp;R1567&amp;AS[[#This Row],[Age Band Code]]&amp;"; "&amp;S1567&amp;AS[[#This Row],[Sex Code]]</f>
        <v xml:space="preserve">Insurer Code ; Reporting Year ; Insurance Category Code ; Large Provider Entity Code ; Age Band Code ; Sex Code </v>
      </c>
      <c r="N1567" s="345" t="s">
        <v>207</v>
      </c>
      <c r="O1567" s="345" t="s">
        <v>208</v>
      </c>
      <c r="P1567" s="345" t="s">
        <v>209</v>
      </c>
      <c r="Q1567" s="345" t="s">
        <v>210</v>
      </c>
      <c r="R1567" s="345" t="s">
        <v>223</v>
      </c>
      <c r="S1567" s="345" t="s">
        <v>224</v>
      </c>
    </row>
    <row r="1568" spans="1:19" x14ac:dyDescent="0.25">
      <c r="A1568" s="311"/>
      <c r="B1568" s="312"/>
      <c r="C1568" s="312"/>
      <c r="D1568" s="312"/>
      <c r="E1568" s="312"/>
      <c r="F1568" s="312"/>
      <c r="G1568" s="328"/>
      <c r="H1568" s="337"/>
      <c r="I1568" s="334"/>
      <c r="J1568" s="314"/>
      <c r="K1568" s="449"/>
      <c r="M1568" s="349" t="str">
        <f>N1568&amp;AS[[#This Row],[Insurer Code]]&amp;"; "&amp;O1568&amp;AS[[#This Row],[Reporting Year]]&amp;"; "&amp;P1568&amp;AS[[#This Row],[Insurance Category Code]]&amp;"; "&amp;Q1568&amp;AS[[#This Row],[Large Provider Entity Code]]&amp;"; "&amp;R1568&amp;AS[[#This Row],[Age Band Code]]&amp;"; "&amp;S1568&amp;AS[[#This Row],[Sex Code]]</f>
        <v xml:space="preserve">Insurer Code ; Reporting Year ; Insurance Category Code ; Large Provider Entity Code ; Age Band Code ; Sex Code </v>
      </c>
      <c r="N1568" s="345" t="s">
        <v>207</v>
      </c>
      <c r="O1568" s="345" t="s">
        <v>208</v>
      </c>
      <c r="P1568" s="345" t="s">
        <v>209</v>
      </c>
      <c r="Q1568" s="345" t="s">
        <v>210</v>
      </c>
      <c r="R1568" s="345" t="s">
        <v>223</v>
      </c>
      <c r="S1568" s="345" t="s">
        <v>224</v>
      </c>
    </row>
    <row r="1569" spans="1:19" x14ac:dyDescent="0.25">
      <c r="A1569" s="311"/>
      <c r="B1569" s="312"/>
      <c r="C1569" s="312"/>
      <c r="D1569" s="312"/>
      <c r="E1569" s="312"/>
      <c r="F1569" s="312"/>
      <c r="G1569" s="328"/>
      <c r="H1569" s="337"/>
      <c r="I1569" s="334"/>
      <c r="J1569" s="314"/>
      <c r="K1569" s="449"/>
      <c r="M1569" s="349" t="str">
        <f>N1569&amp;AS[[#This Row],[Insurer Code]]&amp;"; "&amp;O1569&amp;AS[[#This Row],[Reporting Year]]&amp;"; "&amp;P1569&amp;AS[[#This Row],[Insurance Category Code]]&amp;"; "&amp;Q1569&amp;AS[[#This Row],[Large Provider Entity Code]]&amp;"; "&amp;R1569&amp;AS[[#This Row],[Age Band Code]]&amp;"; "&amp;S1569&amp;AS[[#This Row],[Sex Code]]</f>
        <v xml:space="preserve">Insurer Code ; Reporting Year ; Insurance Category Code ; Large Provider Entity Code ; Age Band Code ; Sex Code </v>
      </c>
      <c r="N1569" s="345" t="s">
        <v>207</v>
      </c>
      <c r="O1569" s="345" t="s">
        <v>208</v>
      </c>
      <c r="P1569" s="345" t="s">
        <v>209</v>
      </c>
      <c r="Q1569" s="345" t="s">
        <v>210</v>
      </c>
      <c r="R1569" s="345" t="s">
        <v>223</v>
      </c>
      <c r="S1569" s="345" t="s">
        <v>224</v>
      </c>
    </row>
    <row r="1570" spans="1:19" x14ac:dyDescent="0.25">
      <c r="A1570" s="311"/>
      <c r="B1570" s="312"/>
      <c r="C1570" s="312"/>
      <c r="D1570" s="312"/>
      <c r="E1570" s="312"/>
      <c r="F1570" s="312"/>
      <c r="G1570" s="328"/>
      <c r="H1570" s="337"/>
      <c r="I1570" s="334"/>
      <c r="J1570" s="314"/>
      <c r="K1570" s="449"/>
      <c r="M1570" s="349" t="str">
        <f>N1570&amp;AS[[#This Row],[Insurer Code]]&amp;"; "&amp;O1570&amp;AS[[#This Row],[Reporting Year]]&amp;"; "&amp;P1570&amp;AS[[#This Row],[Insurance Category Code]]&amp;"; "&amp;Q1570&amp;AS[[#This Row],[Large Provider Entity Code]]&amp;"; "&amp;R1570&amp;AS[[#This Row],[Age Band Code]]&amp;"; "&amp;S1570&amp;AS[[#This Row],[Sex Code]]</f>
        <v xml:space="preserve">Insurer Code ; Reporting Year ; Insurance Category Code ; Large Provider Entity Code ; Age Band Code ; Sex Code </v>
      </c>
      <c r="N1570" s="345" t="s">
        <v>207</v>
      </c>
      <c r="O1570" s="345" t="s">
        <v>208</v>
      </c>
      <c r="P1570" s="345" t="s">
        <v>209</v>
      </c>
      <c r="Q1570" s="345" t="s">
        <v>210</v>
      </c>
      <c r="R1570" s="345" t="s">
        <v>223</v>
      </c>
      <c r="S1570" s="345" t="s">
        <v>224</v>
      </c>
    </row>
    <row r="1571" spans="1:19" x14ac:dyDescent="0.25">
      <c r="A1571" s="311"/>
      <c r="B1571" s="312"/>
      <c r="C1571" s="312"/>
      <c r="D1571" s="312"/>
      <c r="E1571" s="312"/>
      <c r="F1571" s="312"/>
      <c r="G1571" s="328"/>
      <c r="H1571" s="337"/>
      <c r="I1571" s="334"/>
      <c r="J1571" s="314"/>
      <c r="K1571" s="449"/>
      <c r="M1571" s="349" t="str">
        <f>N1571&amp;AS[[#This Row],[Insurer Code]]&amp;"; "&amp;O1571&amp;AS[[#This Row],[Reporting Year]]&amp;"; "&amp;P1571&amp;AS[[#This Row],[Insurance Category Code]]&amp;"; "&amp;Q1571&amp;AS[[#This Row],[Large Provider Entity Code]]&amp;"; "&amp;R1571&amp;AS[[#This Row],[Age Band Code]]&amp;"; "&amp;S1571&amp;AS[[#This Row],[Sex Code]]</f>
        <v xml:space="preserve">Insurer Code ; Reporting Year ; Insurance Category Code ; Large Provider Entity Code ; Age Band Code ; Sex Code </v>
      </c>
      <c r="N1571" s="345" t="s">
        <v>207</v>
      </c>
      <c r="O1571" s="345" t="s">
        <v>208</v>
      </c>
      <c r="P1571" s="345" t="s">
        <v>209</v>
      </c>
      <c r="Q1571" s="345" t="s">
        <v>210</v>
      </c>
      <c r="R1571" s="345" t="s">
        <v>223</v>
      </c>
      <c r="S1571" s="345" t="s">
        <v>224</v>
      </c>
    </row>
    <row r="1572" spans="1:19" x14ac:dyDescent="0.25">
      <c r="A1572" s="311"/>
      <c r="B1572" s="312"/>
      <c r="C1572" s="312"/>
      <c r="D1572" s="312"/>
      <c r="E1572" s="312"/>
      <c r="F1572" s="312"/>
      <c r="G1572" s="328"/>
      <c r="H1572" s="337"/>
      <c r="I1572" s="334"/>
      <c r="J1572" s="314"/>
      <c r="K1572" s="449"/>
      <c r="M1572" s="349" t="str">
        <f>N1572&amp;AS[[#This Row],[Insurer Code]]&amp;"; "&amp;O1572&amp;AS[[#This Row],[Reporting Year]]&amp;"; "&amp;P1572&amp;AS[[#This Row],[Insurance Category Code]]&amp;"; "&amp;Q1572&amp;AS[[#This Row],[Large Provider Entity Code]]&amp;"; "&amp;R1572&amp;AS[[#This Row],[Age Band Code]]&amp;"; "&amp;S1572&amp;AS[[#This Row],[Sex Code]]</f>
        <v xml:space="preserve">Insurer Code ; Reporting Year ; Insurance Category Code ; Large Provider Entity Code ; Age Band Code ; Sex Code </v>
      </c>
      <c r="N1572" s="345" t="s">
        <v>207</v>
      </c>
      <c r="O1572" s="345" t="s">
        <v>208</v>
      </c>
      <c r="P1572" s="345" t="s">
        <v>209</v>
      </c>
      <c r="Q1572" s="345" t="s">
        <v>210</v>
      </c>
      <c r="R1572" s="345" t="s">
        <v>223</v>
      </c>
      <c r="S1572" s="345" t="s">
        <v>224</v>
      </c>
    </row>
    <row r="1573" spans="1:19" x14ac:dyDescent="0.25">
      <c r="A1573" s="311"/>
      <c r="B1573" s="312"/>
      <c r="C1573" s="312"/>
      <c r="D1573" s="312"/>
      <c r="E1573" s="312"/>
      <c r="F1573" s="312"/>
      <c r="G1573" s="328"/>
      <c r="H1573" s="337"/>
      <c r="I1573" s="334"/>
      <c r="J1573" s="314"/>
      <c r="K1573" s="449"/>
      <c r="M1573" s="349" t="str">
        <f>N1573&amp;AS[[#This Row],[Insurer Code]]&amp;"; "&amp;O1573&amp;AS[[#This Row],[Reporting Year]]&amp;"; "&amp;P1573&amp;AS[[#This Row],[Insurance Category Code]]&amp;"; "&amp;Q1573&amp;AS[[#This Row],[Large Provider Entity Code]]&amp;"; "&amp;R1573&amp;AS[[#This Row],[Age Band Code]]&amp;"; "&amp;S1573&amp;AS[[#This Row],[Sex Code]]</f>
        <v xml:space="preserve">Insurer Code ; Reporting Year ; Insurance Category Code ; Large Provider Entity Code ; Age Band Code ; Sex Code </v>
      </c>
      <c r="N1573" s="345" t="s">
        <v>207</v>
      </c>
      <c r="O1573" s="345" t="s">
        <v>208</v>
      </c>
      <c r="P1573" s="345" t="s">
        <v>209</v>
      </c>
      <c r="Q1573" s="345" t="s">
        <v>210</v>
      </c>
      <c r="R1573" s="345" t="s">
        <v>223</v>
      </c>
      <c r="S1573" s="345" t="s">
        <v>224</v>
      </c>
    </row>
    <row r="1574" spans="1:19" x14ac:dyDescent="0.25">
      <c r="A1574" s="311"/>
      <c r="B1574" s="312"/>
      <c r="C1574" s="312"/>
      <c r="D1574" s="312"/>
      <c r="E1574" s="333"/>
      <c r="F1574" s="333"/>
      <c r="G1574" s="313"/>
      <c r="H1574" s="314"/>
      <c r="I1574" s="334"/>
      <c r="J1574" s="314"/>
      <c r="K1574" s="449"/>
      <c r="M1574" s="349" t="str">
        <f>N1574&amp;AS[[#This Row],[Insurer Code]]&amp;"; "&amp;O1574&amp;AS[[#This Row],[Reporting Year]]&amp;"; "&amp;P1574&amp;AS[[#This Row],[Insurance Category Code]]&amp;"; "&amp;Q1574&amp;AS[[#This Row],[Large Provider Entity Code]]&amp;"; "&amp;R1574&amp;AS[[#This Row],[Age Band Code]]&amp;"; "&amp;S1574&amp;AS[[#This Row],[Sex Code]]</f>
        <v xml:space="preserve">Insurer Code ; Reporting Year ; Insurance Category Code ; Large Provider Entity Code ; Age Band Code ; Sex Code </v>
      </c>
      <c r="N1574" s="345" t="s">
        <v>207</v>
      </c>
      <c r="O1574" s="345" t="s">
        <v>208</v>
      </c>
      <c r="P1574" s="345" t="s">
        <v>209</v>
      </c>
      <c r="Q1574" s="345" t="s">
        <v>210</v>
      </c>
      <c r="R1574" s="345" t="s">
        <v>223</v>
      </c>
      <c r="S1574" s="345" t="s">
        <v>224</v>
      </c>
    </row>
    <row r="1575" spans="1:19" x14ac:dyDescent="0.25">
      <c r="A1575" s="311"/>
      <c r="B1575" s="312"/>
      <c r="C1575" s="312"/>
      <c r="D1575" s="312"/>
      <c r="E1575" s="333"/>
      <c r="F1575" s="333"/>
      <c r="G1575" s="313"/>
      <c r="H1575" s="314"/>
      <c r="I1575" s="334"/>
      <c r="J1575" s="314"/>
      <c r="K1575" s="449"/>
      <c r="M1575" s="349" t="str">
        <f>N1575&amp;AS[[#This Row],[Insurer Code]]&amp;"; "&amp;O1575&amp;AS[[#This Row],[Reporting Year]]&amp;"; "&amp;P1575&amp;AS[[#This Row],[Insurance Category Code]]&amp;"; "&amp;Q1575&amp;AS[[#This Row],[Large Provider Entity Code]]&amp;"; "&amp;R1575&amp;AS[[#This Row],[Age Band Code]]&amp;"; "&amp;S1575&amp;AS[[#This Row],[Sex Code]]</f>
        <v xml:space="preserve">Insurer Code ; Reporting Year ; Insurance Category Code ; Large Provider Entity Code ; Age Band Code ; Sex Code </v>
      </c>
      <c r="N1575" s="345" t="s">
        <v>207</v>
      </c>
      <c r="O1575" s="345" t="s">
        <v>208</v>
      </c>
      <c r="P1575" s="345" t="s">
        <v>209</v>
      </c>
      <c r="Q1575" s="345" t="s">
        <v>210</v>
      </c>
      <c r="R1575" s="345" t="s">
        <v>223</v>
      </c>
      <c r="S1575" s="345" t="s">
        <v>224</v>
      </c>
    </row>
    <row r="1576" spans="1:19" x14ac:dyDescent="0.25">
      <c r="A1576" s="311"/>
      <c r="B1576" s="312"/>
      <c r="C1576" s="312"/>
      <c r="D1576" s="312"/>
      <c r="E1576" s="333"/>
      <c r="F1576" s="333"/>
      <c r="G1576" s="313"/>
      <c r="H1576" s="314"/>
      <c r="I1576" s="334"/>
      <c r="J1576" s="314"/>
      <c r="K1576" s="449"/>
      <c r="M1576" s="349" t="str">
        <f>N1576&amp;AS[[#This Row],[Insurer Code]]&amp;"; "&amp;O1576&amp;AS[[#This Row],[Reporting Year]]&amp;"; "&amp;P1576&amp;AS[[#This Row],[Insurance Category Code]]&amp;"; "&amp;Q1576&amp;AS[[#This Row],[Large Provider Entity Code]]&amp;"; "&amp;R1576&amp;AS[[#This Row],[Age Band Code]]&amp;"; "&amp;S1576&amp;AS[[#This Row],[Sex Code]]</f>
        <v xml:space="preserve">Insurer Code ; Reporting Year ; Insurance Category Code ; Large Provider Entity Code ; Age Band Code ; Sex Code </v>
      </c>
      <c r="N1576" s="345" t="s">
        <v>207</v>
      </c>
      <c r="O1576" s="345" t="s">
        <v>208</v>
      </c>
      <c r="P1576" s="345" t="s">
        <v>209</v>
      </c>
      <c r="Q1576" s="345" t="s">
        <v>210</v>
      </c>
      <c r="R1576" s="345" t="s">
        <v>223</v>
      </c>
      <c r="S1576" s="345" t="s">
        <v>224</v>
      </c>
    </row>
    <row r="1577" spans="1:19" x14ac:dyDescent="0.25">
      <c r="A1577" s="311"/>
      <c r="B1577" s="312"/>
      <c r="C1577" s="312"/>
      <c r="D1577" s="312"/>
      <c r="E1577" s="333"/>
      <c r="F1577" s="333"/>
      <c r="G1577" s="313"/>
      <c r="H1577" s="314"/>
      <c r="I1577" s="334"/>
      <c r="J1577" s="314"/>
      <c r="K1577" s="449"/>
      <c r="M1577" s="349" t="str">
        <f>N1577&amp;AS[[#This Row],[Insurer Code]]&amp;"; "&amp;O1577&amp;AS[[#This Row],[Reporting Year]]&amp;"; "&amp;P1577&amp;AS[[#This Row],[Insurance Category Code]]&amp;"; "&amp;Q1577&amp;AS[[#This Row],[Large Provider Entity Code]]&amp;"; "&amp;R1577&amp;AS[[#This Row],[Age Band Code]]&amp;"; "&amp;S1577&amp;AS[[#This Row],[Sex Code]]</f>
        <v xml:space="preserve">Insurer Code ; Reporting Year ; Insurance Category Code ; Large Provider Entity Code ; Age Band Code ; Sex Code </v>
      </c>
      <c r="N1577" s="345" t="s">
        <v>207</v>
      </c>
      <c r="O1577" s="345" t="s">
        <v>208</v>
      </c>
      <c r="P1577" s="345" t="s">
        <v>209</v>
      </c>
      <c r="Q1577" s="345" t="s">
        <v>210</v>
      </c>
      <c r="R1577" s="345" t="s">
        <v>223</v>
      </c>
      <c r="S1577" s="345" t="s">
        <v>224</v>
      </c>
    </row>
    <row r="1578" spans="1:19" x14ac:dyDescent="0.25">
      <c r="A1578" s="311"/>
      <c r="B1578" s="312"/>
      <c r="C1578" s="312"/>
      <c r="D1578" s="312"/>
      <c r="E1578" s="333"/>
      <c r="F1578" s="333"/>
      <c r="G1578" s="313"/>
      <c r="H1578" s="314"/>
      <c r="I1578" s="334"/>
      <c r="J1578" s="314"/>
      <c r="K1578" s="449"/>
      <c r="M1578" s="349" t="str">
        <f>N1578&amp;AS[[#This Row],[Insurer Code]]&amp;"; "&amp;O1578&amp;AS[[#This Row],[Reporting Year]]&amp;"; "&amp;P1578&amp;AS[[#This Row],[Insurance Category Code]]&amp;"; "&amp;Q1578&amp;AS[[#This Row],[Large Provider Entity Code]]&amp;"; "&amp;R1578&amp;AS[[#This Row],[Age Band Code]]&amp;"; "&amp;S1578&amp;AS[[#This Row],[Sex Code]]</f>
        <v xml:space="preserve">Insurer Code ; Reporting Year ; Insurance Category Code ; Large Provider Entity Code ; Age Band Code ; Sex Code </v>
      </c>
      <c r="N1578" s="345" t="s">
        <v>207</v>
      </c>
      <c r="O1578" s="345" t="s">
        <v>208</v>
      </c>
      <c r="P1578" s="345" t="s">
        <v>209</v>
      </c>
      <c r="Q1578" s="345" t="s">
        <v>210</v>
      </c>
      <c r="R1578" s="345" t="s">
        <v>223</v>
      </c>
      <c r="S1578" s="345" t="s">
        <v>224</v>
      </c>
    </row>
    <row r="1579" spans="1:19" x14ac:dyDescent="0.25">
      <c r="A1579" s="311"/>
      <c r="B1579" s="312"/>
      <c r="C1579" s="312"/>
      <c r="D1579" s="312"/>
      <c r="E1579" s="333"/>
      <c r="F1579" s="333"/>
      <c r="G1579" s="313"/>
      <c r="H1579" s="314"/>
      <c r="I1579" s="334"/>
      <c r="J1579" s="314"/>
      <c r="K1579" s="449"/>
      <c r="M1579" s="349" t="str">
        <f>N1579&amp;AS[[#This Row],[Insurer Code]]&amp;"; "&amp;O1579&amp;AS[[#This Row],[Reporting Year]]&amp;"; "&amp;P1579&amp;AS[[#This Row],[Insurance Category Code]]&amp;"; "&amp;Q1579&amp;AS[[#This Row],[Large Provider Entity Code]]&amp;"; "&amp;R1579&amp;AS[[#This Row],[Age Band Code]]&amp;"; "&amp;S1579&amp;AS[[#This Row],[Sex Code]]</f>
        <v xml:space="preserve">Insurer Code ; Reporting Year ; Insurance Category Code ; Large Provider Entity Code ; Age Band Code ; Sex Code </v>
      </c>
      <c r="N1579" s="345" t="s">
        <v>207</v>
      </c>
      <c r="O1579" s="345" t="s">
        <v>208</v>
      </c>
      <c r="P1579" s="345" t="s">
        <v>209</v>
      </c>
      <c r="Q1579" s="345" t="s">
        <v>210</v>
      </c>
      <c r="R1579" s="345" t="s">
        <v>223</v>
      </c>
      <c r="S1579" s="345" t="s">
        <v>224</v>
      </c>
    </row>
    <row r="1580" spans="1:19" x14ac:dyDescent="0.25">
      <c r="A1580" s="311"/>
      <c r="B1580" s="312"/>
      <c r="C1580" s="312"/>
      <c r="D1580" s="312"/>
      <c r="E1580" s="333"/>
      <c r="F1580" s="333"/>
      <c r="G1580" s="313"/>
      <c r="H1580" s="314"/>
      <c r="I1580" s="334"/>
      <c r="J1580" s="314"/>
      <c r="K1580" s="449"/>
      <c r="M1580" s="349" t="str">
        <f>N1580&amp;AS[[#This Row],[Insurer Code]]&amp;"; "&amp;O1580&amp;AS[[#This Row],[Reporting Year]]&amp;"; "&amp;P1580&amp;AS[[#This Row],[Insurance Category Code]]&amp;"; "&amp;Q1580&amp;AS[[#This Row],[Large Provider Entity Code]]&amp;"; "&amp;R1580&amp;AS[[#This Row],[Age Band Code]]&amp;"; "&amp;S1580&amp;AS[[#This Row],[Sex Code]]</f>
        <v xml:space="preserve">Insurer Code ; Reporting Year ; Insurance Category Code ; Large Provider Entity Code ; Age Band Code ; Sex Code </v>
      </c>
      <c r="N1580" s="345" t="s">
        <v>207</v>
      </c>
      <c r="O1580" s="345" t="s">
        <v>208</v>
      </c>
      <c r="P1580" s="345" t="s">
        <v>209</v>
      </c>
      <c r="Q1580" s="345" t="s">
        <v>210</v>
      </c>
      <c r="R1580" s="345" t="s">
        <v>223</v>
      </c>
      <c r="S1580" s="345" t="s">
        <v>224</v>
      </c>
    </row>
    <row r="1581" spans="1:19" x14ac:dyDescent="0.25">
      <c r="A1581" s="311"/>
      <c r="B1581" s="312"/>
      <c r="C1581" s="312"/>
      <c r="D1581" s="312"/>
      <c r="E1581" s="333"/>
      <c r="F1581" s="333"/>
      <c r="G1581" s="313"/>
      <c r="H1581" s="314"/>
      <c r="I1581" s="334"/>
      <c r="J1581" s="314"/>
      <c r="K1581" s="449"/>
      <c r="M1581" s="349" t="str">
        <f>N1581&amp;AS[[#This Row],[Insurer Code]]&amp;"; "&amp;O1581&amp;AS[[#This Row],[Reporting Year]]&amp;"; "&amp;P1581&amp;AS[[#This Row],[Insurance Category Code]]&amp;"; "&amp;Q1581&amp;AS[[#This Row],[Large Provider Entity Code]]&amp;"; "&amp;R1581&amp;AS[[#This Row],[Age Band Code]]&amp;"; "&amp;S1581&amp;AS[[#This Row],[Sex Code]]</f>
        <v xml:space="preserve">Insurer Code ; Reporting Year ; Insurance Category Code ; Large Provider Entity Code ; Age Band Code ; Sex Code </v>
      </c>
      <c r="N1581" s="345" t="s">
        <v>207</v>
      </c>
      <c r="O1581" s="345" t="s">
        <v>208</v>
      </c>
      <c r="P1581" s="345" t="s">
        <v>209</v>
      </c>
      <c r="Q1581" s="345" t="s">
        <v>210</v>
      </c>
      <c r="R1581" s="345" t="s">
        <v>223</v>
      </c>
      <c r="S1581" s="345" t="s">
        <v>224</v>
      </c>
    </row>
    <row r="1582" spans="1:19" x14ac:dyDescent="0.25">
      <c r="A1582" s="311"/>
      <c r="B1582" s="312"/>
      <c r="C1582" s="312"/>
      <c r="D1582" s="312"/>
      <c r="E1582" s="333"/>
      <c r="F1582" s="333"/>
      <c r="G1582" s="313"/>
      <c r="H1582" s="314"/>
      <c r="I1582" s="334"/>
      <c r="J1582" s="314"/>
      <c r="K1582" s="449"/>
      <c r="M1582" s="349" t="str">
        <f>N1582&amp;AS[[#This Row],[Insurer Code]]&amp;"; "&amp;O1582&amp;AS[[#This Row],[Reporting Year]]&amp;"; "&amp;P1582&amp;AS[[#This Row],[Insurance Category Code]]&amp;"; "&amp;Q1582&amp;AS[[#This Row],[Large Provider Entity Code]]&amp;"; "&amp;R1582&amp;AS[[#This Row],[Age Band Code]]&amp;"; "&amp;S1582&amp;AS[[#This Row],[Sex Code]]</f>
        <v xml:space="preserve">Insurer Code ; Reporting Year ; Insurance Category Code ; Large Provider Entity Code ; Age Band Code ; Sex Code </v>
      </c>
      <c r="N1582" s="345" t="s">
        <v>207</v>
      </c>
      <c r="O1582" s="345" t="s">
        <v>208</v>
      </c>
      <c r="P1582" s="345" t="s">
        <v>209</v>
      </c>
      <c r="Q1582" s="345" t="s">
        <v>210</v>
      </c>
      <c r="R1582" s="345" t="s">
        <v>223</v>
      </c>
      <c r="S1582" s="345" t="s">
        <v>224</v>
      </c>
    </row>
    <row r="1583" spans="1:19" x14ac:dyDescent="0.25">
      <c r="A1583" s="311"/>
      <c r="B1583" s="312"/>
      <c r="C1583" s="312"/>
      <c r="D1583" s="312"/>
      <c r="E1583" s="333"/>
      <c r="F1583" s="333"/>
      <c r="G1583" s="313"/>
      <c r="H1583" s="314"/>
      <c r="I1583" s="334"/>
      <c r="J1583" s="314"/>
      <c r="K1583" s="449"/>
      <c r="M1583" s="349" t="str">
        <f>N1583&amp;AS[[#This Row],[Insurer Code]]&amp;"; "&amp;O1583&amp;AS[[#This Row],[Reporting Year]]&amp;"; "&amp;P1583&amp;AS[[#This Row],[Insurance Category Code]]&amp;"; "&amp;Q1583&amp;AS[[#This Row],[Large Provider Entity Code]]&amp;"; "&amp;R1583&amp;AS[[#This Row],[Age Band Code]]&amp;"; "&amp;S1583&amp;AS[[#This Row],[Sex Code]]</f>
        <v xml:space="preserve">Insurer Code ; Reporting Year ; Insurance Category Code ; Large Provider Entity Code ; Age Band Code ; Sex Code </v>
      </c>
      <c r="N1583" s="345" t="s">
        <v>207</v>
      </c>
      <c r="O1583" s="345" t="s">
        <v>208</v>
      </c>
      <c r="P1583" s="345" t="s">
        <v>209</v>
      </c>
      <c r="Q1583" s="345" t="s">
        <v>210</v>
      </c>
      <c r="R1583" s="345" t="s">
        <v>223</v>
      </c>
      <c r="S1583" s="345" t="s">
        <v>224</v>
      </c>
    </row>
    <row r="1584" spans="1:19" x14ac:dyDescent="0.25">
      <c r="A1584" s="311"/>
      <c r="B1584" s="312"/>
      <c r="C1584" s="312"/>
      <c r="D1584" s="312"/>
      <c r="E1584" s="312"/>
      <c r="F1584" s="312"/>
      <c r="G1584" s="328"/>
      <c r="H1584" s="337"/>
      <c r="I1584" s="334"/>
      <c r="J1584" s="314"/>
      <c r="K1584" s="449"/>
      <c r="M1584" s="349" t="str">
        <f>N1584&amp;AS[[#This Row],[Insurer Code]]&amp;"; "&amp;O1584&amp;AS[[#This Row],[Reporting Year]]&amp;"; "&amp;P1584&amp;AS[[#This Row],[Insurance Category Code]]&amp;"; "&amp;Q1584&amp;AS[[#This Row],[Large Provider Entity Code]]&amp;"; "&amp;R1584&amp;AS[[#This Row],[Age Band Code]]&amp;"; "&amp;S1584&amp;AS[[#This Row],[Sex Code]]</f>
        <v xml:space="preserve">Insurer Code ; Reporting Year ; Insurance Category Code ; Large Provider Entity Code ; Age Band Code ; Sex Code </v>
      </c>
      <c r="N1584" s="345" t="s">
        <v>207</v>
      </c>
      <c r="O1584" s="345" t="s">
        <v>208</v>
      </c>
      <c r="P1584" s="345" t="s">
        <v>209</v>
      </c>
      <c r="Q1584" s="345" t="s">
        <v>210</v>
      </c>
      <c r="R1584" s="345" t="s">
        <v>223</v>
      </c>
      <c r="S1584" s="345" t="s">
        <v>224</v>
      </c>
    </row>
    <row r="1585" spans="1:19" x14ac:dyDescent="0.25">
      <c r="A1585" s="311"/>
      <c r="B1585" s="312"/>
      <c r="C1585" s="312"/>
      <c r="D1585" s="312"/>
      <c r="E1585" s="312"/>
      <c r="F1585" s="312"/>
      <c r="G1585" s="328"/>
      <c r="H1585" s="337"/>
      <c r="I1585" s="334"/>
      <c r="J1585" s="314"/>
      <c r="K1585" s="449"/>
      <c r="M1585" s="349" t="str">
        <f>N1585&amp;AS[[#This Row],[Insurer Code]]&amp;"; "&amp;O1585&amp;AS[[#This Row],[Reporting Year]]&amp;"; "&amp;P1585&amp;AS[[#This Row],[Insurance Category Code]]&amp;"; "&amp;Q1585&amp;AS[[#This Row],[Large Provider Entity Code]]&amp;"; "&amp;R1585&amp;AS[[#This Row],[Age Band Code]]&amp;"; "&amp;S1585&amp;AS[[#This Row],[Sex Code]]</f>
        <v xml:space="preserve">Insurer Code ; Reporting Year ; Insurance Category Code ; Large Provider Entity Code ; Age Band Code ; Sex Code </v>
      </c>
      <c r="N1585" s="345" t="s">
        <v>207</v>
      </c>
      <c r="O1585" s="345" t="s">
        <v>208</v>
      </c>
      <c r="P1585" s="345" t="s">
        <v>209</v>
      </c>
      <c r="Q1585" s="345" t="s">
        <v>210</v>
      </c>
      <c r="R1585" s="345" t="s">
        <v>223</v>
      </c>
      <c r="S1585" s="345" t="s">
        <v>224</v>
      </c>
    </row>
    <row r="1586" spans="1:19" x14ac:dyDescent="0.25">
      <c r="A1586" s="311"/>
      <c r="B1586" s="312"/>
      <c r="C1586" s="312"/>
      <c r="D1586" s="312"/>
      <c r="E1586" s="312"/>
      <c r="F1586" s="312"/>
      <c r="G1586" s="328"/>
      <c r="H1586" s="337"/>
      <c r="I1586" s="334"/>
      <c r="J1586" s="314"/>
      <c r="K1586" s="449"/>
      <c r="M1586" s="349" t="str">
        <f>N1586&amp;AS[[#This Row],[Insurer Code]]&amp;"; "&amp;O1586&amp;AS[[#This Row],[Reporting Year]]&amp;"; "&amp;P1586&amp;AS[[#This Row],[Insurance Category Code]]&amp;"; "&amp;Q1586&amp;AS[[#This Row],[Large Provider Entity Code]]&amp;"; "&amp;R1586&amp;AS[[#This Row],[Age Band Code]]&amp;"; "&amp;S1586&amp;AS[[#This Row],[Sex Code]]</f>
        <v xml:space="preserve">Insurer Code ; Reporting Year ; Insurance Category Code ; Large Provider Entity Code ; Age Band Code ; Sex Code </v>
      </c>
      <c r="N1586" s="345" t="s">
        <v>207</v>
      </c>
      <c r="O1586" s="345" t="s">
        <v>208</v>
      </c>
      <c r="P1586" s="345" t="s">
        <v>209</v>
      </c>
      <c r="Q1586" s="345" t="s">
        <v>210</v>
      </c>
      <c r="R1586" s="345" t="s">
        <v>223</v>
      </c>
      <c r="S1586" s="345" t="s">
        <v>224</v>
      </c>
    </row>
    <row r="1587" spans="1:19" x14ac:dyDescent="0.25">
      <c r="A1587" s="311"/>
      <c r="B1587" s="312"/>
      <c r="C1587" s="312"/>
      <c r="D1587" s="312"/>
      <c r="E1587" s="312"/>
      <c r="F1587" s="312"/>
      <c r="G1587" s="328"/>
      <c r="H1587" s="337"/>
      <c r="I1587" s="334"/>
      <c r="J1587" s="314"/>
      <c r="K1587" s="449"/>
      <c r="M1587" s="349" t="str">
        <f>N1587&amp;AS[[#This Row],[Insurer Code]]&amp;"; "&amp;O1587&amp;AS[[#This Row],[Reporting Year]]&amp;"; "&amp;P1587&amp;AS[[#This Row],[Insurance Category Code]]&amp;"; "&amp;Q1587&amp;AS[[#This Row],[Large Provider Entity Code]]&amp;"; "&amp;R1587&amp;AS[[#This Row],[Age Band Code]]&amp;"; "&amp;S1587&amp;AS[[#This Row],[Sex Code]]</f>
        <v xml:space="preserve">Insurer Code ; Reporting Year ; Insurance Category Code ; Large Provider Entity Code ; Age Band Code ; Sex Code </v>
      </c>
      <c r="N1587" s="345" t="s">
        <v>207</v>
      </c>
      <c r="O1587" s="345" t="s">
        <v>208</v>
      </c>
      <c r="P1587" s="345" t="s">
        <v>209</v>
      </c>
      <c r="Q1587" s="345" t="s">
        <v>210</v>
      </c>
      <c r="R1587" s="345" t="s">
        <v>223</v>
      </c>
      <c r="S1587" s="345" t="s">
        <v>224</v>
      </c>
    </row>
    <row r="1588" spans="1:19" x14ac:dyDescent="0.25">
      <c r="A1588" s="311"/>
      <c r="B1588" s="312"/>
      <c r="C1588" s="312"/>
      <c r="D1588" s="312"/>
      <c r="E1588" s="312"/>
      <c r="F1588" s="312"/>
      <c r="G1588" s="328"/>
      <c r="H1588" s="337"/>
      <c r="I1588" s="334"/>
      <c r="J1588" s="314"/>
      <c r="K1588" s="449"/>
      <c r="M1588" s="349" t="str">
        <f>N1588&amp;AS[[#This Row],[Insurer Code]]&amp;"; "&amp;O1588&amp;AS[[#This Row],[Reporting Year]]&amp;"; "&amp;P1588&amp;AS[[#This Row],[Insurance Category Code]]&amp;"; "&amp;Q1588&amp;AS[[#This Row],[Large Provider Entity Code]]&amp;"; "&amp;R1588&amp;AS[[#This Row],[Age Band Code]]&amp;"; "&amp;S1588&amp;AS[[#This Row],[Sex Code]]</f>
        <v xml:space="preserve">Insurer Code ; Reporting Year ; Insurance Category Code ; Large Provider Entity Code ; Age Band Code ; Sex Code </v>
      </c>
      <c r="N1588" s="345" t="s">
        <v>207</v>
      </c>
      <c r="O1588" s="345" t="s">
        <v>208</v>
      </c>
      <c r="P1588" s="345" t="s">
        <v>209</v>
      </c>
      <c r="Q1588" s="345" t="s">
        <v>210</v>
      </c>
      <c r="R1588" s="345" t="s">
        <v>223</v>
      </c>
      <c r="S1588" s="345" t="s">
        <v>224</v>
      </c>
    </row>
    <row r="1589" spans="1:19" x14ac:dyDescent="0.25">
      <c r="A1589" s="311"/>
      <c r="B1589" s="312"/>
      <c r="C1589" s="312"/>
      <c r="D1589" s="312"/>
      <c r="E1589" s="312"/>
      <c r="F1589" s="312"/>
      <c r="G1589" s="328"/>
      <c r="H1589" s="337"/>
      <c r="I1589" s="334"/>
      <c r="J1589" s="314"/>
      <c r="K1589" s="449"/>
      <c r="M1589" s="349" t="str">
        <f>N1589&amp;AS[[#This Row],[Insurer Code]]&amp;"; "&amp;O1589&amp;AS[[#This Row],[Reporting Year]]&amp;"; "&amp;P1589&amp;AS[[#This Row],[Insurance Category Code]]&amp;"; "&amp;Q1589&amp;AS[[#This Row],[Large Provider Entity Code]]&amp;"; "&amp;R1589&amp;AS[[#This Row],[Age Band Code]]&amp;"; "&amp;S1589&amp;AS[[#This Row],[Sex Code]]</f>
        <v xml:space="preserve">Insurer Code ; Reporting Year ; Insurance Category Code ; Large Provider Entity Code ; Age Band Code ; Sex Code </v>
      </c>
      <c r="N1589" s="345" t="s">
        <v>207</v>
      </c>
      <c r="O1589" s="345" t="s">
        <v>208</v>
      </c>
      <c r="P1589" s="345" t="s">
        <v>209</v>
      </c>
      <c r="Q1589" s="345" t="s">
        <v>210</v>
      </c>
      <c r="R1589" s="345" t="s">
        <v>223</v>
      </c>
      <c r="S1589" s="345" t="s">
        <v>224</v>
      </c>
    </row>
    <row r="1590" spans="1:19" x14ac:dyDescent="0.25">
      <c r="A1590" s="311"/>
      <c r="B1590" s="312"/>
      <c r="C1590" s="312"/>
      <c r="D1590" s="312"/>
      <c r="E1590" s="312"/>
      <c r="F1590" s="312"/>
      <c r="G1590" s="328"/>
      <c r="H1590" s="337"/>
      <c r="I1590" s="334"/>
      <c r="J1590" s="314"/>
      <c r="K1590" s="449"/>
      <c r="M1590" s="349" t="str">
        <f>N1590&amp;AS[[#This Row],[Insurer Code]]&amp;"; "&amp;O1590&amp;AS[[#This Row],[Reporting Year]]&amp;"; "&amp;P1590&amp;AS[[#This Row],[Insurance Category Code]]&amp;"; "&amp;Q1590&amp;AS[[#This Row],[Large Provider Entity Code]]&amp;"; "&amp;R1590&amp;AS[[#This Row],[Age Band Code]]&amp;"; "&amp;S1590&amp;AS[[#This Row],[Sex Code]]</f>
        <v xml:space="preserve">Insurer Code ; Reporting Year ; Insurance Category Code ; Large Provider Entity Code ; Age Band Code ; Sex Code </v>
      </c>
      <c r="N1590" s="345" t="s">
        <v>207</v>
      </c>
      <c r="O1590" s="345" t="s">
        <v>208</v>
      </c>
      <c r="P1590" s="345" t="s">
        <v>209</v>
      </c>
      <c r="Q1590" s="345" t="s">
        <v>210</v>
      </c>
      <c r="R1590" s="345" t="s">
        <v>223</v>
      </c>
      <c r="S1590" s="345" t="s">
        <v>224</v>
      </c>
    </row>
    <row r="1591" spans="1:19" x14ac:dyDescent="0.25">
      <c r="A1591" s="311"/>
      <c r="B1591" s="312"/>
      <c r="C1591" s="312"/>
      <c r="D1591" s="312"/>
      <c r="E1591" s="312"/>
      <c r="F1591" s="312"/>
      <c r="G1591" s="328"/>
      <c r="H1591" s="337"/>
      <c r="I1591" s="334"/>
      <c r="J1591" s="314"/>
      <c r="K1591" s="449"/>
      <c r="M1591" s="349" t="str">
        <f>N1591&amp;AS[[#This Row],[Insurer Code]]&amp;"; "&amp;O1591&amp;AS[[#This Row],[Reporting Year]]&amp;"; "&amp;P1591&amp;AS[[#This Row],[Insurance Category Code]]&amp;"; "&amp;Q1591&amp;AS[[#This Row],[Large Provider Entity Code]]&amp;"; "&amp;R1591&amp;AS[[#This Row],[Age Band Code]]&amp;"; "&amp;S1591&amp;AS[[#This Row],[Sex Code]]</f>
        <v xml:space="preserve">Insurer Code ; Reporting Year ; Insurance Category Code ; Large Provider Entity Code ; Age Band Code ; Sex Code </v>
      </c>
      <c r="N1591" s="345" t="s">
        <v>207</v>
      </c>
      <c r="O1591" s="345" t="s">
        <v>208</v>
      </c>
      <c r="P1591" s="345" t="s">
        <v>209</v>
      </c>
      <c r="Q1591" s="345" t="s">
        <v>210</v>
      </c>
      <c r="R1591" s="345" t="s">
        <v>223</v>
      </c>
      <c r="S1591" s="345" t="s">
        <v>224</v>
      </c>
    </row>
    <row r="1592" spans="1:19" x14ac:dyDescent="0.25">
      <c r="A1592" s="311"/>
      <c r="B1592" s="312"/>
      <c r="C1592" s="312"/>
      <c r="D1592" s="312"/>
      <c r="E1592" s="312"/>
      <c r="F1592" s="312"/>
      <c r="G1592" s="328"/>
      <c r="H1592" s="337"/>
      <c r="I1592" s="334"/>
      <c r="J1592" s="314"/>
      <c r="K1592" s="449"/>
      <c r="M1592" s="349" t="str">
        <f>N1592&amp;AS[[#This Row],[Insurer Code]]&amp;"; "&amp;O1592&amp;AS[[#This Row],[Reporting Year]]&amp;"; "&amp;P1592&amp;AS[[#This Row],[Insurance Category Code]]&amp;"; "&amp;Q1592&amp;AS[[#This Row],[Large Provider Entity Code]]&amp;"; "&amp;R1592&amp;AS[[#This Row],[Age Band Code]]&amp;"; "&amp;S1592&amp;AS[[#This Row],[Sex Code]]</f>
        <v xml:space="preserve">Insurer Code ; Reporting Year ; Insurance Category Code ; Large Provider Entity Code ; Age Band Code ; Sex Code </v>
      </c>
      <c r="N1592" s="345" t="s">
        <v>207</v>
      </c>
      <c r="O1592" s="345" t="s">
        <v>208</v>
      </c>
      <c r="P1592" s="345" t="s">
        <v>209</v>
      </c>
      <c r="Q1592" s="345" t="s">
        <v>210</v>
      </c>
      <c r="R1592" s="345" t="s">
        <v>223</v>
      </c>
      <c r="S1592" s="345" t="s">
        <v>224</v>
      </c>
    </row>
    <row r="1593" spans="1:19" x14ac:dyDescent="0.25">
      <c r="A1593" s="311"/>
      <c r="B1593" s="312"/>
      <c r="C1593" s="312"/>
      <c r="D1593" s="312"/>
      <c r="E1593" s="312"/>
      <c r="F1593" s="312"/>
      <c r="G1593" s="328"/>
      <c r="H1593" s="337"/>
      <c r="I1593" s="334"/>
      <c r="J1593" s="314"/>
      <c r="K1593" s="449"/>
      <c r="M1593" s="349" t="str">
        <f>N1593&amp;AS[[#This Row],[Insurer Code]]&amp;"; "&amp;O1593&amp;AS[[#This Row],[Reporting Year]]&amp;"; "&amp;P1593&amp;AS[[#This Row],[Insurance Category Code]]&amp;"; "&amp;Q1593&amp;AS[[#This Row],[Large Provider Entity Code]]&amp;"; "&amp;R1593&amp;AS[[#This Row],[Age Band Code]]&amp;"; "&amp;S1593&amp;AS[[#This Row],[Sex Code]]</f>
        <v xml:space="preserve">Insurer Code ; Reporting Year ; Insurance Category Code ; Large Provider Entity Code ; Age Band Code ; Sex Code </v>
      </c>
      <c r="N1593" s="345" t="s">
        <v>207</v>
      </c>
      <c r="O1593" s="345" t="s">
        <v>208</v>
      </c>
      <c r="P1593" s="345" t="s">
        <v>209</v>
      </c>
      <c r="Q1593" s="345" t="s">
        <v>210</v>
      </c>
      <c r="R1593" s="345" t="s">
        <v>223</v>
      </c>
      <c r="S1593" s="345" t="s">
        <v>224</v>
      </c>
    </row>
    <row r="1594" spans="1:19" x14ac:dyDescent="0.25">
      <c r="A1594" s="311"/>
      <c r="B1594" s="312"/>
      <c r="C1594" s="312"/>
      <c r="D1594" s="312"/>
      <c r="E1594" s="312"/>
      <c r="F1594" s="312"/>
      <c r="G1594" s="328"/>
      <c r="H1594" s="337"/>
      <c r="I1594" s="334"/>
      <c r="J1594" s="314"/>
      <c r="K1594" s="449"/>
      <c r="M1594" s="349" t="str">
        <f>N1594&amp;AS[[#This Row],[Insurer Code]]&amp;"; "&amp;O1594&amp;AS[[#This Row],[Reporting Year]]&amp;"; "&amp;P1594&amp;AS[[#This Row],[Insurance Category Code]]&amp;"; "&amp;Q1594&amp;AS[[#This Row],[Large Provider Entity Code]]&amp;"; "&amp;R1594&amp;AS[[#This Row],[Age Band Code]]&amp;"; "&amp;S1594&amp;AS[[#This Row],[Sex Code]]</f>
        <v xml:space="preserve">Insurer Code ; Reporting Year ; Insurance Category Code ; Large Provider Entity Code ; Age Band Code ; Sex Code </v>
      </c>
      <c r="N1594" s="345" t="s">
        <v>207</v>
      </c>
      <c r="O1594" s="345" t="s">
        <v>208</v>
      </c>
      <c r="P1594" s="345" t="s">
        <v>209</v>
      </c>
      <c r="Q1594" s="345" t="s">
        <v>210</v>
      </c>
      <c r="R1594" s="345" t="s">
        <v>223</v>
      </c>
      <c r="S1594" s="345" t="s">
        <v>224</v>
      </c>
    </row>
    <row r="1595" spans="1:19" x14ac:dyDescent="0.25">
      <c r="A1595" s="311"/>
      <c r="B1595" s="312"/>
      <c r="C1595" s="312"/>
      <c r="D1595" s="312"/>
      <c r="E1595" s="312"/>
      <c r="F1595" s="312"/>
      <c r="G1595" s="328"/>
      <c r="H1595" s="337"/>
      <c r="I1595" s="334"/>
      <c r="J1595" s="314"/>
      <c r="K1595" s="449"/>
      <c r="M1595" s="349" t="str">
        <f>N1595&amp;AS[[#This Row],[Insurer Code]]&amp;"; "&amp;O1595&amp;AS[[#This Row],[Reporting Year]]&amp;"; "&amp;P1595&amp;AS[[#This Row],[Insurance Category Code]]&amp;"; "&amp;Q1595&amp;AS[[#This Row],[Large Provider Entity Code]]&amp;"; "&amp;R1595&amp;AS[[#This Row],[Age Band Code]]&amp;"; "&amp;S1595&amp;AS[[#This Row],[Sex Code]]</f>
        <v xml:space="preserve">Insurer Code ; Reporting Year ; Insurance Category Code ; Large Provider Entity Code ; Age Band Code ; Sex Code </v>
      </c>
      <c r="N1595" s="345" t="s">
        <v>207</v>
      </c>
      <c r="O1595" s="345" t="s">
        <v>208</v>
      </c>
      <c r="P1595" s="345" t="s">
        <v>209</v>
      </c>
      <c r="Q1595" s="345" t="s">
        <v>210</v>
      </c>
      <c r="R1595" s="345" t="s">
        <v>223</v>
      </c>
      <c r="S1595" s="345" t="s">
        <v>224</v>
      </c>
    </row>
    <row r="1596" spans="1:19" x14ac:dyDescent="0.25">
      <c r="A1596" s="311"/>
      <c r="B1596" s="312"/>
      <c r="C1596" s="312"/>
      <c r="D1596" s="312"/>
      <c r="E1596" s="312"/>
      <c r="F1596" s="312"/>
      <c r="G1596" s="328"/>
      <c r="H1596" s="337"/>
      <c r="I1596" s="334"/>
      <c r="J1596" s="314"/>
      <c r="K1596" s="449"/>
      <c r="M1596" s="349" t="str">
        <f>N1596&amp;AS[[#This Row],[Insurer Code]]&amp;"; "&amp;O1596&amp;AS[[#This Row],[Reporting Year]]&amp;"; "&amp;P1596&amp;AS[[#This Row],[Insurance Category Code]]&amp;"; "&amp;Q1596&amp;AS[[#This Row],[Large Provider Entity Code]]&amp;"; "&amp;R1596&amp;AS[[#This Row],[Age Band Code]]&amp;"; "&amp;S1596&amp;AS[[#This Row],[Sex Code]]</f>
        <v xml:space="preserve">Insurer Code ; Reporting Year ; Insurance Category Code ; Large Provider Entity Code ; Age Band Code ; Sex Code </v>
      </c>
      <c r="N1596" s="345" t="s">
        <v>207</v>
      </c>
      <c r="O1596" s="345" t="s">
        <v>208</v>
      </c>
      <c r="P1596" s="345" t="s">
        <v>209</v>
      </c>
      <c r="Q1596" s="345" t="s">
        <v>210</v>
      </c>
      <c r="R1596" s="345" t="s">
        <v>223</v>
      </c>
      <c r="S1596" s="345" t="s">
        <v>224</v>
      </c>
    </row>
    <row r="1597" spans="1:19" x14ac:dyDescent="0.25">
      <c r="A1597" s="311"/>
      <c r="B1597" s="312"/>
      <c r="C1597" s="312"/>
      <c r="D1597" s="312"/>
      <c r="E1597" s="312"/>
      <c r="F1597" s="312"/>
      <c r="G1597" s="328"/>
      <c r="H1597" s="337"/>
      <c r="I1597" s="334"/>
      <c r="J1597" s="314"/>
      <c r="K1597" s="449"/>
      <c r="M1597" s="349" t="str">
        <f>N1597&amp;AS[[#This Row],[Insurer Code]]&amp;"; "&amp;O1597&amp;AS[[#This Row],[Reporting Year]]&amp;"; "&amp;P1597&amp;AS[[#This Row],[Insurance Category Code]]&amp;"; "&amp;Q1597&amp;AS[[#This Row],[Large Provider Entity Code]]&amp;"; "&amp;R1597&amp;AS[[#This Row],[Age Band Code]]&amp;"; "&amp;S1597&amp;AS[[#This Row],[Sex Code]]</f>
        <v xml:space="preserve">Insurer Code ; Reporting Year ; Insurance Category Code ; Large Provider Entity Code ; Age Band Code ; Sex Code </v>
      </c>
      <c r="N1597" s="345" t="s">
        <v>207</v>
      </c>
      <c r="O1597" s="345" t="s">
        <v>208</v>
      </c>
      <c r="P1597" s="345" t="s">
        <v>209</v>
      </c>
      <c r="Q1597" s="345" t="s">
        <v>210</v>
      </c>
      <c r="R1597" s="345" t="s">
        <v>223</v>
      </c>
      <c r="S1597" s="345" t="s">
        <v>224</v>
      </c>
    </row>
    <row r="1598" spans="1:19" x14ac:dyDescent="0.25">
      <c r="A1598" s="311"/>
      <c r="B1598" s="312"/>
      <c r="C1598" s="312"/>
      <c r="D1598" s="312"/>
      <c r="E1598" s="312"/>
      <c r="F1598" s="312"/>
      <c r="G1598" s="328"/>
      <c r="H1598" s="337"/>
      <c r="I1598" s="334"/>
      <c r="J1598" s="314"/>
      <c r="K1598" s="449"/>
      <c r="M1598" s="349" t="str">
        <f>N1598&amp;AS[[#This Row],[Insurer Code]]&amp;"; "&amp;O1598&amp;AS[[#This Row],[Reporting Year]]&amp;"; "&amp;P1598&amp;AS[[#This Row],[Insurance Category Code]]&amp;"; "&amp;Q1598&amp;AS[[#This Row],[Large Provider Entity Code]]&amp;"; "&amp;R1598&amp;AS[[#This Row],[Age Band Code]]&amp;"; "&amp;S1598&amp;AS[[#This Row],[Sex Code]]</f>
        <v xml:space="preserve">Insurer Code ; Reporting Year ; Insurance Category Code ; Large Provider Entity Code ; Age Band Code ; Sex Code </v>
      </c>
      <c r="N1598" s="345" t="s">
        <v>207</v>
      </c>
      <c r="O1598" s="345" t="s">
        <v>208</v>
      </c>
      <c r="P1598" s="345" t="s">
        <v>209</v>
      </c>
      <c r="Q1598" s="345" t="s">
        <v>210</v>
      </c>
      <c r="R1598" s="345" t="s">
        <v>223</v>
      </c>
      <c r="S1598" s="345" t="s">
        <v>224</v>
      </c>
    </row>
    <row r="1599" spans="1:19" x14ac:dyDescent="0.25">
      <c r="A1599" s="311"/>
      <c r="B1599" s="312"/>
      <c r="C1599" s="312"/>
      <c r="D1599" s="312"/>
      <c r="E1599" s="312"/>
      <c r="F1599" s="312"/>
      <c r="G1599" s="328"/>
      <c r="H1599" s="337"/>
      <c r="I1599" s="334"/>
      <c r="J1599" s="314"/>
      <c r="K1599" s="449"/>
      <c r="M1599" s="349" t="str">
        <f>N1599&amp;AS[[#This Row],[Insurer Code]]&amp;"; "&amp;O1599&amp;AS[[#This Row],[Reporting Year]]&amp;"; "&amp;P1599&amp;AS[[#This Row],[Insurance Category Code]]&amp;"; "&amp;Q1599&amp;AS[[#This Row],[Large Provider Entity Code]]&amp;"; "&amp;R1599&amp;AS[[#This Row],[Age Band Code]]&amp;"; "&amp;S1599&amp;AS[[#This Row],[Sex Code]]</f>
        <v xml:space="preserve">Insurer Code ; Reporting Year ; Insurance Category Code ; Large Provider Entity Code ; Age Band Code ; Sex Code </v>
      </c>
      <c r="N1599" s="345" t="s">
        <v>207</v>
      </c>
      <c r="O1599" s="345" t="s">
        <v>208</v>
      </c>
      <c r="P1599" s="345" t="s">
        <v>209</v>
      </c>
      <c r="Q1599" s="345" t="s">
        <v>210</v>
      </c>
      <c r="R1599" s="345" t="s">
        <v>223</v>
      </c>
      <c r="S1599" s="345" t="s">
        <v>224</v>
      </c>
    </row>
    <row r="1600" spans="1:19" x14ac:dyDescent="0.25">
      <c r="A1600" s="311"/>
      <c r="B1600" s="312"/>
      <c r="C1600" s="312"/>
      <c r="D1600" s="312"/>
      <c r="E1600" s="312"/>
      <c r="F1600" s="312"/>
      <c r="G1600" s="328"/>
      <c r="H1600" s="337"/>
      <c r="I1600" s="334"/>
      <c r="J1600" s="314"/>
      <c r="K1600" s="449"/>
      <c r="M1600" s="349" t="str">
        <f>N1600&amp;AS[[#This Row],[Insurer Code]]&amp;"; "&amp;O1600&amp;AS[[#This Row],[Reporting Year]]&amp;"; "&amp;P1600&amp;AS[[#This Row],[Insurance Category Code]]&amp;"; "&amp;Q1600&amp;AS[[#This Row],[Large Provider Entity Code]]&amp;"; "&amp;R1600&amp;AS[[#This Row],[Age Band Code]]&amp;"; "&amp;S1600&amp;AS[[#This Row],[Sex Code]]</f>
        <v xml:space="preserve">Insurer Code ; Reporting Year ; Insurance Category Code ; Large Provider Entity Code ; Age Band Code ; Sex Code </v>
      </c>
      <c r="N1600" s="345" t="s">
        <v>207</v>
      </c>
      <c r="O1600" s="345" t="s">
        <v>208</v>
      </c>
      <c r="P1600" s="345" t="s">
        <v>209</v>
      </c>
      <c r="Q1600" s="345" t="s">
        <v>210</v>
      </c>
      <c r="R1600" s="345" t="s">
        <v>223</v>
      </c>
      <c r="S1600" s="345" t="s">
        <v>224</v>
      </c>
    </row>
    <row r="1601" spans="1:19" x14ac:dyDescent="0.25">
      <c r="A1601" s="311"/>
      <c r="B1601" s="312"/>
      <c r="C1601" s="312"/>
      <c r="D1601" s="312"/>
      <c r="E1601" s="312"/>
      <c r="F1601" s="312"/>
      <c r="G1601" s="328"/>
      <c r="H1601" s="337"/>
      <c r="I1601" s="334"/>
      <c r="J1601" s="314"/>
      <c r="K1601" s="449"/>
      <c r="M1601" s="349" t="str">
        <f>N1601&amp;AS[[#This Row],[Insurer Code]]&amp;"; "&amp;O1601&amp;AS[[#This Row],[Reporting Year]]&amp;"; "&amp;P1601&amp;AS[[#This Row],[Insurance Category Code]]&amp;"; "&amp;Q1601&amp;AS[[#This Row],[Large Provider Entity Code]]&amp;"; "&amp;R1601&amp;AS[[#This Row],[Age Band Code]]&amp;"; "&amp;S1601&amp;AS[[#This Row],[Sex Code]]</f>
        <v xml:space="preserve">Insurer Code ; Reporting Year ; Insurance Category Code ; Large Provider Entity Code ; Age Band Code ; Sex Code </v>
      </c>
      <c r="N1601" s="345" t="s">
        <v>207</v>
      </c>
      <c r="O1601" s="345" t="s">
        <v>208</v>
      </c>
      <c r="P1601" s="345" t="s">
        <v>209</v>
      </c>
      <c r="Q1601" s="345" t="s">
        <v>210</v>
      </c>
      <c r="R1601" s="345" t="s">
        <v>223</v>
      </c>
      <c r="S1601" s="345" t="s">
        <v>224</v>
      </c>
    </row>
    <row r="1602" spans="1:19" x14ac:dyDescent="0.25">
      <c r="A1602" s="311"/>
      <c r="B1602" s="312"/>
      <c r="C1602" s="312"/>
      <c r="D1602" s="312"/>
      <c r="E1602" s="312"/>
      <c r="F1602" s="312"/>
      <c r="G1602" s="328"/>
      <c r="H1602" s="337"/>
      <c r="I1602" s="334"/>
      <c r="J1602" s="314"/>
      <c r="K1602" s="449"/>
      <c r="M1602" s="349" t="str">
        <f>N1602&amp;AS[[#This Row],[Insurer Code]]&amp;"; "&amp;O1602&amp;AS[[#This Row],[Reporting Year]]&amp;"; "&amp;P1602&amp;AS[[#This Row],[Insurance Category Code]]&amp;"; "&amp;Q1602&amp;AS[[#This Row],[Large Provider Entity Code]]&amp;"; "&amp;R1602&amp;AS[[#This Row],[Age Band Code]]&amp;"; "&amp;S1602&amp;AS[[#This Row],[Sex Code]]</f>
        <v xml:space="preserve">Insurer Code ; Reporting Year ; Insurance Category Code ; Large Provider Entity Code ; Age Band Code ; Sex Code </v>
      </c>
      <c r="N1602" s="345" t="s">
        <v>207</v>
      </c>
      <c r="O1602" s="345" t="s">
        <v>208</v>
      </c>
      <c r="P1602" s="345" t="s">
        <v>209</v>
      </c>
      <c r="Q1602" s="345" t="s">
        <v>210</v>
      </c>
      <c r="R1602" s="345" t="s">
        <v>223</v>
      </c>
      <c r="S1602" s="345" t="s">
        <v>224</v>
      </c>
    </row>
    <row r="1603" spans="1:19" x14ac:dyDescent="0.25">
      <c r="A1603" s="311"/>
      <c r="B1603" s="312"/>
      <c r="C1603" s="312"/>
      <c r="D1603" s="312"/>
      <c r="E1603" s="312"/>
      <c r="F1603" s="312"/>
      <c r="G1603" s="328"/>
      <c r="H1603" s="337"/>
      <c r="I1603" s="334"/>
      <c r="J1603" s="314"/>
      <c r="K1603" s="449"/>
      <c r="M1603" s="349" t="str">
        <f>N1603&amp;AS[[#This Row],[Insurer Code]]&amp;"; "&amp;O1603&amp;AS[[#This Row],[Reporting Year]]&amp;"; "&amp;P1603&amp;AS[[#This Row],[Insurance Category Code]]&amp;"; "&amp;Q1603&amp;AS[[#This Row],[Large Provider Entity Code]]&amp;"; "&amp;R1603&amp;AS[[#This Row],[Age Band Code]]&amp;"; "&amp;S1603&amp;AS[[#This Row],[Sex Code]]</f>
        <v xml:space="preserve">Insurer Code ; Reporting Year ; Insurance Category Code ; Large Provider Entity Code ; Age Band Code ; Sex Code </v>
      </c>
      <c r="N1603" s="345" t="s">
        <v>207</v>
      </c>
      <c r="O1603" s="345" t="s">
        <v>208</v>
      </c>
      <c r="P1603" s="345" t="s">
        <v>209</v>
      </c>
      <c r="Q1603" s="345" t="s">
        <v>210</v>
      </c>
      <c r="R1603" s="345" t="s">
        <v>223</v>
      </c>
      <c r="S1603" s="345" t="s">
        <v>224</v>
      </c>
    </row>
    <row r="1604" spans="1:19" x14ac:dyDescent="0.25">
      <c r="A1604" s="311"/>
      <c r="B1604" s="312"/>
      <c r="C1604" s="312"/>
      <c r="D1604" s="312"/>
      <c r="E1604" s="312"/>
      <c r="F1604" s="312"/>
      <c r="G1604" s="328"/>
      <c r="H1604" s="337"/>
      <c r="I1604" s="334"/>
      <c r="J1604" s="314"/>
      <c r="K1604" s="449"/>
      <c r="M1604" s="349" t="str">
        <f>N1604&amp;AS[[#This Row],[Insurer Code]]&amp;"; "&amp;O1604&amp;AS[[#This Row],[Reporting Year]]&amp;"; "&amp;P1604&amp;AS[[#This Row],[Insurance Category Code]]&amp;"; "&amp;Q1604&amp;AS[[#This Row],[Large Provider Entity Code]]&amp;"; "&amp;R1604&amp;AS[[#This Row],[Age Band Code]]&amp;"; "&amp;S1604&amp;AS[[#This Row],[Sex Code]]</f>
        <v xml:space="preserve">Insurer Code ; Reporting Year ; Insurance Category Code ; Large Provider Entity Code ; Age Band Code ; Sex Code </v>
      </c>
      <c r="N1604" s="345" t="s">
        <v>207</v>
      </c>
      <c r="O1604" s="345" t="s">
        <v>208</v>
      </c>
      <c r="P1604" s="345" t="s">
        <v>209</v>
      </c>
      <c r="Q1604" s="345" t="s">
        <v>210</v>
      </c>
      <c r="R1604" s="345" t="s">
        <v>223</v>
      </c>
      <c r="S1604" s="345" t="s">
        <v>224</v>
      </c>
    </row>
    <row r="1605" spans="1:19" x14ac:dyDescent="0.25">
      <c r="A1605" s="311"/>
      <c r="B1605" s="312"/>
      <c r="C1605" s="312"/>
      <c r="D1605" s="312"/>
      <c r="E1605" s="312"/>
      <c r="F1605" s="312"/>
      <c r="G1605" s="328"/>
      <c r="H1605" s="337"/>
      <c r="I1605" s="334"/>
      <c r="J1605" s="314"/>
      <c r="K1605" s="449"/>
      <c r="M1605" s="349" t="str">
        <f>N1605&amp;AS[[#This Row],[Insurer Code]]&amp;"; "&amp;O1605&amp;AS[[#This Row],[Reporting Year]]&amp;"; "&amp;P1605&amp;AS[[#This Row],[Insurance Category Code]]&amp;"; "&amp;Q1605&amp;AS[[#This Row],[Large Provider Entity Code]]&amp;"; "&amp;R1605&amp;AS[[#This Row],[Age Band Code]]&amp;"; "&amp;S1605&amp;AS[[#This Row],[Sex Code]]</f>
        <v xml:space="preserve">Insurer Code ; Reporting Year ; Insurance Category Code ; Large Provider Entity Code ; Age Band Code ; Sex Code </v>
      </c>
      <c r="N1605" s="345" t="s">
        <v>207</v>
      </c>
      <c r="O1605" s="345" t="s">
        <v>208</v>
      </c>
      <c r="P1605" s="345" t="s">
        <v>209</v>
      </c>
      <c r="Q1605" s="345" t="s">
        <v>210</v>
      </c>
      <c r="R1605" s="345" t="s">
        <v>223</v>
      </c>
      <c r="S1605" s="345" t="s">
        <v>224</v>
      </c>
    </row>
    <row r="1606" spans="1:19" x14ac:dyDescent="0.25">
      <c r="A1606" s="311"/>
      <c r="B1606" s="312"/>
      <c r="C1606" s="312"/>
      <c r="D1606" s="312"/>
      <c r="E1606" s="312"/>
      <c r="F1606" s="312"/>
      <c r="G1606" s="328"/>
      <c r="H1606" s="337"/>
      <c r="I1606" s="334"/>
      <c r="J1606" s="314"/>
      <c r="K1606" s="449"/>
      <c r="M1606" s="349" t="str">
        <f>N1606&amp;AS[[#This Row],[Insurer Code]]&amp;"; "&amp;O1606&amp;AS[[#This Row],[Reporting Year]]&amp;"; "&amp;P1606&amp;AS[[#This Row],[Insurance Category Code]]&amp;"; "&amp;Q1606&amp;AS[[#This Row],[Large Provider Entity Code]]&amp;"; "&amp;R1606&amp;AS[[#This Row],[Age Band Code]]&amp;"; "&amp;S1606&amp;AS[[#This Row],[Sex Code]]</f>
        <v xml:space="preserve">Insurer Code ; Reporting Year ; Insurance Category Code ; Large Provider Entity Code ; Age Band Code ; Sex Code </v>
      </c>
      <c r="N1606" s="345" t="s">
        <v>207</v>
      </c>
      <c r="O1606" s="345" t="s">
        <v>208</v>
      </c>
      <c r="P1606" s="345" t="s">
        <v>209</v>
      </c>
      <c r="Q1606" s="345" t="s">
        <v>210</v>
      </c>
      <c r="R1606" s="345" t="s">
        <v>223</v>
      </c>
      <c r="S1606" s="345" t="s">
        <v>224</v>
      </c>
    </row>
    <row r="1607" spans="1:19" x14ac:dyDescent="0.25">
      <c r="A1607" s="311"/>
      <c r="B1607" s="312"/>
      <c r="C1607" s="312"/>
      <c r="D1607" s="312"/>
      <c r="E1607" s="312"/>
      <c r="F1607" s="312"/>
      <c r="G1607" s="328"/>
      <c r="H1607" s="337"/>
      <c r="I1607" s="334"/>
      <c r="J1607" s="314"/>
      <c r="K1607" s="449"/>
      <c r="M1607" s="349" t="str">
        <f>N1607&amp;AS[[#This Row],[Insurer Code]]&amp;"; "&amp;O1607&amp;AS[[#This Row],[Reporting Year]]&amp;"; "&amp;P1607&amp;AS[[#This Row],[Insurance Category Code]]&amp;"; "&amp;Q1607&amp;AS[[#This Row],[Large Provider Entity Code]]&amp;"; "&amp;R1607&amp;AS[[#This Row],[Age Band Code]]&amp;"; "&amp;S1607&amp;AS[[#This Row],[Sex Code]]</f>
        <v xml:space="preserve">Insurer Code ; Reporting Year ; Insurance Category Code ; Large Provider Entity Code ; Age Band Code ; Sex Code </v>
      </c>
      <c r="N1607" s="345" t="s">
        <v>207</v>
      </c>
      <c r="O1607" s="345" t="s">
        <v>208</v>
      </c>
      <c r="P1607" s="345" t="s">
        <v>209</v>
      </c>
      <c r="Q1607" s="345" t="s">
        <v>210</v>
      </c>
      <c r="R1607" s="345" t="s">
        <v>223</v>
      </c>
      <c r="S1607" s="345" t="s">
        <v>224</v>
      </c>
    </row>
    <row r="1608" spans="1:19" x14ac:dyDescent="0.25">
      <c r="A1608" s="311"/>
      <c r="B1608" s="312"/>
      <c r="C1608" s="312"/>
      <c r="D1608" s="312"/>
      <c r="E1608" s="312"/>
      <c r="F1608" s="312"/>
      <c r="G1608" s="328"/>
      <c r="H1608" s="337"/>
      <c r="I1608" s="334"/>
      <c r="J1608" s="314"/>
      <c r="K1608" s="449"/>
      <c r="M1608" s="349" t="str">
        <f>N1608&amp;AS[[#This Row],[Insurer Code]]&amp;"; "&amp;O1608&amp;AS[[#This Row],[Reporting Year]]&amp;"; "&amp;P1608&amp;AS[[#This Row],[Insurance Category Code]]&amp;"; "&amp;Q1608&amp;AS[[#This Row],[Large Provider Entity Code]]&amp;"; "&amp;R1608&amp;AS[[#This Row],[Age Band Code]]&amp;"; "&amp;S1608&amp;AS[[#This Row],[Sex Code]]</f>
        <v xml:space="preserve">Insurer Code ; Reporting Year ; Insurance Category Code ; Large Provider Entity Code ; Age Band Code ; Sex Code </v>
      </c>
      <c r="N1608" s="345" t="s">
        <v>207</v>
      </c>
      <c r="O1608" s="345" t="s">
        <v>208</v>
      </c>
      <c r="P1608" s="345" t="s">
        <v>209</v>
      </c>
      <c r="Q1608" s="345" t="s">
        <v>210</v>
      </c>
      <c r="R1608" s="345" t="s">
        <v>223</v>
      </c>
      <c r="S1608" s="345" t="s">
        <v>224</v>
      </c>
    </row>
    <row r="1609" spans="1:19" x14ac:dyDescent="0.25">
      <c r="A1609" s="311"/>
      <c r="B1609" s="312"/>
      <c r="C1609" s="312"/>
      <c r="D1609" s="312"/>
      <c r="E1609" s="312"/>
      <c r="F1609" s="312"/>
      <c r="G1609" s="328"/>
      <c r="H1609" s="337"/>
      <c r="I1609" s="334"/>
      <c r="J1609" s="314"/>
      <c r="K1609" s="449"/>
      <c r="M1609" s="349" t="str">
        <f>N1609&amp;AS[[#This Row],[Insurer Code]]&amp;"; "&amp;O1609&amp;AS[[#This Row],[Reporting Year]]&amp;"; "&amp;P1609&amp;AS[[#This Row],[Insurance Category Code]]&amp;"; "&amp;Q1609&amp;AS[[#This Row],[Large Provider Entity Code]]&amp;"; "&amp;R1609&amp;AS[[#This Row],[Age Band Code]]&amp;"; "&amp;S1609&amp;AS[[#This Row],[Sex Code]]</f>
        <v xml:space="preserve">Insurer Code ; Reporting Year ; Insurance Category Code ; Large Provider Entity Code ; Age Band Code ; Sex Code </v>
      </c>
      <c r="N1609" s="345" t="s">
        <v>207</v>
      </c>
      <c r="O1609" s="345" t="s">
        <v>208</v>
      </c>
      <c r="P1609" s="345" t="s">
        <v>209</v>
      </c>
      <c r="Q1609" s="345" t="s">
        <v>210</v>
      </c>
      <c r="R1609" s="345" t="s">
        <v>223</v>
      </c>
      <c r="S1609" s="345" t="s">
        <v>224</v>
      </c>
    </row>
    <row r="1610" spans="1:19" x14ac:dyDescent="0.25">
      <c r="A1610" s="311"/>
      <c r="B1610" s="312"/>
      <c r="C1610" s="312"/>
      <c r="D1610" s="312"/>
      <c r="E1610" s="312"/>
      <c r="F1610" s="312"/>
      <c r="G1610" s="328"/>
      <c r="H1610" s="337"/>
      <c r="I1610" s="334"/>
      <c r="J1610" s="314"/>
      <c r="K1610" s="449"/>
      <c r="M1610" s="349" t="str">
        <f>N1610&amp;AS[[#This Row],[Insurer Code]]&amp;"; "&amp;O1610&amp;AS[[#This Row],[Reporting Year]]&amp;"; "&amp;P1610&amp;AS[[#This Row],[Insurance Category Code]]&amp;"; "&amp;Q1610&amp;AS[[#This Row],[Large Provider Entity Code]]&amp;"; "&amp;R1610&amp;AS[[#This Row],[Age Band Code]]&amp;"; "&amp;S1610&amp;AS[[#This Row],[Sex Code]]</f>
        <v xml:space="preserve">Insurer Code ; Reporting Year ; Insurance Category Code ; Large Provider Entity Code ; Age Band Code ; Sex Code </v>
      </c>
      <c r="N1610" s="345" t="s">
        <v>207</v>
      </c>
      <c r="O1610" s="345" t="s">
        <v>208</v>
      </c>
      <c r="P1610" s="345" t="s">
        <v>209</v>
      </c>
      <c r="Q1610" s="345" t="s">
        <v>210</v>
      </c>
      <c r="R1610" s="345" t="s">
        <v>223</v>
      </c>
      <c r="S1610" s="345" t="s">
        <v>224</v>
      </c>
    </row>
    <row r="1611" spans="1:19" x14ac:dyDescent="0.25">
      <c r="A1611" s="311"/>
      <c r="B1611" s="312"/>
      <c r="C1611" s="312"/>
      <c r="D1611" s="312"/>
      <c r="E1611" s="312"/>
      <c r="F1611" s="312"/>
      <c r="G1611" s="328"/>
      <c r="H1611" s="337"/>
      <c r="I1611" s="334"/>
      <c r="J1611" s="314"/>
      <c r="K1611" s="449"/>
      <c r="M1611" s="349" t="str">
        <f>N1611&amp;AS[[#This Row],[Insurer Code]]&amp;"; "&amp;O1611&amp;AS[[#This Row],[Reporting Year]]&amp;"; "&amp;P1611&amp;AS[[#This Row],[Insurance Category Code]]&amp;"; "&amp;Q1611&amp;AS[[#This Row],[Large Provider Entity Code]]&amp;"; "&amp;R1611&amp;AS[[#This Row],[Age Band Code]]&amp;"; "&amp;S1611&amp;AS[[#This Row],[Sex Code]]</f>
        <v xml:space="preserve">Insurer Code ; Reporting Year ; Insurance Category Code ; Large Provider Entity Code ; Age Band Code ; Sex Code </v>
      </c>
      <c r="N1611" s="345" t="s">
        <v>207</v>
      </c>
      <c r="O1611" s="345" t="s">
        <v>208</v>
      </c>
      <c r="P1611" s="345" t="s">
        <v>209</v>
      </c>
      <c r="Q1611" s="345" t="s">
        <v>210</v>
      </c>
      <c r="R1611" s="345" t="s">
        <v>223</v>
      </c>
      <c r="S1611" s="345" t="s">
        <v>224</v>
      </c>
    </row>
    <row r="1612" spans="1:19" x14ac:dyDescent="0.25">
      <c r="A1612" s="311"/>
      <c r="B1612" s="312"/>
      <c r="C1612" s="312"/>
      <c r="D1612" s="312"/>
      <c r="E1612" s="312"/>
      <c r="F1612" s="312"/>
      <c r="G1612" s="328"/>
      <c r="H1612" s="337"/>
      <c r="I1612" s="334"/>
      <c r="J1612" s="314"/>
      <c r="K1612" s="449"/>
      <c r="M1612" s="349" t="str">
        <f>N1612&amp;AS[[#This Row],[Insurer Code]]&amp;"; "&amp;O1612&amp;AS[[#This Row],[Reporting Year]]&amp;"; "&amp;P1612&amp;AS[[#This Row],[Insurance Category Code]]&amp;"; "&amp;Q1612&amp;AS[[#This Row],[Large Provider Entity Code]]&amp;"; "&amp;R1612&amp;AS[[#This Row],[Age Band Code]]&amp;"; "&amp;S1612&amp;AS[[#This Row],[Sex Code]]</f>
        <v xml:space="preserve">Insurer Code ; Reporting Year ; Insurance Category Code ; Large Provider Entity Code ; Age Band Code ; Sex Code </v>
      </c>
      <c r="N1612" s="345" t="s">
        <v>207</v>
      </c>
      <c r="O1612" s="345" t="s">
        <v>208</v>
      </c>
      <c r="P1612" s="345" t="s">
        <v>209</v>
      </c>
      <c r="Q1612" s="345" t="s">
        <v>210</v>
      </c>
      <c r="R1612" s="345" t="s">
        <v>223</v>
      </c>
      <c r="S1612" s="345" t="s">
        <v>224</v>
      </c>
    </row>
    <row r="1613" spans="1:19" x14ac:dyDescent="0.25">
      <c r="A1613" s="311"/>
      <c r="B1613" s="312"/>
      <c r="C1613" s="312"/>
      <c r="D1613" s="312"/>
      <c r="E1613" s="312"/>
      <c r="F1613" s="312"/>
      <c r="G1613" s="328"/>
      <c r="H1613" s="337"/>
      <c r="I1613" s="334"/>
      <c r="J1613" s="314"/>
      <c r="K1613" s="449"/>
      <c r="M1613" s="349" t="str">
        <f>N1613&amp;AS[[#This Row],[Insurer Code]]&amp;"; "&amp;O1613&amp;AS[[#This Row],[Reporting Year]]&amp;"; "&amp;P1613&amp;AS[[#This Row],[Insurance Category Code]]&amp;"; "&amp;Q1613&amp;AS[[#This Row],[Large Provider Entity Code]]&amp;"; "&amp;R1613&amp;AS[[#This Row],[Age Band Code]]&amp;"; "&amp;S1613&amp;AS[[#This Row],[Sex Code]]</f>
        <v xml:space="preserve">Insurer Code ; Reporting Year ; Insurance Category Code ; Large Provider Entity Code ; Age Band Code ; Sex Code </v>
      </c>
      <c r="N1613" s="345" t="s">
        <v>207</v>
      </c>
      <c r="O1613" s="345" t="s">
        <v>208</v>
      </c>
      <c r="P1613" s="345" t="s">
        <v>209</v>
      </c>
      <c r="Q1613" s="345" t="s">
        <v>210</v>
      </c>
      <c r="R1613" s="345" t="s">
        <v>223</v>
      </c>
      <c r="S1613" s="345" t="s">
        <v>224</v>
      </c>
    </row>
    <row r="1614" spans="1:19" x14ac:dyDescent="0.25">
      <c r="A1614" s="311"/>
      <c r="B1614" s="312"/>
      <c r="C1614" s="312"/>
      <c r="D1614" s="312"/>
      <c r="E1614" s="312"/>
      <c r="F1614" s="312"/>
      <c r="G1614" s="328"/>
      <c r="H1614" s="337"/>
      <c r="I1614" s="334"/>
      <c r="J1614" s="314"/>
      <c r="K1614" s="449"/>
      <c r="M1614" s="349" t="str">
        <f>N1614&amp;AS[[#This Row],[Insurer Code]]&amp;"; "&amp;O1614&amp;AS[[#This Row],[Reporting Year]]&amp;"; "&amp;P1614&amp;AS[[#This Row],[Insurance Category Code]]&amp;"; "&amp;Q1614&amp;AS[[#This Row],[Large Provider Entity Code]]&amp;"; "&amp;R1614&amp;AS[[#This Row],[Age Band Code]]&amp;"; "&amp;S1614&amp;AS[[#This Row],[Sex Code]]</f>
        <v xml:space="preserve">Insurer Code ; Reporting Year ; Insurance Category Code ; Large Provider Entity Code ; Age Band Code ; Sex Code </v>
      </c>
      <c r="N1614" s="345" t="s">
        <v>207</v>
      </c>
      <c r="O1614" s="345" t="s">
        <v>208</v>
      </c>
      <c r="P1614" s="345" t="s">
        <v>209</v>
      </c>
      <c r="Q1614" s="345" t="s">
        <v>210</v>
      </c>
      <c r="R1614" s="345" t="s">
        <v>223</v>
      </c>
      <c r="S1614" s="345" t="s">
        <v>224</v>
      </c>
    </row>
    <row r="1615" spans="1:19" x14ac:dyDescent="0.25">
      <c r="A1615" s="311"/>
      <c r="B1615" s="312"/>
      <c r="C1615" s="312"/>
      <c r="D1615" s="312"/>
      <c r="E1615" s="312"/>
      <c r="F1615" s="312"/>
      <c r="G1615" s="328"/>
      <c r="H1615" s="337"/>
      <c r="I1615" s="334"/>
      <c r="J1615" s="314"/>
      <c r="K1615" s="449"/>
      <c r="M1615" s="349" t="str">
        <f>N1615&amp;AS[[#This Row],[Insurer Code]]&amp;"; "&amp;O1615&amp;AS[[#This Row],[Reporting Year]]&amp;"; "&amp;P1615&amp;AS[[#This Row],[Insurance Category Code]]&amp;"; "&amp;Q1615&amp;AS[[#This Row],[Large Provider Entity Code]]&amp;"; "&amp;R1615&amp;AS[[#This Row],[Age Band Code]]&amp;"; "&amp;S1615&amp;AS[[#This Row],[Sex Code]]</f>
        <v xml:space="preserve">Insurer Code ; Reporting Year ; Insurance Category Code ; Large Provider Entity Code ; Age Band Code ; Sex Code </v>
      </c>
      <c r="N1615" s="345" t="s">
        <v>207</v>
      </c>
      <c r="O1615" s="345" t="s">
        <v>208</v>
      </c>
      <c r="P1615" s="345" t="s">
        <v>209</v>
      </c>
      <c r="Q1615" s="345" t="s">
        <v>210</v>
      </c>
      <c r="R1615" s="345" t="s">
        <v>223</v>
      </c>
      <c r="S1615" s="345" t="s">
        <v>224</v>
      </c>
    </row>
    <row r="1616" spans="1:19" x14ac:dyDescent="0.25">
      <c r="A1616" s="311"/>
      <c r="B1616" s="312"/>
      <c r="C1616" s="312"/>
      <c r="D1616" s="312"/>
      <c r="E1616" s="312"/>
      <c r="F1616" s="312"/>
      <c r="G1616" s="328"/>
      <c r="H1616" s="337"/>
      <c r="I1616" s="334"/>
      <c r="J1616" s="314"/>
      <c r="K1616" s="449"/>
      <c r="M1616" s="349" t="str">
        <f>N1616&amp;AS[[#This Row],[Insurer Code]]&amp;"; "&amp;O1616&amp;AS[[#This Row],[Reporting Year]]&amp;"; "&amp;P1616&amp;AS[[#This Row],[Insurance Category Code]]&amp;"; "&amp;Q1616&amp;AS[[#This Row],[Large Provider Entity Code]]&amp;"; "&amp;R1616&amp;AS[[#This Row],[Age Band Code]]&amp;"; "&amp;S1616&amp;AS[[#This Row],[Sex Code]]</f>
        <v xml:space="preserve">Insurer Code ; Reporting Year ; Insurance Category Code ; Large Provider Entity Code ; Age Band Code ; Sex Code </v>
      </c>
      <c r="N1616" s="345" t="s">
        <v>207</v>
      </c>
      <c r="O1616" s="345" t="s">
        <v>208</v>
      </c>
      <c r="P1616" s="345" t="s">
        <v>209</v>
      </c>
      <c r="Q1616" s="345" t="s">
        <v>210</v>
      </c>
      <c r="R1616" s="345" t="s">
        <v>223</v>
      </c>
      <c r="S1616" s="345" t="s">
        <v>224</v>
      </c>
    </row>
    <row r="1617" spans="1:19" x14ac:dyDescent="0.25">
      <c r="A1617" s="311"/>
      <c r="B1617" s="312"/>
      <c r="C1617" s="312"/>
      <c r="D1617" s="312"/>
      <c r="E1617" s="312"/>
      <c r="F1617" s="312"/>
      <c r="G1617" s="328"/>
      <c r="H1617" s="337"/>
      <c r="I1617" s="334"/>
      <c r="J1617" s="314"/>
      <c r="K1617" s="449"/>
      <c r="M1617" s="349" t="str">
        <f>N1617&amp;AS[[#This Row],[Insurer Code]]&amp;"; "&amp;O1617&amp;AS[[#This Row],[Reporting Year]]&amp;"; "&amp;P1617&amp;AS[[#This Row],[Insurance Category Code]]&amp;"; "&amp;Q1617&amp;AS[[#This Row],[Large Provider Entity Code]]&amp;"; "&amp;R1617&amp;AS[[#This Row],[Age Band Code]]&amp;"; "&amp;S1617&amp;AS[[#This Row],[Sex Code]]</f>
        <v xml:space="preserve">Insurer Code ; Reporting Year ; Insurance Category Code ; Large Provider Entity Code ; Age Band Code ; Sex Code </v>
      </c>
      <c r="N1617" s="345" t="s">
        <v>207</v>
      </c>
      <c r="O1617" s="345" t="s">
        <v>208</v>
      </c>
      <c r="P1617" s="345" t="s">
        <v>209</v>
      </c>
      <c r="Q1617" s="345" t="s">
        <v>210</v>
      </c>
      <c r="R1617" s="345" t="s">
        <v>223</v>
      </c>
      <c r="S1617" s="345" t="s">
        <v>224</v>
      </c>
    </row>
    <row r="1618" spans="1:19" x14ac:dyDescent="0.25">
      <c r="A1618" s="311"/>
      <c r="B1618" s="312"/>
      <c r="C1618" s="312"/>
      <c r="D1618" s="312"/>
      <c r="E1618" s="312"/>
      <c r="F1618" s="312"/>
      <c r="G1618" s="328"/>
      <c r="H1618" s="337"/>
      <c r="I1618" s="334"/>
      <c r="J1618" s="314"/>
      <c r="K1618" s="449"/>
      <c r="M1618" s="349" t="str">
        <f>N1618&amp;AS[[#This Row],[Insurer Code]]&amp;"; "&amp;O1618&amp;AS[[#This Row],[Reporting Year]]&amp;"; "&amp;P1618&amp;AS[[#This Row],[Insurance Category Code]]&amp;"; "&amp;Q1618&amp;AS[[#This Row],[Large Provider Entity Code]]&amp;"; "&amp;R1618&amp;AS[[#This Row],[Age Band Code]]&amp;"; "&amp;S1618&amp;AS[[#This Row],[Sex Code]]</f>
        <v xml:space="preserve">Insurer Code ; Reporting Year ; Insurance Category Code ; Large Provider Entity Code ; Age Band Code ; Sex Code </v>
      </c>
      <c r="N1618" s="345" t="s">
        <v>207</v>
      </c>
      <c r="O1618" s="345" t="s">
        <v>208</v>
      </c>
      <c r="P1618" s="345" t="s">
        <v>209</v>
      </c>
      <c r="Q1618" s="345" t="s">
        <v>210</v>
      </c>
      <c r="R1618" s="345" t="s">
        <v>223</v>
      </c>
      <c r="S1618" s="345" t="s">
        <v>224</v>
      </c>
    </row>
    <row r="1619" spans="1:19" x14ac:dyDescent="0.25">
      <c r="A1619" s="311"/>
      <c r="B1619" s="312"/>
      <c r="C1619" s="312"/>
      <c r="D1619" s="312"/>
      <c r="E1619" s="312"/>
      <c r="F1619" s="312"/>
      <c r="G1619" s="328"/>
      <c r="H1619" s="337"/>
      <c r="I1619" s="334"/>
      <c r="J1619" s="314"/>
      <c r="K1619" s="449"/>
      <c r="M1619" s="349" t="str">
        <f>N1619&amp;AS[[#This Row],[Insurer Code]]&amp;"; "&amp;O1619&amp;AS[[#This Row],[Reporting Year]]&amp;"; "&amp;P1619&amp;AS[[#This Row],[Insurance Category Code]]&amp;"; "&amp;Q1619&amp;AS[[#This Row],[Large Provider Entity Code]]&amp;"; "&amp;R1619&amp;AS[[#This Row],[Age Band Code]]&amp;"; "&amp;S1619&amp;AS[[#This Row],[Sex Code]]</f>
        <v xml:space="preserve">Insurer Code ; Reporting Year ; Insurance Category Code ; Large Provider Entity Code ; Age Band Code ; Sex Code </v>
      </c>
      <c r="N1619" s="345" t="s">
        <v>207</v>
      </c>
      <c r="O1619" s="345" t="s">
        <v>208</v>
      </c>
      <c r="P1619" s="345" t="s">
        <v>209</v>
      </c>
      <c r="Q1619" s="345" t="s">
        <v>210</v>
      </c>
      <c r="R1619" s="345" t="s">
        <v>223</v>
      </c>
      <c r="S1619" s="345" t="s">
        <v>224</v>
      </c>
    </row>
    <row r="1620" spans="1:19" x14ac:dyDescent="0.25">
      <c r="A1620" s="311"/>
      <c r="B1620" s="312"/>
      <c r="C1620" s="312"/>
      <c r="D1620" s="312"/>
      <c r="E1620" s="312"/>
      <c r="F1620" s="312"/>
      <c r="G1620" s="328"/>
      <c r="H1620" s="337"/>
      <c r="I1620" s="334"/>
      <c r="J1620" s="314"/>
      <c r="K1620" s="449"/>
      <c r="M1620" s="349" t="str">
        <f>N1620&amp;AS[[#This Row],[Insurer Code]]&amp;"; "&amp;O1620&amp;AS[[#This Row],[Reporting Year]]&amp;"; "&amp;P1620&amp;AS[[#This Row],[Insurance Category Code]]&amp;"; "&amp;Q1620&amp;AS[[#This Row],[Large Provider Entity Code]]&amp;"; "&amp;R1620&amp;AS[[#This Row],[Age Band Code]]&amp;"; "&amp;S1620&amp;AS[[#This Row],[Sex Code]]</f>
        <v xml:space="preserve">Insurer Code ; Reporting Year ; Insurance Category Code ; Large Provider Entity Code ; Age Band Code ; Sex Code </v>
      </c>
      <c r="N1620" s="345" t="s">
        <v>207</v>
      </c>
      <c r="O1620" s="345" t="s">
        <v>208</v>
      </c>
      <c r="P1620" s="345" t="s">
        <v>209</v>
      </c>
      <c r="Q1620" s="345" t="s">
        <v>210</v>
      </c>
      <c r="R1620" s="345" t="s">
        <v>223</v>
      </c>
      <c r="S1620" s="345" t="s">
        <v>224</v>
      </c>
    </row>
    <row r="1621" spans="1:19" x14ac:dyDescent="0.25">
      <c r="A1621" s="311"/>
      <c r="B1621" s="312"/>
      <c r="C1621" s="312"/>
      <c r="D1621" s="312"/>
      <c r="E1621" s="312"/>
      <c r="F1621" s="312"/>
      <c r="G1621" s="328"/>
      <c r="H1621" s="337"/>
      <c r="I1621" s="334"/>
      <c r="J1621" s="314"/>
      <c r="K1621" s="449"/>
      <c r="M1621" s="349" t="str">
        <f>N1621&amp;AS[[#This Row],[Insurer Code]]&amp;"; "&amp;O1621&amp;AS[[#This Row],[Reporting Year]]&amp;"; "&amp;P1621&amp;AS[[#This Row],[Insurance Category Code]]&amp;"; "&amp;Q1621&amp;AS[[#This Row],[Large Provider Entity Code]]&amp;"; "&amp;R1621&amp;AS[[#This Row],[Age Band Code]]&amp;"; "&amp;S1621&amp;AS[[#This Row],[Sex Code]]</f>
        <v xml:space="preserve">Insurer Code ; Reporting Year ; Insurance Category Code ; Large Provider Entity Code ; Age Band Code ; Sex Code </v>
      </c>
      <c r="N1621" s="345" t="s">
        <v>207</v>
      </c>
      <c r="O1621" s="345" t="s">
        <v>208</v>
      </c>
      <c r="P1621" s="345" t="s">
        <v>209</v>
      </c>
      <c r="Q1621" s="345" t="s">
        <v>210</v>
      </c>
      <c r="R1621" s="345" t="s">
        <v>223</v>
      </c>
      <c r="S1621" s="345" t="s">
        <v>224</v>
      </c>
    </row>
    <row r="1622" spans="1:19" x14ac:dyDescent="0.25">
      <c r="A1622" s="311"/>
      <c r="B1622" s="312"/>
      <c r="C1622" s="312"/>
      <c r="D1622" s="312"/>
      <c r="E1622" s="312"/>
      <c r="F1622" s="312"/>
      <c r="G1622" s="328"/>
      <c r="H1622" s="337"/>
      <c r="I1622" s="334"/>
      <c r="J1622" s="314"/>
      <c r="K1622" s="449"/>
      <c r="M1622" s="349" t="str">
        <f>N1622&amp;AS[[#This Row],[Insurer Code]]&amp;"; "&amp;O1622&amp;AS[[#This Row],[Reporting Year]]&amp;"; "&amp;P1622&amp;AS[[#This Row],[Insurance Category Code]]&amp;"; "&amp;Q1622&amp;AS[[#This Row],[Large Provider Entity Code]]&amp;"; "&amp;R1622&amp;AS[[#This Row],[Age Band Code]]&amp;"; "&amp;S1622&amp;AS[[#This Row],[Sex Code]]</f>
        <v xml:space="preserve">Insurer Code ; Reporting Year ; Insurance Category Code ; Large Provider Entity Code ; Age Band Code ; Sex Code </v>
      </c>
      <c r="N1622" s="345" t="s">
        <v>207</v>
      </c>
      <c r="O1622" s="345" t="s">
        <v>208</v>
      </c>
      <c r="P1622" s="345" t="s">
        <v>209</v>
      </c>
      <c r="Q1622" s="345" t="s">
        <v>210</v>
      </c>
      <c r="R1622" s="345" t="s">
        <v>223</v>
      </c>
      <c r="S1622" s="345" t="s">
        <v>224</v>
      </c>
    </row>
    <row r="1623" spans="1:19" x14ac:dyDescent="0.25">
      <c r="A1623" s="311"/>
      <c r="B1623" s="312"/>
      <c r="C1623" s="312"/>
      <c r="D1623" s="312"/>
      <c r="E1623" s="312"/>
      <c r="F1623" s="312"/>
      <c r="G1623" s="328"/>
      <c r="H1623" s="337"/>
      <c r="I1623" s="334"/>
      <c r="J1623" s="314"/>
      <c r="K1623" s="449"/>
      <c r="M1623" s="349" t="str">
        <f>N1623&amp;AS[[#This Row],[Insurer Code]]&amp;"; "&amp;O1623&amp;AS[[#This Row],[Reporting Year]]&amp;"; "&amp;P1623&amp;AS[[#This Row],[Insurance Category Code]]&amp;"; "&amp;Q1623&amp;AS[[#This Row],[Large Provider Entity Code]]&amp;"; "&amp;R1623&amp;AS[[#This Row],[Age Band Code]]&amp;"; "&amp;S1623&amp;AS[[#This Row],[Sex Code]]</f>
        <v xml:space="preserve">Insurer Code ; Reporting Year ; Insurance Category Code ; Large Provider Entity Code ; Age Band Code ; Sex Code </v>
      </c>
      <c r="N1623" s="345" t="s">
        <v>207</v>
      </c>
      <c r="O1623" s="345" t="s">
        <v>208</v>
      </c>
      <c r="P1623" s="345" t="s">
        <v>209</v>
      </c>
      <c r="Q1623" s="345" t="s">
        <v>210</v>
      </c>
      <c r="R1623" s="345" t="s">
        <v>223</v>
      </c>
      <c r="S1623" s="345" t="s">
        <v>224</v>
      </c>
    </row>
    <row r="1624" spans="1:19" x14ac:dyDescent="0.25">
      <c r="A1624" s="311"/>
      <c r="B1624" s="312"/>
      <c r="C1624" s="312"/>
      <c r="D1624" s="312"/>
      <c r="E1624" s="312"/>
      <c r="F1624" s="312"/>
      <c r="G1624" s="328"/>
      <c r="H1624" s="337"/>
      <c r="I1624" s="334"/>
      <c r="J1624" s="314"/>
      <c r="K1624" s="449"/>
      <c r="M1624" s="349" t="str">
        <f>N1624&amp;AS[[#This Row],[Insurer Code]]&amp;"; "&amp;O1624&amp;AS[[#This Row],[Reporting Year]]&amp;"; "&amp;P1624&amp;AS[[#This Row],[Insurance Category Code]]&amp;"; "&amp;Q1624&amp;AS[[#This Row],[Large Provider Entity Code]]&amp;"; "&amp;R1624&amp;AS[[#This Row],[Age Band Code]]&amp;"; "&amp;S1624&amp;AS[[#This Row],[Sex Code]]</f>
        <v xml:space="preserve">Insurer Code ; Reporting Year ; Insurance Category Code ; Large Provider Entity Code ; Age Band Code ; Sex Code </v>
      </c>
      <c r="N1624" s="345" t="s">
        <v>207</v>
      </c>
      <c r="O1624" s="345" t="s">
        <v>208</v>
      </c>
      <c r="P1624" s="345" t="s">
        <v>209</v>
      </c>
      <c r="Q1624" s="345" t="s">
        <v>210</v>
      </c>
      <c r="R1624" s="345" t="s">
        <v>223</v>
      </c>
      <c r="S1624" s="345" t="s">
        <v>224</v>
      </c>
    </row>
    <row r="1625" spans="1:19" x14ac:dyDescent="0.25">
      <c r="A1625" s="311"/>
      <c r="B1625" s="312"/>
      <c r="C1625" s="312"/>
      <c r="D1625" s="312"/>
      <c r="E1625" s="312"/>
      <c r="F1625" s="312"/>
      <c r="G1625" s="328"/>
      <c r="H1625" s="337"/>
      <c r="I1625" s="334"/>
      <c r="J1625" s="314"/>
      <c r="K1625" s="449"/>
      <c r="M1625" s="349" t="str">
        <f>N1625&amp;AS[[#This Row],[Insurer Code]]&amp;"; "&amp;O1625&amp;AS[[#This Row],[Reporting Year]]&amp;"; "&amp;P1625&amp;AS[[#This Row],[Insurance Category Code]]&amp;"; "&amp;Q1625&amp;AS[[#This Row],[Large Provider Entity Code]]&amp;"; "&amp;R1625&amp;AS[[#This Row],[Age Band Code]]&amp;"; "&amp;S1625&amp;AS[[#This Row],[Sex Code]]</f>
        <v xml:space="preserve">Insurer Code ; Reporting Year ; Insurance Category Code ; Large Provider Entity Code ; Age Band Code ; Sex Code </v>
      </c>
      <c r="N1625" s="345" t="s">
        <v>207</v>
      </c>
      <c r="O1625" s="345" t="s">
        <v>208</v>
      </c>
      <c r="P1625" s="345" t="s">
        <v>209</v>
      </c>
      <c r="Q1625" s="345" t="s">
        <v>210</v>
      </c>
      <c r="R1625" s="345" t="s">
        <v>223</v>
      </c>
      <c r="S1625" s="345" t="s">
        <v>224</v>
      </c>
    </row>
    <row r="1626" spans="1:19" x14ac:dyDescent="0.25">
      <c r="A1626" s="311"/>
      <c r="B1626" s="312"/>
      <c r="C1626" s="312"/>
      <c r="D1626" s="312"/>
      <c r="E1626" s="312"/>
      <c r="F1626" s="312"/>
      <c r="G1626" s="328"/>
      <c r="H1626" s="337"/>
      <c r="I1626" s="334"/>
      <c r="J1626" s="314"/>
      <c r="K1626" s="449"/>
      <c r="M1626" s="349" t="str">
        <f>N1626&amp;AS[[#This Row],[Insurer Code]]&amp;"; "&amp;O1626&amp;AS[[#This Row],[Reporting Year]]&amp;"; "&amp;P1626&amp;AS[[#This Row],[Insurance Category Code]]&amp;"; "&amp;Q1626&amp;AS[[#This Row],[Large Provider Entity Code]]&amp;"; "&amp;R1626&amp;AS[[#This Row],[Age Band Code]]&amp;"; "&amp;S1626&amp;AS[[#This Row],[Sex Code]]</f>
        <v xml:space="preserve">Insurer Code ; Reporting Year ; Insurance Category Code ; Large Provider Entity Code ; Age Band Code ; Sex Code </v>
      </c>
      <c r="N1626" s="345" t="s">
        <v>207</v>
      </c>
      <c r="O1626" s="345" t="s">
        <v>208</v>
      </c>
      <c r="P1626" s="345" t="s">
        <v>209</v>
      </c>
      <c r="Q1626" s="345" t="s">
        <v>210</v>
      </c>
      <c r="R1626" s="345" t="s">
        <v>223</v>
      </c>
      <c r="S1626" s="345" t="s">
        <v>224</v>
      </c>
    </row>
    <row r="1627" spans="1:19" x14ac:dyDescent="0.25">
      <c r="A1627" s="311"/>
      <c r="B1627" s="312"/>
      <c r="C1627" s="312"/>
      <c r="D1627" s="312"/>
      <c r="E1627" s="312"/>
      <c r="F1627" s="312"/>
      <c r="G1627" s="328"/>
      <c r="H1627" s="337"/>
      <c r="I1627" s="334"/>
      <c r="J1627" s="314"/>
      <c r="K1627" s="449"/>
      <c r="M1627" s="349" t="str">
        <f>N1627&amp;AS[[#This Row],[Insurer Code]]&amp;"; "&amp;O1627&amp;AS[[#This Row],[Reporting Year]]&amp;"; "&amp;P1627&amp;AS[[#This Row],[Insurance Category Code]]&amp;"; "&amp;Q1627&amp;AS[[#This Row],[Large Provider Entity Code]]&amp;"; "&amp;R1627&amp;AS[[#This Row],[Age Band Code]]&amp;"; "&amp;S1627&amp;AS[[#This Row],[Sex Code]]</f>
        <v xml:space="preserve">Insurer Code ; Reporting Year ; Insurance Category Code ; Large Provider Entity Code ; Age Band Code ; Sex Code </v>
      </c>
      <c r="N1627" s="345" t="s">
        <v>207</v>
      </c>
      <c r="O1627" s="345" t="s">
        <v>208</v>
      </c>
      <c r="P1627" s="345" t="s">
        <v>209</v>
      </c>
      <c r="Q1627" s="345" t="s">
        <v>210</v>
      </c>
      <c r="R1627" s="345" t="s">
        <v>223</v>
      </c>
      <c r="S1627" s="345" t="s">
        <v>224</v>
      </c>
    </row>
    <row r="1628" spans="1:19" x14ac:dyDescent="0.25">
      <c r="A1628" s="311"/>
      <c r="B1628" s="312"/>
      <c r="C1628" s="312"/>
      <c r="D1628" s="312"/>
      <c r="E1628" s="312"/>
      <c r="F1628" s="312"/>
      <c r="G1628" s="328"/>
      <c r="H1628" s="337"/>
      <c r="I1628" s="334"/>
      <c r="J1628" s="314"/>
      <c r="K1628" s="449"/>
      <c r="M1628" s="349" t="str">
        <f>N1628&amp;AS[[#This Row],[Insurer Code]]&amp;"; "&amp;O1628&amp;AS[[#This Row],[Reporting Year]]&amp;"; "&amp;P1628&amp;AS[[#This Row],[Insurance Category Code]]&amp;"; "&amp;Q1628&amp;AS[[#This Row],[Large Provider Entity Code]]&amp;"; "&amp;R1628&amp;AS[[#This Row],[Age Band Code]]&amp;"; "&amp;S1628&amp;AS[[#This Row],[Sex Code]]</f>
        <v xml:space="preserve">Insurer Code ; Reporting Year ; Insurance Category Code ; Large Provider Entity Code ; Age Band Code ; Sex Code </v>
      </c>
      <c r="N1628" s="345" t="s">
        <v>207</v>
      </c>
      <c r="O1628" s="345" t="s">
        <v>208</v>
      </c>
      <c r="P1628" s="345" t="s">
        <v>209</v>
      </c>
      <c r="Q1628" s="345" t="s">
        <v>210</v>
      </c>
      <c r="R1628" s="345" t="s">
        <v>223</v>
      </c>
      <c r="S1628" s="345" t="s">
        <v>224</v>
      </c>
    </row>
    <row r="1629" spans="1:19" x14ac:dyDescent="0.25">
      <c r="A1629" s="311"/>
      <c r="B1629" s="312"/>
      <c r="C1629" s="312"/>
      <c r="D1629" s="312"/>
      <c r="E1629" s="312"/>
      <c r="F1629" s="312"/>
      <c r="G1629" s="328"/>
      <c r="H1629" s="337"/>
      <c r="I1629" s="334"/>
      <c r="J1629" s="314"/>
      <c r="K1629" s="449"/>
      <c r="M1629" s="349" t="str">
        <f>N1629&amp;AS[[#This Row],[Insurer Code]]&amp;"; "&amp;O1629&amp;AS[[#This Row],[Reporting Year]]&amp;"; "&amp;P1629&amp;AS[[#This Row],[Insurance Category Code]]&amp;"; "&amp;Q1629&amp;AS[[#This Row],[Large Provider Entity Code]]&amp;"; "&amp;R1629&amp;AS[[#This Row],[Age Band Code]]&amp;"; "&amp;S1629&amp;AS[[#This Row],[Sex Code]]</f>
        <v xml:space="preserve">Insurer Code ; Reporting Year ; Insurance Category Code ; Large Provider Entity Code ; Age Band Code ; Sex Code </v>
      </c>
      <c r="N1629" s="345" t="s">
        <v>207</v>
      </c>
      <c r="O1629" s="345" t="s">
        <v>208</v>
      </c>
      <c r="P1629" s="345" t="s">
        <v>209</v>
      </c>
      <c r="Q1629" s="345" t="s">
        <v>210</v>
      </c>
      <c r="R1629" s="345" t="s">
        <v>223</v>
      </c>
      <c r="S1629" s="345" t="s">
        <v>224</v>
      </c>
    </row>
    <row r="1630" spans="1:19" x14ac:dyDescent="0.25">
      <c r="A1630" s="311"/>
      <c r="B1630" s="312"/>
      <c r="C1630" s="312"/>
      <c r="D1630" s="312"/>
      <c r="E1630" s="312"/>
      <c r="F1630" s="312"/>
      <c r="G1630" s="328"/>
      <c r="H1630" s="337"/>
      <c r="I1630" s="334"/>
      <c r="J1630" s="314"/>
      <c r="K1630" s="449"/>
      <c r="M1630" s="349" t="str">
        <f>N1630&amp;AS[[#This Row],[Insurer Code]]&amp;"; "&amp;O1630&amp;AS[[#This Row],[Reporting Year]]&amp;"; "&amp;P1630&amp;AS[[#This Row],[Insurance Category Code]]&amp;"; "&amp;Q1630&amp;AS[[#This Row],[Large Provider Entity Code]]&amp;"; "&amp;R1630&amp;AS[[#This Row],[Age Band Code]]&amp;"; "&amp;S1630&amp;AS[[#This Row],[Sex Code]]</f>
        <v xml:space="preserve">Insurer Code ; Reporting Year ; Insurance Category Code ; Large Provider Entity Code ; Age Band Code ; Sex Code </v>
      </c>
      <c r="N1630" s="345" t="s">
        <v>207</v>
      </c>
      <c r="O1630" s="345" t="s">
        <v>208</v>
      </c>
      <c r="P1630" s="345" t="s">
        <v>209</v>
      </c>
      <c r="Q1630" s="345" t="s">
        <v>210</v>
      </c>
      <c r="R1630" s="345" t="s">
        <v>223</v>
      </c>
      <c r="S1630" s="345" t="s">
        <v>224</v>
      </c>
    </row>
    <row r="1631" spans="1:19" x14ac:dyDescent="0.25">
      <c r="A1631" s="311"/>
      <c r="B1631" s="312"/>
      <c r="C1631" s="312"/>
      <c r="D1631" s="312"/>
      <c r="E1631" s="312"/>
      <c r="F1631" s="312"/>
      <c r="G1631" s="328"/>
      <c r="H1631" s="337"/>
      <c r="I1631" s="334"/>
      <c r="J1631" s="314"/>
      <c r="K1631" s="449"/>
      <c r="M1631" s="349" t="str">
        <f>N1631&amp;AS[[#This Row],[Insurer Code]]&amp;"; "&amp;O1631&amp;AS[[#This Row],[Reporting Year]]&amp;"; "&amp;P1631&amp;AS[[#This Row],[Insurance Category Code]]&amp;"; "&amp;Q1631&amp;AS[[#This Row],[Large Provider Entity Code]]&amp;"; "&amp;R1631&amp;AS[[#This Row],[Age Band Code]]&amp;"; "&amp;S1631&amp;AS[[#This Row],[Sex Code]]</f>
        <v xml:space="preserve">Insurer Code ; Reporting Year ; Insurance Category Code ; Large Provider Entity Code ; Age Band Code ; Sex Code </v>
      </c>
      <c r="N1631" s="345" t="s">
        <v>207</v>
      </c>
      <c r="O1631" s="345" t="s">
        <v>208</v>
      </c>
      <c r="P1631" s="345" t="s">
        <v>209</v>
      </c>
      <c r="Q1631" s="345" t="s">
        <v>210</v>
      </c>
      <c r="R1631" s="345" t="s">
        <v>223</v>
      </c>
      <c r="S1631" s="345" t="s">
        <v>224</v>
      </c>
    </row>
    <row r="1632" spans="1:19" x14ac:dyDescent="0.25">
      <c r="A1632" s="311"/>
      <c r="B1632" s="312"/>
      <c r="C1632" s="312"/>
      <c r="D1632" s="312"/>
      <c r="E1632" s="312"/>
      <c r="F1632" s="312"/>
      <c r="G1632" s="328"/>
      <c r="H1632" s="337"/>
      <c r="I1632" s="334"/>
      <c r="J1632" s="314"/>
      <c r="K1632" s="449"/>
      <c r="M1632" s="349" t="str">
        <f>N1632&amp;AS[[#This Row],[Insurer Code]]&amp;"; "&amp;O1632&amp;AS[[#This Row],[Reporting Year]]&amp;"; "&amp;P1632&amp;AS[[#This Row],[Insurance Category Code]]&amp;"; "&amp;Q1632&amp;AS[[#This Row],[Large Provider Entity Code]]&amp;"; "&amp;R1632&amp;AS[[#This Row],[Age Band Code]]&amp;"; "&amp;S1632&amp;AS[[#This Row],[Sex Code]]</f>
        <v xml:space="preserve">Insurer Code ; Reporting Year ; Insurance Category Code ; Large Provider Entity Code ; Age Band Code ; Sex Code </v>
      </c>
      <c r="N1632" s="345" t="s">
        <v>207</v>
      </c>
      <c r="O1632" s="345" t="s">
        <v>208</v>
      </c>
      <c r="P1632" s="345" t="s">
        <v>209</v>
      </c>
      <c r="Q1632" s="345" t="s">
        <v>210</v>
      </c>
      <c r="R1632" s="345" t="s">
        <v>223</v>
      </c>
      <c r="S1632" s="345" t="s">
        <v>224</v>
      </c>
    </row>
    <row r="1633" spans="1:19" x14ac:dyDescent="0.25">
      <c r="A1633" s="311"/>
      <c r="B1633" s="312"/>
      <c r="C1633" s="312"/>
      <c r="D1633" s="312"/>
      <c r="E1633" s="312"/>
      <c r="F1633" s="312"/>
      <c r="G1633" s="328"/>
      <c r="H1633" s="337"/>
      <c r="I1633" s="334"/>
      <c r="J1633" s="314"/>
      <c r="K1633" s="449"/>
      <c r="M1633" s="349" t="str">
        <f>N1633&amp;AS[[#This Row],[Insurer Code]]&amp;"; "&amp;O1633&amp;AS[[#This Row],[Reporting Year]]&amp;"; "&amp;P1633&amp;AS[[#This Row],[Insurance Category Code]]&amp;"; "&amp;Q1633&amp;AS[[#This Row],[Large Provider Entity Code]]&amp;"; "&amp;R1633&amp;AS[[#This Row],[Age Band Code]]&amp;"; "&amp;S1633&amp;AS[[#This Row],[Sex Code]]</f>
        <v xml:space="preserve">Insurer Code ; Reporting Year ; Insurance Category Code ; Large Provider Entity Code ; Age Band Code ; Sex Code </v>
      </c>
      <c r="N1633" s="345" t="s">
        <v>207</v>
      </c>
      <c r="O1633" s="345" t="s">
        <v>208</v>
      </c>
      <c r="P1633" s="345" t="s">
        <v>209</v>
      </c>
      <c r="Q1633" s="345" t="s">
        <v>210</v>
      </c>
      <c r="R1633" s="345" t="s">
        <v>223</v>
      </c>
      <c r="S1633" s="345" t="s">
        <v>224</v>
      </c>
    </row>
    <row r="1634" spans="1:19" x14ac:dyDescent="0.25">
      <c r="A1634" s="311"/>
      <c r="B1634" s="312"/>
      <c r="C1634" s="312"/>
      <c r="D1634" s="312"/>
      <c r="E1634" s="312"/>
      <c r="F1634" s="312"/>
      <c r="G1634" s="328"/>
      <c r="H1634" s="337"/>
      <c r="I1634" s="334"/>
      <c r="J1634" s="314"/>
      <c r="K1634" s="449"/>
      <c r="M1634" s="349" t="str">
        <f>N1634&amp;AS[[#This Row],[Insurer Code]]&amp;"; "&amp;O1634&amp;AS[[#This Row],[Reporting Year]]&amp;"; "&amp;P1634&amp;AS[[#This Row],[Insurance Category Code]]&amp;"; "&amp;Q1634&amp;AS[[#This Row],[Large Provider Entity Code]]&amp;"; "&amp;R1634&amp;AS[[#This Row],[Age Band Code]]&amp;"; "&amp;S1634&amp;AS[[#This Row],[Sex Code]]</f>
        <v xml:space="preserve">Insurer Code ; Reporting Year ; Insurance Category Code ; Large Provider Entity Code ; Age Band Code ; Sex Code </v>
      </c>
      <c r="N1634" s="345" t="s">
        <v>207</v>
      </c>
      <c r="O1634" s="345" t="s">
        <v>208</v>
      </c>
      <c r="P1634" s="345" t="s">
        <v>209</v>
      </c>
      <c r="Q1634" s="345" t="s">
        <v>210</v>
      </c>
      <c r="R1634" s="345" t="s">
        <v>223</v>
      </c>
      <c r="S1634" s="345" t="s">
        <v>224</v>
      </c>
    </row>
    <row r="1635" spans="1:19" x14ac:dyDescent="0.25">
      <c r="A1635" s="311"/>
      <c r="B1635" s="312"/>
      <c r="C1635" s="312"/>
      <c r="D1635" s="312"/>
      <c r="E1635" s="312"/>
      <c r="F1635" s="312"/>
      <c r="G1635" s="328"/>
      <c r="H1635" s="337"/>
      <c r="I1635" s="334"/>
      <c r="J1635" s="314"/>
      <c r="K1635" s="449"/>
      <c r="M1635" s="349" t="str">
        <f>N1635&amp;AS[[#This Row],[Insurer Code]]&amp;"; "&amp;O1635&amp;AS[[#This Row],[Reporting Year]]&amp;"; "&amp;P1635&amp;AS[[#This Row],[Insurance Category Code]]&amp;"; "&amp;Q1635&amp;AS[[#This Row],[Large Provider Entity Code]]&amp;"; "&amp;R1635&amp;AS[[#This Row],[Age Band Code]]&amp;"; "&amp;S1635&amp;AS[[#This Row],[Sex Code]]</f>
        <v xml:space="preserve">Insurer Code ; Reporting Year ; Insurance Category Code ; Large Provider Entity Code ; Age Band Code ; Sex Code </v>
      </c>
      <c r="N1635" s="345" t="s">
        <v>207</v>
      </c>
      <c r="O1635" s="345" t="s">
        <v>208</v>
      </c>
      <c r="P1635" s="345" t="s">
        <v>209</v>
      </c>
      <c r="Q1635" s="345" t="s">
        <v>210</v>
      </c>
      <c r="R1635" s="345" t="s">
        <v>223</v>
      </c>
      <c r="S1635" s="345" t="s">
        <v>224</v>
      </c>
    </row>
    <row r="1636" spans="1:19" x14ac:dyDescent="0.25">
      <c r="A1636" s="311"/>
      <c r="B1636" s="312"/>
      <c r="C1636" s="312"/>
      <c r="D1636" s="312"/>
      <c r="E1636" s="312"/>
      <c r="F1636" s="312"/>
      <c r="G1636" s="328"/>
      <c r="H1636" s="337"/>
      <c r="I1636" s="334"/>
      <c r="J1636" s="314"/>
      <c r="K1636" s="449"/>
      <c r="M1636" s="349" t="str">
        <f>N1636&amp;AS[[#This Row],[Insurer Code]]&amp;"; "&amp;O1636&amp;AS[[#This Row],[Reporting Year]]&amp;"; "&amp;P1636&amp;AS[[#This Row],[Insurance Category Code]]&amp;"; "&amp;Q1636&amp;AS[[#This Row],[Large Provider Entity Code]]&amp;"; "&amp;R1636&amp;AS[[#This Row],[Age Band Code]]&amp;"; "&amp;S1636&amp;AS[[#This Row],[Sex Code]]</f>
        <v xml:space="preserve">Insurer Code ; Reporting Year ; Insurance Category Code ; Large Provider Entity Code ; Age Band Code ; Sex Code </v>
      </c>
      <c r="N1636" s="345" t="s">
        <v>207</v>
      </c>
      <c r="O1636" s="345" t="s">
        <v>208</v>
      </c>
      <c r="P1636" s="345" t="s">
        <v>209</v>
      </c>
      <c r="Q1636" s="345" t="s">
        <v>210</v>
      </c>
      <c r="R1636" s="345" t="s">
        <v>223</v>
      </c>
      <c r="S1636" s="345" t="s">
        <v>224</v>
      </c>
    </row>
    <row r="1637" spans="1:19" x14ac:dyDescent="0.25">
      <c r="A1637" s="311"/>
      <c r="B1637" s="312"/>
      <c r="C1637" s="312"/>
      <c r="D1637" s="312"/>
      <c r="E1637" s="312"/>
      <c r="F1637" s="312"/>
      <c r="G1637" s="328"/>
      <c r="H1637" s="337"/>
      <c r="I1637" s="334"/>
      <c r="J1637" s="314"/>
      <c r="K1637" s="449"/>
      <c r="M1637" s="349" t="str">
        <f>N1637&amp;AS[[#This Row],[Insurer Code]]&amp;"; "&amp;O1637&amp;AS[[#This Row],[Reporting Year]]&amp;"; "&amp;P1637&amp;AS[[#This Row],[Insurance Category Code]]&amp;"; "&amp;Q1637&amp;AS[[#This Row],[Large Provider Entity Code]]&amp;"; "&amp;R1637&amp;AS[[#This Row],[Age Band Code]]&amp;"; "&amp;S1637&amp;AS[[#This Row],[Sex Code]]</f>
        <v xml:space="preserve">Insurer Code ; Reporting Year ; Insurance Category Code ; Large Provider Entity Code ; Age Band Code ; Sex Code </v>
      </c>
      <c r="N1637" s="345" t="s">
        <v>207</v>
      </c>
      <c r="O1637" s="345" t="s">
        <v>208</v>
      </c>
      <c r="P1637" s="345" t="s">
        <v>209</v>
      </c>
      <c r="Q1637" s="345" t="s">
        <v>210</v>
      </c>
      <c r="R1637" s="345" t="s">
        <v>223</v>
      </c>
      <c r="S1637" s="345" t="s">
        <v>224</v>
      </c>
    </row>
    <row r="1638" spans="1:19" x14ac:dyDescent="0.25">
      <c r="A1638" s="311"/>
      <c r="B1638" s="312"/>
      <c r="C1638" s="312"/>
      <c r="D1638" s="312"/>
      <c r="E1638" s="312"/>
      <c r="F1638" s="312"/>
      <c r="G1638" s="328"/>
      <c r="H1638" s="337"/>
      <c r="I1638" s="334"/>
      <c r="J1638" s="314"/>
      <c r="K1638" s="449"/>
      <c r="M1638" s="349" t="str">
        <f>N1638&amp;AS[[#This Row],[Insurer Code]]&amp;"; "&amp;O1638&amp;AS[[#This Row],[Reporting Year]]&amp;"; "&amp;P1638&amp;AS[[#This Row],[Insurance Category Code]]&amp;"; "&amp;Q1638&amp;AS[[#This Row],[Large Provider Entity Code]]&amp;"; "&amp;R1638&amp;AS[[#This Row],[Age Band Code]]&amp;"; "&amp;S1638&amp;AS[[#This Row],[Sex Code]]</f>
        <v xml:space="preserve">Insurer Code ; Reporting Year ; Insurance Category Code ; Large Provider Entity Code ; Age Band Code ; Sex Code </v>
      </c>
      <c r="N1638" s="345" t="s">
        <v>207</v>
      </c>
      <c r="O1638" s="345" t="s">
        <v>208</v>
      </c>
      <c r="P1638" s="345" t="s">
        <v>209</v>
      </c>
      <c r="Q1638" s="345" t="s">
        <v>210</v>
      </c>
      <c r="R1638" s="345" t="s">
        <v>223</v>
      </c>
      <c r="S1638" s="345" t="s">
        <v>224</v>
      </c>
    </row>
    <row r="1639" spans="1:19" x14ac:dyDescent="0.25">
      <c r="A1639" s="311"/>
      <c r="B1639" s="312"/>
      <c r="C1639" s="312"/>
      <c r="D1639" s="312"/>
      <c r="E1639" s="312"/>
      <c r="F1639" s="312"/>
      <c r="G1639" s="328"/>
      <c r="H1639" s="337"/>
      <c r="I1639" s="334"/>
      <c r="J1639" s="314"/>
      <c r="K1639" s="449"/>
      <c r="M1639" s="349" t="str">
        <f>N1639&amp;AS[[#This Row],[Insurer Code]]&amp;"; "&amp;O1639&amp;AS[[#This Row],[Reporting Year]]&amp;"; "&amp;P1639&amp;AS[[#This Row],[Insurance Category Code]]&amp;"; "&amp;Q1639&amp;AS[[#This Row],[Large Provider Entity Code]]&amp;"; "&amp;R1639&amp;AS[[#This Row],[Age Band Code]]&amp;"; "&amp;S1639&amp;AS[[#This Row],[Sex Code]]</f>
        <v xml:space="preserve">Insurer Code ; Reporting Year ; Insurance Category Code ; Large Provider Entity Code ; Age Band Code ; Sex Code </v>
      </c>
      <c r="N1639" s="345" t="s">
        <v>207</v>
      </c>
      <c r="O1639" s="345" t="s">
        <v>208</v>
      </c>
      <c r="P1639" s="345" t="s">
        <v>209</v>
      </c>
      <c r="Q1639" s="345" t="s">
        <v>210</v>
      </c>
      <c r="R1639" s="345" t="s">
        <v>223</v>
      </c>
      <c r="S1639" s="345" t="s">
        <v>224</v>
      </c>
    </row>
    <row r="1640" spans="1:19" x14ac:dyDescent="0.25">
      <c r="A1640" s="311"/>
      <c r="B1640" s="312"/>
      <c r="C1640" s="312"/>
      <c r="D1640" s="312"/>
      <c r="E1640" s="312"/>
      <c r="F1640" s="312"/>
      <c r="G1640" s="328"/>
      <c r="H1640" s="337"/>
      <c r="I1640" s="334"/>
      <c r="J1640" s="314"/>
      <c r="K1640" s="449"/>
      <c r="M1640" s="349" t="str">
        <f>N1640&amp;AS[[#This Row],[Insurer Code]]&amp;"; "&amp;O1640&amp;AS[[#This Row],[Reporting Year]]&amp;"; "&amp;P1640&amp;AS[[#This Row],[Insurance Category Code]]&amp;"; "&amp;Q1640&amp;AS[[#This Row],[Large Provider Entity Code]]&amp;"; "&amp;R1640&amp;AS[[#This Row],[Age Band Code]]&amp;"; "&amp;S1640&amp;AS[[#This Row],[Sex Code]]</f>
        <v xml:space="preserve">Insurer Code ; Reporting Year ; Insurance Category Code ; Large Provider Entity Code ; Age Band Code ; Sex Code </v>
      </c>
      <c r="N1640" s="345" t="s">
        <v>207</v>
      </c>
      <c r="O1640" s="345" t="s">
        <v>208</v>
      </c>
      <c r="P1640" s="345" t="s">
        <v>209</v>
      </c>
      <c r="Q1640" s="345" t="s">
        <v>210</v>
      </c>
      <c r="R1640" s="345" t="s">
        <v>223</v>
      </c>
      <c r="S1640" s="345" t="s">
        <v>224</v>
      </c>
    </row>
    <row r="1641" spans="1:19" x14ac:dyDescent="0.25">
      <c r="A1641" s="311"/>
      <c r="B1641" s="312"/>
      <c r="C1641" s="312"/>
      <c r="D1641" s="312"/>
      <c r="E1641" s="312"/>
      <c r="F1641" s="312"/>
      <c r="G1641" s="328"/>
      <c r="H1641" s="337"/>
      <c r="I1641" s="334"/>
      <c r="J1641" s="314"/>
      <c r="K1641" s="449"/>
      <c r="M1641" s="349" t="str">
        <f>N1641&amp;AS[[#This Row],[Insurer Code]]&amp;"; "&amp;O1641&amp;AS[[#This Row],[Reporting Year]]&amp;"; "&amp;P1641&amp;AS[[#This Row],[Insurance Category Code]]&amp;"; "&amp;Q1641&amp;AS[[#This Row],[Large Provider Entity Code]]&amp;"; "&amp;R1641&amp;AS[[#This Row],[Age Band Code]]&amp;"; "&amp;S1641&amp;AS[[#This Row],[Sex Code]]</f>
        <v xml:space="preserve">Insurer Code ; Reporting Year ; Insurance Category Code ; Large Provider Entity Code ; Age Band Code ; Sex Code </v>
      </c>
      <c r="N1641" s="345" t="s">
        <v>207</v>
      </c>
      <c r="O1641" s="345" t="s">
        <v>208</v>
      </c>
      <c r="P1641" s="345" t="s">
        <v>209</v>
      </c>
      <c r="Q1641" s="345" t="s">
        <v>210</v>
      </c>
      <c r="R1641" s="345" t="s">
        <v>223</v>
      </c>
      <c r="S1641" s="345" t="s">
        <v>224</v>
      </c>
    </row>
    <row r="1642" spans="1:19" x14ac:dyDescent="0.25">
      <c r="A1642" s="311"/>
      <c r="B1642" s="312"/>
      <c r="C1642" s="312"/>
      <c r="D1642" s="312"/>
      <c r="E1642" s="312"/>
      <c r="F1642" s="312"/>
      <c r="G1642" s="328"/>
      <c r="H1642" s="337"/>
      <c r="I1642" s="334"/>
      <c r="J1642" s="314"/>
      <c r="K1642" s="449"/>
      <c r="M1642" s="349" t="str">
        <f>N1642&amp;AS[[#This Row],[Insurer Code]]&amp;"; "&amp;O1642&amp;AS[[#This Row],[Reporting Year]]&amp;"; "&amp;P1642&amp;AS[[#This Row],[Insurance Category Code]]&amp;"; "&amp;Q1642&amp;AS[[#This Row],[Large Provider Entity Code]]&amp;"; "&amp;R1642&amp;AS[[#This Row],[Age Band Code]]&amp;"; "&amp;S1642&amp;AS[[#This Row],[Sex Code]]</f>
        <v xml:space="preserve">Insurer Code ; Reporting Year ; Insurance Category Code ; Large Provider Entity Code ; Age Band Code ; Sex Code </v>
      </c>
      <c r="N1642" s="345" t="s">
        <v>207</v>
      </c>
      <c r="O1642" s="345" t="s">
        <v>208</v>
      </c>
      <c r="P1642" s="345" t="s">
        <v>209</v>
      </c>
      <c r="Q1642" s="345" t="s">
        <v>210</v>
      </c>
      <c r="R1642" s="345" t="s">
        <v>223</v>
      </c>
      <c r="S1642" s="345" t="s">
        <v>224</v>
      </c>
    </row>
    <row r="1643" spans="1:19" x14ac:dyDescent="0.25">
      <c r="A1643" s="311"/>
      <c r="B1643" s="312"/>
      <c r="C1643" s="312"/>
      <c r="D1643" s="312"/>
      <c r="E1643" s="312"/>
      <c r="F1643" s="312"/>
      <c r="G1643" s="328"/>
      <c r="H1643" s="337"/>
      <c r="I1643" s="334"/>
      <c r="J1643" s="314"/>
      <c r="K1643" s="449"/>
      <c r="M1643" s="349" t="str">
        <f>N1643&amp;AS[[#This Row],[Insurer Code]]&amp;"; "&amp;O1643&amp;AS[[#This Row],[Reporting Year]]&amp;"; "&amp;P1643&amp;AS[[#This Row],[Insurance Category Code]]&amp;"; "&amp;Q1643&amp;AS[[#This Row],[Large Provider Entity Code]]&amp;"; "&amp;R1643&amp;AS[[#This Row],[Age Band Code]]&amp;"; "&amp;S1643&amp;AS[[#This Row],[Sex Code]]</f>
        <v xml:space="preserve">Insurer Code ; Reporting Year ; Insurance Category Code ; Large Provider Entity Code ; Age Band Code ; Sex Code </v>
      </c>
      <c r="N1643" s="345" t="s">
        <v>207</v>
      </c>
      <c r="O1643" s="345" t="s">
        <v>208</v>
      </c>
      <c r="P1643" s="345" t="s">
        <v>209</v>
      </c>
      <c r="Q1643" s="345" t="s">
        <v>210</v>
      </c>
      <c r="R1643" s="345" t="s">
        <v>223</v>
      </c>
      <c r="S1643" s="345" t="s">
        <v>224</v>
      </c>
    </row>
    <row r="1644" spans="1:19" x14ac:dyDescent="0.25">
      <c r="A1644" s="311"/>
      <c r="B1644" s="312"/>
      <c r="C1644" s="312"/>
      <c r="D1644" s="312"/>
      <c r="E1644" s="312"/>
      <c r="F1644" s="312"/>
      <c r="G1644" s="328"/>
      <c r="H1644" s="337"/>
      <c r="I1644" s="334"/>
      <c r="J1644" s="314"/>
      <c r="K1644" s="449"/>
      <c r="M1644" s="349" t="str">
        <f>N1644&amp;AS[[#This Row],[Insurer Code]]&amp;"; "&amp;O1644&amp;AS[[#This Row],[Reporting Year]]&amp;"; "&amp;P1644&amp;AS[[#This Row],[Insurance Category Code]]&amp;"; "&amp;Q1644&amp;AS[[#This Row],[Large Provider Entity Code]]&amp;"; "&amp;R1644&amp;AS[[#This Row],[Age Band Code]]&amp;"; "&amp;S1644&amp;AS[[#This Row],[Sex Code]]</f>
        <v xml:space="preserve">Insurer Code ; Reporting Year ; Insurance Category Code ; Large Provider Entity Code ; Age Band Code ; Sex Code </v>
      </c>
      <c r="N1644" s="345" t="s">
        <v>207</v>
      </c>
      <c r="O1644" s="345" t="s">
        <v>208</v>
      </c>
      <c r="P1644" s="345" t="s">
        <v>209</v>
      </c>
      <c r="Q1644" s="345" t="s">
        <v>210</v>
      </c>
      <c r="R1644" s="345" t="s">
        <v>223</v>
      </c>
      <c r="S1644" s="345" t="s">
        <v>224</v>
      </c>
    </row>
    <row r="1645" spans="1:19" x14ac:dyDescent="0.25">
      <c r="A1645" s="311"/>
      <c r="B1645" s="312"/>
      <c r="C1645" s="312"/>
      <c r="D1645" s="312"/>
      <c r="E1645" s="312"/>
      <c r="F1645" s="312"/>
      <c r="G1645" s="328"/>
      <c r="H1645" s="337"/>
      <c r="I1645" s="334"/>
      <c r="J1645" s="314"/>
      <c r="K1645" s="449"/>
      <c r="M1645" s="349" t="str">
        <f>N1645&amp;AS[[#This Row],[Insurer Code]]&amp;"; "&amp;O1645&amp;AS[[#This Row],[Reporting Year]]&amp;"; "&amp;P1645&amp;AS[[#This Row],[Insurance Category Code]]&amp;"; "&amp;Q1645&amp;AS[[#This Row],[Large Provider Entity Code]]&amp;"; "&amp;R1645&amp;AS[[#This Row],[Age Band Code]]&amp;"; "&amp;S1645&amp;AS[[#This Row],[Sex Code]]</f>
        <v xml:space="preserve">Insurer Code ; Reporting Year ; Insurance Category Code ; Large Provider Entity Code ; Age Band Code ; Sex Code </v>
      </c>
      <c r="N1645" s="345" t="s">
        <v>207</v>
      </c>
      <c r="O1645" s="345" t="s">
        <v>208</v>
      </c>
      <c r="P1645" s="345" t="s">
        <v>209</v>
      </c>
      <c r="Q1645" s="345" t="s">
        <v>210</v>
      </c>
      <c r="R1645" s="345" t="s">
        <v>223</v>
      </c>
      <c r="S1645" s="345" t="s">
        <v>224</v>
      </c>
    </row>
    <row r="1646" spans="1:19" x14ac:dyDescent="0.25">
      <c r="A1646" s="311"/>
      <c r="B1646" s="312"/>
      <c r="C1646" s="312"/>
      <c r="D1646" s="312"/>
      <c r="E1646" s="312"/>
      <c r="F1646" s="312"/>
      <c r="G1646" s="328"/>
      <c r="H1646" s="337"/>
      <c r="I1646" s="334"/>
      <c r="J1646" s="314"/>
      <c r="K1646" s="449"/>
      <c r="M1646" s="349" t="str">
        <f>N1646&amp;AS[[#This Row],[Insurer Code]]&amp;"; "&amp;O1646&amp;AS[[#This Row],[Reporting Year]]&amp;"; "&amp;P1646&amp;AS[[#This Row],[Insurance Category Code]]&amp;"; "&amp;Q1646&amp;AS[[#This Row],[Large Provider Entity Code]]&amp;"; "&amp;R1646&amp;AS[[#This Row],[Age Band Code]]&amp;"; "&amp;S1646&amp;AS[[#This Row],[Sex Code]]</f>
        <v xml:space="preserve">Insurer Code ; Reporting Year ; Insurance Category Code ; Large Provider Entity Code ; Age Band Code ; Sex Code </v>
      </c>
      <c r="N1646" s="345" t="s">
        <v>207</v>
      </c>
      <c r="O1646" s="345" t="s">
        <v>208</v>
      </c>
      <c r="P1646" s="345" t="s">
        <v>209</v>
      </c>
      <c r="Q1646" s="345" t="s">
        <v>210</v>
      </c>
      <c r="R1646" s="345" t="s">
        <v>223</v>
      </c>
      <c r="S1646" s="345" t="s">
        <v>224</v>
      </c>
    </row>
    <row r="1647" spans="1:19" x14ac:dyDescent="0.25">
      <c r="A1647" s="311"/>
      <c r="B1647" s="312"/>
      <c r="C1647" s="312"/>
      <c r="D1647" s="312"/>
      <c r="E1647" s="312"/>
      <c r="F1647" s="312"/>
      <c r="G1647" s="328"/>
      <c r="H1647" s="337"/>
      <c r="I1647" s="334"/>
      <c r="J1647" s="314"/>
      <c r="K1647" s="449"/>
      <c r="M1647" s="349" t="str">
        <f>N1647&amp;AS[[#This Row],[Insurer Code]]&amp;"; "&amp;O1647&amp;AS[[#This Row],[Reporting Year]]&amp;"; "&amp;P1647&amp;AS[[#This Row],[Insurance Category Code]]&amp;"; "&amp;Q1647&amp;AS[[#This Row],[Large Provider Entity Code]]&amp;"; "&amp;R1647&amp;AS[[#This Row],[Age Band Code]]&amp;"; "&amp;S1647&amp;AS[[#This Row],[Sex Code]]</f>
        <v xml:space="preserve">Insurer Code ; Reporting Year ; Insurance Category Code ; Large Provider Entity Code ; Age Band Code ; Sex Code </v>
      </c>
      <c r="N1647" s="345" t="s">
        <v>207</v>
      </c>
      <c r="O1647" s="345" t="s">
        <v>208</v>
      </c>
      <c r="P1647" s="345" t="s">
        <v>209</v>
      </c>
      <c r="Q1647" s="345" t="s">
        <v>210</v>
      </c>
      <c r="R1647" s="345" t="s">
        <v>223</v>
      </c>
      <c r="S1647" s="345" t="s">
        <v>224</v>
      </c>
    </row>
    <row r="1648" spans="1:19" x14ac:dyDescent="0.25">
      <c r="A1648" s="311"/>
      <c r="B1648" s="312"/>
      <c r="C1648" s="312"/>
      <c r="D1648" s="312"/>
      <c r="E1648" s="312"/>
      <c r="F1648" s="312"/>
      <c r="G1648" s="328"/>
      <c r="H1648" s="337"/>
      <c r="I1648" s="334"/>
      <c r="J1648" s="314"/>
      <c r="K1648" s="449"/>
      <c r="M1648" s="349" t="str">
        <f>N1648&amp;AS[[#This Row],[Insurer Code]]&amp;"; "&amp;O1648&amp;AS[[#This Row],[Reporting Year]]&amp;"; "&amp;P1648&amp;AS[[#This Row],[Insurance Category Code]]&amp;"; "&amp;Q1648&amp;AS[[#This Row],[Large Provider Entity Code]]&amp;"; "&amp;R1648&amp;AS[[#This Row],[Age Band Code]]&amp;"; "&amp;S1648&amp;AS[[#This Row],[Sex Code]]</f>
        <v xml:space="preserve">Insurer Code ; Reporting Year ; Insurance Category Code ; Large Provider Entity Code ; Age Band Code ; Sex Code </v>
      </c>
      <c r="N1648" s="345" t="s">
        <v>207</v>
      </c>
      <c r="O1648" s="345" t="s">
        <v>208</v>
      </c>
      <c r="P1648" s="345" t="s">
        <v>209</v>
      </c>
      <c r="Q1648" s="345" t="s">
        <v>210</v>
      </c>
      <c r="R1648" s="345" t="s">
        <v>223</v>
      </c>
      <c r="S1648" s="345" t="s">
        <v>224</v>
      </c>
    </row>
    <row r="1649" spans="1:19" x14ac:dyDescent="0.25">
      <c r="A1649" s="311"/>
      <c r="B1649" s="312"/>
      <c r="C1649" s="312"/>
      <c r="D1649" s="312"/>
      <c r="E1649" s="312"/>
      <c r="F1649" s="312"/>
      <c r="G1649" s="328"/>
      <c r="H1649" s="337"/>
      <c r="I1649" s="334"/>
      <c r="J1649" s="314"/>
      <c r="K1649" s="449"/>
      <c r="M1649" s="349" t="str">
        <f>N1649&amp;AS[[#This Row],[Insurer Code]]&amp;"; "&amp;O1649&amp;AS[[#This Row],[Reporting Year]]&amp;"; "&amp;P1649&amp;AS[[#This Row],[Insurance Category Code]]&amp;"; "&amp;Q1649&amp;AS[[#This Row],[Large Provider Entity Code]]&amp;"; "&amp;R1649&amp;AS[[#This Row],[Age Band Code]]&amp;"; "&amp;S1649&amp;AS[[#This Row],[Sex Code]]</f>
        <v xml:space="preserve">Insurer Code ; Reporting Year ; Insurance Category Code ; Large Provider Entity Code ; Age Band Code ; Sex Code </v>
      </c>
      <c r="N1649" s="345" t="s">
        <v>207</v>
      </c>
      <c r="O1649" s="345" t="s">
        <v>208</v>
      </c>
      <c r="P1649" s="345" t="s">
        <v>209</v>
      </c>
      <c r="Q1649" s="345" t="s">
        <v>210</v>
      </c>
      <c r="R1649" s="345" t="s">
        <v>223</v>
      </c>
      <c r="S1649" s="345" t="s">
        <v>224</v>
      </c>
    </row>
    <row r="1650" spans="1:19" x14ac:dyDescent="0.25">
      <c r="A1650" s="311"/>
      <c r="B1650" s="312"/>
      <c r="C1650" s="312"/>
      <c r="D1650" s="312"/>
      <c r="E1650" s="312"/>
      <c r="F1650" s="312"/>
      <c r="G1650" s="328"/>
      <c r="H1650" s="337"/>
      <c r="I1650" s="334"/>
      <c r="J1650" s="314"/>
      <c r="K1650" s="449"/>
      <c r="M1650" s="349" t="str">
        <f>N1650&amp;AS[[#This Row],[Insurer Code]]&amp;"; "&amp;O1650&amp;AS[[#This Row],[Reporting Year]]&amp;"; "&amp;P1650&amp;AS[[#This Row],[Insurance Category Code]]&amp;"; "&amp;Q1650&amp;AS[[#This Row],[Large Provider Entity Code]]&amp;"; "&amp;R1650&amp;AS[[#This Row],[Age Band Code]]&amp;"; "&amp;S1650&amp;AS[[#This Row],[Sex Code]]</f>
        <v xml:space="preserve">Insurer Code ; Reporting Year ; Insurance Category Code ; Large Provider Entity Code ; Age Band Code ; Sex Code </v>
      </c>
      <c r="N1650" s="345" t="s">
        <v>207</v>
      </c>
      <c r="O1650" s="345" t="s">
        <v>208</v>
      </c>
      <c r="P1650" s="345" t="s">
        <v>209</v>
      </c>
      <c r="Q1650" s="345" t="s">
        <v>210</v>
      </c>
      <c r="R1650" s="345" t="s">
        <v>223</v>
      </c>
      <c r="S1650" s="345" t="s">
        <v>224</v>
      </c>
    </row>
    <row r="1651" spans="1:19" x14ac:dyDescent="0.25">
      <c r="A1651" s="311"/>
      <c r="B1651" s="312"/>
      <c r="C1651" s="312"/>
      <c r="D1651" s="312"/>
      <c r="E1651" s="312"/>
      <c r="F1651" s="312"/>
      <c r="G1651" s="328"/>
      <c r="H1651" s="337"/>
      <c r="I1651" s="334"/>
      <c r="J1651" s="314"/>
      <c r="K1651" s="449"/>
      <c r="M1651" s="349" t="str">
        <f>N1651&amp;AS[[#This Row],[Insurer Code]]&amp;"; "&amp;O1651&amp;AS[[#This Row],[Reporting Year]]&amp;"; "&amp;P1651&amp;AS[[#This Row],[Insurance Category Code]]&amp;"; "&amp;Q1651&amp;AS[[#This Row],[Large Provider Entity Code]]&amp;"; "&amp;R1651&amp;AS[[#This Row],[Age Band Code]]&amp;"; "&amp;S1651&amp;AS[[#This Row],[Sex Code]]</f>
        <v xml:space="preserve">Insurer Code ; Reporting Year ; Insurance Category Code ; Large Provider Entity Code ; Age Band Code ; Sex Code </v>
      </c>
      <c r="N1651" s="345" t="s">
        <v>207</v>
      </c>
      <c r="O1651" s="345" t="s">
        <v>208</v>
      </c>
      <c r="P1651" s="345" t="s">
        <v>209</v>
      </c>
      <c r="Q1651" s="345" t="s">
        <v>210</v>
      </c>
      <c r="R1651" s="345" t="s">
        <v>223</v>
      </c>
      <c r="S1651" s="345" t="s">
        <v>224</v>
      </c>
    </row>
    <row r="1652" spans="1:19" x14ac:dyDescent="0.25">
      <c r="A1652" s="311"/>
      <c r="B1652" s="312"/>
      <c r="C1652" s="312"/>
      <c r="D1652" s="312"/>
      <c r="E1652" s="312"/>
      <c r="F1652" s="312"/>
      <c r="G1652" s="328"/>
      <c r="H1652" s="337"/>
      <c r="I1652" s="334"/>
      <c r="J1652" s="314"/>
      <c r="K1652" s="449"/>
      <c r="M1652" s="349" t="str">
        <f>N1652&amp;AS[[#This Row],[Insurer Code]]&amp;"; "&amp;O1652&amp;AS[[#This Row],[Reporting Year]]&amp;"; "&amp;P1652&amp;AS[[#This Row],[Insurance Category Code]]&amp;"; "&amp;Q1652&amp;AS[[#This Row],[Large Provider Entity Code]]&amp;"; "&amp;R1652&amp;AS[[#This Row],[Age Band Code]]&amp;"; "&amp;S1652&amp;AS[[#This Row],[Sex Code]]</f>
        <v xml:space="preserve">Insurer Code ; Reporting Year ; Insurance Category Code ; Large Provider Entity Code ; Age Band Code ; Sex Code </v>
      </c>
      <c r="N1652" s="345" t="s">
        <v>207</v>
      </c>
      <c r="O1652" s="345" t="s">
        <v>208</v>
      </c>
      <c r="P1652" s="345" t="s">
        <v>209</v>
      </c>
      <c r="Q1652" s="345" t="s">
        <v>210</v>
      </c>
      <c r="R1652" s="345" t="s">
        <v>223</v>
      </c>
      <c r="S1652" s="345" t="s">
        <v>224</v>
      </c>
    </row>
    <row r="1653" spans="1:19" x14ac:dyDescent="0.25">
      <c r="A1653" s="311"/>
      <c r="B1653" s="312"/>
      <c r="C1653" s="312"/>
      <c r="D1653" s="312"/>
      <c r="E1653" s="312"/>
      <c r="F1653" s="312"/>
      <c r="G1653" s="328"/>
      <c r="H1653" s="337"/>
      <c r="I1653" s="334"/>
      <c r="J1653" s="314"/>
      <c r="K1653" s="449"/>
      <c r="M1653" s="349" t="str">
        <f>N1653&amp;AS[[#This Row],[Insurer Code]]&amp;"; "&amp;O1653&amp;AS[[#This Row],[Reporting Year]]&amp;"; "&amp;P1653&amp;AS[[#This Row],[Insurance Category Code]]&amp;"; "&amp;Q1653&amp;AS[[#This Row],[Large Provider Entity Code]]&amp;"; "&amp;R1653&amp;AS[[#This Row],[Age Band Code]]&amp;"; "&amp;S1653&amp;AS[[#This Row],[Sex Code]]</f>
        <v xml:space="preserve">Insurer Code ; Reporting Year ; Insurance Category Code ; Large Provider Entity Code ; Age Band Code ; Sex Code </v>
      </c>
      <c r="N1653" s="345" t="s">
        <v>207</v>
      </c>
      <c r="O1653" s="345" t="s">
        <v>208</v>
      </c>
      <c r="P1653" s="345" t="s">
        <v>209</v>
      </c>
      <c r="Q1653" s="345" t="s">
        <v>210</v>
      </c>
      <c r="R1653" s="345" t="s">
        <v>223</v>
      </c>
      <c r="S1653" s="345" t="s">
        <v>224</v>
      </c>
    </row>
    <row r="1654" spans="1:19" x14ac:dyDescent="0.25">
      <c r="A1654" s="311"/>
      <c r="B1654" s="312"/>
      <c r="C1654" s="312"/>
      <c r="D1654" s="312"/>
      <c r="E1654" s="312"/>
      <c r="F1654" s="312"/>
      <c r="G1654" s="328"/>
      <c r="H1654" s="337"/>
      <c r="I1654" s="334"/>
      <c r="J1654" s="314"/>
      <c r="K1654" s="449"/>
      <c r="M1654" s="349" t="str">
        <f>N1654&amp;AS[[#This Row],[Insurer Code]]&amp;"; "&amp;O1654&amp;AS[[#This Row],[Reporting Year]]&amp;"; "&amp;P1654&amp;AS[[#This Row],[Insurance Category Code]]&amp;"; "&amp;Q1654&amp;AS[[#This Row],[Large Provider Entity Code]]&amp;"; "&amp;R1654&amp;AS[[#This Row],[Age Band Code]]&amp;"; "&amp;S1654&amp;AS[[#This Row],[Sex Code]]</f>
        <v xml:space="preserve">Insurer Code ; Reporting Year ; Insurance Category Code ; Large Provider Entity Code ; Age Band Code ; Sex Code </v>
      </c>
      <c r="N1654" s="345" t="s">
        <v>207</v>
      </c>
      <c r="O1654" s="345" t="s">
        <v>208</v>
      </c>
      <c r="P1654" s="345" t="s">
        <v>209</v>
      </c>
      <c r="Q1654" s="345" t="s">
        <v>210</v>
      </c>
      <c r="R1654" s="345" t="s">
        <v>223</v>
      </c>
      <c r="S1654" s="345" t="s">
        <v>224</v>
      </c>
    </row>
    <row r="1655" spans="1:19" x14ac:dyDescent="0.25">
      <c r="A1655" s="311"/>
      <c r="B1655" s="312"/>
      <c r="C1655" s="312"/>
      <c r="D1655" s="312"/>
      <c r="E1655" s="312"/>
      <c r="F1655" s="312"/>
      <c r="G1655" s="328"/>
      <c r="H1655" s="337"/>
      <c r="I1655" s="334"/>
      <c r="J1655" s="314"/>
      <c r="K1655" s="449"/>
      <c r="M1655" s="349" t="str">
        <f>N1655&amp;AS[[#This Row],[Insurer Code]]&amp;"; "&amp;O1655&amp;AS[[#This Row],[Reporting Year]]&amp;"; "&amp;P1655&amp;AS[[#This Row],[Insurance Category Code]]&amp;"; "&amp;Q1655&amp;AS[[#This Row],[Large Provider Entity Code]]&amp;"; "&amp;R1655&amp;AS[[#This Row],[Age Band Code]]&amp;"; "&amp;S1655&amp;AS[[#This Row],[Sex Code]]</f>
        <v xml:space="preserve">Insurer Code ; Reporting Year ; Insurance Category Code ; Large Provider Entity Code ; Age Band Code ; Sex Code </v>
      </c>
      <c r="N1655" s="345" t="s">
        <v>207</v>
      </c>
      <c r="O1655" s="345" t="s">
        <v>208</v>
      </c>
      <c r="P1655" s="345" t="s">
        <v>209</v>
      </c>
      <c r="Q1655" s="345" t="s">
        <v>210</v>
      </c>
      <c r="R1655" s="345" t="s">
        <v>223</v>
      </c>
      <c r="S1655" s="345" t="s">
        <v>224</v>
      </c>
    </row>
    <row r="1656" spans="1:19" x14ac:dyDescent="0.25">
      <c r="A1656" s="311"/>
      <c r="B1656" s="312"/>
      <c r="C1656" s="312"/>
      <c r="D1656" s="312"/>
      <c r="E1656" s="312"/>
      <c r="F1656" s="312"/>
      <c r="G1656" s="328"/>
      <c r="H1656" s="337"/>
      <c r="I1656" s="334"/>
      <c r="J1656" s="314"/>
      <c r="K1656" s="449"/>
      <c r="M1656" s="349" t="str">
        <f>N1656&amp;AS[[#This Row],[Insurer Code]]&amp;"; "&amp;O1656&amp;AS[[#This Row],[Reporting Year]]&amp;"; "&amp;P1656&amp;AS[[#This Row],[Insurance Category Code]]&amp;"; "&amp;Q1656&amp;AS[[#This Row],[Large Provider Entity Code]]&amp;"; "&amp;R1656&amp;AS[[#This Row],[Age Band Code]]&amp;"; "&amp;S1656&amp;AS[[#This Row],[Sex Code]]</f>
        <v xml:space="preserve">Insurer Code ; Reporting Year ; Insurance Category Code ; Large Provider Entity Code ; Age Band Code ; Sex Code </v>
      </c>
      <c r="N1656" s="345" t="s">
        <v>207</v>
      </c>
      <c r="O1656" s="345" t="s">
        <v>208</v>
      </c>
      <c r="P1656" s="345" t="s">
        <v>209</v>
      </c>
      <c r="Q1656" s="345" t="s">
        <v>210</v>
      </c>
      <c r="R1656" s="345" t="s">
        <v>223</v>
      </c>
      <c r="S1656" s="345" t="s">
        <v>224</v>
      </c>
    </row>
    <row r="1657" spans="1:19" x14ac:dyDescent="0.25">
      <c r="A1657" s="311"/>
      <c r="B1657" s="312"/>
      <c r="C1657" s="312"/>
      <c r="D1657" s="312"/>
      <c r="E1657" s="312"/>
      <c r="F1657" s="312"/>
      <c r="G1657" s="328"/>
      <c r="H1657" s="337"/>
      <c r="I1657" s="334"/>
      <c r="J1657" s="314"/>
      <c r="K1657" s="449"/>
      <c r="M1657" s="349" t="str">
        <f>N1657&amp;AS[[#This Row],[Insurer Code]]&amp;"; "&amp;O1657&amp;AS[[#This Row],[Reporting Year]]&amp;"; "&amp;P1657&amp;AS[[#This Row],[Insurance Category Code]]&amp;"; "&amp;Q1657&amp;AS[[#This Row],[Large Provider Entity Code]]&amp;"; "&amp;R1657&amp;AS[[#This Row],[Age Band Code]]&amp;"; "&amp;S1657&amp;AS[[#This Row],[Sex Code]]</f>
        <v xml:space="preserve">Insurer Code ; Reporting Year ; Insurance Category Code ; Large Provider Entity Code ; Age Band Code ; Sex Code </v>
      </c>
      <c r="N1657" s="345" t="s">
        <v>207</v>
      </c>
      <c r="O1657" s="345" t="s">
        <v>208</v>
      </c>
      <c r="P1657" s="345" t="s">
        <v>209</v>
      </c>
      <c r="Q1657" s="345" t="s">
        <v>210</v>
      </c>
      <c r="R1657" s="345" t="s">
        <v>223</v>
      </c>
      <c r="S1657" s="345" t="s">
        <v>224</v>
      </c>
    </row>
    <row r="1658" spans="1:19" x14ac:dyDescent="0.25">
      <c r="A1658" s="311"/>
      <c r="B1658" s="312"/>
      <c r="C1658" s="312"/>
      <c r="D1658" s="312"/>
      <c r="E1658" s="312"/>
      <c r="F1658" s="312"/>
      <c r="G1658" s="328"/>
      <c r="H1658" s="337"/>
      <c r="I1658" s="334"/>
      <c r="J1658" s="314"/>
      <c r="K1658" s="449"/>
      <c r="M1658" s="349" t="str">
        <f>N1658&amp;AS[[#This Row],[Insurer Code]]&amp;"; "&amp;O1658&amp;AS[[#This Row],[Reporting Year]]&amp;"; "&amp;P1658&amp;AS[[#This Row],[Insurance Category Code]]&amp;"; "&amp;Q1658&amp;AS[[#This Row],[Large Provider Entity Code]]&amp;"; "&amp;R1658&amp;AS[[#This Row],[Age Band Code]]&amp;"; "&amp;S1658&amp;AS[[#This Row],[Sex Code]]</f>
        <v xml:space="preserve">Insurer Code ; Reporting Year ; Insurance Category Code ; Large Provider Entity Code ; Age Band Code ; Sex Code </v>
      </c>
      <c r="N1658" s="345" t="s">
        <v>207</v>
      </c>
      <c r="O1658" s="345" t="s">
        <v>208</v>
      </c>
      <c r="P1658" s="345" t="s">
        <v>209</v>
      </c>
      <c r="Q1658" s="345" t="s">
        <v>210</v>
      </c>
      <c r="R1658" s="345" t="s">
        <v>223</v>
      </c>
      <c r="S1658" s="345" t="s">
        <v>224</v>
      </c>
    </row>
    <row r="1659" spans="1:19" x14ac:dyDescent="0.25">
      <c r="A1659" s="311"/>
      <c r="B1659" s="312"/>
      <c r="C1659" s="312"/>
      <c r="D1659" s="312"/>
      <c r="E1659" s="312"/>
      <c r="F1659" s="312"/>
      <c r="G1659" s="328"/>
      <c r="H1659" s="337"/>
      <c r="I1659" s="334"/>
      <c r="J1659" s="314"/>
      <c r="K1659" s="449"/>
      <c r="M1659" s="349" t="str">
        <f>N1659&amp;AS[[#This Row],[Insurer Code]]&amp;"; "&amp;O1659&amp;AS[[#This Row],[Reporting Year]]&amp;"; "&amp;P1659&amp;AS[[#This Row],[Insurance Category Code]]&amp;"; "&amp;Q1659&amp;AS[[#This Row],[Large Provider Entity Code]]&amp;"; "&amp;R1659&amp;AS[[#This Row],[Age Band Code]]&amp;"; "&amp;S1659&amp;AS[[#This Row],[Sex Code]]</f>
        <v xml:space="preserve">Insurer Code ; Reporting Year ; Insurance Category Code ; Large Provider Entity Code ; Age Band Code ; Sex Code </v>
      </c>
      <c r="N1659" s="345" t="s">
        <v>207</v>
      </c>
      <c r="O1659" s="345" t="s">
        <v>208</v>
      </c>
      <c r="P1659" s="345" t="s">
        <v>209</v>
      </c>
      <c r="Q1659" s="345" t="s">
        <v>210</v>
      </c>
      <c r="R1659" s="345" t="s">
        <v>223</v>
      </c>
      <c r="S1659" s="345" t="s">
        <v>224</v>
      </c>
    </row>
    <row r="1660" spans="1:19" x14ac:dyDescent="0.25">
      <c r="A1660" s="311"/>
      <c r="B1660" s="312"/>
      <c r="C1660" s="312"/>
      <c r="D1660" s="312"/>
      <c r="E1660" s="312"/>
      <c r="F1660" s="312"/>
      <c r="G1660" s="328"/>
      <c r="H1660" s="337"/>
      <c r="I1660" s="334"/>
      <c r="J1660" s="314"/>
      <c r="K1660" s="449"/>
      <c r="M1660" s="349" t="str">
        <f>N1660&amp;AS[[#This Row],[Insurer Code]]&amp;"; "&amp;O1660&amp;AS[[#This Row],[Reporting Year]]&amp;"; "&amp;P1660&amp;AS[[#This Row],[Insurance Category Code]]&amp;"; "&amp;Q1660&amp;AS[[#This Row],[Large Provider Entity Code]]&amp;"; "&amp;R1660&amp;AS[[#This Row],[Age Band Code]]&amp;"; "&amp;S1660&amp;AS[[#This Row],[Sex Code]]</f>
        <v xml:space="preserve">Insurer Code ; Reporting Year ; Insurance Category Code ; Large Provider Entity Code ; Age Band Code ; Sex Code </v>
      </c>
      <c r="N1660" s="345" t="s">
        <v>207</v>
      </c>
      <c r="O1660" s="345" t="s">
        <v>208</v>
      </c>
      <c r="P1660" s="345" t="s">
        <v>209</v>
      </c>
      <c r="Q1660" s="345" t="s">
        <v>210</v>
      </c>
      <c r="R1660" s="345" t="s">
        <v>223</v>
      </c>
      <c r="S1660" s="345" t="s">
        <v>224</v>
      </c>
    </row>
    <row r="1661" spans="1:19" x14ac:dyDescent="0.25">
      <c r="A1661" s="311"/>
      <c r="B1661" s="312"/>
      <c r="C1661" s="312"/>
      <c r="D1661" s="312"/>
      <c r="E1661" s="312"/>
      <c r="F1661" s="312"/>
      <c r="G1661" s="328"/>
      <c r="H1661" s="337"/>
      <c r="I1661" s="334"/>
      <c r="J1661" s="314"/>
      <c r="K1661" s="449"/>
      <c r="M1661" s="349" t="str">
        <f>N1661&amp;AS[[#This Row],[Insurer Code]]&amp;"; "&amp;O1661&amp;AS[[#This Row],[Reporting Year]]&amp;"; "&amp;P1661&amp;AS[[#This Row],[Insurance Category Code]]&amp;"; "&amp;Q1661&amp;AS[[#This Row],[Large Provider Entity Code]]&amp;"; "&amp;R1661&amp;AS[[#This Row],[Age Band Code]]&amp;"; "&amp;S1661&amp;AS[[#This Row],[Sex Code]]</f>
        <v xml:space="preserve">Insurer Code ; Reporting Year ; Insurance Category Code ; Large Provider Entity Code ; Age Band Code ; Sex Code </v>
      </c>
      <c r="N1661" s="345" t="s">
        <v>207</v>
      </c>
      <c r="O1661" s="345" t="s">
        <v>208</v>
      </c>
      <c r="P1661" s="345" t="s">
        <v>209</v>
      </c>
      <c r="Q1661" s="345" t="s">
        <v>210</v>
      </c>
      <c r="R1661" s="345" t="s">
        <v>223</v>
      </c>
      <c r="S1661" s="345" t="s">
        <v>224</v>
      </c>
    </row>
    <row r="1662" spans="1:19" x14ac:dyDescent="0.25">
      <c r="A1662" s="311"/>
      <c r="B1662" s="312"/>
      <c r="C1662" s="312"/>
      <c r="D1662" s="312"/>
      <c r="E1662" s="312"/>
      <c r="F1662" s="312"/>
      <c r="G1662" s="328"/>
      <c r="H1662" s="337"/>
      <c r="I1662" s="334"/>
      <c r="J1662" s="314"/>
      <c r="K1662" s="449"/>
      <c r="M1662" s="349" t="str">
        <f>N1662&amp;AS[[#This Row],[Insurer Code]]&amp;"; "&amp;O1662&amp;AS[[#This Row],[Reporting Year]]&amp;"; "&amp;P1662&amp;AS[[#This Row],[Insurance Category Code]]&amp;"; "&amp;Q1662&amp;AS[[#This Row],[Large Provider Entity Code]]&amp;"; "&amp;R1662&amp;AS[[#This Row],[Age Band Code]]&amp;"; "&amp;S1662&amp;AS[[#This Row],[Sex Code]]</f>
        <v xml:space="preserve">Insurer Code ; Reporting Year ; Insurance Category Code ; Large Provider Entity Code ; Age Band Code ; Sex Code </v>
      </c>
      <c r="N1662" s="345" t="s">
        <v>207</v>
      </c>
      <c r="O1662" s="345" t="s">
        <v>208</v>
      </c>
      <c r="P1662" s="345" t="s">
        <v>209</v>
      </c>
      <c r="Q1662" s="345" t="s">
        <v>210</v>
      </c>
      <c r="R1662" s="345" t="s">
        <v>223</v>
      </c>
      <c r="S1662" s="345" t="s">
        <v>224</v>
      </c>
    </row>
    <row r="1663" spans="1:19" x14ac:dyDescent="0.25">
      <c r="A1663" s="311"/>
      <c r="B1663" s="312"/>
      <c r="C1663" s="312"/>
      <c r="D1663" s="312"/>
      <c r="E1663" s="312"/>
      <c r="F1663" s="312"/>
      <c r="G1663" s="328"/>
      <c r="H1663" s="337"/>
      <c r="I1663" s="334"/>
      <c r="J1663" s="314"/>
      <c r="K1663" s="449"/>
      <c r="M1663" s="349" t="str">
        <f>N1663&amp;AS[[#This Row],[Insurer Code]]&amp;"; "&amp;O1663&amp;AS[[#This Row],[Reporting Year]]&amp;"; "&amp;P1663&amp;AS[[#This Row],[Insurance Category Code]]&amp;"; "&amp;Q1663&amp;AS[[#This Row],[Large Provider Entity Code]]&amp;"; "&amp;R1663&amp;AS[[#This Row],[Age Band Code]]&amp;"; "&amp;S1663&amp;AS[[#This Row],[Sex Code]]</f>
        <v xml:space="preserve">Insurer Code ; Reporting Year ; Insurance Category Code ; Large Provider Entity Code ; Age Band Code ; Sex Code </v>
      </c>
      <c r="N1663" s="345" t="s">
        <v>207</v>
      </c>
      <c r="O1663" s="345" t="s">
        <v>208</v>
      </c>
      <c r="P1663" s="345" t="s">
        <v>209</v>
      </c>
      <c r="Q1663" s="345" t="s">
        <v>210</v>
      </c>
      <c r="R1663" s="345" t="s">
        <v>223</v>
      </c>
      <c r="S1663" s="345" t="s">
        <v>224</v>
      </c>
    </row>
    <row r="1664" spans="1:19" x14ac:dyDescent="0.25">
      <c r="A1664" s="311"/>
      <c r="B1664" s="312"/>
      <c r="C1664" s="312"/>
      <c r="D1664" s="312"/>
      <c r="E1664" s="312"/>
      <c r="F1664" s="312"/>
      <c r="G1664" s="328"/>
      <c r="H1664" s="337"/>
      <c r="I1664" s="334"/>
      <c r="J1664" s="314"/>
      <c r="K1664" s="449"/>
      <c r="M1664" s="349" t="str">
        <f>N1664&amp;AS[[#This Row],[Insurer Code]]&amp;"; "&amp;O1664&amp;AS[[#This Row],[Reporting Year]]&amp;"; "&amp;P1664&amp;AS[[#This Row],[Insurance Category Code]]&amp;"; "&amp;Q1664&amp;AS[[#This Row],[Large Provider Entity Code]]&amp;"; "&amp;R1664&amp;AS[[#This Row],[Age Band Code]]&amp;"; "&amp;S1664&amp;AS[[#This Row],[Sex Code]]</f>
        <v xml:space="preserve">Insurer Code ; Reporting Year ; Insurance Category Code ; Large Provider Entity Code ; Age Band Code ; Sex Code </v>
      </c>
      <c r="N1664" s="345" t="s">
        <v>207</v>
      </c>
      <c r="O1664" s="345" t="s">
        <v>208</v>
      </c>
      <c r="P1664" s="345" t="s">
        <v>209</v>
      </c>
      <c r="Q1664" s="345" t="s">
        <v>210</v>
      </c>
      <c r="R1664" s="345" t="s">
        <v>223</v>
      </c>
      <c r="S1664" s="345" t="s">
        <v>224</v>
      </c>
    </row>
    <row r="1665" spans="1:19" x14ac:dyDescent="0.25">
      <c r="A1665" s="311"/>
      <c r="B1665" s="312"/>
      <c r="C1665" s="312"/>
      <c r="D1665" s="312"/>
      <c r="E1665" s="312"/>
      <c r="F1665" s="312"/>
      <c r="G1665" s="328"/>
      <c r="H1665" s="337"/>
      <c r="I1665" s="334"/>
      <c r="J1665" s="314"/>
      <c r="K1665" s="449"/>
      <c r="M1665" s="349" t="str">
        <f>N1665&amp;AS[[#This Row],[Insurer Code]]&amp;"; "&amp;O1665&amp;AS[[#This Row],[Reporting Year]]&amp;"; "&amp;P1665&amp;AS[[#This Row],[Insurance Category Code]]&amp;"; "&amp;Q1665&amp;AS[[#This Row],[Large Provider Entity Code]]&amp;"; "&amp;R1665&amp;AS[[#This Row],[Age Band Code]]&amp;"; "&amp;S1665&amp;AS[[#This Row],[Sex Code]]</f>
        <v xml:space="preserve">Insurer Code ; Reporting Year ; Insurance Category Code ; Large Provider Entity Code ; Age Band Code ; Sex Code </v>
      </c>
      <c r="N1665" s="345" t="s">
        <v>207</v>
      </c>
      <c r="O1665" s="345" t="s">
        <v>208</v>
      </c>
      <c r="P1665" s="345" t="s">
        <v>209</v>
      </c>
      <c r="Q1665" s="345" t="s">
        <v>210</v>
      </c>
      <c r="R1665" s="345" t="s">
        <v>223</v>
      </c>
      <c r="S1665" s="345" t="s">
        <v>224</v>
      </c>
    </row>
    <row r="1666" spans="1:19" x14ac:dyDescent="0.25">
      <c r="A1666" s="311"/>
      <c r="B1666" s="312"/>
      <c r="C1666" s="312"/>
      <c r="D1666" s="312"/>
      <c r="E1666" s="312"/>
      <c r="F1666" s="312"/>
      <c r="G1666" s="328"/>
      <c r="H1666" s="337"/>
      <c r="I1666" s="334"/>
      <c r="J1666" s="314"/>
      <c r="K1666" s="449"/>
      <c r="M1666" s="349" t="str">
        <f>N1666&amp;AS[[#This Row],[Insurer Code]]&amp;"; "&amp;O1666&amp;AS[[#This Row],[Reporting Year]]&amp;"; "&amp;P1666&amp;AS[[#This Row],[Insurance Category Code]]&amp;"; "&amp;Q1666&amp;AS[[#This Row],[Large Provider Entity Code]]&amp;"; "&amp;R1666&amp;AS[[#This Row],[Age Band Code]]&amp;"; "&amp;S1666&amp;AS[[#This Row],[Sex Code]]</f>
        <v xml:space="preserve">Insurer Code ; Reporting Year ; Insurance Category Code ; Large Provider Entity Code ; Age Band Code ; Sex Code </v>
      </c>
      <c r="N1666" s="345" t="s">
        <v>207</v>
      </c>
      <c r="O1666" s="345" t="s">
        <v>208</v>
      </c>
      <c r="P1666" s="345" t="s">
        <v>209</v>
      </c>
      <c r="Q1666" s="345" t="s">
        <v>210</v>
      </c>
      <c r="R1666" s="345" t="s">
        <v>223</v>
      </c>
      <c r="S1666" s="345" t="s">
        <v>224</v>
      </c>
    </row>
    <row r="1667" spans="1:19" x14ac:dyDescent="0.25">
      <c r="A1667" s="311"/>
      <c r="B1667" s="312"/>
      <c r="C1667" s="312"/>
      <c r="D1667" s="312"/>
      <c r="E1667" s="312"/>
      <c r="F1667" s="312"/>
      <c r="G1667" s="328"/>
      <c r="H1667" s="337"/>
      <c r="I1667" s="334"/>
      <c r="J1667" s="314"/>
      <c r="K1667" s="449"/>
      <c r="M1667" s="349" t="str">
        <f>N1667&amp;AS[[#This Row],[Insurer Code]]&amp;"; "&amp;O1667&amp;AS[[#This Row],[Reporting Year]]&amp;"; "&amp;P1667&amp;AS[[#This Row],[Insurance Category Code]]&amp;"; "&amp;Q1667&amp;AS[[#This Row],[Large Provider Entity Code]]&amp;"; "&amp;R1667&amp;AS[[#This Row],[Age Band Code]]&amp;"; "&amp;S1667&amp;AS[[#This Row],[Sex Code]]</f>
        <v xml:space="preserve">Insurer Code ; Reporting Year ; Insurance Category Code ; Large Provider Entity Code ; Age Band Code ; Sex Code </v>
      </c>
      <c r="N1667" s="345" t="s">
        <v>207</v>
      </c>
      <c r="O1667" s="345" t="s">
        <v>208</v>
      </c>
      <c r="P1667" s="345" t="s">
        <v>209</v>
      </c>
      <c r="Q1667" s="345" t="s">
        <v>210</v>
      </c>
      <c r="R1667" s="345" t="s">
        <v>223</v>
      </c>
      <c r="S1667" s="345" t="s">
        <v>224</v>
      </c>
    </row>
    <row r="1668" spans="1:19" x14ac:dyDescent="0.25">
      <c r="A1668" s="311"/>
      <c r="B1668" s="312"/>
      <c r="C1668" s="312"/>
      <c r="D1668" s="312"/>
      <c r="E1668" s="312"/>
      <c r="F1668" s="312"/>
      <c r="G1668" s="328"/>
      <c r="H1668" s="337"/>
      <c r="I1668" s="334"/>
      <c r="J1668" s="314"/>
      <c r="K1668" s="449"/>
      <c r="M1668" s="349" t="str">
        <f>N1668&amp;AS[[#This Row],[Insurer Code]]&amp;"; "&amp;O1668&amp;AS[[#This Row],[Reporting Year]]&amp;"; "&amp;P1668&amp;AS[[#This Row],[Insurance Category Code]]&amp;"; "&amp;Q1668&amp;AS[[#This Row],[Large Provider Entity Code]]&amp;"; "&amp;R1668&amp;AS[[#This Row],[Age Band Code]]&amp;"; "&amp;S1668&amp;AS[[#This Row],[Sex Code]]</f>
        <v xml:space="preserve">Insurer Code ; Reporting Year ; Insurance Category Code ; Large Provider Entity Code ; Age Band Code ; Sex Code </v>
      </c>
      <c r="N1668" s="345" t="s">
        <v>207</v>
      </c>
      <c r="O1668" s="345" t="s">
        <v>208</v>
      </c>
      <c r="P1668" s="345" t="s">
        <v>209</v>
      </c>
      <c r="Q1668" s="345" t="s">
        <v>210</v>
      </c>
      <c r="R1668" s="345" t="s">
        <v>223</v>
      </c>
      <c r="S1668" s="345" t="s">
        <v>224</v>
      </c>
    </row>
    <row r="1669" spans="1:19" x14ac:dyDescent="0.25">
      <c r="A1669" s="311"/>
      <c r="B1669" s="312"/>
      <c r="C1669" s="312"/>
      <c r="D1669" s="312"/>
      <c r="E1669" s="312"/>
      <c r="F1669" s="312"/>
      <c r="G1669" s="328"/>
      <c r="H1669" s="337"/>
      <c r="I1669" s="334"/>
      <c r="J1669" s="314"/>
      <c r="K1669" s="449"/>
      <c r="M1669" s="349" t="str">
        <f>N1669&amp;AS[[#This Row],[Insurer Code]]&amp;"; "&amp;O1669&amp;AS[[#This Row],[Reporting Year]]&amp;"; "&amp;P1669&amp;AS[[#This Row],[Insurance Category Code]]&amp;"; "&amp;Q1669&amp;AS[[#This Row],[Large Provider Entity Code]]&amp;"; "&amp;R1669&amp;AS[[#This Row],[Age Band Code]]&amp;"; "&amp;S1669&amp;AS[[#This Row],[Sex Code]]</f>
        <v xml:space="preserve">Insurer Code ; Reporting Year ; Insurance Category Code ; Large Provider Entity Code ; Age Band Code ; Sex Code </v>
      </c>
      <c r="N1669" s="345" t="s">
        <v>207</v>
      </c>
      <c r="O1669" s="345" t="s">
        <v>208</v>
      </c>
      <c r="P1669" s="345" t="s">
        <v>209</v>
      </c>
      <c r="Q1669" s="345" t="s">
        <v>210</v>
      </c>
      <c r="R1669" s="345" t="s">
        <v>223</v>
      </c>
      <c r="S1669" s="345" t="s">
        <v>224</v>
      </c>
    </row>
    <row r="1670" spans="1:19" x14ac:dyDescent="0.25">
      <c r="A1670" s="311"/>
      <c r="B1670" s="312"/>
      <c r="C1670" s="312"/>
      <c r="D1670" s="312"/>
      <c r="E1670" s="312"/>
      <c r="F1670" s="312"/>
      <c r="G1670" s="328"/>
      <c r="H1670" s="337"/>
      <c r="I1670" s="334"/>
      <c r="J1670" s="314"/>
      <c r="K1670" s="449"/>
      <c r="M1670" s="349" t="str">
        <f>N1670&amp;AS[[#This Row],[Insurer Code]]&amp;"; "&amp;O1670&amp;AS[[#This Row],[Reporting Year]]&amp;"; "&amp;P1670&amp;AS[[#This Row],[Insurance Category Code]]&amp;"; "&amp;Q1670&amp;AS[[#This Row],[Large Provider Entity Code]]&amp;"; "&amp;R1670&amp;AS[[#This Row],[Age Band Code]]&amp;"; "&amp;S1670&amp;AS[[#This Row],[Sex Code]]</f>
        <v xml:space="preserve">Insurer Code ; Reporting Year ; Insurance Category Code ; Large Provider Entity Code ; Age Band Code ; Sex Code </v>
      </c>
      <c r="N1670" s="345" t="s">
        <v>207</v>
      </c>
      <c r="O1670" s="345" t="s">
        <v>208</v>
      </c>
      <c r="P1670" s="345" t="s">
        <v>209</v>
      </c>
      <c r="Q1670" s="345" t="s">
        <v>210</v>
      </c>
      <c r="R1670" s="345" t="s">
        <v>223</v>
      </c>
      <c r="S1670" s="345" t="s">
        <v>224</v>
      </c>
    </row>
    <row r="1671" spans="1:19" x14ac:dyDescent="0.25">
      <c r="A1671" s="311"/>
      <c r="B1671" s="312"/>
      <c r="C1671" s="312"/>
      <c r="D1671" s="312"/>
      <c r="E1671" s="312"/>
      <c r="F1671" s="312"/>
      <c r="G1671" s="328"/>
      <c r="H1671" s="337"/>
      <c r="I1671" s="334"/>
      <c r="J1671" s="314"/>
      <c r="K1671" s="449"/>
      <c r="M1671" s="349" t="str">
        <f>N1671&amp;AS[[#This Row],[Insurer Code]]&amp;"; "&amp;O1671&amp;AS[[#This Row],[Reporting Year]]&amp;"; "&amp;P1671&amp;AS[[#This Row],[Insurance Category Code]]&amp;"; "&amp;Q1671&amp;AS[[#This Row],[Large Provider Entity Code]]&amp;"; "&amp;R1671&amp;AS[[#This Row],[Age Band Code]]&amp;"; "&amp;S1671&amp;AS[[#This Row],[Sex Code]]</f>
        <v xml:space="preserve">Insurer Code ; Reporting Year ; Insurance Category Code ; Large Provider Entity Code ; Age Band Code ; Sex Code </v>
      </c>
      <c r="N1671" s="345" t="s">
        <v>207</v>
      </c>
      <c r="O1671" s="345" t="s">
        <v>208</v>
      </c>
      <c r="P1671" s="345" t="s">
        <v>209</v>
      </c>
      <c r="Q1671" s="345" t="s">
        <v>210</v>
      </c>
      <c r="R1671" s="345" t="s">
        <v>223</v>
      </c>
      <c r="S1671" s="345" t="s">
        <v>224</v>
      </c>
    </row>
    <row r="1672" spans="1:19" x14ac:dyDescent="0.25">
      <c r="A1672" s="311"/>
      <c r="B1672" s="312"/>
      <c r="C1672" s="312"/>
      <c r="D1672" s="312"/>
      <c r="E1672" s="312"/>
      <c r="F1672" s="312"/>
      <c r="G1672" s="328"/>
      <c r="H1672" s="337"/>
      <c r="I1672" s="334"/>
      <c r="J1672" s="314"/>
      <c r="K1672" s="449"/>
      <c r="M1672" s="349" t="str">
        <f>N1672&amp;AS[[#This Row],[Insurer Code]]&amp;"; "&amp;O1672&amp;AS[[#This Row],[Reporting Year]]&amp;"; "&amp;P1672&amp;AS[[#This Row],[Insurance Category Code]]&amp;"; "&amp;Q1672&amp;AS[[#This Row],[Large Provider Entity Code]]&amp;"; "&amp;R1672&amp;AS[[#This Row],[Age Band Code]]&amp;"; "&amp;S1672&amp;AS[[#This Row],[Sex Code]]</f>
        <v xml:space="preserve">Insurer Code ; Reporting Year ; Insurance Category Code ; Large Provider Entity Code ; Age Band Code ; Sex Code </v>
      </c>
      <c r="N1672" s="345" t="s">
        <v>207</v>
      </c>
      <c r="O1672" s="345" t="s">
        <v>208</v>
      </c>
      <c r="P1672" s="345" t="s">
        <v>209</v>
      </c>
      <c r="Q1672" s="345" t="s">
        <v>210</v>
      </c>
      <c r="R1672" s="345" t="s">
        <v>223</v>
      </c>
      <c r="S1672" s="345" t="s">
        <v>224</v>
      </c>
    </row>
    <row r="1673" spans="1:19" x14ac:dyDescent="0.25">
      <c r="A1673" s="311"/>
      <c r="B1673" s="312"/>
      <c r="C1673" s="312"/>
      <c r="D1673" s="312"/>
      <c r="E1673" s="312"/>
      <c r="F1673" s="312"/>
      <c r="G1673" s="328"/>
      <c r="H1673" s="337"/>
      <c r="I1673" s="334"/>
      <c r="J1673" s="314"/>
      <c r="K1673" s="449"/>
      <c r="M1673" s="349" t="str">
        <f>N1673&amp;AS[[#This Row],[Insurer Code]]&amp;"; "&amp;O1673&amp;AS[[#This Row],[Reporting Year]]&amp;"; "&amp;P1673&amp;AS[[#This Row],[Insurance Category Code]]&amp;"; "&amp;Q1673&amp;AS[[#This Row],[Large Provider Entity Code]]&amp;"; "&amp;R1673&amp;AS[[#This Row],[Age Band Code]]&amp;"; "&amp;S1673&amp;AS[[#This Row],[Sex Code]]</f>
        <v xml:space="preserve">Insurer Code ; Reporting Year ; Insurance Category Code ; Large Provider Entity Code ; Age Band Code ; Sex Code </v>
      </c>
      <c r="N1673" s="345" t="s">
        <v>207</v>
      </c>
      <c r="O1673" s="345" t="s">
        <v>208</v>
      </c>
      <c r="P1673" s="345" t="s">
        <v>209</v>
      </c>
      <c r="Q1673" s="345" t="s">
        <v>210</v>
      </c>
      <c r="R1673" s="345" t="s">
        <v>223</v>
      </c>
      <c r="S1673" s="345" t="s">
        <v>224</v>
      </c>
    </row>
    <row r="1674" spans="1:19" x14ac:dyDescent="0.25">
      <c r="A1674" s="311"/>
      <c r="B1674" s="312"/>
      <c r="C1674" s="312"/>
      <c r="D1674" s="312"/>
      <c r="E1674" s="312"/>
      <c r="F1674" s="312"/>
      <c r="G1674" s="328"/>
      <c r="H1674" s="337"/>
      <c r="I1674" s="334"/>
      <c r="J1674" s="314"/>
      <c r="K1674" s="449"/>
      <c r="M1674" s="349" t="str">
        <f>N1674&amp;AS[[#This Row],[Insurer Code]]&amp;"; "&amp;O1674&amp;AS[[#This Row],[Reporting Year]]&amp;"; "&amp;P1674&amp;AS[[#This Row],[Insurance Category Code]]&amp;"; "&amp;Q1674&amp;AS[[#This Row],[Large Provider Entity Code]]&amp;"; "&amp;R1674&amp;AS[[#This Row],[Age Band Code]]&amp;"; "&amp;S1674&amp;AS[[#This Row],[Sex Code]]</f>
        <v xml:space="preserve">Insurer Code ; Reporting Year ; Insurance Category Code ; Large Provider Entity Code ; Age Band Code ; Sex Code </v>
      </c>
      <c r="N1674" s="345" t="s">
        <v>207</v>
      </c>
      <c r="O1674" s="345" t="s">
        <v>208</v>
      </c>
      <c r="P1674" s="345" t="s">
        <v>209</v>
      </c>
      <c r="Q1674" s="345" t="s">
        <v>210</v>
      </c>
      <c r="R1674" s="345" t="s">
        <v>223</v>
      </c>
      <c r="S1674" s="345" t="s">
        <v>224</v>
      </c>
    </row>
    <row r="1675" spans="1:19" x14ac:dyDescent="0.25">
      <c r="A1675" s="311"/>
      <c r="B1675" s="312"/>
      <c r="C1675" s="312"/>
      <c r="D1675" s="312"/>
      <c r="E1675" s="312"/>
      <c r="F1675" s="312"/>
      <c r="G1675" s="328"/>
      <c r="H1675" s="337"/>
      <c r="I1675" s="334"/>
      <c r="J1675" s="314"/>
      <c r="K1675" s="449"/>
      <c r="M1675" s="349" t="str">
        <f>N1675&amp;AS[[#This Row],[Insurer Code]]&amp;"; "&amp;O1675&amp;AS[[#This Row],[Reporting Year]]&amp;"; "&amp;P1675&amp;AS[[#This Row],[Insurance Category Code]]&amp;"; "&amp;Q1675&amp;AS[[#This Row],[Large Provider Entity Code]]&amp;"; "&amp;R1675&amp;AS[[#This Row],[Age Band Code]]&amp;"; "&amp;S1675&amp;AS[[#This Row],[Sex Code]]</f>
        <v xml:space="preserve">Insurer Code ; Reporting Year ; Insurance Category Code ; Large Provider Entity Code ; Age Band Code ; Sex Code </v>
      </c>
      <c r="N1675" s="345" t="s">
        <v>207</v>
      </c>
      <c r="O1675" s="345" t="s">
        <v>208</v>
      </c>
      <c r="P1675" s="345" t="s">
        <v>209</v>
      </c>
      <c r="Q1675" s="345" t="s">
        <v>210</v>
      </c>
      <c r="R1675" s="345" t="s">
        <v>223</v>
      </c>
      <c r="S1675" s="345" t="s">
        <v>224</v>
      </c>
    </row>
    <row r="1676" spans="1:19" x14ac:dyDescent="0.25">
      <c r="A1676" s="311"/>
      <c r="B1676" s="312"/>
      <c r="C1676" s="312"/>
      <c r="D1676" s="312"/>
      <c r="E1676" s="312"/>
      <c r="F1676" s="312"/>
      <c r="G1676" s="328"/>
      <c r="H1676" s="337"/>
      <c r="I1676" s="334"/>
      <c r="J1676" s="314"/>
      <c r="K1676" s="449"/>
      <c r="M1676" s="349" t="str">
        <f>N1676&amp;AS[[#This Row],[Insurer Code]]&amp;"; "&amp;O1676&amp;AS[[#This Row],[Reporting Year]]&amp;"; "&amp;P1676&amp;AS[[#This Row],[Insurance Category Code]]&amp;"; "&amp;Q1676&amp;AS[[#This Row],[Large Provider Entity Code]]&amp;"; "&amp;R1676&amp;AS[[#This Row],[Age Band Code]]&amp;"; "&amp;S1676&amp;AS[[#This Row],[Sex Code]]</f>
        <v xml:space="preserve">Insurer Code ; Reporting Year ; Insurance Category Code ; Large Provider Entity Code ; Age Band Code ; Sex Code </v>
      </c>
      <c r="N1676" s="345" t="s">
        <v>207</v>
      </c>
      <c r="O1676" s="345" t="s">
        <v>208</v>
      </c>
      <c r="P1676" s="345" t="s">
        <v>209</v>
      </c>
      <c r="Q1676" s="345" t="s">
        <v>210</v>
      </c>
      <c r="R1676" s="345" t="s">
        <v>223</v>
      </c>
      <c r="S1676" s="345" t="s">
        <v>224</v>
      </c>
    </row>
    <row r="1677" spans="1:19" x14ac:dyDescent="0.25">
      <c r="A1677" s="311"/>
      <c r="B1677" s="312"/>
      <c r="C1677" s="312"/>
      <c r="D1677" s="312"/>
      <c r="E1677" s="312"/>
      <c r="F1677" s="312"/>
      <c r="G1677" s="328"/>
      <c r="H1677" s="337"/>
      <c r="I1677" s="334"/>
      <c r="J1677" s="314"/>
      <c r="K1677" s="449"/>
      <c r="M1677" s="349" t="str">
        <f>N1677&amp;AS[[#This Row],[Insurer Code]]&amp;"; "&amp;O1677&amp;AS[[#This Row],[Reporting Year]]&amp;"; "&amp;P1677&amp;AS[[#This Row],[Insurance Category Code]]&amp;"; "&amp;Q1677&amp;AS[[#This Row],[Large Provider Entity Code]]&amp;"; "&amp;R1677&amp;AS[[#This Row],[Age Band Code]]&amp;"; "&amp;S1677&amp;AS[[#This Row],[Sex Code]]</f>
        <v xml:space="preserve">Insurer Code ; Reporting Year ; Insurance Category Code ; Large Provider Entity Code ; Age Band Code ; Sex Code </v>
      </c>
      <c r="N1677" s="345" t="s">
        <v>207</v>
      </c>
      <c r="O1677" s="345" t="s">
        <v>208</v>
      </c>
      <c r="P1677" s="345" t="s">
        <v>209</v>
      </c>
      <c r="Q1677" s="345" t="s">
        <v>210</v>
      </c>
      <c r="R1677" s="345" t="s">
        <v>223</v>
      </c>
      <c r="S1677" s="345" t="s">
        <v>224</v>
      </c>
    </row>
    <row r="1678" spans="1:19" x14ac:dyDescent="0.25">
      <c r="A1678" s="311"/>
      <c r="B1678" s="312"/>
      <c r="C1678" s="312"/>
      <c r="D1678" s="312"/>
      <c r="E1678" s="312"/>
      <c r="F1678" s="312"/>
      <c r="G1678" s="328"/>
      <c r="H1678" s="337"/>
      <c r="I1678" s="334"/>
      <c r="J1678" s="314"/>
      <c r="K1678" s="449"/>
      <c r="M1678" s="349" t="str">
        <f>N1678&amp;AS[[#This Row],[Insurer Code]]&amp;"; "&amp;O1678&amp;AS[[#This Row],[Reporting Year]]&amp;"; "&amp;P1678&amp;AS[[#This Row],[Insurance Category Code]]&amp;"; "&amp;Q1678&amp;AS[[#This Row],[Large Provider Entity Code]]&amp;"; "&amp;R1678&amp;AS[[#This Row],[Age Band Code]]&amp;"; "&amp;S1678&amp;AS[[#This Row],[Sex Code]]</f>
        <v xml:space="preserve">Insurer Code ; Reporting Year ; Insurance Category Code ; Large Provider Entity Code ; Age Band Code ; Sex Code </v>
      </c>
      <c r="N1678" s="345" t="s">
        <v>207</v>
      </c>
      <c r="O1678" s="345" t="s">
        <v>208</v>
      </c>
      <c r="P1678" s="345" t="s">
        <v>209</v>
      </c>
      <c r="Q1678" s="345" t="s">
        <v>210</v>
      </c>
      <c r="R1678" s="345" t="s">
        <v>223</v>
      </c>
      <c r="S1678" s="345" t="s">
        <v>224</v>
      </c>
    </row>
    <row r="1679" spans="1:19" x14ac:dyDescent="0.25">
      <c r="A1679" s="311"/>
      <c r="B1679" s="312"/>
      <c r="C1679" s="312"/>
      <c r="D1679" s="312"/>
      <c r="E1679" s="312"/>
      <c r="F1679" s="312"/>
      <c r="G1679" s="328"/>
      <c r="H1679" s="337"/>
      <c r="I1679" s="334"/>
      <c r="J1679" s="314"/>
      <c r="K1679" s="449"/>
      <c r="M1679" s="349" t="str">
        <f>N1679&amp;AS[[#This Row],[Insurer Code]]&amp;"; "&amp;O1679&amp;AS[[#This Row],[Reporting Year]]&amp;"; "&amp;P1679&amp;AS[[#This Row],[Insurance Category Code]]&amp;"; "&amp;Q1679&amp;AS[[#This Row],[Large Provider Entity Code]]&amp;"; "&amp;R1679&amp;AS[[#This Row],[Age Band Code]]&amp;"; "&amp;S1679&amp;AS[[#This Row],[Sex Code]]</f>
        <v xml:space="preserve">Insurer Code ; Reporting Year ; Insurance Category Code ; Large Provider Entity Code ; Age Band Code ; Sex Code </v>
      </c>
      <c r="N1679" s="345" t="s">
        <v>207</v>
      </c>
      <c r="O1679" s="345" t="s">
        <v>208</v>
      </c>
      <c r="P1679" s="345" t="s">
        <v>209</v>
      </c>
      <c r="Q1679" s="345" t="s">
        <v>210</v>
      </c>
      <c r="R1679" s="345" t="s">
        <v>223</v>
      </c>
      <c r="S1679" s="345" t="s">
        <v>224</v>
      </c>
    </row>
    <row r="1680" spans="1:19" x14ac:dyDescent="0.25">
      <c r="A1680" s="311"/>
      <c r="B1680" s="312"/>
      <c r="C1680" s="312"/>
      <c r="D1680" s="312"/>
      <c r="E1680" s="312"/>
      <c r="F1680" s="312"/>
      <c r="G1680" s="328"/>
      <c r="H1680" s="337"/>
      <c r="I1680" s="334"/>
      <c r="J1680" s="314"/>
      <c r="K1680" s="449"/>
      <c r="M1680" s="349" t="str">
        <f>N1680&amp;AS[[#This Row],[Insurer Code]]&amp;"; "&amp;O1680&amp;AS[[#This Row],[Reporting Year]]&amp;"; "&amp;P1680&amp;AS[[#This Row],[Insurance Category Code]]&amp;"; "&amp;Q1680&amp;AS[[#This Row],[Large Provider Entity Code]]&amp;"; "&amp;R1680&amp;AS[[#This Row],[Age Band Code]]&amp;"; "&amp;S1680&amp;AS[[#This Row],[Sex Code]]</f>
        <v xml:space="preserve">Insurer Code ; Reporting Year ; Insurance Category Code ; Large Provider Entity Code ; Age Band Code ; Sex Code </v>
      </c>
      <c r="N1680" s="345" t="s">
        <v>207</v>
      </c>
      <c r="O1680" s="345" t="s">
        <v>208</v>
      </c>
      <c r="P1680" s="345" t="s">
        <v>209</v>
      </c>
      <c r="Q1680" s="345" t="s">
        <v>210</v>
      </c>
      <c r="R1680" s="345" t="s">
        <v>223</v>
      </c>
      <c r="S1680" s="345" t="s">
        <v>224</v>
      </c>
    </row>
    <row r="1681" spans="1:19" x14ac:dyDescent="0.25">
      <c r="A1681" s="311"/>
      <c r="B1681" s="312"/>
      <c r="C1681" s="312"/>
      <c r="D1681" s="312"/>
      <c r="E1681" s="312"/>
      <c r="F1681" s="312"/>
      <c r="G1681" s="328"/>
      <c r="H1681" s="337"/>
      <c r="I1681" s="334"/>
      <c r="J1681" s="314"/>
      <c r="K1681" s="449"/>
      <c r="M1681" s="349" t="str">
        <f>N1681&amp;AS[[#This Row],[Insurer Code]]&amp;"; "&amp;O1681&amp;AS[[#This Row],[Reporting Year]]&amp;"; "&amp;P1681&amp;AS[[#This Row],[Insurance Category Code]]&amp;"; "&amp;Q1681&amp;AS[[#This Row],[Large Provider Entity Code]]&amp;"; "&amp;R1681&amp;AS[[#This Row],[Age Band Code]]&amp;"; "&amp;S1681&amp;AS[[#This Row],[Sex Code]]</f>
        <v xml:space="preserve">Insurer Code ; Reporting Year ; Insurance Category Code ; Large Provider Entity Code ; Age Band Code ; Sex Code </v>
      </c>
      <c r="N1681" s="345" t="s">
        <v>207</v>
      </c>
      <c r="O1681" s="345" t="s">
        <v>208</v>
      </c>
      <c r="P1681" s="345" t="s">
        <v>209</v>
      </c>
      <c r="Q1681" s="345" t="s">
        <v>210</v>
      </c>
      <c r="R1681" s="345" t="s">
        <v>223</v>
      </c>
      <c r="S1681" s="345" t="s">
        <v>224</v>
      </c>
    </row>
    <row r="1682" spans="1:19" x14ac:dyDescent="0.25">
      <c r="A1682" s="311"/>
      <c r="B1682" s="312"/>
      <c r="C1682" s="312"/>
      <c r="D1682" s="312"/>
      <c r="E1682" s="312"/>
      <c r="F1682" s="312"/>
      <c r="G1682" s="328"/>
      <c r="H1682" s="337"/>
      <c r="I1682" s="334"/>
      <c r="J1682" s="314"/>
      <c r="K1682" s="449"/>
      <c r="M1682" s="349" t="str">
        <f>N1682&amp;AS[[#This Row],[Insurer Code]]&amp;"; "&amp;O1682&amp;AS[[#This Row],[Reporting Year]]&amp;"; "&amp;P1682&amp;AS[[#This Row],[Insurance Category Code]]&amp;"; "&amp;Q1682&amp;AS[[#This Row],[Large Provider Entity Code]]&amp;"; "&amp;R1682&amp;AS[[#This Row],[Age Band Code]]&amp;"; "&amp;S1682&amp;AS[[#This Row],[Sex Code]]</f>
        <v xml:space="preserve">Insurer Code ; Reporting Year ; Insurance Category Code ; Large Provider Entity Code ; Age Band Code ; Sex Code </v>
      </c>
      <c r="N1682" s="345" t="s">
        <v>207</v>
      </c>
      <c r="O1682" s="345" t="s">
        <v>208</v>
      </c>
      <c r="P1682" s="345" t="s">
        <v>209</v>
      </c>
      <c r="Q1682" s="345" t="s">
        <v>210</v>
      </c>
      <c r="R1682" s="345" t="s">
        <v>223</v>
      </c>
      <c r="S1682" s="345" t="s">
        <v>224</v>
      </c>
    </row>
    <row r="1683" spans="1:19" x14ac:dyDescent="0.25">
      <c r="A1683" s="311"/>
      <c r="B1683" s="312"/>
      <c r="C1683" s="312"/>
      <c r="D1683" s="312"/>
      <c r="E1683" s="312"/>
      <c r="F1683" s="312"/>
      <c r="G1683" s="328"/>
      <c r="H1683" s="337"/>
      <c r="I1683" s="334"/>
      <c r="J1683" s="314"/>
      <c r="K1683" s="449"/>
      <c r="M1683" s="349" t="str">
        <f>N1683&amp;AS[[#This Row],[Insurer Code]]&amp;"; "&amp;O1683&amp;AS[[#This Row],[Reporting Year]]&amp;"; "&amp;P1683&amp;AS[[#This Row],[Insurance Category Code]]&amp;"; "&amp;Q1683&amp;AS[[#This Row],[Large Provider Entity Code]]&amp;"; "&amp;R1683&amp;AS[[#This Row],[Age Band Code]]&amp;"; "&amp;S1683&amp;AS[[#This Row],[Sex Code]]</f>
        <v xml:space="preserve">Insurer Code ; Reporting Year ; Insurance Category Code ; Large Provider Entity Code ; Age Band Code ; Sex Code </v>
      </c>
      <c r="N1683" s="345" t="s">
        <v>207</v>
      </c>
      <c r="O1683" s="345" t="s">
        <v>208</v>
      </c>
      <c r="P1683" s="345" t="s">
        <v>209</v>
      </c>
      <c r="Q1683" s="345" t="s">
        <v>210</v>
      </c>
      <c r="R1683" s="345" t="s">
        <v>223</v>
      </c>
      <c r="S1683" s="345" t="s">
        <v>224</v>
      </c>
    </row>
    <row r="1684" spans="1:19" x14ac:dyDescent="0.25">
      <c r="A1684" s="311"/>
      <c r="B1684" s="312"/>
      <c r="C1684" s="312"/>
      <c r="D1684" s="312"/>
      <c r="E1684" s="312"/>
      <c r="F1684" s="312"/>
      <c r="G1684" s="328"/>
      <c r="H1684" s="337"/>
      <c r="I1684" s="334"/>
      <c r="J1684" s="314"/>
      <c r="K1684" s="449"/>
      <c r="M1684" s="349" t="str">
        <f>N1684&amp;AS[[#This Row],[Insurer Code]]&amp;"; "&amp;O1684&amp;AS[[#This Row],[Reporting Year]]&amp;"; "&amp;P1684&amp;AS[[#This Row],[Insurance Category Code]]&amp;"; "&amp;Q1684&amp;AS[[#This Row],[Large Provider Entity Code]]&amp;"; "&amp;R1684&amp;AS[[#This Row],[Age Band Code]]&amp;"; "&amp;S1684&amp;AS[[#This Row],[Sex Code]]</f>
        <v xml:space="preserve">Insurer Code ; Reporting Year ; Insurance Category Code ; Large Provider Entity Code ; Age Band Code ; Sex Code </v>
      </c>
      <c r="N1684" s="345" t="s">
        <v>207</v>
      </c>
      <c r="O1684" s="345" t="s">
        <v>208</v>
      </c>
      <c r="P1684" s="345" t="s">
        <v>209</v>
      </c>
      <c r="Q1684" s="345" t="s">
        <v>210</v>
      </c>
      <c r="R1684" s="345" t="s">
        <v>223</v>
      </c>
      <c r="S1684" s="345" t="s">
        <v>224</v>
      </c>
    </row>
    <row r="1685" spans="1:19" x14ac:dyDescent="0.25">
      <c r="A1685" s="311"/>
      <c r="B1685" s="312"/>
      <c r="C1685" s="312"/>
      <c r="D1685" s="312"/>
      <c r="E1685" s="312"/>
      <c r="F1685" s="312"/>
      <c r="G1685" s="328"/>
      <c r="H1685" s="337"/>
      <c r="I1685" s="334"/>
      <c r="J1685" s="314"/>
      <c r="K1685" s="449"/>
      <c r="M1685" s="349" t="str">
        <f>N1685&amp;AS[[#This Row],[Insurer Code]]&amp;"; "&amp;O1685&amp;AS[[#This Row],[Reporting Year]]&amp;"; "&amp;P1685&amp;AS[[#This Row],[Insurance Category Code]]&amp;"; "&amp;Q1685&amp;AS[[#This Row],[Large Provider Entity Code]]&amp;"; "&amp;R1685&amp;AS[[#This Row],[Age Band Code]]&amp;"; "&amp;S1685&amp;AS[[#This Row],[Sex Code]]</f>
        <v xml:space="preserve">Insurer Code ; Reporting Year ; Insurance Category Code ; Large Provider Entity Code ; Age Band Code ; Sex Code </v>
      </c>
      <c r="N1685" s="345" t="s">
        <v>207</v>
      </c>
      <c r="O1685" s="345" t="s">
        <v>208</v>
      </c>
      <c r="P1685" s="345" t="s">
        <v>209</v>
      </c>
      <c r="Q1685" s="345" t="s">
        <v>210</v>
      </c>
      <c r="R1685" s="345" t="s">
        <v>223</v>
      </c>
      <c r="S1685" s="345" t="s">
        <v>224</v>
      </c>
    </row>
    <row r="1686" spans="1:19" x14ac:dyDescent="0.25">
      <c r="A1686" s="311"/>
      <c r="B1686" s="312"/>
      <c r="C1686" s="312"/>
      <c r="D1686" s="312"/>
      <c r="E1686" s="312"/>
      <c r="F1686" s="312"/>
      <c r="G1686" s="328"/>
      <c r="H1686" s="337"/>
      <c r="I1686" s="334"/>
      <c r="J1686" s="314"/>
      <c r="K1686" s="449"/>
      <c r="M1686" s="349" t="str">
        <f>N1686&amp;AS[[#This Row],[Insurer Code]]&amp;"; "&amp;O1686&amp;AS[[#This Row],[Reporting Year]]&amp;"; "&amp;P1686&amp;AS[[#This Row],[Insurance Category Code]]&amp;"; "&amp;Q1686&amp;AS[[#This Row],[Large Provider Entity Code]]&amp;"; "&amp;R1686&amp;AS[[#This Row],[Age Band Code]]&amp;"; "&amp;S1686&amp;AS[[#This Row],[Sex Code]]</f>
        <v xml:space="preserve">Insurer Code ; Reporting Year ; Insurance Category Code ; Large Provider Entity Code ; Age Band Code ; Sex Code </v>
      </c>
      <c r="N1686" s="345" t="s">
        <v>207</v>
      </c>
      <c r="O1686" s="345" t="s">
        <v>208</v>
      </c>
      <c r="P1686" s="345" t="s">
        <v>209</v>
      </c>
      <c r="Q1686" s="345" t="s">
        <v>210</v>
      </c>
      <c r="R1686" s="345" t="s">
        <v>223</v>
      </c>
      <c r="S1686" s="345" t="s">
        <v>224</v>
      </c>
    </row>
    <row r="1687" spans="1:19" x14ac:dyDescent="0.25">
      <c r="A1687" s="311"/>
      <c r="B1687" s="312"/>
      <c r="C1687" s="312"/>
      <c r="D1687" s="312"/>
      <c r="E1687" s="312"/>
      <c r="F1687" s="312"/>
      <c r="G1687" s="328"/>
      <c r="H1687" s="337"/>
      <c r="I1687" s="334"/>
      <c r="J1687" s="314"/>
      <c r="K1687" s="449"/>
      <c r="M1687" s="349" t="str">
        <f>N1687&amp;AS[[#This Row],[Insurer Code]]&amp;"; "&amp;O1687&amp;AS[[#This Row],[Reporting Year]]&amp;"; "&amp;P1687&amp;AS[[#This Row],[Insurance Category Code]]&amp;"; "&amp;Q1687&amp;AS[[#This Row],[Large Provider Entity Code]]&amp;"; "&amp;R1687&amp;AS[[#This Row],[Age Band Code]]&amp;"; "&amp;S1687&amp;AS[[#This Row],[Sex Code]]</f>
        <v xml:space="preserve">Insurer Code ; Reporting Year ; Insurance Category Code ; Large Provider Entity Code ; Age Band Code ; Sex Code </v>
      </c>
      <c r="N1687" s="345" t="s">
        <v>207</v>
      </c>
      <c r="O1687" s="345" t="s">
        <v>208</v>
      </c>
      <c r="P1687" s="345" t="s">
        <v>209</v>
      </c>
      <c r="Q1687" s="345" t="s">
        <v>210</v>
      </c>
      <c r="R1687" s="345" t="s">
        <v>223</v>
      </c>
      <c r="S1687" s="345" t="s">
        <v>224</v>
      </c>
    </row>
    <row r="1688" spans="1:19" x14ac:dyDescent="0.25">
      <c r="A1688" s="311"/>
      <c r="B1688" s="312"/>
      <c r="C1688" s="312"/>
      <c r="D1688" s="312"/>
      <c r="E1688" s="312"/>
      <c r="F1688" s="312"/>
      <c r="G1688" s="328"/>
      <c r="H1688" s="337"/>
      <c r="I1688" s="334"/>
      <c r="J1688" s="314"/>
      <c r="K1688" s="449"/>
      <c r="M1688" s="349" t="str">
        <f>N1688&amp;AS[[#This Row],[Insurer Code]]&amp;"; "&amp;O1688&amp;AS[[#This Row],[Reporting Year]]&amp;"; "&amp;P1688&amp;AS[[#This Row],[Insurance Category Code]]&amp;"; "&amp;Q1688&amp;AS[[#This Row],[Large Provider Entity Code]]&amp;"; "&amp;R1688&amp;AS[[#This Row],[Age Band Code]]&amp;"; "&amp;S1688&amp;AS[[#This Row],[Sex Code]]</f>
        <v xml:space="preserve">Insurer Code ; Reporting Year ; Insurance Category Code ; Large Provider Entity Code ; Age Band Code ; Sex Code </v>
      </c>
      <c r="N1688" s="345" t="s">
        <v>207</v>
      </c>
      <c r="O1688" s="345" t="s">
        <v>208</v>
      </c>
      <c r="P1688" s="345" t="s">
        <v>209</v>
      </c>
      <c r="Q1688" s="345" t="s">
        <v>210</v>
      </c>
      <c r="R1688" s="345" t="s">
        <v>223</v>
      </c>
      <c r="S1688" s="345" t="s">
        <v>224</v>
      </c>
    </row>
    <row r="1689" spans="1:19" x14ac:dyDescent="0.25">
      <c r="A1689" s="311"/>
      <c r="B1689" s="312"/>
      <c r="C1689" s="312"/>
      <c r="D1689" s="312"/>
      <c r="E1689" s="312"/>
      <c r="F1689" s="312"/>
      <c r="G1689" s="328"/>
      <c r="H1689" s="337"/>
      <c r="I1689" s="334"/>
      <c r="J1689" s="314"/>
      <c r="K1689" s="449"/>
      <c r="M1689" s="349" t="str">
        <f>N1689&amp;AS[[#This Row],[Insurer Code]]&amp;"; "&amp;O1689&amp;AS[[#This Row],[Reporting Year]]&amp;"; "&amp;P1689&amp;AS[[#This Row],[Insurance Category Code]]&amp;"; "&amp;Q1689&amp;AS[[#This Row],[Large Provider Entity Code]]&amp;"; "&amp;R1689&amp;AS[[#This Row],[Age Band Code]]&amp;"; "&amp;S1689&amp;AS[[#This Row],[Sex Code]]</f>
        <v xml:space="preserve">Insurer Code ; Reporting Year ; Insurance Category Code ; Large Provider Entity Code ; Age Band Code ; Sex Code </v>
      </c>
      <c r="N1689" s="345" t="s">
        <v>207</v>
      </c>
      <c r="O1689" s="345" t="s">
        <v>208</v>
      </c>
      <c r="P1689" s="345" t="s">
        <v>209</v>
      </c>
      <c r="Q1689" s="345" t="s">
        <v>210</v>
      </c>
      <c r="R1689" s="345" t="s">
        <v>223</v>
      </c>
      <c r="S1689" s="345" t="s">
        <v>224</v>
      </c>
    </row>
    <row r="1690" spans="1:19" x14ac:dyDescent="0.25">
      <c r="A1690" s="311"/>
      <c r="B1690" s="312"/>
      <c r="C1690" s="312"/>
      <c r="D1690" s="312"/>
      <c r="E1690" s="312"/>
      <c r="F1690" s="312"/>
      <c r="G1690" s="328"/>
      <c r="H1690" s="337"/>
      <c r="I1690" s="334"/>
      <c r="J1690" s="314"/>
      <c r="K1690" s="449"/>
      <c r="M1690" s="349" t="str">
        <f>N1690&amp;AS[[#This Row],[Insurer Code]]&amp;"; "&amp;O1690&amp;AS[[#This Row],[Reporting Year]]&amp;"; "&amp;P1690&amp;AS[[#This Row],[Insurance Category Code]]&amp;"; "&amp;Q1690&amp;AS[[#This Row],[Large Provider Entity Code]]&amp;"; "&amp;R1690&amp;AS[[#This Row],[Age Band Code]]&amp;"; "&amp;S1690&amp;AS[[#This Row],[Sex Code]]</f>
        <v xml:space="preserve">Insurer Code ; Reporting Year ; Insurance Category Code ; Large Provider Entity Code ; Age Band Code ; Sex Code </v>
      </c>
      <c r="N1690" s="345" t="s">
        <v>207</v>
      </c>
      <c r="O1690" s="345" t="s">
        <v>208</v>
      </c>
      <c r="P1690" s="345" t="s">
        <v>209</v>
      </c>
      <c r="Q1690" s="345" t="s">
        <v>210</v>
      </c>
      <c r="R1690" s="345" t="s">
        <v>223</v>
      </c>
      <c r="S1690" s="345" t="s">
        <v>224</v>
      </c>
    </row>
    <row r="1691" spans="1:19" x14ac:dyDescent="0.25">
      <c r="A1691" s="311"/>
      <c r="B1691" s="312"/>
      <c r="C1691" s="312"/>
      <c r="D1691" s="312"/>
      <c r="E1691" s="312"/>
      <c r="F1691" s="312"/>
      <c r="G1691" s="328"/>
      <c r="H1691" s="337"/>
      <c r="I1691" s="334"/>
      <c r="J1691" s="314"/>
      <c r="K1691" s="449"/>
      <c r="M1691" s="349" t="str">
        <f>N1691&amp;AS[[#This Row],[Insurer Code]]&amp;"; "&amp;O1691&amp;AS[[#This Row],[Reporting Year]]&amp;"; "&amp;P1691&amp;AS[[#This Row],[Insurance Category Code]]&amp;"; "&amp;Q1691&amp;AS[[#This Row],[Large Provider Entity Code]]&amp;"; "&amp;R1691&amp;AS[[#This Row],[Age Band Code]]&amp;"; "&amp;S1691&amp;AS[[#This Row],[Sex Code]]</f>
        <v xml:space="preserve">Insurer Code ; Reporting Year ; Insurance Category Code ; Large Provider Entity Code ; Age Band Code ; Sex Code </v>
      </c>
      <c r="N1691" s="345" t="s">
        <v>207</v>
      </c>
      <c r="O1691" s="345" t="s">
        <v>208</v>
      </c>
      <c r="P1691" s="345" t="s">
        <v>209</v>
      </c>
      <c r="Q1691" s="345" t="s">
        <v>210</v>
      </c>
      <c r="R1691" s="345" t="s">
        <v>223</v>
      </c>
      <c r="S1691" s="345" t="s">
        <v>224</v>
      </c>
    </row>
    <row r="1692" spans="1:19" x14ac:dyDescent="0.25">
      <c r="A1692" s="311"/>
      <c r="B1692" s="312"/>
      <c r="C1692" s="312"/>
      <c r="D1692" s="312"/>
      <c r="E1692" s="312"/>
      <c r="F1692" s="312"/>
      <c r="G1692" s="328"/>
      <c r="H1692" s="337"/>
      <c r="I1692" s="334"/>
      <c r="J1692" s="314"/>
      <c r="K1692" s="449"/>
      <c r="M1692" s="349" t="str">
        <f>N1692&amp;AS[[#This Row],[Insurer Code]]&amp;"; "&amp;O1692&amp;AS[[#This Row],[Reporting Year]]&amp;"; "&amp;P1692&amp;AS[[#This Row],[Insurance Category Code]]&amp;"; "&amp;Q1692&amp;AS[[#This Row],[Large Provider Entity Code]]&amp;"; "&amp;R1692&amp;AS[[#This Row],[Age Band Code]]&amp;"; "&amp;S1692&amp;AS[[#This Row],[Sex Code]]</f>
        <v xml:space="preserve">Insurer Code ; Reporting Year ; Insurance Category Code ; Large Provider Entity Code ; Age Band Code ; Sex Code </v>
      </c>
      <c r="N1692" s="345" t="s">
        <v>207</v>
      </c>
      <c r="O1692" s="345" t="s">
        <v>208</v>
      </c>
      <c r="P1692" s="345" t="s">
        <v>209</v>
      </c>
      <c r="Q1692" s="345" t="s">
        <v>210</v>
      </c>
      <c r="R1692" s="345" t="s">
        <v>223</v>
      </c>
      <c r="S1692" s="345" t="s">
        <v>224</v>
      </c>
    </row>
    <row r="1693" spans="1:19" x14ac:dyDescent="0.25">
      <c r="A1693" s="311"/>
      <c r="B1693" s="312"/>
      <c r="C1693" s="312"/>
      <c r="D1693" s="312"/>
      <c r="E1693" s="312"/>
      <c r="F1693" s="312"/>
      <c r="G1693" s="328"/>
      <c r="H1693" s="337"/>
      <c r="I1693" s="334"/>
      <c r="J1693" s="314"/>
      <c r="K1693" s="449"/>
      <c r="M1693" s="349" t="str">
        <f>N1693&amp;AS[[#This Row],[Insurer Code]]&amp;"; "&amp;O1693&amp;AS[[#This Row],[Reporting Year]]&amp;"; "&amp;P1693&amp;AS[[#This Row],[Insurance Category Code]]&amp;"; "&amp;Q1693&amp;AS[[#This Row],[Large Provider Entity Code]]&amp;"; "&amp;R1693&amp;AS[[#This Row],[Age Band Code]]&amp;"; "&amp;S1693&amp;AS[[#This Row],[Sex Code]]</f>
        <v xml:space="preserve">Insurer Code ; Reporting Year ; Insurance Category Code ; Large Provider Entity Code ; Age Band Code ; Sex Code </v>
      </c>
      <c r="N1693" s="345" t="s">
        <v>207</v>
      </c>
      <c r="O1693" s="345" t="s">
        <v>208</v>
      </c>
      <c r="P1693" s="345" t="s">
        <v>209</v>
      </c>
      <c r="Q1693" s="345" t="s">
        <v>210</v>
      </c>
      <c r="R1693" s="345" t="s">
        <v>223</v>
      </c>
      <c r="S1693" s="345" t="s">
        <v>224</v>
      </c>
    </row>
    <row r="1694" spans="1:19" x14ac:dyDescent="0.25">
      <c r="A1694" s="311"/>
      <c r="B1694" s="312"/>
      <c r="C1694" s="312"/>
      <c r="D1694" s="312"/>
      <c r="E1694" s="312"/>
      <c r="F1694" s="312"/>
      <c r="G1694" s="328"/>
      <c r="H1694" s="337"/>
      <c r="I1694" s="334"/>
      <c r="J1694" s="314"/>
      <c r="K1694" s="449"/>
      <c r="M1694" s="349" t="str">
        <f>N1694&amp;AS[[#This Row],[Insurer Code]]&amp;"; "&amp;O1694&amp;AS[[#This Row],[Reporting Year]]&amp;"; "&amp;P1694&amp;AS[[#This Row],[Insurance Category Code]]&amp;"; "&amp;Q1694&amp;AS[[#This Row],[Large Provider Entity Code]]&amp;"; "&amp;R1694&amp;AS[[#This Row],[Age Band Code]]&amp;"; "&amp;S1694&amp;AS[[#This Row],[Sex Code]]</f>
        <v xml:space="preserve">Insurer Code ; Reporting Year ; Insurance Category Code ; Large Provider Entity Code ; Age Band Code ; Sex Code </v>
      </c>
      <c r="N1694" s="345" t="s">
        <v>207</v>
      </c>
      <c r="O1694" s="345" t="s">
        <v>208</v>
      </c>
      <c r="P1694" s="345" t="s">
        <v>209</v>
      </c>
      <c r="Q1694" s="345" t="s">
        <v>210</v>
      </c>
      <c r="R1694" s="345" t="s">
        <v>223</v>
      </c>
      <c r="S1694" s="345" t="s">
        <v>224</v>
      </c>
    </row>
    <row r="1695" spans="1:19" x14ac:dyDescent="0.25">
      <c r="A1695" s="311"/>
      <c r="B1695" s="312"/>
      <c r="C1695" s="312"/>
      <c r="D1695" s="312"/>
      <c r="E1695" s="312"/>
      <c r="F1695" s="312"/>
      <c r="G1695" s="328"/>
      <c r="H1695" s="337"/>
      <c r="I1695" s="334"/>
      <c r="J1695" s="314"/>
      <c r="K1695" s="449"/>
      <c r="M1695" s="349" t="str">
        <f>N1695&amp;AS[[#This Row],[Insurer Code]]&amp;"; "&amp;O1695&amp;AS[[#This Row],[Reporting Year]]&amp;"; "&amp;P1695&amp;AS[[#This Row],[Insurance Category Code]]&amp;"; "&amp;Q1695&amp;AS[[#This Row],[Large Provider Entity Code]]&amp;"; "&amp;R1695&amp;AS[[#This Row],[Age Band Code]]&amp;"; "&amp;S1695&amp;AS[[#This Row],[Sex Code]]</f>
        <v xml:space="preserve">Insurer Code ; Reporting Year ; Insurance Category Code ; Large Provider Entity Code ; Age Band Code ; Sex Code </v>
      </c>
      <c r="N1695" s="345" t="s">
        <v>207</v>
      </c>
      <c r="O1695" s="345" t="s">
        <v>208</v>
      </c>
      <c r="P1695" s="345" t="s">
        <v>209</v>
      </c>
      <c r="Q1695" s="345" t="s">
        <v>210</v>
      </c>
      <c r="R1695" s="345" t="s">
        <v>223</v>
      </c>
      <c r="S1695" s="345" t="s">
        <v>224</v>
      </c>
    </row>
    <row r="1696" spans="1:19" x14ac:dyDescent="0.25">
      <c r="A1696" s="311"/>
      <c r="B1696" s="312"/>
      <c r="C1696" s="312"/>
      <c r="D1696" s="312"/>
      <c r="E1696" s="312"/>
      <c r="F1696" s="312"/>
      <c r="G1696" s="328"/>
      <c r="H1696" s="337"/>
      <c r="I1696" s="334"/>
      <c r="J1696" s="314"/>
      <c r="K1696" s="449"/>
      <c r="M1696" s="349" t="str">
        <f>N1696&amp;AS[[#This Row],[Insurer Code]]&amp;"; "&amp;O1696&amp;AS[[#This Row],[Reporting Year]]&amp;"; "&amp;P1696&amp;AS[[#This Row],[Insurance Category Code]]&amp;"; "&amp;Q1696&amp;AS[[#This Row],[Large Provider Entity Code]]&amp;"; "&amp;R1696&amp;AS[[#This Row],[Age Band Code]]&amp;"; "&amp;S1696&amp;AS[[#This Row],[Sex Code]]</f>
        <v xml:space="preserve">Insurer Code ; Reporting Year ; Insurance Category Code ; Large Provider Entity Code ; Age Band Code ; Sex Code </v>
      </c>
      <c r="N1696" s="345" t="s">
        <v>207</v>
      </c>
      <c r="O1696" s="345" t="s">
        <v>208</v>
      </c>
      <c r="P1696" s="345" t="s">
        <v>209</v>
      </c>
      <c r="Q1696" s="345" t="s">
        <v>210</v>
      </c>
      <c r="R1696" s="345" t="s">
        <v>223</v>
      </c>
      <c r="S1696" s="345" t="s">
        <v>224</v>
      </c>
    </row>
    <row r="1697" spans="1:19" x14ac:dyDescent="0.25">
      <c r="A1697" s="311"/>
      <c r="B1697" s="312"/>
      <c r="C1697" s="312"/>
      <c r="D1697" s="312"/>
      <c r="E1697" s="312"/>
      <c r="F1697" s="312"/>
      <c r="G1697" s="328"/>
      <c r="H1697" s="337"/>
      <c r="I1697" s="334"/>
      <c r="J1697" s="314"/>
      <c r="K1697" s="449"/>
      <c r="M1697" s="349" t="str">
        <f>N1697&amp;AS[[#This Row],[Insurer Code]]&amp;"; "&amp;O1697&amp;AS[[#This Row],[Reporting Year]]&amp;"; "&amp;P1697&amp;AS[[#This Row],[Insurance Category Code]]&amp;"; "&amp;Q1697&amp;AS[[#This Row],[Large Provider Entity Code]]&amp;"; "&amp;R1697&amp;AS[[#This Row],[Age Band Code]]&amp;"; "&amp;S1697&amp;AS[[#This Row],[Sex Code]]</f>
        <v xml:space="preserve">Insurer Code ; Reporting Year ; Insurance Category Code ; Large Provider Entity Code ; Age Band Code ; Sex Code </v>
      </c>
      <c r="N1697" s="345" t="s">
        <v>207</v>
      </c>
      <c r="O1697" s="345" t="s">
        <v>208</v>
      </c>
      <c r="P1697" s="345" t="s">
        <v>209</v>
      </c>
      <c r="Q1697" s="345" t="s">
        <v>210</v>
      </c>
      <c r="R1697" s="345" t="s">
        <v>223</v>
      </c>
      <c r="S1697" s="345" t="s">
        <v>224</v>
      </c>
    </row>
    <row r="1698" spans="1:19" x14ac:dyDescent="0.25">
      <c r="A1698" s="311"/>
      <c r="B1698" s="312"/>
      <c r="C1698" s="312"/>
      <c r="D1698" s="312"/>
      <c r="E1698" s="312"/>
      <c r="F1698" s="312"/>
      <c r="G1698" s="328"/>
      <c r="H1698" s="337"/>
      <c r="I1698" s="334"/>
      <c r="J1698" s="314"/>
      <c r="K1698" s="449"/>
      <c r="M1698" s="349" t="str">
        <f>N1698&amp;AS[[#This Row],[Insurer Code]]&amp;"; "&amp;O1698&amp;AS[[#This Row],[Reporting Year]]&amp;"; "&amp;P1698&amp;AS[[#This Row],[Insurance Category Code]]&amp;"; "&amp;Q1698&amp;AS[[#This Row],[Large Provider Entity Code]]&amp;"; "&amp;R1698&amp;AS[[#This Row],[Age Band Code]]&amp;"; "&amp;S1698&amp;AS[[#This Row],[Sex Code]]</f>
        <v xml:space="preserve">Insurer Code ; Reporting Year ; Insurance Category Code ; Large Provider Entity Code ; Age Band Code ; Sex Code </v>
      </c>
      <c r="N1698" s="345" t="s">
        <v>207</v>
      </c>
      <c r="O1698" s="345" t="s">
        <v>208</v>
      </c>
      <c r="P1698" s="345" t="s">
        <v>209</v>
      </c>
      <c r="Q1698" s="345" t="s">
        <v>210</v>
      </c>
      <c r="R1698" s="345" t="s">
        <v>223</v>
      </c>
      <c r="S1698" s="345" t="s">
        <v>224</v>
      </c>
    </row>
    <row r="1699" spans="1:19" x14ac:dyDescent="0.25">
      <c r="A1699" s="311"/>
      <c r="B1699" s="312"/>
      <c r="C1699" s="312"/>
      <c r="D1699" s="312"/>
      <c r="E1699" s="312"/>
      <c r="F1699" s="312"/>
      <c r="G1699" s="328"/>
      <c r="H1699" s="337"/>
      <c r="I1699" s="334"/>
      <c r="J1699" s="314"/>
      <c r="K1699" s="449"/>
      <c r="M1699" s="349" t="str">
        <f>N1699&amp;AS[[#This Row],[Insurer Code]]&amp;"; "&amp;O1699&amp;AS[[#This Row],[Reporting Year]]&amp;"; "&amp;P1699&amp;AS[[#This Row],[Insurance Category Code]]&amp;"; "&amp;Q1699&amp;AS[[#This Row],[Large Provider Entity Code]]&amp;"; "&amp;R1699&amp;AS[[#This Row],[Age Band Code]]&amp;"; "&amp;S1699&amp;AS[[#This Row],[Sex Code]]</f>
        <v xml:space="preserve">Insurer Code ; Reporting Year ; Insurance Category Code ; Large Provider Entity Code ; Age Band Code ; Sex Code </v>
      </c>
      <c r="N1699" s="345" t="s">
        <v>207</v>
      </c>
      <c r="O1699" s="345" t="s">
        <v>208</v>
      </c>
      <c r="P1699" s="345" t="s">
        <v>209</v>
      </c>
      <c r="Q1699" s="345" t="s">
        <v>210</v>
      </c>
      <c r="R1699" s="345" t="s">
        <v>223</v>
      </c>
      <c r="S1699" s="345" t="s">
        <v>224</v>
      </c>
    </row>
    <row r="1700" spans="1:19" x14ac:dyDescent="0.25">
      <c r="A1700" s="311"/>
      <c r="B1700" s="312"/>
      <c r="C1700" s="312"/>
      <c r="D1700" s="312"/>
      <c r="E1700" s="312"/>
      <c r="F1700" s="312"/>
      <c r="G1700" s="328"/>
      <c r="H1700" s="337"/>
      <c r="I1700" s="334"/>
      <c r="J1700" s="314"/>
      <c r="K1700" s="449"/>
      <c r="M1700" s="349" t="str">
        <f>N1700&amp;AS[[#This Row],[Insurer Code]]&amp;"; "&amp;O1700&amp;AS[[#This Row],[Reporting Year]]&amp;"; "&amp;P1700&amp;AS[[#This Row],[Insurance Category Code]]&amp;"; "&amp;Q1700&amp;AS[[#This Row],[Large Provider Entity Code]]&amp;"; "&amp;R1700&amp;AS[[#This Row],[Age Band Code]]&amp;"; "&amp;S1700&amp;AS[[#This Row],[Sex Code]]</f>
        <v xml:space="preserve">Insurer Code ; Reporting Year ; Insurance Category Code ; Large Provider Entity Code ; Age Band Code ; Sex Code </v>
      </c>
      <c r="N1700" s="345" t="s">
        <v>207</v>
      </c>
      <c r="O1700" s="345" t="s">
        <v>208</v>
      </c>
      <c r="P1700" s="345" t="s">
        <v>209</v>
      </c>
      <c r="Q1700" s="345" t="s">
        <v>210</v>
      </c>
      <c r="R1700" s="345" t="s">
        <v>223</v>
      </c>
      <c r="S1700" s="345" t="s">
        <v>224</v>
      </c>
    </row>
    <row r="1701" spans="1:19" x14ac:dyDescent="0.25">
      <c r="A1701" s="311"/>
      <c r="B1701" s="312"/>
      <c r="C1701" s="312"/>
      <c r="D1701" s="312"/>
      <c r="E1701" s="312"/>
      <c r="F1701" s="312"/>
      <c r="G1701" s="328"/>
      <c r="H1701" s="337"/>
      <c r="I1701" s="334"/>
      <c r="J1701" s="314"/>
      <c r="K1701" s="449"/>
      <c r="M1701" s="349" t="str">
        <f>N1701&amp;AS[[#This Row],[Insurer Code]]&amp;"; "&amp;O1701&amp;AS[[#This Row],[Reporting Year]]&amp;"; "&amp;P1701&amp;AS[[#This Row],[Insurance Category Code]]&amp;"; "&amp;Q1701&amp;AS[[#This Row],[Large Provider Entity Code]]&amp;"; "&amp;R1701&amp;AS[[#This Row],[Age Band Code]]&amp;"; "&amp;S1701&amp;AS[[#This Row],[Sex Code]]</f>
        <v xml:space="preserve">Insurer Code ; Reporting Year ; Insurance Category Code ; Large Provider Entity Code ; Age Band Code ; Sex Code </v>
      </c>
      <c r="N1701" s="345" t="s">
        <v>207</v>
      </c>
      <c r="O1701" s="345" t="s">
        <v>208</v>
      </c>
      <c r="P1701" s="345" t="s">
        <v>209</v>
      </c>
      <c r="Q1701" s="345" t="s">
        <v>210</v>
      </c>
      <c r="R1701" s="345" t="s">
        <v>223</v>
      </c>
      <c r="S1701" s="345" t="s">
        <v>224</v>
      </c>
    </row>
    <row r="1702" spans="1:19" x14ac:dyDescent="0.25">
      <c r="A1702" s="311"/>
      <c r="B1702" s="312"/>
      <c r="C1702" s="312"/>
      <c r="D1702" s="312"/>
      <c r="E1702" s="312"/>
      <c r="F1702" s="312"/>
      <c r="G1702" s="328"/>
      <c r="H1702" s="337"/>
      <c r="I1702" s="334"/>
      <c r="J1702" s="314"/>
      <c r="K1702" s="449"/>
      <c r="M1702" s="349" t="str">
        <f>N1702&amp;AS[[#This Row],[Insurer Code]]&amp;"; "&amp;O1702&amp;AS[[#This Row],[Reporting Year]]&amp;"; "&amp;P1702&amp;AS[[#This Row],[Insurance Category Code]]&amp;"; "&amp;Q1702&amp;AS[[#This Row],[Large Provider Entity Code]]&amp;"; "&amp;R1702&amp;AS[[#This Row],[Age Band Code]]&amp;"; "&amp;S1702&amp;AS[[#This Row],[Sex Code]]</f>
        <v xml:space="preserve">Insurer Code ; Reporting Year ; Insurance Category Code ; Large Provider Entity Code ; Age Band Code ; Sex Code </v>
      </c>
      <c r="N1702" s="345" t="s">
        <v>207</v>
      </c>
      <c r="O1702" s="345" t="s">
        <v>208</v>
      </c>
      <c r="P1702" s="345" t="s">
        <v>209</v>
      </c>
      <c r="Q1702" s="345" t="s">
        <v>210</v>
      </c>
      <c r="R1702" s="345" t="s">
        <v>223</v>
      </c>
      <c r="S1702" s="345" t="s">
        <v>224</v>
      </c>
    </row>
    <row r="1703" spans="1:19" x14ac:dyDescent="0.25">
      <c r="A1703" s="311"/>
      <c r="B1703" s="312"/>
      <c r="C1703" s="312"/>
      <c r="D1703" s="312"/>
      <c r="E1703" s="312"/>
      <c r="F1703" s="312"/>
      <c r="G1703" s="328"/>
      <c r="H1703" s="337"/>
      <c r="I1703" s="334"/>
      <c r="J1703" s="314"/>
      <c r="K1703" s="449"/>
      <c r="M1703" s="349" t="str">
        <f>N1703&amp;AS[[#This Row],[Insurer Code]]&amp;"; "&amp;O1703&amp;AS[[#This Row],[Reporting Year]]&amp;"; "&amp;P1703&amp;AS[[#This Row],[Insurance Category Code]]&amp;"; "&amp;Q1703&amp;AS[[#This Row],[Large Provider Entity Code]]&amp;"; "&amp;R1703&amp;AS[[#This Row],[Age Band Code]]&amp;"; "&amp;S1703&amp;AS[[#This Row],[Sex Code]]</f>
        <v xml:space="preserve">Insurer Code ; Reporting Year ; Insurance Category Code ; Large Provider Entity Code ; Age Band Code ; Sex Code </v>
      </c>
      <c r="N1703" s="345" t="s">
        <v>207</v>
      </c>
      <c r="O1703" s="345" t="s">
        <v>208</v>
      </c>
      <c r="P1703" s="345" t="s">
        <v>209</v>
      </c>
      <c r="Q1703" s="345" t="s">
        <v>210</v>
      </c>
      <c r="R1703" s="345" t="s">
        <v>223</v>
      </c>
      <c r="S1703" s="345" t="s">
        <v>224</v>
      </c>
    </row>
    <row r="1704" spans="1:19" x14ac:dyDescent="0.25">
      <c r="A1704" s="311"/>
      <c r="B1704" s="312"/>
      <c r="C1704" s="312"/>
      <c r="D1704" s="312"/>
      <c r="E1704" s="312"/>
      <c r="F1704" s="312"/>
      <c r="G1704" s="328"/>
      <c r="H1704" s="337"/>
      <c r="I1704" s="334"/>
      <c r="J1704" s="314"/>
      <c r="K1704" s="449"/>
      <c r="M1704" s="349" t="str">
        <f>N1704&amp;AS[[#This Row],[Insurer Code]]&amp;"; "&amp;O1704&amp;AS[[#This Row],[Reporting Year]]&amp;"; "&amp;P1704&amp;AS[[#This Row],[Insurance Category Code]]&amp;"; "&amp;Q1704&amp;AS[[#This Row],[Large Provider Entity Code]]&amp;"; "&amp;R1704&amp;AS[[#This Row],[Age Band Code]]&amp;"; "&amp;S1704&amp;AS[[#This Row],[Sex Code]]</f>
        <v xml:space="preserve">Insurer Code ; Reporting Year ; Insurance Category Code ; Large Provider Entity Code ; Age Band Code ; Sex Code </v>
      </c>
      <c r="N1704" s="345" t="s">
        <v>207</v>
      </c>
      <c r="O1704" s="345" t="s">
        <v>208</v>
      </c>
      <c r="P1704" s="345" t="s">
        <v>209</v>
      </c>
      <c r="Q1704" s="345" t="s">
        <v>210</v>
      </c>
      <c r="R1704" s="345" t="s">
        <v>223</v>
      </c>
      <c r="S1704" s="345" t="s">
        <v>224</v>
      </c>
    </row>
    <row r="1705" spans="1:19" x14ac:dyDescent="0.25">
      <c r="A1705" s="311"/>
      <c r="B1705" s="312"/>
      <c r="C1705" s="312"/>
      <c r="D1705" s="312"/>
      <c r="E1705" s="312"/>
      <c r="F1705" s="312"/>
      <c r="G1705" s="328"/>
      <c r="H1705" s="337"/>
      <c r="I1705" s="334"/>
      <c r="J1705" s="314"/>
      <c r="K1705" s="449"/>
      <c r="M1705" s="349" t="str">
        <f>N1705&amp;AS[[#This Row],[Insurer Code]]&amp;"; "&amp;O1705&amp;AS[[#This Row],[Reporting Year]]&amp;"; "&amp;P1705&amp;AS[[#This Row],[Insurance Category Code]]&amp;"; "&amp;Q1705&amp;AS[[#This Row],[Large Provider Entity Code]]&amp;"; "&amp;R1705&amp;AS[[#This Row],[Age Band Code]]&amp;"; "&amp;S1705&amp;AS[[#This Row],[Sex Code]]</f>
        <v xml:space="preserve">Insurer Code ; Reporting Year ; Insurance Category Code ; Large Provider Entity Code ; Age Band Code ; Sex Code </v>
      </c>
      <c r="N1705" s="345" t="s">
        <v>207</v>
      </c>
      <c r="O1705" s="345" t="s">
        <v>208</v>
      </c>
      <c r="P1705" s="345" t="s">
        <v>209</v>
      </c>
      <c r="Q1705" s="345" t="s">
        <v>210</v>
      </c>
      <c r="R1705" s="345" t="s">
        <v>223</v>
      </c>
      <c r="S1705" s="345" t="s">
        <v>224</v>
      </c>
    </row>
    <row r="1706" spans="1:19" x14ac:dyDescent="0.25">
      <c r="A1706" s="311"/>
      <c r="B1706" s="312"/>
      <c r="C1706" s="312"/>
      <c r="D1706" s="312"/>
      <c r="E1706" s="312"/>
      <c r="F1706" s="312"/>
      <c r="G1706" s="328"/>
      <c r="H1706" s="337"/>
      <c r="I1706" s="334"/>
      <c r="J1706" s="314"/>
      <c r="K1706" s="449"/>
      <c r="M1706" s="349" t="str">
        <f>N1706&amp;AS[[#This Row],[Insurer Code]]&amp;"; "&amp;O1706&amp;AS[[#This Row],[Reporting Year]]&amp;"; "&amp;P1706&amp;AS[[#This Row],[Insurance Category Code]]&amp;"; "&amp;Q1706&amp;AS[[#This Row],[Large Provider Entity Code]]&amp;"; "&amp;R1706&amp;AS[[#This Row],[Age Band Code]]&amp;"; "&amp;S1706&amp;AS[[#This Row],[Sex Code]]</f>
        <v xml:space="preserve">Insurer Code ; Reporting Year ; Insurance Category Code ; Large Provider Entity Code ; Age Band Code ; Sex Code </v>
      </c>
      <c r="N1706" s="345" t="s">
        <v>207</v>
      </c>
      <c r="O1706" s="345" t="s">
        <v>208</v>
      </c>
      <c r="P1706" s="345" t="s">
        <v>209</v>
      </c>
      <c r="Q1706" s="345" t="s">
        <v>210</v>
      </c>
      <c r="R1706" s="345" t="s">
        <v>223</v>
      </c>
      <c r="S1706" s="345" t="s">
        <v>224</v>
      </c>
    </row>
    <row r="1707" spans="1:19" x14ac:dyDescent="0.25">
      <c r="A1707" s="311"/>
      <c r="B1707" s="312"/>
      <c r="C1707" s="312"/>
      <c r="D1707" s="312"/>
      <c r="E1707" s="312"/>
      <c r="F1707" s="312"/>
      <c r="G1707" s="328"/>
      <c r="H1707" s="337"/>
      <c r="I1707" s="334"/>
      <c r="J1707" s="314"/>
      <c r="K1707" s="449"/>
      <c r="M1707" s="349" t="str">
        <f>N1707&amp;AS[[#This Row],[Insurer Code]]&amp;"; "&amp;O1707&amp;AS[[#This Row],[Reporting Year]]&amp;"; "&amp;P1707&amp;AS[[#This Row],[Insurance Category Code]]&amp;"; "&amp;Q1707&amp;AS[[#This Row],[Large Provider Entity Code]]&amp;"; "&amp;R1707&amp;AS[[#This Row],[Age Band Code]]&amp;"; "&amp;S1707&amp;AS[[#This Row],[Sex Code]]</f>
        <v xml:space="preserve">Insurer Code ; Reporting Year ; Insurance Category Code ; Large Provider Entity Code ; Age Band Code ; Sex Code </v>
      </c>
      <c r="N1707" s="345" t="s">
        <v>207</v>
      </c>
      <c r="O1707" s="345" t="s">
        <v>208</v>
      </c>
      <c r="P1707" s="345" t="s">
        <v>209</v>
      </c>
      <c r="Q1707" s="345" t="s">
        <v>210</v>
      </c>
      <c r="R1707" s="345" t="s">
        <v>223</v>
      </c>
      <c r="S1707" s="345" t="s">
        <v>224</v>
      </c>
    </row>
    <row r="1708" spans="1:19" x14ac:dyDescent="0.25">
      <c r="A1708" s="311"/>
      <c r="B1708" s="312"/>
      <c r="C1708" s="312"/>
      <c r="D1708" s="312"/>
      <c r="E1708" s="312"/>
      <c r="F1708" s="312"/>
      <c r="G1708" s="328"/>
      <c r="H1708" s="337"/>
      <c r="I1708" s="334"/>
      <c r="J1708" s="314"/>
      <c r="K1708" s="449"/>
      <c r="M1708" s="349" t="str">
        <f>N1708&amp;AS[[#This Row],[Insurer Code]]&amp;"; "&amp;O1708&amp;AS[[#This Row],[Reporting Year]]&amp;"; "&amp;P1708&amp;AS[[#This Row],[Insurance Category Code]]&amp;"; "&amp;Q1708&amp;AS[[#This Row],[Large Provider Entity Code]]&amp;"; "&amp;R1708&amp;AS[[#This Row],[Age Band Code]]&amp;"; "&amp;S1708&amp;AS[[#This Row],[Sex Code]]</f>
        <v xml:space="preserve">Insurer Code ; Reporting Year ; Insurance Category Code ; Large Provider Entity Code ; Age Band Code ; Sex Code </v>
      </c>
      <c r="N1708" s="345" t="s">
        <v>207</v>
      </c>
      <c r="O1708" s="345" t="s">
        <v>208</v>
      </c>
      <c r="P1708" s="345" t="s">
        <v>209</v>
      </c>
      <c r="Q1708" s="345" t="s">
        <v>210</v>
      </c>
      <c r="R1708" s="345" t="s">
        <v>223</v>
      </c>
      <c r="S1708" s="345" t="s">
        <v>224</v>
      </c>
    </row>
    <row r="1709" spans="1:19" x14ac:dyDescent="0.25">
      <c r="A1709" s="311"/>
      <c r="B1709" s="312"/>
      <c r="C1709" s="312"/>
      <c r="D1709" s="312"/>
      <c r="E1709" s="312"/>
      <c r="F1709" s="312"/>
      <c r="G1709" s="328"/>
      <c r="H1709" s="337"/>
      <c r="I1709" s="334"/>
      <c r="J1709" s="314"/>
      <c r="K1709" s="449"/>
      <c r="M1709" s="349" t="str">
        <f>N1709&amp;AS[[#This Row],[Insurer Code]]&amp;"; "&amp;O1709&amp;AS[[#This Row],[Reporting Year]]&amp;"; "&amp;P1709&amp;AS[[#This Row],[Insurance Category Code]]&amp;"; "&amp;Q1709&amp;AS[[#This Row],[Large Provider Entity Code]]&amp;"; "&amp;R1709&amp;AS[[#This Row],[Age Band Code]]&amp;"; "&amp;S1709&amp;AS[[#This Row],[Sex Code]]</f>
        <v xml:space="preserve">Insurer Code ; Reporting Year ; Insurance Category Code ; Large Provider Entity Code ; Age Band Code ; Sex Code </v>
      </c>
      <c r="N1709" s="345" t="s">
        <v>207</v>
      </c>
      <c r="O1709" s="345" t="s">
        <v>208</v>
      </c>
      <c r="P1709" s="345" t="s">
        <v>209</v>
      </c>
      <c r="Q1709" s="345" t="s">
        <v>210</v>
      </c>
      <c r="R1709" s="345" t="s">
        <v>223</v>
      </c>
      <c r="S1709" s="345" t="s">
        <v>224</v>
      </c>
    </row>
    <row r="1710" spans="1:19" x14ac:dyDescent="0.25">
      <c r="A1710" s="311"/>
      <c r="B1710" s="312"/>
      <c r="C1710" s="312"/>
      <c r="D1710" s="312"/>
      <c r="E1710" s="312"/>
      <c r="F1710" s="312"/>
      <c r="G1710" s="328"/>
      <c r="H1710" s="337"/>
      <c r="I1710" s="334"/>
      <c r="J1710" s="314"/>
      <c r="K1710" s="449"/>
      <c r="M1710" s="349" t="str">
        <f>N1710&amp;AS[[#This Row],[Insurer Code]]&amp;"; "&amp;O1710&amp;AS[[#This Row],[Reporting Year]]&amp;"; "&amp;P1710&amp;AS[[#This Row],[Insurance Category Code]]&amp;"; "&amp;Q1710&amp;AS[[#This Row],[Large Provider Entity Code]]&amp;"; "&amp;R1710&amp;AS[[#This Row],[Age Band Code]]&amp;"; "&amp;S1710&amp;AS[[#This Row],[Sex Code]]</f>
        <v xml:space="preserve">Insurer Code ; Reporting Year ; Insurance Category Code ; Large Provider Entity Code ; Age Band Code ; Sex Code </v>
      </c>
      <c r="N1710" s="345" t="s">
        <v>207</v>
      </c>
      <c r="O1710" s="345" t="s">
        <v>208</v>
      </c>
      <c r="P1710" s="345" t="s">
        <v>209</v>
      </c>
      <c r="Q1710" s="345" t="s">
        <v>210</v>
      </c>
      <c r="R1710" s="345" t="s">
        <v>223</v>
      </c>
      <c r="S1710" s="345" t="s">
        <v>224</v>
      </c>
    </row>
    <row r="1711" spans="1:19" x14ac:dyDescent="0.25">
      <c r="A1711" s="311"/>
      <c r="B1711" s="312"/>
      <c r="C1711" s="312"/>
      <c r="D1711" s="312"/>
      <c r="E1711" s="312"/>
      <c r="F1711" s="312"/>
      <c r="G1711" s="328"/>
      <c r="H1711" s="337"/>
      <c r="I1711" s="334"/>
      <c r="J1711" s="314"/>
      <c r="K1711" s="449"/>
      <c r="M1711" s="349" t="str">
        <f>N1711&amp;AS[[#This Row],[Insurer Code]]&amp;"; "&amp;O1711&amp;AS[[#This Row],[Reporting Year]]&amp;"; "&amp;P1711&amp;AS[[#This Row],[Insurance Category Code]]&amp;"; "&amp;Q1711&amp;AS[[#This Row],[Large Provider Entity Code]]&amp;"; "&amp;R1711&amp;AS[[#This Row],[Age Band Code]]&amp;"; "&amp;S1711&amp;AS[[#This Row],[Sex Code]]</f>
        <v xml:space="preserve">Insurer Code ; Reporting Year ; Insurance Category Code ; Large Provider Entity Code ; Age Band Code ; Sex Code </v>
      </c>
      <c r="N1711" s="345" t="s">
        <v>207</v>
      </c>
      <c r="O1711" s="345" t="s">
        <v>208</v>
      </c>
      <c r="P1711" s="345" t="s">
        <v>209</v>
      </c>
      <c r="Q1711" s="345" t="s">
        <v>210</v>
      </c>
      <c r="R1711" s="345" t="s">
        <v>223</v>
      </c>
      <c r="S1711" s="345" t="s">
        <v>224</v>
      </c>
    </row>
    <row r="1712" spans="1:19" x14ac:dyDescent="0.25">
      <c r="A1712" s="311"/>
      <c r="B1712" s="312"/>
      <c r="C1712" s="312"/>
      <c r="D1712" s="312"/>
      <c r="E1712" s="312"/>
      <c r="F1712" s="312"/>
      <c r="G1712" s="328"/>
      <c r="H1712" s="337"/>
      <c r="I1712" s="334"/>
      <c r="J1712" s="314"/>
      <c r="K1712" s="449"/>
      <c r="M1712" s="349" t="str">
        <f>N1712&amp;AS[[#This Row],[Insurer Code]]&amp;"; "&amp;O1712&amp;AS[[#This Row],[Reporting Year]]&amp;"; "&amp;P1712&amp;AS[[#This Row],[Insurance Category Code]]&amp;"; "&amp;Q1712&amp;AS[[#This Row],[Large Provider Entity Code]]&amp;"; "&amp;R1712&amp;AS[[#This Row],[Age Band Code]]&amp;"; "&amp;S1712&amp;AS[[#This Row],[Sex Code]]</f>
        <v xml:space="preserve">Insurer Code ; Reporting Year ; Insurance Category Code ; Large Provider Entity Code ; Age Band Code ; Sex Code </v>
      </c>
      <c r="N1712" s="345" t="s">
        <v>207</v>
      </c>
      <c r="O1712" s="345" t="s">
        <v>208</v>
      </c>
      <c r="P1712" s="345" t="s">
        <v>209</v>
      </c>
      <c r="Q1712" s="345" t="s">
        <v>210</v>
      </c>
      <c r="R1712" s="345" t="s">
        <v>223</v>
      </c>
      <c r="S1712" s="345" t="s">
        <v>224</v>
      </c>
    </row>
    <row r="1713" spans="1:19" x14ac:dyDescent="0.25">
      <c r="A1713" s="311"/>
      <c r="B1713" s="312"/>
      <c r="C1713" s="312"/>
      <c r="D1713" s="312"/>
      <c r="E1713" s="312"/>
      <c r="F1713" s="312"/>
      <c r="G1713" s="328"/>
      <c r="H1713" s="337"/>
      <c r="I1713" s="334"/>
      <c r="J1713" s="314"/>
      <c r="K1713" s="449"/>
      <c r="M1713" s="349" t="str">
        <f>N1713&amp;AS[[#This Row],[Insurer Code]]&amp;"; "&amp;O1713&amp;AS[[#This Row],[Reporting Year]]&amp;"; "&amp;P1713&amp;AS[[#This Row],[Insurance Category Code]]&amp;"; "&amp;Q1713&amp;AS[[#This Row],[Large Provider Entity Code]]&amp;"; "&amp;R1713&amp;AS[[#This Row],[Age Band Code]]&amp;"; "&amp;S1713&amp;AS[[#This Row],[Sex Code]]</f>
        <v xml:space="preserve">Insurer Code ; Reporting Year ; Insurance Category Code ; Large Provider Entity Code ; Age Band Code ; Sex Code </v>
      </c>
      <c r="N1713" s="345" t="s">
        <v>207</v>
      </c>
      <c r="O1713" s="345" t="s">
        <v>208</v>
      </c>
      <c r="P1713" s="345" t="s">
        <v>209</v>
      </c>
      <c r="Q1713" s="345" t="s">
        <v>210</v>
      </c>
      <c r="R1713" s="345" t="s">
        <v>223</v>
      </c>
      <c r="S1713" s="345" t="s">
        <v>224</v>
      </c>
    </row>
    <row r="1714" spans="1:19" x14ac:dyDescent="0.25">
      <c r="A1714" s="311"/>
      <c r="B1714" s="312"/>
      <c r="C1714" s="312"/>
      <c r="D1714" s="312"/>
      <c r="E1714" s="312"/>
      <c r="F1714" s="312"/>
      <c r="G1714" s="328"/>
      <c r="H1714" s="337"/>
      <c r="I1714" s="334"/>
      <c r="J1714" s="314"/>
      <c r="K1714" s="449"/>
      <c r="M1714" s="349" t="str">
        <f>N1714&amp;AS[[#This Row],[Insurer Code]]&amp;"; "&amp;O1714&amp;AS[[#This Row],[Reporting Year]]&amp;"; "&amp;P1714&amp;AS[[#This Row],[Insurance Category Code]]&amp;"; "&amp;Q1714&amp;AS[[#This Row],[Large Provider Entity Code]]&amp;"; "&amp;R1714&amp;AS[[#This Row],[Age Band Code]]&amp;"; "&amp;S1714&amp;AS[[#This Row],[Sex Code]]</f>
        <v xml:space="preserve">Insurer Code ; Reporting Year ; Insurance Category Code ; Large Provider Entity Code ; Age Band Code ; Sex Code </v>
      </c>
      <c r="N1714" s="345" t="s">
        <v>207</v>
      </c>
      <c r="O1714" s="345" t="s">
        <v>208</v>
      </c>
      <c r="P1714" s="345" t="s">
        <v>209</v>
      </c>
      <c r="Q1714" s="345" t="s">
        <v>210</v>
      </c>
      <c r="R1714" s="345" t="s">
        <v>223</v>
      </c>
      <c r="S1714" s="345" t="s">
        <v>224</v>
      </c>
    </row>
    <row r="1715" spans="1:19" x14ac:dyDescent="0.25">
      <c r="A1715" s="311"/>
      <c r="B1715" s="312"/>
      <c r="C1715" s="312"/>
      <c r="D1715" s="312"/>
      <c r="E1715" s="312"/>
      <c r="F1715" s="312"/>
      <c r="G1715" s="328"/>
      <c r="H1715" s="337"/>
      <c r="I1715" s="334"/>
      <c r="J1715" s="314"/>
      <c r="K1715" s="449"/>
      <c r="M1715" s="349" t="str">
        <f>N1715&amp;AS[[#This Row],[Insurer Code]]&amp;"; "&amp;O1715&amp;AS[[#This Row],[Reporting Year]]&amp;"; "&amp;P1715&amp;AS[[#This Row],[Insurance Category Code]]&amp;"; "&amp;Q1715&amp;AS[[#This Row],[Large Provider Entity Code]]&amp;"; "&amp;R1715&amp;AS[[#This Row],[Age Band Code]]&amp;"; "&amp;S1715&amp;AS[[#This Row],[Sex Code]]</f>
        <v xml:space="preserve">Insurer Code ; Reporting Year ; Insurance Category Code ; Large Provider Entity Code ; Age Band Code ; Sex Code </v>
      </c>
      <c r="N1715" s="345" t="s">
        <v>207</v>
      </c>
      <c r="O1715" s="345" t="s">
        <v>208</v>
      </c>
      <c r="P1715" s="345" t="s">
        <v>209</v>
      </c>
      <c r="Q1715" s="345" t="s">
        <v>210</v>
      </c>
      <c r="R1715" s="345" t="s">
        <v>223</v>
      </c>
      <c r="S1715" s="345" t="s">
        <v>224</v>
      </c>
    </row>
    <row r="1716" spans="1:19" x14ac:dyDescent="0.25">
      <c r="A1716" s="311"/>
      <c r="B1716" s="312"/>
      <c r="C1716" s="312"/>
      <c r="D1716" s="312"/>
      <c r="E1716" s="312"/>
      <c r="F1716" s="312"/>
      <c r="G1716" s="328"/>
      <c r="H1716" s="337"/>
      <c r="I1716" s="334"/>
      <c r="J1716" s="314"/>
      <c r="K1716" s="449"/>
      <c r="M1716" s="349" t="str">
        <f>N1716&amp;AS[[#This Row],[Insurer Code]]&amp;"; "&amp;O1716&amp;AS[[#This Row],[Reporting Year]]&amp;"; "&amp;P1716&amp;AS[[#This Row],[Insurance Category Code]]&amp;"; "&amp;Q1716&amp;AS[[#This Row],[Large Provider Entity Code]]&amp;"; "&amp;R1716&amp;AS[[#This Row],[Age Band Code]]&amp;"; "&amp;S1716&amp;AS[[#This Row],[Sex Code]]</f>
        <v xml:space="preserve">Insurer Code ; Reporting Year ; Insurance Category Code ; Large Provider Entity Code ; Age Band Code ; Sex Code </v>
      </c>
      <c r="N1716" s="345" t="s">
        <v>207</v>
      </c>
      <c r="O1716" s="345" t="s">
        <v>208</v>
      </c>
      <c r="P1716" s="345" t="s">
        <v>209</v>
      </c>
      <c r="Q1716" s="345" t="s">
        <v>210</v>
      </c>
      <c r="R1716" s="345" t="s">
        <v>223</v>
      </c>
      <c r="S1716" s="345" t="s">
        <v>224</v>
      </c>
    </row>
    <row r="1717" spans="1:19" x14ac:dyDescent="0.25">
      <c r="A1717" s="311"/>
      <c r="B1717" s="312"/>
      <c r="C1717" s="312"/>
      <c r="D1717" s="312"/>
      <c r="E1717" s="312"/>
      <c r="F1717" s="312"/>
      <c r="G1717" s="328"/>
      <c r="H1717" s="337"/>
      <c r="I1717" s="334"/>
      <c r="J1717" s="314"/>
      <c r="K1717" s="449"/>
      <c r="M1717" s="349" t="str">
        <f>N1717&amp;AS[[#This Row],[Insurer Code]]&amp;"; "&amp;O1717&amp;AS[[#This Row],[Reporting Year]]&amp;"; "&amp;P1717&amp;AS[[#This Row],[Insurance Category Code]]&amp;"; "&amp;Q1717&amp;AS[[#This Row],[Large Provider Entity Code]]&amp;"; "&amp;R1717&amp;AS[[#This Row],[Age Band Code]]&amp;"; "&amp;S1717&amp;AS[[#This Row],[Sex Code]]</f>
        <v xml:space="preserve">Insurer Code ; Reporting Year ; Insurance Category Code ; Large Provider Entity Code ; Age Band Code ; Sex Code </v>
      </c>
      <c r="N1717" s="345" t="s">
        <v>207</v>
      </c>
      <c r="O1717" s="345" t="s">
        <v>208</v>
      </c>
      <c r="P1717" s="345" t="s">
        <v>209</v>
      </c>
      <c r="Q1717" s="345" t="s">
        <v>210</v>
      </c>
      <c r="R1717" s="345" t="s">
        <v>223</v>
      </c>
      <c r="S1717" s="345" t="s">
        <v>224</v>
      </c>
    </row>
    <row r="1718" spans="1:19" x14ac:dyDescent="0.25">
      <c r="A1718" s="311"/>
      <c r="B1718" s="312"/>
      <c r="C1718" s="312"/>
      <c r="D1718" s="312"/>
      <c r="E1718" s="312"/>
      <c r="F1718" s="312"/>
      <c r="G1718" s="328"/>
      <c r="H1718" s="337"/>
      <c r="I1718" s="334"/>
      <c r="J1718" s="314"/>
      <c r="K1718" s="449"/>
      <c r="M1718" s="349" t="str">
        <f>N1718&amp;AS[[#This Row],[Insurer Code]]&amp;"; "&amp;O1718&amp;AS[[#This Row],[Reporting Year]]&amp;"; "&amp;P1718&amp;AS[[#This Row],[Insurance Category Code]]&amp;"; "&amp;Q1718&amp;AS[[#This Row],[Large Provider Entity Code]]&amp;"; "&amp;R1718&amp;AS[[#This Row],[Age Band Code]]&amp;"; "&amp;S1718&amp;AS[[#This Row],[Sex Code]]</f>
        <v xml:space="preserve">Insurer Code ; Reporting Year ; Insurance Category Code ; Large Provider Entity Code ; Age Band Code ; Sex Code </v>
      </c>
      <c r="N1718" s="345" t="s">
        <v>207</v>
      </c>
      <c r="O1718" s="345" t="s">
        <v>208</v>
      </c>
      <c r="P1718" s="345" t="s">
        <v>209</v>
      </c>
      <c r="Q1718" s="345" t="s">
        <v>210</v>
      </c>
      <c r="R1718" s="345" t="s">
        <v>223</v>
      </c>
      <c r="S1718" s="345" t="s">
        <v>224</v>
      </c>
    </row>
    <row r="1719" spans="1:19" x14ac:dyDescent="0.25">
      <c r="A1719" s="311"/>
      <c r="B1719" s="312"/>
      <c r="C1719" s="312"/>
      <c r="D1719" s="312"/>
      <c r="E1719" s="312"/>
      <c r="F1719" s="312"/>
      <c r="G1719" s="328"/>
      <c r="H1719" s="337"/>
      <c r="I1719" s="334"/>
      <c r="J1719" s="314"/>
      <c r="K1719" s="449"/>
      <c r="M1719" s="349" t="str">
        <f>N1719&amp;AS[[#This Row],[Insurer Code]]&amp;"; "&amp;O1719&amp;AS[[#This Row],[Reporting Year]]&amp;"; "&amp;P1719&amp;AS[[#This Row],[Insurance Category Code]]&amp;"; "&amp;Q1719&amp;AS[[#This Row],[Large Provider Entity Code]]&amp;"; "&amp;R1719&amp;AS[[#This Row],[Age Band Code]]&amp;"; "&amp;S1719&amp;AS[[#This Row],[Sex Code]]</f>
        <v xml:space="preserve">Insurer Code ; Reporting Year ; Insurance Category Code ; Large Provider Entity Code ; Age Band Code ; Sex Code </v>
      </c>
      <c r="N1719" s="345" t="s">
        <v>207</v>
      </c>
      <c r="O1719" s="345" t="s">
        <v>208</v>
      </c>
      <c r="P1719" s="345" t="s">
        <v>209</v>
      </c>
      <c r="Q1719" s="345" t="s">
        <v>210</v>
      </c>
      <c r="R1719" s="345" t="s">
        <v>223</v>
      </c>
      <c r="S1719" s="345" t="s">
        <v>224</v>
      </c>
    </row>
    <row r="1720" spans="1:19" x14ac:dyDescent="0.25">
      <c r="A1720" s="311"/>
      <c r="B1720" s="312"/>
      <c r="C1720" s="312"/>
      <c r="D1720" s="312"/>
      <c r="E1720" s="312"/>
      <c r="F1720" s="312"/>
      <c r="G1720" s="328"/>
      <c r="H1720" s="337"/>
      <c r="I1720" s="334"/>
      <c r="J1720" s="314"/>
      <c r="K1720" s="449"/>
      <c r="M1720" s="349" t="str">
        <f>N1720&amp;AS[[#This Row],[Insurer Code]]&amp;"; "&amp;O1720&amp;AS[[#This Row],[Reporting Year]]&amp;"; "&amp;P1720&amp;AS[[#This Row],[Insurance Category Code]]&amp;"; "&amp;Q1720&amp;AS[[#This Row],[Large Provider Entity Code]]&amp;"; "&amp;R1720&amp;AS[[#This Row],[Age Band Code]]&amp;"; "&amp;S1720&amp;AS[[#This Row],[Sex Code]]</f>
        <v xml:space="preserve">Insurer Code ; Reporting Year ; Insurance Category Code ; Large Provider Entity Code ; Age Band Code ; Sex Code </v>
      </c>
      <c r="N1720" s="345" t="s">
        <v>207</v>
      </c>
      <c r="O1720" s="345" t="s">
        <v>208</v>
      </c>
      <c r="P1720" s="345" t="s">
        <v>209</v>
      </c>
      <c r="Q1720" s="345" t="s">
        <v>210</v>
      </c>
      <c r="R1720" s="345" t="s">
        <v>223</v>
      </c>
      <c r="S1720" s="345" t="s">
        <v>224</v>
      </c>
    </row>
    <row r="1721" spans="1:19" x14ac:dyDescent="0.25">
      <c r="A1721" s="311"/>
      <c r="B1721" s="312"/>
      <c r="C1721" s="312"/>
      <c r="D1721" s="312"/>
      <c r="E1721" s="312"/>
      <c r="F1721" s="312"/>
      <c r="G1721" s="328"/>
      <c r="H1721" s="337"/>
      <c r="I1721" s="334"/>
      <c r="J1721" s="314"/>
      <c r="K1721" s="449"/>
      <c r="M1721" s="349" t="str">
        <f>N1721&amp;AS[[#This Row],[Insurer Code]]&amp;"; "&amp;O1721&amp;AS[[#This Row],[Reporting Year]]&amp;"; "&amp;P1721&amp;AS[[#This Row],[Insurance Category Code]]&amp;"; "&amp;Q1721&amp;AS[[#This Row],[Large Provider Entity Code]]&amp;"; "&amp;R1721&amp;AS[[#This Row],[Age Band Code]]&amp;"; "&amp;S1721&amp;AS[[#This Row],[Sex Code]]</f>
        <v xml:space="preserve">Insurer Code ; Reporting Year ; Insurance Category Code ; Large Provider Entity Code ; Age Band Code ; Sex Code </v>
      </c>
      <c r="N1721" s="345" t="s">
        <v>207</v>
      </c>
      <c r="O1721" s="345" t="s">
        <v>208</v>
      </c>
      <c r="P1721" s="345" t="s">
        <v>209</v>
      </c>
      <c r="Q1721" s="345" t="s">
        <v>210</v>
      </c>
      <c r="R1721" s="345" t="s">
        <v>223</v>
      </c>
      <c r="S1721" s="345" t="s">
        <v>224</v>
      </c>
    </row>
    <row r="1722" spans="1:19" x14ac:dyDescent="0.25">
      <c r="A1722" s="311"/>
      <c r="B1722" s="312"/>
      <c r="C1722" s="312"/>
      <c r="D1722" s="312"/>
      <c r="E1722" s="312"/>
      <c r="F1722" s="312"/>
      <c r="G1722" s="328"/>
      <c r="H1722" s="337"/>
      <c r="I1722" s="334"/>
      <c r="J1722" s="314"/>
      <c r="K1722" s="449"/>
      <c r="M1722" s="349" t="str">
        <f>N1722&amp;AS[[#This Row],[Insurer Code]]&amp;"; "&amp;O1722&amp;AS[[#This Row],[Reporting Year]]&amp;"; "&amp;P1722&amp;AS[[#This Row],[Insurance Category Code]]&amp;"; "&amp;Q1722&amp;AS[[#This Row],[Large Provider Entity Code]]&amp;"; "&amp;R1722&amp;AS[[#This Row],[Age Band Code]]&amp;"; "&amp;S1722&amp;AS[[#This Row],[Sex Code]]</f>
        <v xml:space="preserve">Insurer Code ; Reporting Year ; Insurance Category Code ; Large Provider Entity Code ; Age Band Code ; Sex Code </v>
      </c>
      <c r="N1722" s="345" t="s">
        <v>207</v>
      </c>
      <c r="O1722" s="345" t="s">
        <v>208</v>
      </c>
      <c r="P1722" s="345" t="s">
        <v>209</v>
      </c>
      <c r="Q1722" s="345" t="s">
        <v>210</v>
      </c>
      <c r="R1722" s="345" t="s">
        <v>223</v>
      </c>
      <c r="S1722" s="345" t="s">
        <v>224</v>
      </c>
    </row>
    <row r="1723" spans="1:19" x14ac:dyDescent="0.25">
      <c r="A1723" s="311"/>
      <c r="B1723" s="312"/>
      <c r="C1723" s="312"/>
      <c r="D1723" s="312"/>
      <c r="E1723" s="312"/>
      <c r="F1723" s="312"/>
      <c r="G1723" s="328"/>
      <c r="H1723" s="337"/>
      <c r="I1723" s="334"/>
      <c r="J1723" s="314"/>
      <c r="K1723" s="449"/>
      <c r="M1723" s="349" t="str">
        <f>N1723&amp;AS[[#This Row],[Insurer Code]]&amp;"; "&amp;O1723&amp;AS[[#This Row],[Reporting Year]]&amp;"; "&amp;P1723&amp;AS[[#This Row],[Insurance Category Code]]&amp;"; "&amp;Q1723&amp;AS[[#This Row],[Large Provider Entity Code]]&amp;"; "&amp;R1723&amp;AS[[#This Row],[Age Band Code]]&amp;"; "&amp;S1723&amp;AS[[#This Row],[Sex Code]]</f>
        <v xml:space="preserve">Insurer Code ; Reporting Year ; Insurance Category Code ; Large Provider Entity Code ; Age Band Code ; Sex Code </v>
      </c>
      <c r="N1723" s="345" t="s">
        <v>207</v>
      </c>
      <c r="O1723" s="345" t="s">
        <v>208</v>
      </c>
      <c r="P1723" s="345" t="s">
        <v>209</v>
      </c>
      <c r="Q1723" s="345" t="s">
        <v>210</v>
      </c>
      <c r="R1723" s="345" t="s">
        <v>223</v>
      </c>
      <c r="S1723" s="345" t="s">
        <v>224</v>
      </c>
    </row>
    <row r="1724" spans="1:19" x14ac:dyDescent="0.25">
      <c r="A1724" s="311"/>
      <c r="B1724" s="312"/>
      <c r="C1724" s="312"/>
      <c r="D1724" s="312"/>
      <c r="E1724" s="312"/>
      <c r="F1724" s="312"/>
      <c r="G1724" s="328"/>
      <c r="H1724" s="337"/>
      <c r="I1724" s="334"/>
      <c r="J1724" s="314"/>
      <c r="K1724" s="449"/>
      <c r="M1724" s="349" t="str">
        <f>N1724&amp;AS[[#This Row],[Insurer Code]]&amp;"; "&amp;O1724&amp;AS[[#This Row],[Reporting Year]]&amp;"; "&amp;P1724&amp;AS[[#This Row],[Insurance Category Code]]&amp;"; "&amp;Q1724&amp;AS[[#This Row],[Large Provider Entity Code]]&amp;"; "&amp;R1724&amp;AS[[#This Row],[Age Band Code]]&amp;"; "&amp;S1724&amp;AS[[#This Row],[Sex Code]]</f>
        <v xml:space="preserve">Insurer Code ; Reporting Year ; Insurance Category Code ; Large Provider Entity Code ; Age Band Code ; Sex Code </v>
      </c>
      <c r="N1724" s="345" t="s">
        <v>207</v>
      </c>
      <c r="O1724" s="345" t="s">
        <v>208</v>
      </c>
      <c r="P1724" s="345" t="s">
        <v>209</v>
      </c>
      <c r="Q1724" s="345" t="s">
        <v>210</v>
      </c>
      <c r="R1724" s="345" t="s">
        <v>223</v>
      </c>
      <c r="S1724" s="345" t="s">
        <v>224</v>
      </c>
    </row>
    <row r="1725" spans="1:19" x14ac:dyDescent="0.25">
      <c r="A1725" s="311"/>
      <c r="B1725" s="312"/>
      <c r="C1725" s="312"/>
      <c r="D1725" s="312"/>
      <c r="E1725" s="312"/>
      <c r="F1725" s="312"/>
      <c r="G1725" s="328"/>
      <c r="H1725" s="337"/>
      <c r="I1725" s="334"/>
      <c r="J1725" s="314"/>
      <c r="K1725" s="449"/>
      <c r="M1725" s="349" t="str">
        <f>N1725&amp;AS[[#This Row],[Insurer Code]]&amp;"; "&amp;O1725&amp;AS[[#This Row],[Reporting Year]]&amp;"; "&amp;P1725&amp;AS[[#This Row],[Insurance Category Code]]&amp;"; "&amp;Q1725&amp;AS[[#This Row],[Large Provider Entity Code]]&amp;"; "&amp;R1725&amp;AS[[#This Row],[Age Band Code]]&amp;"; "&amp;S1725&amp;AS[[#This Row],[Sex Code]]</f>
        <v xml:space="preserve">Insurer Code ; Reporting Year ; Insurance Category Code ; Large Provider Entity Code ; Age Band Code ; Sex Code </v>
      </c>
      <c r="N1725" s="345" t="s">
        <v>207</v>
      </c>
      <c r="O1725" s="345" t="s">
        <v>208</v>
      </c>
      <c r="P1725" s="345" t="s">
        <v>209</v>
      </c>
      <c r="Q1725" s="345" t="s">
        <v>210</v>
      </c>
      <c r="R1725" s="345" t="s">
        <v>223</v>
      </c>
      <c r="S1725" s="345" t="s">
        <v>224</v>
      </c>
    </row>
    <row r="1726" spans="1:19" x14ac:dyDescent="0.25">
      <c r="A1726" s="311"/>
      <c r="B1726" s="312"/>
      <c r="C1726" s="312"/>
      <c r="D1726" s="312"/>
      <c r="E1726" s="312"/>
      <c r="F1726" s="312"/>
      <c r="G1726" s="328"/>
      <c r="H1726" s="337"/>
      <c r="I1726" s="334"/>
      <c r="J1726" s="314"/>
      <c r="K1726" s="449"/>
      <c r="M1726" s="349" t="str">
        <f>N1726&amp;AS[[#This Row],[Insurer Code]]&amp;"; "&amp;O1726&amp;AS[[#This Row],[Reporting Year]]&amp;"; "&amp;P1726&amp;AS[[#This Row],[Insurance Category Code]]&amp;"; "&amp;Q1726&amp;AS[[#This Row],[Large Provider Entity Code]]&amp;"; "&amp;R1726&amp;AS[[#This Row],[Age Band Code]]&amp;"; "&amp;S1726&amp;AS[[#This Row],[Sex Code]]</f>
        <v xml:space="preserve">Insurer Code ; Reporting Year ; Insurance Category Code ; Large Provider Entity Code ; Age Band Code ; Sex Code </v>
      </c>
      <c r="N1726" s="345" t="s">
        <v>207</v>
      </c>
      <c r="O1726" s="345" t="s">
        <v>208</v>
      </c>
      <c r="P1726" s="345" t="s">
        <v>209</v>
      </c>
      <c r="Q1726" s="345" t="s">
        <v>210</v>
      </c>
      <c r="R1726" s="345" t="s">
        <v>223</v>
      </c>
      <c r="S1726" s="345" t="s">
        <v>224</v>
      </c>
    </row>
    <row r="1727" spans="1:19" x14ac:dyDescent="0.25">
      <c r="A1727" s="311"/>
      <c r="B1727" s="312"/>
      <c r="C1727" s="312"/>
      <c r="D1727" s="312"/>
      <c r="E1727" s="312"/>
      <c r="F1727" s="312"/>
      <c r="G1727" s="328"/>
      <c r="H1727" s="337"/>
      <c r="I1727" s="334"/>
      <c r="J1727" s="314"/>
      <c r="K1727" s="449"/>
      <c r="M1727" s="349" t="str">
        <f>N1727&amp;AS[[#This Row],[Insurer Code]]&amp;"; "&amp;O1727&amp;AS[[#This Row],[Reporting Year]]&amp;"; "&amp;P1727&amp;AS[[#This Row],[Insurance Category Code]]&amp;"; "&amp;Q1727&amp;AS[[#This Row],[Large Provider Entity Code]]&amp;"; "&amp;R1727&amp;AS[[#This Row],[Age Band Code]]&amp;"; "&amp;S1727&amp;AS[[#This Row],[Sex Code]]</f>
        <v xml:space="preserve">Insurer Code ; Reporting Year ; Insurance Category Code ; Large Provider Entity Code ; Age Band Code ; Sex Code </v>
      </c>
      <c r="N1727" s="345" t="s">
        <v>207</v>
      </c>
      <c r="O1727" s="345" t="s">
        <v>208</v>
      </c>
      <c r="P1727" s="345" t="s">
        <v>209</v>
      </c>
      <c r="Q1727" s="345" t="s">
        <v>210</v>
      </c>
      <c r="R1727" s="345" t="s">
        <v>223</v>
      </c>
      <c r="S1727" s="345" t="s">
        <v>224</v>
      </c>
    </row>
    <row r="1728" spans="1:19" x14ac:dyDescent="0.25">
      <c r="A1728" s="311"/>
      <c r="B1728" s="312"/>
      <c r="C1728" s="312"/>
      <c r="D1728" s="312"/>
      <c r="E1728" s="312"/>
      <c r="F1728" s="312"/>
      <c r="G1728" s="328"/>
      <c r="H1728" s="337"/>
      <c r="I1728" s="334"/>
      <c r="J1728" s="314"/>
      <c r="K1728" s="449"/>
      <c r="M1728" s="349" t="str">
        <f>N1728&amp;AS[[#This Row],[Insurer Code]]&amp;"; "&amp;O1728&amp;AS[[#This Row],[Reporting Year]]&amp;"; "&amp;P1728&amp;AS[[#This Row],[Insurance Category Code]]&amp;"; "&amp;Q1728&amp;AS[[#This Row],[Large Provider Entity Code]]&amp;"; "&amp;R1728&amp;AS[[#This Row],[Age Band Code]]&amp;"; "&amp;S1728&amp;AS[[#This Row],[Sex Code]]</f>
        <v xml:space="preserve">Insurer Code ; Reporting Year ; Insurance Category Code ; Large Provider Entity Code ; Age Band Code ; Sex Code </v>
      </c>
      <c r="N1728" s="345" t="s">
        <v>207</v>
      </c>
      <c r="O1728" s="345" t="s">
        <v>208</v>
      </c>
      <c r="P1728" s="345" t="s">
        <v>209</v>
      </c>
      <c r="Q1728" s="345" t="s">
        <v>210</v>
      </c>
      <c r="R1728" s="345" t="s">
        <v>223</v>
      </c>
      <c r="S1728" s="345" t="s">
        <v>224</v>
      </c>
    </row>
    <row r="1729" spans="1:19" x14ac:dyDescent="0.25">
      <c r="A1729" s="311"/>
      <c r="B1729" s="312"/>
      <c r="C1729" s="312"/>
      <c r="D1729" s="312"/>
      <c r="E1729" s="312"/>
      <c r="F1729" s="312"/>
      <c r="G1729" s="328"/>
      <c r="H1729" s="337"/>
      <c r="I1729" s="334"/>
      <c r="J1729" s="314"/>
      <c r="K1729" s="449"/>
      <c r="M1729" s="349" t="str">
        <f>N1729&amp;AS[[#This Row],[Insurer Code]]&amp;"; "&amp;O1729&amp;AS[[#This Row],[Reporting Year]]&amp;"; "&amp;P1729&amp;AS[[#This Row],[Insurance Category Code]]&amp;"; "&amp;Q1729&amp;AS[[#This Row],[Large Provider Entity Code]]&amp;"; "&amp;R1729&amp;AS[[#This Row],[Age Band Code]]&amp;"; "&amp;S1729&amp;AS[[#This Row],[Sex Code]]</f>
        <v xml:space="preserve">Insurer Code ; Reporting Year ; Insurance Category Code ; Large Provider Entity Code ; Age Band Code ; Sex Code </v>
      </c>
      <c r="N1729" s="345" t="s">
        <v>207</v>
      </c>
      <c r="O1729" s="345" t="s">
        <v>208</v>
      </c>
      <c r="P1729" s="345" t="s">
        <v>209</v>
      </c>
      <c r="Q1729" s="345" t="s">
        <v>210</v>
      </c>
      <c r="R1729" s="345" t="s">
        <v>223</v>
      </c>
      <c r="S1729" s="345" t="s">
        <v>224</v>
      </c>
    </row>
    <row r="1730" spans="1:19" x14ac:dyDescent="0.25">
      <c r="A1730" s="311"/>
      <c r="B1730" s="312"/>
      <c r="C1730" s="312"/>
      <c r="D1730" s="312"/>
      <c r="E1730" s="312"/>
      <c r="F1730" s="312"/>
      <c r="G1730" s="328"/>
      <c r="H1730" s="337"/>
      <c r="I1730" s="334"/>
      <c r="J1730" s="314"/>
      <c r="K1730" s="449"/>
      <c r="M1730" s="349" t="str">
        <f>N1730&amp;AS[[#This Row],[Insurer Code]]&amp;"; "&amp;O1730&amp;AS[[#This Row],[Reporting Year]]&amp;"; "&amp;P1730&amp;AS[[#This Row],[Insurance Category Code]]&amp;"; "&amp;Q1730&amp;AS[[#This Row],[Large Provider Entity Code]]&amp;"; "&amp;R1730&amp;AS[[#This Row],[Age Band Code]]&amp;"; "&amp;S1730&amp;AS[[#This Row],[Sex Code]]</f>
        <v xml:space="preserve">Insurer Code ; Reporting Year ; Insurance Category Code ; Large Provider Entity Code ; Age Band Code ; Sex Code </v>
      </c>
      <c r="N1730" s="345" t="s">
        <v>207</v>
      </c>
      <c r="O1730" s="345" t="s">
        <v>208</v>
      </c>
      <c r="P1730" s="345" t="s">
        <v>209</v>
      </c>
      <c r="Q1730" s="345" t="s">
        <v>210</v>
      </c>
      <c r="R1730" s="345" t="s">
        <v>223</v>
      </c>
      <c r="S1730" s="345" t="s">
        <v>224</v>
      </c>
    </row>
    <row r="1731" spans="1:19" x14ac:dyDescent="0.25">
      <c r="A1731" s="311"/>
      <c r="B1731" s="312"/>
      <c r="C1731" s="312"/>
      <c r="D1731" s="312"/>
      <c r="E1731" s="312"/>
      <c r="F1731" s="312"/>
      <c r="G1731" s="328"/>
      <c r="H1731" s="337"/>
      <c r="I1731" s="334"/>
      <c r="J1731" s="314"/>
      <c r="K1731" s="449"/>
      <c r="M1731" s="349" t="str">
        <f>N1731&amp;AS[[#This Row],[Insurer Code]]&amp;"; "&amp;O1731&amp;AS[[#This Row],[Reporting Year]]&amp;"; "&amp;P1731&amp;AS[[#This Row],[Insurance Category Code]]&amp;"; "&amp;Q1731&amp;AS[[#This Row],[Large Provider Entity Code]]&amp;"; "&amp;R1731&amp;AS[[#This Row],[Age Band Code]]&amp;"; "&amp;S1731&amp;AS[[#This Row],[Sex Code]]</f>
        <v xml:space="preserve">Insurer Code ; Reporting Year ; Insurance Category Code ; Large Provider Entity Code ; Age Band Code ; Sex Code </v>
      </c>
      <c r="N1731" s="345" t="s">
        <v>207</v>
      </c>
      <c r="O1731" s="345" t="s">
        <v>208</v>
      </c>
      <c r="P1731" s="345" t="s">
        <v>209</v>
      </c>
      <c r="Q1731" s="345" t="s">
        <v>210</v>
      </c>
      <c r="R1731" s="345" t="s">
        <v>223</v>
      </c>
      <c r="S1731" s="345" t="s">
        <v>224</v>
      </c>
    </row>
    <row r="1732" spans="1:19" x14ac:dyDescent="0.25">
      <c r="A1732" s="311"/>
      <c r="B1732" s="312"/>
      <c r="C1732" s="312"/>
      <c r="D1732" s="312"/>
      <c r="E1732" s="312"/>
      <c r="F1732" s="312"/>
      <c r="G1732" s="328"/>
      <c r="H1732" s="337"/>
      <c r="I1732" s="334"/>
      <c r="J1732" s="314"/>
      <c r="K1732" s="449"/>
      <c r="M1732" s="349" t="str">
        <f>N1732&amp;AS[[#This Row],[Insurer Code]]&amp;"; "&amp;O1732&amp;AS[[#This Row],[Reporting Year]]&amp;"; "&amp;P1732&amp;AS[[#This Row],[Insurance Category Code]]&amp;"; "&amp;Q1732&amp;AS[[#This Row],[Large Provider Entity Code]]&amp;"; "&amp;R1732&amp;AS[[#This Row],[Age Band Code]]&amp;"; "&amp;S1732&amp;AS[[#This Row],[Sex Code]]</f>
        <v xml:space="preserve">Insurer Code ; Reporting Year ; Insurance Category Code ; Large Provider Entity Code ; Age Band Code ; Sex Code </v>
      </c>
      <c r="N1732" s="345" t="s">
        <v>207</v>
      </c>
      <c r="O1732" s="345" t="s">
        <v>208</v>
      </c>
      <c r="P1732" s="345" t="s">
        <v>209</v>
      </c>
      <c r="Q1732" s="345" t="s">
        <v>210</v>
      </c>
      <c r="R1732" s="345" t="s">
        <v>223</v>
      </c>
      <c r="S1732" s="345" t="s">
        <v>224</v>
      </c>
    </row>
    <row r="1733" spans="1:19" x14ac:dyDescent="0.25">
      <c r="A1733" s="311"/>
      <c r="B1733" s="312"/>
      <c r="C1733" s="312"/>
      <c r="D1733" s="312"/>
      <c r="E1733" s="312"/>
      <c r="F1733" s="312"/>
      <c r="G1733" s="328"/>
      <c r="H1733" s="337"/>
      <c r="I1733" s="334"/>
      <c r="J1733" s="314"/>
      <c r="K1733" s="449"/>
      <c r="M1733" s="349" t="str">
        <f>N1733&amp;AS[[#This Row],[Insurer Code]]&amp;"; "&amp;O1733&amp;AS[[#This Row],[Reporting Year]]&amp;"; "&amp;P1733&amp;AS[[#This Row],[Insurance Category Code]]&amp;"; "&amp;Q1733&amp;AS[[#This Row],[Large Provider Entity Code]]&amp;"; "&amp;R1733&amp;AS[[#This Row],[Age Band Code]]&amp;"; "&amp;S1733&amp;AS[[#This Row],[Sex Code]]</f>
        <v xml:space="preserve">Insurer Code ; Reporting Year ; Insurance Category Code ; Large Provider Entity Code ; Age Band Code ; Sex Code </v>
      </c>
      <c r="N1733" s="345" t="s">
        <v>207</v>
      </c>
      <c r="O1733" s="345" t="s">
        <v>208</v>
      </c>
      <c r="P1733" s="345" t="s">
        <v>209</v>
      </c>
      <c r="Q1733" s="345" t="s">
        <v>210</v>
      </c>
      <c r="R1733" s="345" t="s">
        <v>223</v>
      </c>
      <c r="S1733" s="345" t="s">
        <v>224</v>
      </c>
    </row>
    <row r="1734" spans="1:19" x14ac:dyDescent="0.25">
      <c r="A1734" s="311"/>
      <c r="B1734" s="312"/>
      <c r="C1734" s="312"/>
      <c r="D1734" s="312"/>
      <c r="E1734" s="312"/>
      <c r="F1734" s="312"/>
      <c r="G1734" s="328"/>
      <c r="H1734" s="337"/>
      <c r="I1734" s="334"/>
      <c r="J1734" s="314"/>
      <c r="K1734" s="449"/>
      <c r="M1734" s="349" t="str">
        <f>N1734&amp;AS[[#This Row],[Insurer Code]]&amp;"; "&amp;O1734&amp;AS[[#This Row],[Reporting Year]]&amp;"; "&amp;P1734&amp;AS[[#This Row],[Insurance Category Code]]&amp;"; "&amp;Q1734&amp;AS[[#This Row],[Large Provider Entity Code]]&amp;"; "&amp;R1734&amp;AS[[#This Row],[Age Band Code]]&amp;"; "&amp;S1734&amp;AS[[#This Row],[Sex Code]]</f>
        <v xml:space="preserve">Insurer Code ; Reporting Year ; Insurance Category Code ; Large Provider Entity Code ; Age Band Code ; Sex Code </v>
      </c>
      <c r="N1734" s="345" t="s">
        <v>207</v>
      </c>
      <c r="O1734" s="345" t="s">
        <v>208</v>
      </c>
      <c r="P1734" s="345" t="s">
        <v>209</v>
      </c>
      <c r="Q1734" s="345" t="s">
        <v>210</v>
      </c>
      <c r="R1734" s="345" t="s">
        <v>223</v>
      </c>
      <c r="S1734" s="345" t="s">
        <v>224</v>
      </c>
    </row>
    <row r="1735" spans="1:19" x14ac:dyDescent="0.25">
      <c r="A1735" s="311"/>
      <c r="B1735" s="312"/>
      <c r="C1735" s="312"/>
      <c r="D1735" s="312"/>
      <c r="E1735" s="312"/>
      <c r="F1735" s="312"/>
      <c r="G1735" s="328"/>
      <c r="H1735" s="337"/>
      <c r="I1735" s="334"/>
      <c r="J1735" s="314"/>
      <c r="K1735" s="449"/>
      <c r="M1735" s="349" t="str">
        <f>N1735&amp;AS[[#This Row],[Insurer Code]]&amp;"; "&amp;O1735&amp;AS[[#This Row],[Reporting Year]]&amp;"; "&amp;P1735&amp;AS[[#This Row],[Insurance Category Code]]&amp;"; "&amp;Q1735&amp;AS[[#This Row],[Large Provider Entity Code]]&amp;"; "&amp;R1735&amp;AS[[#This Row],[Age Band Code]]&amp;"; "&amp;S1735&amp;AS[[#This Row],[Sex Code]]</f>
        <v xml:space="preserve">Insurer Code ; Reporting Year ; Insurance Category Code ; Large Provider Entity Code ; Age Band Code ; Sex Code </v>
      </c>
      <c r="N1735" s="345" t="s">
        <v>207</v>
      </c>
      <c r="O1735" s="345" t="s">
        <v>208</v>
      </c>
      <c r="P1735" s="345" t="s">
        <v>209</v>
      </c>
      <c r="Q1735" s="345" t="s">
        <v>210</v>
      </c>
      <c r="R1735" s="345" t="s">
        <v>223</v>
      </c>
      <c r="S1735" s="345" t="s">
        <v>224</v>
      </c>
    </row>
    <row r="1736" spans="1:19" x14ac:dyDescent="0.25">
      <c r="A1736" s="311"/>
      <c r="B1736" s="312"/>
      <c r="C1736" s="312"/>
      <c r="D1736" s="312"/>
      <c r="E1736" s="312"/>
      <c r="F1736" s="312"/>
      <c r="G1736" s="328"/>
      <c r="H1736" s="337"/>
      <c r="I1736" s="334"/>
      <c r="J1736" s="314"/>
      <c r="K1736" s="449"/>
      <c r="M1736" s="349" t="str">
        <f>N1736&amp;AS[[#This Row],[Insurer Code]]&amp;"; "&amp;O1736&amp;AS[[#This Row],[Reporting Year]]&amp;"; "&amp;P1736&amp;AS[[#This Row],[Insurance Category Code]]&amp;"; "&amp;Q1736&amp;AS[[#This Row],[Large Provider Entity Code]]&amp;"; "&amp;R1736&amp;AS[[#This Row],[Age Band Code]]&amp;"; "&amp;S1736&amp;AS[[#This Row],[Sex Code]]</f>
        <v xml:space="preserve">Insurer Code ; Reporting Year ; Insurance Category Code ; Large Provider Entity Code ; Age Band Code ; Sex Code </v>
      </c>
      <c r="N1736" s="345" t="s">
        <v>207</v>
      </c>
      <c r="O1736" s="345" t="s">
        <v>208</v>
      </c>
      <c r="P1736" s="345" t="s">
        <v>209</v>
      </c>
      <c r="Q1736" s="345" t="s">
        <v>210</v>
      </c>
      <c r="R1736" s="345" t="s">
        <v>223</v>
      </c>
      <c r="S1736" s="345" t="s">
        <v>224</v>
      </c>
    </row>
    <row r="1737" spans="1:19" x14ac:dyDescent="0.25">
      <c r="A1737" s="311"/>
      <c r="B1737" s="312"/>
      <c r="C1737" s="312"/>
      <c r="D1737" s="312"/>
      <c r="E1737" s="312"/>
      <c r="F1737" s="312"/>
      <c r="G1737" s="328"/>
      <c r="H1737" s="337"/>
      <c r="I1737" s="334"/>
      <c r="J1737" s="314"/>
      <c r="K1737" s="449"/>
      <c r="M1737" s="349" t="str">
        <f>N1737&amp;AS[[#This Row],[Insurer Code]]&amp;"; "&amp;O1737&amp;AS[[#This Row],[Reporting Year]]&amp;"; "&amp;P1737&amp;AS[[#This Row],[Insurance Category Code]]&amp;"; "&amp;Q1737&amp;AS[[#This Row],[Large Provider Entity Code]]&amp;"; "&amp;R1737&amp;AS[[#This Row],[Age Band Code]]&amp;"; "&amp;S1737&amp;AS[[#This Row],[Sex Code]]</f>
        <v xml:space="preserve">Insurer Code ; Reporting Year ; Insurance Category Code ; Large Provider Entity Code ; Age Band Code ; Sex Code </v>
      </c>
      <c r="N1737" s="345" t="s">
        <v>207</v>
      </c>
      <c r="O1737" s="345" t="s">
        <v>208</v>
      </c>
      <c r="P1737" s="345" t="s">
        <v>209</v>
      </c>
      <c r="Q1737" s="345" t="s">
        <v>210</v>
      </c>
      <c r="R1737" s="345" t="s">
        <v>223</v>
      </c>
      <c r="S1737" s="345" t="s">
        <v>224</v>
      </c>
    </row>
    <row r="1738" spans="1:19" x14ac:dyDescent="0.25">
      <c r="A1738" s="311"/>
      <c r="B1738" s="312"/>
      <c r="C1738" s="312"/>
      <c r="D1738" s="312"/>
      <c r="E1738" s="312"/>
      <c r="F1738" s="312"/>
      <c r="G1738" s="328"/>
      <c r="H1738" s="337"/>
      <c r="I1738" s="334"/>
      <c r="J1738" s="314"/>
      <c r="K1738" s="449"/>
      <c r="M1738" s="349" t="str">
        <f>N1738&amp;AS[[#This Row],[Insurer Code]]&amp;"; "&amp;O1738&amp;AS[[#This Row],[Reporting Year]]&amp;"; "&amp;P1738&amp;AS[[#This Row],[Insurance Category Code]]&amp;"; "&amp;Q1738&amp;AS[[#This Row],[Large Provider Entity Code]]&amp;"; "&amp;R1738&amp;AS[[#This Row],[Age Band Code]]&amp;"; "&amp;S1738&amp;AS[[#This Row],[Sex Code]]</f>
        <v xml:space="preserve">Insurer Code ; Reporting Year ; Insurance Category Code ; Large Provider Entity Code ; Age Band Code ; Sex Code </v>
      </c>
      <c r="N1738" s="345" t="s">
        <v>207</v>
      </c>
      <c r="O1738" s="345" t="s">
        <v>208</v>
      </c>
      <c r="P1738" s="345" t="s">
        <v>209</v>
      </c>
      <c r="Q1738" s="345" t="s">
        <v>210</v>
      </c>
      <c r="R1738" s="345" t="s">
        <v>223</v>
      </c>
      <c r="S1738" s="345" t="s">
        <v>224</v>
      </c>
    </row>
    <row r="1739" spans="1:19" x14ac:dyDescent="0.25">
      <c r="A1739" s="311"/>
      <c r="B1739" s="312"/>
      <c r="C1739" s="312"/>
      <c r="D1739" s="312"/>
      <c r="E1739" s="312"/>
      <c r="F1739" s="312"/>
      <c r="G1739" s="328"/>
      <c r="H1739" s="337"/>
      <c r="I1739" s="334"/>
      <c r="J1739" s="314"/>
      <c r="K1739" s="449"/>
      <c r="M1739" s="349" t="str">
        <f>N1739&amp;AS[[#This Row],[Insurer Code]]&amp;"; "&amp;O1739&amp;AS[[#This Row],[Reporting Year]]&amp;"; "&amp;P1739&amp;AS[[#This Row],[Insurance Category Code]]&amp;"; "&amp;Q1739&amp;AS[[#This Row],[Large Provider Entity Code]]&amp;"; "&amp;R1739&amp;AS[[#This Row],[Age Band Code]]&amp;"; "&amp;S1739&amp;AS[[#This Row],[Sex Code]]</f>
        <v xml:space="preserve">Insurer Code ; Reporting Year ; Insurance Category Code ; Large Provider Entity Code ; Age Band Code ; Sex Code </v>
      </c>
      <c r="N1739" s="345" t="s">
        <v>207</v>
      </c>
      <c r="O1739" s="345" t="s">
        <v>208</v>
      </c>
      <c r="P1739" s="345" t="s">
        <v>209</v>
      </c>
      <c r="Q1739" s="345" t="s">
        <v>210</v>
      </c>
      <c r="R1739" s="345" t="s">
        <v>223</v>
      </c>
      <c r="S1739" s="345" t="s">
        <v>224</v>
      </c>
    </row>
    <row r="1740" spans="1:19" x14ac:dyDescent="0.25">
      <c r="A1740" s="311"/>
      <c r="B1740" s="312"/>
      <c r="C1740" s="312"/>
      <c r="D1740" s="312"/>
      <c r="E1740" s="312"/>
      <c r="F1740" s="312"/>
      <c r="G1740" s="328"/>
      <c r="H1740" s="337"/>
      <c r="I1740" s="334"/>
      <c r="J1740" s="314"/>
      <c r="K1740" s="449"/>
      <c r="M1740" s="349" t="str">
        <f>N1740&amp;AS[[#This Row],[Insurer Code]]&amp;"; "&amp;O1740&amp;AS[[#This Row],[Reporting Year]]&amp;"; "&amp;P1740&amp;AS[[#This Row],[Insurance Category Code]]&amp;"; "&amp;Q1740&amp;AS[[#This Row],[Large Provider Entity Code]]&amp;"; "&amp;R1740&amp;AS[[#This Row],[Age Band Code]]&amp;"; "&amp;S1740&amp;AS[[#This Row],[Sex Code]]</f>
        <v xml:space="preserve">Insurer Code ; Reporting Year ; Insurance Category Code ; Large Provider Entity Code ; Age Band Code ; Sex Code </v>
      </c>
      <c r="N1740" s="345" t="s">
        <v>207</v>
      </c>
      <c r="O1740" s="345" t="s">
        <v>208</v>
      </c>
      <c r="P1740" s="345" t="s">
        <v>209</v>
      </c>
      <c r="Q1740" s="345" t="s">
        <v>210</v>
      </c>
      <c r="R1740" s="345" t="s">
        <v>223</v>
      </c>
      <c r="S1740" s="345" t="s">
        <v>224</v>
      </c>
    </row>
    <row r="1741" spans="1:19" x14ac:dyDescent="0.25">
      <c r="A1741" s="311"/>
      <c r="B1741" s="312"/>
      <c r="C1741" s="312"/>
      <c r="D1741" s="312"/>
      <c r="E1741" s="312"/>
      <c r="F1741" s="312"/>
      <c r="G1741" s="328"/>
      <c r="H1741" s="337"/>
      <c r="I1741" s="334"/>
      <c r="J1741" s="314"/>
      <c r="K1741" s="449"/>
      <c r="M1741" s="349" t="str">
        <f>N1741&amp;AS[[#This Row],[Insurer Code]]&amp;"; "&amp;O1741&amp;AS[[#This Row],[Reporting Year]]&amp;"; "&amp;P1741&amp;AS[[#This Row],[Insurance Category Code]]&amp;"; "&amp;Q1741&amp;AS[[#This Row],[Large Provider Entity Code]]&amp;"; "&amp;R1741&amp;AS[[#This Row],[Age Band Code]]&amp;"; "&amp;S1741&amp;AS[[#This Row],[Sex Code]]</f>
        <v xml:space="preserve">Insurer Code ; Reporting Year ; Insurance Category Code ; Large Provider Entity Code ; Age Band Code ; Sex Code </v>
      </c>
      <c r="N1741" s="345" t="s">
        <v>207</v>
      </c>
      <c r="O1741" s="345" t="s">
        <v>208</v>
      </c>
      <c r="P1741" s="345" t="s">
        <v>209</v>
      </c>
      <c r="Q1741" s="345" t="s">
        <v>210</v>
      </c>
      <c r="R1741" s="345" t="s">
        <v>223</v>
      </c>
      <c r="S1741" s="345" t="s">
        <v>224</v>
      </c>
    </row>
    <row r="1742" spans="1:19" x14ac:dyDescent="0.25">
      <c r="A1742" s="311"/>
      <c r="B1742" s="312"/>
      <c r="C1742" s="312"/>
      <c r="D1742" s="312"/>
      <c r="E1742" s="312"/>
      <c r="F1742" s="312"/>
      <c r="G1742" s="328"/>
      <c r="H1742" s="337"/>
      <c r="I1742" s="334"/>
      <c r="J1742" s="314"/>
      <c r="K1742" s="449"/>
      <c r="M1742" s="349" t="str">
        <f>N1742&amp;AS[[#This Row],[Insurer Code]]&amp;"; "&amp;O1742&amp;AS[[#This Row],[Reporting Year]]&amp;"; "&amp;P1742&amp;AS[[#This Row],[Insurance Category Code]]&amp;"; "&amp;Q1742&amp;AS[[#This Row],[Large Provider Entity Code]]&amp;"; "&amp;R1742&amp;AS[[#This Row],[Age Band Code]]&amp;"; "&amp;S1742&amp;AS[[#This Row],[Sex Code]]</f>
        <v xml:space="preserve">Insurer Code ; Reporting Year ; Insurance Category Code ; Large Provider Entity Code ; Age Band Code ; Sex Code </v>
      </c>
      <c r="N1742" s="345" t="s">
        <v>207</v>
      </c>
      <c r="O1742" s="345" t="s">
        <v>208</v>
      </c>
      <c r="P1742" s="345" t="s">
        <v>209</v>
      </c>
      <c r="Q1742" s="345" t="s">
        <v>210</v>
      </c>
      <c r="R1742" s="345" t="s">
        <v>223</v>
      </c>
      <c r="S1742" s="345" t="s">
        <v>224</v>
      </c>
    </row>
    <row r="1743" spans="1:19" x14ac:dyDescent="0.25">
      <c r="A1743" s="311"/>
      <c r="B1743" s="312"/>
      <c r="C1743" s="312"/>
      <c r="D1743" s="312"/>
      <c r="E1743" s="312"/>
      <c r="F1743" s="312"/>
      <c r="G1743" s="328"/>
      <c r="H1743" s="337"/>
      <c r="I1743" s="334"/>
      <c r="J1743" s="314"/>
      <c r="K1743" s="449"/>
      <c r="M1743" s="349" t="str">
        <f>N1743&amp;AS[[#This Row],[Insurer Code]]&amp;"; "&amp;O1743&amp;AS[[#This Row],[Reporting Year]]&amp;"; "&amp;P1743&amp;AS[[#This Row],[Insurance Category Code]]&amp;"; "&amp;Q1743&amp;AS[[#This Row],[Large Provider Entity Code]]&amp;"; "&amp;R1743&amp;AS[[#This Row],[Age Band Code]]&amp;"; "&amp;S1743&amp;AS[[#This Row],[Sex Code]]</f>
        <v xml:space="preserve">Insurer Code ; Reporting Year ; Insurance Category Code ; Large Provider Entity Code ; Age Band Code ; Sex Code </v>
      </c>
      <c r="N1743" s="345" t="s">
        <v>207</v>
      </c>
      <c r="O1743" s="345" t="s">
        <v>208</v>
      </c>
      <c r="P1743" s="345" t="s">
        <v>209</v>
      </c>
      <c r="Q1743" s="345" t="s">
        <v>210</v>
      </c>
      <c r="R1743" s="345" t="s">
        <v>223</v>
      </c>
      <c r="S1743" s="345" t="s">
        <v>224</v>
      </c>
    </row>
    <row r="1744" spans="1:19" x14ac:dyDescent="0.25">
      <c r="A1744" s="311"/>
      <c r="B1744" s="312"/>
      <c r="C1744" s="312"/>
      <c r="D1744" s="312"/>
      <c r="E1744" s="312"/>
      <c r="F1744" s="312"/>
      <c r="G1744" s="328"/>
      <c r="H1744" s="337"/>
      <c r="I1744" s="334"/>
      <c r="J1744" s="314"/>
      <c r="K1744" s="449"/>
      <c r="M1744" s="349" t="str">
        <f>N1744&amp;AS[[#This Row],[Insurer Code]]&amp;"; "&amp;O1744&amp;AS[[#This Row],[Reporting Year]]&amp;"; "&amp;P1744&amp;AS[[#This Row],[Insurance Category Code]]&amp;"; "&amp;Q1744&amp;AS[[#This Row],[Large Provider Entity Code]]&amp;"; "&amp;R1744&amp;AS[[#This Row],[Age Band Code]]&amp;"; "&amp;S1744&amp;AS[[#This Row],[Sex Code]]</f>
        <v xml:space="preserve">Insurer Code ; Reporting Year ; Insurance Category Code ; Large Provider Entity Code ; Age Band Code ; Sex Code </v>
      </c>
      <c r="N1744" s="345" t="s">
        <v>207</v>
      </c>
      <c r="O1744" s="345" t="s">
        <v>208</v>
      </c>
      <c r="P1744" s="345" t="s">
        <v>209</v>
      </c>
      <c r="Q1744" s="345" t="s">
        <v>210</v>
      </c>
      <c r="R1744" s="345" t="s">
        <v>223</v>
      </c>
      <c r="S1744" s="345" t="s">
        <v>224</v>
      </c>
    </row>
    <row r="1745" spans="1:19" x14ac:dyDescent="0.25">
      <c r="A1745" s="311"/>
      <c r="B1745" s="312"/>
      <c r="C1745" s="312"/>
      <c r="D1745" s="312"/>
      <c r="E1745" s="312"/>
      <c r="F1745" s="312"/>
      <c r="G1745" s="328"/>
      <c r="H1745" s="337"/>
      <c r="I1745" s="334"/>
      <c r="J1745" s="314"/>
      <c r="K1745" s="449"/>
      <c r="M1745" s="349" t="str">
        <f>N1745&amp;AS[[#This Row],[Insurer Code]]&amp;"; "&amp;O1745&amp;AS[[#This Row],[Reporting Year]]&amp;"; "&amp;P1745&amp;AS[[#This Row],[Insurance Category Code]]&amp;"; "&amp;Q1745&amp;AS[[#This Row],[Large Provider Entity Code]]&amp;"; "&amp;R1745&amp;AS[[#This Row],[Age Band Code]]&amp;"; "&amp;S1745&amp;AS[[#This Row],[Sex Code]]</f>
        <v xml:space="preserve">Insurer Code ; Reporting Year ; Insurance Category Code ; Large Provider Entity Code ; Age Band Code ; Sex Code </v>
      </c>
      <c r="N1745" s="345" t="s">
        <v>207</v>
      </c>
      <c r="O1745" s="345" t="s">
        <v>208</v>
      </c>
      <c r="P1745" s="345" t="s">
        <v>209</v>
      </c>
      <c r="Q1745" s="345" t="s">
        <v>210</v>
      </c>
      <c r="R1745" s="345" t="s">
        <v>223</v>
      </c>
      <c r="S1745" s="345" t="s">
        <v>224</v>
      </c>
    </row>
    <row r="1746" spans="1:19" x14ac:dyDescent="0.25">
      <c r="A1746" s="311"/>
      <c r="B1746" s="312"/>
      <c r="C1746" s="312"/>
      <c r="D1746" s="312"/>
      <c r="E1746" s="312"/>
      <c r="F1746" s="312"/>
      <c r="G1746" s="328"/>
      <c r="H1746" s="337"/>
      <c r="I1746" s="334"/>
      <c r="J1746" s="314"/>
      <c r="K1746" s="449"/>
      <c r="M1746" s="349" t="str">
        <f>N1746&amp;AS[[#This Row],[Insurer Code]]&amp;"; "&amp;O1746&amp;AS[[#This Row],[Reporting Year]]&amp;"; "&amp;P1746&amp;AS[[#This Row],[Insurance Category Code]]&amp;"; "&amp;Q1746&amp;AS[[#This Row],[Large Provider Entity Code]]&amp;"; "&amp;R1746&amp;AS[[#This Row],[Age Band Code]]&amp;"; "&amp;S1746&amp;AS[[#This Row],[Sex Code]]</f>
        <v xml:space="preserve">Insurer Code ; Reporting Year ; Insurance Category Code ; Large Provider Entity Code ; Age Band Code ; Sex Code </v>
      </c>
      <c r="N1746" s="345" t="s">
        <v>207</v>
      </c>
      <c r="O1746" s="345" t="s">
        <v>208</v>
      </c>
      <c r="P1746" s="345" t="s">
        <v>209</v>
      </c>
      <c r="Q1746" s="345" t="s">
        <v>210</v>
      </c>
      <c r="R1746" s="345" t="s">
        <v>223</v>
      </c>
      <c r="S1746" s="345" t="s">
        <v>224</v>
      </c>
    </row>
    <row r="1747" spans="1:19" x14ac:dyDescent="0.25">
      <c r="A1747" s="311"/>
      <c r="B1747" s="312"/>
      <c r="C1747" s="312"/>
      <c r="D1747" s="312"/>
      <c r="E1747" s="312"/>
      <c r="F1747" s="312"/>
      <c r="G1747" s="328"/>
      <c r="H1747" s="337"/>
      <c r="I1747" s="334"/>
      <c r="J1747" s="314"/>
      <c r="K1747" s="449"/>
      <c r="M1747" s="349" t="str">
        <f>N1747&amp;AS[[#This Row],[Insurer Code]]&amp;"; "&amp;O1747&amp;AS[[#This Row],[Reporting Year]]&amp;"; "&amp;P1747&amp;AS[[#This Row],[Insurance Category Code]]&amp;"; "&amp;Q1747&amp;AS[[#This Row],[Large Provider Entity Code]]&amp;"; "&amp;R1747&amp;AS[[#This Row],[Age Band Code]]&amp;"; "&amp;S1747&amp;AS[[#This Row],[Sex Code]]</f>
        <v xml:space="preserve">Insurer Code ; Reporting Year ; Insurance Category Code ; Large Provider Entity Code ; Age Band Code ; Sex Code </v>
      </c>
      <c r="N1747" s="345" t="s">
        <v>207</v>
      </c>
      <c r="O1747" s="345" t="s">
        <v>208</v>
      </c>
      <c r="P1747" s="345" t="s">
        <v>209</v>
      </c>
      <c r="Q1747" s="345" t="s">
        <v>210</v>
      </c>
      <c r="R1747" s="345" t="s">
        <v>223</v>
      </c>
      <c r="S1747" s="345" t="s">
        <v>224</v>
      </c>
    </row>
    <row r="1748" spans="1:19" x14ac:dyDescent="0.25">
      <c r="A1748" s="311"/>
      <c r="B1748" s="312"/>
      <c r="C1748" s="312"/>
      <c r="D1748" s="312"/>
      <c r="E1748" s="312"/>
      <c r="F1748" s="312"/>
      <c r="G1748" s="328"/>
      <c r="H1748" s="337"/>
      <c r="I1748" s="334"/>
      <c r="J1748" s="314"/>
      <c r="K1748" s="449"/>
      <c r="M1748" s="349" t="str">
        <f>N1748&amp;AS[[#This Row],[Insurer Code]]&amp;"; "&amp;O1748&amp;AS[[#This Row],[Reporting Year]]&amp;"; "&amp;P1748&amp;AS[[#This Row],[Insurance Category Code]]&amp;"; "&amp;Q1748&amp;AS[[#This Row],[Large Provider Entity Code]]&amp;"; "&amp;R1748&amp;AS[[#This Row],[Age Band Code]]&amp;"; "&amp;S1748&amp;AS[[#This Row],[Sex Code]]</f>
        <v xml:space="preserve">Insurer Code ; Reporting Year ; Insurance Category Code ; Large Provider Entity Code ; Age Band Code ; Sex Code </v>
      </c>
      <c r="N1748" s="345" t="s">
        <v>207</v>
      </c>
      <c r="O1748" s="345" t="s">
        <v>208</v>
      </c>
      <c r="P1748" s="345" t="s">
        <v>209</v>
      </c>
      <c r="Q1748" s="345" t="s">
        <v>210</v>
      </c>
      <c r="R1748" s="345" t="s">
        <v>223</v>
      </c>
      <c r="S1748" s="345" t="s">
        <v>224</v>
      </c>
    </row>
    <row r="1749" spans="1:19" x14ac:dyDescent="0.25">
      <c r="A1749" s="311"/>
      <c r="B1749" s="312"/>
      <c r="C1749" s="312"/>
      <c r="D1749" s="312"/>
      <c r="E1749" s="312"/>
      <c r="F1749" s="312"/>
      <c r="G1749" s="328"/>
      <c r="H1749" s="337"/>
      <c r="I1749" s="334"/>
      <c r="J1749" s="314"/>
      <c r="K1749" s="449"/>
      <c r="M1749" s="349" t="str">
        <f>N1749&amp;AS[[#This Row],[Insurer Code]]&amp;"; "&amp;O1749&amp;AS[[#This Row],[Reporting Year]]&amp;"; "&amp;P1749&amp;AS[[#This Row],[Insurance Category Code]]&amp;"; "&amp;Q1749&amp;AS[[#This Row],[Large Provider Entity Code]]&amp;"; "&amp;R1749&amp;AS[[#This Row],[Age Band Code]]&amp;"; "&amp;S1749&amp;AS[[#This Row],[Sex Code]]</f>
        <v xml:space="preserve">Insurer Code ; Reporting Year ; Insurance Category Code ; Large Provider Entity Code ; Age Band Code ; Sex Code </v>
      </c>
      <c r="N1749" s="345" t="s">
        <v>207</v>
      </c>
      <c r="O1749" s="345" t="s">
        <v>208</v>
      </c>
      <c r="P1749" s="345" t="s">
        <v>209</v>
      </c>
      <c r="Q1749" s="345" t="s">
        <v>210</v>
      </c>
      <c r="R1749" s="345" t="s">
        <v>223</v>
      </c>
      <c r="S1749" s="345" t="s">
        <v>224</v>
      </c>
    </row>
    <row r="1750" spans="1:19" x14ac:dyDescent="0.25">
      <c r="A1750" s="311"/>
      <c r="B1750" s="312"/>
      <c r="C1750" s="312"/>
      <c r="D1750" s="312"/>
      <c r="E1750" s="312"/>
      <c r="F1750" s="312"/>
      <c r="G1750" s="328"/>
      <c r="H1750" s="337"/>
      <c r="I1750" s="334"/>
      <c r="J1750" s="314"/>
      <c r="K1750" s="449"/>
      <c r="M1750" s="349" t="str">
        <f>N1750&amp;AS[[#This Row],[Insurer Code]]&amp;"; "&amp;O1750&amp;AS[[#This Row],[Reporting Year]]&amp;"; "&amp;P1750&amp;AS[[#This Row],[Insurance Category Code]]&amp;"; "&amp;Q1750&amp;AS[[#This Row],[Large Provider Entity Code]]&amp;"; "&amp;R1750&amp;AS[[#This Row],[Age Band Code]]&amp;"; "&amp;S1750&amp;AS[[#This Row],[Sex Code]]</f>
        <v xml:space="preserve">Insurer Code ; Reporting Year ; Insurance Category Code ; Large Provider Entity Code ; Age Band Code ; Sex Code </v>
      </c>
      <c r="N1750" s="345" t="s">
        <v>207</v>
      </c>
      <c r="O1750" s="345" t="s">
        <v>208</v>
      </c>
      <c r="P1750" s="345" t="s">
        <v>209</v>
      </c>
      <c r="Q1750" s="345" t="s">
        <v>210</v>
      </c>
      <c r="R1750" s="345" t="s">
        <v>223</v>
      </c>
      <c r="S1750" s="345" t="s">
        <v>224</v>
      </c>
    </row>
    <row r="1751" spans="1:19" x14ac:dyDescent="0.25">
      <c r="A1751" s="311"/>
      <c r="B1751" s="312"/>
      <c r="C1751" s="312"/>
      <c r="D1751" s="312"/>
      <c r="E1751" s="312"/>
      <c r="F1751" s="312"/>
      <c r="G1751" s="328"/>
      <c r="H1751" s="337"/>
      <c r="I1751" s="334"/>
      <c r="J1751" s="314"/>
      <c r="K1751" s="449"/>
      <c r="M1751" s="349" t="str">
        <f>N1751&amp;AS[[#This Row],[Insurer Code]]&amp;"; "&amp;O1751&amp;AS[[#This Row],[Reporting Year]]&amp;"; "&amp;P1751&amp;AS[[#This Row],[Insurance Category Code]]&amp;"; "&amp;Q1751&amp;AS[[#This Row],[Large Provider Entity Code]]&amp;"; "&amp;R1751&amp;AS[[#This Row],[Age Band Code]]&amp;"; "&amp;S1751&amp;AS[[#This Row],[Sex Code]]</f>
        <v xml:space="preserve">Insurer Code ; Reporting Year ; Insurance Category Code ; Large Provider Entity Code ; Age Band Code ; Sex Code </v>
      </c>
      <c r="N1751" s="345" t="s">
        <v>207</v>
      </c>
      <c r="O1751" s="345" t="s">
        <v>208</v>
      </c>
      <c r="P1751" s="345" t="s">
        <v>209</v>
      </c>
      <c r="Q1751" s="345" t="s">
        <v>210</v>
      </c>
      <c r="R1751" s="345" t="s">
        <v>223</v>
      </c>
      <c r="S1751" s="345" t="s">
        <v>224</v>
      </c>
    </row>
    <row r="1752" spans="1:19" x14ac:dyDescent="0.25">
      <c r="A1752" s="311"/>
      <c r="B1752" s="312"/>
      <c r="C1752" s="312"/>
      <c r="D1752" s="312"/>
      <c r="E1752" s="312"/>
      <c r="F1752" s="312"/>
      <c r="G1752" s="328"/>
      <c r="H1752" s="337"/>
      <c r="I1752" s="334"/>
      <c r="J1752" s="314"/>
      <c r="K1752" s="449"/>
      <c r="M1752" s="349" t="str">
        <f>N1752&amp;AS[[#This Row],[Insurer Code]]&amp;"; "&amp;O1752&amp;AS[[#This Row],[Reporting Year]]&amp;"; "&amp;P1752&amp;AS[[#This Row],[Insurance Category Code]]&amp;"; "&amp;Q1752&amp;AS[[#This Row],[Large Provider Entity Code]]&amp;"; "&amp;R1752&amp;AS[[#This Row],[Age Band Code]]&amp;"; "&amp;S1752&amp;AS[[#This Row],[Sex Code]]</f>
        <v xml:space="preserve">Insurer Code ; Reporting Year ; Insurance Category Code ; Large Provider Entity Code ; Age Band Code ; Sex Code </v>
      </c>
      <c r="N1752" s="345" t="s">
        <v>207</v>
      </c>
      <c r="O1752" s="345" t="s">
        <v>208</v>
      </c>
      <c r="P1752" s="345" t="s">
        <v>209</v>
      </c>
      <c r="Q1752" s="345" t="s">
        <v>210</v>
      </c>
      <c r="R1752" s="345" t="s">
        <v>223</v>
      </c>
      <c r="S1752" s="345" t="s">
        <v>224</v>
      </c>
    </row>
    <row r="1753" spans="1:19" x14ac:dyDescent="0.25">
      <c r="A1753" s="311"/>
      <c r="B1753" s="312"/>
      <c r="C1753" s="312"/>
      <c r="D1753" s="312"/>
      <c r="E1753" s="312"/>
      <c r="F1753" s="312"/>
      <c r="G1753" s="328"/>
      <c r="H1753" s="337"/>
      <c r="I1753" s="334"/>
      <c r="J1753" s="314"/>
      <c r="K1753" s="449"/>
      <c r="M1753" s="349" t="str">
        <f>N1753&amp;AS[[#This Row],[Insurer Code]]&amp;"; "&amp;O1753&amp;AS[[#This Row],[Reporting Year]]&amp;"; "&amp;P1753&amp;AS[[#This Row],[Insurance Category Code]]&amp;"; "&amp;Q1753&amp;AS[[#This Row],[Large Provider Entity Code]]&amp;"; "&amp;R1753&amp;AS[[#This Row],[Age Band Code]]&amp;"; "&amp;S1753&amp;AS[[#This Row],[Sex Code]]</f>
        <v xml:space="preserve">Insurer Code ; Reporting Year ; Insurance Category Code ; Large Provider Entity Code ; Age Band Code ; Sex Code </v>
      </c>
      <c r="N1753" s="345" t="s">
        <v>207</v>
      </c>
      <c r="O1753" s="345" t="s">
        <v>208</v>
      </c>
      <c r="P1753" s="345" t="s">
        <v>209</v>
      </c>
      <c r="Q1753" s="345" t="s">
        <v>210</v>
      </c>
      <c r="R1753" s="345" t="s">
        <v>223</v>
      </c>
      <c r="S1753" s="345" t="s">
        <v>224</v>
      </c>
    </row>
    <row r="1754" spans="1:19" x14ac:dyDescent="0.25">
      <c r="A1754" s="311"/>
      <c r="B1754" s="312"/>
      <c r="C1754" s="312"/>
      <c r="D1754" s="312"/>
      <c r="E1754" s="312"/>
      <c r="F1754" s="312"/>
      <c r="G1754" s="328"/>
      <c r="H1754" s="337"/>
      <c r="I1754" s="334"/>
      <c r="J1754" s="314"/>
      <c r="K1754" s="449"/>
      <c r="M1754" s="349" t="str">
        <f>N1754&amp;AS[[#This Row],[Insurer Code]]&amp;"; "&amp;O1754&amp;AS[[#This Row],[Reporting Year]]&amp;"; "&amp;P1754&amp;AS[[#This Row],[Insurance Category Code]]&amp;"; "&amp;Q1754&amp;AS[[#This Row],[Large Provider Entity Code]]&amp;"; "&amp;R1754&amp;AS[[#This Row],[Age Band Code]]&amp;"; "&amp;S1754&amp;AS[[#This Row],[Sex Code]]</f>
        <v xml:space="preserve">Insurer Code ; Reporting Year ; Insurance Category Code ; Large Provider Entity Code ; Age Band Code ; Sex Code </v>
      </c>
      <c r="N1754" s="345" t="s">
        <v>207</v>
      </c>
      <c r="O1754" s="345" t="s">
        <v>208</v>
      </c>
      <c r="P1754" s="345" t="s">
        <v>209</v>
      </c>
      <c r="Q1754" s="345" t="s">
        <v>210</v>
      </c>
      <c r="R1754" s="345" t="s">
        <v>223</v>
      </c>
      <c r="S1754" s="345" t="s">
        <v>224</v>
      </c>
    </row>
    <row r="1755" spans="1:19" x14ac:dyDescent="0.25">
      <c r="A1755" s="311"/>
      <c r="B1755" s="312"/>
      <c r="C1755" s="312"/>
      <c r="D1755" s="312"/>
      <c r="E1755" s="333"/>
      <c r="F1755" s="333"/>
      <c r="G1755" s="313"/>
      <c r="H1755" s="314"/>
      <c r="I1755" s="334"/>
      <c r="J1755" s="314"/>
      <c r="K1755" s="449"/>
      <c r="M1755" s="349" t="str">
        <f>N1755&amp;AS[[#This Row],[Insurer Code]]&amp;"; "&amp;O1755&amp;AS[[#This Row],[Reporting Year]]&amp;"; "&amp;P1755&amp;AS[[#This Row],[Insurance Category Code]]&amp;"; "&amp;Q1755&amp;AS[[#This Row],[Large Provider Entity Code]]&amp;"; "&amp;R1755&amp;AS[[#This Row],[Age Band Code]]&amp;"; "&amp;S1755&amp;AS[[#This Row],[Sex Code]]</f>
        <v xml:space="preserve">Insurer Code ; Reporting Year ; Insurance Category Code ; Large Provider Entity Code ; Age Band Code ; Sex Code </v>
      </c>
      <c r="N1755" s="345" t="s">
        <v>207</v>
      </c>
      <c r="O1755" s="345" t="s">
        <v>208</v>
      </c>
      <c r="P1755" s="345" t="s">
        <v>209</v>
      </c>
      <c r="Q1755" s="345" t="s">
        <v>210</v>
      </c>
      <c r="R1755" s="345" t="s">
        <v>223</v>
      </c>
      <c r="S1755" s="345" t="s">
        <v>224</v>
      </c>
    </row>
    <row r="1756" spans="1:19" x14ac:dyDescent="0.25">
      <c r="A1756" s="311"/>
      <c r="B1756" s="312"/>
      <c r="C1756" s="312"/>
      <c r="D1756" s="312"/>
      <c r="E1756" s="333"/>
      <c r="F1756" s="333"/>
      <c r="G1756" s="313"/>
      <c r="H1756" s="314"/>
      <c r="I1756" s="334"/>
      <c r="J1756" s="314"/>
      <c r="K1756" s="449"/>
      <c r="M1756" s="349" t="str">
        <f>N1756&amp;AS[[#This Row],[Insurer Code]]&amp;"; "&amp;O1756&amp;AS[[#This Row],[Reporting Year]]&amp;"; "&amp;P1756&amp;AS[[#This Row],[Insurance Category Code]]&amp;"; "&amp;Q1756&amp;AS[[#This Row],[Large Provider Entity Code]]&amp;"; "&amp;R1756&amp;AS[[#This Row],[Age Band Code]]&amp;"; "&amp;S1756&amp;AS[[#This Row],[Sex Code]]</f>
        <v xml:space="preserve">Insurer Code ; Reporting Year ; Insurance Category Code ; Large Provider Entity Code ; Age Band Code ; Sex Code </v>
      </c>
      <c r="N1756" s="345" t="s">
        <v>207</v>
      </c>
      <c r="O1756" s="345" t="s">
        <v>208</v>
      </c>
      <c r="P1756" s="345" t="s">
        <v>209</v>
      </c>
      <c r="Q1756" s="345" t="s">
        <v>210</v>
      </c>
      <c r="R1756" s="345" t="s">
        <v>223</v>
      </c>
      <c r="S1756" s="345" t="s">
        <v>224</v>
      </c>
    </row>
    <row r="1757" spans="1:19" x14ac:dyDescent="0.25">
      <c r="A1757" s="311"/>
      <c r="B1757" s="312"/>
      <c r="C1757" s="312"/>
      <c r="D1757" s="312"/>
      <c r="E1757" s="333"/>
      <c r="F1757" s="333"/>
      <c r="G1757" s="313"/>
      <c r="H1757" s="314"/>
      <c r="I1757" s="334"/>
      <c r="J1757" s="314"/>
      <c r="K1757" s="449"/>
      <c r="M1757" s="349" t="str">
        <f>N1757&amp;AS[[#This Row],[Insurer Code]]&amp;"; "&amp;O1757&amp;AS[[#This Row],[Reporting Year]]&amp;"; "&amp;P1757&amp;AS[[#This Row],[Insurance Category Code]]&amp;"; "&amp;Q1757&amp;AS[[#This Row],[Large Provider Entity Code]]&amp;"; "&amp;R1757&amp;AS[[#This Row],[Age Band Code]]&amp;"; "&amp;S1757&amp;AS[[#This Row],[Sex Code]]</f>
        <v xml:space="preserve">Insurer Code ; Reporting Year ; Insurance Category Code ; Large Provider Entity Code ; Age Band Code ; Sex Code </v>
      </c>
      <c r="N1757" s="345" t="s">
        <v>207</v>
      </c>
      <c r="O1757" s="345" t="s">
        <v>208</v>
      </c>
      <c r="P1757" s="345" t="s">
        <v>209</v>
      </c>
      <c r="Q1757" s="345" t="s">
        <v>210</v>
      </c>
      <c r="R1757" s="345" t="s">
        <v>223</v>
      </c>
      <c r="S1757" s="345" t="s">
        <v>224</v>
      </c>
    </row>
    <row r="1758" spans="1:19" x14ac:dyDescent="0.25">
      <c r="A1758" s="311"/>
      <c r="B1758" s="312"/>
      <c r="C1758" s="312"/>
      <c r="D1758" s="312"/>
      <c r="E1758" s="333"/>
      <c r="F1758" s="333"/>
      <c r="G1758" s="313"/>
      <c r="H1758" s="314"/>
      <c r="I1758" s="334"/>
      <c r="J1758" s="314"/>
      <c r="K1758" s="449"/>
      <c r="M1758" s="349" t="str">
        <f>N1758&amp;AS[[#This Row],[Insurer Code]]&amp;"; "&amp;O1758&amp;AS[[#This Row],[Reporting Year]]&amp;"; "&amp;P1758&amp;AS[[#This Row],[Insurance Category Code]]&amp;"; "&amp;Q1758&amp;AS[[#This Row],[Large Provider Entity Code]]&amp;"; "&amp;R1758&amp;AS[[#This Row],[Age Band Code]]&amp;"; "&amp;S1758&amp;AS[[#This Row],[Sex Code]]</f>
        <v xml:space="preserve">Insurer Code ; Reporting Year ; Insurance Category Code ; Large Provider Entity Code ; Age Band Code ; Sex Code </v>
      </c>
      <c r="N1758" s="345" t="s">
        <v>207</v>
      </c>
      <c r="O1758" s="345" t="s">
        <v>208</v>
      </c>
      <c r="P1758" s="345" t="s">
        <v>209</v>
      </c>
      <c r="Q1758" s="345" t="s">
        <v>210</v>
      </c>
      <c r="R1758" s="345" t="s">
        <v>223</v>
      </c>
      <c r="S1758" s="345" t="s">
        <v>224</v>
      </c>
    </row>
    <row r="1759" spans="1:19" x14ac:dyDescent="0.25">
      <c r="A1759" s="311"/>
      <c r="B1759" s="312"/>
      <c r="C1759" s="312"/>
      <c r="D1759" s="312"/>
      <c r="E1759" s="312"/>
      <c r="F1759" s="312"/>
      <c r="G1759" s="335"/>
      <c r="H1759" s="336"/>
      <c r="I1759" s="334"/>
      <c r="J1759" s="332"/>
      <c r="K1759" s="449"/>
      <c r="M1759" s="349" t="str">
        <f>N1759&amp;AS[[#This Row],[Insurer Code]]&amp;"; "&amp;O1759&amp;AS[[#This Row],[Reporting Year]]&amp;"; "&amp;P1759&amp;AS[[#This Row],[Insurance Category Code]]&amp;"; "&amp;Q1759&amp;AS[[#This Row],[Large Provider Entity Code]]&amp;"; "&amp;R1759&amp;AS[[#This Row],[Age Band Code]]&amp;"; "&amp;S1759&amp;AS[[#This Row],[Sex Code]]</f>
        <v xml:space="preserve">Insurer Code ; Reporting Year ; Insurance Category Code ; Large Provider Entity Code ; Age Band Code ; Sex Code </v>
      </c>
      <c r="N1759" s="345" t="s">
        <v>207</v>
      </c>
      <c r="O1759" s="345" t="s">
        <v>208</v>
      </c>
      <c r="P1759" s="345" t="s">
        <v>209</v>
      </c>
      <c r="Q1759" s="345" t="s">
        <v>210</v>
      </c>
      <c r="R1759" s="345" t="s">
        <v>223</v>
      </c>
      <c r="S1759" s="345" t="s">
        <v>224</v>
      </c>
    </row>
    <row r="1760" spans="1:19" x14ac:dyDescent="0.25">
      <c r="A1760" s="311"/>
      <c r="B1760" s="312"/>
      <c r="C1760" s="312"/>
      <c r="D1760" s="312"/>
      <c r="E1760" s="312"/>
      <c r="F1760" s="312"/>
      <c r="G1760" s="313"/>
      <c r="H1760" s="336"/>
      <c r="I1760" s="334"/>
      <c r="J1760" s="332"/>
      <c r="K1760" s="449"/>
      <c r="M1760" s="349" t="str">
        <f>N1760&amp;AS[[#This Row],[Insurer Code]]&amp;"; "&amp;O1760&amp;AS[[#This Row],[Reporting Year]]&amp;"; "&amp;P1760&amp;AS[[#This Row],[Insurance Category Code]]&amp;"; "&amp;Q1760&amp;AS[[#This Row],[Large Provider Entity Code]]&amp;"; "&amp;R1760&amp;AS[[#This Row],[Age Band Code]]&amp;"; "&amp;S1760&amp;AS[[#This Row],[Sex Code]]</f>
        <v xml:space="preserve">Insurer Code ; Reporting Year ; Insurance Category Code ; Large Provider Entity Code ; Age Band Code ; Sex Code </v>
      </c>
      <c r="N1760" s="345" t="s">
        <v>207</v>
      </c>
      <c r="O1760" s="345" t="s">
        <v>208</v>
      </c>
      <c r="P1760" s="345" t="s">
        <v>209</v>
      </c>
      <c r="Q1760" s="345" t="s">
        <v>210</v>
      </c>
      <c r="R1760" s="345" t="s">
        <v>223</v>
      </c>
      <c r="S1760" s="345" t="s">
        <v>224</v>
      </c>
    </row>
    <row r="1761" spans="1:19" x14ac:dyDescent="0.25">
      <c r="A1761" s="311"/>
      <c r="B1761" s="312"/>
      <c r="C1761" s="312"/>
      <c r="D1761" s="312"/>
      <c r="E1761" s="312"/>
      <c r="F1761" s="312"/>
      <c r="G1761" s="335"/>
      <c r="H1761" s="336"/>
      <c r="I1761" s="334"/>
      <c r="J1761" s="332"/>
      <c r="K1761" s="449"/>
      <c r="M1761" s="349" t="str">
        <f>N1761&amp;AS[[#This Row],[Insurer Code]]&amp;"; "&amp;O1761&amp;AS[[#This Row],[Reporting Year]]&amp;"; "&amp;P1761&amp;AS[[#This Row],[Insurance Category Code]]&amp;"; "&amp;Q1761&amp;AS[[#This Row],[Large Provider Entity Code]]&amp;"; "&amp;R1761&amp;AS[[#This Row],[Age Band Code]]&amp;"; "&amp;S1761&amp;AS[[#This Row],[Sex Code]]</f>
        <v xml:space="preserve">Insurer Code ; Reporting Year ; Insurance Category Code ; Large Provider Entity Code ; Age Band Code ; Sex Code </v>
      </c>
      <c r="N1761" s="345" t="s">
        <v>207</v>
      </c>
      <c r="O1761" s="345" t="s">
        <v>208</v>
      </c>
      <c r="P1761" s="345" t="s">
        <v>209</v>
      </c>
      <c r="Q1761" s="345" t="s">
        <v>210</v>
      </c>
      <c r="R1761" s="345" t="s">
        <v>223</v>
      </c>
      <c r="S1761" s="345" t="s">
        <v>224</v>
      </c>
    </row>
    <row r="1762" spans="1:19" x14ac:dyDescent="0.25">
      <c r="A1762" s="311"/>
      <c r="B1762" s="312"/>
      <c r="C1762" s="312"/>
      <c r="D1762" s="312"/>
      <c r="E1762" s="312"/>
      <c r="F1762" s="312"/>
      <c r="G1762" s="313"/>
      <c r="H1762" s="336"/>
      <c r="I1762" s="334"/>
      <c r="J1762" s="332"/>
      <c r="K1762" s="449"/>
      <c r="M1762" s="349" t="str">
        <f>N1762&amp;AS[[#This Row],[Insurer Code]]&amp;"; "&amp;O1762&amp;AS[[#This Row],[Reporting Year]]&amp;"; "&amp;P1762&amp;AS[[#This Row],[Insurance Category Code]]&amp;"; "&amp;Q1762&amp;AS[[#This Row],[Large Provider Entity Code]]&amp;"; "&amp;R1762&amp;AS[[#This Row],[Age Band Code]]&amp;"; "&amp;S1762&amp;AS[[#This Row],[Sex Code]]</f>
        <v xml:space="preserve">Insurer Code ; Reporting Year ; Insurance Category Code ; Large Provider Entity Code ; Age Band Code ; Sex Code </v>
      </c>
      <c r="N1762" s="345" t="s">
        <v>207</v>
      </c>
      <c r="O1762" s="345" t="s">
        <v>208</v>
      </c>
      <c r="P1762" s="345" t="s">
        <v>209</v>
      </c>
      <c r="Q1762" s="345" t="s">
        <v>210</v>
      </c>
      <c r="R1762" s="345" t="s">
        <v>223</v>
      </c>
      <c r="S1762" s="345" t="s">
        <v>224</v>
      </c>
    </row>
    <row r="1763" spans="1:19" x14ac:dyDescent="0.25">
      <c r="A1763" s="311"/>
      <c r="B1763" s="312"/>
      <c r="C1763" s="312"/>
      <c r="D1763" s="312"/>
      <c r="E1763" s="312"/>
      <c r="F1763" s="312"/>
      <c r="G1763" s="335"/>
      <c r="H1763" s="336"/>
      <c r="I1763" s="334"/>
      <c r="J1763" s="332"/>
      <c r="K1763" s="449"/>
      <c r="M1763" s="349" t="str">
        <f>N1763&amp;AS[[#This Row],[Insurer Code]]&amp;"; "&amp;O1763&amp;AS[[#This Row],[Reporting Year]]&amp;"; "&amp;P1763&amp;AS[[#This Row],[Insurance Category Code]]&amp;"; "&amp;Q1763&amp;AS[[#This Row],[Large Provider Entity Code]]&amp;"; "&amp;R1763&amp;AS[[#This Row],[Age Band Code]]&amp;"; "&amp;S1763&amp;AS[[#This Row],[Sex Code]]</f>
        <v xml:space="preserve">Insurer Code ; Reporting Year ; Insurance Category Code ; Large Provider Entity Code ; Age Band Code ; Sex Code </v>
      </c>
      <c r="N1763" s="345" t="s">
        <v>207</v>
      </c>
      <c r="O1763" s="345" t="s">
        <v>208</v>
      </c>
      <c r="P1763" s="345" t="s">
        <v>209</v>
      </c>
      <c r="Q1763" s="345" t="s">
        <v>210</v>
      </c>
      <c r="R1763" s="345" t="s">
        <v>223</v>
      </c>
      <c r="S1763" s="345" t="s">
        <v>224</v>
      </c>
    </row>
    <row r="1764" spans="1:19" x14ac:dyDescent="0.25">
      <c r="A1764" s="311"/>
      <c r="B1764" s="312"/>
      <c r="C1764" s="312"/>
      <c r="D1764" s="312"/>
      <c r="E1764" s="312"/>
      <c r="F1764" s="312"/>
      <c r="G1764" s="313"/>
      <c r="H1764" s="336"/>
      <c r="I1764" s="334"/>
      <c r="J1764" s="332"/>
      <c r="K1764" s="449"/>
      <c r="M1764" s="349" t="str">
        <f>N1764&amp;AS[[#This Row],[Insurer Code]]&amp;"; "&amp;O1764&amp;AS[[#This Row],[Reporting Year]]&amp;"; "&amp;P1764&amp;AS[[#This Row],[Insurance Category Code]]&amp;"; "&amp;Q1764&amp;AS[[#This Row],[Large Provider Entity Code]]&amp;"; "&amp;R1764&amp;AS[[#This Row],[Age Band Code]]&amp;"; "&amp;S1764&amp;AS[[#This Row],[Sex Code]]</f>
        <v xml:space="preserve">Insurer Code ; Reporting Year ; Insurance Category Code ; Large Provider Entity Code ; Age Band Code ; Sex Code </v>
      </c>
      <c r="N1764" s="345" t="s">
        <v>207</v>
      </c>
      <c r="O1764" s="345" t="s">
        <v>208</v>
      </c>
      <c r="P1764" s="345" t="s">
        <v>209</v>
      </c>
      <c r="Q1764" s="345" t="s">
        <v>210</v>
      </c>
      <c r="R1764" s="345" t="s">
        <v>223</v>
      </c>
      <c r="S1764" s="345" t="s">
        <v>224</v>
      </c>
    </row>
    <row r="1765" spans="1:19" x14ac:dyDescent="0.25">
      <c r="A1765" s="311"/>
      <c r="B1765" s="312"/>
      <c r="C1765" s="312"/>
      <c r="D1765" s="312"/>
      <c r="E1765" s="312"/>
      <c r="F1765" s="312"/>
      <c r="G1765" s="328"/>
      <c r="H1765" s="337"/>
      <c r="I1765" s="334"/>
      <c r="J1765" s="314"/>
      <c r="K1765" s="449"/>
      <c r="M1765" s="349" t="str">
        <f>N1765&amp;AS[[#This Row],[Insurer Code]]&amp;"; "&amp;O1765&amp;AS[[#This Row],[Reporting Year]]&amp;"; "&amp;P1765&amp;AS[[#This Row],[Insurance Category Code]]&amp;"; "&amp;Q1765&amp;AS[[#This Row],[Large Provider Entity Code]]&amp;"; "&amp;R1765&amp;AS[[#This Row],[Age Band Code]]&amp;"; "&amp;S1765&amp;AS[[#This Row],[Sex Code]]</f>
        <v xml:space="preserve">Insurer Code ; Reporting Year ; Insurance Category Code ; Large Provider Entity Code ; Age Band Code ; Sex Code </v>
      </c>
      <c r="N1765" s="345" t="s">
        <v>207</v>
      </c>
      <c r="O1765" s="345" t="s">
        <v>208</v>
      </c>
      <c r="P1765" s="345" t="s">
        <v>209</v>
      </c>
      <c r="Q1765" s="345" t="s">
        <v>210</v>
      </c>
      <c r="R1765" s="345" t="s">
        <v>223</v>
      </c>
      <c r="S1765" s="345" t="s">
        <v>224</v>
      </c>
    </row>
    <row r="1766" spans="1:19" x14ac:dyDescent="0.25">
      <c r="A1766" s="311"/>
      <c r="B1766" s="312"/>
      <c r="C1766" s="312"/>
      <c r="D1766" s="312"/>
      <c r="E1766" s="312"/>
      <c r="F1766" s="312"/>
      <c r="G1766" s="328"/>
      <c r="H1766" s="337"/>
      <c r="I1766" s="334"/>
      <c r="J1766" s="314"/>
      <c r="K1766" s="449"/>
      <c r="M1766" s="349" t="str">
        <f>N1766&amp;AS[[#This Row],[Insurer Code]]&amp;"; "&amp;O1766&amp;AS[[#This Row],[Reporting Year]]&amp;"; "&amp;P1766&amp;AS[[#This Row],[Insurance Category Code]]&amp;"; "&amp;Q1766&amp;AS[[#This Row],[Large Provider Entity Code]]&amp;"; "&amp;R1766&amp;AS[[#This Row],[Age Band Code]]&amp;"; "&amp;S1766&amp;AS[[#This Row],[Sex Code]]</f>
        <v xml:space="preserve">Insurer Code ; Reporting Year ; Insurance Category Code ; Large Provider Entity Code ; Age Band Code ; Sex Code </v>
      </c>
      <c r="N1766" s="345" t="s">
        <v>207</v>
      </c>
      <c r="O1766" s="345" t="s">
        <v>208</v>
      </c>
      <c r="P1766" s="345" t="s">
        <v>209</v>
      </c>
      <c r="Q1766" s="345" t="s">
        <v>210</v>
      </c>
      <c r="R1766" s="345" t="s">
        <v>223</v>
      </c>
      <c r="S1766" s="345" t="s">
        <v>224</v>
      </c>
    </row>
    <row r="1767" spans="1:19" x14ac:dyDescent="0.25">
      <c r="A1767" s="311"/>
      <c r="B1767" s="312"/>
      <c r="C1767" s="312"/>
      <c r="D1767" s="312"/>
      <c r="E1767" s="312"/>
      <c r="F1767" s="312"/>
      <c r="G1767" s="328"/>
      <c r="H1767" s="337"/>
      <c r="I1767" s="334"/>
      <c r="J1767" s="314"/>
      <c r="K1767" s="449"/>
      <c r="M1767" s="349" t="str">
        <f>N1767&amp;AS[[#This Row],[Insurer Code]]&amp;"; "&amp;O1767&amp;AS[[#This Row],[Reporting Year]]&amp;"; "&amp;P1767&amp;AS[[#This Row],[Insurance Category Code]]&amp;"; "&amp;Q1767&amp;AS[[#This Row],[Large Provider Entity Code]]&amp;"; "&amp;R1767&amp;AS[[#This Row],[Age Band Code]]&amp;"; "&amp;S1767&amp;AS[[#This Row],[Sex Code]]</f>
        <v xml:space="preserve">Insurer Code ; Reporting Year ; Insurance Category Code ; Large Provider Entity Code ; Age Band Code ; Sex Code </v>
      </c>
      <c r="N1767" s="345" t="s">
        <v>207</v>
      </c>
      <c r="O1767" s="345" t="s">
        <v>208</v>
      </c>
      <c r="P1767" s="345" t="s">
        <v>209</v>
      </c>
      <c r="Q1767" s="345" t="s">
        <v>210</v>
      </c>
      <c r="R1767" s="345" t="s">
        <v>223</v>
      </c>
      <c r="S1767" s="345" t="s">
        <v>224</v>
      </c>
    </row>
    <row r="1768" spans="1:19" x14ac:dyDescent="0.25">
      <c r="A1768" s="311"/>
      <c r="B1768" s="312"/>
      <c r="C1768" s="312"/>
      <c r="D1768" s="312"/>
      <c r="E1768" s="312"/>
      <c r="F1768" s="312"/>
      <c r="G1768" s="328"/>
      <c r="H1768" s="337"/>
      <c r="I1768" s="334"/>
      <c r="J1768" s="314"/>
      <c r="K1768" s="449"/>
      <c r="M1768" s="349" t="str">
        <f>N1768&amp;AS[[#This Row],[Insurer Code]]&amp;"; "&amp;O1768&amp;AS[[#This Row],[Reporting Year]]&amp;"; "&amp;P1768&amp;AS[[#This Row],[Insurance Category Code]]&amp;"; "&amp;Q1768&amp;AS[[#This Row],[Large Provider Entity Code]]&amp;"; "&amp;R1768&amp;AS[[#This Row],[Age Band Code]]&amp;"; "&amp;S1768&amp;AS[[#This Row],[Sex Code]]</f>
        <v xml:space="preserve">Insurer Code ; Reporting Year ; Insurance Category Code ; Large Provider Entity Code ; Age Band Code ; Sex Code </v>
      </c>
      <c r="N1768" s="345" t="s">
        <v>207</v>
      </c>
      <c r="O1768" s="345" t="s">
        <v>208</v>
      </c>
      <c r="P1768" s="345" t="s">
        <v>209</v>
      </c>
      <c r="Q1768" s="345" t="s">
        <v>210</v>
      </c>
      <c r="R1768" s="345" t="s">
        <v>223</v>
      </c>
      <c r="S1768" s="345" t="s">
        <v>224</v>
      </c>
    </row>
    <row r="1769" spans="1:19" x14ac:dyDescent="0.25">
      <c r="A1769" s="311"/>
      <c r="B1769" s="312"/>
      <c r="C1769" s="312"/>
      <c r="D1769" s="312"/>
      <c r="E1769" s="312"/>
      <c r="F1769" s="312"/>
      <c r="G1769" s="328"/>
      <c r="H1769" s="337"/>
      <c r="I1769" s="334"/>
      <c r="J1769" s="314"/>
      <c r="K1769" s="449"/>
      <c r="M1769" s="349" t="str">
        <f>N1769&amp;AS[[#This Row],[Insurer Code]]&amp;"; "&amp;O1769&amp;AS[[#This Row],[Reporting Year]]&amp;"; "&amp;P1769&amp;AS[[#This Row],[Insurance Category Code]]&amp;"; "&amp;Q1769&amp;AS[[#This Row],[Large Provider Entity Code]]&amp;"; "&amp;R1769&amp;AS[[#This Row],[Age Band Code]]&amp;"; "&amp;S1769&amp;AS[[#This Row],[Sex Code]]</f>
        <v xml:space="preserve">Insurer Code ; Reporting Year ; Insurance Category Code ; Large Provider Entity Code ; Age Band Code ; Sex Code </v>
      </c>
      <c r="N1769" s="345" t="s">
        <v>207</v>
      </c>
      <c r="O1769" s="345" t="s">
        <v>208</v>
      </c>
      <c r="P1769" s="345" t="s">
        <v>209</v>
      </c>
      <c r="Q1769" s="345" t="s">
        <v>210</v>
      </c>
      <c r="R1769" s="345" t="s">
        <v>223</v>
      </c>
      <c r="S1769" s="345" t="s">
        <v>224</v>
      </c>
    </row>
    <row r="1770" spans="1:19" x14ac:dyDescent="0.25">
      <c r="A1770" s="311"/>
      <c r="B1770" s="312"/>
      <c r="C1770" s="312"/>
      <c r="D1770" s="312"/>
      <c r="E1770" s="312"/>
      <c r="F1770" s="312"/>
      <c r="G1770" s="328"/>
      <c r="H1770" s="337"/>
      <c r="I1770" s="334"/>
      <c r="J1770" s="314"/>
      <c r="K1770" s="449"/>
      <c r="M1770" s="349" t="str">
        <f>N1770&amp;AS[[#This Row],[Insurer Code]]&amp;"; "&amp;O1770&amp;AS[[#This Row],[Reporting Year]]&amp;"; "&amp;P1770&amp;AS[[#This Row],[Insurance Category Code]]&amp;"; "&amp;Q1770&amp;AS[[#This Row],[Large Provider Entity Code]]&amp;"; "&amp;R1770&amp;AS[[#This Row],[Age Band Code]]&amp;"; "&amp;S1770&amp;AS[[#This Row],[Sex Code]]</f>
        <v xml:space="preserve">Insurer Code ; Reporting Year ; Insurance Category Code ; Large Provider Entity Code ; Age Band Code ; Sex Code </v>
      </c>
      <c r="N1770" s="345" t="s">
        <v>207</v>
      </c>
      <c r="O1770" s="345" t="s">
        <v>208</v>
      </c>
      <c r="P1770" s="345" t="s">
        <v>209</v>
      </c>
      <c r="Q1770" s="345" t="s">
        <v>210</v>
      </c>
      <c r="R1770" s="345" t="s">
        <v>223</v>
      </c>
      <c r="S1770" s="345" t="s">
        <v>224</v>
      </c>
    </row>
    <row r="1771" spans="1:19" x14ac:dyDescent="0.25">
      <c r="A1771" s="311"/>
      <c r="B1771" s="312"/>
      <c r="C1771" s="312"/>
      <c r="D1771" s="312"/>
      <c r="E1771" s="312"/>
      <c r="F1771" s="312"/>
      <c r="G1771" s="328"/>
      <c r="H1771" s="337"/>
      <c r="I1771" s="334"/>
      <c r="J1771" s="314"/>
      <c r="K1771" s="449"/>
      <c r="M1771" s="349" t="str">
        <f>N1771&amp;AS[[#This Row],[Insurer Code]]&amp;"; "&amp;O1771&amp;AS[[#This Row],[Reporting Year]]&amp;"; "&amp;P1771&amp;AS[[#This Row],[Insurance Category Code]]&amp;"; "&amp;Q1771&amp;AS[[#This Row],[Large Provider Entity Code]]&amp;"; "&amp;R1771&amp;AS[[#This Row],[Age Band Code]]&amp;"; "&amp;S1771&amp;AS[[#This Row],[Sex Code]]</f>
        <v xml:space="preserve">Insurer Code ; Reporting Year ; Insurance Category Code ; Large Provider Entity Code ; Age Band Code ; Sex Code </v>
      </c>
      <c r="N1771" s="345" t="s">
        <v>207</v>
      </c>
      <c r="O1771" s="345" t="s">
        <v>208</v>
      </c>
      <c r="P1771" s="345" t="s">
        <v>209</v>
      </c>
      <c r="Q1771" s="345" t="s">
        <v>210</v>
      </c>
      <c r="R1771" s="345" t="s">
        <v>223</v>
      </c>
      <c r="S1771" s="345" t="s">
        <v>224</v>
      </c>
    </row>
    <row r="1772" spans="1:19" x14ac:dyDescent="0.25">
      <c r="A1772" s="311"/>
      <c r="B1772" s="312"/>
      <c r="C1772" s="312"/>
      <c r="D1772" s="312"/>
      <c r="E1772" s="312"/>
      <c r="F1772" s="312"/>
      <c r="G1772" s="328"/>
      <c r="H1772" s="337"/>
      <c r="I1772" s="334"/>
      <c r="J1772" s="314"/>
      <c r="K1772" s="449"/>
      <c r="M1772" s="349" t="str">
        <f>N1772&amp;AS[[#This Row],[Insurer Code]]&amp;"; "&amp;O1772&amp;AS[[#This Row],[Reporting Year]]&amp;"; "&amp;P1772&amp;AS[[#This Row],[Insurance Category Code]]&amp;"; "&amp;Q1772&amp;AS[[#This Row],[Large Provider Entity Code]]&amp;"; "&amp;R1772&amp;AS[[#This Row],[Age Band Code]]&amp;"; "&amp;S1772&amp;AS[[#This Row],[Sex Code]]</f>
        <v xml:space="preserve">Insurer Code ; Reporting Year ; Insurance Category Code ; Large Provider Entity Code ; Age Band Code ; Sex Code </v>
      </c>
      <c r="N1772" s="345" t="s">
        <v>207</v>
      </c>
      <c r="O1772" s="345" t="s">
        <v>208</v>
      </c>
      <c r="P1772" s="345" t="s">
        <v>209</v>
      </c>
      <c r="Q1772" s="345" t="s">
        <v>210</v>
      </c>
      <c r="R1772" s="345" t="s">
        <v>223</v>
      </c>
      <c r="S1772" s="345" t="s">
        <v>224</v>
      </c>
    </row>
    <row r="1773" spans="1:19" x14ac:dyDescent="0.25">
      <c r="A1773" s="311"/>
      <c r="B1773" s="312"/>
      <c r="C1773" s="312"/>
      <c r="D1773" s="312"/>
      <c r="E1773" s="312"/>
      <c r="F1773" s="312"/>
      <c r="G1773" s="328"/>
      <c r="H1773" s="337"/>
      <c r="I1773" s="334"/>
      <c r="J1773" s="314"/>
      <c r="K1773" s="449"/>
      <c r="M1773" s="349" t="str">
        <f>N1773&amp;AS[[#This Row],[Insurer Code]]&amp;"; "&amp;O1773&amp;AS[[#This Row],[Reporting Year]]&amp;"; "&amp;P1773&amp;AS[[#This Row],[Insurance Category Code]]&amp;"; "&amp;Q1773&amp;AS[[#This Row],[Large Provider Entity Code]]&amp;"; "&amp;R1773&amp;AS[[#This Row],[Age Band Code]]&amp;"; "&amp;S1773&amp;AS[[#This Row],[Sex Code]]</f>
        <v xml:space="preserve">Insurer Code ; Reporting Year ; Insurance Category Code ; Large Provider Entity Code ; Age Band Code ; Sex Code </v>
      </c>
      <c r="N1773" s="345" t="s">
        <v>207</v>
      </c>
      <c r="O1773" s="345" t="s">
        <v>208</v>
      </c>
      <c r="P1773" s="345" t="s">
        <v>209</v>
      </c>
      <c r="Q1773" s="345" t="s">
        <v>210</v>
      </c>
      <c r="R1773" s="345" t="s">
        <v>223</v>
      </c>
      <c r="S1773" s="345" t="s">
        <v>224</v>
      </c>
    </row>
    <row r="1774" spans="1:19" x14ac:dyDescent="0.25">
      <c r="A1774" s="311"/>
      <c r="B1774" s="312"/>
      <c r="C1774" s="312"/>
      <c r="D1774" s="312"/>
      <c r="E1774" s="312"/>
      <c r="F1774" s="312"/>
      <c r="G1774" s="328"/>
      <c r="H1774" s="337"/>
      <c r="I1774" s="334"/>
      <c r="J1774" s="314"/>
      <c r="K1774" s="449"/>
      <c r="M1774" s="349" t="str">
        <f>N1774&amp;AS[[#This Row],[Insurer Code]]&amp;"; "&amp;O1774&amp;AS[[#This Row],[Reporting Year]]&amp;"; "&amp;P1774&amp;AS[[#This Row],[Insurance Category Code]]&amp;"; "&amp;Q1774&amp;AS[[#This Row],[Large Provider Entity Code]]&amp;"; "&amp;R1774&amp;AS[[#This Row],[Age Band Code]]&amp;"; "&amp;S1774&amp;AS[[#This Row],[Sex Code]]</f>
        <v xml:space="preserve">Insurer Code ; Reporting Year ; Insurance Category Code ; Large Provider Entity Code ; Age Band Code ; Sex Code </v>
      </c>
      <c r="N1774" s="345" t="s">
        <v>207</v>
      </c>
      <c r="O1774" s="345" t="s">
        <v>208</v>
      </c>
      <c r="P1774" s="345" t="s">
        <v>209</v>
      </c>
      <c r="Q1774" s="345" t="s">
        <v>210</v>
      </c>
      <c r="R1774" s="345" t="s">
        <v>223</v>
      </c>
      <c r="S1774" s="345" t="s">
        <v>224</v>
      </c>
    </row>
    <row r="1775" spans="1:19" x14ac:dyDescent="0.25">
      <c r="A1775" s="311"/>
      <c r="B1775" s="312"/>
      <c r="C1775" s="312"/>
      <c r="D1775" s="312"/>
      <c r="E1775" s="312"/>
      <c r="F1775" s="312"/>
      <c r="G1775" s="328"/>
      <c r="H1775" s="337"/>
      <c r="I1775" s="334"/>
      <c r="J1775" s="314"/>
      <c r="K1775" s="449"/>
      <c r="M1775" s="349" t="str">
        <f>N1775&amp;AS[[#This Row],[Insurer Code]]&amp;"; "&amp;O1775&amp;AS[[#This Row],[Reporting Year]]&amp;"; "&amp;P1775&amp;AS[[#This Row],[Insurance Category Code]]&amp;"; "&amp;Q1775&amp;AS[[#This Row],[Large Provider Entity Code]]&amp;"; "&amp;R1775&amp;AS[[#This Row],[Age Band Code]]&amp;"; "&amp;S1775&amp;AS[[#This Row],[Sex Code]]</f>
        <v xml:space="preserve">Insurer Code ; Reporting Year ; Insurance Category Code ; Large Provider Entity Code ; Age Band Code ; Sex Code </v>
      </c>
      <c r="N1775" s="345" t="s">
        <v>207</v>
      </c>
      <c r="O1775" s="345" t="s">
        <v>208</v>
      </c>
      <c r="P1775" s="345" t="s">
        <v>209</v>
      </c>
      <c r="Q1775" s="345" t="s">
        <v>210</v>
      </c>
      <c r="R1775" s="345" t="s">
        <v>223</v>
      </c>
      <c r="S1775" s="345" t="s">
        <v>224</v>
      </c>
    </row>
    <row r="1776" spans="1:19" x14ac:dyDescent="0.25">
      <c r="A1776" s="311"/>
      <c r="B1776" s="312"/>
      <c r="C1776" s="312"/>
      <c r="D1776" s="312"/>
      <c r="E1776" s="312"/>
      <c r="F1776" s="312"/>
      <c r="G1776" s="328"/>
      <c r="H1776" s="337"/>
      <c r="I1776" s="334"/>
      <c r="J1776" s="314"/>
      <c r="K1776" s="449"/>
      <c r="M1776" s="349" t="str">
        <f>N1776&amp;AS[[#This Row],[Insurer Code]]&amp;"; "&amp;O1776&amp;AS[[#This Row],[Reporting Year]]&amp;"; "&amp;P1776&amp;AS[[#This Row],[Insurance Category Code]]&amp;"; "&amp;Q1776&amp;AS[[#This Row],[Large Provider Entity Code]]&amp;"; "&amp;R1776&amp;AS[[#This Row],[Age Band Code]]&amp;"; "&amp;S1776&amp;AS[[#This Row],[Sex Code]]</f>
        <v xml:space="preserve">Insurer Code ; Reporting Year ; Insurance Category Code ; Large Provider Entity Code ; Age Band Code ; Sex Code </v>
      </c>
      <c r="N1776" s="345" t="s">
        <v>207</v>
      </c>
      <c r="O1776" s="345" t="s">
        <v>208</v>
      </c>
      <c r="P1776" s="345" t="s">
        <v>209</v>
      </c>
      <c r="Q1776" s="345" t="s">
        <v>210</v>
      </c>
      <c r="R1776" s="345" t="s">
        <v>223</v>
      </c>
      <c r="S1776" s="345" t="s">
        <v>224</v>
      </c>
    </row>
    <row r="1777" spans="1:19" x14ac:dyDescent="0.25">
      <c r="A1777" s="311"/>
      <c r="B1777" s="312"/>
      <c r="C1777" s="312"/>
      <c r="D1777" s="312"/>
      <c r="E1777" s="312"/>
      <c r="F1777" s="312"/>
      <c r="G1777" s="328"/>
      <c r="H1777" s="337"/>
      <c r="I1777" s="334"/>
      <c r="J1777" s="314"/>
      <c r="K1777" s="449"/>
      <c r="M1777" s="349" t="str">
        <f>N1777&amp;AS[[#This Row],[Insurer Code]]&amp;"; "&amp;O1777&amp;AS[[#This Row],[Reporting Year]]&amp;"; "&amp;P1777&amp;AS[[#This Row],[Insurance Category Code]]&amp;"; "&amp;Q1777&amp;AS[[#This Row],[Large Provider Entity Code]]&amp;"; "&amp;R1777&amp;AS[[#This Row],[Age Band Code]]&amp;"; "&amp;S1777&amp;AS[[#This Row],[Sex Code]]</f>
        <v xml:space="preserve">Insurer Code ; Reporting Year ; Insurance Category Code ; Large Provider Entity Code ; Age Band Code ; Sex Code </v>
      </c>
      <c r="N1777" s="345" t="s">
        <v>207</v>
      </c>
      <c r="O1777" s="345" t="s">
        <v>208</v>
      </c>
      <c r="P1777" s="345" t="s">
        <v>209</v>
      </c>
      <c r="Q1777" s="345" t="s">
        <v>210</v>
      </c>
      <c r="R1777" s="345" t="s">
        <v>223</v>
      </c>
      <c r="S1777" s="345" t="s">
        <v>224</v>
      </c>
    </row>
    <row r="1778" spans="1:19" x14ac:dyDescent="0.25">
      <c r="A1778" s="311"/>
      <c r="B1778" s="312"/>
      <c r="C1778" s="312"/>
      <c r="D1778" s="312"/>
      <c r="E1778" s="312"/>
      <c r="F1778" s="312"/>
      <c r="G1778" s="328"/>
      <c r="H1778" s="337"/>
      <c r="I1778" s="334"/>
      <c r="J1778" s="314"/>
      <c r="K1778" s="449"/>
      <c r="M1778" s="349" t="str">
        <f>N1778&amp;AS[[#This Row],[Insurer Code]]&amp;"; "&amp;O1778&amp;AS[[#This Row],[Reporting Year]]&amp;"; "&amp;P1778&amp;AS[[#This Row],[Insurance Category Code]]&amp;"; "&amp;Q1778&amp;AS[[#This Row],[Large Provider Entity Code]]&amp;"; "&amp;R1778&amp;AS[[#This Row],[Age Band Code]]&amp;"; "&amp;S1778&amp;AS[[#This Row],[Sex Code]]</f>
        <v xml:space="preserve">Insurer Code ; Reporting Year ; Insurance Category Code ; Large Provider Entity Code ; Age Band Code ; Sex Code </v>
      </c>
      <c r="N1778" s="345" t="s">
        <v>207</v>
      </c>
      <c r="O1778" s="345" t="s">
        <v>208</v>
      </c>
      <c r="P1778" s="345" t="s">
        <v>209</v>
      </c>
      <c r="Q1778" s="345" t="s">
        <v>210</v>
      </c>
      <c r="R1778" s="345" t="s">
        <v>223</v>
      </c>
      <c r="S1778" s="345" t="s">
        <v>224</v>
      </c>
    </row>
    <row r="1779" spans="1:19" x14ac:dyDescent="0.25">
      <c r="A1779" s="311"/>
      <c r="B1779" s="312"/>
      <c r="C1779" s="312"/>
      <c r="D1779" s="312"/>
      <c r="E1779" s="312"/>
      <c r="F1779" s="312"/>
      <c r="G1779" s="328"/>
      <c r="H1779" s="337"/>
      <c r="I1779" s="334"/>
      <c r="J1779" s="314"/>
      <c r="K1779" s="449"/>
      <c r="M1779" s="349" t="str">
        <f>N1779&amp;AS[[#This Row],[Insurer Code]]&amp;"; "&amp;O1779&amp;AS[[#This Row],[Reporting Year]]&amp;"; "&amp;P1779&amp;AS[[#This Row],[Insurance Category Code]]&amp;"; "&amp;Q1779&amp;AS[[#This Row],[Large Provider Entity Code]]&amp;"; "&amp;R1779&amp;AS[[#This Row],[Age Band Code]]&amp;"; "&amp;S1779&amp;AS[[#This Row],[Sex Code]]</f>
        <v xml:space="preserve">Insurer Code ; Reporting Year ; Insurance Category Code ; Large Provider Entity Code ; Age Band Code ; Sex Code </v>
      </c>
      <c r="N1779" s="345" t="s">
        <v>207</v>
      </c>
      <c r="O1779" s="345" t="s">
        <v>208</v>
      </c>
      <c r="P1779" s="345" t="s">
        <v>209</v>
      </c>
      <c r="Q1779" s="345" t="s">
        <v>210</v>
      </c>
      <c r="R1779" s="345" t="s">
        <v>223</v>
      </c>
      <c r="S1779" s="345" t="s">
        <v>224</v>
      </c>
    </row>
    <row r="1780" spans="1:19" x14ac:dyDescent="0.25">
      <c r="A1780" s="311"/>
      <c r="B1780" s="312"/>
      <c r="C1780" s="312"/>
      <c r="D1780" s="312"/>
      <c r="E1780" s="312"/>
      <c r="F1780" s="312"/>
      <c r="G1780" s="328"/>
      <c r="H1780" s="337"/>
      <c r="I1780" s="334"/>
      <c r="J1780" s="314"/>
      <c r="K1780" s="449"/>
      <c r="M1780" s="349" t="str">
        <f>N1780&amp;AS[[#This Row],[Insurer Code]]&amp;"; "&amp;O1780&amp;AS[[#This Row],[Reporting Year]]&amp;"; "&amp;P1780&amp;AS[[#This Row],[Insurance Category Code]]&amp;"; "&amp;Q1780&amp;AS[[#This Row],[Large Provider Entity Code]]&amp;"; "&amp;R1780&amp;AS[[#This Row],[Age Band Code]]&amp;"; "&amp;S1780&amp;AS[[#This Row],[Sex Code]]</f>
        <v xml:space="preserve">Insurer Code ; Reporting Year ; Insurance Category Code ; Large Provider Entity Code ; Age Band Code ; Sex Code </v>
      </c>
      <c r="N1780" s="345" t="s">
        <v>207</v>
      </c>
      <c r="O1780" s="345" t="s">
        <v>208</v>
      </c>
      <c r="P1780" s="345" t="s">
        <v>209</v>
      </c>
      <c r="Q1780" s="345" t="s">
        <v>210</v>
      </c>
      <c r="R1780" s="345" t="s">
        <v>223</v>
      </c>
      <c r="S1780" s="345" t="s">
        <v>224</v>
      </c>
    </row>
    <row r="1781" spans="1:19" x14ac:dyDescent="0.25">
      <c r="A1781" s="311"/>
      <c r="B1781" s="312"/>
      <c r="C1781" s="312"/>
      <c r="D1781" s="312"/>
      <c r="E1781" s="312"/>
      <c r="F1781" s="312"/>
      <c r="G1781" s="328"/>
      <c r="H1781" s="337"/>
      <c r="I1781" s="334"/>
      <c r="J1781" s="314"/>
      <c r="K1781" s="449"/>
      <c r="M1781" s="349" t="str">
        <f>N1781&amp;AS[[#This Row],[Insurer Code]]&amp;"; "&amp;O1781&amp;AS[[#This Row],[Reporting Year]]&amp;"; "&amp;P1781&amp;AS[[#This Row],[Insurance Category Code]]&amp;"; "&amp;Q1781&amp;AS[[#This Row],[Large Provider Entity Code]]&amp;"; "&amp;R1781&amp;AS[[#This Row],[Age Band Code]]&amp;"; "&amp;S1781&amp;AS[[#This Row],[Sex Code]]</f>
        <v xml:space="preserve">Insurer Code ; Reporting Year ; Insurance Category Code ; Large Provider Entity Code ; Age Band Code ; Sex Code </v>
      </c>
      <c r="N1781" s="345" t="s">
        <v>207</v>
      </c>
      <c r="O1781" s="345" t="s">
        <v>208</v>
      </c>
      <c r="P1781" s="345" t="s">
        <v>209</v>
      </c>
      <c r="Q1781" s="345" t="s">
        <v>210</v>
      </c>
      <c r="R1781" s="345" t="s">
        <v>223</v>
      </c>
      <c r="S1781" s="345" t="s">
        <v>224</v>
      </c>
    </row>
    <row r="1782" spans="1:19" x14ac:dyDescent="0.25">
      <c r="A1782" s="311"/>
      <c r="B1782" s="312"/>
      <c r="C1782" s="312"/>
      <c r="D1782" s="312"/>
      <c r="E1782" s="312"/>
      <c r="F1782" s="312"/>
      <c r="G1782" s="328"/>
      <c r="H1782" s="337"/>
      <c r="I1782" s="334"/>
      <c r="J1782" s="314"/>
      <c r="K1782" s="449"/>
      <c r="M1782" s="349" t="str">
        <f>N1782&amp;AS[[#This Row],[Insurer Code]]&amp;"; "&amp;O1782&amp;AS[[#This Row],[Reporting Year]]&amp;"; "&amp;P1782&amp;AS[[#This Row],[Insurance Category Code]]&amp;"; "&amp;Q1782&amp;AS[[#This Row],[Large Provider Entity Code]]&amp;"; "&amp;R1782&amp;AS[[#This Row],[Age Band Code]]&amp;"; "&amp;S1782&amp;AS[[#This Row],[Sex Code]]</f>
        <v xml:space="preserve">Insurer Code ; Reporting Year ; Insurance Category Code ; Large Provider Entity Code ; Age Band Code ; Sex Code </v>
      </c>
      <c r="N1782" s="345" t="s">
        <v>207</v>
      </c>
      <c r="O1782" s="345" t="s">
        <v>208</v>
      </c>
      <c r="P1782" s="345" t="s">
        <v>209</v>
      </c>
      <c r="Q1782" s="345" t="s">
        <v>210</v>
      </c>
      <c r="R1782" s="345" t="s">
        <v>223</v>
      </c>
      <c r="S1782" s="345" t="s">
        <v>224</v>
      </c>
    </row>
    <row r="1783" spans="1:19" x14ac:dyDescent="0.25">
      <c r="A1783" s="311"/>
      <c r="B1783" s="312"/>
      <c r="C1783" s="312"/>
      <c r="D1783" s="312"/>
      <c r="E1783" s="312"/>
      <c r="F1783" s="312"/>
      <c r="G1783" s="328"/>
      <c r="H1783" s="337"/>
      <c r="I1783" s="334"/>
      <c r="J1783" s="314"/>
      <c r="K1783" s="449"/>
      <c r="M1783" s="349" t="str">
        <f>N1783&amp;AS[[#This Row],[Insurer Code]]&amp;"; "&amp;O1783&amp;AS[[#This Row],[Reporting Year]]&amp;"; "&amp;P1783&amp;AS[[#This Row],[Insurance Category Code]]&amp;"; "&amp;Q1783&amp;AS[[#This Row],[Large Provider Entity Code]]&amp;"; "&amp;R1783&amp;AS[[#This Row],[Age Band Code]]&amp;"; "&amp;S1783&amp;AS[[#This Row],[Sex Code]]</f>
        <v xml:space="preserve">Insurer Code ; Reporting Year ; Insurance Category Code ; Large Provider Entity Code ; Age Band Code ; Sex Code </v>
      </c>
      <c r="N1783" s="345" t="s">
        <v>207</v>
      </c>
      <c r="O1783" s="345" t="s">
        <v>208</v>
      </c>
      <c r="P1783" s="345" t="s">
        <v>209</v>
      </c>
      <c r="Q1783" s="345" t="s">
        <v>210</v>
      </c>
      <c r="R1783" s="345" t="s">
        <v>223</v>
      </c>
      <c r="S1783" s="345" t="s">
        <v>224</v>
      </c>
    </row>
    <row r="1784" spans="1:19" x14ac:dyDescent="0.25">
      <c r="A1784" s="311"/>
      <c r="B1784" s="312"/>
      <c r="C1784" s="312"/>
      <c r="D1784" s="312"/>
      <c r="E1784" s="312"/>
      <c r="F1784" s="312"/>
      <c r="G1784" s="328"/>
      <c r="H1784" s="337"/>
      <c r="I1784" s="334"/>
      <c r="J1784" s="314"/>
      <c r="K1784" s="449"/>
      <c r="M1784" s="349" t="str">
        <f>N1784&amp;AS[[#This Row],[Insurer Code]]&amp;"; "&amp;O1784&amp;AS[[#This Row],[Reporting Year]]&amp;"; "&amp;P1784&amp;AS[[#This Row],[Insurance Category Code]]&amp;"; "&amp;Q1784&amp;AS[[#This Row],[Large Provider Entity Code]]&amp;"; "&amp;R1784&amp;AS[[#This Row],[Age Band Code]]&amp;"; "&amp;S1784&amp;AS[[#This Row],[Sex Code]]</f>
        <v xml:space="preserve">Insurer Code ; Reporting Year ; Insurance Category Code ; Large Provider Entity Code ; Age Band Code ; Sex Code </v>
      </c>
      <c r="N1784" s="345" t="s">
        <v>207</v>
      </c>
      <c r="O1784" s="345" t="s">
        <v>208</v>
      </c>
      <c r="P1784" s="345" t="s">
        <v>209</v>
      </c>
      <c r="Q1784" s="345" t="s">
        <v>210</v>
      </c>
      <c r="R1784" s="345" t="s">
        <v>223</v>
      </c>
      <c r="S1784" s="345" t="s">
        <v>224</v>
      </c>
    </row>
    <row r="1785" spans="1:19" x14ac:dyDescent="0.25">
      <c r="A1785" s="311"/>
      <c r="B1785" s="312"/>
      <c r="C1785" s="312"/>
      <c r="D1785" s="312"/>
      <c r="E1785" s="312"/>
      <c r="F1785" s="312"/>
      <c r="G1785" s="328"/>
      <c r="H1785" s="337"/>
      <c r="I1785" s="334"/>
      <c r="J1785" s="314"/>
      <c r="K1785" s="449"/>
      <c r="M1785" s="349" t="str">
        <f>N1785&amp;AS[[#This Row],[Insurer Code]]&amp;"; "&amp;O1785&amp;AS[[#This Row],[Reporting Year]]&amp;"; "&amp;P1785&amp;AS[[#This Row],[Insurance Category Code]]&amp;"; "&amp;Q1785&amp;AS[[#This Row],[Large Provider Entity Code]]&amp;"; "&amp;R1785&amp;AS[[#This Row],[Age Band Code]]&amp;"; "&amp;S1785&amp;AS[[#This Row],[Sex Code]]</f>
        <v xml:space="preserve">Insurer Code ; Reporting Year ; Insurance Category Code ; Large Provider Entity Code ; Age Band Code ; Sex Code </v>
      </c>
      <c r="N1785" s="345" t="s">
        <v>207</v>
      </c>
      <c r="O1785" s="345" t="s">
        <v>208</v>
      </c>
      <c r="P1785" s="345" t="s">
        <v>209</v>
      </c>
      <c r="Q1785" s="345" t="s">
        <v>210</v>
      </c>
      <c r="R1785" s="345" t="s">
        <v>223</v>
      </c>
      <c r="S1785" s="345" t="s">
        <v>224</v>
      </c>
    </row>
    <row r="1786" spans="1:19" x14ac:dyDescent="0.25">
      <c r="A1786" s="311"/>
      <c r="B1786" s="312"/>
      <c r="C1786" s="312"/>
      <c r="D1786" s="312"/>
      <c r="E1786" s="312"/>
      <c r="F1786" s="312"/>
      <c r="G1786" s="328"/>
      <c r="H1786" s="337"/>
      <c r="I1786" s="334"/>
      <c r="J1786" s="314"/>
      <c r="K1786" s="449"/>
      <c r="M1786" s="349" t="str">
        <f>N1786&amp;AS[[#This Row],[Insurer Code]]&amp;"; "&amp;O1786&amp;AS[[#This Row],[Reporting Year]]&amp;"; "&amp;P1786&amp;AS[[#This Row],[Insurance Category Code]]&amp;"; "&amp;Q1786&amp;AS[[#This Row],[Large Provider Entity Code]]&amp;"; "&amp;R1786&amp;AS[[#This Row],[Age Band Code]]&amp;"; "&amp;S1786&amp;AS[[#This Row],[Sex Code]]</f>
        <v xml:space="preserve">Insurer Code ; Reporting Year ; Insurance Category Code ; Large Provider Entity Code ; Age Band Code ; Sex Code </v>
      </c>
      <c r="N1786" s="345" t="s">
        <v>207</v>
      </c>
      <c r="O1786" s="345" t="s">
        <v>208</v>
      </c>
      <c r="P1786" s="345" t="s">
        <v>209</v>
      </c>
      <c r="Q1786" s="345" t="s">
        <v>210</v>
      </c>
      <c r="R1786" s="345" t="s">
        <v>223</v>
      </c>
      <c r="S1786" s="345" t="s">
        <v>224</v>
      </c>
    </row>
    <row r="1787" spans="1:19" x14ac:dyDescent="0.25">
      <c r="A1787" s="311"/>
      <c r="B1787" s="312"/>
      <c r="C1787" s="312"/>
      <c r="D1787" s="312"/>
      <c r="E1787" s="312"/>
      <c r="F1787" s="312"/>
      <c r="G1787" s="328"/>
      <c r="H1787" s="337"/>
      <c r="I1787" s="334"/>
      <c r="J1787" s="314"/>
      <c r="K1787" s="449"/>
      <c r="M1787" s="349" t="str">
        <f>N1787&amp;AS[[#This Row],[Insurer Code]]&amp;"; "&amp;O1787&amp;AS[[#This Row],[Reporting Year]]&amp;"; "&amp;P1787&amp;AS[[#This Row],[Insurance Category Code]]&amp;"; "&amp;Q1787&amp;AS[[#This Row],[Large Provider Entity Code]]&amp;"; "&amp;R1787&amp;AS[[#This Row],[Age Band Code]]&amp;"; "&amp;S1787&amp;AS[[#This Row],[Sex Code]]</f>
        <v xml:space="preserve">Insurer Code ; Reporting Year ; Insurance Category Code ; Large Provider Entity Code ; Age Band Code ; Sex Code </v>
      </c>
      <c r="N1787" s="345" t="s">
        <v>207</v>
      </c>
      <c r="O1787" s="345" t="s">
        <v>208</v>
      </c>
      <c r="P1787" s="345" t="s">
        <v>209</v>
      </c>
      <c r="Q1787" s="345" t="s">
        <v>210</v>
      </c>
      <c r="R1787" s="345" t="s">
        <v>223</v>
      </c>
      <c r="S1787" s="345" t="s">
        <v>224</v>
      </c>
    </row>
    <row r="1788" spans="1:19" x14ac:dyDescent="0.25">
      <c r="A1788" s="311"/>
      <c r="B1788" s="312"/>
      <c r="C1788" s="312"/>
      <c r="D1788" s="312"/>
      <c r="E1788" s="312"/>
      <c r="F1788" s="312"/>
      <c r="G1788" s="328"/>
      <c r="H1788" s="337"/>
      <c r="I1788" s="334"/>
      <c r="J1788" s="314"/>
      <c r="K1788" s="449"/>
      <c r="M1788" s="349" t="str">
        <f>N1788&amp;AS[[#This Row],[Insurer Code]]&amp;"; "&amp;O1788&amp;AS[[#This Row],[Reporting Year]]&amp;"; "&amp;P1788&amp;AS[[#This Row],[Insurance Category Code]]&amp;"; "&amp;Q1788&amp;AS[[#This Row],[Large Provider Entity Code]]&amp;"; "&amp;R1788&amp;AS[[#This Row],[Age Band Code]]&amp;"; "&amp;S1788&amp;AS[[#This Row],[Sex Code]]</f>
        <v xml:space="preserve">Insurer Code ; Reporting Year ; Insurance Category Code ; Large Provider Entity Code ; Age Band Code ; Sex Code </v>
      </c>
      <c r="N1788" s="345" t="s">
        <v>207</v>
      </c>
      <c r="O1788" s="345" t="s">
        <v>208</v>
      </c>
      <c r="P1788" s="345" t="s">
        <v>209</v>
      </c>
      <c r="Q1788" s="345" t="s">
        <v>210</v>
      </c>
      <c r="R1788" s="345" t="s">
        <v>223</v>
      </c>
      <c r="S1788" s="345" t="s">
        <v>224</v>
      </c>
    </row>
    <row r="1789" spans="1:19" x14ac:dyDescent="0.25">
      <c r="A1789" s="311"/>
      <c r="B1789" s="312"/>
      <c r="C1789" s="312"/>
      <c r="D1789" s="312"/>
      <c r="E1789" s="312"/>
      <c r="F1789" s="312"/>
      <c r="G1789" s="328"/>
      <c r="H1789" s="337"/>
      <c r="I1789" s="334"/>
      <c r="J1789" s="314"/>
      <c r="K1789" s="449"/>
      <c r="M1789" s="349" t="str">
        <f>N1789&amp;AS[[#This Row],[Insurer Code]]&amp;"; "&amp;O1789&amp;AS[[#This Row],[Reporting Year]]&amp;"; "&amp;P1789&amp;AS[[#This Row],[Insurance Category Code]]&amp;"; "&amp;Q1789&amp;AS[[#This Row],[Large Provider Entity Code]]&amp;"; "&amp;R1789&amp;AS[[#This Row],[Age Band Code]]&amp;"; "&amp;S1789&amp;AS[[#This Row],[Sex Code]]</f>
        <v xml:space="preserve">Insurer Code ; Reporting Year ; Insurance Category Code ; Large Provider Entity Code ; Age Band Code ; Sex Code </v>
      </c>
      <c r="N1789" s="345" t="s">
        <v>207</v>
      </c>
      <c r="O1789" s="345" t="s">
        <v>208</v>
      </c>
      <c r="P1789" s="345" t="s">
        <v>209</v>
      </c>
      <c r="Q1789" s="345" t="s">
        <v>210</v>
      </c>
      <c r="R1789" s="345" t="s">
        <v>223</v>
      </c>
      <c r="S1789" s="345" t="s">
        <v>224</v>
      </c>
    </row>
    <row r="1790" spans="1:19" x14ac:dyDescent="0.25">
      <c r="A1790" s="311"/>
      <c r="B1790" s="312"/>
      <c r="C1790" s="312"/>
      <c r="D1790" s="312"/>
      <c r="E1790" s="312"/>
      <c r="F1790" s="312"/>
      <c r="G1790" s="328"/>
      <c r="H1790" s="337"/>
      <c r="I1790" s="334"/>
      <c r="J1790" s="314"/>
      <c r="K1790" s="449"/>
      <c r="M1790" s="349" t="str">
        <f>N1790&amp;AS[[#This Row],[Insurer Code]]&amp;"; "&amp;O1790&amp;AS[[#This Row],[Reporting Year]]&amp;"; "&amp;P1790&amp;AS[[#This Row],[Insurance Category Code]]&amp;"; "&amp;Q1790&amp;AS[[#This Row],[Large Provider Entity Code]]&amp;"; "&amp;R1790&amp;AS[[#This Row],[Age Band Code]]&amp;"; "&amp;S1790&amp;AS[[#This Row],[Sex Code]]</f>
        <v xml:space="preserve">Insurer Code ; Reporting Year ; Insurance Category Code ; Large Provider Entity Code ; Age Band Code ; Sex Code </v>
      </c>
      <c r="N1790" s="345" t="s">
        <v>207</v>
      </c>
      <c r="O1790" s="345" t="s">
        <v>208</v>
      </c>
      <c r="P1790" s="345" t="s">
        <v>209</v>
      </c>
      <c r="Q1790" s="345" t="s">
        <v>210</v>
      </c>
      <c r="R1790" s="345" t="s">
        <v>223</v>
      </c>
      <c r="S1790" s="345" t="s">
        <v>224</v>
      </c>
    </row>
    <row r="1791" spans="1:19" x14ac:dyDescent="0.25">
      <c r="A1791" s="311"/>
      <c r="B1791" s="312"/>
      <c r="C1791" s="312"/>
      <c r="D1791" s="312"/>
      <c r="E1791" s="312"/>
      <c r="F1791" s="312"/>
      <c r="G1791" s="328"/>
      <c r="H1791" s="337"/>
      <c r="I1791" s="334"/>
      <c r="J1791" s="314"/>
      <c r="K1791" s="449"/>
      <c r="M1791" s="349" t="str">
        <f>N1791&amp;AS[[#This Row],[Insurer Code]]&amp;"; "&amp;O1791&amp;AS[[#This Row],[Reporting Year]]&amp;"; "&amp;P1791&amp;AS[[#This Row],[Insurance Category Code]]&amp;"; "&amp;Q1791&amp;AS[[#This Row],[Large Provider Entity Code]]&amp;"; "&amp;R1791&amp;AS[[#This Row],[Age Band Code]]&amp;"; "&amp;S1791&amp;AS[[#This Row],[Sex Code]]</f>
        <v xml:space="preserve">Insurer Code ; Reporting Year ; Insurance Category Code ; Large Provider Entity Code ; Age Band Code ; Sex Code </v>
      </c>
      <c r="N1791" s="345" t="s">
        <v>207</v>
      </c>
      <c r="O1791" s="345" t="s">
        <v>208</v>
      </c>
      <c r="P1791" s="345" t="s">
        <v>209</v>
      </c>
      <c r="Q1791" s="345" t="s">
        <v>210</v>
      </c>
      <c r="R1791" s="345" t="s">
        <v>223</v>
      </c>
      <c r="S1791" s="345" t="s">
        <v>224</v>
      </c>
    </row>
    <row r="1792" spans="1:19" x14ac:dyDescent="0.25">
      <c r="A1792" s="311"/>
      <c r="B1792" s="312"/>
      <c r="C1792" s="312"/>
      <c r="D1792" s="312"/>
      <c r="E1792" s="312"/>
      <c r="F1792" s="312"/>
      <c r="G1792" s="328"/>
      <c r="H1792" s="337"/>
      <c r="I1792" s="334"/>
      <c r="J1792" s="314"/>
      <c r="K1792" s="449"/>
      <c r="M1792" s="349" t="str">
        <f>N1792&amp;AS[[#This Row],[Insurer Code]]&amp;"; "&amp;O1792&amp;AS[[#This Row],[Reporting Year]]&amp;"; "&amp;P1792&amp;AS[[#This Row],[Insurance Category Code]]&amp;"; "&amp;Q1792&amp;AS[[#This Row],[Large Provider Entity Code]]&amp;"; "&amp;R1792&amp;AS[[#This Row],[Age Band Code]]&amp;"; "&amp;S1792&amp;AS[[#This Row],[Sex Code]]</f>
        <v xml:space="preserve">Insurer Code ; Reporting Year ; Insurance Category Code ; Large Provider Entity Code ; Age Band Code ; Sex Code </v>
      </c>
      <c r="N1792" s="345" t="s">
        <v>207</v>
      </c>
      <c r="O1792" s="345" t="s">
        <v>208</v>
      </c>
      <c r="P1792" s="345" t="s">
        <v>209</v>
      </c>
      <c r="Q1792" s="345" t="s">
        <v>210</v>
      </c>
      <c r="R1792" s="345" t="s">
        <v>223</v>
      </c>
      <c r="S1792" s="345" t="s">
        <v>224</v>
      </c>
    </row>
    <row r="1793" spans="1:19" x14ac:dyDescent="0.25">
      <c r="A1793" s="311"/>
      <c r="B1793" s="312"/>
      <c r="C1793" s="312"/>
      <c r="D1793" s="312"/>
      <c r="E1793" s="312"/>
      <c r="F1793" s="312"/>
      <c r="G1793" s="328"/>
      <c r="H1793" s="337"/>
      <c r="I1793" s="334"/>
      <c r="J1793" s="314"/>
      <c r="K1793" s="449"/>
      <c r="M1793" s="349" t="str">
        <f>N1793&amp;AS[[#This Row],[Insurer Code]]&amp;"; "&amp;O1793&amp;AS[[#This Row],[Reporting Year]]&amp;"; "&amp;P1793&amp;AS[[#This Row],[Insurance Category Code]]&amp;"; "&amp;Q1793&amp;AS[[#This Row],[Large Provider Entity Code]]&amp;"; "&amp;R1793&amp;AS[[#This Row],[Age Band Code]]&amp;"; "&amp;S1793&amp;AS[[#This Row],[Sex Code]]</f>
        <v xml:space="preserve">Insurer Code ; Reporting Year ; Insurance Category Code ; Large Provider Entity Code ; Age Band Code ; Sex Code </v>
      </c>
      <c r="N1793" s="345" t="s">
        <v>207</v>
      </c>
      <c r="O1793" s="345" t="s">
        <v>208</v>
      </c>
      <c r="P1793" s="345" t="s">
        <v>209</v>
      </c>
      <c r="Q1793" s="345" t="s">
        <v>210</v>
      </c>
      <c r="R1793" s="345" t="s">
        <v>223</v>
      </c>
      <c r="S1793" s="345" t="s">
        <v>224</v>
      </c>
    </row>
    <row r="1794" spans="1:19" x14ac:dyDescent="0.25">
      <c r="A1794" s="311"/>
      <c r="B1794" s="312"/>
      <c r="C1794" s="312"/>
      <c r="D1794" s="312"/>
      <c r="E1794" s="312"/>
      <c r="F1794" s="312"/>
      <c r="G1794" s="328"/>
      <c r="H1794" s="337"/>
      <c r="I1794" s="334"/>
      <c r="J1794" s="314"/>
      <c r="K1794" s="449"/>
      <c r="M1794" s="349" t="str">
        <f>N1794&amp;AS[[#This Row],[Insurer Code]]&amp;"; "&amp;O1794&amp;AS[[#This Row],[Reporting Year]]&amp;"; "&amp;P1794&amp;AS[[#This Row],[Insurance Category Code]]&amp;"; "&amp;Q1794&amp;AS[[#This Row],[Large Provider Entity Code]]&amp;"; "&amp;R1794&amp;AS[[#This Row],[Age Band Code]]&amp;"; "&amp;S1794&amp;AS[[#This Row],[Sex Code]]</f>
        <v xml:space="preserve">Insurer Code ; Reporting Year ; Insurance Category Code ; Large Provider Entity Code ; Age Band Code ; Sex Code </v>
      </c>
      <c r="N1794" s="345" t="s">
        <v>207</v>
      </c>
      <c r="O1794" s="345" t="s">
        <v>208</v>
      </c>
      <c r="P1794" s="345" t="s">
        <v>209</v>
      </c>
      <c r="Q1794" s="345" t="s">
        <v>210</v>
      </c>
      <c r="R1794" s="345" t="s">
        <v>223</v>
      </c>
      <c r="S1794" s="345" t="s">
        <v>224</v>
      </c>
    </row>
    <row r="1795" spans="1:19" x14ac:dyDescent="0.25">
      <c r="A1795" s="311"/>
      <c r="B1795" s="312"/>
      <c r="C1795" s="312"/>
      <c r="D1795" s="312"/>
      <c r="E1795" s="312"/>
      <c r="F1795" s="312"/>
      <c r="G1795" s="328"/>
      <c r="H1795" s="337"/>
      <c r="I1795" s="334"/>
      <c r="J1795" s="314"/>
      <c r="K1795" s="449"/>
      <c r="M1795" s="349" t="str">
        <f>N1795&amp;AS[[#This Row],[Insurer Code]]&amp;"; "&amp;O1795&amp;AS[[#This Row],[Reporting Year]]&amp;"; "&amp;P1795&amp;AS[[#This Row],[Insurance Category Code]]&amp;"; "&amp;Q1795&amp;AS[[#This Row],[Large Provider Entity Code]]&amp;"; "&amp;R1795&amp;AS[[#This Row],[Age Band Code]]&amp;"; "&amp;S1795&amp;AS[[#This Row],[Sex Code]]</f>
        <v xml:space="preserve">Insurer Code ; Reporting Year ; Insurance Category Code ; Large Provider Entity Code ; Age Band Code ; Sex Code </v>
      </c>
      <c r="N1795" s="345" t="s">
        <v>207</v>
      </c>
      <c r="O1795" s="345" t="s">
        <v>208</v>
      </c>
      <c r="P1795" s="345" t="s">
        <v>209</v>
      </c>
      <c r="Q1795" s="345" t="s">
        <v>210</v>
      </c>
      <c r="R1795" s="345" t="s">
        <v>223</v>
      </c>
      <c r="S1795" s="345" t="s">
        <v>224</v>
      </c>
    </row>
    <row r="1796" spans="1:19" x14ac:dyDescent="0.25">
      <c r="A1796" s="311"/>
      <c r="B1796" s="312"/>
      <c r="C1796" s="312"/>
      <c r="D1796" s="312"/>
      <c r="E1796" s="312"/>
      <c r="F1796" s="312"/>
      <c r="G1796" s="328"/>
      <c r="H1796" s="337"/>
      <c r="I1796" s="334"/>
      <c r="J1796" s="314"/>
      <c r="K1796" s="449"/>
      <c r="M1796" s="349" t="str">
        <f>N1796&amp;AS[[#This Row],[Insurer Code]]&amp;"; "&amp;O1796&amp;AS[[#This Row],[Reporting Year]]&amp;"; "&amp;P1796&amp;AS[[#This Row],[Insurance Category Code]]&amp;"; "&amp;Q1796&amp;AS[[#This Row],[Large Provider Entity Code]]&amp;"; "&amp;R1796&amp;AS[[#This Row],[Age Band Code]]&amp;"; "&amp;S1796&amp;AS[[#This Row],[Sex Code]]</f>
        <v xml:space="preserve">Insurer Code ; Reporting Year ; Insurance Category Code ; Large Provider Entity Code ; Age Band Code ; Sex Code </v>
      </c>
      <c r="N1796" s="345" t="s">
        <v>207</v>
      </c>
      <c r="O1796" s="345" t="s">
        <v>208</v>
      </c>
      <c r="P1796" s="345" t="s">
        <v>209</v>
      </c>
      <c r="Q1796" s="345" t="s">
        <v>210</v>
      </c>
      <c r="R1796" s="345" t="s">
        <v>223</v>
      </c>
      <c r="S1796" s="345" t="s">
        <v>224</v>
      </c>
    </row>
    <row r="1797" spans="1:19" x14ac:dyDescent="0.25">
      <c r="A1797" s="311"/>
      <c r="B1797" s="312"/>
      <c r="C1797" s="312"/>
      <c r="D1797" s="312"/>
      <c r="E1797" s="312"/>
      <c r="F1797" s="312"/>
      <c r="G1797" s="328"/>
      <c r="H1797" s="337"/>
      <c r="I1797" s="334"/>
      <c r="J1797" s="314"/>
      <c r="K1797" s="449"/>
      <c r="M1797" s="349" t="str">
        <f>N1797&amp;AS[[#This Row],[Insurer Code]]&amp;"; "&amp;O1797&amp;AS[[#This Row],[Reporting Year]]&amp;"; "&amp;P1797&amp;AS[[#This Row],[Insurance Category Code]]&amp;"; "&amp;Q1797&amp;AS[[#This Row],[Large Provider Entity Code]]&amp;"; "&amp;R1797&amp;AS[[#This Row],[Age Band Code]]&amp;"; "&amp;S1797&amp;AS[[#This Row],[Sex Code]]</f>
        <v xml:space="preserve">Insurer Code ; Reporting Year ; Insurance Category Code ; Large Provider Entity Code ; Age Band Code ; Sex Code </v>
      </c>
      <c r="N1797" s="345" t="s">
        <v>207</v>
      </c>
      <c r="O1797" s="345" t="s">
        <v>208</v>
      </c>
      <c r="P1797" s="345" t="s">
        <v>209</v>
      </c>
      <c r="Q1797" s="345" t="s">
        <v>210</v>
      </c>
      <c r="R1797" s="345" t="s">
        <v>223</v>
      </c>
      <c r="S1797" s="345" t="s">
        <v>224</v>
      </c>
    </row>
    <row r="1798" spans="1:19" x14ac:dyDescent="0.25">
      <c r="A1798" s="311"/>
      <c r="B1798" s="312"/>
      <c r="C1798" s="312"/>
      <c r="D1798" s="312"/>
      <c r="E1798" s="312"/>
      <c r="F1798" s="312"/>
      <c r="G1798" s="328"/>
      <c r="H1798" s="337"/>
      <c r="I1798" s="334"/>
      <c r="J1798" s="314"/>
      <c r="K1798" s="449"/>
      <c r="M1798" s="349" t="str">
        <f>N1798&amp;AS[[#This Row],[Insurer Code]]&amp;"; "&amp;O1798&amp;AS[[#This Row],[Reporting Year]]&amp;"; "&amp;P1798&amp;AS[[#This Row],[Insurance Category Code]]&amp;"; "&amp;Q1798&amp;AS[[#This Row],[Large Provider Entity Code]]&amp;"; "&amp;R1798&amp;AS[[#This Row],[Age Band Code]]&amp;"; "&amp;S1798&amp;AS[[#This Row],[Sex Code]]</f>
        <v xml:space="preserve">Insurer Code ; Reporting Year ; Insurance Category Code ; Large Provider Entity Code ; Age Band Code ; Sex Code </v>
      </c>
      <c r="N1798" s="345" t="s">
        <v>207</v>
      </c>
      <c r="O1798" s="345" t="s">
        <v>208</v>
      </c>
      <c r="P1798" s="345" t="s">
        <v>209</v>
      </c>
      <c r="Q1798" s="345" t="s">
        <v>210</v>
      </c>
      <c r="R1798" s="345" t="s">
        <v>223</v>
      </c>
      <c r="S1798" s="345" t="s">
        <v>224</v>
      </c>
    </row>
    <row r="1799" spans="1:19" x14ac:dyDescent="0.25">
      <c r="A1799" s="311"/>
      <c r="B1799" s="312"/>
      <c r="C1799" s="312"/>
      <c r="D1799" s="312"/>
      <c r="E1799" s="312"/>
      <c r="F1799" s="312"/>
      <c r="G1799" s="328"/>
      <c r="H1799" s="337"/>
      <c r="I1799" s="334"/>
      <c r="J1799" s="314"/>
      <c r="K1799" s="449"/>
      <c r="M1799" s="349" t="str">
        <f>N1799&amp;AS[[#This Row],[Insurer Code]]&amp;"; "&amp;O1799&amp;AS[[#This Row],[Reporting Year]]&amp;"; "&amp;P1799&amp;AS[[#This Row],[Insurance Category Code]]&amp;"; "&amp;Q1799&amp;AS[[#This Row],[Large Provider Entity Code]]&amp;"; "&amp;R1799&amp;AS[[#This Row],[Age Band Code]]&amp;"; "&amp;S1799&amp;AS[[#This Row],[Sex Code]]</f>
        <v xml:space="preserve">Insurer Code ; Reporting Year ; Insurance Category Code ; Large Provider Entity Code ; Age Band Code ; Sex Code </v>
      </c>
      <c r="N1799" s="345" t="s">
        <v>207</v>
      </c>
      <c r="O1799" s="345" t="s">
        <v>208</v>
      </c>
      <c r="P1799" s="345" t="s">
        <v>209</v>
      </c>
      <c r="Q1799" s="345" t="s">
        <v>210</v>
      </c>
      <c r="R1799" s="345" t="s">
        <v>223</v>
      </c>
      <c r="S1799" s="345" t="s">
        <v>224</v>
      </c>
    </row>
    <row r="1800" spans="1:19" x14ac:dyDescent="0.25">
      <c r="A1800" s="311"/>
      <c r="B1800" s="312"/>
      <c r="C1800" s="312"/>
      <c r="D1800" s="312"/>
      <c r="E1800" s="312"/>
      <c r="F1800" s="312"/>
      <c r="G1800" s="328"/>
      <c r="H1800" s="337"/>
      <c r="I1800" s="334"/>
      <c r="J1800" s="314"/>
      <c r="K1800" s="449"/>
      <c r="M1800" s="349" t="str">
        <f>N1800&amp;AS[[#This Row],[Insurer Code]]&amp;"; "&amp;O1800&amp;AS[[#This Row],[Reporting Year]]&amp;"; "&amp;P1800&amp;AS[[#This Row],[Insurance Category Code]]&amp;"; "&amp;Q1800&amp;AS[[#This Row],[Large Provider Entity Code]]&amp;"; "&amp;R1800&amp;AS[[#This Row],[Age Band Code]]&amp;"; "&amp;S1800&amp;AS[[#This Row],[Sex Code]]</f>
        <v xml:space="preserve">Insurer Code ; Reporting Year ; Insurance Category Code ; Large Provider Entity Code ; Age Band Code ; Sex Code </v>
      </c>
      <c r="N1800" s="345" t="s">
        <v>207</v>
      </c>
      <c r="O1800" s="345" t="s">
        <v>208</v>
      </c>
      <c r="P1800" s="345" t="s">
        <v>209</v>
      </c>
      <c r="Q1800" s="345" t="s">
        <v>210</v>
      </c>
      <c r="R1800" s="345" t="s">
        <v>223</v>
      </c>
      <c r="S1800" s="345" t="s">
        <v>224</v>
      </c>
    </row>
    <row r="1801" spans="1:19" x14ac:dyDescent="0.25">
      <c r="A1801" s="311"/>
      <c r="B1801" s="312"/>
      <c r="C1801" s="312"/>
      <c r="D1801" s="312"/>
      <c r="E1801" s="312"/>
      <c r="F1801" s="312"/>
      <c r="G1801" s="328"/>
      <c r="H1801" s="337"/>
      <c r="I1801" s="334"/>
      <c r="J1801" s="314"/>
      <c r="K1801" s="449"/>
      <c r="M1801" s="349" t="str">
        <f>N1801&amp;AS[[#This Row],[Insurer Code]]&amp;"; "&amp;O1801&amp;AS[[#This Row],[Reporting Year]]&amp;"; "&amp;P1801&amp;AS[[#This Row],[Insurance Category Code]]&amp;"; "&amp;Q1801&amp;AS[[#This Row],[Large Provider Entity Code]]&amp;"; "&amp;R1801&amp;AS[[#This Row],[Age Band Code]]&amp;"; "&amp;S1801&amp;AS[[#This Row],[Sex Code]]</f>
        <v xml:space="preserve">Insurer Code ; Reporting Year ; Insurance Category Code ; Large Provider Entity Code ; Age Band Code ; Sex Code </v>
      </c>
      <c r="N1801" s="345" t="s">
        <v>207</v>
      </c>
      <c r="O1801" s="345" t="s">
        <v>208</v>
      </c>
      <c r="P1801" s="345" t="s">
        <v>209</v>
      </c>
      <c r="Q1801" s="345" t="s">
        <v>210</v>
      </c>
      <c r="R1801" s="345" t="s">
        <v>223</v>
      </c>
      <c r="S1801" s="345" t="s">
        <v>224</v>
      </c>
    </row>
    <row r="1802" spans="1:19" x14ac:dyDescent="0.25">
      <c r="A1802" s="311"/>
      <c r="B1802" s="312"/>
      <c r="C1802" s="312"/>
      <c r="D1802" s="312"/>
      <c r="E1802" s="312"/>
      <c r="F1802" s="312"/>
      <c r="G1802" s="328"/>
      <c r="H1802" s="337"/>
      <c r="I1802" s="334"/>
      <c r="J1802" s="314"/>
      <c r="K1802" s="449"/>
      <c r="M1802" s="349" t="str">
        <f>N1802&amp;AS[[#This Row],[Insurer Code]]&amp;"; "&amp;O1802&amp;AS[[#This Row],[Reporting Year]]&amp;"; "&amp;P1802&amp;AS[[#This Row],[Insurance Category Code]]&amp;"; "&amp;Q1802&amp;AS[[#This Row],[Large Provider Entity Code]]&amp;"; "&amp;R1802&amp;AS[[#This Row],[Age Band Code]]&amp;"; "&amp;S1802&amp;AS[[#This Row],[Sex Code]]</f>
        <v xml:space="preserve">Insurer Code ; Reporting Year ; Insurance Category Code ; Large Provider Entity Code ; Age Band Code ; Sex Code </v>
      </c>
      <c r="N1802" s="345" t="s">
        <v>207</v>
      </c>
      <c r="O1802" s="345" t="s">
        <v>208</v>
      </c>
      <c r="P1802" s="345" t="s">
        <v>209</v>
      </c>
      <c r="Q1802" s="345" t="s">
        <v>210</v>
      </c>
      <c r="R1802" s="345" t="s">
        <v>223</v>
      </c>
      <c r="S1802" s="345" t="s">
        <v>224</v>
      </c>
    </row>
    <row r="1803" spans="1:19" x14ac:dyDescent="0.25">
      <c r="A1803" s="311"/>
      <c r="B1803" s="312"/>
      <c r="C1803" s="312"/>
      <c r="D1803" s="312"/>
      <c r="E1803" s="312"/>
      <c r="F1803" s="312"/>
      <c r="G1803" s="328"/>
      <c r="H1803" s="337"/>
      <c r="I1803" s="334"/>
      <c r="J1803" s="314"/>
      <c r="K1803" s="449"/>
      <c r="M1803" s="349" t="str">
        <f>N1803&amp;AS[[#This Row],[Insurer Code]]&amp;"; "&amp;O1803&amp;AS[[#This Row],[Reporting Year]]&amp;"; "&amp;P1803&amp;AS[[#This Row],[Insurance Category Code]]&amp;"; "&amp;Q1803&amp;AS[[#This Row],[Large Provider Entity Code]]&amp;"; "&amp;R1803&amp;AS[[#This Row],[Age Band Code]]&amp;"; "&amp;S1803&amp;AS[[#This Row],[Sex Code]]</f>
        <v xml:space="preserve">Insurer Code ; Reporting Year ; Insurance Category Code ; Large Provider Entity Code ; Age Band Code ; Sex Code </v>
      </c>
      <c r="N1803" s="345" t="s">
        <v>207</v>
      </c>
      <c r="O1803" s="345" t="s">
        <v>208</v>
      </c>
      <c r="P1803" s="345" t="s">
        <v>209</v>
      </c>
      <c r="Q1803" s="345" t="s">
        <v>210</v>
      </c>
      <c r="R1803" s="345" t="s">
        <v>223</v>
      </c>
      <c r="S1803" s="345" t="s">
        <v>224</v>
      </c>
    </row>
    <row r="1804" spans="1:19" x14ac:dyDescent="0.25">
      <c r="A1804" s="311"/>
      <c r="B1804" s="312"/>
      <c r="C1804" s="312"/>
      <c r="D1804" s="312"/>
      <c r="E1804" s="312"/>
      <c r="F1804" s="312"/>
      <c r="G1804" s="328"/>
      <c r="H1804" s="337"/>
      <c r="I1804" s="334"/>
      <c r="J1804" s="314"/>
      <c r="K1804" s="449"/>
      <c r="M1804" s="349" t="str">
        <f>N1804&amp;AS[[#This Row],[Insurer Code]]&amp;"; "&amp;O1804&amp;AS[[#This Row],[Reporting Year]]&amp;"; "&amp;P1804&amp;AS[[#This Row],[Insurance Category Code]]&amp;"; "&amp;Q1804&amp;AS[[#This Row],[Large Provider Entity Code]]&amp;"; "&amp;R1804&amp;AS[[#This Row],[Age Band Code]]&amp;"; "&amp;S1804&amp;AS[[#This Row],[Sex Code]]</f>
        <v xml:space="preserve">Insurer Code ; Reporting Year ; Insurance Category Code ; Large Provider Entity Code ; Age Band Code ; Sex Code </v>
      </c>
      <c r="N1804" s="345" t="s">
        <v>207</v>
      </c>
      <c r="O1804" s="345" t="s">
        <v>208</v>
      </c>
      <c r="P1804" s="345" t="s">
        <v>209</v>
      </c>
      <c r="Q1804" s="345" t="s">
        <v>210</v>
      </c>
      <c r="R1804" s="345" t="s">
        <v>223</v>
      </c>
      <c r="S1804" s="345" t="s">
        <v>224</v>
      </c>
    </row>
    <row r="1805" spans="1:19" x14ac:dyDescent="0.25">
      <c r="A1805" s="311"/>
      <c r="B1805" s="312"/>
      <c r="C1805" s="312"/>
      <c r="D1805" s="312"/>
      <c r="E1805" s="312"/>
      <c r="F1805" s="312"/>
      <c r="G1805" s="328"/>
      <c r="H1805" s="337"/>
      <c r="I1805" s="334"/>
      <c r="J1805" s="314"/>
      <c r="K1805" s="449"/>
      <c r="M1805" s="349" t="str">
        <f>N1805&amp;AS[[#This Row],[Insurer Code]]&amp;"; "&amp;O1805&amp;AS[[#This Row],[Reporting Year]]&amp;"; "&amp;P1805&amp;AS[[#This Row],[Insurance Category Code]]&amp;"; "&amp;Q1805&amp;AS[[#This Row],[Large Provider Entity Code]]&amp;"; "&amp;R1805&amp;AS[[#This Row],[Age Band Code]]&amp;"; "&amp;S1805&amp;AS[[#This Row],[Sex Code]]</f>
        <v xml:space="preserve">Insurer Code ; Reporting Year ; Insurance Category Code ; Large Provider Entity Code ; Age Band Code ; Sex Code </v>
      </c>
      <c r="N1805" s="345" t="s">
        <v>207</v>
      </c>
      <c r="O1805" s="345" t="s">
        <v>208</v>
      </c>
      <c r="P1805" s="345" t="s">
        <v>209</v>
      </c>
      <c r="Q1805" s="345" t="s">
        <v>210</v>
      </c>
      <c r="R1805" s="345" t="s">
        <v>223</v>
      </c>
      <c r="S1805" s="345" t="s">
        <v>224</v>
      </c>
    </row>
    <row r="1806" spans="1:19" x14ac:dyDescent="0.25">
      <c r="A1806" s="311"/>
      <c r="B1806" s="312"/>
      <c r="C1806" s="312"/>
      <c r="D1806" s="312"/>
      <c r="E1806" s="312"/>
      <c r="F1806" s="312"/>
      <c r="G1806" s="328"/>
      <c r="H1806" s="337"/>
      <c r="I1806" s="334"/>
      <c r="J1806" s="314"/>
      <c r="K1806" s="449"/>
      <c r="M1806" s="349" t="str">
        <f>N1806&amp;AS[[#This Row],[Insurer Code]]&amp;"; "&amp;O1806&amp;AS[[#This Row],[Reporting Year]]&amp;"; "&amp;P1806&amp;AS[[#This Row],[Insurance Category Code]]&amp;"; "&amp;Q1806&amp;AS[[#This Row],[Large Provider Entity Code]]&amp;"; "&amp;R1806&amp;AS[[#This Row],[Age Band Code]]&amp;"; "&amp;S1806&amp;AS[[#This Row],[Sex Code]]</f>
        <v xml:space="preserve">Insurer Code ; Reporting Year ; Insurance Category Code ; Large Provider Entity Code ; Age Band Code ; Sex Code </v>
      </c>
      <c r="N1806" s="345" t="s">
        <v>207</v>
      </c>
      <c r="O1806" s="345" t="s">
        <v>208</v>
      </c>
      <c r="P1806" s="345" t="s">
        <v>209</v>
      </c>
      <c r="Q1806" s="345" t="s">
        <v>210</v>
      </c>
      <c r="R1806" s="345" t="s">
        <v>223</v>
      </c>
      <c r="S1806" s="345" t="s">
        <v>224</v>
      </c>
    </row>
    <row r="1807" spans="1:19" x14ac:dyDescent="0.25">
      <c r="A1807" s="311"/>
      <c r="B1807" s="312"/>
      <c r="C1807" s="312"/>
      <c r="D1807" s="312"/>
      <c r="E1807" s="312"/>
      <c r="F1807" s="312"/>
      <c r="G1807" s="328"/>
      <c r="H1807" s="337"/>
      <c r="I1807" s="334"/>
      <c r="J1807" s="314"/>
      <c r="K1807" s="449"/>
      <c r="M1807" s="349" t="str">
        <f>N1807&amp;AS[[#This Row],[Insurer Code]]&amp;"; "&amp;O1807&amp;AS[[#This Row],[Reporting Year]]&amp;"; "&amp;P1807&amp;AS[[#This Row],[Insurance Category Code]]&amp;"; "&amp;Q1807&amp;AS[[#This Row],[Large Provider Entity Code]]&amp;"; "&amp;R1807&amp;AS[[#This Row],[Age Band Code]]&amp;"; "&amp;S1807&amp;AS[[#This Row],[Sex Code]]</f>
        <v xml:space="preserve">Insurer Code ; Reporting Year ; Insurance Category Code ; Large Provider Entity Code ; Age Band Code ; Sex Code </v>
      </c>
      <c r="N1807" s="345" t="s">
        <v>207</v>
      </c>
      <c r="O1807" s="345" t="s">
        <v>208</v>
      </c>
      <c r="P1807" s="345" t="s">
        <v>209</v>
      </c>
      <c r="Q1807" s="345" t="s">
        <v>210</v>
      </c>
      <c r="R1807" s="345" t="s">
        <v>223</v>
      </c>
      <c r="S1807" s="345" t="s">
        <v>224</v>
      </c>
    </row>
    <row r="1808" spans="1:19" x14ac:dyDescent="0.25">
      <c r="A1808" s="311"/>
      <c r="B1808" s="312"/>
      <c r="C1808" s="312"/>
      <c r="D1808" s="312"/>
      <c r="E1808" s="312"/>
      <c r="F1808" s="312"/>
      <c r="G1808" s="328"/>
      <c r="H1808" s="337"/>
      <c r="I1808" s="334"/>
      <c r="J1808" s="314"/>
      <c r="K1808" s="449"/>
      <c r="M1808" s="349" t="str">
        <f>N1808&amp;AS[[#This Row],[Insurer Code]]&amp;"; "&amp;O1808&amp;AS[[#This Row],[Reporting Year]]&amp;"; "&amp;P1808&amp;AS[[#This Row],[Insurance Category Code]]&amp;"; "&amp;Q1808&amp;AS[[#This Row],[Large Provider Entity Code]]&amp;"; "&amp;R1808&amp;AS[[#This Row],[Age Band Code]]&amp;"; "&amp;S1808&amp;AS[[#This Row],[Sex Code]]</f>
        <v xml:space="preserve">Insurer Code ; Reporting Year ; Insurance Category Code ; Large Provider Entity Code ; Age Band Code ; Sex Code </v>
      </c>
      <c r="N1808" s="345" t="s">
        <v>207</v>
      </c>
      <c r="O1808" s="345" t="s">
        <v>208</v>
      </c>
      <c r="P1808" s="345" t="s">
        <v>209</v>
      </c>
      <c r="Q1808" s="345" t="s">
        <v>210</v>
      </c>
      <c r="R1808" s="345" t="s">
        <v>223</v>
      </c>
      <c r="S1808" s="345" t="s">
        <v>224</v>
      </c>
    </row>
    <row r="1809" spans="1:19" x14ac:dyDescent="0.25">
      <c r="A1809" s="311"/>
      <c r="B1809" s="312"/>
      <c r="C1809" s="312"/>
      <c r="D1809" s="312"/>
      <c r="E1809" s="312"/>
      <c r="F1809" s="312"/>
      <c r="G1809" s="328"/>
      <c r="H1809" s="337"/>
      <c r="I1809" s="334"/>
      <c r="J1809" s="314"/>
      <c r="K1809" s="449"/>
      <c r="M1809" s="349" t="str">
        <f>N1809&amp;AS[[#This Row],[Insurer Code]]&amp;"; "&amp;O1809&amp;AS[[#This Row],[Reporting Year]]&amp;"; "&amp;P1809&amp;AS[[#This Row],[Insurance Category Code]]&amp;"; "&amp;Q1809&amp;AS[[#This Row],[Large Provider Entity Code]]&amp;"; "&amp;R1809&amp;AS[[#This Row],[Age Band Code]]&amp;"; "&amp;S1809&amp;AS[[#This Row],[Sex Code]]</f>
        <v xml:space="preserve">Insurer Code ; Reporting Year ; Insurance Category Code ; Large Provider Entity Code ; Age Band Code ; Sex Code </v>
      </c>
      <c r="N1809" s="345" t="s">
        <v>207</v>
      </c>
      <c r="O1809" s="345" t="s">
        <v>208</v>
      </c>
      <c r="P1809" s="345" t="s">
        <v>209</v>
      </c>
      <c r="Q1809" s="345" t="s">
        <v>210</v>
      </c>
      <c r="R1809" s="345" t="s">
        <v>223</v>
      </c>
      <c r="S1809" s="345" t="s">
        <v>224</v>
      </c>
    </row>
    <row r="1810" spans="1:19" x14ac:dyDescent="0.25">
      <c r="A1810" s="311"/>
      <c r="B1810" s="312"/>
      <c r="C1810" s="312"/>
      <c r="D1810" s="312"/>
      <c r="E1810" s="312"/>
      <c r="F1810" s="312"/>
      <c r="G1810" s="328"/>
      <c r="H1810" s="337"/>
      <c r="I1810" s="334"/>
      <c r="J1810" s="314"/>
      <c r="K1810" s="449"/>
      <c r="M1810" s="349" t="str">
        <f>N1810&amp;AS[[#This Row],[Insurer Code]]&amp;"; "&amp;O1810&amp;AS[[#This Row],[Reporting Year]]&amp;"; "&amp;P1810&amp;AS[[#This Row],[Insurance Category Code]]&amp;"; "&amp;Q1810&amp;AS[[#This Row],[Large Provider Entity Code]]&amp;"; "&amp;R1810&amp;AS[[#This Row],[Age Band Code]]&amp;"; "&amp;S1810&amp;AS[[#This Row],[Sex Code]]</f>
        <v xml:space="preserve">Insurer Code ; Reporting Year ; Insurance Category Code ; Large Provider Entity Code ; Age Band Code ; Sex Code </v>
      </c>
      <c r="N1810" s="345" t="s">
        <v>207</v>
      </c>
      <c r="O1810" s="345" t="s">
        <v>208</v>
      </c>
      <c r="P1810" s="345" t="s">
        <v>209</v>
      </c>
      <c r="Q1810" s="345" t="s">
        <v>210</v>
      </c>
      <c r="R1810" s="345" t="s">
        <v>223</v>
      </c>
      <c r="S1810" s="345" t="s">
        <v>224</v>
      </c>
    </row>
    <row r="1811" spans="1:19" x14ac:dyDescent="0.25">
      <c r="A1811" s="311"/>
      <c r="B1811" s="312"/>
      <c r="C1811" s="312"/>
      <c r="D1811" s="312"/>
      <c r="E1811" s="312"/>
      <c r="F1811" s="312"/>
      <c r="G1811" s="328"/>
      <c r="H1811" s="337"/>
      <c r="I1811" s="334"/>
      <c r="J1811" s="314"/>
      <c r="K1811" s="449"/>
      <c r="M1811" s="349" t="str">
        <f>N1811&amp;AS[[#This Row],[Insurer Code]]&amp;"; "&amp;O1811&amp;AS[[#This Row],[Reporting Year]]&amp;"; "&amp;P1811&amp;AS[[#This Row],[Insurance Category Code]]&amp;"; "&amp;Q1811&amp;AS[[#This Row],[Large Provider Entity Code]]&amp;"; "&amp;R1811&amp;AS[[#This Row],[Age Band Code]]&amp;"; "&amp;S1811&amp;AS[[#This Row],[Sex Code]]</f>
        <v xml:space="preserve">Insurer Code ; Reporting Year ; Insurance Category Code ; Large Provider Entity Code ; Age Band Code ; Sex Code </v>
      </c>
      <c r="N1811" s="345" t="s">
        <v>207</v>
      </c>
      <c r="O1811" s="345" t="s">
        <v>208</v>
      </c>
      <c r="P1811" s="345" t="s">
        <v>209</v>
      </c>
      <c r="Q1811" s="345" t="s">
        <v>210</v>
      </c>
      <c r="R1811" s="345" t="s">
        <v>223</v>
      </c>
      <c r="S1811" s="345" t="s">
        <v>224</v>
      </c>
    </row>
    <row r="1812" spans="1:19" x14ac:dyDescent="0.25">
      <c r="A1812" s="311"/>
      <c r="B1812" s="312"/>
      <c r="C1812" s="312"/>
      <c r="D1812" s="312"/>
      <c r="E1812" s="312"/>
      <c r="F1812" s="312"/>
      <c r="G1812" s="328"/>
      <c r="H1812" s="337"/>
      <c r="I1812" s="334"/>
      <c r="J1812" s="314"/>
      <c r="K1812" s="449"/>
      <c r="M1812" s="349" t="str">
        <f>N1812&amp;AS[[#This Row],[Insurer Code]]&amp;"; "&amp;O1812&amp;AS[[#This Row],[Reporting Year]]&amp;"; "&amp;P1812&amp;AS[[#This Row],[Insurance Category Code]]&amp;"; "&amp;Q1812&amp;AS[[#This Row],[Large Provider Entity Code]]&amp;"; "&amp;R1812&amp;AS[[#This Row],[Age Band Code]]&amp;"; "&amp;S1812&amp;AS[[#This Row],[Sex Code]]</f>
        <v xml:space="preserve">Insurer Code ; Reporting Year ; Insurance Category Code ; Large Provider Entity Code ; Age Band Code ; Sex Code </v>
      </c>
      <c r="N1812" s="345" t="s">
        <v>207</v>
      </c>
      <c r="O1812" s="345" t="s">
        <v>208</v>
      </c>
      <c r="P1812" s="345" t="s">
        <v>209</v>
      </c>
      <c r="Q1812" s="345" t="s">
        <v>210</v>
      </c>
      <c r="R1812" s="345" t="s">
        <v>223</v>
      </c>
      <c r="S1812" s="345" t="s">
        <v>224</v>
      </c>
    </row>
    <row r="1813" spans="1:19" x14ac:dyDescent="0.25">
      <c r="A1813" s="311"/>
      <c r="B1813" s="312"/>
      <c r="C1813" s="312"/>
      <c r="D1813" s="312"/>
      <c r="E1813" s="312"/>
      <c r="F1813" s="312"/>
      <c r="G1813" s="328"/>
      <c r="H1813" s="337"/>
      <c r="I1813" s="334"/>
      <c r="J1813" s="314"/>
      <c r="K1813" s="449"/>
      <c r="M1813" s="349" t="str">
        <f>N1813&amp;AS[[#This Row],[Insurer Code]]&amp;"; "&amp;O1813&amp;AS[[#This Row],[Reporting Year]]&amp;"; "&amp;P1813&amp;AS[[#This Row],[Insurance Category Code]]&amp;"; "&amp;Q1813&amp;AS[[#This Row],[Large Provider Entity Code]]&amp;"; "&amp;R1813&amp;AS[[#This Row],[Age Band Code]]&amp;"; "&amp;S1813&amp;AS[[#This Row],[Sex Code]]</f>
        <v xml:space="preserve">Insurer Code ; Reporting Year ; Insurance Category Code ; Large Provider Entity Code ; Age Band Code ; Sex Code </v>
      </c>
      <c r="N1813" s="345" t="s">
        <v>207</v>
      </c>
      <c r="O1813" s="345" t="s">
        <v>208</v>
      </c>
      <c r="P1813" s="345" t="s">
        <v>209</v>
      </c>
      <c r="Q1813" s="345" t="s">
        <v>210</v>
      </c>
      <c r="R1813" s="345" t="s">
        <v>223</v>
      </c>
      <c r="S1813" s="345" t="s">
        <v>224</v>
      </c>
    </row>
    <row r="1814" spans="1:19" x14ac:dyDescent="0.25">
      <c r="A1814" s="311"/>
      <c r="B1814" s="312"/>
      <c r="C1814" s="312"/>
      <c r="D1814" s="312"/>
      <c r="E1814" s="312"/>
      <c r="F1814" s="312"/>
      <c r="G1814" s="328"/>
      <c r="H1814" s="337"/>
      <c r="I1814" s="334"/>
      <c r="J1814" s="314"/>
      <c r="K1814" s="449"/>
      <c r="M1814" s="349" t="str">
        <f>N1814&amp;AS[[#This Row],[Insurer Code]]&amp;"; "&amp;O1814&amp;AS[[#This Row],[Reporting Year]]&amp;"; "&amp;P1814&amp;AS[[#This Row],[Insurance Category Code]]&amp;"; "&amp;Q1814&amp;AS[[#This Row],[Large Provider Entity Code]]&amp;"; "&amp;R1814&amp;AS[[#This Row],[Age Band Code]]&amp;"; "&amp;S1814&amp;AS[[#This Row],[Sex Code]]</f>
        <v xml:space="preserve">Insurer Code ; Reporting Year ; Insurance Category Code ; Large Provider Entity Code ; Age Band Code ; Sex Code </v>
      </c>
      <c r="N1814" s="345" t="s">
        <v>207</v>
      </c>
      <c r="O1814" s="345" t="s">
        <v>208</v>
      </c>
      <c r="P1814" s="345" t="s">
        <v>209</v>
      </c>
      <c r="Q1814" s="345" t="s">
        <v>210</v>
      </c>
      <c r="R1814" s="345" t="s">
        <v>223</v>
      </c>
      <c r="S1814" s="345" t="s">
        <v>224</v>
      </c>
    </row>
    <row r="1815" spans="1:19" x14ac:dyDescent="0.25">
      <c r="A1815" s="311"/>
      <c r="B1815" s="312"/>
      <c r="C1815" s="312"/>
      <c r="D1815" s="312"/>
      <c r="E1815" s="312"/>
      <c r="F1815" s="312"/>
      <c r="G1815" s="328"/>
      <c r="H1815" s="337"/>
      <c r="I1815" s="334"/>
      <c r="J1815" s="314"/>
      <c r="K1815" s="449"/>
      <c r="M1815" s="349" t="str">
        <f>N1815&amp;AS[[#This Row],[Insurer Code]]&amp;"; "&amp;O1815&amp;AS[[#This Row],[Reporting Year]]&amp;"; "&amp;P1815&amp;AS[[#This Row],[Insurance Category Code]]&amp;"; "&amp;Q1815&amp;AS[[#This Row],[Large Provider Entity Code]]&amp;"; "&amp;R1815&amp;AS[[#This Row],[Age Band Code]]&amp;"; "&amp;S1815&amp;AS[[#This Row],[Sex Code]]</f>
        <v xml:space="preserve">Insurer Code ; Reporting Year ; Insurance Category Code ; Large Provider Entity Code ; Age Band Code ; Sex Code </v>
      </c>
      <c r="N1815" s="345" t="s">
        <v>207</v>
      </c>
      <c r="O1815" s="345" t="s">
        <v>208</v>
      </c>
      <c r="P1815" s="345" t="s">
        <v>209</v>
      </c>
      <c r="Q1815" s="345" t="s">
        <v>210</v>
      </c>
      <c r="R1815" s="345" t="s">
        <v>223</v>
      </c>
      <c r="S1815" s="345" t="s">
        <v>224</v>
      </c>
    </row>
    <row r="1816" spans="1:19" x14ac:dyDescent="0.25">
      <c r="A1816" s="311"/>
      <c r="B1816" s="312"/>
      <c r="C1816" s="312"/>
      <c r="D1816" s="312"/>
      <c r="E1816" s="312"/>
      <c r="F1816" s="312"/>
      <c r="G1816" s="328"/>
      <c r="H1816" s="337"/>
      <c r="I1816" s="334"/>
      <c r="J1816" s="314"/>
      <c r="K1816" s="449"/>
      <c r="M1816" s="349" t="str">
        <f>N1816&amp;AS[[#This Row],[Insurer Code]]&amp;"; "&amp;O1816&amp;AS[[#This Row],[Reporting Year]]&amp;"; "&amp;P1816&amp;AS[[#This Row],[Insurance Category Code]]&amp;"; "&amp;Q1816&amp;AS[[#This Row],[Large Provider Entity Code]]&amp;"; "&amp;R1816&amp;AS[[#This Row],[Age Band Code]]&amp;"; "&amp;S1816&amp;AS[[#This Row],[Sex Code]]</f>
        <v xml:space="preserve">Insurer Code ; Reporting Year ; Insurance Category Code ; Large Provider Entity Code ; Age Band Code ; Sex Code </v>
      </c>
      <c r="N1816" s="345" t="s">
        <v>207</v>
      </c>
      <c r="O1816" s="345" t="s">
        <v>208</v>
      </c>
      <c r="P1816" s="345" t="s">
        <v>209</v>
      </c>
      <c r="Q1816" s="345" t="s">
        <v>210</v>
      </c>
      <c r="R1816" s="345" t="s">
        <v>223</v>
      </c>
      <c r="S1816" s="345" t="s">
        <v>224</v>
      </c>
    </row>
    <row r="1817" spans="1:19" x14ac:dyDescent="0.25">
      <c r="A1817" s="311"/>
      <c r="B1817" s="312"/>
      <c r="C1817" s="312"/>
      <c r="D1817" s="312"/>
      <c r="E1817" s="312"/>
      <c r="F1817" s="312"/>
      <c r="G1817" s="328"/>
      <c r="H1817" s="337"/>
      <c r="I1817" s="334"/>
      <c r="J1817" s="314"/>
      <c r="K1817" s="449"/>
      <c r="M1817" s="349" t="str">
        <f>N1817&amp;AS[[#This Row],[Insurer Code]]&amp;"; "&amp;O1817&amp;AS[[#This Row],[Reporting Year]]&amp;"; "&amp;P1817&amp;AS[[#This Row],[Insurance Category Code]]&amp;"; "&amp;Q1817&amp;AS[[#This Row],[Large Provider Entity Code]]&amp;"; "&amp;R1817&amp;AS[[#This Row],[Age Band Code]]&amp;"; "&amp;S1817&amp;AS[[#This Row],[Sex Code]]</f>
        <v xml:space="preserve">Insurer Code ; Reporting Year ; Insurance Category Code ; Large Provider Entity Code ; Age Band Code ; Sex Code </v>
      </c>
      <c r="N1817" s="345" t="s">
        <v>207</v>
      </c>
      <c r="O1817" s="345" t="s">
        <v>208</v>
      </c>
      <c r="P1817" s="345" t="s">
        <v>209</v>
      </c>
      <c r="Q1817" s="345" t="s">
        <v>210</v>
      </c>
      <c r="R1817" s="345" t="s">
        <v>223</v>
      </c>
      <c r="S1817" s="345" t="s">
        <v>224</v>
      </c>
    </row>
    <row r="1818" spans="1:19" x14ac:dyDescent="0.25">
      <c r="A1818" s="311"/>
      <c r="B1818" s="312"/>
      <c r="C1818" s="312"/>
      <c r="D1818" s="312"/>
      <c r="E1818" s="312"/>
      <c r="F1818" s="312"/>
      <c r="G1818" s="328"/>
      <c r="H1818" s="337"/>
      <c r="I1818" s="334"/>
      <c r="J1818" s="314"/>
      <c r="K1818" s="449"/>
      <c r="M1818" s="349" t="str">
        <f>N1818&amp;AS[[#This Row],[Insurer Code]]&amp;"; "&amp;O1818&amp;AS[[#This Row],[Reporting Year]]&amp;"; "&amp;P1818&amp;AS[[#This Row],[Insurance Category Code]]&amp;"; "&amp;Q1818&amp;AS[[#This Row],[Large Provider Entity Code]]&amp;"; "&amp;R1818&amp;AS[[#This Row],[Age Band Code]]&amp;"; "&amp;S1818&amp;AS[[#This Row],[Sex Code]]</f>
        <v xml:space="preserve">Insurer Code ; Reporting Year ; Insurance Category Code ; Large Provider Entity Code ; Age Band Code ; Sex Code </v>
      </c>
      <c r="N1818" s="345" t="s">
        <v>207</v>
      </c>
      <c r="O1818" s="345" t="s">
        <v>208</v>
      </c>
      <c r="P1818" s="345" t="s">
        <v>209</v>
      </c>
      <c r="Q1818" s="345" t="s">
        <v>210</v>
      </c>
      <c r="R1818" s="345" t="s">
        <v>223</v>
      </c>
      <c r="S1818" s="345" t="s">
        <v>224</v>
      </c>
    </row>
    <row r="1819" spans="1:19" x14ac:dyDescent="0.25">
      <c r="A1819" s="311"/>
      <c r="B1819" s="312"/>
      <c r="C1819" s="312"/>
      <c r="D1819" s="312"/>
      <c r="E1819" s="312"/>
      <c r="F1819" s="312"/>
      <c r="G1819" s="328"/>
      <c r="H1819" s="337"/>
      <c r="I1819" s="334"/>
      <c r="J1819" s="314"/>
      <c r="K1819" s="449"/>
      <c r="M1819" s="349" t="str">
        <f>N1819&amp;AS[[#This Row],[Insurer Code]]&amp;"; "&amp;O1819&amp;AS[[#This Row],[Reporting Year]]&amp;"; "&amp;P1819&amp;AS[[#This Row],[Insurance Category Code]]&amp;"; "&amp;Q1819&amp;AS[[#This Row],[Large Provider Entity Code]]&amp;"; "&amp;R1819&amp;AS[[#This Row],[Age Band Code]]&amp;"; "&amp;S1819&amp;AS[[#This Row],[Sex Code]]</f>
        <v xml:space="preserve">Insurer Code ; Reporting Year ; Insurance Category Code ; Large Provider Entity Code ; Age Band Code ; Sex Code </v>
      </c>
      <c r="N1819" s="345" t="s">
        <v>207</v>
      </c>
      <c r="O1819" s="345" t="s">
        <v>208</v>
      </c>
      <c r="P1819" s="345" t="s">
        <v>209</v>
      </c>
      <c r="Q1819" s="345" t="s">
        <v>210</v>
      </c>
      <c r="R1819" s="345" t="s">
        <v>223</v>
      </c>
      <c r="S1819" s="345" t="s">
        <v>224</v>
      </c>
    </row>
    <row r="1820" spans="1:19" x14ac:dyDescent="0.25">
      <c r="A1820" s="311"/>
      <c r="B1820" s="312"/>
      <c r="C1820" s="312"/>
      <c r="D1820" s="312"/>
      <c r="E1820" s="312"/>
      <c r="F1820" s="312"/>
      <c r="G1820" s="328"/>
      <c r="H1820" s="337"/>
      <c r="I1820" s="334"/>
      <c r="J1820" s="314"/>
      <c r="K1820" s="449"/>
      <c r="M1820" s="349" t="str">
        <f>N1820&amp;AS[[#This Row],[Insurer Code]]&amp;"; "&amp;O1820&amp;AS[[#This Row],[Reporting Year]]&amp;"; "&amp;P1820&amp;AS[[#This Row],[Insurance Category Code]]&amp;"; "&amp;Q1820&amp;AS[[#This Row],[Large Provider Entity Code]]&amp;"; "&amp;R1820&amp;AS[[#This Row],[Age Band Code]]&amp;"; "&amp;S1820&amp;AS[[#This Row],[Sex Code]]</f>
        <v xml:space="preserve">Insurer Code ; Reporting Year ; Insurance Category Code ; Large Provider Entity Code ; Age Band Code ; Sex Code </v>
      </c>
      <c r="N1820" s="345" t="s">
        <v>207</v>
      </c>
      <c r="O1820" s="345" t="s">
        <v>208</v>
      </c>
      <c r="P1820" s="345" t="s">
        <v>209</v>
      </c>
      <c r="Q1820" s="345" t="s">
        <v>210</v>
      </c>
      <c r="R1820" s="345" t="s">
        <v>223</v>
      </c>
      <c r="S1820" s="345" t="s">
        <v>224</v>
      </c>
    </row>
    <row r="1821" spans="1:19" x14ac:dyDescent="0.25">
      <c r="A1821" s="311"/>
      <c r="B1821" s="312"/>
      <c r="C1821" s="312"/>
      <c r="D1821" s="312"/>
      <c r="E1821" s="312"/>
      <c r="F1821" s="312"/>
      <c r="G1821" s="328"/>
      <c r="H1821" s="337"/>
      <c r="I1821" s="334"/>
      <c r="J1821" s="314"/>
      <c r="K1821" s="449"/>
      <c r="M1821" s="349" t="str">
        <f>N1821&amp;AS[[#This Row],[Insurer Code]]&amp;"; "&amp;O1821&amp;AS[[#This Row],[Reporting Year]]&amp;"; "&amp;P1821&amp;AS[[#This Row],[Insurance Category Code]]&amp;"; "&amp;Q1821&amp;AS[[#This Row],[Large Provider Entity Code]]&amp;"; "&amp;R1821&amp;AS[[#This Row],[Age Band Code]]&amp;"; "&amp;S1821&amp;AS[[#This Row],[Sex Code]]</f>
        <v xml:space="preserve">Insurer Code ; Reporting Year ; Insurance Category Code ; Large Provider Entity Code ; Age Band Code ; Sex Code </v>
      </c>
      <c r="N1821" s="345" t="s">
        <v>207</v>
      </c>
      <c r="O1821" s="345" t="s">
        <v>208</v>
      </c>
      <c r="P1821" s="345" t="s">
        <v>209</v>
      </c>
      <c r="Q1821" s="345" t="s">
        <v>210</v>
      </c>
      <c r="R1821" s="345" t="s">
        <v>223</v>
      </c>
      <c r="S1821" s="345" t="s">
        <v>224</v>
      </c>
    </row>
    <row r="1822" spans="1:19" x14ac:dyDescent="0.25">
      <c r="A1822" s="311"/>
      <c r="B1822" s="312"/>
      <c r="C1822" s="312"/>
      <c r="D1822" s="312"/>
      <c r="E1822" s="312"/>
      <c r="F1822" s="312"/>
      <c r="G1822" s="328"/>
      <c r="H1822" s="337"/>
      <c r="I1822" s="334"/>
      <c r="J1822" s="314"/>
      <c r="K1822" s="449"/>
      <c r="M1822" s="349" t="str">
        <f>N1822&amp;AS[[#This Row],[Insurer Code]]&amp;"; "&amp;O1822&amp;AS[[#This Row],[Reporting Year]]&amp;"; "&amp;P1822&amp;AS[[#This Row],[Insurance Category Code]]&amp;"; "&amp;Q1822&amp;AS[[#This Row],[Large Provider Entity Code]]&amp;"; "&amp;R1822&amp;AS[[#This Row],[Age Band Code]]&amp;"; "&amp;S1822&amp;AS[[#This Row],[Sex Code]]</f>
        <v xml:space="preserve">Insurer Code ; Reporting Year ; Insurance Category Code ; Large Provider Entity Code ; Age Band Code ; Sex Code </v>
      </c>
      <c r="N1822" s="345" t="s">
        <v>207</v>
      </c>
      <c r="O1822" s="345" t="s">
        <v>208</v>
      </c>
      <c r="P1822" s="345" t="s">
        <v>209</v>
      </c>
      <c r="Q1822" s="345" t="s">
        <v>210</v>
      </c>
      <c r="R1822" s="345" t="s">
        <v>223</v>
      </c>
      <c r="S1822" s="345" t="s">
        <v>224</v>
      </c>
    </row>
    <row r="1823" spans="1:19" x14ac:dyDescent="0.25">
      <c r="A1823" s="311"/>
      <c r="B1823" s="312"/>
      <c r="C1823" s="312"/>
      <c r="D1823" s="312"/>
      <c r="E1823" s="312"/>
      <c r="F1823" s="312"/>
      <c r="G1823" s="328"/>
      <c r="H1823" s="337"/>
      <c r="I1823" s="334"/>
      <c r="J1823" s="314"/>
      <c r="K1823" s="449"/>
      <c r="M1823" s="349" t="str">
        <f>N1823&amp;AS[[#This Row],[Insurer Code]]&amp;"; "&amp;O1823&amp;AS[[#This Row],[Reporting Year]]&amp;"; "&amp;P1823&amp;AS[[#This Row],[Insurance Category Code]]&amp;"; "&amp;Q1823&amp;AS[[#This Row],[Large Provider Entity Code]]&amp;"; "&amp;R1823&amp;AS[[#This Row],[Age Band Code]]&amp;"; "&amp;S1823&amp;AS[[#This Row],[Sex Code]]</f>
        <v xml:space="preserve">Insurer Code ; Reporting Year ; Insurance Category Code ; Large Provider Entity Code ; Age Band Code ; Sex Code </v>
      </c>
      <c r="N1823" s="345" t="s">
        <v>207</v>
      </c>
      <c r="O1823" s="345" t="s">
        <v>208</v>
      </c>
      <c r="P1823" s="345" t="s">
        <v>209</v>
      </c>
      <c r="Q1823" s="345" t="s">
        <v>210</v>
      </c>
      <c r="R1823" s="345" t="s">
        <v>223</v>
      </c>
      <c r="S1823" s="345" t="s">
        <v>224</v>
      </c>
    </row>
    <row r="1824" spans="1:19" x14ac:dyDescent="0.25">
      <c r="A1824" s="311"/>
      <c r="B1824" s="312"/>
      <c r="C1824" s="312"/>
      <c r="D1824" s="312"/>
      <c r="E1824" s="312"/>
      <c r="F1824" s="312"/>
      <c r="G1824" s="328"/>
      <c r="H1824" s="337"/>
      <c r="I1824" s="334"/>
      <c r="J1824" s="314"/>
      <c r="K1824" s="449"/>
      <c r="M1824" s="349" t="str">
        <f>N1824&amp;AS[[#This Row],[Insurer Code]]&amp;"; "&amp;O1824&amp;AS[[#This Row],[Reporting Year]]&amp;"; "&amp;P1824&amp;AS[[#This Row],[Insurance Category Code]]&amp;"; "&amp;Q1824&amp;AS[[#This Row],[Large Provider Entity Code]]&amp;"; "&amp;R1824&amp;AS[[#This Row],[Age Band Code]]&amp;"; "&amp;S1824&amp;AS[[#This Row],[Sex Code]]</f>
        <v xml:space="preserve">Insurer Code ; Reporting Year ; Insurance Category Code ; Large Provider Entity Code ; Age Band Code ; Sex Code </v>
      </c>
      <c r="N1824" s="345" t="s">
        <v>207</v>
      </c>
      <c r="O1824" s="345" t="s">
        <v>208</v>
      </c>
      <c r="P1824" s="345" t="s">
        <v>209</v>
      </c>
      <c r="Q1824" s="345" t="s">
        <v>210</v>
      </c>
      <c r="R1824" s="345" t="s">
        <v>223</v>
      </c>
      <c r="S1824" s="345" t="s">
        <v>224</v>
      </c>
    </row>
    <row r="1825" spans="1:19" x14ac:dyDescent="0.25">
      <c r="A1825" s="311"/>
      <c r="B1825" s="312"/>
      <c r="C1825" s="312"/>
      <c r="D1825" s="312"/>
      <c r="E1825" s="312"/>
      <c r="F1825" s="312"/>
      <c r="G1825" s="328"/>
      <c r="H1825" s="337"/>
      <c r="I1825" s="334"/>
      <c r="J1825" s="314"/>
      <c r="K1825" s="449"/>
      <c r="M1825" s="349" t="str">
        <f>N1825&amp;AS[[#This Row],[Insurer Code]]&amp;"; "&amp;O1825&amp;AS[[#This Row],[Reporting Year]]&amp;"; "&amp;P1825&amp;AS[[#This Row],[Insurance Category Code]]&amp;"; "&amp;Q1825&amp;AS[[#This Row],[Large Provider Entity Code]]&amp;"; "&amp;R1825&amp;AS[[#This Row],[Age Band Code]]&amp;"; "&amp;S1825&amp;AS[[#This Row],[Sex Code]]</f>
        <v xml:space="preserve">Insurer Code ; Reporting Year ; Insurance Category Code ; Large Provider Entity Code ; Age Band Code ; Sex Code </v>
      </c>
      <c r="N1825" s="345" t="s">
        <v>207</v>
      </c>
      <c r="O1825" s="345" t="s">
        <v>208</v>
      </c>
      <c r="P1825" s="345" t="s">
        <v>209</v>
      </c>
      <c r="Q1825" s="345" t="s">
        <v>210</v>
      </c>
      <c r="R1825" s="345" t="s">
        <v>223</v>
      </c>
      <c r="S1825" s="345" t="s">
        <v>224</v>
      </c>
    </row>
    <row r="1826" spans="1:19" x14ac:dyDescent="0.25">
      <c r="A1826" s="311"/>
      <c r="B1826" s="312"/>
      <c r="C1826" s="312"/>
      <c r="D1826" s="312"/>
      <c r="E1826" s="312"/>
      <c r="F1826" s="312"/>
      <c r="G1826" s="328"/>
      <c r="H1826" s="337"/>
      <c r="I1826" s="334"/>
      <c r="J1826" s="314"/>
      <c r="K1826" s="449"/>
      <c r="M1826" s="349" t="str">
        <f>N1826&amp;AS[[#This Row],[Insurer Code]]&amp;"; "&amp;O1826&amp;AS[[#This Row],[Reporting Year]]&amp;"; "&amp;P1826&amp;AS[[#This Row],[Insurance Category Code]]&amp;"; "&amp;Q1826&amp;AS[[#This Row],[Large Provider Entity Code]]&amp;"; "&amp;R1826&amp;AS[[#This Row],[Age Band Code]]&amp;"; "&amp;S1826&amp;AS[[#This Row],[Sex Code]]</f>
        <v xml:space="preserve">Insurer Code ; Reporting Year ; Insurance Category Code ; Large Provider Entity Code ; Age Band Code ; Sex Code </v>
      </c>
      <c r="N1826" s="345" t="s">
        <v>207</v>
      </c>
      <c r="O1826" s="345" t="s">
        <v>208</v>
      </c>
      <c r="P1826" s="345" t="s">
        <v>209</v>
      </c>
      <c r="Q1826" s="345" t="s">
        <v>210</v>
      </c>
      <c r="R1826" s="345" t="s">
        <v>223</v>
      </c>
      <c r="S1826" s="345" t="s">
        <v>224</v>
      </c>
    </row>
    <row r="1827" spans="1:19" x14ac:dyDescent="0.25">
      <c r="A1827" s="311"/>
      <c r="B1827" s="312"/>
      <c r="C1827" s="312"/>
      <c r="D1827" s="312"/>
      <c r="E1827" s="312"/>
      <c r="F1827" s="312"/>
      <c r="G1827" s="328"/>
      <c r="H1827" s="337"/>
      <c r="I1827" s="334"/>
      <c r="J1827" s="314"/>
      <c r="K1827" s="449"/>
      <c r="M1827" s="349" t="str">
        <f>N1827&amp;AS[[#This Row],[Insurer Code]]&amp;"; "&amp;O1827&amp;AS[[#This Row],[Reporting Year]]&amp;"; "&amp;P1827&amp;AS[[#This Row],[Insurance Category Code]]&amp;"; "&amp;Q1827&amp;AS[[#This Row],[Large Provider Entity Code]]&amp;"; "&amp;R1827&amp;AS[[#This Row],[Age Band Code]]&amp;"; "&amp;S1827&amp;AS[[#This Row],[Sex Code]]</f>
        <v xml:space="preserve">Insurer Code ; Reporting Year ; Insurance Category Code ; Large Provider Entity Code ; Age Band Code ; Sex Code </v>
      </c>
      <c r="N1827" s="345" t="s">
        <v>207</v>
      </c>
      <c r="O1827" s="345" t="s">
        <v>208</v>
      </c>
      <c r="P1827" s="345" t="s">
        <v>209</v>
      </c>
      <c r="Q1827" s="345" t="s">
        <v>210</v>
      </c>
      <c r="R1827" s="345" t="s">
        <v>223</v>
      </c>
      <c r="S1827" s="345" t="s">
        <v>224</v>
      </c>
    </row>
    <row r="1828" spans="1:19" x14ac:dyDescent="0.25">
      <c r="A1828" s="311"/>
      <c r="B1828" s="312"/>
      <c r="C1828" s="312"/>
      <c r="D1828" s="312"/>
      <c r="E1828" s="312"/>
      <c r="F1828" s="312"/>
      <c r="G1828" s="328"/>
      <c r="H1828" s="337"/>
      <c r="I1828" s="334"/>
      <c r="J1828" s="314"/>
      <c r="K1828" s="449"/>
      <c r="M1828" s="349" t="str">
        <f>N1828&amp;AS[[#This Row],[Insurer Code]]&amp;"; "&amp;O1828&amp;AS[[#This Row],[Reporting Year]]&amp;"; "&amp;P1828&amp;AS[[#This Row],[Insurance Category Code]]&amp;"; "&amp;Q1828&amp;AS[[#This Row],[Large Provider Entity Code]]&amp;"; "&amp;R1828&amp;AS[[#This Row],[Age Band Code]]&amp;"; "&amp;S1828&amp;AS[[#This Row],[Sex Code]]</f>
        <v xml:space="preserve">Insurer Code ; Reporting Year ; Insurance Category Code ; Large Provider Entity Code ; Age Band Code ; Sex Code </v>
      </c>
      <c r="N1828" s="345" t="s">
        <v>207</v>
      </c>
      <c r="O1828" s="345" t="s">
        <v>208</v>
      </c>
      <c r="P1828" s="345" t="s">
        <v>209</v>
      </c>
      <c r="Q1828" s="345" t="s">
        <v>210</v>
      </c>
      <c r="R1828" s="345" t="s">
        <v>223</v>
      </c>
      <c r="S1828" s="345" t="s">
        <v>224</v>
      </c>
    </row>
    <row r="1829" spans="1:19" x14ac:dyDescent="0.25">
      <c r="A1829" s="311"/>
      <c r="B1829" s="312"/>
      <c r="C1829" s="312"/>
      <c r="D1829" s="312"/>
      <c r="E1829" s="312"/>
      <c r="F1829" s="312"/>
      <c r="G1829" s="328"/>
      <c r="H1829" s="337"/>
      <c r="I1829" s="334"/>
      <c r="J1829" s="314"/>
      <c r="K1829" s="449"/>
      <c r="M1829" s="349" t="str">
        <f>N1829&amp;AS[[#This Row],[Insurer Code]]&amp;"; "&amp;O1829&amp;AS[[#This Row],[Reporting Year]]&amp;"; "&amp;P1829&amp;AS[[#This Row],[Insurance Category Code]]&amp;"; "&amp;Q1829&amp;AS[[#This Row],[Large Provider Entity Code]]&amp;"; "&amp;R1829&amp;AS[[#This Row],[Age Band Code]]&amp;"; "&amp;S1829&amp;AS[[#This Row],[Sex Code]]</f>
        <v xml:space="preserve">Insurer Code ; Reporting Year ; Insurance Category Code ; Large Provider Entity Code ; Age Band Code ; Sex Code </v>
      </c>
      <c r="N1829" s="345" t="s">
        <v>207</v>
      </c>
      <c r="O1829" s="345" t="s">
        <v>208</v>
      </c>
      <c r="P1829" s="345" t="s">
        <v>209</v>
      </c>
      <c r="Q1829" s="345" t="s">
        <v>210</v>
      </c>
      <c r="R1829" s="345" t="s">
        <v>223</v>
      </c>
      <c r="S1829" s="345" t="s">
        <v>224</v>
      </c>
    </row>
    <row r="1830" spans="1:19" x14ac:dyDescent="0.25">
      <c r="A1830" s="311"/>
      <c r="B1830" s="312"/>
      <c r="C1830" s="312"/>
      <c r="D1830" s="312"/>
      <c r="E1830" s="312"/>
      <c r="F1830" s="312"/>
      <c r="G1830" s="328"/>
      <c r="H1830" s="337"/>
      <c r="I1830" s="334"/>
      <c r="J1830" s="314"/>
      <c r="K1830" s="449"/>
      <c r="M1830" s="349" t="str">
        <f>N1830&amp;AS[[#This Row],[Insurer Code]]&amp;"; "&amp;O1830&amp;AS[[#This Row],[Reporting Year]]&amp;"; "&amp;P1830&amp;AS[[#This Row],[Insurance Category Code]]&amp;"; "&amp;Q1830&amp;AS[[#This Row],[Large Provider Entity Code]]&amp;"; "&amp;R1830&amp;AS[[#This Row],[Age Band Code]]&amp;"; "&amp;S1830&amp;AS[[#This Row],[Sex Code]]</f>
        <v xml:space="preserve">Insurer Code ; Reporting Year ; Insurance Category Code ; Large Provider Entity Code ; Age Band Code ; Sex Code </v>
      </c>
      <c r="N1830" s="345" t="s">
        <v>207</v>
      </c>
      <c r="O1830" s="345" t="s">
        <v>208</v>
      </c>
      <c r="P1830" s="345" t="s">
        <v>209</v>
      </c>
      <c r="Q1830" s="345" t="s">
        <v>210</v>
      </c>
      <c r="R1830" s="345" t="s">
        <v>223</v>
      </c>
      <c r="S1830" s="345" t="s">
        <v>224</v>
      </c>
    </row>
    <row r="1831" spans="1:19" x14ac:dyDescent="0.25">
      <c r="A1831" s="311"/>
      <c r="B1831" s="312"/>
      <c r="C1831" s="312"/>
      <c r="D1831" s="312"/>
      <c r="E1831" s="312"/>
      <c r="F1831" s="312"/>
      <c r="G1831" s="328"/>
      <c r="H1831" s="337"/>
      <c r="I1831" s="334"/>
      <c r="J1831" s="314"/>
      <c r="K1831" s="449"/>
      <c r="M1831" s="349" t="str">
        <f>N1831&amp;AS[[#This Row],[Insurer Code]]&amp;"; "&amp;O1831&amp;AS[[#This Row],[Reporting Year]]&amp;"; "&amp;P1831&amp;AS[[#This Row],[Insurance Category Code]]&amp;"; "&amp;Q1831&amp;AS[[#This Row],[Large Provider Entity Code]]&amp;"; "&amp;R1831&amp;AS[[#This Row],[Age Band Code]]&amp;"; "&amp;S1831&amp;AS[[#This Row],[Sex Code]]</f>
        <v xml:space="preserve">Insurer Code ; Reporting Year ; Insurance Category Code ; Large Provider Entity Code ; Age Band Code ; Sex Code </v>
      </c>
      <c r="N1831" s="345" t="s">
        <v>207</v>
      </c>
      <c r="O1831" s="345" t="s">
        <v>208</v>
      </c>
      <c r="P1831" s="345" t="s">
        <v>209</v>
      </c>
      <c r="Q1831" s="345" t="s">
        <v>210</v>
      </c>
      <c r="R1831" s="345" t="s">
        <v>223</v>
      </c>
      <c r="S1831" s="345" t="s">
        <v>224</v>
      </c>
    </row>
    <row r="1832" spans="1:19" x14ac:dyDescent="0.25">
      <c r="A1832" s="311"/>
      <c r="B1832" s="312"/>
      <c r="C1832" s="312"/>
      <c r="D1832" s="312"/>
      <c r="E1832" s="312"/>
      <c r="F1832" s="312"/>
      <c r="G1832" s="328"/>
      <c r="H1832" s="337"/>
      <c r="I1832" s="334"/>
      <c r="J1832" s="314"/>
      <c r="K1832" s="449"/>
      <c r="M1832" s="349" t="str">
        <f>N1832&amp;AS[[#This Row],[Insurer Code]]&amp;"; "&amp;O1832&amp;AS[[#This Row],[Reporting Year]]&amp;"; "&amp;P1832&amp;AS[[#This Row],[Insurance Category Code]]&amp;"; "&amp;Q1832&amp;AS[[#This Row],[Large Provider Entity Code]]&amp;"; "&amp;R1832&amp;AS[[#This Row],[Age Band Code]]&amp;"; "&amp;S1832&amp;AS[[#This Row],[Sex Code]]</f>
        <v xml:space="preserve">Insurer Code ; Reporting Year ; Insurance Category Code ; Large Provider Entity Code ; Age Band Code ; Sex Code </v>
      </c>
      <c r="N1832" s="345" t="s">
        <v>207</v>
      </c>
      <c r="O1832" s="345" t="s">
        <v>208</v>
      </c>
      <c r="P1832" s="345" t="s">
        <v>209</v>
      </c>
      <c r="Q1832" s="345" t="s">
        <v>210</v>
      </c>
      <c r="R1832" s="345" t="s">
        <v>223</v>
      </c>
      <c r="S1832" s="345" t="s">
        <v>224</v>
      </c>
    </row>
    <row r="1833" spans="1:19" x14ac:dyDescent="0.25">
      <c r="A1833" s="311"/>
      <c r="B1833" s="312"/>
      <c r="C1833" s="312"/>
      <c r="D1833" s="312"/>
      <c r="E1833" s="312"/>
      <c r="F1833" s="312"/>
      <c r="G1833" s="328"/>
      <c r="H1833" s="337"/>
      <c r="I1833" s="334"/>
      <c r="J1833" s="314"/>
      <c r="K1833" s="449"/>
      <c r="M1833" s="349" t="str">
        <f>N1833&amp;AS[[#This Row],[Insurer Code]]&amp;"; "&amp;O1833&amp;AS[[#This Row],[Reporting Year]]&amp;"; "&amp;P1833&amp;AS[[#This Row],[Insurance Category Code]]&amp;"; "&amp;Q1833&amp;AS[[#This Row],[Large Provider Entity Code]]&amp;"; "&amp;R1833&amp;AS[[#This Row],[Age Band Code]]&amp;"; "&amp;S1833&amp;AS[[#This Row],[Sex Code]]</f>
        <v xml:space="preserve">Insurer Code ; Reporting Year ; Insurance Category Code ; Large Provider Entity Code ; Age Band Code ; Sex Code </v>
      </c>
      <c r="N1833" s="345" t="s">
        <v>207</v>
      </c>
      <c r="O1833" s="345" t="s">
        <v>208</v>
      </c>
      <c r="P1833" s="345" t="s">
        <v>209</v>
      </c>
      <c r="Q1833" s="345" t="s">
        <v>210</v>
      </c>
      <c r="R1833" s="345" t="s">
        <v>223</v>
      </c>
      <c r="S1833" s="345" t="s">
        <v>224</v>
      </c>
    </row>
    <row r="1834" spans="1:19" x14ac:dyDescent="0.25">
      <c r="A1834" s="311"/>
      <c r="B1834" s="312"/>
      <c r="C1834" s="312"/>
      <c r="D1834" s="312"/>
      <c r="E1834" s="312"/>
      <c r="F1834" s="312"/>
      <c r="G1834" s="328"/>
      <c r="H1834" s="337"/>
      <c r="I1834" s="334"/>
      <c r="J1834" s="314"/>
      <c r="K1834" s="449"/>
      <c r="M1834" s="349" t="str">
        <f>N1834&amp;AS[[#This Row],[Insurer Code]]&amp;"; "&amp;O1834&amp;AS[[#This Row],[Reporting Year]]&amp;"; "&amp;P1834&amp;AS[[#This Row],[Insurance Category Code]]&amp;"; "&amp;Q1834&amp;AS[[#This Row],[Large Provider Entity Code]]&amp;"; "&amp;R1834&amp;AS[[#This Row],[Age Band Code]]&amp;"; "&amp;S1834&amp;AS[[#This Row],[Sex Code]]</f>
        <v xml:space="preserve">Insurer Code ; Reporting Year ; Insurance Category Code ; Large Provider Entity Code ; Age Band Code ; Sex Code </v>
      </c>
      <c r="N1834" s="345" t="s">
        <v>207</v>
      </c>
      <c r="O1834" s="345" t="s">
        <v>208</v>
      </c>
      <c r="P1834" s="345" t="s">
        <v>209</v>
      </c>
      <c r="Q1834" s="345" t="s">
        <v>210</v>
      </c>
      <c r="R1834" s="345" t="s">
        <v>223</v>
      </c>
      <c r="S1834" s="345" t="s">
        <v>224</v>
      </c>
    </row>
    <row r="1835" spans="1:19" x14ac:dyDescent="0.25">
      <c r="A1835" s="311"/>
      <c r="B1835" s="312"/>
      <c r="C1835" s="312"/>
      <c r="D1835" s="312"/>
      <c r="E1835" s="312"/>
      <c r="F1835" s="312"/>
      <c r="G1835" s="328"/>
      <c r="H1835" s="337"/>
      <c r="I1835" s="334"/>
      <c r="J1835" s="314"/>
      <c r="K1835" s="449"/>
      <c r="M1835" s="349" t="str">
        <f>N1835&amp;AS[[#This Row],[Insurer Code]]&amp;"; "&amp;O1835&amp;AS[[#This Row],[Reporting Year]]&amp;"; "&amp;P1835&amp;AS[[#This Row],[Insurance Category Code]]&amp;"; "&amp;Q1835&amp;AS[[#This Row],[Large Provider Entity Code]]&amp;"; "&amp;R1835&amp;AS[[#This Row],[Age Band Code]]&amp;"; "&amp;S1835&amp;AS[[#This Row],[Sex Code]]</f>
        <v xml:space="preserve">Insurer Code ; Reporting Year ; Insurance Category Code ; Large Provider Entity Code ; Age Band Code ; Sex Code </v>
      </c>
      <c r="N1835" s="345" t="s">
        <v>207</v>
      </c>
      <c r="O1835" s="345" t="s">
        <v>208</v>
      </c>
      <c r="P1835" s="345" t="s">
        <v>209</v>
      </c>
      <c r="Q1835" s="345" t="s">
        <v>210</v>
      </c>
      <c r="R1835" s="345" t="s">
        <v>223</v>
      </c>
      <c r="S1835" s="345" t="s">
        <v>224</v>
      </c>
    </row>
    <row r="1836" spans="1:19" x14ac:dyDescent="0.25">
      <c r="A1836" s="311"/>
      <c r="B1836" s="312"/>
      <c r="C1836" s="312"/>
      <c r="D1836" s="312"/>
      <c r="E1836" s="312"/>
      <c r="F1836" s="312"/>
      <c r="G1836" s="328"/>
      <c r="H1836" s="337"/>
      <c r="I1836" s="334"/>
      <c r="J1836" s="314"/>
      <c r="K1836" s="449"/>
      <c r="M1836" s="349" t="str">
        <f>N1836&amp;AS[[#This Row],[Insurer Code]]&amp;"; "&amp;O1836&amp;AS[[#This Row],[Reporting Year]]&amp;"; "&amp;P1836&amp;AS[[#This Row],[Insurance Category Code]]&amp;"; "&amp;Q1836&amp;AS[[#This Row],[Large Provider Entity Code]]&amp;"; "&amp;R1836&amp;AS[[#This Row],[Age Band Code]]&amp;"; "&amp;S1836&amp;AS[[#This Row],[Sex Code]]</f>
        <v xml:space="preserve">Insurer Code ; Reporting Year ; Insurance Category Code ; Large Provider Entity Code ; Age Band Code ; Sex Code </v>
      </c>
      <c r="N1836" s="345" t="s">
        <v>207</v>
      </c>
      <c r="O1836" s="345" t="s">
        <v>208</v>
      </c>
      <c r="P1836" s="345" t="s">
        <v>209</v>
      </c>
      <c r="Q1836" s="345" t="s">
        <v>210</v>
      </c>
      <c r="R1836" s="345" t="s">
        <v>223</v>
      </c>
      <c r="S1836" s="345" t="s">
        <v>224</v>
      </c>
    </row>
    <row r="1837" spans="1:19" x14ac:dyDescent="0.25">
      <c r="A1837" s="311"/>
      <c r="B1837" s="312"/>
      <c r="C1837" s="312"/>
      <c r="D1837" s="312"/>
      <c r="E1837" s="312"/>
      <c r="F1837" s="312"/>
      <c r="G1837" s="328"/>
      <c r="H1837" s="337"/>
      <c r="I1837" s="334"/>
      <c r="J1837" s="314"/>
      <c r="K1837" s="449"/>
      <c r="M1837" s="349" t="str">
        <f>N1837&amp;AS[[#This Row],[Insurer Code]]&amp;"; "&amp;O1837&amp;AS[[#This Row],[Reporting Year]]&amp;"; "&amp;P1837&amp;AS[[#This Row],[Insurance Category Code]]&amp;"; "&amp;Q1837&amp;AS[[#This Row],[Large Provider Entity Code]]&amp;"; "&amp;R1837&amp;AS[[#This Row],[Age Band Code]]&amp;"; "&amp;S1837&amp;AS[[#This Row],[Sex Code]]</f>
        <v xml:space="preserve">Insurer Code ; Reporting Year ; Insurance Category Code ; Large Provider Entity Code ; Age Band Code ; Sex Code </v>
      </c>
      <c r="N1837" s="345" t="s">
        <v>207</v>
      </c>
      <c r="O1837" s="345" t="s">
        <v>208</v>
      </c>
      <c r="P1837" s="345" t="s">
        <v>209</v>
      </c>
      <c r="Q1837" s="345" t="s">
        <v>210</v>
      </c>
      <c r="R1837" s="345" t="s">
        <v>223</v>
      </c>
      <c r="S1837" s="345" t="s">
        <v>224</v>
      </c>
    </row>
    <row r="1838" spans="1:19" x14ac:dyDescent="0.25">
      <c r="A1838" s="311"/>
      <c r="B1838" s="312"/>
      <c r="C1838" s="312"/>
      <c r="D1838" s="312"/>
      <c r="E1838" s="312"/>
      <c r="F1838" s="312"/>
      <c r="G1838" s="328"/>
      <c r="H1838" s="337"/>
      <c r="I1838" s="334"/>
      <c r="J1838" s="314"/>
      <c r="K1838" s="449"/>
      <c r="M1838" s="349" t="str">
        <f>N1838&amp;AS[[#This Row],[Insurer Code]]&amp;"; "&amp;O1838&amp;AS[[#This Row],[Reporting Year]]&amp;"; "&amp;P1838&amp;AS[[#This Row],[Insurance Category Code]]&amp;"; "&amp;Q1838&amp;AS[[#This Row],[Large Provider Entity Code]]&amp;"; "&amp;R1838&amp;AS[[#This Row],[Age Band Code]]&amp;"; "&amp;S1838&amp;AS[[#This Row],[Sex Code]]</f>
        <v xml:space="preserve">Insurer Code ; Reporting Year ; Insurance Category Code ; Large Provider Entity Code ; Age Band Code ; Sex Code </v>
      </c>
      <c r="N1838" s="345" t="s">
        <v>207</v>
      </c>
      <c r="O1838" s="345" t="s">
        <v>208</v>
      </c>
      <c r="P1838" s="345" t="s">
        <v>209</v>
      </c>
      <c r="Q1838" s="345" t="s">
        <v>210</v>
      </c>
      <c r="R1838" s="345" t="s">
        <v>223</v>
      </c>
      <c r="S1838" s="345" t="s">
        <v>224</v>
      </c>
    </row>
    <row r="1839" spans="1:19" x14ac:dyDescent="0.25">
      <c r="A1839" s="311"/>
      <c r="B1839" s="312"/>
      <c r="C1839" s="312"/>
      <c r="D1839" s="312"/>
      <c r="E1839" s="312"/>
      <c r="F1839" s="312"/>
      <c r="G1839" s="328"/>
      <c r="H1839" s="337"/>
      <c r="I1839" s="334"/>
      <c r="J1839" s="314"/>
      <c r="K1839" s="449"/>
      <c r="M1839" s="349" t="str">
        <f>N1839&amp;AS[[#This Row],[Insurer Code]]&amp;"; "&amp;O1839&amp;AS[[#This Row],[Reporting Year]]&amp;"; "&amp;P1839&amp;AS[[#This Row],[Insurance Category Code]]&amp;"; "&amp;Q1839&amp;AS[[#This Row],[Large Provider Entity Code]]&amp;"; "&amp;R1839&amp;AS[[#This Row],[Age Band Code]]&amp;"; "&amp;S1839&amp;AS[[#This Row],[Sex Code]]</f>
        <v xml:space="preserve">Insurer Code ; Reporting Year ; Insurance Category Code ; Large Provider Entity Code ; Age Band Code ; Sex Code </v>
      </c>
      <c r="N1839" s="345" t="s">
        <v>207</v>
      </c>
      <c r="O1839" s="345" t="s">
        <v>208</v>
      </c>
      <c r="P1839" s="345" t="s">
        <v>209</v>
      </c>
      <c r="Q1839" s="345" t="s">
        <v>210</v>
      </c>
      <c r="R1839" s="345" t="s">
        <v>223</v>
      </c>
      <c r="S1839" s="345" t="s">
        <v>224</v>
      </c>
    </row>
    <row r="1840" spans="1:19" x14ac:dyDescent="0.25">
      <c r="A1840" s="311"/>
      <c r="B1840" s="312"/>
      <c r="C1840" s="312"/>
      <c r="D1840" s="312"/>
      <c r="E1840" s="312"/>
      <c r="F1840" s="312"/>
      <c r="G1840" s="328"/>
      <c r="H1840" s="337"/>
      <c r="I1840" s="334"/>
      <c r="J1840" s="314"/>
      <c r="K1840" s="449"/>
      <c r="M1840" s="349" t="str">
        <f>N1840&amp;AS[[#This Row],[Insurer Code]]&amp;"; "&amp;O1840&amp;AS[[#This Row],[Reporting Year]]&amp;"; "&amp;P1840&amp;AS[[#This Row],[Insurance Category Code]]&amp;"; "&amp;Q1840&amp;AS[[#This Row],[Large Provider Entity Code]]&amp;"; "&amp;R1840&amp;AS[[#This Row],[Age Band Code]]&amp;"; "&amp;S1840&amp;AS[[#This Row],[Sex Code]]</f>
        <v xml:space="preserve">Insurer Code ; Reporting Year ; Insurance Category Code ; Large Provider Entity Code ; Age Band Code ; Sex Code </v>
      </c>
      <c r="N1840" s="345" t="s">
        <v>207</v>
      </c>
      <c r="O1840" s="345" t="s">
        <v>208</v>
      </c>
      <c r="P1840" s="345" t="s">
        <v>209</v>
      </c>
      <c r="Q1840" s="345" t="s">
        <v>210</v>
      </c>
      <c r="R1840" s="345" t="s">
        <v>223</v>
      </c>
      <c r="S1840" s="345" t="s">
        <v>224</v>
      </c>
    </row>
    <row r="1841" spans="1:19" x14ac:dyDescent="0.25">
      <c r="A1841" s="311"/>
      <c r="B1841" s="312"/>
      <c r="C1841" s="312"/>
      <c r="D1841" s="312"/>
      <c r="E1841" s="312"/>
      <c r="F1841" s="312"/>
      <c r="G1841" s="328"/>
      <c r="H1841" s="337"/>
      <c r="I1841" s="334"/>
      <c r="J1841" s="314"/>
      <c r="K1841" s="449"/>
      <c r="M1841" s="349" t="str">
        <f>N1841&amp;AS[[#This Row],[Insurer Code]]&amp;"; "&amp;O1841&amp;AS[[#This Row],[Reporting Year]]&amp;"; "&amp;P1841&amp;AS[[#This Row],[Insurance Category Code]]&amp;"; "&amp;Q1841&amp;AS[[#This Row],[Large Provider Entity Code]]&amp;"; "&amp;R1841&amp;AS[[#This Row],[Age Band Code]]&amp;"; "&amp;S1841&amp;AS[[#This Row],[Sex Code]]</f>
        <v xml:space="preserve">Insurer Code ; Reporting Year ; Insurance Category Code ; Large Provider Entity Code ; Age Band Code ; Sex Code </v>
      </c>
      <c r="N1841" s="345" t="s">
        <v>207</v>
      </c>
      <c r="O1841" s="345" t="s">
        <v>208</v>
      </c>
      <c r="P1841" s="345" t="s">
        <v>209</v>
      </c>
      <c r="Q1841" s="345" t="s">
        <v>210</v>
      </c>
      <c r="R1841" s="345" t="s">
        <v>223</v>
      </c>
      <c r="S1841" s="345" t="s">
        <v>224</v>
      </c>
    </row>
    <row r="1842" spans="1:19" x14ac:dyDescent="0.25">
      <c r="A1842" s="311"/>
      <c r="B1842" s="312"/>
      <c r="C1842" s="312"/>
      <c r="D1842" s="312"/>
      <c r="E1842" s="312"/>
      <c r="F1842" s="312"/>
      <c r="G1842" s="328"/>
      <c r="H1842" s="337"/>
      <c r="I1842" s="334"/>
      <c r="J1842" s="314"/>
      <c r="K1842" s="449"/>
      <c r="M1842" s="349" t="str">
        <f>N1842&amp;AS[[#This Row],[Insurer Code]]&amp;"; "&amp;O1842&amp;AS[[#This Row],[Reporting Year]]&amp;"; "&amp;P1842&amp;AS[[#This Row],[Insurance Category Code]]&amp;"; "&amp;Q1842&amp;AS[[#This Row],[Large Provider Entity Code]]&amp;"; "&amp;R1842&amp;AS[[#This Row],[Age Band Code]]&amp;"; "&amp;S1842&amp;AS[[#This Row],[Sex Code]]</f>
        <v xml:space="preserve">Insurer Code ; Reporting Year ; Insurance Category Code ; Large Provider Entity Code ; Age Band Code ; Sex Code </v>
      </c>
      <c r="N1842" s="345" t="s">
        <v>207</v>
      </c>
      <c r="O1842" s="345" t="s">
        <v>208</v>
      </c>
      <c r="P1842" s="345" t="s">
        <v>209</v>
      </c>
      <c r="Q1842" s="345" t="s">
        <v>210</v>
      </c>
      <c r="R1842" s="345" t="s">
        <v>223</v>
      </c>
      <c r="S1842" s="345" t="s">
        <v>224</v>
      </c>
    </row>
    <row r="1843" spans="1:19" x14ac:dyDescent="0.25">
      <c r="A1843" s="311"/>
      <c r="B1843" s="312"/>
      <c r="C1843" s="312"/>
      <c r="D1843" s="312"/>
      <c r="E1843" s="312"/>
      <c r="F1843" s="312"/>
      <c r="G1843" s="328"/>
      <c r="H1843" s="337"/>
      <c r="I1843" s="334"/>
      <c r="J1843" s="314"/>
      <c r="K1843" s="449"/>
      <c r="M1843" s="349" t="str">
        <f>N1843&amp;AS[[#This Row],[Insurer Code]]&amp;"; "&amp;O1843&amp;AS[[#This Row],[Reporting Year]]&amp;"; "&amp;P1843&amp;AS[[#This Row],[Insurance Category Code]]&amp;"; "&amp;Q1843&amp;AS[[#This Row],[Large Provider Entity Code]]&amp;"; "&amp;R1843&amp;AS[[#This Row],[Age Band Code]]&amp;"; "&amp;S1843&amp;AS[[#This Row],[Sex Code]]</f>
        <v xml:space="preserve">Insurer Code ; Reporting Year ; Insurance Category Code ; Large Provider Entity Code ; Age Band Code ; Sex Code </v>
      </c>
      <c r="N1843" s="345" t="s">
        <v>207</v>
      </c>
      <c r="O1843" s="345" t="s">
        <v>208</v>
      </c>
      <c r="P1843" s="345" t="s">
        <v>209</v>
      </c>
      <c r="Q1843" s="345" t="s">
        <v>210</v>
      </c>
      <c r="R1843" s="345" t="s">
        <v>223</v>
      </c>
      <c r="S1843" s="345" t="s">
        <v>224</v>
      </c>
    </row>
    <row r="1844" spans="1:19" x14ac:dyDescent="0.25">
      <c r="A1844" s="311"/>
      <c r="B1844" s="312"/>
      <c r="C1844" s="312"/>
      <c r="D1844" s="312"/>
      <c r="E1844" s="312"/>
      <c r="F1844" s="312"/>
      <c r="G1844" s="328"/>
      <c r="H1844" s="337"/>
      <c r="I1844" s="334"/>
      <c r="J1844" s="314"/>
      <c r="K1844" s="449"/>
      <c r="M1844" s="349" t="str">
        <f>N1844&amp;AS[[#This Row],[Insurer Code]]&amp;"; "&amp;O1844&amp;AS[[#This Row],[Reporting Year]]&amp;"; "&amp;P1844&amp;AS[[#This Row],[Insurance Category Code]]&amp;"; "&amp;Q1844&amp;AS[[#This Row],[Large Provider Entity Code]]&amp;"; "&amp;R1844&amp;AS[[#This Row],[Age Band Code]]&amp;"; "&amp;S1844&amp;AS[[#This Row],[Sex Code]]</f>
        <v xml:space="preserve">Insurer Code ; Reporting Year ; Insurance Category Code ; Large Provider Entity Code ; Age Band Code ; Sex Code </v>
      </c>
      <c r="N1844" s="345" t="s">
        <v>207</v>
      </c>
      <c r="O1844" s="345" t="s">
        <v>208</v>
      </c>
      <c r="P1844" s="345" t="s">
        <v>209</v>
      </c>
      <c r="Q1844" s="345" t="s">
        <v>210</v>
      </c>
      <c r="R1844" s="345" t="s">
        <v>223</v>
      </c>
      <c r="S1844" s="345" t="s">
        <v>224</v>
      </c>
    </row>
    <row r="1845" spans="1:19" x14ac:dyDescent="0.25">
      <c r="A1845" s="311"/>
      <c r="B1845" s="312"/>
      <c r="C1845" s="312"/>
      <c r="D1845" s="312"/>
      <c r="E1845" s="312"/>
      <c r="F1845" s="312"/>
      <c r="G1845" s="328"/>
      <c r="H1845" s="337"/>
      <c r="I1845" s="334"/>
      <c r="J1845" s="314"/>
      <c r="K1845" s="449"/>
      <c r="M1845" s="349" t="str">
        <f>N1845&amp;AS[[#This Row],[Insurer Code]]&amp;"; "&amp;O1845&amp;AS[[#This Row],[Reporting Year]]&amp;"; "&amp;P1845&amp;AS[[#This Row],[Insurance Category Code]]&amp;"; "&amp;Q1845&amp;AS[[#This Row],[Large Provider Entity Code]]&amp;"; "&amp;R1845&amp;AS[[#This Row],[Age Band Code]]&amp;"; "&amp;S1845&amp;AS[[#This Row],[Sex Code]]</f>
        <v xml:space="preserve">Insurer Code ; Reporting Year ; Insurance Category Code ; Large Provider Entity Code ; Age Band Code ; Sex Code </v>
      </c>
      <c r="N1845" s="345" t="s">
        <v>207</v>
      </c>
      <c r="O1845" s="345" t="s">
        <v>208</v>
      </c>
      <c r="P1845" s="345" t="s">
        <v>209</v>
      </c>
      <c r="Q1845" s="345" t="s">
        <v>210</v>
      </c>
      <c r="R1845" s="345" t="s">
        <v>223</v>
      </c>
      <c r="S1845" s="345" t="s">
        <v>224</v>
      </c>
    </row>
    <row r="1846" spans="1:19" x14ac:dyDescent="0.25">
      <c r="A1846" s="311"/>
      <c r="B1846" s="312"/>
      <c r="C1846" s="312"/>
      <c r="D1846" s="312"/>
      <c r="E1846" s="312"/>
      <c r="F1846" s="312"/>
      <c r="G1846" s="328"/>
      <c r="H1846" s="337"/>
      <c r="I1846" s="334"/>
      <c r="J1846" s="314"/>
      <c r="K1846" s="449"/>
      <c r="M1846" s="349" t="str">
        <f>N1846&amp;AS[[#This Row],[Insurer Code]]&amp;"; "&amp;O1846&amp;AS[[#This Row],[Reporting Year]]&amp;"; "&amp;P1846&amp;AS[[#This Row],[Insurance Category Code]]&amp;"; "&amp;Q1846&amp;AS[[#This Row],[Large Provider Entity Code]]&amp;"; "&amp;R1846&amp;AS[[#This Row],[Age Band Code]]&amp;"; "&amp;S1846&amp;AS[[#This Row],[Sex Code]]</f>
        <v xml:space="preserve">Insurer Code ; Reporting Year ; Insurance Category Code ; Large Provider Entity Code ; Age Band Code ; Sex Code </v>
      </c>
      <c r="N1846" s="345" t="s">
        <v>207</v>
      </c>
      <c r="O1846" s="345" t="s">
        <v>208</v>
      </c>
      <c r="P1846" s="345" t="s">
        <v>209</v>
      </c>
      <c r="Q1846" s="345" t="s">
        <v>210</v>
      </c>
      <c r="R1846" s="345" t="s">
        <v>223</v>
      </c>
      <c r="S1846" s="345" t="s">
        <v>224</v>
      </c>
    </row>
    <row r="1847" spans="1:19" x14ac:dyDescent="0.25">
      <c r="A1847" s="311"/>
      <c r="B1847" s="312"/>
      <c r="C1847" s="312"/>
      <c r="D1847" s="312"/>
      <c r="E1847" s="312"/>
      <c r="F1847" s="312"/>
      <c r="G1847" s="328"/>
      <c r="H1847" s="337"/>
      <c r="I1847" s="334"/>
      <c r="J1847" s="314"/>
      <c r="K1847" s="449"/>
      <c r="M1847" s="349" t="str">
        <f>N1847&amp;AS[[#This Row],[Insurer Code]]&amp;"; "&amp;O1847&amp;AS[[#This Row],[Reporting Year]]&amp;"; "&amp;P1847&amp;AS[[#This Row],[Insurance Category Code]]&amp;"; "&amp;Q1847&amp;AS[[#This Row],[Large Provider Entity Code]]&amp;"; "&amp;R1847&amp;AS[[#This Row],[Age Band Code]]&amp;"; "&amp;S1847&amp;AS[[#This Row],[Sex Code]]</f>
        <v xml:space="preserve">Insurer Code ; Reporting Year ; Insurance Category Code ; Large Provider Entity Code ; Age Band Code ; Sex Code </v>
      </c>
      <c r="N1847" s="345" t="s">
        <v>207</v>
      </c>
      <c r="O1847" s="345" t="s">
        <v>208</v>
      </c>
      <c r="P1847" s="345" t="s">
        <v>209</v>
      </c>
      <c r="Q1847" s="345" t="s">
        <v>210</v>
      </c>
      <c r="R1847" s="345" t="s">
        <v>223</v>
      </c>
      <c r="S1847" s="345" t="s">
        <v>224</v>
      </c>
    </row>
    <row r="1848" spans="1:19" x14ac:dyDescent="0.25">
      <c r="A1848" s="311"/>
      <c r="B1848" s="312"/>
      <c r="C1848" s="312"/>
      <c r="D1848" s="312"/>
      <c r="E1848" s="312"/>
      <c r="F1848" s="312"/>
      <c r="G1848" s="328"/>
      <c r="H1848" s="337"/>
      <c r="I1848" s="334"/>
      <c r="J1848" s="314"/>
      <c r="K1848" s="449"/>
      <c r="M1848" s="349" t="str">
        <f>N1848&amp;AS[[#This Row],[Insurer Code]]&amp;"; "&amp;O1848&amp;AS[[#This Row],[Reporting Year]]&amp;"; "&amp;P1848&amp;AS[[#This Row],[Insurance Category Code]]&amp;"; "&amp;Q1848&amp;AS[[#This Row],[Large Provider Entity Code]]&amp;"; "&amp;R1848&amp;AS[[#This Row],[Age Band Code]]&amp;"; "&amp;S1848&amp;AS[[#This Row],[Sex Code]]</f>
        <v xml:space="preserve">Insurer Code ; Reporting Year ; Insurance Category Code ; Large Provider Entity Code ; Age Band Code ; Sex Code </v>
      </c>
      <c r="N1848" s="345" t="s">
        <v>207</v>
      </c>
      <c r="O1848" s="345" t="s">
        <v>208</v>
      </c>
      <c r="P1848" s="345" t="s">
        <v>209</v>
      </c>
      <c r="Q1848" s="345" t="s">
        <v>210</v>
      </c>
      <c r="R1848" s="345" t="s">
        <v>223</v>
      </c>
      <c r="S1848" s="345" t="s">
        <v>224</v>
      </c>
    </row>
    <row r="1849" spans="1:19" x14ac:dyDescent="0.25">
      <c r="A1849" s="311"/>
      <c r="B1849" s="312"/>
      <c r="C1849" s="312"/>
      <c r="D1849" s="312"/>
      <c r="E1849" s="312"/>
      <c r="F1849" s="312"/>
      <c r="G1849" s="328"/>
      <c r="H1849" s="337"/>
      <c r="I1849" s="334"/>
      <c r="J1849" s="314"/>
      <c r="K1849" s="449"/>
      <c r="M1849" s="349" t="str">
        <f>N1849&amp;AS[[#This Row],[Insurer Code]]&amp;"; "&amp;O1849&amp;AS[[#This Row],[Reporting Year]]&amp;"; "&amp;P1849&amp;AS[[#This Row],[Insurance Category Code]]&amp;"; "&amp;Q1849&amp;AS[[#This Row],[Large Provider Entity Code]]&amp;"; "&amp;R1849&amp;AS[[#This Row],[Age Band Code]]&amp;"; "&amp;S1849&amp;AS[[#This Row],[Sex Code]]</f>
        <v xml:space="preserve">Insurer Code ; Reporting Year ; Insurance Category Code ; Large Provider Entity Code ; Age Band Code ; Sex Code </v>
      </c>
      <c r="N1849" s="345" t="s">
        <v>207</v>
      </c>
      <c r="O1849" s="345" t="s">
        <v>208</v>
      </c>
      <c r="P1849" s="345" t="s">
        <v>209</v>
      </c>
      <c r="Q1849" s="345" t="s">
        <v>210</v>
      </c>
      <c r="R1849" s="345" t="s">
        <v>223</v>
      </c>
      <c r="S1849" s="345" t="s">
        <v>224</v>
      </c>
    </row>
    <row r="1850" spans="1:19" x14ac:dyDescent="0.25">
      <c r="A1850" s="311"/>
      <c r="B1850" s="312"/>
      <c r="C1850" s="312"/>
      <c r="D1850" s="312"/>
      <c r="E1850" s="312"/>
      <c r="F1850" s="312"/>
      <c r="G1850" s="328"/>
      <c r="H1850" s="337"/>
      <c r="I1850" s="334"/>
      <c r="J1850" s="314"/>
      <c r="K1850" s="449"/>
      <c r="M1850" s="349" t="str">
        <f>N1850&amp;AS[[#This Row],[Insurer Code]]&amp;"; "&amp;O1850&amp;AS[[#This Row],[Reporting Year]]&amp;"; "&amp;P1850&amp;AS[[#This Row],[Insurance Category Code]]&amp;"; "&amp;Q1850&amp;AS[[#This Row],[Large Provider Entity Code]]&amp;"; "&amp;R1850&amp;AS[[#This Row],[Age Band Code]]&amp;"; "&amp;S1850&amp;AS[[#This Row],[Sex Code]]</f>
        <v xml:space="preserve">Insurer Code ; Reporting Year ; Insurance Category Code ; Large Provider Entity Code ; Age Band Code ; Sex Code </v>
      </c>
      <c r="N1850" s="345" t="s">
        <v>207</v>
      </c>
      <c r="O1850" s="345" t="s">
        <v>208</v>
      </c>
      <c r="P1850" s="345" t="s">
        <v>209</v>
      </c>
      <c r="Q1850" s="345" t="s">
        <v>210</v>
      </c>
      <c r="R1850" s="345" t="s">
        <v>223</v>
      </c>
      <c r="S1850" s="345" t="s">
        <v>224</v>
      </c>
    </row>
    <row r="1851" spans="1:19" x14ac:dyDescent="0.25">
      <c r="A1851" s="311"/>
      <c r="B1851" s="312"/>
      <c r="C1851" s="312"/>
      <c r="D1851" s="312"/>
      <c r="E1851" s="312"/>
      <c r="F1851" s="312"/>
      <c r="G1851" s="328"/>
      <c r="H1851" s="337"/>
      <c r="I1851" s="334"/>
      <c r="J1851" s="314"/>
      <c r="K1851" s="449"/>
      <c r="M1851" s="349" t="str">
        <f>N1851&amp;AS[[#This Row],[Insurer Code]]&amp;"; "&amp;O1851&amp;AS[[#This Row],[Reporting Year]]&amp;"; "&amp;P1851&amp;AS[[#This Row],[Insurance Category Code]]&amp;"; "&amp;Q1851&amp;AS[[#This Row],[Large Provider Entity Code]]&amp;"; "&amp;R1851&amp;AS[[#This Row],[Age Band Code]]&amp;"; "&amp;S1851&amp;AS[[#This Row],[Sex Code]]</f>
        <v xml:space="preserve">Insurer Code ; Reporting Year ; Insurance Category Code ; Large Provider Entity Code ; Age Band Code ; Sex Code </v>
      </c>
      <c r="N1851" s="345" t="s">
        <v>207</v>
      </c>
      <c r="O1851" s="345" t="s">
        <v>208</v>
      </c>
      <c r="P1851" s="345" t="s">
        <v>209</v>
      </c>
      <c r="Q1851" s="345" t="s">
        <v>210</v>
      </c>
      <c r="R1851" s="345" t="s">
        <v>223</v>
      </c>
      <c r="S1851" s="345" t="s">
        <v>224</v>
      </c>
    </row>
    <row r="1852" spans="1:19" x14ac:dyDescent="0.25">
      <c r="A1852" s="311"/>
      <c r="B1852" s="312"/>
      <c r="C1852" s="312"/>
      <c r="D1852" s="312"/>
      <c r="E1852" s="312"/>
      <c r="F1852" s="312"/>
      <c r="G1852" s="328"/>
      <c r="H1852" s="337"/>
      <c r="I1852" s="334"/>
      <c r="J1852" s="314"/>
      <c r="K1852" s="449"/>
      <c r="M1852" s="349" t="str">
        <f>N1852&amp;AS[[#This Row],[Insurer Code]]&amp;"; "&amp;O1852&amp;AS[[#This Row],[Reporting Year]]&amp;"; "&amp;P1852&amp;AS[[#This Row],[Insurance Category Code]]&amp;"; "&amp;Q1852&amp;AS[[#This Row],[Large Provider Entity Code]]&amp;"; "&amp;R1852&amp;AS[[#This Row],[Age Band Code]]&amp;"; "&amp;S1852&amp;AS[[#This Row],[Sex Code]]</f>
        <v xml:space="preserve">Insurer Code ; Reporting Year ; Insurance Category Code ; Large Provider Entity Code ; Age Band Code ; Sex Code </v>
      </c>
      <c r="N1852" s="345" t="s">
        <v>207</v>
      </c>
      <c r="O1852" s="345" t="s">
        <v>208</v>
      </c>
      <c r="P1852" s="345" t="s">
        <v>209</v>
      </c>
      <c r="Q1852" s="345" t="s">
        <v>210</v>
      </c>
      <c r="R1852" s="345" t="s">
        <v>223</v>
      </c>
      <c r="S1852" s="345" t="s">
        <v>224</v>
      </c>
    </row>
    <row r="1853" spans="1:19" x14ac:dyDescent="0.25">
      <c r="A1853" s="311"/>
      <c r="B1853" s="312"/>
      <c r="C1853" s="312"/>
      <c r="D1853" s="312"/>
      <c r="E1853" s="312"/>
      <c r="F1853" s="312"/>
      <c r="G1853" s="328"/>
      <c r="H1853" s="337"/>
      <c r="I1853" s="334"/>
      <c r="J1853" s="314"/>
      <c r="K1853" s="449"/>
      <c r="M1853" s="349" t="str">
        <f>N1853&amp;AS[[#This Row],[Insurer Code]]&amp;"; "&amp;O1853&amp;AS[[#This Row],[Reporting Year]]&amp;"; "&amp;P1853&amp;AS[[#This Row],[Insurance Category Code]]&amp;"; "&amp;Q1853&amp;AS[[#This Row],[Large Provider Entity Code]]&amp;"; "&amp;R1853&amp;AS[[#This Row],[Age Band Code]]&amp;"; "&amp;S1853&amp;AS[[#This Row],[Sex Code]]</f>
        <v xml:space="preserve">Insurer Code ; Reporting Year ; Insurance Category Code ; Large Provider Entity Code ; Age Band Code ; Sex Code </v>
      </c>
      <c r="N1853" s="345" t="s">
        <v>207</v>
      </c>
      <c r="O1853" s="345" t="s">
        <v>208</v>
      </c>
      <c r="P1853" s="345" t="s">
        <v>209</v>
      </c>
      <c r="Q1853" s="345" t="s">
        <v>210</v>
      </c>
      <c r="R1853" s="345" t="s">
        <v>223</v>
      </c>
      <c r="S1853" s="345" t="s">
        <v>224</v>
      </c>
    </row>
    <row r="1854" spans="1:19" x14ac:dyDescent="0.25">
      <c r="A1854" s="311"/>
      <c r="B1854" s="312"/>
      <c r="C1854" s="312"/>
      <c r="D1854" s="312"/>
      <c r="E1854" s="312"/>
      <c r="F1854" s="312"/>
      <c r="G1854" s="328"/>
      <c r="H1854" s="337"/>
      <c r="I1854" s="334"/>
      <c r="J1854" s="314"/>
      <c r="K1854" s="449"/>
      <c r="M1854" s="349" t="str">
        <f>N1854&amp;AS[[#This Row],[Insurer Code]]&amp;"; "&amp;O1854&amp;AS[[#This Row],[Reporting Year]]&amp;"; "&amp;P1854&amp;AS[[#This Row],[Insurance Category Code]]&amp;"; "&amp;Q1854&amp;AS[[#This Row],[Large Provider Entity Code]]&amp;"; "&amp;R1854&amp;AS[[#This Row],[Age Band Code]]&amp;"; "&amp;S1854&amp;AS[[#This Row],[Sex Code]]</f>
        <v xml:space="preserve">Insurer Code ; Reporting Year ; Insurance Category Code ; Large Provider Entity Code ; Age Band Code ; Sex Code </v>
      </c>
      <c r="N1854" s="345" t="s">
        <v>207</v>
      </c>
      <c r="O1854" s="345" t="s">
        <v>208</v>
      </c>
      <c r="P1854" s="345" t="s">
        <v>209</v>
      </c>
      <c r="Q1854" s="345" t="s">
        <v>210</v>
      </c>
      <c r="R1854" s="345" t="s">
        <v>223</v>
      </c>
      <c r="S1854" s="345" t="s">
        <v>224</v>
      </c>
    </row>
    <row r="1855" spans="1:19" x14ac:dyDescent="0.25">
      <c r="A1855" s="311"/>
      <c r="B1855" s="312"/>
      <c r="C1855" s="312"/>
      <c r="D1855" s="312"/>
      <c r="E1855" s="312"/>
      <c r="F1855" s="312"/>
      <c r="G1855" s="328"/>
      <c r="H1855" s="337"/>
      <c r="I1855" s="334"/>
      <c r="J1855" s="314"/>
      <c r="K1855" s="449"/>
      <c r="M1855" s="349" t="str">
        <f>N1855&amp;AS[[#This Row],[Insurer Code]]&amp;"; "&amp;O1855&amp;AS[[#This Row],[Reporting Year]]&amp;"; "&amp;P1855&amp;AS[[#This Row],[Insurance Category Code]]&amp;"; "&amp;Q1855&amp;AS[[#This Row],[Large Provider Entity Code]]&amp;"; "&amp;R1855&amp;AS[[#This Row],[Age Band Code]]&amp;"; "&amp;S1855&amp;AS[[#This Row],[Sex Code]]</f>
        <v xml:space="preserve">Insurer Code ; Reporting Year ; Insurance Category Code ; Large Provider Entity Code ; Age Band Code ; Sex Code </v>
      </c>
      <c r="N1855" s="345" t="s">
        <v>207</v>
      </c>
      <c r="O1855" s="345" t="s">
        <v>208</v>
      </c>
      <c r="P1855" s="345" t="s">
        <v>209</v>
      </c>
      <c r="Q1855" s="345" t="s">
        <v>210</v>
      </c>
      <c r="R1855" s="345" t="s">
        <v>223</v>
      </c>
      <c r="S1855" s="345" t="s">
        <v>224</v>
      </c>
    </row>
    <row r="1856" spans="1:19" x14ac:dyDescent="0.25">
      <c r="A1856" s="311"/>
      <c r="B1856" s="312"/>
      <c r="C1856" s="312"/>
      <c r="D1856" s="312"/>
      <c r="E1856" s="312"/>
      <c r="F1856" s="312"/>
      <c r="G1856" s="328"/>
      <c r="H1856" s="337"/>
      <c r="I1856" s="334"/>
      <c r="J1856" s="314"/>
      <c r="K1856" s="449"/>
      <c r="M1856" s="349" t="str">
        <f>N1856&amp;AS[[#This Row],[Insurer Code]]&amp;"; "&amp;O1856&amp;AS[[#This Row],[Reporting Year]]&amp;"; "&amp;P1856&amp;AS[[#This Row],[Insurance Category Code]]&amp;"; "&amp;Q1856&amp;AS[[#This Row],[Large Provider Entity Code]]&amp;"; "&amp;R1856&amp;AS[[#This Row],[Age Band Code]]&amp;"; "&amp;S1856&amp;AS[[#This Row],[Sex Code]]</f>
        <v xml:space="preserve">Insurer Code ; Reporting Year ; Insurance Category Code ; Large Provider Entity Code ; Age Band Code ; Sex Code </v>
      </c>
      <c r="N1856" s="345" t="s">
        <v>207</v>
      </c>
      <c r="O1856" s="345" t="s">
        <v>208</v>
      </c>
      <c r="P1856" s="345" t="s">
        <v>209</v>
      </c>
      <c r="Q1856" s="345" t="s">
        <v>210</v>
      </c>
      <c r="R1856" s="345" t="s">
        <v>223</v>
      </c>
      <c r="S1856" s="345" t="s">
        <v>224</v>
      </c>
    </row>
    <row r="1857" spans="1:19" x14ac:dyDescent="0.25">
      <c r="A1857" s="311"/>
      <c r="B1857" s="312"/>
      <c r="C1857" s="312"/>
      <c r="D1857" s="312"/>
      <c r="E1857" s="312"/>
      <c r="F1857" s="312"/>
      <c r="G1857" s="328"/>
      <c r="H1857" s="337"/>
      <c r="I1857" s="334"/>
      <c r="J1857" s="314"/>
      <c r="K1857" s="449"/>
      <c r="M1857" s="349" t="str">
        <f>N1857&amp;AS[[#This Row],[Insurer Code]]&amp;"; "&amp;O1857&amp;AS[[#This Row],[Reporting Year]]&amp;"; "&amp;P1857&amp;AS[[#This Row],[Insurance Category Code]]&amp;"; "&amp;Q1857&amp;AS[[#This Row],[Large Provider Entity Code]]&amp;"; "&amp;R1857&amp;AS[[#This Row],[Age Band Code]]&amp;"; "&amp;S1857&amp;AS[[#This Row],[Sex Code]]</f>
        <v xml:space="preserve">Insurer Code ; Reporting Year ; Insurance Category Code ; Large Provider Entity Code ; Age Band Code ; Sex Code </v>
      </c>
      <c r="N1857" s="345" t="s">
        <v>207</v>
      </c>
      <c r="O1857" s="345" t="s">
        <v>208</v>
      </c>
      <c r="P1857" s="345" t="s">
        <v>209</v>
      </c>
      <c r="Q1857" s="345" t="s">
        <v>210</v>
      </c>
      <c r="R1857" s="345" t="s">
        <v>223</v>
      </c>
      <c r="S1857" s="345" t="s">
        <v>224</v>
      </c>
    </row>
    <row r="1858" spans="1:19" x14ac:dyDescent="0.25">
      <c r="A1858" s="311"/>
      <c r="B1858" s="312"/>
      <c r="C1858" s="312"/>
      <c r="D1858" s="312"/>
      <c r="E1858" s="312"/>
      <c r="F1858" s="312"/>
      <c r="G1858" s="328"/>
      <c r="H1858" s="337"/>
      <c r="I1858" s="334"/>
      <c r="J1858" s="314"/>
      <c r="K1858" s="449"/>
      <c r="M1858" s="349" t="str">
        <f>N1858&amp;AS[[#This Row],[Insurer Code]]&amp;"; "&amp;O1858&amp;AS[[#This Row],[Reporting Year]]&amp;"; "&amp;P1858&amp;AS[[#This Row],[Insurance Category Code]]&amp;"; "&amp;Q1858&amp;AS[[#This Row],[Large Provider Entity Code]]&amp;"; "&amp;R1858&amp;AS[[#This Row],[Age Band Code]]&amp;"; "&amp;S1858&amp;AS[[#This Row],[Sex Code]]</f>
        <v xml:space="preserve">Insurer Code ; Reporting Year ; Insurance Category Code ; Large Provider Entity Code ; Age Band Code ; Sex Code </v>
      </c>
      <c r="N1858" s="345" t="s">
        <v>207</v>
      </c>
      <c r="O1858" s="345" t="s">
        <v>208</v>
      </c>
      <c r="P1858" s="345" t="s">
        <v>209</v>
      </c>
      <c r="Q1858" s="345" t="s">
        <v>210</v>
      </c>
      <c r="R1858" s="345" t="s">
        <v>223</v>
      </c>
      <c r="S1858" s="345" t="s">
        <v>224</v>
      </c>
    </row>
    <row r="1859" spans="1:19" x14ac:dyDescent="0.25">
      <c r="A1859" s="311"/>
      <c r="B1859" s="312"/>
      <c r="C1859" s="312"/>
      <c r="D1859" s="312"/>
      <c r="E1859" s="312"/>
      <c r="F1859" s="312"/>
      <c r="G1859" s="328"/>
      <c r="H1859" s="337"/>
      <c r="I1859" s="334"/>
      <c r="J1859" s="314"/>
      <c r="K1859" s="449"/>
      <c r="M1859" s="349" t="str">
        <f>N1859&amp;AS[[#This Row],[Insurer Code]]&amp;"; "&amp;O1859&amp;AS[[#This Row],[Reporting Year]]&amp;"; "&amp;P1859&amp;AS[[#This Row],[Insurance Category Code]]&amp;"; "&amp;Q1859&amp;AS[[#This Row],[Large Provider Entity Code]]&amp;"; "&amp;R1859&amp;AS[[#This Row],[Age Band Code]]&amp;"; "&amp;S1859&amp;AS[[#This Row],[Sex Code]]</f>
        <v xml:space="preserve">Insurer Code ; Reporting Year ; Insurance Category Code ; Large Provider Entity Code ; Age Band Code ; Sex Code </v>
      </c>
      <c r="N1859" s="345" t="s">
        <v>207</v>
      </c>
      <c r="O1859" s="345" t="s">
        <v>208</v>
      </c>
      <c r="P1859" s="345" t="s">
        <v>209</v>
      </c>
      <c r="Q1859" s="345" t="s">
        <v>210</v>
      </c>
      <c r="R1859" s="345" t="s">
        <v>223</v>
      </c>
      <c r="S1859" s="345" t="s">
        <v>224</v>
      </c>
    </row>
    <row r="1860" spans="1:19" x14ac:dyDescent="0.25">
      <c r="A1860" s="311"/>
      <c r="B1860" s="312"/>
      <c r="C1860" s="312"/>
      <c r="D1860" s="312"/>
      <c r="E1860" s="312"/>
      <c r="F1860" s="312"/>
      <c r="G1860" s="328"/>
      <c r="H1860" s="337"/>
      <c r="I1860" s="334"/>
      <c r="J1860" s="314"/>
      <c r="K1860" s="449"/>
      <c r="M1860" s="349" t="str">
        <f>N1860&amp;AS[[#This Row],[Insurer Code]]&amp;"; "&amp;O1860&amp;AS[[#This Row],[Reporting Year]]&amp;"; "&amp;P1860&amp;AS[[#This Row],[Insurance Category Code]]&amp;"; "&amp;Q1860&amp;AS[[#This Row],[Large Provider Entity Code]]&amp;"; "&amp;R1860&amp;AS[[#This Row],[Age Band Code]]&amp;"; "&amp;S1860&amp;AS[[#This Row],[Sex Code]]</f>
        <v xml:space="preserve">Insurer Code ; Reporting Year ; Insurance Category Code ; Large Provider Entity Code ; Age Band Code ; Sex Code </v>
      </c>
      <c r="N1860" s="345" t="s">
        <v>207</v>
      </c>
      <c r="O1860" s="345" t="s">
        <v>208</v>
      </c>
      <c r="P1860" s="345" t="s">
        <v>209</v>
      </c>
      <c r="Q1860" s="345" t="s">
        <v>210</v>
      </c>
      <c r="R1860" s="345" t="s">
        <v>223</v>
      </c>
      <c r="S1860" s="345" t="s">
        <v>224</v>
      </c>
    </row>
    <row r="1861" spans="1:19" x14ac:dyDescent="0.25">
      <c r="A1861" s="311"/>
      <c r="B1861" s="312"/>
      <c r="C1861" s="312"/>
      <c r="D1861" s="312"/>
      <c r="E1861" s="312"/>
      <c r="F1861" s="312"/>
      <c r="G1861" s="328"/>
      <c r="H1861" s="337"/>
      <c r="I1861" s="334"/>
      <c r="J1861" s="314"/>
      <c r="K1861" s="449"/>
      <c r="M1861" s="349" t="str">
        <f>N1861&amp;AS[[#This Row],[Insurer Code]]&amp;"; "&amp;O1861&amp;AS[[#This Row],[Reporting Year]]&amp;"; "&amp;P1861&amp;AS[[#This Row],[Insurance Category Code]]&amp;"; "&amp;Q1861&amp;AS[[#This Row],[Large Provider Entity Code]]&amp;"; "&amp;R1861&amp;AS[[#This Row],[Age Band Code]]&amp;"; "&amp;S1861&amp;AS[[#This Row],[Sex Code]]</f>
        <v xml:space="preserve">Insurer Code ; Reporting Year ; Insurance Category Code ; Large Provider Entity Code ; Age Band Code ; Sex Code </v>
      </c>
      <c r="N1861" s="345" t="s">
        <v>207</v>
      </c>
      <c r="O1861" s="345" t="s">
        <v>208</v>
      </c>
      <c r="P1861" s="345" t="s">
        <v>209</v>
      </c>
      <c r="Q1861" s="345" t="s">
        <v>210</v>
      </c>
      <c r="R1861" s="345" t="s">
        <v>223</v>
      </c>
      <c r="S1861" s="345" t="s">
        <v>224</v>
      </c>
    </row>
    <row r="1862" spans="1:19" x14ac:dyDescent="0.25">
      <c r="A1862" s="311"/>
      <c r="B1862" s="312"/>
      <c r="C1862" s="312"/>
      <c r="D1862" s="312"/>
      <c r="E1862" s="312"/>
      <c r="F1862" s="312"/>
      <c r="G1862" s="328"/>
      <c r="H1862" s="337"/>
      <c r="I1862" s="334"/>
      <c r="J1862" s="314"/>
      <c r="K1862" s="449"/>
      <c r="M1862" s="349" t="str">
        <f>N1862&amp;AS[[#This Row],[Insurer Code]]&amp;"; "&amp;O1862&amp;AS[[#This Row],[Reporting Year]]&amp;"; "&amp;P1862&amp;AS[[#This Row],[Insurance Category Code]]&amp;"; "&amp;Q1862&amp;AS[[#This Row],[Large Provider Entity Code]]&amp;"; "&amp;R1862&amp;AS[[#This Row],[Age Band Code]]&amp;"; "&amp;S1862&amp;AS[[#This Row],[Sex Code]]</f>
        <v xml:space="preserve">Insurer Code ; Reporting Year ; Insurance Category Code ; Large Provider Entity Code ; Age Band Code ; Sex Code </v>
      </c>
      <c r="N1862" s="345" t="s">
        <v>207</v>
      </c>
      <c r="O1862" s="345" t="s">
        <v>208</v>
      </c>
      <c r="P1862" s="345" t="s">
        <v>209</v>
      </c>
      <c r="Q1862" s="345" t="s">
        <v>210</v>
      </c>
      <c r="R1862" s="345" t="s">
        <v>223</v>
      </c>
      <c r="S1862" s="345" t="s">
        <v>224</v>
      </c>
    </row>
    <row r="1863" spans="1:19" x14ac:dyDescent="0.25">
      <c r="A1863" s="311"/>
      <c r="B1863" s="312"/>
      <c r="C1863" s="312"/>
      <c r="D1863" s="312"/>
      <c r="E1863" s="312"/>
      <c r="F1863" s="312"/>
      <c r="G1863" s="328"/>
      <c r="H1863" s="337"/>
      <c r="I1863" s="334"/>
      <c r="J1863" s="314"/>
      <c r="K1863" s="449"/>
      <c r="M1863" s="349" t="str">
        <f>N1863&amp;AS[[#This Row],[Insurer Code]]&amp;"; "&amp;O1863&amp;AS[[#This Row],[Reporting Year]]&amp;"; "&amp;P1863&amp;AS[[#This Row],[Insurance Category Code]]&amp;"; "&amp;Q1863&amp;AS[[#This Row],[Large Provider Entity Code]]&amp;"; "&amp;R1863&amp;AS[[#This Row],[Age Band Code]]&amp;"; "&amp;S1863&amp;AS[[#This Row],[Sex Code]]</f>
        <v xml:space="preserve">Insurer Code ; Reporting Year ; Insurance Category Code ; Large Provider Entity Code ; Age Band Code ; Sex Code </v>
      </c>
      <c r="N1863" s="345" t="s">
        <v>207</v>
      </c>
      <c r="O1863" s="345" t="s">
        <v>208</v>
      </c>
      <c r="P1863" s="345" t="s">
        <v>209</v>
      </c>
      <c r="Q1863" s="345" t="s">
        <v>210</v>
      </c>
      <c r="R1863" s="345" t="s">
        <v>223</v>
      </c>
      <c r="S1863" s="345" t="s">
        <v>224</v>
      </c>
    </row>
    <row r="1864" spans="1:19" x14ac:dyDescent="0.25">
      <c r="A1864" s="311"/>
      <c r="B1864" s="312"/>
      <c r="C1864" s="312"/>
      <c r="D1864" s="312"/>
      <c r="E1864" s="312"/>
      <c r="F1864" s="312"/>
      <c r="G1864" s="328"/>
      <c r="H1864" s="337"/>
      <c r="I1864" s="334"/>
      <c r="J1864" s="314"/>
      <c r="K1864" s="449"/>
      <c r="M1864" s="349" t="str">
        <f>N1864&amp;AS[[#This Row],[Insurer Code]]&amp;"; "&amp;O1864&amp;AS[[#This Row],[Reporting Year]]&amp;"; "&amp;P1864&amp;AS[[#This Row],[Insurance Category Code]]&amp;"; "&amp;Q1864&amp;AS[[#This Row],[Large Provider Entity Code]]&amp;"; "&amp;R1864&amp;AS[[#This Row],[Age Band Code]]&amp;"; "&amp;S1864&amp;AS[[#This Row],[Sex Code]]</f>
        <v xml:space="preserve">Insurer Code ; Reporting Year ; Insurance Category Code ; Large Provider Entity Code ; Age Band Code ; Sex Code </v>
      </c>
      <c r="N1864" s="345" t="s">
        <v>207</v>
      </c>
      <c r="O1864" s="345" t="s">
        <v>208</v>
      </c>
      <c r="P1864" s="345" t="s">
        <v>209</v>
      </c>
      <c r="Q1864" s="345" t="s">
        <v>210</v>
      </c>
      <c r="R1864" s="345" t="s">
        <v>223</v>
      </c>
      <c r="S1864" s="345" t="s">
        <v>224</v>
      </c>
    </row>
    <row r="1865" spans="1:19" x14ac:dyDescent="0.25">
      <c r="A1865" s="311"/>
      <c r="B1865" s="312"/>
      <c r="C1865" s="312"/>
      <c r="D1865" s="312"/>
      <c r="E1865" s="312"/>
      <c r="F1865" s="312"/>
      <c r="G1865" s="328"/>
      <c r="H1865" s="337"/>
      <c r="I1865" s="334"/>
      <c r="J1865" s="314"/>
      <c r="K1865" s="449"/>
      <c r="M1865" s="349" t="str">
        <f>N1865&amp;AS[[#This Row],[Insurer Code]]&amp;"; "&amp;O1865&amp;AS[[#This Row],[Reporting Year]]&amp;"; "&amp;P1865&amp;AS[[#This Row],[Insurance Category Code]]&amp;"; "&amp;Q1865&amp;AS[[#This Row],[Large Provider Entity Code]]&amp;"; "&amp;R1865&amp;AS[[#This Row],[Age Band Code]]&amp;"; "&amp;S1865&amp;AS[[#This Row],[Sex Code]]</f>
        <v xml:space="preserve">Insurer Code ; Reporting Year ; Insurance Category Code ; Large Provider Entity Code ; Age Band Code ; Sex Code </v>
      </c>
      <c r="N1865" s="345" t="s">
        <v>207</v>
      </c>
      <c r="O1865" s="345" t="s">
        <v>208</v>
      </c>
      <c r="P1865" s="345" t="s">
        <v>209</v>
      </c>
      <c r="Q1865" s="345" t="s">
        <v>210</v>
      </c>
      <c r="R1865" s="345" t="s">
        <v>223</v>
      </c>
      <c r="S1865" s="345" t="s">
        <v>224</v>
      </c>
    </row>
    <row r="1866" spans="1:19" x14ac:dyDescent="0.25">
      <c r="A1866" s="311"/>
      <c r="B1866" s="312"/>
      <c r="C1866" s="312"/>
      <c r="D1866" s="312"/>
      <c r="E1866" s="312"/>
      <c r="F1866" s="312"/>
      <c r="G1866" s="328"/>
      <c r="H1866" s="337"/>
      <c r="I1866" s="334"/>
      <c r="J1866" s="314"/>
      <c r="K1866" s="449"/>
      <c r="M1866" s="349" t="str">
        <f>N1866&amp;AS[[#This Row],[Insurer Code]]&amp;"; "&amp;O1866&amp;AS[[#This Row],[Reporting Year]]&amp;"; "&amp;P1866&amp;AS[[#This Row],[Insurance Category Code]]&amp;"; "&amp;Q1866&amp;AS[[#This Row],[Large Provider Entity Code]]&amp;"; "&amp;R1866&amp;AS[[#This Row],[Age Band Code]]&amp;"; "&amp;S1866&amp;AS[[#This Row],[Sex Code]]</f>
        <v xml:space="preserve">Insurer Code ; Reporting Year ; Insurance Category Code ; Large Provider Entity Code ; Age Band Code ; Sex Code </v>
      </c>
      <c r="N1866" s="345" t="s">
        <v>207</v>
      </c>
      <c r="O1866" s="345" t="s">
        <v>208</v>
      </c>
      <c r="P1866" s="345" t="s">
        <v>209</v>
      </c>
      <c r="Q1866" s="345" t="s">
        <v>210</v>
      </c>
      <c r="R1866" s="345" t="s">
        <v>223</v>
      </c>
      <c r="S1866" s="345" t="s">
        <v>224</v>
      </c>
    </row>
    <row r="1867" spans="1:19" x14ac:dyDescent="0.25">
      <c r="A1867" s="311"/>
      <c r="B1867" s="312"/>
      <c r="C1867" s="312"/>
      <c r="D1867" s="312"/>
      <c r="E1867" s="312"/>
      <c r="F1867" s="312"/>
      <c r="G1867" s="328"/>
      <c r="H1867" s="337"/>
      <c r="I1867" s="334"/>
      <c r="J1867" s="314"/>
      <c r="K1867" s="449"/>
      <c r="M1867" s="349" t="str">
        <f>N1867&amp;AS[[#This Row],[Insurer Code]]&amp;"; "&amp;O1867&amp;AS[[#This Row],[Reporting Year]]&amp;"; "&amp;P1867&amp;AS[[#This Row],[Insurance Category Code]]&amp;"; "&amp;Q1867&amp;AS[[#This Row],[Large Provider Entity Code]]&amp;"; "&amp;R1867&amp;AS[[#This Row],[Age Band Code]]&amp;"; "&amp;S1867&amp;AS[[#This Row],[Sex Code]]</f>
        <v xml:space="preserve">Insurer Code ; Reporting Year ; Insurance Category Code ; Large Provider Entity Code ; Age Band Code ; Sex Code </v>
      </c>
      <c r="N1867" s="345" t="s">
        <v>207</v>
      </c>
      <c r="O1867" s="345" t="s">
        <v>208</v>
      </c>
      <c r="P1867" s="345" t="s">
        <v>209</v>
      </c>
      <c r="Q1867" s="345" t="s">
        <v>210</v>
      </c>
      <c r="R1867" s="345" t="s">
        <v>223</v>
      </c>
      <c r="S1867" s="345" t="s">
        <v>224</v>
      </c>
    </row>
    <row r="1868" spans="1:19" x14ac:dyDescent="0.25">
      <c r="A1868" s="311"/>
      <c r="B1868" s="312"/>
      <c r="C1868" s="312"/>
      <c r="D1868" s="312"/>
      <c r="E1868" s="312"/>
      <c r="F1868" s="312"/>
      <c r="G1868" s="328"/>
      <c r="H1868" s="337"/>
      <c r="I1868" s="334"/>
      <c r="J1868" s="314"/>
      <c r="K1868" s="449"/>
      <c r="M1868" s="349" t="str">
        <f>N1868&amp;AS[[#This Row],[Insurer Code]]&amp;"; "&amp;O1868&amp;AS[[#This Row],[Reporting Year]]&amp;"; "&amp;P1868&amp;AS[[#This Row],[Insurance Category Code]]&amp;"; "&amp;Q1868&amp;AS[[#This Row],[Large Provider Entity Code]]&amp;"; "&amp;R1868&amp;AS[[#This Row],[Age Band Code]]&amp;"; "&amp;S1868&amp;AS[[#This Row],[Sex Code]]</f>
        <v xml:space="preserve">Insurer Code ; Reporting Year ; Insurance Category Code ; Large Provider Entity Code ; Age Band Code ; Sex Code </v>
      </c>
      <c r="N1868" s="345" t="s">
        <v>207</v>
      </c>
      <c r="O1868" s="345" t="s">
        <v>208</v>
      </c>
      <c r="P1868" s="345" t="s">
        <v>209</v>
      </c>
      <c r="Q1868" s="345" t="s">
        <v>210</v>
      </c>
      <c r="R1868" s="345" t="s">
        <v>223</v>
      </c>
      <c r="S1868" s="345" t="s">
        <v>224</v>
      </c>
    </row>
    <row r="1869" spans="1:19" x14ac:dyDescent="0.25">
      <c r="A1869" s="311"/>
      <c r="B1869" s="312"/>
      <c r="C1869" s="312"/>
      <c r="D1869" s="312"/>
      <c r="E1869" s="312"/>
      <c r="F1869" s="312"/>
      <c r="G1869" s="328"/>
      <c r="H1869" s="337"/>
      <c r="I1869" s="334"/>
      <c r="J1869" s="314"/>
      <c r="K1869" s="449"/>
      <c r="M1869" s="349" t="str">
        <f>N1869&amp;AS[[#This Row],[Insurer Code]]&amp;"; "&amp;O1869&amp;AS[[#This Row],[Reporting Year]]&amp;"; "&amp;P1869&amp;AS[[#This Row],[Insurance Category Code]]&amp;"; "&amp;Q1869&amp;AS[[#This Row],[Large Provider Entity Code]]&amp;"; "&amp;R1869&amp;AS[[#This Row],[Age Band Code]]&amp;"; "&amp;S1869&amp;AS[[#This Row],[Sex Code]]</f>
        <v xml:space="preserve">Insurer Code ; Reporting Year ; Insurance Category Code ; Large Provider Entity Code ; Age Band Code ; Sex Code </v>
      </c>
      <c r="N1869" s="345" t="s">
        <v>207</v>
      </c>
      <c r="O1869" s="345" t="s">
        <v>208</v>
      </c>
      <c r="P1869" s="345" t="s">
        <v>209</v>
      </c>
      <c r="Q1869" s="345" t="s">
        <v>210</v>
      </c>
      <c r="R1869" s="345" t="s">
        <v>223</v>
      </c>
      <c r="S1869" s="345" t="s">
        <v>224</v>
      </c>
    </row>
    <row r="1870" spans="1:19" x14ac:dyDescent="0.25">
      <c r="A1870" s="311"/>
      <c r="B1870" s="312"/>
      <c r="C1870" s="312"/>
      <c r="D1870" s="312"/>
      <c r="E1870" s="312"/>
      <c r="F1870" s="312"/>
      <c r="G1870" s="328"/>
      <c r="H1870" s="337"/>
      <c r="I1870" s="334"/>
      <c r="J1870" s="314"/>
      <c r="K1870" s="449"/>
      <c r="M1870" s="349" t="str">
        <f>N1870&amp;AS[[#This Row],[Insurer Code]]&amp;"; "&amp;O1870&amp;AS[[#This Row],[Reporting Year]]&amp;"; "&amp;P1870&amp;AS[[#This Row],[Insurance Category Code]]&amp;"; "&amp;Q1870&amp;AS[[#This Row],[Large Provider Entity Code]]&amp;"; "&amp;R1870&amp;AS[[#This Row],[Age Band Code]]&amp;"; "&amp;S1870&amp;AS[[#This Row],[Sex Code]]</f>
        <v xml:space="preserve">Insurer Code ; Reporting Year ; Insurance Category Code ; Large Provider Entity Code ; Age Band Code ; Sex Code </v>
      </c>
      <c r="N1870" s="345" t="s">
        <v>207</v>
      </c>
      <c r="O1870" s="345" t="s">
        <v>208</v>
      </c>
      <c r="P1870" s="345" t="s">
        <v>209</v>
      </c>
      <c r="Q1870" s="345" t="s">
        <v>210</v>
      </c>
      <c r="R1870" s="345" t="s">
        <v>223</v>
      </c>
      <c r="S1870" s="345" t="s">
        <v>224</v>
      </c>
    </row>
    <row r="1871" spans="1:19" x14ac:dyDescent="0.25">
      <c r="A1871" s="311"/>
      <c r="B1871" s="312"/>
      <c r="C1871" s="312"/>
      <c r="D1871" s="312"/>
      <c r="E1871" s="312"/>
      <c r="F1871" s="312"/>
      <c r="G1871" s="328"/>
      <c r="H1871" s="337"/>
      <c r="I1871" s="334"/>
      <c r="J1871" s="314"/>
      <c r="K1871" s="449"/>
      <c r="M1871" s="349" t="str">
        <f>N1871&amp;AS[[#This Row],[Insurer Code]]&amp;"; "&amp;O1871&amp;AS[[#This Row],[Reporting Year]]&amp;"; "&amp;P1871&amp;AS[[#This Row],[Insurance Category Code]]&amp;"; "&amp;Q1871&amp;AS[[#This Row],[Large Provider Entity Code]]&amp;"; "&amp;R1871&amp;AS[[#This Row],[Age Band Code]]&amp;"; "&amp;S1871&amp;AS[[#This Row],[Sex Code]]</f>
        <v xml:space="preserve">Insurer Code ; Reporting Year ; Insurance Category Code ; Large Provider Entity Code ; Age Band Code ; Sex Code </v>
      </c>
      <c r="N1871" s="345" t="s">
        <v>207</v>
      </c>
      <c r="O1871" s="345" t="s">
        <v>208</v>
      </c>
      <c r="P1871" s="345" t="s">
        <v>209</v>
      </c>
      <c r="Q1871" s="345" t="s">
        <v>210</v>
      </c>
      <c r="R1871" s="345" t="s">
        <v>223</v>
      </c>
      <c r="S1871" s="345" t="s">
        <v>224</v>
      </c>
    </row>
    <row r="1872" spans="1:19" x14ac:dyDescent="0.25">
      <c r="A1872" s="311"/>
      <c r="B1872" s="312"/>
      <c r="C1872" s="312"/>
      <c r="D1872" s="312"/>
      <c r="E1872" s="312"/>
      <c r="F1872" s="312"/>
      <c r="G1872" s="328"/>
      <c r="H1872" s="337"/>
      <c r="I1872" s="334"/>
      <c r="J1872" s="314"/>
      <c r="K1872" s="449"/>
      <c r="M1872" s="349" t="str">
        <f>N1872&amp;AS[[#This Row],[Insurer Code]]&amp;"; "&amp;O1872&amp;AS[[#This Row],[Reporting Year]]&amp;"; "&amp;P1872&amp;AS[[#This Row],[Insurance Category Code]]&amp;"; "&amp;Q1872&amp;AS[[#This Row],[Large Provider Entity Code]]&amp;"; "&amp;R1872&amp;AS[[#This Row],[Age Band Code]]&amp;"; "&amp;S1872&amp;AS[[#This Row],[Sex Code]]</f>
        <v xml:space="preserve">Insurer Code ; Reporting Year ; Insurance Category Code ; Large Provider Entity Code ; Age Band Code ; Sex Code </v>
      </c>
      <c r="N1872" s="345" t="s">
        <v>207</v>
      </c>
      <c r="O1872" s="345" t="s">
        <v>208</v>
      </c>
      <c r="P1872" s="345" t="s">
        <v>209</v>
      </c>
      <c r="Q1872" s="345" t="s">
        <v>210</v>
      </c>
      <c r="R1872" s="345" t="s">
        <v>223</v>
      </c>
      <c r="S1872" s="345" t="s">
        <v>224</v>
      </c>
    </row>
    <row r="1873" spans="1:19" x14ac:dyDescent="0.25">
      <c r="A1873" s="311"/>
      <c r="B1873" s="312"/>
      <c r="C1873" s="312"/>
      <c r="D1873" s="312"/>
      <c r="E1873" s="312"/>
      <c r="F1873" s="312"/>
      <c r="G1873" s="328"/>
      <c r="H1873" s="337"/>
      <c r="I1873" s="334"/>
      <c r="J1873" s="314"/>
      <c r="K1873" s="449"/>
      <c r="M1873" s="349" t="str">
        <f>N1873&amp;AS[[#This Row],[Insurer Code]]&amp;"; "&amp;O1873&amp;AS[[#This Row],[Reporting Year]]&amp;"; "&amp;P1873&amp;AS[[#This Row],[Insurance Category Code]]&amp;"; "&amp;Q1873&amp;AS[[#This Row],[Large Provider Entity Code]]&amp;"; "&amp;R1873&amp;AS[[#This Row],[Age Band Code]]&amp;"; "&amp;S1873&amp;AS[[#This Row],[Sex Code]]</f>
        <v xml:space="preserve">Insurer Code ; Reporting Year ; Insurance Category Code ; Large Provider Entity Code ; Age Band Code ; Sex Code </v>
      </c>
      <c r="N1873" s="345" t="s">
        <v>207</v>
      </c>
      <c r="O1873" s="345" t="s">
        <v>208</v>
      </c>
      <c r="P1873" s="345" t="s">
        <v>209</v>
      </c>
      <c r="Q1873" s="345" t="s">
        <v>210</v>
      </c>
      <c r="R1873" s="345" t="s">
        <v>223</v>
      </c>
      <c r="S1873" s="345" t="s">
        <v>224</v>
      </c>
    </row>
    <row r="1874" spans="1:19" x14ac:dyDescent="0.25">
      <c r="A1874" s="311"/>
      <c r="B1874" s="312"/>
      <c r="C1874" s="312"/>
      <c r="D1874" s="312"/>
      <c r="E1874" s="312"/>
      <c r="F1874" s="312"/>
      <c r="G1874" s="328"/>
      <c r="H1874" s="337"/>
      <c r="I1874" s="334"/>
      <c r="J1874" s="314"/>
      <c r="K1874" s="449"/>
      <c r="M1874" s="349" t="str">
        <f>N1874&amp;AS[[#This Row],[Insurer Code]]&amp;"; "&amp;O1874&amp;AS[[#This Row],[Reporting Year]]&amp;"; "&amp;P1874&amp;AS[[#This Row],[Insurance Category Code]]&amp;"; "&amp;Q1874&amp;AS[[#This Row],[Large Provider Entity Code]]&amp;"; "&amp;R1874&amp;AS[[#This Row],[Age Band Code]]&amp;"; "&amp;S1874&amp;AS[[#This Row],[Sex Code]]</f>
        <v xml:space="preserve">Insurer Code ; Reporting Year ; Insurance Category Code ; Large Provider Entity Code ; Age Band Code ; Sex Code </v>
      </c>
      <c r="N1874" s="345" t="s">
        <v>207</v>
      </c>
      <c r="O1874" s="345" t="s">
        <v>208</v>
      </c>
      <c r="P1874" s="345" t="s">
        <v>209</v>
      </c>
      <c r="Q1874" s="345" t="s">
        <v>210</v>
      </c>
      <c r="R1874" s="345" t="s">
        <v>223</v>
      </c>
      <c r="S1874" s="345" t="s">
        <v>224</v>
      </c>
    </row>
    <row r="1875" spans="1:19" x14ac:dyDescent="0.25">
      <c r="A1875" s="311"/>
      <c r="B1875" s="312"/>
      <c r="C1875" s="312"/>
      <c r="D1875" s="312"/>
      <c r="E1875" s="312"/>
      <c r="F1875" s="312"/>
      <c r="G1875" s="328"/>
      <c r="H1875" s="337"/>
      <c r="I1875" s="334"/>
      <c r="J1875" s="314"/>
      <c r="K1875" s="449"/>
      <c r="M1875" s="349" t="str">
        <f>N1875&amp;AS[[#This Row],[Insurer Code]]&amp;"; "&amp;O1875&amp;AS[[#This Row],[Reporting Year]]&amp;"; "&amp;P1875&amp;AS[[#This Row],[Insurance Category Code]]&amp;"; "&amp;Q1875&amp;AS[[#This Row],[Large Provider Entity Code]]&amp;"; "&amp;R1875&amp;AS[[#This Row],[Age Band Code]]&amp;"; "&amp;S1875&amp;AS[[#This Row],[Sex Code]]</f>
        <v xml:space="preserve">Insurer Code ; Reporting Year ; Insurance Category Code ; Large Provider Entity Code ; Age Band Code ; Sex Code </v>
      </c>
      <c r="N1875" s="345" t="s">
        <v>207</v>
      </c>
      <c r="O1875" s="345" t="s">
        <v>208</v>
      </c>
      <c r="P1875" s="345" t="s">
        <v>209</v>
      </c>
      <c r="Q1875" s="345" t="s">
        <v>210</v>
      </c>
      <c r="R1875" s="345" t="s">
        <v>223</v>
      </c>
      <c r="S1875" s="345" t="s">
        <v>224</v>
      </c>
    </row>
    <row r="1876" spans="1:19" x14ac:dyDescent="0.25">
      <c r="A1876" s="311"/>
      <c r="B1876" s="312"/>
      <c r="C1876" s="312"/>
      <c r="D1876" s="312"/>
      <c r="E1876" s="312"/>
      <c r="F1876" s="312"/>
      <c r="G1876" s="328"/>
      <c r="H1876" s="337"/>
      <c r="I1876" s="334"/>
      <c r="J1876" s="314"/>
      <c r="K1876" s="449"/>
      <c r="M1876" s="349" t="str">
        <f>N1876&amp;AS[[#This Row],[Insurer Code]]&amp;"; "&amp;O1876&amp;AS[[#This Row],[Reporting Year]]&amp;"; "&amp;P1876&amp;AS[[#This Row],[Insurance Category Code]]&amp;"; "&amp;Q1876&amp;AS[[#This Row],[Large Provider Entity Code]]&amp;"; "&amp;R1876&amp;AS[[#This Row],[Age Band Code]]&amp;"; "&amp;S1876&amp;AS[[#This Row],[Sex Code]]</f>
        <v xml:space="preserve">Insurer Code ; Reporting Year ; Insurance Category Code ; Large Provider Entity Code ; Age Band Code ; Sex Code </v>
      </c>
      <c r="N1876" s="345" t="s">
        <v>207</v>
      </c>
      <c r="O1876" s="345" t="s">
        <v>208</v>
      </c>
      <c r="P1876" s="345" t="s">
        <v>209</v>
      </c>
      <c r="Q1876" s="345" t="s">
        <v>210</v>
      </c>
      <c r="R1876" s="345" t="s">
        <v>223</v>
      </c>
      <c r="S1876" s="345" t="s">
        <v>224</v>
      </c>
    </row>
    <row r="1877" spans="1:19" x14ac:dyDescent="0.25">
      <c r="A1877" s="311"/>
      <c r="B1877" s="312"/>
      <c r="C1877" s="312"/>
      <c r="D1877" s="312"/>
      <c r="E1877" s="312"/>
      <c r="F1877" s="312"/>
      <c r="G1877" s="328"/>
      <c r="H1877" s="337"/>
      <c r="I1877" s="334"/>
      <c r="J1877" s="314"/>
      <c r="K1877" s="449"/>
      <c r="M1877" s="349" t="str">
        <f>N1877&amp;AS[[#This Row],[Insurer Code]]&amp;"; "&amp;O1877&amp;AS[[#This Row],[Reporting Year]]&amp;"; "&amp;P1877&amp;AS[[#This Row],[Insurance Category Code]]&amp;"; "&amp;Q1877&amp;AS[[#This Row],[Large Provider Entity Code]]&amp;"; "&amp;R1877&amp;AS[[#This Row],[Age Band Code]]&amp;"; "&amp;S1877&amp;AS[[#This Row],[Sex Code]]</f>
        <v xml:space="preserve">Insurer Code ; Reporting Year ; Insurance Category Code ; Large Provider Entity Code ; Age Band Code ; Sex Code </v>
      </c>
      <c r="N1877" s="345" t="s">
        <v>207</v>
      </c>
      <c r="O1877" s="345" t="s">
        <v>208</v>
      </c>
      <c r="P1877" s="345" t="s">
        <v>209</v>
      </c>
      <c r="Q1877" s="345" t="s">
        <v>210</v>
      </c>
      <c r="R1877" s="345" t="s">
        <v>223</v>
      </c>
      <c r="S1877" s="345" t="s">
        <v>224</v>
      </c>
    </row>
    <row r="1878" spans="1:19" x14ac:dyDescent="0.25">
      <c r="A1878" s="311"/>
      <c r="B1878" s="312"/>
      <c r="C1878" s="312"/>
      <c r="D1878" s="312"/>
      <c r="E1878" s="312"/>
      <c r="F1878" s="312"/>
      <c r="G1878" s="328"/>
      <c r="H1878" s="337"/>
      <c r="I1878" s="334"/>
      <c r="J1878" s="314"/>
      <c r="K1878" s="449"/>
      <c r="M1878" s="349" t="str">
        <f>N1878&amp;AS[[#This Row],[Insurer Code]]&amp;"; "&amp;O1878&amp;AS[[#This Row],[Reporting Year]]&amp;"; "&amp;P1878&amp;AS[[#This Row],[Insurance Category Code]]&amp;"; "&amp;Q1878&amp;AS[[#This Row],[Large Provider Entity Code]]&amp;"; "&amp;R1878&amp;AS[[#This Row],[Age Band Code]]&amp;"; "&amp;S1878&amp;AS[[#This Row],[Sex Code]]</f>
        <v xml:space="preserve">Insurer Code ; Reporting Year ; Insurance Category Code ; Large Provider Entity Code ; Age Band Code ; Sex Code </v>
      </c>
      <c r="N1878" s="345" t="s">
        <v>207</v>
      </c>
      <c r="O1878" s="345" t="s">
        <v>208</v>
      </c>
      <c r="P1878" s="345" t="s">
        <v>209</v>
      </c>
      <c r="Q1878" s="345" t="s">
        <v>210</v>
      </c>
      <c r="R1878" s="345" t="s">
        <v>223</v>
      </c>
      <c r="S1878" s="345" t="s">
        <v>224</v>
      </c>
    </row>
    <row r="1879" spans="1:19" x14ac:dyDescent="0.25">
      <c r="A1879" s="311"/>
      <c r="B1879" s="312"/>
      <c r="C1879" s="312"/>
      <c r="D1879" s="312"/>
      <c r="E1879" s="312"/>
      <c r="F1879" s="312"/>
      <c r="G1879" s="328"/>
      <c r="H1879" s="337"/>
      <c r="I1879" s="334"/>
      <c r="J1879" s="314"/>
      <c r="K1879" s="449"/>
      <c r="M1879" s="349" t="str">
        <f>N1879&amp;AS[[#This Row],[Insurer Code]]&amp;"; "&amp;O1879&amp;AS[[#This Row],[Reporting Year]]&amp;"; "&amp;P1879&amp;AS[[#This Row],[Insurance Category Code]]&amp;"; "&amp;Q1879&amp;AS[[#This Row],[Large Provider Entity Code]]&amp;"; "&amp;R1879&amp;AS[[#This Row],[Age Band Code]]&amp;"; "&amp;S1879&amp;AS[[#This Row],[Sex Code]]</f>
        <v xml:space="preserve">Insurer Code ; Reporting Year ; Insurance Category Code ; Large Provider Entity Code ; Age Band Code ; Sex Code </v>
      </c>
      <c r="N1879" s="345" t="s">
        <v>207</v>
      </c>
      <c r="O1879" s="345" t="s">
        <v>208</v>
      </c>
      <c r="P1879" s="345" t="s">
        <v>209</v>
      </c>
      <c r="Q1879" s="345" t="s">
        <v>210</v>
      </c>
      <c r="R1879" s="345" t="s">
        <v>223</v>
      </c>
      <c r="S1879" s="345" t="s">
        <v>224</v>
      </c>
    </row>
    <row r="1880" spans="1:19" x14ac:dyDescent="0.25">
      <c r="A1880" s="311"/>
      <c r="B1880" s="312"/>
      <c r="C1880" s="312"/>
      <c r="D1880" s="312"/>
      <c r="E1880" s="312"/>
      <c r="F1880" s="312"/>
      <c r="G1880" s="328"/>
      <c r="H1880" s="337"/>
      <c r="I1880" s="334"/>
      <c r="J1880" s="314"/>
      <c r="K1880" s="449"/>
      <c r="M1880" s="349" t="str">
        <f>N1880&amp;AS[[#This Row],[Insurer Code]]&amp;"; "&amp;O1880&amp;AS[[#This Row],[Reporting Year]]&amp;"; "&amp;P1880&amp;AS[[#This Row],[Insurance Category Code]]&amp;"; "&amp;Q1880&amp;AS[[#This Row],[Large Provider Entity Code]]&amp;"; "&amp;R1880&amp;AS[[#This Row],[Age Band Code]]&amp;"; "&amp;S1880&amp;AS[[#This Row],[Sex Code]]</f>
        <v xml:space="preserve">Insurer Code ; Reporting Year ; Insurance Category Code ; Large Provider Entity Code ; Age Band Code ; Sex Code </v>
      </c>
      <c r="N1880" s="345" t="s">
        <v>207</v>
      </c>
      <c r="O1880" s="345" t="s">
        <v>208</v>
      </c>
      <c r="P1880" s="345" t="s">
        <v>209</v>
      </c>
      <c r="Q1880" s="345" t="s">
        <v>210</v>
      </c>
      <c r="R1880" s="345" t="s">
        <v>223</v>
      </c>
      <c r="S1880" s="345" t="s">
        <v>224</v>
      </c>
    </row>
    <row r="1881" spans="1:19" x14ac:dyDescent="0.25">
      <c r="A1881" s="311"/>
      <c r="B1881" s="312"/>
      <c r="C1881" s="312"/>
      <c r="D1881" s="312"/>
      <c r="E1881" s="312"/>
      <c r="F1881" s="312"/>
      <c r="G1881" s="328"/>
      <c r="H1881" s="337"/>
      <c r="I1881" s="334"/>
      <c r="J1881" s="314"/>
      <c r="K1881" s="449"/>
      <c r="M1881" s="349" t="str">
        <f>N1881&amp;AS[[#This Row],[Insurer Code]]&amp;"; "&amp;O1881&amp;AS[[#This Row],[Reporting Year]]&amp;"; "&amp;P1881&amp;AS[[#This Row],[Insurance Category Code]]&amp;"; "&amp;Q1881&amp;AS[[#This Row],[Large Provider Entity Code]]&amp;"; "&amp;R1881&amp;AS[[#This Row],[Age Band Code]]&amp;"; "&amp;S1881&amp;AS[[#This Row],[Sex Code]]</f>
        <v xml:space="preserve">Insurer Code ; Reporting Year ; Insurance Category Code ; Large Provider Entity Code ; Age Band Code ; Sex Code </v>
      </c>
      <c r="N1881" s="345" t="s">
        <v>207</v>
      </c>
      <c r="O1881" s="345" t="s">
        <v>208</v>
      </c>
      <c r="P1881" s="345" t="s">
        <v>209</v>
      </c>
      <c r="Q1881" s="345" t="s">
        <v>210</v>
      </c>
      <c r="R1881" s="345" t="s">
        <v>223</v>
      </c>
      <c r="S1881" s="345" t="s">
        <v>224</v>
      </c>
    </row>
    <row r="1882" spans="1:19" x14ac:dyDescent="0.25">
      <c r="A1882" s="311"/>
      <c r="B1882" s="312"/>
      <c r="C1882" s="312"/>
      <c r="D1882" s="312"/>
      <c r="E1882" s="312"/>
      <c r="F1882" s="312"/>
      <c r="G1882" s="328"/>
      <c r="H1882" s="337"/>
      <c r="I1882" s="334"/>
      <c r="J1882" s="314"/>
      <c r="K1882" s="449"/>
      <c r="M1882" s="349" t="str">
        <f>N1882&amp;AS[[#This Row],[Insurer Code]]&amp;"; "&amp;O1882&amp;AS[[#This Row],[Reporting Year]]&amp;"; "&amp;P1882&amp;AS[[#This Row],[Insurance Category Code]]&amp;"; "&amp;Q1882&amp;AS[[#This Row],[Large Provider Entity Code]]&amp;"; "&amp;R1882&amp;AS[[#This Row],[Age Band Code]]&amp;"; "&amp;S1882&amp;AS[[#This Row],[Sex Code]]</f>
        <v xml:space="preserve">Insurer Code ; Reporting Year ; Insurance Category Code ; Large Provider Entity Code ; Age Band Code ; Sex Code </v>
      </c>
      <c r="N1882" s="345" t="s">
        <v>207</v>
      </c>
      <c r="O1882" s="345" t="s">
        <v>208</v>
      </c>
      <c r="P1882" s="345" t="s">
        <v>209</v>
      </c>
      <c r="Q1882" s="345" t="s">
        <v>210</v>
      </c>
      <c r="R1882" s="345" t="s">
        <v>223</v>
      </c>
      <c r="S1882" s="345" t="s">
        <v>224</v>
      </c>
    </row>
    <row r="1883" spans="1:19" x14ac:dyDescent="0.25">
      <c r="A1883" s="311"/>
      <c r="B1883" s="312"/>
      <c r="C1883" s="312"/>
      <c r="D1883" s="312"/>
      <c r="E1883" s="312"/>
      <c r="F1883" s="312"/>
      <c r="G1883" s="328"/>
      <c r="H1883" s="337"/>
      <c r="I1883" s="334"/>
      <c r="J1883" s="314"/>
      <c r="K1883" s="449"/>
      <c r="M1883" s="349" t="str">
        <f>N1883&amp;AS[[#This Row],[Insurer Code]]&amp;"; "&amp;O1883&amp;AS[[#This Row],[Reporting Year]]&amp;"; "&amp;P1883&amp;AS[[#This Row],[Insurance Category Code]]&amp;"; "&amp;Q1883&amp;AS[[#This Row],[Large Provider Entity Code]]&amp;"; "&amp;R1883&amp;AS[[#This Row],[Age Band Code]]&amp;"; "&amp;S1883&amp;AS[[#This Row],[Sex Code]]</f>
        <v xml:space="preserve">Insurer Code ; Reporting Year ; Insurance Category Code ; Large Provider Entity Code ; Age Band Code ; Sex Code </v>
      </c>
      <c r="N1883" s="345" t="s">
        <v>207</v>
      </c>
      <c r="O1883" s="345" t="s">
        <v>208</v>
      </c>
      <c r="P1883" s="345" t="s">
        <v>209</v>
      </c>
      <c r="Q1883" s="345" t="s">
        <v>210</v>
      </c>
      <c r="R1883" s="345" t="s">
        <v>223</v>
      </c>
      <c r="S1883" s="345" t="s">
        <v>224</v>
      </c>
    </row>
    <row r="1884" spans="1:19" x14ac:dyDescent="0.25">
      <c r="A1884" s="311"/>
      <c r="B1884" s="312"/>
      <c r="C1884" s="312"/>
      <c r="D1884" s="312"/>
      <c r="E1884" s="312"/>
      <c r="F1884" s="312"/>
      <c r="G1884" s="328"/>
      <c r="H1884" s="337"/>
      <c r="I1884" s="334"/>
      <c r="J1884" s="314"/>
      <c r="K1884" s="449"/>
      <c r="M1884" s="349" t="str">
        <f>N1884&amp;AS[[#This Row],[Insurer Code]]&amp;"; "&amp;O1884&amp;AS[[#This Row],[Reporting Year]]&amp;"; "&amp;P1884&amp;AS[[#This Row],[Insurance Category Code]]&amp;"; "&amp;Q1884&amp;AS[[#This Row],[Large Provider Entity Code]]&amp;"; "&amp;R1884&amp;AS[[#This Row],[Age Band Code]]&amp;"; "&amp;S1884&amp;AS[[#This Row],[Sex Code]]</f>
        <v xml:space="preserve">Insurer Code ; Reporting Year ; Insurance Category Code ; Large Provider Entity Code ; Age Band Code ; Sex Code </v>
      </c>
      <c r="N1884" s="345" t="s">
        <v>207</v>
      </c>
      <c r="O1884" s="345" t="s">
        <v>208</v>
      </c>
      <c r="P1884" s="345" t="s">
        <v>209</v>
      </c>
      <c r="Q1884" s="345" t="s">
        <v>210</v>
      </c>
      <c r="R1884" s="345" t="s">
        <v>223</v>
      </c>
      <c r="S1884" s="345" t="s">
        <v>224</v>
      </c>
    </row>
    <row r="1885" spans="1:19" x14ac:dyDescent="0.25">
      <c r="A1885" s="311"/>
      <c r="B1885" s="312"/>
      <c r="C1885" s="312"/>
      <c r="D1885" s="312"/>
      <c r="E1885" s="312"/>
      <c r="F1885" s="312"/>
      <c r="G1885" s="328"/>
      <c r="H1885" s="337"/>
      <c r="I1885" s="334"/>
      <c r="J1885" s="314"/>
      <c r="K1885" s="449"/>
      <c r="M1885" s="349" t="str">
        <f>N1885&amp;AS[[#This Row],[Insurer Code]]&amp;"; "&amp;O1885&amp;AS[[#This Row],[Reporting Year]]&amp;"; "&amp;P1885&amp;AS[[#This Row],[Insurance Category Code]]&amp;"; "&amp;Q1885&amp;AS[[#This Row],[Large Provider Entity Code]]&amp;"; "&amp;R1885&amp;AS[[#This Row],[Age Band Code]]&amp;"; "&amp;S1885&amp;AS[[#This Row],[Sex Code]]</f>
        <v xml:space="preserve">Insurer Code ; Reporting Year ; Insurance Category Code ; Large Provider Entity Code ; Age Band Code ; Sex Code </v>
      </c>
      <c r="N1885" s="345" t="s">
        <v>207</v>
      </c>
      <c r="O1885" s="345" t="s">
        <v>208</v>
      </c>
      <c r="P1885" s="345" t="s">
        <v>209</v>
      </c>
      <c r="Q1885" s="345" t="s">
        <v>210</v>
      </c>
      <c r="R1885" s="345" t="s">
        <v>223</v>
      </c>
      <c r="S1885" s="345" t="s">
        <v>224</v>
      </c>
    </row>
    <row r="1886" spans="1:19" x14ac:dyDescent="0.25">
      <c r="A1886" s="311"/>
      <c r="B1886" s="312"/>
      <c r="C1886" s="312"/>
      <c r="D1886" s="312"/>
      <c r="E1886" s="312"/>
      <c r="F1886" s="312"/>
      <c r="G1886" s="328"/>
      <c r="H1886" s="337"/>
      <c r="I1886" s="334"/>
      <c r="J1886" s="314"/>
      <c r="K1886" s="449"/>
      <c r="M1886" s="349" t="str">
        <f>N1886&amp;AS[[#This Row],[Insurer Code]]&amp;"; "&amp;O1886&amp;AS[[#This Row],[Reporting Year]]&amp;"; "&amp;P1886&amp;AS[[#This Row],[Insurance Category Code]]&amp;"; "&amp;Q1886&amp;AS[[#This Row],[Large Provider Entity Code]]&amp;"; "&amp;R1886&amp;AS[[#This Row],[Age Band Code]]&amp;"; "&amp;S1886&amp;AS[[#This Row],[Sex Code]]</f>
        <v xml:space="preserve">Insurer Code ; Reporting Year ; Insurance Category Code ; Large Provider Entity Code ; Age Band Code ; Sex Code </v>
      </c>
      <c r="N1886" s="345" t="s">
        <v>207</v>
      </c>
      <c r="O1886" s="345" t="s">
        <v>208</v>
      </c>
      <c r="P1886" s="345" t="s">
        <v>209</v>
      </c>
      <c r="Q1886" s="345" t="s">
        <v>210</v>
      </c>
      <c r="R1886" s="345" t="s">
        <v>223</v>
      </c>
      <c r="S1886" s="345" t="s">
        <v>224</v>
      </c>
    </row>
    <row r="1887" spans="1:19" x14ac:dyDescent="0.25">
      <c r="A1887" s="311"/>
      <c r="B1887" s="312"/>
      <c r="C1887" s="312"/>
      <c r="D1887" s="312"/>
      <c r="E1887" s="312"/>
      <c r="F1887" s="312"/>
      <c r="G1887" s="328"/>
      <c r="H1887" s="337"/>
      <c r="I1887" s="334"/>
      <c r="J1887" s="314"/>
      <c r="K1887" s="449"/>
      <c r="M1887" s="349" t="str">
        <f>N1887&amp;AS[[#This Row],[Insurer Code]]&amp;"; "&amp;O1887&amp;AS[[#This Row],[Reporting Year]]&amp;"; "&amp;P1887&amp;AS[[#This Row],[Insurance Category Code]]&amp;"; "&amp;Q1887&amp;AS[[#This Row],[Large Provider Entity Code]]&amp;"; "&amp;R1887&amp;AS[[#This Row],[Age Band Code]]&amp;"; "&amp;S1887&amp;AS[[#This Row],[Sex Code]]</f>
        <v xml:space="preserve">Insurer Code ; Reporting Year ; Insurance Category Code ; Large Provider Entity Code ; Age Band Code ; Sex Code </v>
      </c>
      <c r="N1887" s="345" t="s">
        <v>207</v>
      </c>
      <c r="O1887" s="345" t="s">
        <v>208</v>
      </c>
      <c r="P1887" s="345" t="s">
        <v>209</v>
      </c>
      <c r="Q1887" s="345" t="s">
        <v>210</v>
      </c>
      <c r="R1887" s="345" t="s">
        <v>223</v>
      </c>
      <c r="S1887" s="345" t="s">
        <v>224</v>
      </c>
    </row>
    <row r="1888" spans="1:19" x14ac:dyDescent="0.25">
      <c r="A1888" s="311"/>
      <c r="B1888" s="312"/>
      <c r="C1888" s="312"/>
      <c r="D1888" s="312"/>
      <c r="E1888" s="312"/>
      <c r="F1888" s="312"/>
      <c r="G1888" s="328"/>
      <c r="H1888" s="337"/>
      <c r="I1888" s="334"/>
      <c r="J1888" s="314"/>
      <c r="K1888" s="449"/>
      <c r="M1888" s="349" t="str">
        <f>N1888&amp;AS[[#This Row],[Insurer Code]]&amp;"; "&amp;O1888&amp;AS[[#This Row],[Reporting Year]]&amp;"; "&amp;P1888&amp;AS[[#This Row],[Insurance Category Code]]&amp;"; "&amp;Q1888&amp;AS[[#This Row],[Large Provider Entity Code]]&amp;"; "&amp;R1888&amp;AS[[#This Row],[Age Band Code]]&amp;"; "&amp;S1888&amp;AS[[#This Row],[Sex Code]]</f>
        <v xml:space="preserve">Insurer Code ; Reporting Year ; Insurance Category Code ; Large Provider Entity Code ; Age Band Code ; Sex Code </v>
      </c>
      <c r="N1888" s="345" t="s">
        <v>207</v>
      </c>
      <c r="O1888" s="345" t="s">
        <v>208</v>
      </c>
      <c r="P1888" s="345" t="s">
        <v>209</v>
      </c>
      <c r="Q1888" s="345" t="s">
        <v>210</v>
      </c>
      <c r="R1888" s="345" t="s">
        <v>223</v>
      </c>
      <c r="S1888" s="345" t="s">
        <v>224</v>
      </c>
    </row>
    <row r="1889" spans="1:19" x14ac:dyDescent="0.25">
      <c r="A1889" s="311"/>
      <c r="B1889" s="312"/>
      <c r="C1889" s="312"/>
      <c r="D1889" s="312"/>
      <c r="E1889" s="312"/>
      <c r="F1889" s="312"/>
      <c r="G1889" s="328"/>
      <c r="H1889" s="337"/>
      <c r="I1889" s="334"/>
      <c r="J1889" s="314"/>
      <c r="K1889" s="449"/>
      <c r="M1889" s="349" t="str">
        <f>N1889&amp;AS[[#This Row],[Insurer Code]]&amp;"; "&amp;O1889&amp;AS[[#This Row],[Reporting Year]]&amp;"; "&amp;P1889&amp;AS[[#This Row],[Insurance Category Code]]&amp;"; "&amp;Q1889&amp;AS[[#This Row],[Large Provider Entity Code]]&amp;"; "&amp;R1889&amp;AS[[#This Row],[Age Band Code]]&amp;"; "&amp;S1889&amp;AS[[#This Row],[Sex Code]]</f>
        <v xml:space="preserve">Insurer Code ; Reporting Year ; Insurance Category Code ; Large Provider Entity Code ; Age Band Code ; Sex Code </v>
      </c>
      <c r="N1889" s="345" t="s">
        <v>207</v>
      </c>
      <c r="O1889" s="345" t="s">
        <v>208</v>
      </c>
      <c r="P1889" s="345" t="s">
        <v>209</v>
      </c>
      <c r="Q1889" s="345" t="s">
        <v>210</v>
      </c>
      <c r="R1889" s="345" t="s">
        <v>223</v>
      </c>
      <c r="S1889" s="345" t="s">
        <v>224</v>
      </c>
    </row>
    <row r="1890" spans="1:19" x14ac:dyDescent="0.25">
      <c r="A1890" s="311"/>
      <c r="B1890" s="312"/>
      <c r="C1890" s="312"/>
      <c r="D1890" s="312"/>
      <c r="E1890" s="312"/>
      <c r="F1890" s="312"/>
      <c r="G1890" s="328"/>
      <c r="H1890" s="337"/>
      <c r="I1890" s="334"/>
      <c r="J1890" s="314"/>
      <c r="K1890" s="449"/>
      <c r="M1890" s="349" t="str">
        <f>N1890&amp;AS[[#This Row],[Insurer Code]]&amp;"; "&amp;O1890&amp;AS[[#This Row],[Reporting Year]]&amp;"; "&amp;P1890&amp;AS[[#This Row],[Insurance Category Code]]&amp;"; "&amp;Q1890&amp;AS[[#This Row],[Large Provider Entity Code]]&amp;"; "&amp;R1890&amp;AS[[#This Row],[Age Band Code]]&amp;"; "&amp;S1890&amp;AS[[#This Row],[Sex Code]]</f>
        <v xml:space="preserve">Insurer Code ; Reporting Year ; Insurance Category Code ; Large Provider Entity Code ; Age Band Code ; Sex Code </v>
      </c>
      <c r="N1890" s="345" t="s">
        <v>207</v>
      </c>
      <c r="O1890" s="345" t="s">
        <v>208</v>
      </c>
      <c r="P1890" s="345" t="s">
        <v>209</v>
      </c>
      <c r="Q1890" s="345" t="s">
        <v>210</v>
      </c>
      <c r="R1890" s="345" t="s">
        <v>223</v>
      </c>
      <c r="S1890" s="345" t="s">
        <v>224</v>
      </c>
    </row>
    <row r="1891" spans="1:19" x14ac:dyDescent="0.25">
      <c r="A1891" s="311"/>
      <c r="B1891" s="312"/>
      <c r="C1891" s="312"/>
      <c r="D1891" s="312"/>
      <c r="E1891" s="312"/>
      <c r="F1891" s="312"/>
      <c r="G1891" s="328"/>
      <c r="H1891" s="337"/>
      <c r="I1891" s="334"/>
      <c r="J1891" s="314"/>
      <c r="K1891" s="449"/>
      <c r="M1891" s="349" t="str">
        <f>N1891&amp;AS[[#This Row],[Insurer Code]]&amp;"; "&amp;O1891&amp;AS[[#This Row],[Reporting Year]]&amp;"; "&amp;P1891&amp;AS[[#This Row],[Insurance Category Code]]&amp;"; "&amp;Q1891&amp;AS[[#This Row],[Large Provider Entity Code]]&amp;"; "&amp;R1891&amp;AS[[#This Row],[Age Band Code]]&amp;"; "&amp;S1891&amp;AS[[#This Row],[Sex Code]]</f>
        <v xml:space="preserve">Insurer Code ; Reporting Year ; Insurance Category Code ; Large Provider Entity Code ; Age Band Code ; Sex Code </v>
      </c>
      <c r="N1891" s="345" t="s">
        <v>207</v>
      </c>
      <c r="O1891" s="345" t="s">
        <v>208</v>
      </c>
      <c r="P1891" s="345" t="s">
        <v>209</v>
      </c>
      <c r="Q1891" s="345" t="s">
        <v>210</v>
      </c>
      <c r="R1891" s="345" t="s">
        <v>223</v>
      </c>
      <c r="S1891" s="345" t="s">
        <v>224</v>
      </c>
    </row>
    <row r="1892" spans="1:19" x14ac:dyDescent="0.25">
      <c r="A1892" s="311"/>
      <c r="B1892" s="312"/>
      <c r="C1892" s="312"/>
      <c r="D1892" s="312"/>
      <c r="E1892" s="312"/>
      <c r="F1892" s="312"/>
      <c r="G1892" s="328"/>
      <c r="H1892" s="337"/>
      <c r="I1892" s="334"/>
      <c r="J1892" s="314"/>
      <c r="K1892" s="449"/>
      <c r="M1892" s="349" t="str">
        <f>N1892&amp;AS[[#This Row],[Insurer Code]]&amp;"; "&amp;O1892&amp;AS[[#This Row],[Reporting Year]]&amp;"; "&amp;P1892&amp;AS[[#This Row],[Insurance Category Code]]&amp;"; "&amp;Q1892&amp;AS[[#This Row],[Large Provider Entity Code]]&amp;"; "&amp;R1892&amp;AS[[#This Row],[Age Band Code]]&amp;"; "&amp;S1892&amp;AS[[#This Row],[Sex Code]]</f>
        <v xml:space="preserve">Insurer Code ; Reporting Year ; Insurance Category Code ; Large Provider Entity Code ; Age Band Code ; Sex Code </v>
      </c>
      <c r="N1892" s="345" t="s">
        <v>207</v>
      </c>
      <c r="O1892" s="345" t="s">
        <v>208</v>
      </c>
      <c r="P1892" s="345" t="s">
        <v>209</v>
      </c>
      <c r="Q1892" s="345" t="s">
        <v>210</v>
      </c>
      <c r="R1892" s="345" t="s">
        <v>223</v>
      </c>
      <c r="S1892" s="345" t="s">
        <v>224</v>
      </c>
    </row>
    <row r="1893" spans="1:19" x14ac:dyDescent="0.25">
      <c r="A1893" s="311"/>
      <c r="B1893" s="312"/>
      <c r="C1893" s="312"/>
      <c r="D1893" s="312"/>
      <c r="E1893" s="312"/>
      <c r="F1893" s="312"/>
      <c r="G1893" s="328"/>
      <c r="H1893" s="337"/>
      <c r="I1893" s="334"/>
      <c r="J1893" s="314"/>
      <c r="K1893" s="449"/>
      <c r="M1893" s="349" t="str">
        <f>N1893&amp;AS[[#This Row],[Insurer Code]]&amp;"; "&amp;O1893&amp;AS[[#This Row],[Reporting Year]]&amp;"; "&amp;P1893&amp;AS[[#This Row],[Insurance Category Code]]&amp;"; "&amp;Q1893&amp;AS[[#This Row],[Large Provider Entity Code]]&amp;"; "&amp;R1893&amp;AS[[#This Row],[Age Band Code]]&amp;"; "&amp;S1893&amp;AS[[#This Row],[Sex Code]]</f>
        <v xml:space="preserve">Insurer Code ; Reporting Year ; Insurance Category Code ; Large Provider Entity Code ; Age Band Code ; Sex Code </v>
      </c>
      <c r="N1893" s="345" t="s">
        <v>207</v>
      </c>
      <c r="O1893" s="345" t="s">
        <v>208</v>
      </c>
      <c r="P1893" s="345" t="s">
        <v>209</v>
      </c>
      <c r="Q1893" s="345" t="s">
        <v>210</v>
      </c>
      <c r="R1893" s="345" t="s">
        <v>223</v>
      </c>
      <c r="S1893" s="345" t="s">
        <v>224</v>
      </c>
    </row>
    <row r="1894" spans="1:19" x14ac:dyDescent="0.25">
      <c r="A1894" s="311"/>
      <c r="B1894" s="312"/>
      <c r="C1894" s="312"/>
      <c r="D1894" s="312"/>
      <c r="E1894" s="312"/>
      <c r="F1894" s="312"/>
      <c r="G1894" s="328"/>
      <c r="H1894" s="337"/>
      <c r="I1894" s="334"/>
      <c r="J1894" s="314"/>
      <c r="K1894" s="449"/>
      <c r="M1894" s="349" t="str">
        <f>N1894&amp;AS[[#This Row],[Insurer Code]]&amp;"; "&amp;O1894&amp;AS[[#This Row],[Reporting Year]]&amp;"; "&amp;P1894&amp;AS[[#This Row],[Insurance Category Code]]&amp;"; "&amp;Q1894&amp;AS[[#This Row],[Large Provider Entity Code]]&amp;"; "&amp;R1894&amp;AS[[#This Row],[Age Band Code]]&amp;"; "&amp;S1894&amp;AS[[#This Row],[Sex Code]]</f>
        <v xml:space="preserve">Insurer Code ; Reporting Year ; Insurance Category Code ; Large Provider Entity Code ; Age Band Code ; Sex Code </v>
      </c>
      <c r="N1894" s="345" t="s">
        <v>207</v>
      </c>
      <c r="O1894" s="345" t="s">
        <v>208</v>
      </c>
      <c r="P1894" s="345" t="s">
        <v>209</v>
      </c>
      <c r="Q1894" s="345" t="s">
        <v>210</v>
      </c>
      <c r="R1894" s="345" t="s">
        <v>223</v>
      </c>
      <c r="S1894" s="345" t="s">
        <v>224</v>
      </c>
    </row>
    <row r="1895" spans="1:19" x14ac:dyDescent="0.25">
      <c r="A1895" s="311"/>
      <c r="B1895" s="312"/>
      <c r="C1895" s="312"/>
      <c r="D1895" s="312"/>
      <c r="E1895" s="312"/>
      <c r="F1895" s="312"/>
      <c r="G1895" s="328"/>
      <c r="H1895" s="337"/>
      <c r="I1895" s="334"/>
      <c r="J1895" s="314"/>
      <c r="K1895" s="449"/>
      <c r="M1895" s="349" t="str">
        <f>N1895&amp;AS[[#This Row],[Insurer Code]]&amp;"; "&amp;O1895&amp;AS[[#This Row],[Reporting Year]]&amp;"; "&amp;P1895&amp;AS[[#This Row],[Insurance Category Code]]&amp;"; "&amp;Q1895&amp;AS[[#This Row],[Large Provider Entity Code]]&amp;"; "&amp;R1895&amp;AS[[#This Row],[Age Band Code]]&amp;"; "&amp;S1895&amp;AS[[#This Row],[Sex Code]]</f>
        <v xml:space="preserve">Insurer Code ; Reporting Year ; Insurance Category Code ; Large Provider Entity Code ; Age Band Code ; Sex Code </v>
      </c>
      <c r="N1895" s="345" t="s">
        <v>207</v>
      </c>
      <c r="O1895" s="345" t="s">
        <v>208</v>
      </c>
      <c r="P1895" s="345" t="s">
        <v>209</v>
      </c>
      <c r="Q1895" s="345" t="s">
        <v>210</v>
      </c>
      <c r="R1895" s="345" t="s">
        <v>223</v>
      </c>
      <c r="S1895" s="345" t="s">
        <v>224</v>
      </c>
    </row>
    <row r="1896" spans="1:19" x14ac:dyDescent="0.25">
      <c r="A1896" s="311"/>
      <c r="B1896" s="312"/>
      <c r="C1896" s="312"/>
      <c r="D1896" s="312"/>
      <c r="E1896" s="312"/>
      <c r="F1896" s="312"/>
      <c r="G1896" s="328"/>
      <c r="H1896" s="337"/>
      <c r="I1896" s="334"/>
      <c r="J1896" s="314"/>
      <c r="K1896" s="449"/>
      <c r="M1896" s="349" t="str">
        <f>N1896&amp;AS[[#This Row],[Insurer Code]]&amp;"; "&amp;O1896&amp;AS[[#This Row],[Reporting Year]]&amp;"; "&amp;P1896&amp;AS[[#This Row],[Insurance Category Code]]&amp;"; "&amp;Q1896&amp;AS[[#This Row],[Large Provider Entity Code]]&amp;"; "&amp;R1896&amp;AS[[#This Row],[Age Band Code]]&amp;"; "&amp;S1896&amp;AS[[#This Row],[Sex Code]]</f>
        <v xml:space="preserve">Insurer Code ; Reporting Year ; Insurance Category Code ; Large Provider Entity Code ; Age Band Code ; Sex Code </v>
      </c>
      <c r="N1896" s="345" t="s">
        <v>207</v>
      </c>
      <c r="O1896" s="345" t="s">
        <v>208</v>
      </c>
      <c r="P1896" s="345" t="s">
        <v>209</v>
      </c>
      <c r="Q1896" s="345" t="s">
        <v>210</v>
      </c>
      <c r="R1896" s="345" t="s">
        <v>223</v>
      </c>
      <c r="S1896" s="345" t="s">
        <v>224</v>
      </c>
    </row>
    <row r="1897" spans="1:19" x14ac:dyDescent="0.25">
      <c r="A1897" s="311"/>
      <c r="B1897" s="312"/>
      <c r="C1897" s="312"/>
      <c r="D1897" s="312"/>
      <c r="E1897" s="312"/>
      <c r="F1897" s="312"/>
      <c r="G1897" s="328"/>
      <c r="H1897" s="337"/>
      <c r="I1897" s="334"/>
      <c r="J1897" s="314"/>
      <c r="K1897" s="449"/>
      <c r="M1897" s="349" t="str">
        <f>N1897&amp;AS[[#This Row],[Insurer Code]]&amp;"; "&amp;O1897&amp;AS[[#This Row],[Reporting Year]]&amp;"; "&amp;P1897&amp;AS[[#This Row],[Insurance Category Code]]&amp;"; "&amp;Q1897&amp;AS[[#This Row],[Large Provider Entity Code]]&amp;"; "&amp;R1897&amp;AS[[#This Row],[Age Band Code]]&amp;"; "&amp;S1897&amp;AS[[#This Row],[Sex Code]]</f>
        <v xml:space="preserve">Insurer Code ; Reporting Year ; Insurance Category Code ; Large Provider Entity Code ; Age Band Code ; Sex Code </v>
      </c>
      <c r="N1897" s="345" t="s">
        <v>207</v>
      </c>
      <c r="O1897" s="345" t="s">
        <v>208</v>
      </c>
      <c r="P1897" s="345" t="s">
        <v>209</v>
      </c>
      <c r="Q1897" s="345" t="s">
        <v>210</v>
      </c>
      <c r="R1897" s="345" t="s">
        <v>223</v>
      </c>
      <c r="S1897" s="345" t="s">
        <v>224</v>
      </c>
    </row>
    <row r="1898" spans="1:19" x14ac:dyDescent="0.25">
      <c r="A1898" s="311"/>
      <c r="B1898" s="312"/>
      <c r="C1898" s="312"/>
      <c r="D1898" s="312"/>
      <c r="E1898" s="312"/>
      <c r="F1898" s="312"/>
      <c r="G1898" s="328"/>
      <c r="H1898" s="337"/>
      <c r="I1898" s="334"/>
      <c r="J1898" s="314"/>
      <c r="K1898" s="449"/>
      <c r="M1898" s="349" t="str">
        <f>N1898&amp;AS[[#This Row],[Insurer Code]]&amp;"; "&amp;O1898&amp;AS[[#This Row],[Reporting Year]]&amp;"; "&amp;P1898&amp;AS[[#This Row],[Insurance Category Code]]&amp;"; "&amp;Q1898&amp;AS[[#This Row],[Large Provider Entity Code]]&amp;"; "&amp;R1898&amp;AS[[#This Row],[Age Band Code]]&amp;"; "&amp;S1898&amp;AS[[#This Row],[Sex Code]]</f>
        <v xml:space="preserve">Insurer Code ; Reporting Year ; Insurance Category Code ; Large Provider Entity Code ; Age Band Code ; Sex Code </v>
      </c>
      <c r="N1898" s="345" t="s">
        <v>207</v>
      </c>
      <c r="O1898" s="345" t="s">
        <v>208</v>
      </c>
      <c r="P1898" s="345" t="s">
        <v>209</v>
      </c>
      <c r="Q1898" s="345" t="s">
        <v>210</v>
      </c>
      <c r="R1898" s="345" t="s">
        <v>223</v>
      </c>
      <c r="S1898" s="345" t="s">
        <v>224</v>
      </c>
    </row>
    <row r="1899" spans="1:19" x14ac:dyDescent="0.25">
      <c r="A1899" s="311"/>
      <c r="B1899" s="312"/>
      <c r="C1899" s="312"/>
      <c r="D1899" s="312"/>
      <c r="E1899" s="312"/>
      <c r="F1899" s="312"/>
      <c r="G1899" s="328"/>
      <c r="H1899" s="337"/>
      <c r="I1899" s="334"/>
      <c r="J1899" s="314"/>
      <c r="K1899" s="449"/>
      <c r="M1899" s="349" t="str">
        <f>N1899&amp;AS[[#This Row],[Insurer Code]]&amp;"; "&amp;O1899&amp;AS[[#This Row],[Reporting Year]]&amp;"; "&amp;P1899&amp;AS[[#This Row],[Insurance Category Code]]&amp;"; "&amp;Q1899&amp;AS[[#This Row],[Large Provider Entity Code]]&amp;"; "&amp;R1899&amp;AS[[#This Row],[Age Band Code]]&amp;"; "&amp;S1899&amp;AS[[#This Row],[Sex Code]]</f>
        <v xml:space="preserve">Insurer Code ; Reporting Year ; Insurance Category Code ; Large Provider Entity Code ; Age Band Code ; Sex Code </v>
      </c>
      <c r="N1899" s="345" t="s">
        <v>207</v>
      </c>
      <c r="O1899" s="345" t="s">
        <v>208</v>
      </c>
      <c r="P1899" s="345" t="s">
        <v>209</v>
      </c>
      <c r="Q1899" s="345" t="s">
        <v>210</v>
      </c>
      <c r="R1899" s="345" t="s">
        <v>223</v>
      </c>
      <c r="S1899" s="345" t="s">
        <v>224</v>
      </c>
    </row>
    <row r="1900" spans="1:19" x14ac:dyDescent="0.25">
      <c r="A1900" s="311"/>
      <c r="B1900" s="312"/>
      <c r="C1900" s="312"/>
      <c r="D1900" s="312"/>
      <c r="E1900" s="312"/>
      <c r="F1900" s="312"/>
      <c r="G1900" s="328"/>
      <c r="H1900" s="337"/>
      <c r="I1900" s="334"/>
      <c r="J1900" s="314"/>
      <c r="K1900" s="449"/>
      <c r="M1900" s="349" t="str">
        <f>N1900&amp;AS[[#This Row],[Insurer Code]]&amp;"; "&amp;O1900&amp;AS[[#This Row],[Reporting Year]]&amp;"; "&amp;P1900&amp;AS[[#This Row],[Insurance Category Code]]&amp;"; "&amp;Q1900&amp;AS[[#This Row],[Large Provider Entity Code]]&amp;"; "&amp;R1900&amp;AS[[#This Row],[Age Band Code]]&amp;"; "&amp;S1900&amp;AS[[#This Row],[Sex Code]]</f>
        <v xml:space="preserve">Insurer Code ; Reporting Year ; Insurance Category Code ; Large Provider Entity Code ; Age Band Code ; Sex Code </v>
      </c>
      <c r="N1900" s="345" t="s">
        <v>207</v>
      </c>
      <c r="O1900" s="345" t="s">
        <v>208</v>
      </c>
      <c r="P1900" s="345" t="s">
        <v>209</v>
      </c>
      <c r="Q1900" s="345" t="s">
        <v>210</v>
      </c>
      <c r="R1900" s="345" t="s">
        <v>223</v>
      </c>
      <c r="S1900" s="345" t="s">
        <v>224</v>
      </c>
    </row>
    <row r="1901" spans="1:19" x14ac:dyDescent="0.25">
      <c r="A1901" s="311"/>
      <c r="B1901" s="312"/>
      <c r="C1901" s="312"/>
      <c r="D1901" s="312"/>
      <c r="E1901" s="312"/>
      <c r="F1901" s="312"/>
      <c r="G1901" s="328"/>
      <c r="H1901" s="337"/>
      <c r="I1901" s="334"/>
      <c r="J1901" s="314"/>
      <c r="K1901" s="449"/>
      <c r="M1901" s="349" t="str">
        <f>N1901&amp;AS[[#This Row],[Insurer Code]]&amp;"; "&amp;O1901&amp;AS[[#This Row],[Reporting Year]]&amp;"; "&amp;P1901&amp;AS[[#This Row],[Insurance Category Code]]&amp;"; "&amp;Q1901&amp;AS[[#This Row],[Large Provider Entity Code]]&amp;"; "&amp;R1901&amp;AS[[#This Row],[Age Band Code]]&amp;"; "&amp;S1901&amp;AS[[#This Row],[Sex Code]]</f>
        <v xml:space="preserve">Insurer Code ; Reporting Year ; Insurance Category Code ; Large Provider Entity Code ; Age Band Code ; Sex Code </v>
      </c>
      <c r="N1901" s="345" t="s">
        <v>207</v>
      </c>
      <c r="O1901" s="345" t="s">
        <v>208</v>
      </c>
      <c r="P1901" s="345" t="s">
        <v>209</v>
      </c>
      <c r="Q1901" s="345" t="s">
        <v>210</v>
      </c>
      <c r="R1901" s="345" t="s">
        <v>223</v>
      </c>
      <c r="S1901" s="345" t="s">
        <v>224</v>
      </c>
    </row>
    <row r="1902" spans="1:19" x14ac:dyDescent="0.25">
      <c r="A1902" s="311"/>
      <c r="B1902" s="312"/>
      <c r="C1902" s="312"/>
      <c r="D1902" s="312"/>
      <c r="E1902" s="312"/>
      <c r="F1902" s="312"/>
      <c r="G1902" s="328"/>
      <c r="H1902" s="337"/>
      <c r="I1902" s="334"/>
      <c r="J1902" s="314"/>
      <c r="K1902" s="449"/>
      <c r="M1902" s="349" t="str">
        <f>N1902&amp;AS[[#This Row],[Insurer Code]]&amp;"; "&amp;O1902&amp;AS[[#This Row],[Reporting Year]]&amp;"; "&amp;P1902&amp;AS[[#This Row],[Insurance Category Code]]&amp;"; "&amp;Q1902&amp;AS[[#This Row],[Large Provider Entity Code]]&amp;"; "&amp;R1902&amp;AS[[#This Row],[Age Band Code]]&amp;"; "&amp;S1902&amp;AS[[#This Row],[Sex Code]]</f>
        <v xml:space="preserve">Insurer Code ; Reporting Year ; Insurance Category Code ; Large Provider Entity Code ; Age Band Code ; Sex Code </v>
      </c>
      <c r="N1902" s="345" t="s">
        <v>207</v>
      </c>
      <c r="O1902" s="345" t="s">
        <v>208</v>
      </c>
      <c r="P1902" s="345" t="s">
        <v>209</v>
      </c>
      <c r="Q1902" s="345" t="s">
        <v>210</v>
      </c>
      <c r="R1902" s="345" t="s">
        <v>223</v>
      </c>
      <c r="S1902" s="345" t="s">
        <v>224</v>
      </c>
    </row>
    <row r="1903" spans="1:19" x14ac:dyDescent="0.25">
      <c r="A1903" s="311"/>
      <c r="B1903" s="312"/>
      <c r="C1903" s="312"/>
      <c r="D1903" s="312"/>
      <c r="E1903" s="312"/>
      <c r="F1903" s="312"/>
      <c r="G1903" s="328"/>
      <c r="H1903" s="337"/>
      <c r="I1903" s="334"/>
      <c r="J1903" s="314"/>
      <c r="K1903" s="449"/>
      <c r="M1903" s="349" t="str">
        <f>N1903&amp;AS[[#This Row],[Insurer Code]]&amp;"; "&amp;O1903&amp;AS[[#This Row],[Reporting Year]]&amp;"; "&amp;P1903&amp;AS[[#This Row],[Insurance Category Code]]&amp;"; "&amp;Q1903&amp;AS[[#This Row],[Large Provider Entity Code]]&amp;"; "&amp;R1903&amp;AS[[#This Row],[Age Band Code]]&amp;"; "&amp;S1903&amp;AS[[#This Row],[Sex Code]]</f>
        <v xml:space="preserve">Insurer Code ; Reporting Year ; Insurance Category Code ; Large Provider Entity Code ; Age Band Code ; Sex Code </v>
      </c>
      <c r="N1903" s="345" t="s">
        <v>207</v>
      </c>
      <c r="O1903" s="345" t="s">
        <v>208</v>
      </c>
      <c r="P1903" s="345" t="s">
        <v>209</v>
      </c>
      <c r="Q1903" s="345" t="s">
        <v>210</v>
      </c>
      <c r="R1903" s="345" t="s">
        <v>223</v>
      </c>
      <c r="S1903" s="345" t="s">
        <v>224</v>
      </c>
    </row>
    <row r="1904" spans="1:19" x14ac:dyDescent="0.25">
      <c r="A1904" s="311"/>
      <c r="B1904" s="312"/>
      <c r="C1904" s="312"/>
      <c r="D1904" s="312"/>
      <c r="E1904" s="312"/>
      <c r="F1904" s="312"/>
      <c r="G1904" s="328"/>
      <c r="H1904" s="337"/>
      <c r="I1904" s="334"/>
      <c r="J1904" s="314"/>
      <c r="K1904" s="449"/>
      <c r="M1904" s="349" t="str">
        <f>N1904&amp;AS[[#This Row],[Insurer Code]]&amp;"; "&amp;O1904&amp;AS[[#This Row],[Reporting Year]]&amp;"; "&amp;P1904&amp;AS[[#This Row],[Insurance Category Code]]&amp;"; "&amp;Q1904&amp;AS[[#This Row],[Large Provider Entity Code]]&amp;"; "&amp;R1904&amp;AS[[#This Row],[Age Band Code]]&amp;"; "&amp;S1904&amp;AS[[#This Row],[Sex Code]]</f>
        <v xml:space="preserve">Insurer Code ; Reporting Year ; Insurance Category Code ; Large Provider Entity Code ; Age Band Code ; Sex Code </v>
      </c>
      <c r="N1904" s="345" t="s">
        <v>207</v>
      </c>
      <c r="O1904" s="345" t="s">
        <v>208</v>
      </c>
      <c r="P1904" s="345" t="s">
        <v>209</v>
      </c>
      <c r="Q1904" s="345" t="s">
        <v>210</v>
      </c>
      <c r="R1904" s="345" t="s">
        <v>223</v>
      </c>
      <c r="S1904" s="345" t="s">
        <v>224</v>
      </c>
    </row>
    <row r="1905" spans="1:19" x14ac:dyDescent="0.25">
      <c r="A1905" s="311"/>
      <c r="B1905" s="312"/>
      <c r="C1905" s="312"/>
      <c r="D1905" s="312"/>
      <c r="E1905" s="312"/>
      <c r="F1905" s="312"/>
      <c r="G1905" s="328"/>
      <c r="H1905" s="337"/>
      <c r="I1905" s="334"/>
      <c r="J1905" s="314"/>
      <c r="K1905" s="449"/>
      <c r="M1905" s="349" t="str">
        <f>N1905&amp;AS[[#This Row],[Insurer Code]]&amp;"; "&amp;O1905&amp;AS[[#This Row],[Reporting Year]]&amp;"; "&amp;P1905&amp;AS[[#This Row],[Insurance Category Code]]&amp;"; "&amp;Q1905&amp;AS[[#This Row],[Large Provider Entity Code]]&amp;"; "&amp;R1905&amp;AS[[#This Row],[Age Band Code]]&amp;"; "&amp;S1905&amp;AS[[#This Row],[Sex Code]]</f>
        <v xml:space="preserve">Insurer Code ; Reporting Year ; Insurance Category Code ; Large Provider Entity Code ; Age Band Code ; Sex Code </v>
      </c>
      <c r="N1905" s="345" t="s">
        <v>207</v>
      </c>
      <c r="O1905" s="345" t="s">
        <v>208</v>
      </c>
      <c r="P1905" s="345" t="s">
        <v>209</v>
      </c>
      <c r="Q1905" s="345" t="s">
        <v>210</v>
      </c>
      <c r="R1905" s="345" t="s">
        <v>223</v>
      </c>
      <c r="S1905" s="345" t="s">
        <v>224</v>
      </c>
    </row>
    <row r="1906" spans="1:19" x14ac:dyDescent="0.25">
      <c r="A1906" s="311"/>
      <c r="B1906" s="312"/>
      <c r="C1906" s="312"/>
      <c r="D1906" s="312"/>
      <c r="E1906" s="312"/>
      <c r="F1906" s="312"/>
      <c r="G1906" s="328"/>
      <c r="H1906" s="337"/>
      <c r="I1906" s="334"/>
      <c r="J1906" s="314"/>
      <c r="K1906" s="449"/>
      <c r="M1906" s="349" t="str">
        <f>N1906&amp;AS[[#This Row],[Insurer Code]]&amp;"; "&amp;O1906&amp;AS[[#This Row],[Reporting Year]]&amp;"; "&amp;P1906&amp;AS[[#This Row],[Insurance Category Code]]&amp;"; "&amp;Q1906&amp;AS[[#This Row],[Large Provider Entity Code]]&amp;"; "&amp;R1906&amp;AS[[#This Row],[Age Band Code]]&amp;"; "&amp;S1906&amp;AS[[#This Row],[Sex Code]]</f>
        <v xml:space="preserve">Insurer Code ; Reporting Year ; Insurance Category Code ; Large Provider Entity Code ; Age Band Code ; Sex Code </v>
      </c>
      <c r="N1906" s="345" t="s">
        <v>207</v>
      </c>
      <c r="O1906" s="345" t="s">
        <v>208</v>
      </c>
      <c r="P1906" s="345" t="s">
        <v>209</v>
      </c>
      <c r="Q1906" s="345" t="s">
        <v>210</v>
      </c>
      <c r="R1906" s="345" t="s">
        <v>223</v>
      </c>
      <c r="S1906" s="345" t="s">
        <v>224</v>
      </c>
    </row>
    <row r="1907" spans="1:19" x14ac:dyDescent="0.25">
      <c r="A1907" s="311"/>
      <c r="B1907" s="312"/>
      <c r="C1907" s="312"/>
      <c r="D1907" s="312"/>
      <c r="E1907" s="312"/>
      <c r="F1907" s="312"/>
      <c r="G1907" s="328"/>
      <c r="H1907" s="337"/>
      <c r="I1907" s="334"/>
      <c r="J1907" s="314"/>
      <c r="K1907" s="449"/>
      <c r="M1907" s="349" t="str">
        <f>N1907&amp;AS[[#This Row],[Insurer Code]]&amp;"; "&amp;O1907&amp;AS[[#This Row],[Reporting Year]]&amp;"; "&amp;P1907&amp;AS[[#This Row],[Insurance Category Code]]&amp;"; "&amp;Q1907&amp;AS[[#This Row],[Large Provider Entity Code]]&amp;"; "&amp;R1907&amp;AS[[#This Row],[Age Band Code]]&amp;"; "&amp;S1907&amp;AS[[#This Row],[Sex Code]]</f>
        <v xml:space="preserve">Insurer Code ; Reporting Year ; Insurance Category Code ; Large Provider Entity Code ; Age Band Code ; Sex Code </v>
      </c>
      <c r="N1907" s="345" t="s">
        <v>207</v>
      </c>
      <c r="O1907" s="345" t="s">
        <v>208</v>
      </c>
      <c r="P1907" s="345" t="s">
        <v>209</v>
      </c>
      <c r="Q1907" s="345" t="s">
        <v>210</v>
      </c>
      <c r="R1907" s="345" t="s">
        <v>223</v>
      </c>
      <c r="S1907" s="345" t="s">
        <v>224</v>
      </c>
    </row>
    <row r="1908" spans="1:19" x14ac:dyDescent="0.25">
      <c r="A1908" s="311"/>
      <c r="B1908" s="312"/>
      <c r="C1908" s="312"/>
      <c r="D1908" s="312"/>
      <c r="E1908" s="312"/>
      <c r="F1908" s="312"/>
      <c r="G1908" s="328"/>
      <c r="H1908" s="337"/>
      <c r="I1908" s="334"/>
      <c r="J1908" s="314"/>
      <c r="K1908" s="449"/>
      <c r="M1908" s="349" t="str">
        <f>N1908&amp;AS[[#This Row],[Insurer Code]]&amp;"; "&amp;O1908&amp;AS[[#This Row],[Reporting Year]]&amp;"; "&amp;P1908&amp;AS[[#This Row],[Insurance Category Code]]&amp;"; "&amp;Q1908&amp;AS[[#This Row],[Large Provider Entity Code]]&amp;"; "&amp;R1908&amp;AS[[#This Row],[Age Band Code]]&amp;"; "&amp;S1908&amp;AS[[#This Row],[Sex Code]]</f>
        <v xml:space="preserve">Insurer Code ; Reporting Year ; Insurance Category Code ; Large Provider Entity Code ; Age Band Code ; Sex Code </v>
      </c>
      <c r="N1908" s="345" t="s">
        <v>207</v>
      </c>
      <c r="O1908" s="345" t="s">
        <v>208</v>
      </c>
      <c r="P1908" s="345" t="s">
        <v>209</v>
      </c>
      <c r="Q1908" s="345" t="s">
        <v>210</v>
      </c>
      <c r="R1908" s="345" t="s">
        <v>223</v>
      </c>
      <c r="S1908" s="345" t="s">
        <v>224</v>
      </c>
    </row>
    <row r="1909" spans="1:19" x14ac:dyDescent="0.25">
      <c r="A1909" s="311"/>
      <c r="B1909" s="312"/>
      <c r="C1909" s="312"/>
      <c r="D1909" s="312"/>
      <c r="E1909" s="312"/>
      <c r="F1909" s="312"/>
      <c r="G1909" s="328"/>
      <c r="H1909" s="337"/>
      <c r="I1909" s="334"/>
      <c r="J1909" s="314"/>
      <c r="K1909" s="449"/>
      <c r="M1909" s="349" t="str">
        <f>N1909&amp;AS[[#This Row],[Insurer Code]]&amp;"; "&amp;O1909&amp;AS[[#This Row],[Reporting Year]]&amp;"; "&amp;P1909&amp;AS[[#This Row],[Insurance Category Code]]&amp;"; "&amp;Q1909&amp;AS[[#This Row],[Large Provider Entity Code]]&amp;"; "&amp;R1909&amp;AS[[#This Row],[Age Band Code]]&amp;"; "&amp;S1909&amp;AS[[#This Row],[Sex Code]]</f>
        <v xml:space="preserve">Insurer Code ; Reporting Year ; Insurance Category Code ; Large Provider Entity Code ; Age Band Code ; Sex Code </v>
      </c>
      <c r="N1909" s="345" t="s">
        <v>207</v>
      </c>
      <c r="O1909" s="345" t="s">
        <v>208</v>
      </c>
      <c r="P1909" s="345" t="s">
        <v>209</v>
      </c>
      <c r="Q1909" s="345" t="s">
        <v>210</v>
      </c>
      <c r="R1909" s="345" t="s">
        <v>223</v>
      </c>
      <c r="S1909" s="345" t="s">
        <v>224</v>
      </c>
    </row>
    <row r="1910" spans="1:19" x14ac:dyDescent="0.25">
      <c r="A1910" s="311"/>
      <c r="B1910" s="312"/>
      <c r="C1910" s="312"/>
      <c r="D1910" s="312"/>
      <c r="E1910" s="312"/>
      <c r="F1910" s="312"/>
      <c r="G1910" s="328"/>
      <c r="H1910" s="337"/>
      <c r="I1910" s="334"/>
      <c r="J1910" s="314"/>
      <c r="K1910" s="449"/>
      <c r="M1910" s="349" t="str">
        <f>N1910&amp;AS[[#This Row],[Insurer Code]]&amp;"; "&amp;O1910&amp;AS[[#This Row],[Reporting Year]]&amp;"; "&amp;P1910&amp;AS[[#This Row],[Insurance Category Code]]&amp;"; "&amp;Q1910&amp;AS[[#This Row],[Large Provider Entity Code]]&amp;"; "&amp;R1910&amp;AS[[#This Row],[Age Band Code]]&amp;"; "&amp;S1910&amp;AS[[#This Row],[Sex Code]]</f>
        <v xml:space="preserve">Insurer Code ; Reporting Year ; Insurance Category Code ; Large Provider Entity Code ; Age Band Code ; Sex Code </v>
      </c>
      <c r="N1910" s="345" t="s">
        <v>207</v>
      </c>
      <c r="O1910" s="345" t="s">
        <v>208</v>
      </c>
      <c r="P1910" s="345" t="s">
        <v>209</v>
      </c>
      <c r="Q1910" s="345" t="s">
        <v>210</v>
      </c>
      <c r="R1910" s="345" t="s">
        <v>223</v>
      </c>
      <c r="S1910" s="345" t="s">
        <v>224</v>
      </c>
    </row>
    <row r="1911" spans="1:19" x14ac:dyDescent="0.25">
      <c r="A1911" s="311"/>
      <c r="B1911" s="312"/>
      <c r="C1911" s="312"/>
      <c r="D1911" s="312"/>
      <c r="E1911" s="312"/>
      <c r="F1911" s="312"/>
      <c r="G1911" s="328"/>
      <c r="H1911" s="337"/>
      <c r="I1911" s="334"/>
      <c r="J1911" s="314"/>
      <c r="K1911" s="449"/>
      <c r="M1911" s="349" t="str">
        <f>N1911&amp;AS[[#This Row],[Insurer Code]]&amp;"; "&amp;O1911&amp;AS[[#This Row],[Reporting Year]]&amp;"; "&amp;P1911&amp;AS[[#This Row],[Insurance Category Code]]&amp;"; "&amp;Q1911&amp;AS[[#This Row],[Large Provider Entity Code]]&amp;"; "&amp;R1911&amp;AS[[#This Row],[Age Band Code]]&amp;"; "&amp;S1911&amp;AS[[#This Row],[Sex Code]]</f>
        <v xml:space="preserve">Insurer Code ; Reporting Year ; Insurance Category Code ; Large Provider Entity Code ; Age Band Code ; Sex Code </v>
      </c>
      <c r="N1911" s="345" t="s">
        <v>207</v>
      </c>
      <c r="O1911" s="345" t="s">
        <v>208</v>
      </c>
      <c r="P1911" s="345" t="s">
        <v>209</v>
      </c>
      <c r="Q1911" s="345" t="s">
        <v>210</v>
      </c>
      <c r="R1911" s="345" t="s">
        <v>223</v>
      </c>
      <c r="S1911" s="345" t="s">
        <v>224</v>
      </c>
    </row>
    <row r="1912" spans="1:19" x14ac:dyDescent="0.25">
      <c r="A1912" s="311"/>
      <c r="B1912" s="312"/>
      <c r="C1912" s="312"/>
      <c r="D1912" s="312"/>
      <c r="E1912" s="312"/>
      <c r="F1912" s="312"/>
      <c r="G1912" s="328"/>
      <c r="H1912" s="337"/>
      <c r="I1912" s="334"/>
      <c r="J1912" s="314"/>
      <c r="K1912" s="449"/>
      <c r="M1912" s="349" t="str">
        <f>N1912&amp;AS[[#This Row],[Insurer Code]]&amp;"; "&amp;O1912&amp;AS[[#This Row],[Reporting Year]]&amp;"; "&amp;P1912&amp;AS[[#This Row],[Insurance Category Code]]&amp;"; "&amp;Q1912&amp;AS[[#This Row],[Large Provider Entity Code]]&amp;"; "&amp;R1912&amp;AS[[#This Row],[Age Band Code]]&amp;"; "&amp;S1912&amp;AS[[#This Row],[Sex Code]]</f>
        <v xml:space="preserve">Insurer Code ; Reporting Year ; Insurance Category Code ; Large Provider Entity Code ; Age Band Code ; Sex Code </v>
      </c>
      <c r="N1912" s="345" t="s">
        <v>207</v>
      </c>
      <c r="O1912" s="345" t="s">
        <v>208</v>
      </c>
      <c r="P1912" s="345" t="s">
        <v>209</v>
      </c>
      <c r="Q1912" s="345" t="s">
        <v>210</v>
      </c>
      <c r="R1912" s="345" t="s">
        <v>223</v>
      </c>
      <c r="S1912" s="345" t="s">
        <v>224</v>
      </c>
    </row>
    <row r="1913" spans="1:19" x14ac:dyDescent="0.25">
      <c r="A1913" s="311"/>
      <c r="B1913" s="312"/>
      <c r="C1913" s="312"/>
      <c r="D1913" s="312"/>
      <c r="E1913" s="312"/>
      <c r="F1913" s="312"/>
      <c r="G1913" s="328"/>
      <c r="H1913" s="337"/>
      <c r="I1913" s="334"/>
      <c r="J1913" s="314"/>
      <c r="K1913" s="449"/>
      <c r="M1913" s="349" t="str">
        <f>N1913&amp;AS[[#This Row],[Insurer Code]]&amp;"; "&amp;O1913&amp;AS[[#This Row],[Reporting Year]]&amp;"; "&amp;P1913&amp;AS[[#This Row],[Insurance Category Code]]&amp;"; "&amp;Q1913&amp;AS[[#This Row],[Large Provider Entity Code]]&amp;"; "&amp;R1913&amp;AS[[#This Row],[Age Band Code]]&amp;"; "&amp;S1913&amp;AS[[#This Row],[Sex Code]]</f>
        <v xml:space="preserve">Insurer Code ; Reporting Year ; Insurance Category Code ; Large Provider Entity Code ; Age Band Code ; Sex Code </v>
      </c>
      <c r="N1913" s="345" t="s">
        <v>207</v>
      </c>
      <c r="O1913" s="345" t="s">
        <v>208</v>
      </c>
      <c r="P1913" s="345" t="s">
        <v>209</v>
      </c>
      <c r="Q1913" s="345" t="s">
        <v>210</v>
      </c>
      <c r="R1913" s="345" t="s">
        <v>223</v>
      </c>
      <c r="S1913" s="345" t="s">
        <v>224</v>
      </c>
    </row>
    <row r="1914" spans="1:19" x14ac:dyDescent="0.25">
      <c r="A1914" s="311"/>
      <c r="B1914" s="312"/>
      <c r="C1914" s="312"/>
      <c r="D1914" s="312"/>
      <c r="E1914" s="312"/>
      <c r="F1914" s="312"/>
      <c r="G1914" s="328"/>
      <c r="H1914" s="337"/>
      <c r="I1914" s="334"/>
      <c r="J1914" s="314"/>
      <c r="K1914" s="449"/>
      <c r="M1914" s="349" t="str">
        <f>N1914&amp;AS[[#This Row],[Insurer Code]]&amp;"; "&amp;O1914&amp;AS[[#This Row],[Reporting Year]]&amp;"; "&amp;P1914&amp;AS[[#This Row],[Insurance Category Code]]&amp;"; "&amp;Q1914&amp;AS[[#This Row],[Large Provider Entity Code]]&amp;"; "&amp;R1914&amp;AS[[#This Row],[Age Band Code]]&amp;"; "&amp;S1914&amp;AS[[#This Row],[Sex Code]]</f>
        <v xml:space="preserve">Insurer Code ; Reporting Year ; Insurance Category Code ; Large Provider Entity Code ; Age Band Code ; Sex Code </v>
      </c>
      <c r="N1914" s="345" t="s">
        <v>207</v>
      </c>
      <c r="O1914" s="345" t="s">
        <v>208</v>
      </c>
      <c r="P1914" s="345" t="s">
        <v>209</v>
      </c>
      <c r="Q1914" s="345" t="s">
        <v>210</v>
      </c>
      <c r="R1914" s="345" t="s">
        <v>223</v>
      </c>
      <c r="S1914" s="345" t="s">
        <v>224</v>
      </c>
    </row>
    <row r="1915" spans="1:19" x14ac:dyDescent="0.25">
      <c r="A1915" s="311"/>
      <c r="B1915" s="312"/>
      <c r="C1915" s="312"/>
      <c r="D1915" s="312"/>
      <c r="E1915" s="312"/>
      <c r="F1915" s="312"/>
      <c r="G1915" s="328"/>
      <c r="H1915" s="337"/>
      <c r="I1915" s="334"/>
      <c r="J1915" s="314"/>
      <c r="K1915" s="449"/>
      <c r="M1915" s="349" t="str">
        <f>N1915&amp;AS[[#This Row],[Insurer Code]]&amp;"; "&amp;O1915&amp;AS[[#This Row],[Reporting Year]]&amp;"; "&amp;P1915&amp;AS[[#This Row],[Insurance Category Code]]&amp;"; "&amp;Q1915&amp;AS[[#This Row],[Large Provider Entity Code]]&amp;"; "&amp;R1915&amp;AS[[#This Row],[Age Band Code]]&amp;"; "&amp;S1915&amp;AS[[#This Row],[Sex Code]]</f>
        <v xml:space="preserve">Insurer Code ; Reporting Year ; Insurance Category Code ; Large Provider Entity Code ; Age Band Code ; Sex Code </v>
      </c>
      <c r="N1915" s="345" t="s">
        <v>207</v>
      </c>
      <c r="O1915" s="345" t="s">
        <v>208</v>
      </c>
      <c r="P1915" s="345" t="s">
        <v>209</v>
      </c>
      <c r="Q1915" s="345" t="s">
        <v>210</v>
      </c>
      <c r="R1915" s="345" t="s">
        <v>223</v>
      </c>
      <c r="S1915" s="345" t="s">
        <v>224</v>
      </c>
    </row>
    <row r="1916" spans="1:19" x14ac:dyDescent="0.25">
      <c r="A1916" s="311"/>
      <c r="B1916" s="312"/>
      <c r="C1916" s="312"/>
      <c r="D1916" s="312"/>
      <c r="E1916" s="312"/>
      <c r="F1916" s="312"/>
      <c r="G1916" s="328"/>
      <c r="H1916" s="337"/>
      <c r="I1916" s="334"/>
      <c r="J1916" s="314"/>
      <c r="K1916" s="449"/>
      <c r="M1916" s="349" t="str">
        <f>N1916&amp;AS[[#This Row],[Insurer Code]]&amp;"; "&amp;O1916&amp;AS[[#This Row],[Reporting Year]]&amp;"; "&amp;P1916&amp;AS[[#This Row],[Insurance Category Code]]&amp;"; "&amp;Q1916&amp;AS[[#This Row],[Large Provider Entity Code]]&amp;"; "&amp;R1916&amp;AS[[#This Row],[Age Band Code]]&amp;"; "&amp;S1916&amp;AS[[#This Row],[Sex Code]]</f>
        <v xml:space="preserve">Insurer Code ; Reporting Year ; Insurance Category Code ; Large Provider Entity Code ; Age Band Code ; Sex Code </v>
      </c>
      <c r="N1916" s="345" t="s">
        <v>207</v>
      </c>
      <c r="O1916" s="345" t="s">
        <v>208</v>
      </c>
      <c r="P1916" s="345" t="s">
        <v>209</v>
      </c>
      <c r="Q1916" s="345" t="s">
        <v>210</v>
      </c>
      <c r="R1916" s="345" t="s">
        <v>223</v>
      </c>
      <c r="S1916" s="345" t="s">
        <v>224</v>
      </c>
    </row>
    <row r="1917" spans="1:19" x14ac:dyDescent="0.25">
      <c r="A1917" s="311"/>
      <c r="B1917" s="312"/>
      <c r="C1917" s="312"/>
      <c r="D1917" s="312"/>
      <c r="E1917" s="312"/>
      <c r="F1917" s="312"/>
      <c r="G1917" s="328"/>
      <c r="H1917" s="337"/>
      <c r="I1917" s="334"/>
      <c r="J1917" s="314"/>
      <c r="K1917" s="449"/>
      <c r="M1917" s="349" t="str">
        <f>N1917&amp;AS[[#This Row],[Insurer Code]]&amp;"; "&amp;O1917&amp;AS[[#This Row],[Reporting Year]]&amp;"; "&amp;P1917&amp;AS[[#This Row],[Insurance Category Code]]&amp;"; "&amp;Q1917&amp;AS[[#This Row],[Large Provider Entity Code]]&amp;"; "&amp;R1917&amp;AS[[#This Row],[Age Band Code]]&amp;"; "&amp;S1917&amp;AS[[#This Row],[Sex Code]]</f>
        <v xml:space="preserve">Insurer Code ; Reporting Year ; Insurance Category Code ; Large Provider Entity Code ; Age Band Code ; Sex Code </v>
      </c>
      <c r="N1917" s="345" t="s">
        <v>207</v>
      </c>
      <c r="O1917" s="345" t="s">
        <v>208</v>
      </c>
      <c r="P1917" s="345" t="s">
        <v>209</v>
      </c>
      <c r="Q1917" s="345" t="s">
        <v>210</v>
      </c>
      <c r="R1917" s="345" t="s">
        <v>223</v>
      </c>
      <c r="S1917" s="345" t="s">
        <v>224</v>
      </c>
    </row>
    <row r="1918" spans="1:19" x14ac:dyDescent="0.25">
      <c r="A1918" s="311"/>
      <c r="B1918" s="312"/>
      <c r="C1918" s="312"/>
      <c r="D1918" s="312"/>
      <c r="E1918" s="312"/>
      <c r="F1918" s="312"/>
      <c r="G1918" s="328"/>
      <c r="H1918" s="337"/>
      <c r="I1918" s="334"/>
      <c r="J1918" s="314"/>
      <c r="K1918" s="449"/>
      <c r="M1918" s="349" t="str">
        <f>N1918&amp;AS[[#This Row],[Insurer Code]]&amp;"; "&amp;O1918&amp;AS[[#This Row],[Reporting Year]]&amp;"; "&amp;P1918&amp;AS[[#This Row],[Insurance Category Code]]&amp;"; "&amp;Q1918&amp;AS[[#This Row],[Large Provider Entity Code]]&amp;"; "&amp;R1918&amp;AS[[#This Row],[Age Band Code]]&amp;"; "&amp;S1918&amp;AS[[#This Row],[Sex Code]]</f>
        <v xml:space="preserve">Insurer Code ; Reporting Year ; Insurance Category Code ; Large Provider Entity Code ; Age Band Code ; Sex Code </v>
      </c>
      <c r="N1918" s="345" t="s">
        <v>207</v>
      </c>
      <c r="O1918" s="345" t="s">
        <v>208</v>
      </c>
      <c r="P1918" s="345" t="s">
        <v>209</v>
      </c>
      <c r="Q1918" s="345" t="s">
        <v>210</v>
      </c>
      <c r="R1918" s="345" t="s">
        <v>223</v>
      </c>
      <c r="S1918" s="345" t="s">
        <v>224</v>
      </c>
    </row>
    <row r="1919" spans="1:19" x14ac:dyDescent="0.25">
      <c r="A1919" s="311"/>
      <c r="B1919" s="312"/>
      <c r="C1919" s="312"/>
      <c r="D1919" s="312"/>
      <c r="E1919" s="312"/>
      <c r="F1919" s="312"/>
      <c r="G1919" s="328"/>
      <c r="H1919" s="337"/>
      <c r="I1919" s="334"/>
      <c r="J1919" s="314"/>
      <c r="K1919" s="449"/>
      <c r="M1919" s="349" t="str">
        <f>N1919&amp;AS[[#This Row],[Insurer Code]]&amp;"; "&amp;O1919&amp;AS[[#This Row],[Reporting Year]]&amp;"; "&amp;P1919&amp;AS[[#This Row],[Insurance Category Code]]&amp;"; "&amp;Q1919&amp;AS[[#This Row],[Large Provider Entity Code]]&amp;"; "&amp;R1919&amp;AS[[#This Row],[Age Band Code]]&amp;"; "&amp;S1919&amp;AS[[#This Row],[Sex Code]]</f>
        <v xml:space="preserve">Insurer Code ; Reporting Year ; Insurance Category Code ; Large Provider Entity Code ; Age Band Code ; Sex Code </v>
      </c>
      <c r="N1919" s="345" t="s">
        <v>207</v>
      </c>
      <c r="O1919" s="345" t="s">
        <v>208</v>
      </c>
      <c r="P1919" s="345" t="s">
        <v>209</v>
      </c>
      <c r="Q1919" s="345" t="s">
        <v>210</v>
      </c>
      <c r="R1919" s="345" t="s">
        <v>223</v>
      </c>
      <c r="S1919" s="345" t="s">
        <v>224</v>
      </c>
    </row>
    <row r="1920" spans="1:19" x14ac:dyDescent="0.25">
      <c r="A1920" s="311"/>
      <c r="B1920" s="312"/>
      <c r="C1920" s="312"/>
      <c r="D1920" s="312"/>
      <c r="E1920" s="312"/>
      <c r="F1920" s="312"/>
      <c r="G1920" s="328"/>
      <c r="H1920" s="337"/>
      <c r="I1920" s="334"/>
      <c r="J1920" s="314"/>
      <c r="K1920" s="449"/>
      <c r="M1920" s="349" t="str">
        <f>N1920&amp;AS[[#This Row],[Insurer Code]]&amp;"; "&amp;O1920&amp;AS[[#This Row],[Reporting Year]]&amp;"; "&amp;P1920&amp;AS[[#This Row],[Insurance Category Code]]&amp;"; "&amp;Q1920&amp;AS[[#This Row],[Large Provider Entity Code]]&amp;"; "&amp;R1920&amp;AS[[#This Row],[Age Band Code]]&amp;"; "&amp;S1920&amp;AS[[#This Row],[Sex Code]]</f>
        <v xml:space="preserve">Insurer Code ; Reporting Year ; Insurance Category Code ; Large Provider Entity Code ; Age Band Code ; Sex Code </v>
      </c>
      <c r="N1920" s="345" t="s">
        <v>207</v>
      </c>
      <c r="O1920" s="345" t="s">
        <v>208</v>
      </c>
      <c r="P1920" s="345" t="s">
        <v>209</v>
      </c>
      <c r="Q1920" s="345" t="s">
        <v>210</v>
      </c>
      <c r="R1920" s="345" t="s">
        <v>223</v>
      </c>
      <c r="S1920" s="345" t="s">
        <v>224</v>
      </c>
    </row>
    <row r="1921" spans="1:19" x14ac:dyDescent="0.25">
      <c r="A1921" s="311"/>
      <c r="B1921" s="312"/>
      <c r="C1921" s="312"/>
      <c r="D1921" s="312"/>
      <c r="E1921" s="312"/>
      <c r="F1921" s="312"/>
      <c r="G1921" s="328"/>
      <c r="H1921" s="337"/>
      <c r="I1921" s="334"/>
      <c r="J1921" s="314"/>
      <c r="K1921" s="449"/>
      <c r="M1921" s="349" t="str">
        <f>N1921&amp;AS[[#This Row],[Insurer Code]]&amp;"; "&amp;O1921&amp;AS[[#This Row],[Reporting Year]]&amp;"; "&amp;P1921&amp;AS[[#This Row],[Insurance Category Code]]&amp;"; "&amp;Q1921&amp;AS[[#This Row],[Large Provider Entity Code]]&amp;"; "&amp;R1921&amp;AS[[#This Row],[Age Band Code]]&amp;"; "&amp;S1921&amp;AS[[#This Row],[Sex Code]]</f>
        <v xml:space="preserve">Insurer Code ; Reporting Year ; Insurance Category Code ; Large Provider Entity Code ; Age Band Code ; Sex Code </v>
      </c>
      <c r="N1921" s="345" t="s">
        <v>207</v>
      </c>
      <c r="O1921" s="345" t="s">
        <v>208</v>
      </c>
      <c r="P1921" s="345" t="s">
        <v>209</v>
      </c>
      <c r="Q1921" s="345" t="s">
        <v>210</v>
      </c>
      <c r="R1921" s="345" t="s">
        <v>223</v>
      </c>
      <c r="S1921" s="345" t="s">
        <v>224</v>
      </c>
    </row>
    <row r="1922" spans="1:19" x14ac:dyDescent="0.25">
      <c r="A1922" s="311"/>
      <c r="B1922" s="312"/>
      <c r="C1922" s="312"/>
      <c r="D1922" s="312"/>
      <c r="E1922" s="312"/>
      <c r="F1922" s="312"/>
      <c r="G1922" s="328"/>
      <c r="H1922" s="337"/>
      <c r="I1922" s="334"/>
      <c r="J1922" s="314"/>
      <c r="K1922" s="449"/>
      <c r="M1922" s="349" t="str">
        <f>N1922&amp;AS[[#This Row],[Insurer Code]]&amp;"; "&amp;O1922&amp;AS[[#This Row],[Reporting Year]]&amp;"; "&amp;P1922&amp;AS[[#This Row],[Insurance Category Code]]&amp;"; "&amp;Q1922&amp;AS[[#This Row],[Large Provider Entity Code]]&amp;"; "&amp;R1922&amp;AS[[#This Row],[Age Band Code]]&amp;"; "&amp;S1922&amp;AS[[#This Row],[Sex Code]]</f>
        <v xml:space="preserve">Insurer Code ; Reporting Year ; Insurance Category Code ; Large Provider Entity Code ; Age Band Code ; Sex Code </v>
      </c>
      <c r="N1922" s="345" t="s">
        <v>207</v>
      </c>
      <c r="O1922" s="345" t="s">
        <v>208</v>
      </c>
      <c r="P1922" s="345" t="s">
        <v>209</v>
      </c>
      <c r="Q1922" s="345" t="s">
        <v>210</v>
      </c>
      <c r="R1922" s="345" t="s">
        <v>223</v>
      </c>
      <c r="S1922" s="345" t="s">
        <v>224</v>
      </c>
    </row>
    <row r="1923" spans="1:19" x14ac:dyDescent="0.25">
      <c r="A1923" s="311"/>
      <c r="B1923" s="312"/>
      <c r="C1923" s="312"/>
      <c r="D1923" s="312"/>
      <c r="E1923" s="312"/>
      <c r="F1923" s="312"/>
      <c r="G1923" s="328"/>
      <c r="H1923" s="337"/>
      <c r="I1923" s="334"/>
      <c r="J1923" s="314"/>
      <c r="K1923" s="449"/>
      <c r="M1923" s="349" t="str">
        <f>N1923&amp;AS[[#This Row],[Insurer Code]]&amp;"; "&amp;O1923&amp;AS[[#This Row],[Reporting Year]]&amp;"; "&amp;P1923&amp;AS[[#This Row],[Insurance Category Code]]&amp;"; "&amp;Q1923&amp;AS[[#This Row],[Large Provider Entity Code]]&amp;"; "&amp;R1923&amp;AS[[#This Row],[Age Band Code]]&amp;"; "&amp;S1923&amp;AS[[#This Row],[Sex Code]]</f>
        <v xml:space="preserve">Insurer Code ; Reporting Year ; Insurance Category Code ; Large Provider Entity Code ; Age Band Code ; Sex Code </v>
      </c>
      <c r="N1923" s="345" t="s">
        <v>207</v>
      </c>
      <c r="O1923" s="345" t="s">
        <v>208</v>
      </c>
      <c r="P1923" s="345" t="s">
        <v>209</v>
      </c>
      <c r="Q1923" s="345" t="s">
        <v>210</v>
      </c>
      <c r="R1923" s="345" t="s">
        <v>223</v>
      </c>
      <c r="S1923" s="345" t="s">
        <v>224</v>
      </c>
    </row>
    <row r="1924" spans="1:19" x14ac:dyDescent="0.25">
      <c r="A1924" s="311"/>
      <c r="B1924" s="312"/>
      <c r="C1924" s="312"/>
      <c r="D1924" s="312"/>
      <c r="E1924" s="312"/>
      <c r="F1924" s="312"/>
      <c r="G1924" s="328"/>
      <c r="H1924" s="337"/>
      <c r="I1924" s="334"/>
      <c r="J1924" s="314"/>
      <c r="K1924" s="449"/>
      <c r="M1924" s="349" t="str">
        <f>N1924&amp;AS[[#This Row],[Insurer Code]]&amp;"; "&amp;O1924&amp;AS[[#This Row],[Reporting Year]]&amp;"; "&amp;P1924&amp;AS[[#This Row],[Insurance Category Code]]&amp;"; "&amp;Q1924&amp;AS[[#This Row],[Large Provider Entity Code]]&amp;"; "&amp;R1924&amp;AS[[#This Row],[Age Band Code]]&amp;"; "&amp;S1924&amp;AS[[#This Row],[Sex Code]]</f>
        <v xml:space="preserve">Insurer Code ; Reporting Year ; Insurance Category Code ; Large Provider Entity Code ; Age Band Code ; Sex Code </v>
      </c>
      <c r="N1924" s="345" t="s">
        <v>207</v>
      </c>
      <c r="O1924" s="345" t="s">
        <v>208</v>
      </c>
      <c r="P1924" s="345" t="s">
        <v>209</v>
      </c>
      <c r="Q1924" s="345" t="s">
        <v>210</v>
      </c>
      <c r="R1924" s="345" t="s">
        <v>223</v>
      </c>
      <c r="S1924" s="345" t="s">
        <v>224</v>
      </c>
    </row>
    <row r="1925" spans="1:19" x14ac:dyDescent="0.25">
      <c r="A1925" s="311"/>
      <c r="B1925" s="312"/>
      <c r="C1925" s="312"/>
      <c r="D1925" s="312"/>
      <c r="E1925" s="312"/>
      <c r="F1925" s="312"/>
      <c r="G1925" s="328"/>
      <c r="H1925" s="337"/>
      <c r="I1925" s="334"/>
      <c r="J1925" s="314"/>
      <c r="K1925" s="449"/>
      <c r="M1925" s="349" t="str">
        <f>N1925&amp;AS[[#This Row],[Insurer Code]]&amp;"; "&amp;O1925&amp;AS[[#This Row],[Reporting Year]]&amp;"; "&amp;P1925&amp;AS[[#This Row],[Insurance Category Code]]&amp;"; "&amp;Q1925&amp;AS[[#This Row],[Large Provider Entity Code]]&amp;"; "&amp;R1925&amp;AS[[#This Row],[Age Band Code]]&amp;"; "&amp;S1925&amp;AS[[#This Row],[Sex Code]]</f>
        <v xml:space="preserve">Insurer Code ; Reporting Year ; Insurance Category Code ; Large Provider Entity Code ; Age Band Code ; Sex Code </v>
      </c>
      <c r="N1925" s="345" t="s">
        <v>207</v>
      </c>
      <c r="O1925" s="345" t="s">
        <v>208</v>
      </c>
      <c r="P1925" s="345" t="s">
        <v>209</v>
      </c>
      <c r="Q1925" s="345" t="s">
        <v>210</v>
      </c>
      <c r="R1925" s="345" t="s">
        <v>223</v>
      </c>
      <c r="S1925" s="345" t="s">
        <v>224</v>
      </c>
    </row>
    <row r="1926" spans="1:19" x14ac:dyDescent="0.25">
      <c r="A1926" s="311"/>
      <c r="B1926" s="312"/>
      <c r="C1926" s="312"/>
      <c r="D1926" s="312"/>
      <c r="E1926" s="312"/>
      <c r="F1926" s="312"/>
      <c r="G1926" s="328"/>
      <c r="H1926" s="337"/>
      <c r="I1926" s="334"/>
      <c r="J1926" s="314"/>
      <c r="K1926" s="449"/>
      <c r="M1926" s="349" t="str">
        <f>N1926&amp;AS[[#This Row],[Insurer Code]]&amp;"; "&amp;O1926&amp;AS[[#This Row],[Reporting Year]]&amp;"; "&amp;P1926&amp;AS[[#This Row],[Insurance Category Code]]&amp;"; "&amp;Q1926&amp;AS[[#This Row],[Large Provider Entity Code]]&amp;"; "&amp;R1926&amp;AS[[#This Row],[Age Band Code]]&amp;"; "&amp;S1926&amp;AS[[#This Row],[Sex Code]]</f>
        <v xml:space="preserve">Insurer Code ; Reporting Year ; Insurance Category Code ; Large Provider Entity Code ; Age Band Code ; Sex Code </v>
      </c>
      <c r="N1926" s="345" t="s">
        <v>207</v>
      </c>
      <c r="O1926" s="345" t="s">
        <v>208</v>
      </c>
      <c r="P1926" s="345" t="s">
        <v>209</v>
      </c>
      <c r="Q1926" s="345" t="s">
        <v>210</v>
      </c>
      <c r="R1926" s="345" t="s">
        <v>223</v>
      </c>
      <c r="S1926" s="345" t="s">
        <v>224</v>
      </c>
    </row>
    <row r="1927" spans="1:19" x14ac:dyDescent="0.25">
      <c r="A1927" s="311"/>
      <c r="B1927" s="312"/>
      <c r="C1927" s="312"/>
      <c r="D1927" s="312"/>
      <c r="E1927" s="312"/>
      <c r="F1927" s="312"/>
      <c r="G1927" s="328"/>
      <c r="H1927" s="337"/>
      <c r="I1927" s="334"/>
      <c r="J1927" s="314"/>
      <c r="K1927" s="449"/>
      <c r="M1927" s="349" t="str">
        <f>N1927&amp;AS[[#This Row],[Insurer Code]]&amp;"; "&amp;O1927&amp;AS[[#This Row],[Reporting Year]]&amp;"; "&amp;P1927&amp;AS[[#This Row],[Insurance Category Code]]&amp;"; "&amp;Q1927&amp;AS[[#This Row],[Large Provider Entity Code]]&amp;"; "&amp;R1927&amp;AS[[#This Row],[Age Band Code]]&amp;"; "&amp;S1927&amp;AS[[#This Row],[Sex Code]]</f>
        <v xml:space="preserve">Insurer Code ; Reporting Year ; Insurance Category Code ; Large Provider Entity Code ; Age Band Code ; Sex Code </v>
      </c>
      <c r="N1927" s="345" t="s">
        <v>207</v>
      </c>
      <c r="O1927" s="345" t="s">
        <v>208</v>
      </c>
      <c r="P1927" s="345" t="s">
        <v>209</v>
      </c>
      <c r="Q1927" s="345" t="s">
        <v>210</v>
      </c>
      <c r="R1927" s="345" t="s">
        <v>223</v>
      </c>
      <c r="S1927" s="345" t="s">
        <v>224</v>
      </c>
    </row>
    <row r="1928" spans="1:19" x14ac:dyDescent="0.25">
      <c r="A1928" s="311"/>
      <c r="B1928" s="312"/>
      <c r="C1928" s="312"/>
      <c r="D1928" s="312"/>
      <c r="E1928" s="312"/>
      <c r="F1928" s="312"/>
      <c r="G1928" s="328"/>
      <c r="H1928" s="337"/>
      <c r="I1928" s="334"/>
      <c r="J1928" s="314"/>
      <c r="K1928" s="449"/>
      <c r="M1928" s="349" t="str">
        <f>N1928&amp;AS[[#This Row],[Insurer Code]]&amp;"; "&amp;O1928&amp;AS[[#This Row],[Reporting Year]]&amp;"; "&amp;P1928&amp;AS[[#This Row],[Insurance Category Code]]&amp;"; "&amp;Q1928&amp;AS[[#This Row],[Large Provider Entity Code]]&amp;"; "&amp;R1928&amp;AS[[#This Row],[Age Band Code]]&amp;"; "&amp;S1928&amp;AS[[#This Row],[Sex Code]]</f>
        <v xml:space="preserve">Insurer Code ; Reporting Year ; Insurance Category Code ; Large Provider Entity Code ; Age Band Code ; Sex Code </v>
      </c>
      <c r="N1928" s="345" t="s">
        <v>207</v>
      </c>
      <c r="O1928" s="345" t="s">
        <v>208</v>
      </c>
      <c r="P1928" s="345" t="s">
        <v>209</v>
      </c>
      <c r="Q1928" s="345" t="s">
        <v>210</v>
      </c>
      <c r="R1928" s="345" t="s">
        <v>223</v>
      </c>
      <c r="S1928" s="345" t="s">
        <v>224</v>
      </c>
    </row>
    <row r="1929" spans="1:19" x14ac:dyDescent="0.25">
      <c r="A1929" s="311"/>
      <c r="B1929" s="312"/>
      <c r="C1929" s="312"/>
      <c r="D1929" s="312"/>
      <c r="E1929" s="312"/>
      <c r="F1929" s="312"/>
      <c r="G1929" s="328"/>
      <c r="H1929" s="337"/>
      <c r="I1929" s="334"/>
      <c r="J1929" s="314"/>
      <c r="K1929" s="449"/>
      <c r="M1929" s="349" t="str">
        <f>N1929&amp;AS[[#This Row],[Insurer Code]]&amp;"; "&amp;O1929&amp;AS[[#This Row],[Reporting Year]]&amp;"; "&amp;P1929&amp;AS[[#This Row],[Insurance Category Code]]&amp;"; "&amp;Q1929&amp;AS[[#This Row],[Large Provider Entity Code]]&amp;"; "&amp;R1929&amp;AS[[#This Row],[Age Band Code]]&amp;"; "&amp;S1929&amp;AS[[#This Row],[Sex Code]]</f>
        <v xml:space="preserve">Insurer Code ; Reporting Year ; Insurance Category Code ; Large Provider Entity Code ; Age Band Code ; Sex Code </v>
      </c>
      <c r="N1929" s="345" t="s">
        <v>207</v>
      </c>
      <c r="O1929" s="345" t="s">
        <v>208</v>
      </c>
      <c r="P1929" s="345" t="s">
        <v>209</v>
      </c>
      <c r="Q1929" s="345" t="s">
        <v>210</v>
      </c>
      <c r="R1929" s="345" t="s">
        <v>223</v>
      </c>
      <c r="S1929" s="345" t="s">
        <v>224</v>
      </c>
    </row>
    <row r="1930" spans="1:19" x14ac:dyDescent="0.25">
      <c r="A1930" s="311"/>
      <c r="B1930" s="312"/>
      <c r="C1930" s="312"/>
      <c r="D1930" s="312"/>
      <c r="E1930" s="312"/>
      <c r="F1930" s="312"/>
      <c r="G1930" s="335"/>
      <c r="H1930" s="336"/>
      <c r="I1930" s="334"/>
      <c r="J1930" s="332"/>
      <c r="K1930" s="449"/>
      <c r="M1930" s="349" t="str">
        <f>N1930&amp;AS[[#This Row],[Insurer Code]]&amp;"; "&amp;O1930&amp;AS[[#This Row],[Reporting Year]]&amp;"; "&amp;P1930&amp;AS[[#This Row],[Insurance Category Code]]&amp;"; "&amp;Q1930&amp;AS[[#This Row],[Large Provider Entity Code]]&amp;"; "&amp;R1930&amp;AS[[#This Row],[Age Band Code]]&amp;"; "&amp;S1930&amp;AS[[#This Row],[Sex Code]]</f>
        <v xml:space="preserve">Insurer Code ; Reporting Year ; Insurance Category Code ; Large Provider Entity Code ; Age Band Code ; Sex Code </v>
      </c>
      <c r="N1930" s="345" t="s">
        <v>207</v>
      </c>
      <c r="O1930" s="345" t="s">
        <v>208</v>
      </c>
      <c r="P1930" s="345" t="s">
        <v>209</v>
      </c>
      <c r="Q1930" s="345" t="s">
        <v>210</v>
      </c>
      <c r="R1930" s="345" t="s">
        <v>223</v>
      </c>
      <c r="S1930" s="345" t="s">
        <v>224</v>
      </c>
    </row>
    <row r="1931" spans="1:19" x14ac:dyDescent="0.25">
      <c r="A1931" s="311"/>
      <c r="B1931" s="312"/>
      <c r="C1931" s="312"/>
      <c r="D1931" s="312"/>
      <c r="E1931" s="312"/>
      <c r="F1931" s="312"/>
      <c r="G1931" s="313"/>
      <c r="H1931" s="336"/>
      <c r="I1931" s="334"/>
      <c r="J1931" s="332"/>
      <c r="K1931" s="449"/>
      <c r="M1931" s="349" t="str">
        <f>N1931&amp;AS[[#This Row],[Insurer Code]]&amp;"; "&amp;O1931&amp;AS[[#This Row],[Reporting Year]]&amp;"; "&amp;P1931&amp;AS[[#This Row],[Insurance Category Code]]&amp;"; "&amp;Q1931&amp;AS[[#This Row],[Large Provider Entity Code]]&amp;"; "&amp;R1931&amp;AS[[#This Row],[Age Band Code]]&amp;"; "&amp;S1931&amp;AS[[#This Row],[Sex Code]]</f>
        <v xml:space="preserve">Insurer Code ; Reporting Year ; Insurance Category Code ; Large Provider Entity Code ; Age Band Code ; Sex Code </v>
      </c>
      <c r="N1931" s="345" t="s">
        <v>207</v>
      </c>
      <c r="O1931" s="345" t="s">
        <v>208</v>
      </c>
      <c r="P1931" s="345" t="s">
        <v>209</v>
      </c>
      <c r="Q1931" s="345" t="s">
        <v>210</v>
      </c>
      <c r="R1931" s="345" t="s">
        <v>223</v>
      </c>
      <c r="S1931" s="345" t="s">
        <v>224</v>
      </c>
    </row>
    <row r="1932" spans="1:19" x14ac:dyDescent="0.25">
      <c r="A1932" s="311"/>
      <c r="B1932" s="312"/>
      <c r="C1932" s="312"/>
      <c r="D1932" s="312"/>
      <c r="E1932" s="312"/>
      <c r="F1932" s="312"/>
      <c r="G1932" s="335"/>
      <c r="H1932" s="336"/>
      <c r="I1932" s="334"/>
      <c r="J1932" s="332"/>
      <c r="K1932" s="449"/>
      <c r="M1932" s="349" t="str">
        <f>N1932&amp;AS[[#This Row],[Insurer Code]]&amp;"; "&amp;O1932&amp;AS[[#This Row],[Reporting Year]]&amp;"; "&amp;P1932&amp;AS[[#This Row],[Insurance Category Code]]&amp;"; "&amp;Q1932&amp;AS[[#This Row],[Large Provider Entity Code]]&amp;"; "&amp;R1932&amp;AS[[#This Row],[Age Band Code]]&amp;"; "&amp;S1932&amp;AS[[#This Row],[Sex Code]]</f>
        <v xml:space="preserve">Insurer Code ; Reporting Year ; Insurance Category Code ; Large Provider Entity Code ; Age Band Code ; Sex Code </v>
      </c>
      <c r="N1932" s="345" t="s">
        <v>207</v>
      </c>
      <c r="O1932" s="345" t="s">
        <v>208</v>
      </c>
      <c r="P1932" s="345" t="s">
        <v>209</v>
      </c>
      <c r="Q1932" s="345" t="s">
        <v>210</v>
      </c>
      <c r="R1932" s="345" t="s">
        <v>223</v>
      </c>
      <c r="S1932" s="345" t="s">
        <v>224</v>
      </c>
    </row>
    <row r="1933" spans="1:19" x14ac:dyDescent="0.25">
      <c r="A1933" s="311"/>
      <c r="B1933" s="312"/>
      <c r="C1933" s="312"/>
      <c r="D1933" s="312"/>
      <c r="E1933" s="312"/>
      <c r="F1933" s="312"/>
      <c r="G1933" s="335"/>
      <c r="H1933" s="336"/>
      <c r="I1933" s="334"/>
      <c r="J1933" s="332"/>
      <c r="K1933" s="449"/>
      <c r="M1933" s="349" t="str">
        <f>N1933&amp;AS[[#This Row],[Insurer Code]]&amp;"; "&amp;O1933&amp;AS[[#This Row],[Reporting Year]]&amp;"; "&amp;P1933&amp;AS[[#This Row],[Insurance Category Code]]&amp;"; "&amp;Q1933&amp;AS[[#This Row],[Large Provider Entity Code]]&amp;"; "&amp;R1933&amp;AS[[#This Row],[Age Band Code]]&amp;"; "&amp;S1933&amp;AS[[#This Row],[Sex Code]]</f>
        <v xml:space="preserve">Insurer Code ; Reporting Year ; Insurance Category Code ; Large Provider Entity Code ; Age Band Code ; Sex Code </v>
      </c>
      <c r="N1933" s="345" t="s">
        <v>207</v>
      </c>
      <c r="O1933" s="345" t="s">
        <v>208</v>
      </c>
      <c r="P1933" s="345" t="s">
        <v>209</v>
      </c>
      <c r="Q1933" s="345" t="s">
        <v>210</v>
      </c>
      <c r="R1933" s="345" t="s">
        <v>223</v>
      </c>
      <c r="S1933" s="345" t="s">
        <v>224</v>
      </c>
    </row>
    <row r="1934" spans="1:19" x14ac:dyDescent="0.25">
      <c r="A1934" s="311"/>
      <c r="B1934" s="312"/>
      <c r="C1934" s="312"/>
      <c r="D1934" s="312"/>
      <c r="E1934" s="312"/>
      <c r="F1934" s="312"/>
      <c r="G1934" s="313"/>
      <c r="H1934" s="336"/>
      <c r="I1934" s="334"/>
      <c r="J1934" s="332"/>
      <c r="K1934" s="449"/>
      <c r="M1934" s="349" t="str">
        <f>N1934&amp;AS[[#This Row],[Insurer Code]]&amp;"; "&amp;O1934&amp;AS[[#This Row],[Reporting Year]]&amp;"; "&amp;P1934&amp;AS[[#This Row],[Insurance Category Code]]&amp;"; "&amp;Q1934&amp;AS[[#This Row],[Large Provider Entity Code]]&amp;"; "&amp;R1934&amp;AS[[#This Row],[Age Band Code]]&amp;"; "&amp;S1934&amp;AS[[#This Row],[Sex Code]]</f>
        <v xml:space="preserve">Insurer Code ; Reporting Year ; Insurance Category Code ; Large Provider Entity Code ; Age Band Code ; Sex Code </v>
      </c>
      <c r="N1934" s="345" t="s">
        <v>207</v>
      </c>
      <c r="O1934" s="345" t="s">
        <v>208</v>
      </c>
      <c r="P1934" s="345" t="s">
        <v>209</v>
      </c>
      <c r="Q1934" s="345" t="s">
        <v>210</v>
      </c>
      <c r="R1934" s="345" t="s">
        <v>223</v>
      </c>
      <c r="S1934" s="345" t="s">
        <v>224</v>
      </c>
    </row>
    <row r="1935" spans="1:19" x14ac:dyDescent="0.25">
      <c r="A1935" s="311"/>
      <c r="B1935" s="312"/>
      <c r="C1935" s="312"/>
      <c r="D1935" s="312"/>
      <c r="E1935" s="312"/>
      <c r="F1935" s="312"/>
      <c r="G1935" s="335"/>
      <c r="H1935" s="336"/>
      <c r="I1935" s="334"/>
      <c r="J1935" s="332"/>
      <c r="K1935" s="449"/>
      <c r="M1935" s="349" t="str">
        <f>N1935&amp;AS[[#This Row],[Insurer Code]]&amp;"; "&amp;O1935&amp;AS[[#This Row],[Reporting Year]]&amp;"; "&amp;P1935&amp;AS[[#This Row],[Insurance Category Code]]&amp;"; "&amp;Q1935&amp;AS[[#This Row],[Large Provider Entity Code]]&amp;"; "&amp;R1935&amp;AS[[#This Row],[Age Band Code]]&amp;"; "&amp;S1935&amp;AS[[#This Row],[Sex Code]]</f>
        <v xml:space="preserve">Insurer Code ; Reporting Year ; Insurance Category Code ; Large Provider Entity Code ; Age Band Code ; Sex Code </v>
      </c>
      <c r="N1935" s="345" t="s">
        <v>207</v>
      </c>
      <c r="O1935" s="345" t="s">
        <v>208</v>
      </c>
      <c r="P1935" s="345" t="s">
        <v>209</v>
      </c>
      <c r="Q1935" s="345" t="s">
        <v>210</v>
      </c>
      <c r="R1935" s="345" t="s">
        <v>223</v>
      </c>
      <c r="S1935" s="345" t="s">
        <v>224</v>
      </c>
    </row>
    <row r="1936" spans="1:19" x14ac:dyDescent="0.25">
      <c r="A1936" s="311"/>
      <c r="B1936" s="312"/>
      <c r="C1936" s="312"/>
      <c r="D1936" s="312"/>
      <c r="E1936" s="312"/>
      <c r="F1936" s="312"/>
      <c r="G1936" s="313"/>
      <c r="H1936" s="336"/>
      <c r="I1936" s="334"/>
      <c r="J1936" s="332"/>
      <c r="K1936" s="449"/>
      <c r="M1936" s="349" t="str">
        <f>N1936&amp;AS[[#This Row],[Insurer Code]]&amp;"; "&amp;O1936&amp;AS[[#This Row],[Reporting Year]]&amp;"; "&amp;P1936&amp;AS[[#This Row],[Insurance Category Code]]&amp;"; "&amp;Q1936&amp;AS[[#This Row],[Large Provider Entity Code]]&amp;"; "&amp;R1936&amp;AS[[#This Row],[Age Band Code]]&amp;"; "&amp;S1936&amp;AS[[#This Row],[Sex Code]]</f>
        <v xml:space="preserve">Insurer Code ; Reporting Year ; Insurance Category Code ; Large Provider Entity Code ; Age Band Code ; Sex Code </v>
      </c>
      <c r="N1936" s="345" t="s">
        <v>207</v>
      </c>
      <c r="O1936" s="345" t="s">
        <v>208</v>
      </c>
      <c r="P1936" s="345" t="s">
        <v>209</v>
      </c>
      <c r="Q1936" s="345" t="s">
        <v>210</v>
      </c>
      <c r="R1936" s="345" t="s">
        <v>223</v>
      </c>
      <c r="S1936" s="345" t="s">
        <v>224</v>
      </c>
    </row>
    <row r="1937" spans="1:19" x14ac:dyDescent="0.25">
      <c r="A1937" s="311"/>
      <c r="B1937" s="312"/>
      <c r="C1937" s="312"/>
      <c r="D1937" s="312"/>
      <c r="E1937" s="312"/>
      <c r="F1937" s="312"/>
      <c r="G1937" s="335"/>
      <c r="H1937" s="336"/>
      <c r="I1937" s="334"/>
      <c r="J1937" s="332"/>
      <c r="K1937" s="449"/>
      <c r="M1937" s="349" t="str">
        <f>N1937&amp;AS[[#This Row],[Insurer Code]]&amp;"; "&amp;O1937&amp;AS[[#This Row],[Reporting Year]]&amp;"; "&amp;P1937&amp;AS[[#This Row],[Insurance Category Code]]&amp;"; "&amp;Q1937&amp;AS[[#This Row],[Large Provider Entity Code]]&amp;"; "&amp;R1937&amp;AS[[#This Row],[Age Band Code]]&amp;"; "&amp;S1937&amp;AS[[#This Row],[Sex Code]]</f>
        <v xml:space="preserve">Insurer Code ; Reporting Year ; Insurance Category Code ; Large Provider Entity Code ; Age Band Code ; Sex Code </v>
      </c>
      <c r="N1937" s="345" t="s">
        <v>207</v>
      </c>
      <c r="O1937" s="345" t="s">
        <v>208</v>
      </c>
      <c r="P1937" s="345" t="s">
        <v>209</v>
      </c>
      <c r="Q1937" s="345" t="s">
        <v>210</v>
      </c>
      <c r="R1937" s="345" t="s">
        <v>223</v>
      </c>
      <c r="S1937" s="345" t="s">
        <v>224</v>
      </c>
    </row>
    <row r="1938" spans="1:19" x14ac:dyDescent="0.25">
      <c r="A1938" s="311"/>
      <c r="B1938" s="312"/>
      <c r="C1938" s="312"/>
      <c r="D1938" s="312"/>
      <c r="E1938" s="312"/>
      <c r="F1938" s="312"/>
      <c r="G1938" s="335"/>
      <c r="H1938" s="336"/>
      <c r="I1938" s="334"/>
      <c r="J1938" s="332"/>
      <c r="K1938" s="449"/>
      <c r="M1938" s="349" t="str">
        <f>N1938&amp;AS[[#This Row],[Insurer Code]]&amp;"; "&amp;O1938&amp;AS[[#This Row],[Reporting Year]]&amp;"; "&amp;P1938&amp;AS[[#This Row],[Insurance Category Code]]&amp;"; "&amp;Q1938&amp;AS[[#This Row],[Large Provider Entity Code]]&amp;"; "&amp;R1938&amp;AS[[#This Row],[Age Band Code]]&amp;"; "&amp;S1938&amp;AS[[#This Row],[Sex Code]]</f>
        <v xml:space="preserve">Insurer Code ; Reporting Year ; Insurance Category Code ; Large Provider Entity Code ; Age Band Code ; Sex Code </v>
      </c>
      <c r="N1938" s="345" t="s">
        <v>207</v>
      </c>
      <c r="O1938" s="345" t="s">
        <v>208</v>
      </c>
      <c r="P1938" s="345" t="s">
        <v>209</v>
      </c>
      <c r="Q1938" s="345" t="s">
        <v>210</v>
      </c>
      <c r="R1938" s="345" t="s">
        <v>223</v>
      </c>
      <c r="S1938" s="345" t="s">
        <v>224</v>
      </c>
    </row>
    <row r="1939" spans="1:19" x14ac:dyDescent="0.25">
      <c r="A1939" s="311"/>
      <c r="B1939" s="312"/>
      <c r="C1939" s="312"/>
      <c r="D1939" s="312"/>
      <c r="E1939" s="312"/>
      <c r="F1939" s="312"/>
      <c r="G1939" s="313"/>
      <c r="H1939" s="336"/>
      <c r="I1939" s="334"/>
      <c r="J1939" s="332"/>
      <c r="K1939" s="449"/>
      <c r="M1939" s="349" t="str">
        <f>N1939&amp;AS[[#This Row],[Insurer Code]]&amp;"; "&amp;O1939&amp;AS[[#This Row],[Reporting Year]]&amp;"; "&amp;P1939&amp;AS[[#This Row],[Insurance Category Code]]&amp;"; "&amp;Q1939&amp;AS[[#This Row],[Large Provider Entity Code]]&amp;"; "&amp;R1939&amp;AS[[#This Row],[Age Band Code]]&amp;"; "&amp;S1939&amp;AS[[#This Row],[Sex Code]]</f>
        <v xml:space="preserve">Insurer Code ; Reporting Year ; Insurance Category Code ; Large Provider Entity Code ; Age Band Code ; Sex Code </v>
      </c>
      <c r="N1939" s="345" t="s">
        <v>207</v>
      </c>
      <c r="O1939" s="345" t="s">
        <v>208</v>
      </c>
      <c r="P1939" s="345" t="s">
        <v>209</v>
      </c>
      <c r="Q1939" s="345" t="s">
        <v>210</v>
      </c>
      <c r="R1939" s="345" t="s">
        <v>223</v>
      </c>
      <c r="S1939" s="345" t="s">
        <v>224</v>
      </c>
    </row>
    <row r="1940" spans="1:19" x14ac:dyDescent="0.25">
      <c r="A1940" s="311"/>
      <c r="B1940" s="312"/>
      <c r="C1940" s="312"/>
      <c r="D1940" s="312"/>
      <c r="E1940" s="312"/>
      <c r="F1940" s="312"/>
      <c r="G1940" s="335"/>
      <c r="H1940" s="336"/>
      <c r="I1940" s="334"/>
      <c r="J1940" s="332"/>
      <c r="K1940" s="449"/>
      <c r="M1940" s="349" t="str">
        <f>N1940&amp;AS[[#This Row],[Insurer Code]]&amp;"; "&amp;O1940&amp;AS[[#This Row],[Reporting Year]]&amp;"; "&amp;P1940&amp;AS[[#This Row],[Insurance Category Code]]&amp;"; "&amp;Q1940&amp;AS[[#This Row],[Large Provider Entity Code]]&amp;"; "&amp;R1940&amp;AS[[#This Row],[Age Band Code]]&amp;"; "&amp;S1940&amp;AS[[#This Row],[Sex Code]]</f>
        <v xml:space="preserve">Insurer Code ; Reporting Year ; Insurance Category Code ; Large Provider Entity Code ; Age Band Code ; Sex Code </v>
      </c>
      <c r="N1940" s="345" t="s">
        <v>207</v>
      </c>
      <c r="O1940" s="345" t="s">
        <v>208</v>
      </c>
      <c r="P1940" s="345" t="s">
        <v>209</v>
      </c>
      <c r="Q1940" s="345" t="s">
        <v>210</v>
      </c>
      <c r="R1940" s="345" t="s">
        <v>223</v>
      </c>
      <c r="S1940" s="345" t="s">
        <v>224</v>
      </c>
    </row>
    <row r="1941" spans="1:19" x14ac:dyDescent="0.25">
      <c r="A1941" s="311"/>
      <c r="B1941" s="312"/>
      <c r="C1941" s="312"/>
      <c r="D1941" s="312"/>
      <c r="E1941" s="312"/>
      <c r="F1941" s="312"/>
      <c r="G1941" s="328"/>
      <c r="H1941" s="337"/>
      <c r="I1941" s="334"/>
      <c r="J1941" s="314"/>
      <c r="K1941" s="449"/>
      <c r="M1941" s="349" t="str">
        <f>N1941&amp;AS[[#This Row],[Insurer Code]]&amp;"; "&amp;O1941&amp;AS[[#This Row],[Reporting Year]]&amp;"; "&amp;P1941&amp;AS[[#This Row],[Insurance Category Code]]&amp;"; "&amp;Q1941&amp;AS[[#This Row],[Large Provider Entity Code]]&amp;"; "&amp;R1941&amp;AS[[#This Row],[Age Band Code]]&amp;"; "&amp;S1941&amp;AS[[#This Row],[Sex Code]]</f>
        <v xml:space="preserve">Insurer Code ; Reporting Year ; Insurance Category Code ; Large Provider Entity Code ; Age Band Code ; Sex Code </v>
      </c>
      <c r="N1941" s="345" t="s">
        <v>207</v>
      </c>
      <c r="O1941" s="345" t="s">
        <v>208</v>
      </c>
      <c r="P1941" s="345" t="s">
        <v>209</v>
      </c>
      <c r="Q1941" s="345" t="s">
        <v>210</v>
      </c>
      <c r="R1941" s="345" t="s">
        <v>223</v>
      </c>
      <c r="S1941" s="345" t="s">
        <v>224</v>
      </c>
    </row>
    <row r="1942" spans="1:19" x14ac:dyDescent="0.25">
      <c r="A1942" s="311"/>
      <c r="B1942" s="312"/>
      <c r="C1942" s="312"/>
      <c r="D1942" s="312"/>
      <c r="E1942" s="312"/>
      <c r="F1942" s="312"/>
      <c r="G1942" s="328"/>
      <c r="H1942" s="337"/>
      <c r="I1942" s="334"/>
      <c r="J1942" s="314"/>
      <c r="K1942" s="449"/>
      <c r="M1942" s="349" t="str">
        <f>N1942&amp;AS[[#This Row],[Insurer Code]]&amp;"; "&amp;O1942&amp;AS[[#This Row],[Reporting Year]]&amp;"; "&amp;P1942&amp;AS[[#This Row],[Insurance Category Code]]&amp;"; "&amp;Q1942&amp;AS[[#This Row],[Large Provider Entity Code]]&amp;"; "&amp;R1942&amp;AS[[#This Row],[Age Band Code]]&amp;"; "&amp;S1942&amp;AS[[#This Row],[Sex Code]]</f>
        <v xml:space="preserve">Insurer Code ; Reporting Year ; Insurance Category Code ; Large Provider Entity Code ; Age Band Code ; Sex Code </v>
      </c>
      <c r="N1942" s="345" t="s">
        <v>207</v>
      </c>
      <c r="O1942" s="345" t="s">
        <v>208</v>
      </c>
      <c r="P1942" s="345" t="s">
        <v>209</v>
      </c>
      <c r="Q1942" s="345" t="s">
        <v>210</v>
      </c>
      <c r="R1942" s="345" t="s">
        <v>223</v>
      </c>
      <c r="S1942" s="345" t="s">
        <v>224</v>
      </c>
    </row>
    <row r="1943" spans="1:19" x14ac:dyDescent="0.25">
      <c r="A1943" s="311"/>
      <c r="B1943" s="312"/>
      <c r="C1943" s="312"/>
      <c r="D1943" s="312"/>
      <c r="E1943" s="312"/>
      <c r="F1943" s="312"/>
      <c r="G1943" s="328"/>
      <c r="H1943" s="337"/>
      <c r="I1943" s="334"/>
      <c r="J1943" s="314"/>
      <c r="K1943" s="449"/>
      <c r="M1943" s="349" t="str">
        <f>N1943&amp;AS[[#This Row],[Insurer Code]]&amp;"; "&amp;O1943&amp;AS[[#This Row],[Reporting Year]]&amp;"; "&amp;P1943&amp;AS[[#This Row],[Insurance Category Code]]&amp;"; "&amp;Q1943&amp;AS[[#This Row],[Large Provider Entity Code]]&amp;"; "&amp;R1943&amp;AS[[#This Row],[Age Band Code]]&amp;"; "&amp;S1943&amp;AS[[#This Row],[Sex Code]]</f>
        <v xml:space="preserve">Insurer Code ; Reporting Year ; Insurance Category Code ; Large Provider Entity Code ; Age Band Code ; Sex Code </v>
      </c>
      <c r="N1943" s="345" t="s">
        <v>207</v>
      </c>
      <c r="O1943" s="345" t="s">
        <v>208</v>
      </c>
      <c r="P1943" s="345" t="s">
        <v>209</v>
      </c>
      <c r="Q1943" s="345" t="s">
        <v>210</v>
      </c>
      <c r="R1943" s="345" t="s">
        <v>223</v>
      </c>
      <c r="S1943" s="345" t="s">
        <v>224</v>
      </c>
    </row>
    <row r="1944" spans="1:19" x14ac:dyDescent="0.25">
      <c r="A1944" s="311"/>
      <c r="B1944" s="312"/>
      <c r="C1944" s="312"/>
      <c r="D1944" s="312"/>
      <c r="E1944" s="312"/>
      <c r="F1944" s="312"/>
      <c r="G1944" s="328"/>
      <c r="H1944" s="337"/>
      <c r="I1944" s="334"/>
      <c r="J1944" s="314"/>
      <c r="K1944" s="449"/>
      <c r="M1944" s="349" t="str">
        <f>N1944&amp;AS[[#This Row],[Insurer Code]]&amp;"; "&amp;O1944&amp;AS[[#This Row],[Reporting Year]]&amp;"; "&amp;P1944&amp;AS[[#This Row],[Insurance Category Code]]&amp;"; "&amp;Q1944&amp;AS[[#This Row],[Large Provider Entity Code]]&amp;"; "&amp;R1944&amp;AS[[#This Row],[Age Band Code]]&amp;"; "&amp;S1944&amp;AS[[#This Row],[Sex Code]]</f>
        <v xml:space="preserve">Insurer Code ; Reporting Year ; Insurance Category Code ; Large Provider Entity Code ; Age Band Code ; Sex Code </v>
      </c>
      <c r="N1944" s="345" t="s">
        <v>207</v>
      </c>
      <c r="O1944" s="345" t="s">
        <v>208</v>
      </c>
      <c r="P1944" s="345" t="s">
        <v>209</v>
      </c>
      <c r="Q1944" s="345" t="s">
        <v>210</v>
      </c>
      <c r="R1944" s="345" t="s">
        <v>223</v>
      </c>
      <c r="S1944" s="345" t="s">
        <v>224</v>
      </c>
    </row>
    <row r="1945" spans="1:19" x14ac:dyDescent="0.25">
      <c r="A1945" s="311"/>
      <c r="B1945" s="312"/>
      <c r="C1945" s="312"/>
      <c r="D1945" s="312"/>
      <c r="E1945" s="312"/>
      <c r="F1945" s="312"/>
      <c r="G1945" s="328"/>
      <c r="H1945" s="337"/>
      <c r="I1945" s="334"/>
      <c r="J1945" s="314"/>
      <c r="K1945" s="449"/>
      <c r="M1945" s="349" t="str">
        <f>N1945&amp;AS[[#This Row],[Insurer Code]]&amp;"; "&amp;O1945&amp;AS[[#This Row],[Reporting Year]]&amp;"; "&amp;P1945&amp;AS[[#This Row],[Insurance Category Code]]&amp;"; "&amp;Q1945&amp;AS[[#This Row],[Large Provider Entity Code]]&amp;"; "&amp;R1945&amp;AS[[#This Row],[Age Band Code]]&amp;"; "&amp;S1945&amp;AS[[#This Row],[Sex Code]]</f>
        <v xml:space="preserve">Insurer Code ; Reporting Year ; Insurance Category Code ; Large Provider Entity Code ; Age Band Code ; Sex Code </v>
      </c>
      <c r="N1945" s="345" t="s">
        <v>207</v>
      </c>
      <c r="O1945" s="345" t="s">
        <v>208</v>
      </c>
      <c r="P1945" s="345" t="s">
        <v>209</v>
      </c>
      <c r="Q1945" s="345" t="s">
        <v>210</v>
      </c>
      <c r="R1945" s="345" t="s">
        <v>223</v>
      </c>
      <c r="S1945" s="345" t="s">
        <v>224</v>
      </c>
    </row>
    <row r="1946" spans="1:19" x14ac:dyDescent="0.25">
      <c r="A1946" s="311"/>
      <c r="B1946" s="312"/>
      <c r="C1946" s="312"/>
      <c r="D1946" s="312"/>
      <c r="E1946" s="312"/>
      <c r="F1946" s="312"/>
      <c r="G1946" s="328"/>
      <c r="H1946" s="337"/>
      <c r="I1946" s="334"/>
      <c r="J1946" s="314"/>
      <c r="K1946" s="449"/>
      <c r="M1946" s="349" t="str">
        <f>N1946&amp;AS[[#This Row],[Insurer Code]]&amp;"; "&amp;O1946&amp;AS[[#This Row],[Reporting Year]]&amp;"; "&amp;P1946&amp;AS[[#This Row],[Insurance Category Code]]&amp;"; "&amp;Q1946&amp;AS[[#This Row],[Large Provider Entity Code]]&amp;"; "&amp;R1946&amp;AS[[#This Row],[Age Band Code]]&amp;"; "&amp;S1946&amp;AS[[#This Row],[Sex Code]]</f>
        <v xml:space="preserve">Insurer Code ; Reporting Year ; Insurance Category Code ; Large Provider Entity Code ; Age Band Code ; Sex Code </v>
      </c>
      <c r="N1946" s="345" t="s">
        <v>207</v>
      </c>
      <c r="O1946" s="345" t="s">
        <v>208</v>
      </c>
      <c r="P1946" s="345" t="s">
        <v>209</v>
      </c>
      <c r="Q1946" s="345" t="s">
        <v>210</v>
      </c>
      <c r="R1946" s="345" t="s">
        <v>223</v>
      </c>
      <c r="S1946" s="345" t="s">
        <v>224</v>
      </c>
    </row>
    <row r="1947" spans="1:19" x14ac:dyDescent="0.25">
      <c r="A1947" s="311"/>
      <c r="B1947" s="312"/>
      <c r="C1947" s="312"/>
      <c r="D1947" s="312"/>
      <c r="E1947" s="312"/>
      <c r="F1947" s="312"/>
      <c r="G1947" s="328"/>
      <c r="H1947" s="337"/>
      <c r="I1947" s="334"/>
      <c r="J1947" s="314"/>
      <c r="K1947" s="449"/>
      <c r="M1947" s="349" t="str">
        <f>N1947&amp;AS[[#This Row],[Insurer Code]]&amp;"; "&amp;O1947&amp;AS[[#This Row],[Reporting Year]]&amp;"; "&amp;P1947&amp;AS[[#This Row],[Insurance Category Code]]&amp;"; "&amp;Q1947&amp;AS[[#This Row],[Large Provider Entity Code]]&amp;"; "&amp;R1947&amp;AS[[#This Row],[Age Band Code]]&amp;"; "&amp;S1947&amp;AS[[#This Row],[Sex Code]]</f>
        <v xml:space="preserve">Insurer Code ; Reporting Year ; Insurance Category Code ; Large Provider Entity Code ; Age Band Code ; Sex Code </v>
      </c>
      <c r="N1947" s="345" t="s">
        <v>207</v>
      </c>
      <c r="O1947" s="345" t="s">
        <v>208</v>
      </c>
      <c r="P1947" s="345" t="s">
        <v>209</v>
      </c>
      <c r="Q1947" s="345" t="s">
        <v>210</v>
      </c>
      <c r="R1947" s="345" t="s">
        <v>223</v>
      </c>
      <c r="S1947" s="345" t="s">
        <v>224</v>
      </c>
    </row>
    <row r="1948" spans="1:19" x14ac:dyDescent="0.25">
      <c r="A1948" s="311"/>
      <c r="B1948" s="312"/>
      <c r="C1948" s="312"/>
      <c r="D1948" s="312"/>
      <c r="E1948" s="312"/>
      <c r="F1948" s="312"/>
      <c r="G1948" s="328"/>
      <c r="H1948" s="337"/>
      <c r="I1948" s="334"/>
      <c r="J1948" s="314"/>
      <c r="K1948" s="449"/>
      <c r="M1948" s="349" t="str">
        <f>N1948&amp;AS[[#This Row],[Insurer Code]]&amp;"; "&amp;O1948&amp;AS[[#This Row],[Reporting Year]]&amp;"; "&amp;P1948&amp;AS[[#This Row],[Insurance Category Code]]&amp;"; "&amp;Q1948&amp;AS[[#This Row],[Large Provider Entity Code]]&amp;"; "&amp;R1948&amp;AS[[#This Row],[Age Band Code]]&amp;"; "&amp;S1948&amp;AS[[#This Row],[Sex Code]]</f>
        <v xml:space="preserve">Insurer Code ; Reporting Year ; Insurance Category Code ; Large Provider Entity Code ; Age Band Code ; Sex Code </v>
      </c>
      <c r="N1948" s="345" t="s">
        <v>207</v>
      </c>
      <c r="O1948" s="345" t="s">
        <v>208</v>
      </c>
      <c r="P1948" s="345" t="s">
        <v>209</v>
      </c>
      <c r="Q1948" s="345" t="s">
        <v>210</v>
      </c>
      <c r="R1948" s="345" t="s">
        <v>223</v>
      </c>
      <c r="S1948" s="345" t="s">
        <v>224</v>
      </c>
    </row>
    <row r="1949" spans="1:19" x14ac:dyDescent="0.25">
      <c r="A1949" s="311"/>
      <c r="B1949" s="312"/>
      <c r="C1949" s="312"/>
      <c r="D1949" s="312"/>
      <c r="E1949" s="312"/>
      <c r="F1949" s="312"/>
      <c r="G1949" s="328"/>
      <c r="H1949" s="337"/>
      <c r="I1949" s="334"/>
      <c r="J1949" s="314"/>
      <c r="K1949" s="449"/>
      <c r="M1949" s="349" t="str">
        <f>N1949&amp;AS[[#This Row],[Insurer Code]]&amp;"; "&amp;O1949&amp;AS[[#This Row],[Reporting Year]]&amp;"; "&amp;P1949&amp;AS[[#This Row],[Insurance Category Code]]&amp;"; "&amp;Q1949&amp;AS[[#This Row],[Large Provider Entity Code]]&amp;"; "&amp;R1949&amp;AS[[#This Row],[Age Band Code]]&amp;"; "&amp;S1949&amp;AS[[#This Row],[Sex Code]]</f>
        <v xml:space="preserve">Insurer Code ; Reporting Year ; Insurance Category Code ; Large Provider Entity Code ; Age Band Code ; Sex Code </v>
      </c>
      <c r="N1949" s="345" t="s">
        <v>207</v>
      </c>
      <c r="O1949" s="345" t="s">
        <v>208</v>
      </c>
      <c r="P1949" s="345" t="s">
        <v>209</v>
      </c>
      <c r="Q1949" s="345" t="s">
        <v>210</v>
      </c>
      <c r="R1949" s="345" t="s">
        <v>223</v>
      </c>
      <c r="S1949" s="345" t="s">
        <v>224</v>
      </c>
    </row>
    <row r="1950" spans="1:19" x14ac:dyDescent="0.25">
      <c r="A1950" s="311"/>
      <c r="B1950" s="312"/>
      <c r="C1950" s="312"/>
      <c r="D1950" s="312"/>
      <c r="E1950" s="312"/>
      <c r="F1950" s="312"/>
      <c r="G1950" s="328"/>
      <c r="H1950" s="337"/>
      <c r="I1950" s="334"/>
      <c r="J1950" s="314"/>
      <c r="K1950" s="449"/>
      <c r="M1950" s="349" t="str">
        <f>N1950&amp;AS[[#This Row],[Insurer Code]]&amp;"; "&amp;O1950&amp;AS[[#This Row],[Reporting Year]]&amp;"; "&amp;P1950&amp;AS[[#This Row],[Insurance Category Code]]&amp;"; "&amp;Q1950&amp;AS[[#This Row],[Large Provider Entity Code]]&amp;"; "&amp;R1950&amp;AS[[#This Row],[Age Band Code]]&amp;"; "&amp;S1950&amp;AS[[#This Row],[Sex Code]]</f>
        <v xml:space="preserve">Insurer Code ; Reporting Year ; Insurance Category Code ; Large Provider Entity Code ; Age Band Code ; Sex Code </v>
      </c>
      <c r="N1950" s="345" t="s">
        <v>207</v>
      </c>
      <c r="O1950" s="345" t="s">
        <v>208</v>
      </c>
      <c r="P1950" s="345" t="s">
        <v>209</v>
      </c>
      <c r="Q1950" s="345" t="s">
        <v>210</v>
      </c>
      <c r="R1950" s="345" t="s">
        <v>223</v>
      </c>
      <c r="S1950" s="345" t="s">
        <v>224</v>
      </c>
    </row>
    <row r="1951" spans="1:19" x14ac:dyDescent="0.25">
      <c r="A1951" s="311"/>
      <c r="B1951" s="312"/>
      <c r="C1951" s="312"/>
      <c r="D1951" s="312"/>
      <c r="E1951" s="312"/>
      <c r="F1951" s="312"/>
      <c r="G1951" s="328"/>
      <c r="H1951" s="337"/>
      <c r="I1951" s="334"/>
      <c r="J1951" s="314"/>
      <c r="K1951" s="449"/>
      <c r="M1951" s="349" t="str">
        <f>N1951&amp;AS[[#This Row],[Insurer Code]]&amp;"; "&amp;O1951&amp;AS[[#This Row],[Reporting Year]]&amp;"; "&amp;P1951&amp;AS[[#This Row],[Insurance Category Code]]&amp;"; "&amp;Q1951&amp;AS[[#This Row],[Large Provider Entity Code]]&amp;"; "&amp;R1951&amp;AS[[#This Row],[Age Band Code]]&amp;"; "&amp;S1951&amp;AS[[#This Row],[Sex Code]]</f>
        <v xml:space="preserve">Insurer Code ; Reporting Year ; Insurance Category Code ; Large Provider Entity Code ; Age Band Code ; Sex Code </v>
      </c>
      <c r="N1951" s="345" t="s">
        <v>207</v>
      </c>
      <c r="O1951" s="345" t="s">
        <v>208</v>
      </c>
      <c r="P1951" s="345" t="s">
        <v>209</v>
      </c>
      <c r="Q1951" s="345" t="s">
        <v>210</v>
      </c>
      <c r="R1951" s="345" t="s">
        <v>223</v>
      </c>
      <c r="S1951" s="345" t="s">
        <v>224</v>
      </c>
    </row>
    <row r="1952" spans="1:19" x14ac:dyDescent="0.25">
      <c r="A1952" s="311"/>
      <c r="B1952" s="312"/>
      <c r="C1952" s="312"/>
      <c r="D1952" s="312"/>
      <c r="E1952" s="312"/>
      <c r="F1952" s="312"/>
      <c r="G1952" s="328"/>
      <c r="H1952" s="337"/>
      <c r="I1952" s="334"/>
      <c r="J1952" s="314"/>
      <c r="K1952" s="449"/>
      <c r="M1952" s="349" t="str">
        <f>N1952&amp;AS[[#This Row],[Insurer Code]]&amp;"; "&amp;O1952&amp;AS[[#This Row],[Reporting Year]]&amp;"; "&amp;P1952&amp;AS[[#This Row],[Insurance Category Code]]&amp;"; "&amp;Q1952&amp;AS[[#This Row],[Large Provider Entity Code]]&amp;"; "&amp;R1952&amp;AS[[#This Row],[Age Band Code]]&amp;"; "&amp;S1952&amp;AS[[#This Row],[Sex Code]]</f>
        <v xml:space="preserve">Insurer Code ; Reporting Year ; Insurance Category Code ; Large Provider Entity Code ; Age Band Code ; Sex Code </v>
      </c>
      <c r="N1952" s="345" t="s">
        <v>207</v>
      </c>
      <c r="O1952" s="345" t="s">
        <v>208</v>
      </c>
      <c r="P1952" s="345" t="s">
        <v>209</v>
      </c>
      <c r="Q1952" s="345" t="s">
        <v>210</v>
      </c>
      <c r="R1952" s="345" t="s">
        <v>223</v>
      </c>
      <c r="S1952" s="345" t="s">
        <v>224</v>
      </c>
    </row>
    <row r="1953" spans="1:19" x14ac:dyDescent="0.25">
      <c r="A1953" s="311"/>
      <c r="B1953" s="312"/>
      <c r="C1953" s="312"/>
      <c r="D1953" s="312"/>
      <c r="E1953" s="312"/>
      <c r="F1953" s="312"/>
      <c r="G1953" s="328"/>
      <c r="H1953" s="337"/>
      <c r="I1953" s="334"/>
      <c r="J1953" s="314"/>
      <c r="K1953" s="449"/>
      <c r="M1953" s="349" t="str">
        <f>N1953&amp;AS[[#This Row],[Insurer Code]]&amp;"; "&amp;O1953&amp;AS[[#This Row],[Reporting Year]]&amp;"; "&amp;P1953&amp;AS[[#This Row],[Insurance Category Code]]&amp;"; "&amp;Q1953&amp;AS[[#This Row],[Large Provider Entity Code]]&amp;"; "&amp;R1953&amp;AS[[#This Row],[Age Band Code]]&amp;"; "&amp;S1953&amp;AS[[#This Row],[Sex Code]]</f>
        <v xml:space="preserve">Insurer Code ; Reporting Year ; Insurance Category Code ; Large Provider Entity Code ; Age Band Code ; Sex Code </v>
      </c>
      <c r="N1953" s="345" t="s">
        <v>207</v>
      </c>
      <c r="O1953" s="345" t="s">
        <v>208</v>
      </c>
      <c r="P1953" s="345" t="s">
        <v>209</v>
      </c>
      <c r="Q1953" s="345" t="s">
        <v>210</v>
      </c>
      <c r="R1953" s="345" t="s">
        <v>223</v>
      </c>
      <c r="S1953" s="345" t="s">
        <v>224</v>
      </c>
    </row>
    <row r="1954" spans="1:19" x14ac:dyDescent="0.25">
      <c r="A1954" s="311"/>
      <c r="B1954" s="312"/>
      <c r="C1954" s="312"/>
      <c r="D1954" s="312"/>
      <c r="E1954" s="312"/>
      <c r="F1954" s="312"/>
      <c r="G1954" s="328"/>
      <c r="H1954" s="337"/>
      <c r="I1954" s="334"/>
      <c r="J1954" s="314"/>
      <c r="K1954" s="449"/>
      <c r="M1954" s="349" t="str">
        <f>N1954&amp;AS[[#This Row],[Insurer Code]]&amp;"; "&amp;O1954&amp;AS[[#This Row],[Reporting Year]]&amp;"; "&amp;P1954&amp;AS[[#This Row],[Insurance Category Code]]&amp;"; "&amp;Q1954&amp;AS[[#This Row],[Large Provider Entity Code]]&amp;"; "&amp;R1954&amp;AS[[#This Row],[Age Band Code]]&amp;"; "&amp;S1954&amp;AS[[#This Row],[Sex Code]]</f>
        <v xml:space="preserve">Insurer Code ; Reporting Year ; Insurance Category Code ; Large Provider Entity Code ; Age Band Code ; Sex Code </v>
      </c>
      <c r="N1954" s="345" t="s">
        <v>207</v>
      </c>
      <c r="O1954" s="345" t="s">
        <v>208</v>
      </c>
      <c r="P1954" s="345" t="s">
        <v>209</v>
      </c>
      <c r="Q1954" s="345" t="s">
        <v>210</v>
      </c>
      <c r="R1954" s="345" t="s">
        <v>223</v>
      </c>
      <c r="S1954" s="345" t="s">
        <v>224</v>
      </c>
    </row>
    <row r="1955" spans="1:19" x14ac:dyDescent="0.25">
      <c r="A1955" s="311"/>
      <c r="B1955" s="312"/>
      <c r="C1955" s="312"/>
      <c r="D1955" s="312"/>
      <c r="E1955" s="312"/>
      <c r="F1955" s="312"/>
      <c r="G1955" s="328"/>
      <c r="H1955" s="337"/>
      <c r="I1955" s="334"/>
      <c r="J1955" s="314"/>
      <c r="K1955" s="449"/>
      <c r="M1955" s="349" t="str">
        <f>N1955&amp;AS[[#This Row],[Insurer Code]]&amp;"; "&amp;O1955&amp;AS[[#This Row],[Reporting Year]]&amp;"; "&amp;P1955&amp;AS[[#This Row],[Insurance Category Code]]&amp;"; "&amp;Q1955&amp;AS[[#This Row],[Large Provider Entity Code]]&amp;"; "&amp;R1955&amp;AS[[#This Row],[Age Band Code]]&amp;"; "&amp;S1955&amp;AS[[#This Row],[Sex Code]]</f>
        <v xml:space="preserve">Insurer Code ; Reporting Year ; Insurance Category Code ; Large Provider Entity Code ; Age Band Code ; Sex Code </v>
      </c>
      <c r="N1955" s="345" t="s">
        <v>207</v>
      </c>
      <c r="O1955" s="345" t="s">
        <v>208</v>
      </c>
      <c r="P1955" s="345" t="s">
        <v>209</v>
      </c>
      <c r="Q1955" s="345" t="s">
        <v>210</v>
      </c>
      <c r="R1955" s="345" t="s">
        <v>223</v>
      </c>
      <c r="S1955" s="345" t="s">
        <v>224</v>
      </c>
    </row>
    <row r="1956" spans="1:19" x14ac:dyDescent="0.25">
      <c r="A1956" s="311"/>
      <c r="B1956" s="312"/>
      <c r="C1956" s="312"/>
      <c r="D1956" s="312"/>
      <c r="E1956" s="312"/>
      <c r="F1956" s="312"/>
      <c r="G1956" s="328"/>
      <c r="H1956" s="337"/>
      <c r="I1956" s="334"/>
      <c r="J1956" s="314"/>
      <c r="K1956" s="449"/>
      <c r="M1956" s="349" t="str">
        <f>N1956&amp;AS[[#This Row],[Insurer Code]]&amp;"; "&amp;O1956&amp;AS[[#This Row],[Reporting Year]]&amp;"; "&amp;P1956&amp;AS[[#This Row],[Insurance Category Code]]&amp;"; "&amp;Q1956&amp;AS[[#This Row],[Large Provider Entity Code]]&amp;"; "&amp;R1956&amp;AS[[#This Row],[Age Band Code]]&amp;"; "&amp;S1956&amp;AS[[#This Row],[Sex Code]]</f>
        <v xml:space="preserve">Insurer Code ; Reporting Year ; Insurance Category Code ; Large Provider Entity Code ; Age Band Code ; Sex Code </v>
      </c>
      <c r="N1956" s="345" t="s">
        <v>207</v>
      </c>
      <c r="O1956" s="345" t="s">
        <v>208</v>
      </c>
      <c r="P1956" s="345" t="s">
        <v>209</v>
      </c>
      <c r="Q1956" s="345" t="s">
        <v>210</v>
      </c>
      <c r="R1956" s="345" t="s">
        <v>223</v>
      </c>
      <c r="S1956" s="345" t="s">
        <v>224</v>
      </c>
    </row>
    <row r="1957" spans="1:19" x14ac:dyDescent="0.25">
      <c r="A1957" s="311"/>
      <c r="B1957" s="312"/>
      <c r="C1957" s="312"/>
      <c r="D1957" s="312"/>
      <c r="E1957" s="312"/>
      <c r="F1957" s="312"/>
      <c r="G1957" s="328"/>
      <c r="H1957" s="337"/>
      <c r="I1957" s="334"/>
      <c r="J1957" s="314"/>
      <c r="K1957" s="449"/>
      <c r="M1957" s="349" t="str">
        <f>N1957&amp;AS[[#This Row],[Insurer Code]]&amp;"; "&amp;O1957&amp;AS[[#This Row],[Reporting Year]]&amp;"; "&amp;P1957&amp;AS[[#This Row],[Insurance Category Code]]&amp;"; "&amp;Q1957&amp;AS[[#This Row],[Large Provider Entity Code]]&amp;"; "&amp;R1957&amp;AS[[#This Row],[Age Band Code]]&amp;"; "&amp;S1957&amp;AS[[#This Row],[Sex Code]]</f>
        <v xml:space="preserve">Insurer Code ; Reporting Year ; Insurance Category Code ; Large Provider Entity Code ; Age Band Code ; Sex Code </v>
      </c>
      <c r="N1957" s="345" t="s">
        <v>207</v>
      </c>
      <c r="O1957" s="345" t="s">
        <v>208</v>
      </c>
      <c r="P1957" s="345" t="s">
        <v>209</v>
      </c>
      <c r="Q1957" s="345" t="s">
        <v>210</v>
      </c>
      <c r="R1957" s="345" t="s">
        <v>223</v>
      </c>
      <c r="S1957" s="345" t="s">
        <v>224</v>
      </c>
    </row>
    <row r="1958" spans="1:19" x14ac:dyDescent="0.25">
      <c r="A1958" s="311"/>
      <c r="B1958" s="312"/>
      <c r="C1958" s="312"/>
      <c r="D1958" s="312"/>
      <c r="E1958" s="312"/>
      <c r="F1958" s="312"/>
      <c r="G1958" s="328"/>
      <c r="H1958" s="337"/>
      <c r="I1958" s="334"/>
      <c r="J1958" s="314"/>
      <c r="K1958" s="449"/>
      <c r="M1958" s="349" t="str">
        <f>N1958&amp;AS[[#This Row],[Insurer Code]]&amp;"; "&amp;O1958&amp;AS[[#This Row],[Reporting Year]]&amp;"; "&amp;P1958&amp;AS[[#This Row],[Insurance Category Code]]&amp;"; "&amp;Q1958&amp;AS[[#This Row],[Large Provider Entity Code]]&amp;"; "&amp;R1958&amp;AS[[#This Row],[Age Band Code]]&amp;"; "&amp;S1958&amp;AS[[#This Row],[Sex Code]]</f>
        <v xml:space="preserve">Insurer Code ; Reporting Year ; Insurance Category Code ; Large Provider Entity Code ; Age Band Code ; Sex Code </v>
      </c>
      <c r="N1958" s="345" t="s">
        <v>207</v>
      </c>
      <c r="O1958" s="345" t="s">
        <v>208</v>
      </c>
      <c r="P1958" s="345" t="s">
        <v>209</v>
      </c>
      <c r="Q1958" s="345" t="s">
        <v>210</v>
      </c>
      <c r="R1958" s="345" t="s">
        <v>223</v>
      </c>
      <c r="S1958" s="345" t="s">
        <v>224</v>
      </c>
    </row>
    <row r="1959" spans="1:19" x14ac:dyDescent="0.25">
      <c r="A1959" s="311"/>
      <c r="B1959" s="312"/>
      <c r="C1959" s="312"/>
      <c r="D1959" s="312"/>
      <c r="E1959" s="312"/>
      <c r="F1959" s="312"/>
      <c r="G1959" s="328"/>
      <c r="H1959" s="337"/>
      <c r="I1959" s="334"/>
      <c r="J1959" s="314"/>
      <c r="K1959" s="449"/>
      <c r="M1959" s="349" t="str">
        <f>N1959&amp;AS[[#This Row],[Insurer Code]]&amp;"; "&amp;O1959&amp;AS[[#This Row],[Reporting Year]]&amp;"; "&amp;P1959&amp;AS[[#This Row],[Insurance Category Code]]&amp;"; "&amp;Q1959&amp;AS[[#This Row],[Large Provider Entity Code]]&amp;"; "&amp;R1959&amp;AS[[#This Row],[Age Band Code]]&amp;"; "&amp;S1959&amp;AS[[#This Row],[Sex Code]]</f>
        <v xml:space="preserve">Insurer Code ; Reporting Year ; Insurance Category Code ; Large Provider Entity Code ; Age Band Code ; Sex Code </v>
      </c>
      <c r="N1959" s="345" t="s">
        <v>207</v>
      </c>
      <c r="O1959" s="345" t="s">
        <v>208</v>
      </c>
      <c r="P1959" s="345" t="s">
        <v>209</v>
      </c>
      <c r="Q1959" s="345" t="s">
        <v>210</v>
      </c>
      <c r="R1959" s="345" t="s">
        <v>223</v>
      </c>
      <c r="S1959" s="345" t="s">
        <v>224</v>
      </c>
    </row>
    <row r="1960" spans="1:19" x14ac:dyDescent="0.25">
      <c r="A1960" s="311"/>
      <c r="B1960" s="312"/>
      <c r="C1960" s="312"/>
      <c r="D1960" s="312"/>
      <c r="E1960" s="312"/>
      <c r="F1960" s="312"/>
      <c r="G1960" s="328"/>
      <c r="H1960" s="337"/>
      <c r="I1960" s="334"/>
      <c r="J1960" s="314"/>
      <c r="K1960" s="449"/>
      <c r="M1960" s="349" t="str">
        <f>N1960&amp;AS[[#This Row],[Insurer Code]]&amp;"; "&amp;O1960&amp;AS[[#This Row],[Reporting Year]]&amp;"; "&amp;P1960&amp;AS[[#This Row],[Insurance Category Code]]&amp;"; "&amp;Q1960&amp;AS[[#This Row],[Large Provider Entity Code]]&amp;"; "&amp;R1960&amp;AS[[#This Row],[Age Band Code]]&amp;"; "&amp;S1960&amp;AS[[#This Row],[Sex Code]]</f>
        <v xml:space="preserve">Insurer Code ; Reporting Year ; Insurance Category Code ; Large Provider Entity Code ; Age Band Code ; Sex Code </v>
      </c>
      <c r="N1960" s="345" t="s">
        <v>207</v>
      </c>
      <c r="O1960" s="345" t="s">
        <v>208</v>
      </c>
      <c r="P1960" s="345" t="s">
        <v>209</v>
      </c>
      <c r="Q1960" s="345" t="s">
        <v>210</v>
      </c>
      <c r="R1960" s="345" t="s">
        <v>223</v>
      </c>
      <c r="S1960" s="345" t="s">
        <v>224</v>
      </c>
    </row>
    <row r="1961" spans="1:19" x14ac:dyDescent="0.25">
      <c r="A1961" s="311"/>
      <c r="B1961" s="312"/>
      <c r="C1961" s="312"/>
      <c r="D1961" s="312"/>
      <c r="E1961" s="312"/>
      <c r="F1961" s="312"/>
      <c r="G1961" s="328"/>
      <c r="H1961" s="337"/>
      <c r="I1961" s="334"/>
      <c r="J1961" s="314"/>
      <c r="K1961" s="449"/>
      <c r="M1961" s="349" t="str">
        <f>N1961&amp;AS[[#This Row],[Insurer Code]]&amp;"; "&amp;O1961&amp;AS[[#This Row],[Reporting Year]]&amp;"; "&amp;P1961&amp;AS[[#This Row],[Insurance Category Code]]&amp;"; "&amp;Q1961&amp;AS[[#This Row],[Large Provider Entity Code]]&amp;"; "&amp;R1961&amp;AS[[#This Row],[Age Band Code]]&amp;"; "&amp;S1961&amp;AS[[#This Row],[Sex Code]]</f>
        <v xml:space="preserve">Insurer Code ; Reporting Year ; Insurance Category Code ; Large Provider Entity Code ; Age Band Code ; Sex Code </v>
      </c>
      <c r="N1961" s="345" t="s">
        <v>207</v>
      </c>
      <c r="O1961" s="345" t="s">
        <v>208</v>
      </c>
      <c r="P1961" s="345" t="s">
        <v>209</v>
      </c>
      <c r="Q1961" s="345" t="s">
        <v>210</v>
      </c>
      <c r="R1961" s="345" t="s">
        <v>223</v>
      </c>
      <c r="S1961" s="345" t="s">
        <v>224</v>
      </c>
    </row>
    <row r="1962" spans="1:19" x14ac:dyDescent="0.25">
      <c r="A1962" s="311"/>
      <c r="B1962" s="312"/>
      <c r="C1962" s="312"/>
      <c r="D1962" s="312"/>
      <c r="E1962" s="312"/>
      <c r="F1962" s="312"/>
      <c r="G1962" s="328"/>
      <c r="H1962" s="337"/>
      <c r="I1962" s="334"/>
      <c r="J1962" s="314"/>
      <c r="K1962" s="449"/>
      <c r="M1962" s="349" t="str">
        <f>N1962&amp;AS[[#This Row],[Insurer Code]]&amp;"; "&amp;O1962&amp;AS[[#This Row],[Reporting Year]]&amp;"; "&amp;P1962&amp;AS[[#This Row],[Insurance Category Code]]&amp;"; "&amp;Q1962&amp;AS[[#This Row],[Large Provider Entity Code]]&amp;"; "&amp;R1962&amp;AS[[#This Row],[Age Band Code]]&amp;"; "&amp;S1962&amp;AS[[#This Row],[Sex Code]]</f>
        <v xml:space="preserve">Insurer Code ; Reporting Year ; Insurance Category Code ; Large Provider Entity Code ; Age Band Code ; Sex Code </v>
      </c>
      <c r="N1962" s="345" t="s">
        <v>207</v>
      </c>
      <c r="O1962" s="345" t="s">
        <v>208</v>
      </c>
      <c r="P1962" s="345" t="s">
        <v>209</v>
      </c>
      <c r="Q1962" s="345" t="s">
        <v>210</v>
      </c>
      <c r="R1962" s="345" t="s">
        <v>223</v>
      </c>
      <c r="S1962" s="345" t="s">
        <v>224</v>
      </c>
    </row>
    <row r="1963" spans="1:19" x14ac:dyDescent="0.25">
      <c r="A1963" s="311"/>
      <c r="B1963" s="312"/>
      <c r="C1963" s="312"/>
      <c r="D1963" s="312"/>
      <c r="E1963" s="312"/>
      <c r="F1963" s="312"/>
      <c r="G1963" s="328"/>
      <c r="H1963" s="337"/>
      <c r="I1963" s="334"/>
      <c r="J1963" s="314"/>
      <c r="K1963" s="449"/>
      <c r="M1963" s="349" t="str">
        <f>N1963&amp;AS[[#This Row],[Insurer Code]]&amp;"; "&amp;O1963&amp;AS[[#This Row],[Reporting Year]]&amp;"; "&amp;P1963&amp;AS[[#This Row],[Insurance Category Code]]&amp;"; "&amp;Q1963&amp;AS[[#This Row],[Large Provider Entity Code]]&amp;"; "&amp;R1963&amp;AS[[#This Row],[Age Band Code]]&amp;"; "&amp;S1963&amp;AS[[#This Row],[Sex Code]]</f>
        <v xml:space="preserve">Insurer Code ; Reporting Year ; Insurance Category Code ; Large Provider Entity Code ; Age Band Code ; Sex Code </v>
      </c>
      <c r="N1963" s="345" t="s">
        <v>207</v>
      </c>
      <c r="O1963" s="345" t="s">
        <v>208</v>
      </c>
      <c r="P1963" s="345" t="s">
        <v>209</v>
      </c>
      <c r="Q1963" s="345" t="s">
        <v>210</v>
      </c>
      <c r="R1963" s="345" t="s">
        <v>223</v>
      </c>
      <c r="S1963" s="345" t="s">
        <v>224</v>
      </c>
    </row>
    <row r="1964" spans="1:19" x14ac:dyDescent="0.25">
      <c r="A1964" s="311"/>
      <c r="B1964" s="312"/>
      <c r="C1964" s="312"/>
      <c r="D1964" s="312"/>
      <c r="E1964" s="312"/>
      <c r="F1964" s="312"/>
      <c r="G1964" s="328"/>
      <c r="H1964" s="337"/>
      <c r="I1964" s="334"/>
      <c r="J1964" s="314"/>
      <c r="K1964" s="449"/>
      <c r="M1964" s="349" t="str">
        <f>N1964&amp;AS[[#This Row],[Insurer Code]]&amp;"; "&amp;O1964&amp;AS[[#This Row],[Reporting Year]]&amp;"; "&amp;P1964&amp;AS[[#This Row],[Insurance Category Code]]&amp;"; "&amp;Q1964&amp;AS[[#This Row],[Large Provider Entity Code]]&amp;"; "&amp;R1964&amp;AS[[#This Row],[Age Band Code]]&amp;"; "&amp;S1964&amp;AS[[#This Row],[Sex Code]]</f>
        <v xml:space="preserve">Insurer Code ; Reporting Year ; Insurance Category Code ; Large Provider Entity Code ; Age Band Code ; Sex Code </v>
      </c>
      <c r="N1964" s="345" t="s">
        <v>207</v>
      </c>
      <c r="O1964" s="345" t="s">
        <v>208</v>
      </c>
      <c r="P1964" s="345" t="s">
        <v>209</v>
      </c>
      <c r="Q1964" s="345" t="s">
        <v>210</v>
      </c>
      <c r="R1964" s="345" t="s">
        <v>223</v>
      </c>
      <c r="S1964" s="345" t="s">
        <v>224</v>
      </c>
    </row>
    <row r="1965" spans="1:19" x14ac:dyDescent="0.25">
      <c r="A1965" s="311"/>
      <c r="B1965" s="312"/>
      <c r="C1965" s="312"/>
      <c r="D1965" s="312"/>
      <c r="E1965" s="312"/>
      <c r="F1965" s="312"/>
      <c r="G1965" s="328"/>
      <c r="H1965" s="337"/>
      <c r="I1965" s="334"/>
      <c r="J1965" s="314"/>
      <c r="K1965" s="449"/>
      <c r="M1965" s="349" t="str">
        <f>N1965&amp;AS[[#This Row],[Insurer Code]]&amp;"; "&amp;O1965&amp;AS[[#This Row],[Reporting Year]]&amp;"; "&amp;P1965&amp;AS[[#This Row],[Insurance Category Code]]&amp;"; "&amp;Q1965&amp;AS[[#This Row],[Large Provider Entity Code]]&amp;"; "&amp;R1965&amp;AS[[#This Row],[Age Band Code]]&amp;"; "&amp;S1965&amp;AS[[#This Row],[Sex Code]]</f>
        <v xml:space="preserve">Insurer Code ; Reporting Year ; Insurance Category Code ; Large Provider Entity Code ; Age Band Code ; Sex Code </v>
      </c>
      <c r="N1965" s="345" t="s">
        <v>207</v>
      </c>
      <c r="O1965" s="345" t="s">
        <v>208</v>
      </c>
      <c r="P1965" s="345" t="s">
        <v>209</v>
      </c>
      <c r="Q1965" s="345" t="s">
        <v>210</v>
      </c>
      <c r="R1965" s="345" t="s">
        <v>223</v>
      </c>
      <c r="S1965" s="345" t="s">
        <v>224</v>
      </c>
    </row>
    <row r="1966" spans="1:19" x14ac:dyDescent="0.25">
      <c r="A1966" s="311"/>
      <c r="B1966" s="312"/>
      <c r="C1966" s="312"/>
      <c r="D1966" s="312"/>
      <c r="E1966" s="312"/>
      <c r="F1966" s="312"/>
      <c r="G1966" s="328"/>
      <c r="H1966" s="337"/>
      <c r="I1966" s="334"/>
      <c r="J1966" s="314"/>
      <c r="K1966" s="449"/>
      <c r="M1966" s="349" t="str">
        <f>N1966&amp;AS[[#This Row],[Insurer Code]]&amp;"; "&amp;O1966&amp;AS[[#This Row],[Reporting Year]]&amp;"; "&amp;P1966&amp;AS[[#This Row],[Insurance Category Code]]&amp;"; "&amp;Q1966&amp;AS[[#This Row],[Large Provider Entity Code]]&amp;"; "&amp;R1966&amp;AS[[#This Row],[Age Band Code]]&amp;"; "&amp;S1966&amp;AS[[#This Row],[Sex Code]]</f>
        <v xml:space="preserve">Insurer Code ; Reporting Year ; Insurance Category Code ; Large Provider Entity Code ; Age Band Code ; Sex Code </v>
      </c>
      <c r="N1966" s="345" t="s">
        <v>207</v>
      </c>
      <c r="O1966" s="345" t="s">
        <v>208</v>
      </c>
      <c r="P1966" s="345" t="s">
        <v>209</v>
      </c>
      <c r="Q1966" s="345" t="s">
        <v>210</v>
      </c>
      <c r="R1966" s="345" t="s">
        <v>223</v>
      </c>
      <c r="S1966" s="345" t="s">
        <v>224</v>
      </c>
    </row>
    <row r="1967" spans="1:19" x14ac:dyDescent="0.25">
      <c r="A1967" s="311"/>
      <c r="B1967" s="312"/>
      <c r="C1967" s="312"/>
      <c r="D1967" s="312"/>
      <c r="E1967" s="312"/>
      <c r="F1967" s="312"/>
      <c r="G1967" s="328"/>
      <c r="H1967" s="337"/>
      <c r="I1967" s="334"/>
      <c r="J1967" s="314"/>
      <c r="K1967" s="449"/>
      <c r="M1967" s="349" t="str">
        <f>N1967&amp;AS[[#This Row],[Insurer Code]]&amp;"; "&amp;O1967&amp;AS[[#This Row],[Reporting Year]]&amp;"; "&amp;P1967&amp;AS[[#This Row],[Insurance Category Code]]&amp;"; "&amp;Q1967&amp;AS[[#This Row],[Large Provider Entity Code]]&amp;"; "&amp;R1967&amp;AS[[#This Row],[Age Band Code]]&amp;"; "&amp;S1967&amp;AS[[#This Row],[Sex Code]]</f>
        <v xml:space="preserve">Insurer Code ; Reporting Year ; Insurance Category Code ; Large Provider Entity Code ; Age Band Code ; Sex Code </v>
      </c>
      <c r="N1967" s="345" t="s">
        <v>207</v>
      </c>
      <c r="O1967" s="345" t="s">
        <v>208</v>
      </c>
      <c r="P1967" s="345" t="s">
        <v>209</v>
      </c>
      <c r="Q1967" s="345" t="s">
        <v>210</v>
      </c>
      <c r="R1967" s="345" t="s">
        <v>223</v>
      </c>
      <c r="S1967" s="345" t="s">
        <v>224</v>
      </c>
    </row>
    <row r="1968" spans="1:19" x14ac:dyDescent="0.25">
      <c r="A1968" s="311"/>
      <c r="B1968" s="312"/>
      <c r="C1968" s="312"/>
      <c r="D1968" s="312"/>
      <c r="E1968" s="312"/>
      <c r="F1968" s="312"/>
      <c r="G1968" s="328"/>
      <c r="H1968" s="337"/>
      <c r="I1968" s="334"/>
      <c r="J1968" s="314"/>
      <c r="K1968" s="449"/>
      <c r="M1968" s="349" t="str">
        <f>N1968&amp;AS[[#This Row],[Insurer Code]]&amp;"; "&amp;O1968&amp;AS[[#This Row],[Reporting Year]]&amp;"; "&amp;P1968&amp;AS[[#This Row],[Insurance Category Code]]&amp;"; "&amp;Q1968&amp;AS[[#This Row],[Large Provider Entity Code]]&amp;"; "&amp;R1968&amp;AS[[#This Row],[Age Band Code]]&amp;"; "&amp;S1968&amp;AS[[#This Row],[Sex Code]]</f>
        <v xml:space="preserve">Insurer Code ; Reporting Year ; Insurance Category Code ; Large Provider Entity Code ; Age Band Code ; Sex Code </v>
      </c>
      <c r="N1968" s="345" t="s">
        <v>207</v>
      </c>
      <c r="O1968" s="345" t="s">
        <v>208</v>
      </c>
      <c r="P1968" s="345" t="s">
        <v>209</v>
      </c>
      <c r="Q1968" s="345" t="s">
        <v>210</v>
      </c>
      <c r="R1968" s="345" t="s">
        <v>223</v>
      </c>
      <c r="S1968" s="345" t="s">
        <v>224</v>
      </c>
    </row>
    <row r="1969" spans="1:19" x14ac:dyDescent="0.25">
      <c r="A1969" s="311"/>
      <c r="B1969" s="312"/>
      <c r="C1969" s="312"/>
      <c r="D1969" s="312"/>
      <c r="E1969" s="312"/>
      <c r="F1969" s="312"/>
      <c r="G1969" s="328"/>
      <c r="H1969" s="337"/>
      <c r="I1969" s="334"/>
      <c r="J1969" s="314"/>
      <c r="K1969" s="449"/>
      <c r="M1969" s="349" t="str">
        <f>N1969&amp;AS[[#This Row],[Insurer Code]]&amp;"; "&amp;O1969&amp;AS[[#This Row],[Reporting Year]]&amp;"; "&amp;P1969&amp;AS[[#This Row],[Insurance Category Code]]&amp;"; "&amp;Q1969&amp;AS[[#This Row],[Large Provider Entity Code]]&amp;"; "&amp;R1969&amp;AS[[#This Row],[Age Band Code]]&amp;"; "&amp;S1969&amp;AS[[#This Row],[Sex Code]]</f>
        <v xml:space="preserve">Insurer Code ; Reporting Year ; Insurance Category Code ; Large Provider Entity Code ; Age Band Code ; Sex Code </v>
      </c>
      <c r="N1969" s="345" t="s">
        <v>207</v>
      </c>
      <c r="O1969" s="345" t="s">
        <v>208</v>
      </c>
      <c r="P1969" s="345" t="s">
        <v>209</v>
      </c>
      <c r="Q1969" s="345" t="s">
        <v>210</v>
      </c>
      <c r="R1969" s="345" t="s">
        <v>223</v>
      </c>
      <c r="S1969" s="345" t="s">
        <v>224</v>
      </c>
    </row>
    <row r="1970" spans="1:19" x14ac:dyDescent="0.25">
      <c r="A1970" s="311"/>
      <c r="B1970" s="312"/>
      <c r="C1970" s="312"/>
      <c r="D1970" s="312"/>
      <c r="E1970" s="312"/>
      <c r="F1970" s="312"/>
      <c r="G1970" s="328"/>
      <c r="H1970" s="337"/>
      <c r="I1970" s="334"/>
      <c r="J1970" s="314"/>
      <c r="K1970" s="449"/>
      <c r="M1970" s="349" t="str">
        <f>N1970&amp;AS[[#This Row],[Insurer Code]]&amp;"; "&amp;O1970&amp;AS[[#This Row],[Reporting Year]]&amp;"; "&amp;P1970&amp;AS[[#This Row],[Insurance Category Code]]&amp;"; "&amp;Q1970&amp;AS[[#This Row],[Large Provider Entity Code]]&amp;"; "&amp;R1970&amp;AS[[#This Row],[Age Band Code]]&amp;"; "&amp;S1970&amp;AS[[#This Row],[Sex Code]]</f>
        <v xml:space="preserve">Insurer Code ; Reporting Year ; Insurance Category Code ; Large Provider Entity Code ; Age Band Code ; Sex Code </v>
      </c>
      <c r="N1970" s="345" t="s">
        <v>207</v>
      </c>
      <c r="O1970" s="345" t="s">
        <v>208</v>
      </c>
      <c r="P1970" s="345" t="s">
        <v>209</v>
      </c>
      <c r="Q1970" s="345" t="s">
        <v>210</v>
      </c>
      <c r="R1970" s="345" t="s">
        <v>223</v>
      </c>
      <c r="S1970" s="345" t="s">
        <v>224</v>
      </c>
    </row>
    <row r="1971" spans="1:19" x14ac:dyDescent="0.25">
      <c r="A1971" s="311"/>
      <c r="B1971" s="312"/>
      <c r="C1971" s="312"/>
      <c r="D1971" s="312"/>
      <c r="E1971" s="312"/>
      <c r="F1971" s="312"/>
      <c r="G1971" s="328"/>
      <c r="H1971" s="337"/>
      <c r="I1971" s="334"/>
      <c r="J1971" s="314"/>
      <c r="K1971" s="449"/>
      <c r="M1971" s="349" t="str">
        <f>N1971&amp;AS[[#This Row],[Insurer Code]]&amp;"; "&amp;O1971&amp;AS[[#This Row],[Reporting Year]]&amp;"; "&amp;P1971&amp;AS[[#This Row],[Insurance Category Code]]&amp;"; "&amp;Q1971&amp;AS[[#This Row],[Large Provider Entity Code]]&amp;"; "&amp;R1971&amp;AS[[#This Row],[Age Band Code]]&amp;"; "&amp;S1971&amp;AS[[#This Row],[Sex Code]]</f>
        <v xml:space="preserve">Insurer Code ; Reporting Year ; Insurance Category Code ; Large Provider Entity Code ; Age Band Code ; Sex Code </v>
      </c>
      <c r="N1971" s="345" t="s">
        <v>207</v>
      </c>
      <c r="O1971" s="345" t="s">
        <v>208</v>
      </c>
      <c r="P1971" s="345" t="s">
        <v>209</v>
      </c>
      <c r="Q1971" s="345" t="s">
        <v>210</v>
      </c>
      <c r="R1971" s="345" t="s">
        <v>223</v>
      </c>
      <c r="S1971" s="345" t="s">
        <v>224</v>
      </c>
    </row>
    <row r="1972" spans="1:19" x14ac:dyDescent="0.25">
      <c r="A1972" s="311"/>
      <c r="B1972" s="312"/>
      <c r="C1972" s="312"/>
      <c r="D1972" s="312"/>
      <c r="E1972" s="312"/>
      <c r="F1972" s="312"/>
      <c r="G1972" s="328"/>
      <c r="H1972" s="337"/>
      <c r="I1972" s="334"/>
      <c r="J1972" s="314"/>
      <c r="K1972" s="449"/>
      <c r="M1972" s="349" t="str">
        <f>N1972&amp;AS[[#This Row],[Insurer Code]]&amp;"; "&amp;O1972&amp;AS[[#This Row],[Reporting Year]]&amp;"; "&amp;P1972&amp;AS[[#This Row],[Insurance Category Code]]&amp;"; "&amp;Q1972&amp;AS[[#This Row],[Large Provider Entity Code]]&amp;"; "&amp;R1972&amp;AS[[#This Row],[Age Band Code]]&amp;"; "&amp;S1972&amp;AS[[#This Row],[Sex Code]]</f>
        <v xml:space="preserve">Insurer Code ; Reporting Year ; Insurance Category Code ; Large Provider Entity Code ; Age Band Code ; Sex Code </v>
      </c>
      <c r="N1972" s="345" t="s">
        <v>207</v>
      </c>
      <c r="O1972" s="345" t="s">
        <v>208</v>
      </c>
      <c r="P1972" s="345" t="s">
        <v>209</v>
      </c>
      <c r="Q1972" s="345" t="s">
        <v>210</v>
      </c>
      <c r="R1972" s="345" t="s">
        <v>223</v>
      </c>
      <c r="S1972" s="345" t="s">
        <v>224</v>
      </c>
    </row>
    <row r="1973" spans="1:19" x14ac:dyDescent="0.25">
      <c r="A1973" s="311"/>
      <c r="B1973" s="312"/>
      <c r="C1973" s="312"/>
      <c r="D1973" s="312"/>
      <c r="E1973" s="312"/>
      <c r="F1973" s="312"/>
      <c r="G1973" s="328"/>
      <c r="H1973" s="337"/>
      <c r="I1973" s="334"/>
      <c r="J1973" s="314"/>
      <c r="K1973" s="449"/>
      <c r="M1973" s="349" t="str">
        <f>N1973&amp;AS[[#This Row],[Insurer Code]]&amp;"; "&amp;O1973&amp;AS[[#This Row],[Reporting Year]]&amp;"; "&amp;P1973&amp;AS[[#This Row],[Insurance Category Code]]&amp;"; "&amp;Q1973&amp;AS[[#This Row],[Large Provider Entity Code]]&amp;"; "&amp;R1973&amp;AS[[#This Row],[Age Band Code]]&amp;"; "&amp;S1973&amp;AS[[#This Row],[Sex Code]]</f>
        <v xml:space="preserve">Insurer Code ; Reporting Year ; Insurance Category Code ; Large Provider Entity Code ; Age Band Code ; Sex Code </v>
      </c>
      <c r="N1973" s="345" t="s">
        <v>207</v>
      </c>
      <c r="O1973" s="345" t="s">
        <v>208</v>
      </c>
      <c r="P1973" s="345" t="s">
        <v>209</v>
      </c>
      <c r="Q1973" s="345" t="s">
        <v>210</v>
      </c>
      <c r="R1973" s="345" t="s">
        <v>223</v>
      </c>
      <c r="S1973" s="345" t="s">
        <v>224</v>
      </c>
    </row>
    <row r="1974" spans="1:19" x14ac:dyDescent="0.25">
      <c r="A1974" s="311"/>
      <c r="B1974" s="312"/>
      <c r="C1974" s="312"/>
      <c r="D1974" s="312"/>
      <c r="E1974" s="312"/>
      <c r="F1974" s="312"/>
      <c r="G1974" s="328"/>
      <c r="H1974" s="337"/>
      <c r="I1974" s="334"/>
      <c r="J1974" s="314"/>
      <c r="K1974" s="449"/>
      <c r="M1974" s="349" t="str">
        <f>N1974&amp;AS[[#This Row],[Insurer Code]]&amp;"; "&amp;O1974&amp;AS[[#This Row],[Reporting Year]]&amp;"; "&amp;P1974&amp;AS[[#This Row],[Insurance Category Code]]&amp;"; "&amp;Q1974&amp;AS[[#This Row],[Large Provider Entity Code]]&amp;"; "&amp;R1974&amp;AS[[#This Row],[Age Band Code]]&amp;"; "&amp;S1974&amp;AS[[#This Row],[Sex Code]]</f>
        <v xml:space="preserve">Insurer Code ; Reporting Year ; Insurance Category Code ; Large Provider Entity Code ; Age Band Code ; Sex Code </v>
      </c>
      <c r="N1974" s="345" t="s">
        <v>207</v>
      </c>
      <c r="O1974" s="345" t="s">
        <v>208</v>
      </c>
      <c r="P1974" s="345" t="s">
        <v>209</v>
      </c>
      <c r="Q1974" s="345" t="s">
        <v>210</v>
      </c>
      <c r="R1974" s="345" t="s">
        <v>223</v>
      </c>
      <c r="S1974" s="345" t="s">
        <v>224</v>
      </c>
    </row>
    <row r="1975" spans="1:19" x14ac:dyDescent="0.25">
      <c r="A1975" s="311"/>
      <c r="B1975" s="312"/>
      <c r="C1975" s="312"/>
      <c r="D1975" s="312"/>
      <c r="E1975" s="312"/>
      <c r="F1975" s="312"/>
      <c r="G1975" s="328"/>
      <c r="H1975" s="337"/>
      <c r="I1975" s="334"/>
      <c r="J1975" s="314"/>
      <c r="K1975" s="449"/>
      <c r="M1975" s="349" t="str">
        <f>N1975&amp;AS[[#This Row],[Insurer Code]]&amp;"; "&amp;O1975&amp;AS[[#This Row],[Reporting Year]]&amp;"; "&amp;P1975&amp;AS[[#This Row],[Insurance Category Code]]&amp;"; "&amp;Q1975&amp;AS[[#This Row],[Large Provider Entity Code]]&amp;"; "&amp;R1975&amp;AS[[#This Row],[Age Band Code]]&amp;"; "&amp;S1975&amp;AS[[#This Row],[Sex Code]]</f>
        <v xml:space="preserve">Insurer Code ; Reporting Year ; Insurance Category Code ; Large Provider Entity Code ; Age Band Code ; Sex Code </v>
      </c>
      <c r="N1975" s="345" t="s">
        <v>207</v>
      </c>
      <c r="O1975" s="345" t="s">
        <v>208</v>
      </c>
      <c r="P1975" s="345" t="s">
        <v>209</v>
      </c>
      <c r="Q1975" s="345" t="s">
        <v>210</v>
      </c>
      <c r="R1975" s="345" t="s">
        <v>223</v>
      </c>
      <c r="S1975" s="345" t="s">
        <v>224</v>
      </c>
    </row>
    <row r="1976" spans="1:19" x14ac:dyDescent="0.25">
      <c r="A1976" s="311"/>
      <c r="B1976" s="312"/>
      <c r="C1976" s="312"/>
      <c r="D1976" s="312"/>
      <c r="E1976" s="312"/>
      <c r="F1976" s="312"/>
      <c r="G1976" s="328"/>
      <c r="H1976" s="337"/>
      <c r="I1976" s="334"/>
      <c r="J1976" s="314"/>
      <c r="K1976" s="449"/>
      <c r="M1976" s="349" t="str">
        <f>N1976&amp;AS[[#This Row],[Insurer Code]]&amp;"; "&amp;O1976&amp;AS[[#This Row],[Reporting Year]]&amp;"; "&amp;P1976&amp;AS[[#This Row],[Insurance Category Code]]&amp;"; "&amp;Q1976&amp;AS[[#This Row],[Large Provider Entity Code]]&amp;"; "&amp;R1976&amp;AS[[#This Row],[Age Band Code]]&amp;"; "&amp;S1976&amp;AS[[#This Row],[Sex Code]]</f>
        <v xml:space="preserve">Insurer Code ; Reporting Year ; Insurance Category Code ; Large Provider Entity Code ; Age Band Code ; Sex Code </v>
      </c>
      <c r="N1976" s="345" t="s">
        <v>207</v>
      </c>
      <c r="O1976" s="345" t="s">
        <v>208</v>
      </c>
      <c r="P1976" s="345" t="s">
        <v>209</v>
      </c>
      <c r="Q1976" s="345" t="s">
        <v>210</v>
      </c>
      <c r="R1976" s="345" t="s">
        <v>223</v>
      </c>
      <c r="S1976" s="345" t="s">
        <v>224</v>
      </c>
    </row>
    <row r="1977" spans="1:19" x14ac:dyDescent="0.25">
      <c r="A1977" s="311"/>
      <c r="B1977" s="312"/>
      <c r="C1977" s="312"/>
      <c r="D1977" s="312"/>
      <c r="E1977" s="312"/>
      <c r="F1977" s="312"/>
      <c r="G1977" s="328"/>
      <c r="H1977" s="337"/>
      <c r="I1977" s="334"/>
      <c r="J1977" s="314"/>
      <c r="K1977" s="449"/>
      <c r="M1977" s="349" t="str">
        <f>N1977&amp;AS[[#This Row],[Insurer Code]]&amp;"; "&amp;O1977&amp;AS[[#This Row],[Reporting Year]]&amp;"; "&amp;P1977&amp;AS[[#This Row],[Insurance Category Code]]&amp;"; "&amp;Q1977&amp;AS[[#This Row],[Large Provider Entity Code]]&amp;"; "&amp;R1977&amp;AS[[#This Row],[Age Band Code]]&amp;"; "&amp;S1977&amp;AS[[#This Row],[Sex Code]]</f>
        <v xml:space="preserve">Insurer Code ; Reporting Year ; Insurance Category Code ; Large Provider Entity Code ; Age Band Code ; Sex Code </v>
      </c>
      <c r="N1977" s="345" t="s">
        <v>207</v>
      </c>
      <c r="O1977" s="345" t="s">
        <v>208</v>
      </c>
      <c r="P1977" s="345" t="s">
        <v>209</v>
      </c>
      <c r="Q1977" s="345" t="s">
        <v>210</v>
      </c>
      <c r="R1977" s="345" t="s">
        <v>223</v>
      </c>
      <c r="S1977" s="345" t="s">
        <v>224</v>
      </c>
    </row>
    <row r="1978" spans="1:19" x14ac:dyDescent="0.25">
      <c r="A1978" s="311"/>
      <c r="B1978" s="312"/>
      <c r="C1978" s="312"/>
      <c r="D1978" s="312"/>
      <c r="E1978" s="312"/>
      <c r="F1978" s="312"/>
      <c r="G1978" s="328"/>
      <c r="H1978" s="337"/>
      <c r="I1978" s="334"/>
      <c r="J1978" s="314"/>
      <c r="K1978" s="449"/>
      <c r="M1978" s="349" t="str">
        <f>N1978&amp;AS[[#This Row],[Insurer Code]]&amp;"; "&amp;O1978&amp;AS[[#This Row],[Reporting Year]]&amp;"; "&amp;P1978&amp;AS[[#This Row],[Insurance Category Code]]&amp;"; "&amp;Q1978&amp;AS[[#This Row],[Large Provider Entity Code]]&amp;"; "&amp;R1978&amp;AS[[#This Row],[Age Band Code]]&amp;"; "&amp;S1978&amp;AS[[#This Row],[Sex Code]]</f>
        <v xml:space="preserve">Insurer Code ; Reporting Year ; Insurance Category Code ; Large Provider Entity Code ; Age Band Code ; Sex Code </v>
      </c>
      <c r="N1978" s="345" t="s">
        <v>207</v>
      </c>
      <c r="O1978" s="345" t="s">
        <v>208</v>
      </c>
      <c r="P1978" s="345" t="s">
        <v>209</v>
      </c>
      <c r="Q1978" s="345" t="s">
        <v>210</v>
      </c>
      <c r="R1978" s="345" t="s">
        <v>223</v>
      </c>
      <c r="S1978" s="345" t="s">
        <v>224</v>
      </c>
    </row>
    <row r="1979" spans="1:19" x14ac:dyDescent="0.25">
      <c r="A1979" s="311"/>
      <c r="B1979" s="312"/>
      <c r="C1979" s="312"/>
      <c r="D1979" s="312"/>
      <c r="E1979" s="312"/>
      <c r="F1979" s="312"/>
      <c r="G1979" s="328"/>
      <c r="H1979" s="337"/>
      <c r="I1979" s="334"/>
      <c r="J1979" s="314"/>
      <c r="K1979" s="449"/>
      <c r="M1979" s="349" t="str">
        <f>N1979&amp;AS[[#This Row],[Insurer Code]]&amp;"; "&amp;O1979&amp;AS[[#This Row],[Reporting Year]]&amp;"; "&amp;P1979&amp;AS[[#This Row],[Insurance Category Code]]&amp;"; "&amp;Q1979&amp;AS[[#This Row],[Large Provider Entity Code]]&amp;"; "&amp;R1979&amp;AS[[#This Row],[Age Band Code]]&amp;"; "&amp;S1979&amp;AS[[#This Row],[Sex Code]]</f>
        <v xml:space="preserve">Insurer Code ; Reporting Year ; Insurance Category Code ; Large Provider Entity Code ; Age Band Code ; Sex Code </v>
      </c>
      <c r="N1979" s="345" t="s">
        <v>207</v>
      </c>
      <c r="O1979" s="345" t="s">
        <v>208</v>
      </c>
      <c r="P1979" s="345" t="s">
        <v>209</v>
      </c>
      <c r="Q1979" s="345" t="s">
        <v>210</v>
      </c>
      <c r="R1979" s="345" t="s">
        <v>223</v>
      </c>
      <c r="S1979" s="345" t="s">
        <v>224</v>
      </c>
    </row>
    <row r="1980" spans="1:19" x14ac:dyDescent="0.25">
      <c r="A1980" s="311"/>
      <c r="B1980" s="312"/>
      <c r="C1980" s="312"/>
      <c r="D1980" s="312"/>
      <c r="E1980" s="312"/>
      <c r="F1980" s="312"/>
      <c r="G1980" s="328"/>
      <c r="H1980" s="337"/>
      <c r="I1980" s="334"/>
      <c r="J1980" s="314"/>
      <c r="K1980" s="449"/>
      <c r="M1980" s="349" t="str">
        <f>N1980&amp;AS[[#This Row],[Insurer Code]]&amp;"; "&amp;O1980&amp;AS[[#This Row],[Reporting Year]]&amp;"; "&amp;P1980&amp;AS[[#This Row],[Insurance Category Code]]&amp;"; "&amp;Q1980&amp;AS[[#This Row],[Large Provider Entity Code]]&amp;"; "&amp;R1980&amp;AS[[#This Row],[Age Band Code]]&amp;"; "&amp;S1980&amp;AS[[#This Row],[Sex Code]]</f>
        <v xml:space="preserve">Insurer Code ; Reporting Year ; Insurance Category Code ; Large Provider Entity Code ; Age Band Code ; Sex Code </v>
      </c>
      <c r="N1980" s="345" t="s">
        <v>207</v>
      </c>
      <c r="O1980" s="345" t="s">
        <v>208</v>
      </c>
      <c r="P1980" s="345" t="s">
        <v>209</v>
      </c>
      <c r="Q1980" s="345" t="s">
        <v>210</v>
      </c>
      <c r="R1980" s="345" t="s">
        <v>223</v>
      </c>
      <c r="S1980" s="345" t="s">
        <v>224</v>
      </c>
    </row>
    <row r="1981" spans="1:19" x14ac:dyDescent="0.25">
      <c r="A1981" s="311"/>
      <c r="B1981" s="312"/>
      <c r="C1981" s="312"/>
      <c r="D1981" s="312"/>
      <c r="E1981" s="312"/>
      <c r="F1981" s="312"/>
      <c r="G1981" s="328"/>
      <c r="H1981" s="337"/>
      <c r="I1981" s="334"/>
      <c r="J1981" s="314"/>
      <c r="K1981" s="449"/>
      <c r="M1981" s="349" t="str">
        <f>N1981&amp;AS[[#This Row],[Insurer Code]]&amp;"; "&amp;O1981&amp;AS[[#This Row],[Reporting Year]]&amp;"; "&amp;P1981&amp;AS[[#This Row],[Insurance Category Code]]&amp;"; "&amp;Q1981&amp;AS[[#This Row],[Large Provider Entity Code]]&amp;"; "&amp;R1981&amp;AS[[#This Row],[Age Band Code]]&amp;"; "&amp;S1981&amp;AS[[#This Row],[Sex Code]]</f>
        <v xml:space="preserve">Insurer Code ; Reporting Year ; Insurance Category Code ; Large Provider Entity Code ; Age Band Code ; Sex Code </v>
      </c>
      <c r="N1981" s="345" t="s">
        <v>207</v>
      </c>
      <c r="O1981" s="345" t="s">
        <v>208</v>
      </c>
      <c r="P1981" s="345" t="s">
        <v>209</v>
      </c>
      <c r="Q1981" s="345" t="s">
        <v>210</v>
      </c>
      <c r="R1981" s="345" t="s">
        <v>223</v>
      </c>
      <c r="S1981" s="345" t="s">
        <v>224</v>
      </c>
    </row>
    <row r="1982" spans="1:19" x14ac:dyDescent="0.25">
      <c r="A1982" s="311"/>
      <c r="B1982" s="312"/>
      <c r="C1982" s="312"/>
      <c r="D1982" s="312"/>
      <c r="E1982" s="312"/>
      <c r="F1982" s="312"/>
      <c r="G1982" s="328"/>
      <c r="H1982" s="337"/>
      <c r="I1982" s="334"/>
      <c r="J1982" s="314"/>
      <c r="K1982" s="449"/>
      <c r="M1982" s="349" t="str">
        <f>N1982&amp;AS[[#This Row],[Insurer Code]]&amp;"; "&amp;O1982&amp;AS[[#This Row],[Reporting Year]]&amp;"; "&amp;P1982&amp;AS[[#This Row],[Insurance Category Code]]&amp;"; "&amp;Q1982&amp;AS[[#This Row],[Large Provider Entity Code]]&amp;"; "&amp;R1982&amp;AS[[#This Row],[Age Band Code]]&amp;"; "&amp;S1982&amp;AS[[#This Row],[Sex Code]]</f>
        <v xml:space="preserve">Insurer Code ; Reporting Year ; Insurance Category Code ; Large Provider Entity Code ; Age Band Code ; Sex Code </v>
      </c>
      <c r="N1982" s="345" t="s">
        <v>207</v>
      </c>
      <c r="O1982" s="345" t="s">
        <v>208</v>
      </c>
      <c r="P1982" s="345" t="s">
        <v>209</v>
      </c>
      <c r="Q1982" s="345" t="s">
        <v>210</v>
      </c>
      <c r="R1982" s="345" t="s">
        <v>223</v>
      </c>
      <c r="S1982" s="345" t="s">
        <v>224</v>
      </c>
    </row>
    <row r="1983" spans="1:19" x14ac:dyDescent="0.25">
      <c r="A1983" s="311"/>
      <c r="B1983" s="312"/>
      <c r="C1983" s="312"/>
      <c r="D1983" s="312"/>
      <c r="E1983" s="312"/>
      <c r="F1983" s="312"/>
      <c r="G1983" s="328"/>
      <c r="H1983" s="337"/>
      <c r="I1983" s="334"/>
      <c r="J1983" s="314"/>
      <c r="K1983" s="449"/>
      <c r="M1983" s="349" t="str">
        <f>N1983&amp;AS[[#This Row],[Insurer Code]]&amp;"; "&amp;O1983&amp;AS[[#This Row],[Reporting Year]]&amp;"; "&amp;P1983&amp;AS[[#This Row],[Insurance Category Code]]&amp;"; "&amp;Q1983&amp;AS[[#This Row],[Large Provider Entity Code]]&amp;"; "&amp;R1983&amp;AS[[#This Row],[Age Band Code]]&amp;"; "&amp;S1983&amp;AS[[#This Row],[Sex Code]]</f>
        <v xml:space="preserve">Insurer Code ; Reporting Year ; Insurance Category Code ; Large Provider Entity Code ; Age Band Code ; Sex Code </v>
      </c>
      <c r="N1983" s="345" t="s">
        <v>207</v>
      </c>
      <c r="O1983" s="345" t="s">
        <v>208</v>
      </c>
      <c r="P1983" s="345" t="s">
        <v>209</v>
      </c>
      <c r="Q1983" s="345" t="s">
        <v>210</v>
      </c>
      <c r="R1983" s="345" t="s">
        <v>223</v>
      </c>
      <c r="S1983" s="345" t="s">
        <v>224</v>
      </c>
    </row>
    <row r="1984" spans="1:19" x14ac:dyDescent="0.25">
      <c r="A1984" s="311"/>
      <c r="B1984" s="312"/>
      <c r="C1984" s="312"/>
      <c r="D1984" s="312"/>
      <c r="E1984" s="312"/>
      <c r="F1984" s="312"/>
      <c r="G1984" s="328"/>
      <c r="H1984" s="337"/>
      <c r="I1984" s="334"/>
      <c r="J1984" s="314"/>
      <c r="K1984" s="449"/>
      <c r="M1984" s="349" t="str">
        <f>N1984&amp;AS[[#This Row],[Insurer Code]]&amp;"; "&amp;O1984&amp;AS[[#This Row],[Reporting Year]]&amp;"; "&amp;P1984&amp;AS[[#This Row],[Insurance Category Code]]&amp;"; "&amp;Q1984&amp;AS[[#This Row],[Large Provider Entity Code]]&amp;"; "&amp;R1984&amp;AS[[#This Row],[Age Band Code]]&amp;"; "&amp;S1984&amp;AS[[#This Row],[Sex Code]]</f>
        <v xml:space="preserve">Insurer Code ; Reporting Year ; Insurance Category Code ; Large Provider Entity Code ; Age Band Code ; Sex Code </v>
      </c>
      <c r="N1984" s="345" t="s">
        <v>207</v>
      </c>
      <c r="O1984" s="345" t="s">
        <v>208</v>
      </c>
      <c r="P1984" s="345" t="s">
        <v>209</v>
      </c>
      <c r="Q1984" s="345" t="s">
        <v>210</v>
      </c>
      <c r="R1984" s="345" t="s">
        <v>223</v>
      </c>
      <c r="S1984" s="345" t="s">
        <v>224</v>
      </c>
    </row>
    <row r="1985" spans="1:19" x14ac:dyDescent="0.25">
      <c r="A1985" s="311"/>
      <c r="B1985" s="312"/>
      <c r="C1985" s="312"/>
      <c r="D1985" s="312"/>
      <c r="E1985" s="312"/>
      <c r="F1985" s="312"/>
      <c r="G1985" s="328"/>
      <c r="H1985" s="337"/>
      <c r="I1985" s="334"/>
      <c r="J1985" s="314"/>
      <c r="K1985" s="449"/>
      <c r="M1985" s="349" t="str">
        <f>N1985&amp;AS[[#This Row],[Insurer Code]]&amp;"; "&amp;O1985&amp;AS[[#This Row],[Reporting Year]]&amp;"; "&amp;P1985&amp;AS[[#This Row],[Insurance Category Code]]&amp;"; "&amp;Q1985&amp;AS[[#This Row],[Large Provider Entity Code]]&amp;"; "&amp;R1985&amp;AS[[#This Row],[Age Band Code]]&amp;"; "&amp;S1985&amp;AS[[#This Row],[Sex Code]]</f>
        <v xml:space="preserve">Insurer Code ; Reporting Year ; Insurance Category Code ; Large Provider Entity Code ; Age Band Code ; Sex Code </v>
      </c>
      <c r="N1985" s="345" t="s">
        <v>207</v>
      </c>
      <c r="O1985" s="345" t="s">
        <v>208</v>
      </c>
      <c r="P1985" s="345" t="s">
        <v>209</v>
      </c>
      <c r="Q1985" s="345" t="s">
        <v>210</v>
      </c>
      <c r="R1985" s="345" t="s">
        <v>223</v>
      </c>
      <c r="S1985" s="345" t="s">
        <v>224</v>
      </c>
    </row>
    <row r="1986" spans="1:19" x14ac:dyDescent="0.25">
      <c r="A1986" s="311"/>
      <c r="B1986" s="312"/>
      <c r="C1986" s="312"/>
      <c r="D1986" s="312"/>
      <c r="E1986" s="312"/>
      <c r="F1986" s="312"/>
      <c r="G1986" s="328"/>
      <c r="H1986" s="337"/>
      <c r="I1986" s="334"/>
      <c r="J1986" s="314"/>
      <c r="K1986" s="449"/>
      <c r="M1986" s="349" t="str">
        <f>N1986&amp;AS[[#This Row],[Insurer Code]]&amp;"; "&amp;O1986&amp;AS[[#This Row],[Reporting Year]]&amp;"; "&amp;P1986&amp;AS[[#This Row],[Insurance Category Code]]&amp;"; "&amp;Q1986&amp;AS[[#This Row],[Large Provider Entity Code]]&amp;"; "&amp;R1986&amp;AS[[#This Row],[Age Band Code]]&amp;"; "&amp;S1986&amp;AS[[#This Row],[Sex Code]]</f>
        <v xml:space="preserve">Insurer Code ; Reporting Year ; Insurance Category Code ; Large Provider Entity Code ; Age Band Code ; Sex Code </v>
      </c>
      <c r="N1986" s="345" t="s">
        <v>207</v>
      </c>
      <c r="O1986" s="345" t="s">
        <v>208</v>
      </c>
      <c r="P1986" s="345" t="s">
        <v>209</v>
      </c>
      <c r="Q1986" s="345" t="s">
        <v>210</v>
      </c>
      <c r="R1986" s="345" t="s">
        <v>223</v>
      </c>
      <c r="S1986" s="345" t="s">
        <v>224</v>
      </c>
    </row>
    <row r="1987" spans="1:19" x14ac:dyDescent="0.25">
      <c r="A1987" s="311"/>
      <c r="B1987" s="312"/>
      <c r="C1987" s="312"/>
      <c r="D1987" s="312"/>
      <c r="E1987" s="312"/>
      <c r="F1987" s="312"/>
      <c r="G1987" s="328"/>
      <c r="H1987" s="337"/>
      <c r="I1987" s="334"/>
      <c r="J1987" s="314"/>
      <c r="K1987" s="449"/>
      <c r="M1987" s="349" t="str">
        <f>N1987&amp;AS[[#This Row],[Insurer Code]]&amp;"; "&amp;O1987&amp;AS[[#This Row],[Reporting Year]]&amp;"; "&amp;P1987&amp;AS[[#This Row],[Insurance Category Code]]&amp;"; "&amp;Q1987&amp;AS[[#This Row],[Large Provider Entity Code]]&amp;"; "&amp;R1987&amp;AS[[#This Row],[Age Band Code]]&amp;"; "&amp;S1987&amp;AS[[#This Row],[Sex Code]]</f>
        <v xml:space="preserve">Insurer Code ; Reporting Year ; Insurance Category Code ; Large Provider Entity Code ; Age Band Code ; Sex Code </v>
      </c>
      <c r="N1987" s="345" t="s">
        <v>207</v>
      </c>
      <c r="O1987" s="345" t="s">
        <v>208</v>
      </c>
      <c r="P1987" s="345" t="s">
        <v>209</v>
      </c>
      <c r="Q1987" s="345" t="s">
        <v>210</v>
      </c>
      <c r="R1987" s="345" t="s">
        <v>223</v>
      </c>
      <c r="S1987" s="345" t="s">
        <v>224</v>
      </c>
    </row>
    <row r="1988" spans="1:19" x14ac:dyDescent="0.25">
      <c r="A1988" s="311"/>
      <c r="B1988" s="312"/>
      <c r="C1988" s="312"/>
      <c r="D1988" s="312"/>
      <c r="E1988" s="312"/>
      <c r="F1988" s="312"/>
      <c r="G1988" s="328"/>
      <c r="H1988" s="337"/>
      <c r="I1988" s="334"/>
      <c r="J1988" s="314"/>
      <c r="K1988" s="449"/>
      <c r="M1988" s="349" t="str">
        <f>N1988&amp;AS[[#This Row],[Insurer Code]]&amp;"; "&amp;O1988&amp;AS[[#This Row],[Reporting Year]]&amp;"; "&amp;P1988&amp;AS[[#This Row],[Insurance Category Code]]&amp;"; "&amp;Q1988&amp;AS[[#This Row],[Large Provider Entity Code]]&amp;"; "&amp;R1988&amp;AS[[#This Row],[Age Band Code]]&amp;"; "&amp;S1988&amp;AS[[#This Row],[Sex Code]]</f>
        <v xml:space="preserve">Insurer Code ; Reporting Year ; Insurance Category Code ; Large Provider Entity Code ; Age Band Code ; Sex Code </v>
      </c>
      <c r="N1988" s="345" t="s">
        <v>207</v>
      </c>
      <c r="O1988" s="345" t="s">
        <v>208</v>
      </c>
      <c r="P1988" s="345" t="s">
        <v>209</v>
      </c>
      <c r="Q1988" s="345" t="s">
        <v>210</v>
      </c>
      <c r="R1988" s="345" t="s">
        <v>223</v>
      </c>
      <c r="S1988" s="345" t="s">
        <v>224</v>
      </c>
    </row>
    <row r="1989" spans="1:19" x14ac:dyDescent="0.25">
      <c r="A1989" s="311"/>
      <c r="B1989" s="312"/>
      <c r="C1989" s="312"/>
      <c r="D1989" s="312"/>
      <c r="E1989" s="312"/>
      <c r="F1989" s="312"/>
      <c r="G1989" s="328"/>
      <c r="H1989" s="337"/>
      <c r="I1989" s="334"/>
      <c r="J1989" s="314"/>
      <c r="K1989" s="449"/>
      <c r="M1989" s="349" t="str">
        <f>N1989&amp;AS[[#This Row],[Insurer Code]]&amp;"; "&amp;O1989&amp;AS[[#This Row],[Reporting Year]]&amp;"; "&amp;P1989&amp;AS[[#This Row],[Insurance Category Code]]&amp;"; "&amp;Q1989&amp;AS[[#This Row],[Large Provider Entity Code]]&amp;"; "&amp;R1989&amp;AS[[#This Row],[Age Band Code]]&amp;"; "&amp;S1989&amp;AS[[#This Row],[Sex Code]]</f>
        <v xml:space="preserve">Insurer Code ; Reporting Year ; Insurance Category Code ; Large Provider Entity Code ; Age Band Code ; Sex Code </v>
      </c>
      <c r="N1989" s="345" t="s">
        <v>207</v>
      </c>
      <c r="O1989" s="345" t="s">
        <v>208</v>
      </c>
      <c r="P1989" s="345" t="s">
        <v>209</v>
      </c>
      <c r="Q1989" s="345" t="s">
        <v>210</v>
      </c>
      <c r="R1989" s="345" t="s">
        <v>223</v>
      </c>
      <c r="S1989" s="345" t="s">
        <v>224</v>
      </c>
    </row>
    <row r="1990" spans="1:19" x14ac:dyDescent="0.25">
      <c r="A1990" s="311"/>
      <c r="B1990" s="312"/>
      <c r="C1990" s="312"/>
      <c r="D1990" s="312"/>
      <c r="E1990" s="312"/>
      <c r="F1990" s="312"/>
      <c r="G1990" s="328"/>
      <c r="H1990" s="337"/>
      <c r="I1990" s="334"/>
      <c r="J1990" s="314"/>
      <c r="K1990" s="449"/>
      <c r="M1990" s="349" t="str">
        <f>N1990&amp;AS[[#This Row],[Insurer Code]]&amp;"; "&amp;O1990&amp;AS[[#This Row],[Reporting Year]]&amp;"; "&amp;P1990&amp;AS[[#This Row],[Insurance Category Code]]&amp;"; "&amp;Q1990&amp;AS[[#This Row],[Large Provider Entity Code]]&amp;"; "&amp;R1990&amp;AS[[#This Row],[Age Band Code]]&amp;"; "&amp;S1990&amp;AS[[#This Row],[Sex Code]]</f>
        <v xml:space="preserve">Insurer Code ; Reporting Year ; Insurance Category Code ; Large Provider Entity Code ; Age Band Code ; Sex Code </v>
      </c>
      <c r="N1990" s="345" t="s">
        <v>207</v>
      </c>
      <c r="O1990" s="345" t="s">
        <v>208</v>
      </c>
      <c r="P1990" s="345" t="s">
        <v>209</v>
      </c>
      <c r="Q1990" s="345" t="s">
        <v>210</v>
      </c>
      <c r="R1990" s="345" t="s">
        <v>223</v>
      </c>
      <c r="S1990" s="345" t="s">
        <v>224</v>
      </c>
    </row>
    <row r="1991" spans="1:19" x14ac:dyDescent="0.25">
      <c r="A1991" s="311"/>
      <c r="B1991" s="312"/>
      <c r="C1991" s="312"/>
      <c r="D1991" s="312"/>
      <c r="E1991" s="312"/>
      <c r="F1991" s="312"/>
      <c r="G1991" s="328"/>
      <c r="H1991" s="337"/>
      <c r="I1991" s="334"/>
      <c r="J1991" s="314"/>
      <c r="K1991" s="449"/>
      <c r="M1991" s="349" t="str">
        <f>N1991&amp;AS[[#This Row],[Insurer Code]]&amp;"; "&amp;O1991&amp;AS[[#This Row],[Reporting Year]]&amp;"; "&amp;P1991&amp;AS[[#This Row],[Insurance Category Code]]&amp;"; "&amp;Q1991&amp;AS[[#This Row],[Large Provider Entity Code]]&amp;"; "&amp;R1991&amp;AS[[#This Row],[Age Band Code]]&amp;"; "&amp;S1991&amp;AS[[#This Row],[Sex Code]]</f>
        <v xml:space="preserve">Insurer Code ; Reporting Year ; Insurance Category Code ; Large Provider Entity Code ; Age Band Code ; Sex Code </v>
      </c>
      <c r="N1991" s="345" t="s">
        <v>207</v>
      </c>
      <c r="O1991" s="345" t="s">
        <v>208</v>
      </c>
      <c r="P1991" s="345" t="s">
        <v>209</v>
      </c>
      <c r="Q1991" s="345" t="s">
        <v>210</v>
      </c>
      <c r="R1991" s="345" t="s">
        <v>223</v>
      </c>
      <c r="S1991" s="345" t="s">
        <v>224</v>
      </c>
    </row>
    <row r="1992" spans="1:19" x14ac:dyDescent="0.25">
      <c r="A1992" s="311"/>
      <c r="B1992" s="312"/>
      <c r="C1992" s="312"/>
      <c r="D1992" s="312"/>
      <c r="E1992" s="312"/>
      <c r="F1992" s="312"/>
      <c r="G1992" s="328"/>
      <c r="H1992" s="337"/>
      <c r="I1992" s="334"/>
      <c r="J1992" s="314"/>
      <c r="K1992" s="449"/>
      <c r="M1992" s="349" t="str">
        <f>N1992&amp;AS[[#This Row],[Insurer Code]]&amp;"; "&amp;O1992&amp;AS[[#This Row],[Reporting Year]]&amp;"; "&amp;P1992&amp;AS[[#This Row],[Insurance Category Code]]&amp;"; "&amp;Q1992&amp;AS[[#This Row],[Large Provider Entity Code]]&amp;"; "&amp;R1992&amp;AS[[#This Row],[Age Band Code]]&amp;"; "&amp;S1992&amp;AS[[#This Row],[Sex Code]]</f>
        <v xml:space="preserve">Insurer Code ; Reporting Year ; Insurance Category Code ; Large Provider Entity Code ; Age Band Code ; Sex Code </v>
      </c>
      <c r="N1992" s="345" t="s">
        <v>207</v>
      </c>
      <c r="O1992" s="345" t="s">
        <v>208</v>
      </c>
      <c r="P1992" s="345" t="s">
        <v>209</v>
      </c>
      <c r="Q1992" s="345" t="s">
        <v>210</v>
      </c>
      <c r="R1992" s="345" t="s">
        <v>223</v>
      </c>
      <c r="S1992" s="345" t="s">
        <v>224</v>
      </c>
    </row>
    <row r="1993" spans="1:19" x14ac:dyDescent="0.25">
      <c r="A1993" s="311"/>
      <c r="B1993" s="312"/>
      <c r="C1993" s="312"/>
      <c r="D1993" s="312"/>
      <c r="E1993" s="312"/>
      <c r="F1993" s="312"/>
      <c r="G1993" s="328"/>
      <c r="H1993" s="337"/>
      <c r="I1993" s="334"/>
      <c r="J1993" s="314"/>
      <c r="K1993" s="449"/>
      <c r="M1993" s="349" t="str">
        <f>N1993&amp;AS[[#This Row],[Insurer Code]]&amp;"; "&amp;O1993&amp;AS[[#This Row],[Reporting Year]]&amp;"; "&amp;P1993&amp;AS[[#This Row],[Insurance Category Code]]&amp;"; "&amp;Q1993&amp;AS[[#This Row],[Large Provider Entity Code]]&amp;"; "&amp;R1993&amp;AS[[#This Row],[Age Band Code]]&amp;"; "&amp;S1993&amp;AS[[#This Row],[Sex Code]]</f>
        <v xml:space="preserve">Insurer Code ; Reporting Year ; Insurance Category Code ; Large Provider Entity Code ; Age Band Code ; Sex Code </v>
      </c>
      <c r="N1993" s="345" t="s">
        <v>207</v>
      </c>
      <c r="O1993" s="345" t="s">
        <v>208</v>
      </c>
      <c r="P1993" s="345" t="s">
        <v>209</v>
      </c>
      <c r="Q1993" s="345" t="s">
        <v>210</v>
      </c>
      <c r="R1993" s="345" t="s">
        <v>223</v>
      </c>
      <c r="S1993" s="345" t="s">
        <v>224</v>
      </c>
    </row>
    <row r="1994" spans="1:19" x14ac:dyDescent="0.25">
      <c r="A1994" s="311"/>
      <c r="B1994" s="312"/>
      <c r="C1994" s="312"/>
      <c r="D1994" s="312"/>
      <c r="E1994" s="312"/>
      <c r="F1994" s="312"/>
      <c r="G1994" s="328"/>
      <c r="H1994" s="337"/>
      <c r="I1994" s="334"/>
      <c r="J1994" s="314"/>
      <c r="K1994" s="449"/>
      <c r="M1994" s="349" t="str">
        <f>N1994&amp;AS[[#This Row],[Insurer Code]]&amp;"; "&amp;O1994&amp;AS[[#This Row],[Reporting Year]]&amp;"; "&amp;P1994&amp;AS[[#This Row],[Insurance Category Code]]&amp;"; "&amp;Q1994&amp;AS[[#This Row],[Large Provider Entity Code]]&amp;"; "&amp;R1994&amp;AS[[#This Row],[Age Band Code]]&amp;"; "&amp;S1994&amp;AS[[#This Row],[Sex Code]]</f>
        <v xml:space="preserve">Insurer Code ; Reporting Year ; Insurance Category Code ; Large Provider Entity Code ; Age Band Code ; Sex Code </v>
      </c>
      <c r="N1994" s="345" t="s">
        <v>207</v>
      </c>
      <c r="O1994" s="345" t="s">
        <v>208</v>
      </c>
      <c r="P1994" s="345" t="s">
        <v>209</v>
      </c>
      <c r="Q1994" s="345" t="s">
        <v>210</v>
      </c>
      <c r="R1994" s="345" t="s">
        <v>223</v>
      </c>
      <c r="S1994" s="345" t="s">
        <v>224</v>
      </c>
    </row>
    <row r="1995" spans="1:19" x14ac:dyDescent="0.25">
      <c r="A1995" s="311"/>
      <c r="B1995" s="312"/>
      <c r="C1995" s="312"/>
      <c r="D1995" s="312"/>
      <c r="E1995" s="312"/>
      <c r="F1995" s="312"/>
      <c r="G1995" s="328"/>
      <c r="H1995" s="337"/>
      <c r="I1995" s="334"/>
      <c r="J1995" s="314"/>
      <c r="K1995" s="449"/>
      <c r="M1995" s="349" t="str">
        <f>N1995&amp;AS[[#This Row],[Insurer Code]]&amp;"; "&amp;O1995&amp;AS[[#This Row],[Reporting Year]]&amp;"; "&amp;P1995&amp;AS[[#This Row],[Insurance Category Code]]&amp;"; "&amp;Q1995&amp;AS[[#This Row],[Large Provider Entity Code]]&amp;"; "&amp;R1995&amp;AS[[#This Row],[Age Band Code]]&amp;"; "&amp;S1995&amp;AS[[#This Row],[Sex Code]]</f>
        <v xml:space="preserve">Insurer Code ; Reporting Year ; Insurance Category Code ; Large Provider Entity Code ; Age Band Code ; Sex Code </v>
      </c>
      <c r="N1995" s="345" t="s">
        <v>207</v>
      </c>
      <c r="O1995" s="345" t="s">
        <v>208</v>
      </c>
      <c r="P1995" s="345" t="s">
        <v>209</v>
      </c>
      <c r="Q1995" s="345" t="s">
        <v>210</v>
      </c>
      <c r="R1995" s="345" t="s">
        <v>223</v>
      </c>
      <c r="S1995" s="345" t="s">
        <v>224</v>
      </c>
    </row>
    <row r="1996" spans="1:19" x14ac:dyDescent="0.25">
      <c r="A1996" s="311"/>
      <c r="B1996" s="312"/>
      <c r="C1996" s="312"/>
      <c r="D1996" s="312"/>
      <c r="E1996" s="312"/>
      <c r="F1996" s="312"/>
      <c r="G1996" s="328"/>
      <c r="H1996" s="337"/>
      <c r="I1996" s="334"/>
      <c r="J1996" s="314"/>
      <c r="K1996" s="449"/>
      <c r="M1996" s="349" t="str">
        <f>N1996&amp;AS[[#This Row],[Insurer Code]]&amp;"; "&amp;O1996&amp;AS[[#This Row],[Reporting Year]]&amp;"; "&amp;P1996&amp;AS[[#This Row],[Insurance Category Code]]&amp;"; "&amp;Q1996&amp;AS[[#This Row],[Large Provider Entity Code]]&amp;"; "&amp;R1996&amp;AS[[#This Row],[Age Band Code]]&amp;"; "&amp;S1996&amp;AS[[#This Row],[Sex Code]]</f>
        <v xml:space="preserve">Insurer Code ; Reporting Year ; Insurance Category Code ; Large Provider Entity Code ; Age Band Code ; Sex Code </v>
      </c>
      <c r="N1996" s="345" t="s">
        <v>207</v>
      </c>
      <c r="O1996" s="345" t="s">
        <v>208</v>
      </c>
      <c r="P1996" s="345" t="s">
        <v>209</v>
      </c>
      <c r="Q1996" s="345" t="s">
        <v>210</v>
      </c>
      <c r="R1996" s="345" t="s">
        <v>223</v>
      </c>
      <c r="S1996" s="345" t="s">
        <v>224</v>
      </c>
    </row>
    <row r="1997" spans="1:19" x14ac:dyDescent="0.25">
      <c r="A1997" s="311"/>
      <c r="B1997" s="312"/>
      <c r="C1997" s="312"/>
      <c r="D1997" s="312"/>
      <c r="E1997" s="312"/>
      <c r="F1997" s="312"/>
      <c r="G1997" s="328"/>
      <c r="H1997" s="337"/>
      <c r="I1997" s="334"/>
      <c r="J1997" s="314"/>
      <c r="K1997" s="449"/>
      <c r="M1997" s="349" t="str">
        <f>N1997&amp;AS[[#This Row],[Insurer Code]]&amp;"; "&amp;O1997&amp;AS[[#This Row],[Reporting Year]]&amp;"; "&amp;P1997&amp;AS[[#This Row],[Insurance Category Code]]&amp;"; "&amp;Q1997&amp;AS[[#This Row],[Large Provider Entity Code]]&amp;"; "&amp;R1997&amp;AS[[#This Row],[Age Band Code]]&amp;"; "&amp;S1997&amp;AS[[#This Row],[Sex Code]]</f>
        <v xml:space="preserve">Insurer Code ; Reporting Year ; Insurance Category Code ; Large Provider Entity Code ; Age Band Code ; Sex Code </v>
      </c>
      <c r="N1997" s="345" t="s">
        <v>207</v>
      </c>
      <c r="O1997" s="345" t="s">
        <v>208</v>
      </c>
      <c r="P1997" s="345" t="s">
        <v>209</v>
      </c>
      <c r="Q1997" s="345" t="s">
        <v>210</v>
      </c>
      <c r="R1997" s="345" t="s">
        <v>223</v>
      </c>
      <c r="S1997" s="345" t="s">
        <v>224</v>
      </c>
    </row>
    <row r="1998" spans="1:19" x14ac:dyDescent="0.25">
      <c r="A1998" s="311"/>
      <c r="B1998" s="312"/>
      <c r="C1998" s="312"/>
      <c r="D1998" s="312"/>
      <c r="E1998" s="312"/>
      <c r="F1998" s="312"/>
      <c r="G1998" s="328"/>
      <c r="H1998" s="337"/>
      <c r="I1998" s="334"/>
      <c r="J1998" s="314"/>
      <c r="K1998" s="449"/>
      <c r="M1998" s="349" t="str">
        <f>N1998&amp;AS[[#This Row],[Insurer Code]]&amp;"; "&amp;O1998&amp;AS[[#This Row],[Reporting Year]]&amp;"; "&amp;P1998&amp;AS[[#This Row],[Insurance Category Code]]&amp;"; "&amp;Q1998&amp;AS[[#This Row],[Large Provider Entity Code]]&amp;"; "&amp;R1998&amp;AS[[#This Row],[Age Band Code]]&amp;"; "&amp;S1998&amp;AS[[#This Row],[Sex Code]]</f>
        <v xml:space="preserve">Insurer Code ; Reporting Year ; Insurance Category Code ; Large Provider Entity Code ; Age Band Code ; Sex Code </v>
      </c>
      <c r="N1998" s="345" t="s">
        <v>207</v>
      </c>
      <c r="O1998" s="345" t="s">
        <v>208</v>
      </c>
      <c r="P1998" s="345" t="s">
        <v>209</v>
      </c>
      <c r="Q1998" s="345" t="s">
        <v>210</v>
      </c>
      <c r="R1998" s="345" t="s">
        <v>223</v>
      </c>
      <c r="S1998" s="345" t="s">
        <v>224</v>
      </c>
    </row>
    <row r="1999" spans="1:19" x14ac:dyDescent="0.25">
      <c r="A1999" s="311"/>
      <c r="B1999" s="312"/>
      <c r="C1999" s="312"/>
      <c r="D1999" s="312"/>
      <c r="E1999" s="312"/>
      <c r="F1999" s="312"/>
      <c r="G1999" s="328"/>
      <c r="H1999" s="337"/>
      <c r="I1999" s="334"/>
      <c r="J1999" s="314"/>
      <c r="K1999" s="449"/>
      <c r="M1999" s="349" t="str">
        <f>N1999&amp;AS[[#This Row],[Insurer Code]]&amp;"; "&amp;O1999&amp;AS[[#This Row],[Reporting Year]]&amp;"; "&amp;P1999&amp;AS[[#This Row],[Insurance Category Code]]&amp;"; "&amp;Q1999&amp;AS[[#This Row],[Large Provider Entity Code]]&amp;"; "&amp;R1999&amp;AS[[#This Row],[Age Band Code]]&amp;"; "&amp;S1999&amp;AS[[#This Row],[Sex Code]]</f>
        <v xml:space="preserve">Insurer Code ; Reporting Year ; Insurance Category Code ; Large Provider Entity Code ; Age Band Code ; Sex Code </v>
      </c>
      <c r="N1999" s="345" t="s">
        <v>207</v>
      </c>
      <c r="O1999" s="345" t="s">
        <v>208</v>
      </c>
      <c r="P1999" s="345" t="s">
        <v>209</v>
      </c>
      <c r="Q1999" s="345" t="s">
        <v>210</v>
      </c>
      <c r="R1999" s="345" t="s">
        <v>223</v>
      </c>
      <c r="S1999" s="345" t="s">
        <v>224</v>
      </c>
    </row>
    <row r="2000" spans="1:19" x14ac:dyDescent="0.25">
      <c r="A2000" s="311"/>
      <c r="B2000" s="312"/>
      <c r="C2000" s="312"/>
      <c r="D2000" s="312"/>
      <c r="E2000" s="312"/>
      <c r="F2000" s="312"/>
      <c r="G2000" s="328"/>
      <c r="H2000" s="337"/>
      <c r="I2000" s="334"/>
      <c r="J2000" s="314"/>
      <c r="K2000" s="449"/>
      <c r="M2000" s="349" t="str">
        <f>N2000&amp;AS[[#This Row],[Insurer Code]]&amp;"; "&amp;O2000&amp;AS[[#This Row],[Reporting Year]]&amp;"; "&amp;P2000&amp;AS[[#This Row],[Insurance Category Code]]&amp;"; "&amp;Q2000&amp;AS[[#This Row],[Large Provider Entity Code]]&amp;"; "&amp;R2000&amp;AS[[#This Row],[Age Band Code]]&amp;"; "&amp;S2000&amp;AS[[#This Row],[Sex Code]]</f>
        <v xml:space="preserve">Insurer Code ; Reporting Year ; Insurance Category Code ; Large Provider Entity Code ; Age Band Code ; Sex Code </v>
      </c>
      <c r="N2000" s="345" t="s">
        <v>207</v>
      </c>
      <c r="O2000" s="345" t="s">
        <v>208</v>
      </c>
      <c r="P2000" s="345" t="s">
        <v>209</v>
      </c>
      <c r="Q2000" s="345" t="s">
        <v>210</v>
      </c>
      <c r="R2000" s="345" t="s">
        <v>223</v>
      </c>
      <c r="S2000" s="345" t="s">
        <v>224</v>
      </c>
    </row>
    <row r="2001" spans="1:19" x14ac:dyDescent="0.25">
      <c r="A2001" s="311"/>
      <c r="B2001" s="312"/>
      <c r="C2001" s="312"/>
      <c r="D2001" s="312"/>
      <c r="E2001" s="312"/>
      <c r="F2001" s="312"/>
      <c r="G2001" s="328"/>
      <c r="H2001" s="337"/>
      <c r="I2001" s="334"/>
      <c r="J2001" s="314"/>
      <c r="K2001" s="449"/>
      <c r="M2001" s="349" t="str">
        <f>N2001&amp;AS[[#This Row],[Insurer Code]]&amp;"; "&amp;O2001&amp;AS[[#This Row],[Reporting Year]]&amp;"; "&amp;P2001&amp;AS[[#This Row],[Insurance Category Code]]&amp;"; "&amp;Q2001&amp;AS[[#This Row],[Large Provider Entity Code]]&amp;"; "&amp;R2001&amp;AS[[#This Row],[Age Band Code]]&amp;"; "&amp;S2001&amp;AS[[#This Row],[Sex Code]]</f>
        <v xml:space="preserve">Insurer Code ; Reporting Year ; Insurance Category Code ; Large Provider Entity Code ; Age Band Code ; Sex Code </v>
      </c>
      <c r="N2001" s="345" t="s">
        <v>207</v>
      </c>
      <c r="O2001" s="345" t="s">
        <v>208</v>
      </c>
      <c r="P2001" s="345" t="s">
        <v>209</v>
      </c>
      <c r="Q2001" s="345" t="s">
        <v>210</v>
      </c>
      <c r="R2001" s="345" t="s">
        <v>223</v>
      </c>
      <c r="S2001" s="345" t="s">
        <v>224</v>
      </c>
    </row>
    <row r="2002" spans="1:19" x14ac:dyDescent="0.25">
      <c r="A2002" s="311"/>
      <c r="B2002" s="312"/>
      <c r="C2002" s="312"/>
      <c r="D2002" s="312"/>
      <c r="E2002" s="312"/>
      <c r="F2002" s="312"/>
      <c r="G2002" s="328"/>
      <c r="H2002" s="337"/>
      <c r="I2002" s="334"/>
      <c r="J2002" s="314"/>
      <c r="K2002" s="449"/>
      <c r="M2002" s="349" t="str">
        <f>N2002&amp;AS[[#This Row],[Insurer Code]]&amp;"; "&amp;O2002&amp;AS[[#This Row],[Reporting Year]]&amp;"; "&amp;P2002&amp;AS[[#This Row],[Insurance Category Code]]&amp;"; "&amp;Q2002&amp;AS[[#This Row],[Large Provider Entity Code]]&amp;"; "&amp;R2002&amp;AS[[#This Row],[Age Band Code]]&amp;"; "&amp;S2002&amp;AS[[#This Row],[Sex Code]]</f>
        <v xml:space="preserve">Insurer Code ; Reporting Year ; Insurance Category Code ; Large Provider Entity Code ; Age Band Code ; Sex Code </v>
      </c>
      <c r="N2002" s="345" t="s">
        <v>207</v>
      </c>
      <c r="O2002" s="345" t="s">
        <v>208</v>
      </c>
      <c r="P2002" s="345" t="s">
        <v>209</v>
      </c>
      <c r="Q2002" s="345" t="s">
        <v>210</v>
      </c>
      <c r="R2002" s="345" t="s">
        <v>223</v>
      </c>
      <c r="S2002" s="345" t="s">
        <v>224</v>
      </c>
    </row>
    <row r="2003" spans="1:19" x14ac:dyDescent="0.25">
      <c r="A2003" s="311"/>
      <c r="B2003" s="312"/>
      <c r="C2003" s="312"/>
      <c r="D2003" s="312"/>
      <c r="E2003" s="312"/>
      <c r="F2003" s="312"/>
      <c r="G2003" s="328"/>
      <c r="H2003" s="337"/>
      <c r="I2003" s="334"/>
      <c r="J2003" s="314"/>
      <c r="K2003" s="449"/>
      <c r="M2003" s="349" t="str">
        <f>N2003&amp;AS[[#This Row],[Insurer Code]]&amp;"; "&amp;O2003&amp;AS[[#This Row],[Reporting Year]]&amp;"; "&amp;P2003&amp;AS[[#This Row],[Insurance Category Code]]&amp;"; "&amp;Q2003&amp;AS[[#This Row],[Large Provider Entity Code]]&amp;"; "&amp;R2003&amp;AS[[#This Row],[Age Band Code]]&amp;"; "&amp;S2003&amp;AS[[#This Row],[Sex Code]]</f>
        <v xml:space="preserve">Insurer Code ; Reporting Year ; Insurance Category Code ; Large Provider Entity Code ; Age Band Code ; Sex Code </v>
      </c>
      <c r="N2003" s="345" t="s">
        <v>207</v>
      </c>
      <c r="O2003" s="345" t="s">
        <v>208</v>
      </c>
      <c r="P2003" s="345" t="s">
        <v>209</v>
      </c>
      <c r="Q2003" s="345" t="s">
        <v>210</v>
      </c>
      <c r="R2003" s="345" t="s">
        <v>223</v>
      </c>
      <c r="S2003" s="345" t="s">
        <v>224</v>
      </c>
    </row>
    <row r="2004" spans="1:19" x14ac:dyDescent="0.25">
      <c r="A2004" s="311"/>
      <c r="B2004" s="312"/>
      <c r="C2004" s="312"/>
      <c r="D2004" s="312"/>
      <c r="E2004" s="312"/>
      <c r="F2004" s="312"/>
      <c r="G2004" s="328"/>
      <c r="H2004" s="337"/>
      <c r="I2004" s="334"/>
      <c r="J2004" s="314"/>
      <c r="K2004" s="449"/>
      <c r="M2004" s="349" t="str">
        <f>N2004&amp;AS[[#This Row],[Insurer Code]]&amp;"; "&amp;O2004&amp;AS[[#This Row],[Reporting Year]]&amp;"; "&amp;P2004&amp;AS[[#This Row],[Insurance Category Code]]&amp;"; "&amp;Q2004&amp;AS[[#This Row],[Large Provider Entity Code]]&amp;"; "&amp;R2004&amp;AS[[#This Row],[Age Band Code]]&amp;"; "&amp;S2004&amp;AS[[#This Row],[Sex Code]]</f>
        <v xml:space="preserve">Insurer Code ; Reporting Year ; Insurance Category Code ; Large Provider Entity Code ; Age Band Code ; Sex Code </v>
      </c>
      <c r="N2004" s="345" t="s">
        <v>207</v>
      </c>
      <c r="O2004" s="345" t="s">
        <v>208</v>
      </c>
      <c r="P2004" s="345" t="s">
        <v>209</v>
      </c>
      <c r="Q2004" s="345" t="s">
        <v>210</v>
      </c>
      <c r="R2004" s="345" t="s">
        <v>223</v>
      </c>
      <c r="S2004" s="345" t="s">
        <v>224</v>
      </c>
    </row>
    <row r="2005" spans="1:19" x14ac:dyDescent="0.25">
      <c r="A2005" s="311"/>
      <c r="B2005" s="312"/>
      <c r="C2005" s="312"/>
      <c r="D2005" s="312"/>
      <c r="E2005" s="312"/>
      <c r="F2005" s="312"/>
      <c r="G2005" s="328"/>
      <c r="H2005" s="337"/>
      <c r="I2005" s="334"/>
      <c r="J2005" s="314"/>
      <c r="K2005" s="449"/>
      <c r="M2005" s="349" t="str">
        <f>N2005&amp;AS[[#This Row],[Insurer Code]]&amp;"; "&amp;O2005&amp;AS[[#This Row],[Reporting Year]]&amp;"; "&amp;P2005&amp;AS[[#This Row],[Insurance Category Code]]&amp;"; "&amp;Q2005&amp;AS[[#This Row],[Large Provider Entity Code]]&amp;"; "&amp;R2005&amp;AS[[#This Row],[Age Band Code]]&amp;"; "&amp;S2005&amp;AS[[#This Row],[Sex Code]]</f>
        <v xml:space="preserve">Insurer Code ; Reporting Year ; Insurance Category Code ; Large Provider Entity Code ; Age Band Code ; Sex Code </v>
      </c>
      <c r="N2005" s="345" t="s">
        <v>207</v>
      </c>
      <c r="O2005" s="345" t="s">
        <v>208</v>
      </c>
      <c r="P2005" s="345" t="s">
        <v>209</v>
      </c>
      <c r="Q2005" s="345" t="s">
        <v>210</v>
      </c>
      <c r="R2005" s="345" t="s">
        <v>223</v>
      </c>
      <c r="S2005" s="345" t="s">
        <v>224</v>
      </c>
    </row>
    <row r="2006" spans="1:19" x14ac:dyDescent="0.25">
      <c r="A2006" s="311"/>
      <c r="B2006" s="312"/>
      <c r="C2006" s="312"/>
      <c r="D2006" s="312"/>
      <c r="E2006" s="312"/>
      <c r="F2006" s="312"/>
      <c r="G2006" s="328"/>
      <c r="H2006" s="337"/>
      <c r="I2006" s="334"/>
      <c r="J2006" s="314"/>
      <c r="K2006" s="449"/>
      <c r="M2006" s="349" t="str">
        <f>N2006&amp;AS[[#This Row],[Insurer Code]]&amp;"; "&amp;O2006&amp;AS[[#This Row],[Reporting Year]]&amp;"; "&amp;P2006&amp;AS[[#This Row],[Insurance Category Code]]&amp;"; "&amp;Q2006&amp;AS[[#This Row],[Large Provider Entity Code]]&amp;"; "&amp;R2006&amp;AS[[#This Row],[Age Band Code]]&amp;"; "&amp;S2006&amp;AS[[#This Row],[Sex Code]]</f>
        <v xml:space="preserve">Insurer Code ; Reporting Year ; Insurance Category Code ; Large Provider Entity Code ; Age Band Code ; Sex Code </v>
      </c>
      <c r="N2006" s="345" t="s">
        <v>207</v>
      </c>
      <c r="O2006" s="345" t="s">
        <v>208</v>
      </c>
      <c r="P2006" s="345" t="s">
        <v>209</v>
      </c>
      <c r="Q2006" s="345" t="s">
        <v>210</v>
      </c>
      <c r="R2006" s="345" t="s">
        <v>223</v>
      </c>
      <c r="S2006" s="345" t="s">
        <v>224</v>
      </c>
    </row>
    <row r="2007" spans="1:19" x14ac:dyDescent="0.25">
      <c r="A2007" s="311"/>
      <c r="B2007" s="312"/>
      <c r="C2007" s="312"/>
      <c r="D2007" s="312"/>
      <c r="E2007" s="312"/>
      <c r="F2007" s="312"/>
      <c r="G2007" s="328"/>
      <c r="H2007" s="337"/>
      <c r="I2007" s="334"/>
      <c r="J2007" s="314"/>
      <c r="K2007" s="449"/>
      <c r="M2007" s="349" t="str">
        <f>N2007&amp;AS[[#This Row],[Insurer Code]]&amp;"; "&amp;O2007&amp;AS[[#This Row],[Reporting Year]]&amp;"; "&amp;P2007&amp;AS[[#This Row],[Insurance Category Code]]&amp;"; "&amp;Q2007&amp;AS[[#This Row],[Large Provider Entity Code]]&amp;"; "&amp;R2007&amp;AS[[#This Row],[Age Band Code]]&amp;"; "&amp;S2007&amp;AS[[#This Row],[Sex Code]]</f>
        <v xml:space="preserve">Insurer Code ; Reporting Year ; Insurance Category Code ; Large Provider Entity Code ; Age Band Code ; Sex Code </v>
      </c>
      <c r="N2007" s="345" t="s">
        <v>207</v>
      </c>
      <c r="O2007" s="345" t="s">
        <v>208</v>
      </c>
      <c r="P2007" s="345" t="s">
        <v>209</v>
      </c>
      <c r="Q2007" s="345" t="s">
        <v>210</v>
      </c>
      <c r="R2007" s="345" t="s">
        <v>223</v>
      </c>
      <c r="S2007" s="345" t="s">
        <v>224</v>
      </c>
    </row>
    <row r="2008" spans="1:19" x14ac:dyDescent="0.25">
      <c r="A2008" s="311"/>
      <c r="B2008" s="312"/>
      <c r="C2008" s="312"/>
      <c r="D2008" s="312"/>
      <c r="E2008" s="312"/>
      <c r="F2008" s="312"/>
      <c r="G2008" s="328"/>
      <c r="H2008" s="337"/>
      <c r="I2008" s="334"/>
      <c r="J2008" s="314"/>
      <c r="K2008" s="449"/>
      <c r="M2008" s="349" t="str">
        <f>N2008&amp;AS[[#This Row],[Insurer Code]]&amp;"; "&amp;O2008&amp;AS[[#This Row],[Reporting Year]]&amp;"; "&amp;P2008&amp;AS[[#This Row],[Insurance Category Code]]&amp;"; "&amp;Q2008&amp;AS[[#This Row],[Large Provider Entity Code]]&amp;"; "&amp;R2008&amp;AS[[#This Row],[Age Band Code]]&amp;"; "&amp;S2008&amp;AS[[#This Row],[Sex Code]]</f>
        <v xml:space="preserve">Insurer Code ; Reporting Year ; Insurance Category Code ; Large Provider Entity Code ; Age Band Code ; Sex Code </v>
      </c>
      <c r="N2008" s="345" t="s">
        <v>207</v>
      </c>
      <c r="O2008" s="345" t="s">
        <v>208</v>
      </c>
      <c r="P2008" s="345" t="s">
        <v>209</v>
      </c>
      <c r="Q2008" s="345" t="s">
        <v>210</v>
      </c>
      <c r="R2008" s="345" t="s">
        <v>223</v>
      </c>
      <c r="S2008" s="345" t="s">
        <v>224</v>
      </c>
    </row>
    <row r="2009" spans="1:19" x14ac:dyDescent="0.25">
      <c r="A2009" s="311"/>
      <c r="B2009" s="312"/>
      <c r="C2009" s="312"/>
      <c r="D2009" s="312"/>
      <c r="E2009" s="312"/>
      <c r="F2009" s="312"/>
      <c r="G2009" s="328"/>
      <c r="H2009" s="337"/>
      <c r="I2009" s="334"/>
      <c r="J2009" s="314"/>
      <c r="K2009" s="449"/>
      <c r="M2009" s="349" t="str">
        <f>N2009&amp;AS[[#This Row],[Insurer Code]]&amp;"; "&amp;O2009&amp;AS[[#This Row],[Reporting Year]]&amp;"; "&amp;P2009&amp;AS[[#This Row],[Insurance Category Code]]&amp;"; "&amp;Q2009&amp;AS[[#This Row],[Large Provider Entity Code]]&amp;"; "&amp;R2009&amp;AS[[#This Row],[Age Band Code]]&amp;"; "&amp;S2009&amp;AS[[#This Row],[Sex Code]]</f>
        <v xml:space="preserve">Insurer Code ; Reporting Year ; Insurance Category Code ; Large Provider Entity Code ; Age Band Code ; Sex Code </v>
      </c>
      <c r="N2009" s="345" t="s">
        <v>207</v>
      </c>
      <c r="O2009" s="345" t="s">
        <v>208</v>
      </c>
      <c r="P2009" s="345" t="s">
        <v>209</v>
      </c>
      <c r="Q2009" s="345" t="s">
        <v>210</v>
      </c>
      <c r="R2009" s="345" t="s">
        <v>223</v>
      </c>
      <c r="S2009" s="345" t="s">
        <v>224</v>
      </c>
    </row>
    <row r="2010" spans="1:19" x14ac:dyDescent="0.25">
      <c r="A2010" s="311"/>
      <c r="B2010" s="312"/>
      <c r="C2010" s="312"/>
      <c r="D2010" s="312"/>
      <c r="E2010" s="312"/>
      <c r="F2010" s="312"/>
      <c r="G2010" s="328"/>
      <c r="H2010" s="337"/>
      <c r="I2010" s="334"/>
      <c r="J2010" s="314"/>
      <c r="K2010" s="449"/>
      <c r="M2010" s="349" t="str">
        <f>N2010&amp;AS[[#This Row],[Insurer Code]]&amp;"; "&amp;O2010&amp;AS[[#This Row],[Reporting Year]]&amp;"; "&amp;P2010&amp;AS[[#This Row],[Insurance Category Code]]&amp;"; "&amp;Q2010&amp;AS[[#This Row],[Large Provider Entity Code]]&amp;"; "&amp;R2010&amp;AS[[#This Row],[Age Band Code]]&amp;"; "&amp;S2010&amp;AS[[#This Row],[Sex Code]]</f>
        <v xml:space="preserve">Insurer Code ; Reporting Year ; Insurance Category Code ; Large Provider Entity Code ; Age Band Code ; Sex Code </v>
      </c>
      <c r="N2010" s="345" t="s">
        <v>207</v>
      </c>
      <c r="O2010" s="345" t="s">
        <v>208</v>
      </c>
      <c r="P2010" s="345" t="s">
        <v>209</v>
      </c>
      <c r="Q2010" s="345" t="s">
        <v>210</v>
      </c>
      <c r="R2010" s="345" t="s">
        <v>223</v>
      </c>
      <c r="S2010" s="345" t="s">
        <v>224</v>
      </c>
    </row>
    <row r="2011" spans="1:19" x14ac:dyDescent="0.25">
      <c r="A2011" s="311"/>
      <c r="B2011" s="312"/>
      <c r="C2011" s="312"/>
      <c r="D2011" s="312"/>
      <c r="E2011" s="312"/>
      <c r="F2011" s="312"/>
      <c r="G2011" s="328"/>
      <c r="H2011" s="337"/>
      <c r="I2011" s="334"/>
      <c r="J2011" s="314"/>
      <c r="K2011" s="449"/>
      <c r="M2011" s="349" t="str">
        <f>N2011&amp;AS[[#This Row],[Insurer Code]]&amp;"; "&amp;O2011&amp;AS[[#This Row],[Reporting Year]]&amp;"; "&amp;P2011&amp;AS[[#This Row],[Insurance Category Code]]&amp;"; "&amp;Q2011&amp;AS[[#This Row],[Large Provider Entity Code]]&amp;"; "&amp;R2011&amp;AS[[#This Row],[Age Band Code]]&amp;"; "&amp;S2011&amp;AS[[#This Row],[Sex Code]]</f>
        <v xml:space="preserve">Insurer Code ; Reporting Year ; Insurance Category Code ; Large Provider Entity Code ; Age Band Code ; Sex Code </v>
      </c>
      <c r="N2011" s="345" t="s">
        <v>207</v>
      </c>
      <c r="O2011" s="345" t="s">
        <v>208</v>
      </c>
      <c r="P2011" s="345" t="s">
        <v>209</v>
      </c>
      <c r="Q2011" s="345" t="s">
        <v>210</v>
      </c>
      <c r="R2011" s="345" t="s">
        <v>223</v>
      </c>
      <c r="S2011" s="345" t="s">
        <v>224</v>
      </c>
    </row>
    <row r="2012" spans="1:19" x14ac:dyDescent="0.25">
      <c r="A2012" s="311"/>
      <c r="B2012" s="312"/>
      <c r="C2012" s="312"/>
      <c r="D2012" s="312"/>
      <c r="E2012" s="312"/>
      <c r="F2012" s="312"/>
      <c r="G2012" s="328"/>
      <c r="H2012" s="337"/>
      <c r="I2012" s="334"/>
      <c r="J2012" s="314"/>
      <c r="K2012" s="449"/>
      <c r="M2012" s="349" t="str">
        <f>N2012&amp;AS[[#This Row],[Insurer Code]]&amp;"; "&amp;O2012&amp;AS[[#This Row],[Reporting Year]]&amp;"; "&amp;P2012&amp;AS[[#This Row],[Insurance Category Code]]&amp;"; "&amp;Q2012&amp;AS[[#This Row],[Large Provider Entity Code]]&amp;"; "&amp;R2012&amp;AS[[#This Row],[Age Band Code]]&amp;"; "&amp;S2012&amp;AS[[#This Row],[Sex Code]]</f>
        <v xml:space="preserve">Insurer Code ; Reporting Year ; Insurance Category Code ; Large Provider Entity Code ; Age Band Code ; Sex Code </v>
      </c>
      <c r="N2012" s="345" t="s">
        <v>207</v>
      </c>
      <c r="O2012" s="345" t="s">
        <v>208</v>
      </c>
      <c r="P2012" s="345" t="s">
        <v>209</v>
      </c>
      <c r="Q2012" s="345" t="s">
        <v>210</v>
      </c>
      <c r="R2012" s="345" t="s">
        <v>223</v>
      </c>
      <c r="S2012" s="345" t="s">
        <v>224</v>
      </c>
    </row>
    <row r="2013" spans="1:19" x14ac:dyDescent="0.25">
      <c r="A2013" s="311"/>
      <c r="B2013" s="312"/>
      <c r="C2013" s="312"/>
      <c r="D2013" s="312"/>
      <c r="E2013" s="312"/>
      <c r="F2013" s="312"/>
      <c r="G2013" s="328"/>
      <c r="H2013" s="337"/>
      <c r="I2013" s="334"/>
      <c r="J2013" s="314"/>
      <c r="K2013" s="449"/>
      <c r="M2013" s="349" t="str">
        <f>N2013&amp;AS[[#This Row],[Insurer Code]]&amp;"; "&amp;O2013&amp;AS[[#This Row],[Reporting Year]]&amp;"; "&amp;P2013&amp;AS[[#This Row],[Insurance Category Code]]&amp;"; "&amp;Q2013&amp;AS[[#This Row],[Large Provider Entity Code]]&amp;"; "&amp;R2013&amp;AS[[#This Row],[Age Band Code]]&amp;"; "&amp;S2013&amp;AS[[#This Row],[Sex Code]]</f>
        <v xml:space="preserve">Insurer Code ; Reporting Year ; Insurance Category Code ; Large Provider Entity Code ; Age Band Code ; Sex Code </v>
      </c>
      <c r="N2013" s="345" t="s">
        <v>207</v>
      </c>
      <c r="O2013" s="345" t="s">
        <v>208</v>
      </c>
      <c r="P2013" s="345" t="s">
        <v>209</v>
      </c>
      <c r="Q2013" s="345" t="s">
        <v>210</v>
      </c>
      <c r="R2013" s="345" t="s">
        <v>223</v>
      </c>
      <c r="S2013" s="345" t="s">
        <v>224</v>
      </c>
    </row>
    <row r="2014" spans="1:19" x14ac:dyDescent="0.25">
      <c r="A2014" s="311"/>
      <c r="B2014" s="312"/>
      <c r="C2014" s="312"/>
      <c r="D2014" s="312"/>
      <c r="E2014" s="312"/>
      <c r="F2014" s="312"/>
      <c r="G2014" s="328"/>
      <c r="H2014" s="337"/>
      <c r="I2014" s="334"/>
      <c r="J2014" s="314"/>
      <c r="K2014" s="449"/>
      <c r="M2014" s="349" t="str">
        <f>N2014&amp;AS[[#This Row],[Insurer Code]]&amp;"; "&amp;O2014&amp;AS[[#This Row],[Reporting Year]]&amp;"; "&amp;P2014&amp;AS[[#This Row],[Insurance Category Code]]&amp;"; "&amp;Q2014&amp;AS[[#This Row],[Large Provider Entity Code]]&amp;"; "&amp;R2014&amp;AS[[#This Row],[Age Band Code]]&amp;"; "&amp;S2014&amp;AS[[#This Row],[Sex Code]]</f>
        <v xml:space="preserve">Insurer Code ; Reporting Year ; Insurance Category Code ; Large Provider Entity Code ; Age Band Code ; Sex Code </v>
      </c>
      <c r="N2014" s="345" t="s">
        <v>207</v>
      </c>
      <c r="O2014" s="345" t="s">
        <v>208</v>
      </c>
      <c r="P2014" s="345" t="s">
        <v>209</v>
      </c>
      <c r="Q2014" s="345" t="s">
        <v>210</v>
      </c>
      <c r="R2014" s="345" t="s">
        <v>223</v>
      </c>
      <c r="S2014" s="345" t="s">
        <v>224</v>
      </c>
    </row>
    <row r="2015" spans="1:19" x14ac:dyDescent="0.25">
      <c r="A2015" s="311"/>
      <c r="B2015" s="312"/>
      <c r="C2015" s="312"/>
      <c r="D2015" s="312"/>
      <c r="E2015" s="312"/>
      <c r="F2015" s="312"/>
      <c r="G2015" s="328"/>
      <c r="H2015" s="337"/>
      <c r="I2015" s="334"/>
      <c r="J2015" s="314"/>
      <c r="K2015" s="449"/>
      <c r="M2015" s="349" t="str">
        <f>N2015&amp;AS[[#This Row],[Insurer Code]]&amp;"; "&amp;O2015&amp;AS[[#This Row],[Reporting Year]]&amp;"; "&amp;P2015&amp;AS[[#This Row],[Insurance Category Code]]&amp;"; "&amp;Q2015&amp;AS[[#This Row],[Large Provider Entity Code]]&amp;"; "&amp;R2015&amp;AS[[#This Row],[Age Band Code]]&amp;"; "&amp;S2015&amp;AS[[#This Row],[Sex Code]]</f>
        <v xml:space="preserve">Insurer Code ; Reporting Year ; Insurance Category Code ; Large Provider Entity Code ; Age Band Code ; Sex Code </v>
      </c>
      <c r="N2015" s="345" t="s">
        <v>207</v>
      </c>
      <c r="O2015" s="345" t="s">
        <v>208</v>
      </c>
      <c r="P2015" s="345" t="s">
        <v>209</v>
      </c>
      <c r="Q2015" s="345" t="s">
        <v>210</v>
      </c>
      <c r="R2015" s="345" t="s">
        <v>223</v>
      </c>
      <c r="S2015" s="345" t="s">
        <v>224</v>
      </c>
    </row>
    <row r="2016" spans="1:19" x14ac:dyDescent="0.25">
      <c r="A2016" s="311"/>
      <c r="B2016" s="312"/>
      <c r="C2016" s="312"/>
      <c r="D2016" s="312"/>
      <c r="E2016" s="312"/>
      <c r="F2016" s="312"/>
      <c r="G2016" s="328"/>
      <c r="H2016" s="337"/>
      <c r="I2016" s="334"/>
      <c r="J2016" s="314"/>
      <c r="K2016" s="449"/>
      <c r="M2016" s="349" t="str">
        <f>N2016&amp;AS[[#This Row],[Insurer Code]]&amp;"; "&amp;O2016&amp;AS[[#This Row],[Reporting Year]]&amp;"; "&amp;P2016&amp;AS[[#This Row],[Insurance Category Code]]&amp;"; "&amp;Q2016&amp;AS[[#This Row],[Large Provider Entity Code]]&amp;"; "&amp;R2016&amp;AS[[#This Row],[Age Band Code]]&amp;"; "&amp;S2016&amp;AS[[#This Row],[Sex Code]]</f>
        <v xml:space="preserve">Insurer Code ; Reporting Year ; Insurance Category Code ; Large Provider Entity Code ; Age Band Code ; Sex Code </v>
      </c>
      <c r="N2016" s="345" t="s">
        <v>207</v>
      </c>
      <c r="O2016" s="345" t="s">
        <v>208</v>
      </c>
      <c r="P2016" s="345" t="s">
        <v>209</v>
      </c>
      <c r="Q2016" s="345" t="s">
        <v>210</v>
      </c>
      <c r="R2016" s="345" t="s">
        <v>223</v>
      </c>
      <c r="S2016" s="345" t="s">
        <v>224</v>
      </c>
    </row>
    <row r="2017" spans="1:19" x14ac:dyDescent="0.25">
      <c r="A2017" s="311"/>
      <c r="B2017" s="312"/>
      <c r="C2017" s="312"/>
      <c r="D2017" s="312"/>
      <c r="E2017" s="312"/>
      <c r="F2017" s="312"/>
      <c r="G2017" s="328"/>
      <c r="H2017" s="337"/>
      <c r="I2017" s="334"/>
      <c r="J2017" s="314"/>
      <c r="K2017" s="449"/>
      <c r="M2017" s="349" t="str">
        <f>N2017&amp;AS[[#This Row],[Insurer Code]]&amp;"; "&amp;O2017&amp;AS[[#This Row],[Reporting Year]]&amp;"; "&amp;P2017&amp;AS[[#This Row],[Insurance Category Code]]&amp;"; "&amp;Q2017&amp;AS[[#This Row],[Large Provider Entity Code]]&amp;"; "&amp;R2017&amp;AS[[#This Row],[Age Band Code]]&amp;"; "&amp;S2017&amp;AS[[#This Row],[Sex Code]]</f>
        <v xml:space="preserve">Insurer Code ; Reporting Year ; Insurance Category Code ; Large Provider Entity Code ; Age Band Code ; Sex Code </v>
      </c>
      <c r="N2017" s="345" t="s">
        <v>207</v>
      </c>
      <c r="O2017" s="345" t="s">
        <v>208</v>
      </c>
      <c r="P2017" s="345" t="s">
        <v>209</v>
      </c>
      <c r="Q2017" s="345" t="s">
        <v>210</v>
      </c>
      <c r="R2017" s="345" t="s">
        <v>223</v>
      </c>
      <c r="S2017" s="345" t="s">
        <v>224</v>
      </c>
    </row>
    <row r="2018" spans="1:19" x14ac:dyDescent="0.25">
      <c r="A2018" s="311"/>
      <c r="B2018" s="312"/>
      <c r="C2018" s="312"/>
      <c r="D2018" s="312"/>
      <c r="E2018" s="312"/>
      <c r="F2018" s="312"/>
      <c r="G2018" s="328"/>
      <c r="H2018" s="337"/>
      <c r="I2018" s="334"/>
      <c r="J2018" s="314"/>
      <c r="K2018" s="449"/>
      <c r="M2018" s="349" t="str">
        <f>N2018&amp;AS[[#This Row],[Insurer Code]]&amp;"; "&amp;O2018&amp;AS[[#This Row],[Reporting Year]]&amp;"; "&amp;P2018&amp;AS[[#This Row],[Insurance Category Code]]&amp;"; "&amp;Q2018&amp;AS[[#This Row],[Large Provider Entity Code]]&amp;"; "&amp;R2018&amp;AS[[#This Row],[Age Band Code]]&amp;"; "&amp;S2018&amp;AS[[#This Row],[Sex Code]]</f>
        <v xml:space="preserve">Insurer Code ; Reporting Year ; Insurance Category Code ; Large Provider Entity Code ; Age Band Code ; Sex Code </v>
      </c>
      <c r="N2018" s="345" t="s">
        <v>207</v>
      </c>
      <c r="O2018" s="345" t="s">
        <v>208</v>
      </c>
      <c r="P2018" s="345" t="s">
        <v>209</v>
      </c>
      <c r="Q2018" s="345" t="s">
        <v>210</v>
      </c>
      <c r="R2018" s="345" t="s">
        <v>223</v>
      </c>
      <c r="S2018" s="345" t="s">
        <v>224</v>
      </c>
    </row>
    <row r="2019" spans="1:19" x14ac:dyDescent="0.25">
      <c r="A2019" s="311"/>
      <c r="B2019" s="312"/>
      <c r="C2019" s="312"/>
      <c r="D2019" s="312"/>
      <c r="E2019" s="312"/>
      <c r="F2019" s="312"/>
      <c r="G2019" s="328"/>
      <c r="H2019" s="337"/>
      <c r="I2019" s="334"/>
      <c r="J2019" s="314"/>
      <c r="K2019" s="449"/>
      <c r="M2019" s="349" t="str">
        <f>N2019&amp;AS[[#This Row],[Insurer Code]]&amp;"; "&amp;O2019&amp;AS[[#This Row],[Reporting Year]]&amp;"; "&amp;P2019&amp;AS[[#This Row],[Insurance Category Code]]&amp;"; "&amp;Q2019&amp;AS[[#This Row],[Large Provider Entity Code]]&amp;"; "&amp;R2019&amp;AS[[#This Row],[Age Band Code]]&amp;"; "&amp;S2019&amp;AS[[#This Row],[Sex Code]]</f>
        <v xml:space="preserve">Insurer Code ; Reporting Year ; Insurance Category Code ; Large Provider Entity Code ; Age Band Code ; Sex Code </v>
      </c>
      <c r="N2019" s="345" t="s">
        <v>207</v>
      </c>
      <c r="O2019" s="345" t="s">
        <v>208</v>
      </c>
      <c r="P2019" s="345" t="s">
        <v>209</v>
      </c>
      <c r="Q2019" s="345" t="s">
        <v>210</v>
      </c>
      <c r="R2019" s="345" t="s">
        <v>223</v>
      </c>
      <c r="S2019" s="345" t="s">
        <v>224</v>
      </c>
    </row>
    <row r="2020" spans="1:19" x14ac:dyDescent="0.25">
      <c r="A2020" s="311"/>
      <c r="B2020" s="312"/>
      <c r="C2020" s="312"/>
      <c r="D2020" s="312"/>
      <c r="E2020" s="312"/>
      <c r="F2020" s="312"/>
      <c r="G2020" s="328"/>
      <c r="H2020" s="337"/>
      <c r="I2020" s="334"/>
      <c r="J2020" s="314"/>
      <c r="K2020" s="449"/>
      <c r="M2020" s="349" t="str">
        <f>N2020&amp;AS[[#This Row],[Insurer Code]]&amp;"; "&amp;O2020&amp;AS[[#This Row],[Reporting Year]]&amp;"; "&amp;P2020&amp;AS[[#This Row],[Insurance Category Code]]&amp;"; "&amp;Q2020&amp;AS[[#This Row],[Large Provider Entity Code]]&amp;"; "&amp;R2020&amp;AS[[#This Row],[Age Band Code]]&amp;"; "&amp;S2020&amp;AS[[#This Row],[Sex Code]]</f>
        <v xml:space="preserve">Insurer Code ; Reporting Year ; Insurance Category Code ; Large Provider Entity Code ; Age Band Code ; Sex Code </v>
      </c>
      <c r="N2020" s="345" t="s">
        <v>207</v>
      </c>
      <c r="O2020" s="345" t="s">
        <v>208</v>
      </c>
      <c r="P2020" s="345" t="s">
        <v>209</v>
      </c>
      <c r="Q2020" s="345" t="s">
        <v>210</v>
      </c>
      <c r="R2020" s="345" t="s">
        <v>223</v>
      </c>
      <c r="S2020" s="345" t="s">
        <v>224</v>
      </c>
    </row>
    <row r="2021" spans="1:19" x14ac:dyDescent="0.25">
      <c r="A2021" s="311"/>
      <c r="B2021" s="312"/>
      <c r="C2021" s="312"/>
      <c r="D2021" s="312"/>
      <c r="E2021" s="312"/>
      <c r="F2021" s="312"/>
      <c r="G2021" s="328"/>
      <c r="H2021" s="337"/>
      <c r="I2021" s="334"/>
      <c r="J2021" s="314"/>
      <c r="K2021" s="449"/>
      <c r="M2021" s="349" t="str">
        <f>N2021&amp;AS[[#This Row],[Insurer Code]]&amp;"; "&amp;O2021&amp;AS[[#This Row],[Reporting Year]]&amp;"; "&amp;P2021&amp;AS[[#This Row],[Insurance Category Code]]&amp;"; "&amp;Q2021&amp;AS[[#This Row],[Large Provider Entity Code]]&amp;"; "&amp;R2021&amp;AS[[#This Row],[Age Band Code]]&amp;"; "&amp;S2021&amp;AS[[#This Row],[Sex Code]]</f>
        <v xml:space="preserve">Insurer Code ; Reporting Year ; Insurance Category Code ; Large Provider Entity Code ; Age Band Code ; Sex Code </v>
      </c>
      <c r="N2021" s="345" t="s">
        <v>207</v>
      </c>
      <c r="O2021" s="345" t="s">
        <v>208</v>
      </c>
      <c r="P2021" s="345" t="s">
        <v>209</v>
      </c>
      <c r="Q2021" s="345" t="s">
        <v>210</v>
      </c>
      <c r="R2021" s="345" t="s">
        <v>223</v>
      </c>
      <c r="S2021" s="345" t="s">
        <v>224</v>
      </c>
    </row>
    <row r="2022" spans="1:19" x14ac:dyDescent="0.25">
      <c r="A2022" s="311"/>
      <c r="B2022" s="312"/>
      <c r="C2022" s="312"/>
      <c r="D2022" s="312"/>
      <c r="E2022" s="312"/>
      <c r="F2022" s="312"/>
      <c r="G2022" s="328"/>
      <c r="H2022" s="337"/>
      <c r="I2022" s="334"/>
      <c r="J2022" s="314"/>
      <c r="K2022" s="449"/>
      <c r="M2022" s="349" t="str">
        <f>N2022&amp;AS[[#This Row],[Insurer Code]]&amp;"; "&amp;O2022&amp;AS[[#This Row],[Reporting Year]]&amp;"; "&amp;P2022&amp;AS[[#This Row],[Insurance Category Code]]&amp;"; "&amp;Q2022&amp;AS[[#This Row],[Large Provider Entity Code]]&amp;"; "&amp;R2022&amp;AS[[#This Row],[Age Band Code]]&amp;"; "&amp;S2022&amp;AS[[#This Row],[Sex Code]]</f>
        <v xml:space="preserve">Insurer Code ; Reporting Year ; Insurance Category Code ; Large Provider Entity Code ; Age Band Code ; Sex Code </v>
      </c>
      <c r="N2022" s="345" t="s">
        <v>207</v>
      </c>
      <c r="O2022" s="345" t="s">
        <v>208</v>
      </c>
      <c r="P2022" s="345" t="s">
        <v>209</v>
      </c>
      <c r="Q2022" s="345" t="s">
        <v>210</v>
      </c>
      <c r="R2022" s="345" t="s">
        <v>223</v>
      </c>
      <c r="S2022" s="345" t="s">
        <v>224</v>
      </c>
    </row>
    <row r="2023" spans="1:19" x14ac:dyDescent="0.25">
      <c r="A2023" s="311"/>
      <c r="B2023" s="312"/>
      <c r="C2023" s="312"/>
      <c r="D2023" s="312"/>
      <c r="E2023" s="312"/>
      <c r="F2023" s="312"/>
      <c r="G2023" s="328"/>
      <c r="H2023" s="337"/>
      <c r="I2023" s="334"/>
      <c r="J2023" s="314"/>
      <c r="K2023" s="449"/>
      <c r="M2023" s="349" t="str">
        <f>N2023&amp;AS[[#This Row],[Insurer Code]]&amp;"; "&amp;O2023&amp;AS[[#This Row],[Reporting Year]]&amp;"; "&amp;P2023&amp;AS[[#This Row],[Insurance Category Code]]&amp;"; "&amp;Q2023&amp;AS[[#This Row],[Large Provider Entity Code]]&amp;"; "&amp;R2023&amp;AS[[#This Row],[Age Band Code]]&amp;"; "&amp;S2023&amp;AS[[#This Row],[Sex Code]]</f>
        <v xml:space="preserve">Insurer Code ; Reporting Year ; Insurance Category Code ; Large Provider Entity Code ; Age Band Code ; Sex Code </v>
      </c>
      <c r="N2023" s="345" t="s">
        <v>207</v>
      </c>
      <c r="O2023" s="345" t="s">
        <v>208</v>
      </c>
      <c r="P2023" s="345" t="s">
        <v>209</v>
      </c>
      <c r="Q2023" s="345" t="s">
        <v>210</v>
      </c>
      <c r="R2023" s="345" t="s">
        <v>223</v>
      </c>
      <c r="S2023" s="345" t="s">
        <v>224</v>
      </c>
    </row>
    <row r="2024" spans="1:19" x14ac:dyDescent="0.25">
      <c r="A2024" s="311"/>
      <c r="B2024" s="312"/>
      <c r="C2024" s="312"/>
      <c r="D2024" s="312"/>
      <c r="E2024" s="312"/>
      <c r="F2024" s="312"/>
      <c r="G2024" s="328"/>
      <c r="H2024" s="337"/>
      <c r="I2024" s="334"/>
      <c r="J2024" s="314"/>
      <c r="K2024" s="449"/>
      <c r="M2024" s="349" t="str">
        <f>N2024&amp;AS[[#This Row],[Insurer Code]]&amp;"; "&amp;O2024&amp;AS[[#This Row],[Reporting Year]]&amp;"; "&amp;P2024&amp;AS[[#This Row],[Insurance Category Code]]&amp;"; "&amp;Q2024&amp;AS[[#This Row],[Large Provider Entity Code]]&amp;"; "&amp;R2024&amp;AS[[#This Row],[Age Band Code]]&amp;"; "&amp;S2024&amp;AS[[#This Row],[Sex Code]]</f>
        <v xml:space="preserve">Insurer Code ; Reporting Year ; Insurance Category Code ; Large Provider Entity Code ; Age Band Code ; Sex Code </v>
      </c>
      <c r="N2024" s="345" t="s">
        <v>207</v>
      </c>
      <c r="O2024" s="345" t="s">
        <v>208</v>
      </c>
      <c r="P2024" s="345" t="s">
        <v>209</v>
      </c>
      <c r="Q2024" s="345" t="s">
        <v>210</v>
      </c>
      <c r="R2024" s="345" t="s">
        <v>223</v>
      </c>
      <c r="S2024" s="345" t="s">
        <v>224</v>
      </c>
    </row>
    <row r="2025" spans="1:19" x14ac:dyDescent="0.25">
      <c r="A2025" s="311"/>
      <c r="B2025" s="312"/>
      <c r="C2025" s="312"/>
      <c r="D2025" s="312"/>
      <c r="E2025" s="312"/>
      <c r="F2025" s="312"/>
      <c r="G2025" s="328"/>
      <c r="H2025" s="337"/>
      <c r="I2025" s="334"/>
      <c r="J2025" s="314"/>
      <c r="K2025" s="449"/>
      <c r="M2025" s="349" t="str">
        <f>N2025&amp;AS[[#This Row],[Insurer Code]]&amp;"; "&amp;O2025&amp;AS[[#This Row],[Reporting Year]]&amp;"; "&amp;P2025&amp;AS[[#This Row],[Insurance Category Code]]&amp;"; "&amp;Q2025&amp;AS[[#This Row],[Large Provider Entity Code]]&amp;"; "&amp;R2025&amp;AS[[#This Row],[Age Band Code]]&amp;"; "&amp;S2025&amp;AS[[#This Row],[Sex Code]]</f>
        <v xml:space="preserve">Insurer Code ; Reporting Year ; Insurance Category Code ; Large Provider Entity Code ; Age Band Code ; Sex Code </v>
      </c>
      <c r="N2025" s="345" t="s">
        <v>207</v>
      </c>
      <c r="O2025" s="345" t="s">
        <v>208</v>
      </c>
      <c r="P2025" s="345" t="s">
        <v>209</v>
      </c>
      <c r="Q2025" s="345" t="s">
        <v>210</v>
      </c>
      <c r="R2025" s="345" t="s">
        <v>223</v>
      </c>
      <c r="S2025" s="345" t="s">
        <v>224</v>
      </c>
    </row>
    <row r="2026" spans="1:19" x14ac:dyDescent="0.25">
      <c r="A2026" s="311"/>
      <c r="B2026" s="312"/>
      <c r="C2026" s="312"/>
      <c r="D2026" s="312"/>
      <c r="E2026" s="312"/>
      <c r="F2026" s="312"/>
      <c r="G2026" s="328"/>
      <c r="H2026" s="337"/>
      <c r="I2026" s="334"/>
      <c r="J2026" s="314"/>
      <c r="K2026" s="449"/>
      <c r="M2026" s="349" t="str">
        <f>N2026&amp;AS[[#This Row],[Insurer Code]]&amp;"; "&amp;O2026&amp;AS[[#This Row],[Reporting Year]]&amp;"; "&amp;P2026&amp;AS[[#This Row],[Insurance Category Code]]&amp;"; "&amp;Q2026&amp;AS[[#This Row],[Large Provider Entity Code]]&amp;"; "&amp;R2026&amp;AS[[#This Row],[Age Band Code]]&amp;"; "&amp;S2026&amp;AS[[#This Row],[Sex Code]]</f>
        <v xml:space="preserve">Insurer Code ; Reporting Year ; Insurance Category Code ; Large Provider Entity Code ; Age Band Code ; Sex Code </v>
      </c>
      <c r="N2026" s="345" t="s">
        <v>207</v>
      </c>
      <c r="O2026" s="345" t="s">
        <v>208</v>
      </c>
      <c r="P2026" s="345" t="s">
        <v>209</v>
      </c>
      <c r="Q2026" s="345" t="s">
        <v>210</v>
      </c>
      <c r="R2026" s="345" t="s">
        <v>223</v>
      </c>
      <c r="S2026" s="345" t="s">
        <v>224</v>
      </c>
    </row>
    <row r="2027" spans="1:19" x14ac:dyDescent="0.25">
      <c r="A2027" s="311"/>
      <c r="B2027" s="312"/>
      <c r="C2027" s="312"/>
      <c r="D2027" s="312"/>
      <c r="E2027" s="312"/>
      <c r="F2027" s="312"/>
      <c r="G2027" s="328"/>
      <c r="H2027" s="337"/>
      <c r="I2027" s="334"/>
      <c r="J2027" s="314"/>
      <c r="K2027" s="449"/>
      <c r="M2027" s="349" t="str">
        <f>N2027&amp;AS[[#This Row],[Insurer Code]]&amp;"; "&amp;O2027&amp;AS[[#This Row],[Reporting Year]]&amp;"; "&amp;P2027&amp;AS[[#This Row],[Insurance Category Code]]&amp;"; "&amp;Q2027&amp;AS[[#This Row],[Large Provider Entity Code]]&amp;"; "&amp;R2027&amp;AS[[#This Row],[Age Band Code]]&amp;"; "&amp;S2027&amp;AS[[#This Row],[Sex Code]]</f>
        <v xml:space="preserve">Insurer Code ; Reporting Year ; Insurance Category Code ; Large Provider Entity Code ; Age Band Code ; Sex Code </v>
      </c>
      <c r="N2027" s="345" t="s">
        <v>207</v>
      </c>
      <c r="O2027" s="345" t="s">
        <v>208</v>
      </c>
      <c r="P2027" s="345" t="s">
        <v>209</v>
      </c>
      <c r="Q2027" s="345" t="s">
        <v>210</v>
      </c>
      <c r="R2027" s="345" t="s">
        <v>223</v>
      </c>
      <c r="S2027" s="345" t="s">
        <v>224</v>
      </c>
    </row>
    <row r="2028" spans="1:19" x14ac:dyDescent="0.25">
      <c r="A2028" s="311"/>
      <c r="B2028" s="312"/>
      <c r="C2028" s="312"/>
      <c r="D2028" s="312"/>
      <c r="E2028" s="312"/>
      <c r="F2028" s="312"/>
      <c r="G2028" s="328"/>
      <c r="H2028" s="337"/>
      <c r="I2028" s="334"/>
      <c r="J2028" s="314"/>
      <c r="K2028" s="449"/>
      <c r="M2028" s="349" t="str">
        <f>N2028&amp;AS[[#This Row],[Insurer Code]]&amp;"; "&amp;O2028&amp;AS[[#This Row],[Reporting Year]]&amp;"; "&amp;P2028&amp;AS[[#This Row],[Insurance Category Code]]&amp;"; "&amp;Q2028&amp;AS[[#This Row],[Large Provider Entity Code]]&amp;"; "&amp;R2028&amp;AS[[#This Row],[Age Band Code]]&amp;"; "&amp;S2028&amp;AS[[#This Row],[Sex Code]]</f>
        <v xml:space="preserve">Insurer Code ; Reporting Year ; Insurance Category Code ; Large Provider Entity Code ; Age Band Code ; Sex Code </v>
      </c>
      <c r="N2028" s="345" t="s">
        <v>207</v>
      </c>
      <c r="O2028" s="345" t="s">
        <v>208</v>
      </c>
      <c r="P2028" s="345" t="s">
        <v>209</v>
      </c>
      <c r="Q2028" s="345" t="s">
        <v>210</v>
      </c>
      <c r="R2028" s="345" t="s">
        <v>223</v>
      </c>
      <c r="S2028" s="345" t="s">
        <v>224</v>
      </c>
    </row>
    <row r="2029" spans="1:19" x14ac:dyDescent="0.25">
      <c r="A2029" s="311"/>
      <c r="B2029" s="312"/>
      <c r="C2029" s="312"/>
      <c r="D2029" s="312"/>
      <c r="E2029" s="312"/>
      <c r="F2029" s="312"/>
      <c r="G2029" s="328"/>
      <c r="H2029" s="337"/>
      <c r="I2029" s="334"/>
      <c r="J2029" s="314"/>
      <c r="K2029" s="449"/>
      <c r="M2029" s="349" t="str">
        <f>N2029&amp;AS[[#This Row],[Insurer Code]]&amp;"; "&amp;O2029&amp;AS[[#This Row],[Reporting Year]]&amp;"; "&amp;P2029&amp;AS[[#This Row],[Insurance Category Code]]&amp;"; "&amp;Q2029&amp;AS[[#This Row],[Large Provider Entity Code]]&amp;"; "&amp;R2029&amp;AS[[#This Row],[Age Band Code]]&amp;"; "&amp;S2029&amp;AS[[#This Row],[Sex Code]]</f>
        <v xml:space="preserve">Insurer Code ; Reporting Year ; Insurance Category Code ; Large Provider Entity Code ; Age Band Code ; Sex Code </v>
      </c>
      <c r="N2029" s="345" t="s">
        <v>207</v>
      </c>
      <c r="O2029" s="345" t="s">
        <v>208</v>
      </c>
      <c r="P2029" s="345" t="s">
        <v>209</v>
      </c>
      <c r="Q2029" s="345" t="s">
        <v>210</v>
      </c>
      <c r="R2029" s="345" t="s">
        <v>223</v>
      </c>
      <c r="S2029" s="345" t="s">
        <v>224</v>
      </c>
    </row>
    <row r="2030" spans="1:19" x14ac:dyDescent="0.25">
      <c r="A2030" s="311"/>
      <c r="B2030" s="312"/>
      <c r="C2030" s="312"/>
      <c r="D2030" s="312"/>
      <c r="E2030" s="312"/>
      <c r="F2030" s="312"/>
      <c r="G2030" s="328"/>
      <c r="H2030" s="337"/>
      <c r="I2030" s="334"/>
      <c r="J2030" s="314"/>
      <c r="K2030" s="449"/>
      <c r="M2030" s="349" t="str">
        <f>N2030&amp;AS[[#This Row],[Insurer Code]]&amp;"; "&amp;O2030&amp;AS[[#This Row],[Reporting Year]]&amp;"; "&amp;P2030&amp;AS[[#This Row],[Insurance Category Code]]&amp;"; "&amp;Q2030&amp;AS[[#This Row],[Large Provider Entity Code]]&amp;"; "&amp;R2030&amp;AS[[#This Row],[Age Band Code]]&amp;"; "&amp;S2030&amp;AS[[#This Row],[Sex Code]]</f>
        <v xml:space="preserve">Insurer Code ; Reporting Year ; Insurance Category Code ; Large Provider Entity Code ; Age Band Code ; Sex Code </v>
      </c>
      <c r="N2030" s="345" t="s">
        <v>207</v>
      </c>
      <c r="O2030" s="345" t="s">
        <v>208</v>
      </c>
      <c r="P2030" s="345" t="s">
        <v>209</v>
      </c>
      <c r="Q2030" s="345" t="s">
        <v>210</v>
      </c>
      <c r="R2030" s="345" t="s">
        <v>223</v>
      </c>
      <c r="S2030" s="345" t="s">
        <v>224</v>
      </c>
    </row>
    <row r="2031" spans="1:19" x14ac:dyDescent="0.25">
      <c r="A2031" s="311"/>
      <c r="B2031" s="312"/>
      <c r="C2031" s="312"/>
      <c r="D2031" s="312"/>
      <c r="E2031" s="312"/>
      <c r="F2031" s="312"/>
      <c r="G2031" s="328"/>
      <c r="H2031" s="337"/>
      <c r="I2031" s="334"/>
      <c r="J2031" s="314"/>
      <c r="K2031" s="449"/>
      <c r="M2031" s="349" t="str">
        <f>N2031&amp;AS[[#This Row],[Insurer Code]]&amp;"; "&amp;O2031&amp;AS[[#This Row],[Reporting Year]]&amp;"; "&amp;P2031&amp;AS[[#This Row],[Insurance Category Code]]&amp;"; "&amp;Q2031&amp;AS[[#This Row],[Large Provider Entity Code]]&amp;"; "&amp;R2031&amp;AS[[#This Row],[Age Band Code]]&amp;"; "&amp;S2031&amp;AS[[#This Row],[Sex Code]]</f>
        <v xml:space="preserve">Insurer Code ; Reporting Year ; Insurance Category Code ; Large Provider Entity Code ; Age Band Code ; Sex Code </v>
      </c>
      <c r="N2031" s="345" t="s">
        <v>207</v>
      </c>
      <c r="O2031" s="345" t="s">
        <v>208</v>
      </c>
      <c r="P2031" s="345" t="s">
        <v>209</v>
      </c>
      <c r="Q2031" s="345" t="s">
        <v>210</v>
      </c>
      <c r="R2031" s="345" t="s">
        <v>223</v>
      </c>
      <c r="S2031" s="345" t="s">
        <v>224</v>
      </c>
    </row>
    <row r="2032" spans="1:19" x14ac:dyDescent="0.25">
      <c r="A2032" s="311"/>
      <c r="B2032" s="312"/>
      <c r="C2032" s="312"/>
      <c r="D2032" s="312"/>
      <c r="E2032" s="312"/>
      <c r="F2032" s="312"/>
      <c r="G2032" s="328"/>
      <c r="H2032" s="337"/>
      <c r="I2032" s="334"/>
      <c r="J2032" s="314"/>
      <c r="K2032" s="449"/>
      <c r="M2032" s="349" t="str">
        <f>N2032&amp;AS[[#This Row],[Insurer Code]]&amp;"; "&amp;O2032&amp;AS[[#This Row],[Reporting Year]]&amp;"; "&amp;P2032&amp;AS[[#This Row],[Insurance Category Code]]&amp;"; "&amp;Q2032&amp;AS[[#This Row],[Large Provider Entity Code]]&amp;"; "&amp;R2032&amp;AS[[#This Row],[Age Band Code]]&amp;"; "&amp;S2032&amp;AS[[#This Row],[Sex Code]]</f>
        <v xml:space="preserve">Insurer Code ; Reporting Year ; Insurance Category Code ; Large Provider Entity Code ; Age Band Code ; Sex Code </v>
      </c>
      <c r="N2032" s="345" t="s">
        <v>207</v>
      </c>
      <c r="O2032" s="345" t="s">
        <v>208</v>
      </c>
      <c r="P2032" s="345" t="s">
        <v>209</v>
      </c>
      <c r="Q2032" s="345" t="s">
        <v>210</v>
      </c>
      <c r="R2032" s="345" t="s">
        <v>223</v>
      </c>
      <c r="S2032" s="345" t="s">
        <v>224</v>
      </c>
    </row>
    <row r="2033" spans="1:19" x14ac:dyDescent="0.25">
      <c r="A2033" s="311"/>
      <c r="B2033" s="312"/>
      <c r="C2033" s="312"/>
      <c r="D2033" s="312"/>
      <c r="E2033" s="312"/>
      <c r="F2033" s="312"/>
      <c r="G2033" s="328"/>
      <c r="H2033" s="337"/>
      <c r="I2033" s="334"/>
      <c r="J2033" s="314"/>
      <c r="K2033" s="449"/>
      <c r="M2033" s="349" t="str">
        <f>N2033&amp;AS[[#This Row],[Insurer Code]]&amp;"; "&amp;O2033&amp;AS[[#This Row],[Reporting Year]]&amp;"; "&amp;P2033&amp;AS[[#This Row],[Insurance Category Code]]&amp;"; "&amp;Q2033&amp;AS[[#This Row],[Large Provider Entity Code]]&amp;"; "&amp;R2033&amp;AS[[#This Row],[Age Band Code]]&amp;"; "&amp;S2033&amp;AS[[#This Row],[Sex Code]]</f>
        <v xml:space="preserve">Insurer Code ; Reporting Year ; Insurance Category Code ; Large Provider Entity Code ; Age Band Code ; Sex Code </v>
      </c>
      <c r="N2033" s="345" t="s">
        <v>207</v>
      </c>
      <c r="O2033" s="345" t="s">
        <v>208</v>
      </c>
      <c r="P2033" s="345" t="s">
        <v>209</v>
      </c>
      <c r="Q2033" s="345" t="s">
        <v>210</v>
      </c>
      <c r="R2033" s="345" t="s">
        <v>223</v>
      </c>
      <c r="S2033" s="345" t="s">
        <v>224</v>
      </c>
    </row>
    <row r="2034" spans="1:19" x14ac:dyDescent="0.25">
      <c r="A2034" s="311"/>
      <c r="B2034" s="312"/>
      <c r="C2034" s="312"/>
      <c r="D2034" s="312"/>
      <c r="E2034" s="312"/>
      <c r="F2034" s="312"/>
      <c r="G2034" s="328"/>
      <c r="H2034" s="337"/>
      <c r="I2034" s="334"/>
      <c r="J2034" s="314"/>
      <c r="K2034" s="449"/>
      <c r="M2034" s="349" t="str">
        <f>N2034&amp;AS[[#This Row],[Insurer Code]]&amp;"; "&amp;O2034&amp;AS[[#This Row],[Reporting Year]]&amp;"; "&amp;P2034&amp;AS[[#This Row],[Insurance Category Code]]&amp;"; "&amp;Q2034&amp;AS[[#This Row],[Large Provider Entity Code]]&amp;"; "&amp;R2034&amp;AS[[#This Row],[Age Band Code]]&amp;"; "&amp;S2034&amp;AS[[#This Row],[Sex Code]]</f>
        <v xml:space="preserve">Insurer Code ; Reporting Year ; Insurance Category Code ; Large Provider Entity Code ; Age Band Code ; Sex Code </v>
      </c>
      <c r="N2034" s="345" t="s">
        <v>207</v>
      </c>
      <c r="O2034" s="345" t="s">
        <v>208</v>
      </c>
      <c r="P2034" s="345" t="s">
        <v>209</v>
      </c>
      <c r="Q2034" s="345" t="s">
        <v>210</v>
      </c>
      <c r="R2034" s="345" t="s">
        <v>223</v>
      </c>
      <c r="S2034" s="345" t="s">
        <v>224</v>
      </c>
    </row>
    <row r="2035" spans="1:19" x14ac:dyDescent="0.25">
      <c r="A2035" s="311"/>
      <c r="B2035" s="312"/>
      <c r="C2035" s="312"/>
      <c r="D2035" s="312"/>
      <c r="E2035" s="312"/>
      <c r="F2035" s="312"/>
      <c r="G2035" s="328"/>
      <c r="H2035" s="337"/>
      <c r="I2035" s="334"/>
      <c r="J2035" s="314"/>
      <c r="K2035" s="449"/>
      <c r="M2035" s="349" t="str">
        <f>N2035&amp;AS[[#This Row],[Insurer Code]]&amp;"; "&amp;O2035&amp;AS[[#This Row],[Reporting Year]]&amp;"; "&amp;P2035&amp;AS[[#This Row],[Insurance Category Code]]&amp;"; "&amp;Q2035&amp;AS[[#This Row],[Large Provider Entity Code]]&amp;"; "&amp;R2035&amp;AS[[#This Row],[Age Band Code]]&amp;"; "&amp;S2035&amp;AS[[#This Row],[Sex Code]]</f>
        <v xml:space="preserve">Insurer Code ; Reporting Year ; Insurance Category Code ; Large Provider Entity Code ; Age Band Code ; Sex Code </v>
      </c>
      <c r="N2035" s="345" t="s">
        <v>207</v>
      </c>
      <c r="O2035" s="345" t="s">
        <v>208</v>
      </c>
      <c r="P2035" s="345" t="s">
        <v>209</v>
      </c>
      <c r="Q2035" s="345" t="s">
        <v>210</v>
      </c>
      <c r="R2035" s="345" t="s">
        <v>223</v>
      </c>
      <c r="S2035" s="345" t="s">
        <v>224</v>
      </c>
    </row>
    <row r="2036" spans="1:19" x14ac:dyDescent="0.25">
      <c r="A2036" s="311"/>
      <c r="B2036" s="312"/>
      <c r="C2036" s="312"/>
      <c r="D2036" s="312"/>
      <c r="E2036" s="312"/>
      <c r="F2036" s="312"/>
      <c r="G2036" s="328"/>
      <c r="H2036" s="337"/>
      <c r="I2036" s="334"/>
      <c r="J2036" s="314"/>
      <c r="K2036" s="449"/>
      <c r="M2036" s="349" t="str">
        <f>N2036&amp;AS[[#This Row],[Insurer Code]]&amp;"; "&amp;O2036&amp;AS[[#This Row],[Reporting Year]]&amp;"; "&amp;P2036&amp;AS[[#This Row],[Insurance Category Code]]&amp;"; "&amp;Q2036&amp;AS[[#This Row],[Large Provider Entity Code]]&amp;"; "&amp;R2036&amp;AS[[#This Row],[Age Band Code]]&amp;"; "&amp;S2036&amp;AS[[#This Row],[Sex Code]]</f>
        <v xml:space="preserve">Insurer Code ; Reporting Year ; Insurance Category Code ; Large Provider Entity Code ; Age Band Code ; Sex Code </v>
      </c>
      <c r="N2036" s="345" t="s">
        <v>207</v>
      </c>
      <c r="O2036" s="345" t="s">
        <v>208</v>
      </c>
      <c r="P2036" s="345" t="s">
        <v>209</v>
      </c>
      <c r="Q2036" s="345" t="s">
        <v>210</v>
      </c>
      <c r="R2036" s="345" t="s">
        <v>223</v>
      </c>
      <c r="S2036" s="345" t="s">
        <v>224</v>
      </c>
    </row>
    <row r="2037" spans="1:19" x14ac:dyDescent="0.25">
      <c r="A2037" s="311"/>
      <c r="B2037" s="312"/>
      <c r="C2037" s="312"/>
      <c r="D2037" s="312"/>
      <c r="E2037" s="312"/>
      <c r="F2037" s="312"/>
      <c r="G2037" s="328"/>
      <c r="H2037" s="337"/>
      <c r="I2037" s="334"/>
      <c r="J2037" s="314"/>
      <c r="K2037" s="449"/>
      <c r="M2037" s="349" t="str">
        <f>N2037&amp;AS[[#This Row],[Insurer Code]]&amp;"; "&amp;O2037&amp;AS[[#This Row],[Reporting Year]]&amp;"; "&amp;P2037&amp;AS[[#This Row],[Insurance Category Code]]&amp;"; "&amp;Q2037&amp;AS[[#This Row],[Large Provider Entity Code]]&amp;"; "&amp;R2037&amp;AS[[#This Row],[Age Band Code]]&amp;"; "&amp;S2037&amp;AS[[#This Row],[Sex Code]]</f>
        <v xml:space="preserve">Insurer Code ; Reporting Year ; Insurance Category Code ; Large Provider Entity Code ; Age Band Code ; Sex Code </v>
      </c>
      <c r="N2037" s="345" t="s">
        <v>207</v>
      </c>
      <c r="O2037" s="345" t="s">
        <v>208</v>
      </c>
      <c r="P2037" s="345" t="s">
        <v>209</v>
      </c>
      <c r="Q2037" s="345" t="s">
        <v>210</v>
      </c>
      <c r="R2037" s="345" t="s">
        <v>223</v>
      </c>
      <c r="S2037" s="345" t="s">
        <v>224</v>
      </c>
    </row>
    <row r="2038" spans="1:19" x14ac:dyDescent="0.25">
      <c r="A2038" s="311"/>
      <c r="B2038" s="312"/>
      <c r="C2038" s="312"/>
      <c r="D2038" s="312"/>
      <c r="E2038" s="312"/>
      <c r="F2038" s="312"/>
      <c r="G2038" s="328"/>
      <c r="H2038" s="337"/>
      <c r="I2038" s="334"/>
      <c r="J2038" s="314"/>
      <c r="K2038" s="449"/>
      <c r="M2038" s="349" t="str">
        <f>N2038&amp;AS[[#This Row],[Insurer Code]]&amp;"; "&amp;O2038&amp;AS[[#This Row],[Reporting Year]]&amp;"; "&amp;P2038&amp;AS[[#This Row],[Insurance Category Code]]&amp;"; "&amp;Q2038&amp;AS[[#This Row],[Large Provider Entity Code]]&amp;"; "&amp;R2038&amp;AS[[#This Row],[Age Band Code]]&amp;"; "&amp;S2038&amp;AS[[#This Row],[Sex Code]]</f>
        <v xml:space="preserve">Insurer Code ; Reporting Year ; Insurance Category Code ; Large Provider Entity Code ; Age Band Code ; Sex Code </v>
      </c>
      <c r="N2038" s="345" t="s">
        <v>207</v>
      </c>
      <c r="O2038" s="345" t="s">
        <v>208</v>
      </c>
      <c r="P2038" s="345" t="s">
        <v>209</v>
      </c>
      <c r="Q2038" s="345" t="s">
        <v>210</v>
      </c>
      <c r="R2038" s="345" t="s">
        <v>223</v>
      </c>
      <c r="S2038" s="345" t="s">
        <v>224</v>
      </c>
    </row>
    <row r="2039" spans="1:19" x14ac:dyDescent="0.25">
      <c r="A2039" s="311"/>
      <c r="B2039" s="312"/>
      <c r="C2039" s="312"/>
      <c r="D2039" s="312"/>
      <c r="E2039" s="312"/>
      <c r="F2039" s="312"/>
      <c r="G2039" s="328"/>
      <c r="H2039" s="337"/>
      <c r="I2039" s="334"/>
      <c r="J2039" s="314"/>
      <c r="K2039" s="449"/>
      <c r="M2039" s="349" t="str">
        <f>N2039&amp;AS[[#This Row],[Insurer Code]]&amp;"; "&amp;O2039&amp;AS[[#This Row],[Reporting Year]]&amp;"; "&amp;P2039&amp;AS[[#This Row],[Insurance Category Code]]&amp;"; "&amp;Q2039&amp;AS[[#This Row],[Large Provider Entity Code]]&amp;"; "&amp;R2039&amp;AS[[#This Row],[Age Band Code]]&amp;"; "&amp;S2039&amp;AS[[#This Row],[Sex Code]]</f>
        <v xml:space="preserve">Insurer Code ; Reporting Year ; Insurance Category Code ; Large Provider Entity Code ; Age Band Code ; Sex Code </v>
      </c>
      <c r="N2039" s="345" t="s">
        <v>207</v>
      </c>
      <c r="O2039" s="345" t="s">
        <v>208</v>
      </c>
      <c r="P2039" s="345" t="s">
        <v>209</v>
      </c>
      <c r="Q2039" s="345" t="s">
        <v>210</v>
      </c>
      <c r="R2039" s="345" t="s">
        <v>223</v>
      </c>
      <c r="S2039" s="345" t="s">
        <v>224</v>
      </c>
    </row>
    <row r="2040" spans="1:19" x14ac:dyDescent="0.25">
      <c r="A2040" s="311"/>
      <c r="B2040" s="312"/>
      <c r="C2040" s="312"/>
      <c r="D2040" s="312"/>
      <c r="E2040" s="312"/>
      <c r="F2040" s="312"/>
      <c r="G2040" s="328"/>
      <c r="H2040" s="337"/>
      <c r="I2040" s="334"/>
      <c r="J2040" s="314"/>
      <c r="K2040" s="449"/>
      <c r="M2040" s="349" t="str">
        <f>N2040&amp;AS[[#This Row],[Insurer Code]]&amp;"; "&amp;O2040&amp;AS[[#This Row],[Reporting Year]]&amp;"; "&amp;P2040&amp;AS[[#This Row],[Insurance Category Code]]&amp;"; "&amp;Q2040&amp;AS[[#This Row],[Large Provider Entity Code]]&amp;"; "&amp;R2040&amp;AS[[#This Row],[Age Band Code]]&amp;"; "&amp;S2040&amp;AS[[#This Row],[Sex Code]]</f>
        <v xml:space="preserve">Insurer Code ; Reporting Year ; Insurance Category Code ; Large Provider Entity Code ; Age Band Code ; Sex Code </v>
      </c>
      <c r="N2040" s="345" t="s">
        <v>207</v>
      </c>
      <c r="O2040" s="345" t="s">
        <v>208</v>
      </c>
      <c r="P2040" s="345" t="s">
        <v>209</v>
      </c>
      <c r="Q2040" s="345" t="s">
        <v>210</v>
      </c>
      <c r="R2040" s="345" t="s">
        <v>223</v>
      </c>
      <c r="S2040" s="345" t="s">
        <v>224</v>
      </c>
    </row>
    <row r="2041" spans="1:19" x14ac:dyDescent="0.25">
      <c r="A2041" s="311"/>
      <c r="B2041" s="312"/>
      <c r="C2041" s="312"/>
      <c r="D2041" s="312"/>
      <c r="E2041" s="312"/>
      <c r="F2041" s="312"/>
      <c r="G2041" s="328"/>
      <c r="H2041" s="337"/>
      <c r="I2041" s="334"/>
      <c r="J2041" s="314"/>
      <c r="K2041" s="449"/>
      <c r="M2041" s="349" t="str">
        <f>N2041&amp;AS[[#This Row],[Insurer Code]]&amp;"; "&amp;O2041&amp;AS[[#This Row],[Reporting Year]]&amp;"; "&amp;P2041&amp;AS[[#This Row],[Insurance Category Code]]&amp;"; "&amp;Q2041&amp;AS[[#This Row],[Large Provider Entity Code]]&amp;"; "&amp;R2041&amp;AS[[#This Row],[Age Band Code]]&amp;"; "&amp;S2041&amp;AS[[#This Row],[Sex Code]]</f>
        <v xml:space="preserve">Insurer Code ; Reporting Year ; Insurance Category Code ; Large Provider Entity Code ; Age Band Code ; Sex Code </v>
      </c>
      <c r="N2041" s="345" t="s">
        <v>207</v>
      </c>
      <c r="O2041" s="345" t="s">
        <v>208</v>
      </c>
      <c r="P2041" s="345" t="s">
        <v>209</v>
      </c>
      <c r="Q2041" s="345" t="s">
        <v>210</v>
      </c>
      <c r="R2041" s="345" t="s">
        <v>223</v>
      </c>
      <c r="S2041" s="345" t="s">
        <v>224</v>
      </c>
    </row>
    <row r="2042" spans="1:19" x14ac:dyDescent="0.25">
      <c r="A2042" s="311"/>
      <c r="B2042" s="312"/>
      <c r="C2042" s="312"/>
      <c r="D2042" s="312"/>
      <c r="E2042" s="312"/>
      <c r="F2042" s="312"/>
      <c r="G2042" s="328"/>
      <c r="H2042" s="337"/>
      <c r="I2042" s="334"/>
      <c r="J2042" s="314"/>
      <c r="K2042" s="449"/>
      <c r="M2042" s="349" t="str">
        <f>N2042&amp;AS[[#This Row],[Insurer Code]]&amp;"; "&amp;O2042&amp;AS[[#This Row],[Reporting Year]]&amp;"; "&amp;P2042&amp;AS[[#This Row],[Insurance Category Code]]&amp;"; "&amp;Q2042&amp;AS[[#This Row],[Large Provider Entity Code]]&amp;"; "&amp;R2042&amp;AS[[#This Row],[Age Band Code]]&amp;"; "&amp;S2042&amp;AS[[#This Row],[Sex Code]]</f>
        <v xml:space="preserve">Insurer Code ; Reporting Year ; Insurance Category Code ; Large Provider Entity Code ; Age Band Code ; Sex Code </v>
      </c>
      <c r="N2042" s="345" t="s">
        <v>207</v>
      </c>
      <c r="O2042" s="345" t="s">
        <v>208</v>
      </c>
      <c r="P2042" s="345" t="s">
        <v>209</v>
      </c>
      <c r="Q2042" s="345" t="s">
        <v>210</v>
      </c>
      <c r="R2042" s="345" t="s">
        <v>223</v>
      </c>
      <c r="S2042" s="345" t="s">
        <v>224</v>
      </c>
    </row>
    <row r="2043" spans="1:19" x14ac:dyDescent="0.25">
      <c r="A2043" s="311"/>
      <c r="B2043" s="312"/>
      <c r="C2043" s="312"/>
      <c r="D2043" s="312"/>
      <c r="E2043" s="312"/>
      <c r="F2043" s="312"/>
      <c r="G2043" s="328"/>
      <c r="H2043" s="337"/>
      <c r="I2043" s="334"/>
      <c r="J2043" s="314"/>
      <c r="K2043" s="449"/>
      <c r="M2043" s="349" t="str">
        <f>N2043&amp;AS[[#This Row],[Insurer Code]]&amp;"; "&amp;O2043&amp;AS[[#This Row],[Reporting Year]]&amp;"; "&amp;P2043&amp;AS[[#This Row],[Insurance Category Code]]&amp;"; "&amp;Q2043&amp;AS[[#This Row],[Large Provider Entity Code]]&amp;"; "&amp;R2043&amp;AS[[#This Row],[Age Band Code]]&amp;"; "&amp;S2043&amp;AS[[#This Row],[Sex Code]]</f>
        <v xml:space="preserve">Insurer Code ; Reporting Year ; Insurance Category Code ; Large Provider Entity Code ; Age Band Code ; Sex Code </v>
      </c>
      <c r="N2043" s="345" t="s">
        <v>207</v>
      </c>
      <c r="O2043" s="345" t="s">
        <v>208</v>
      </c>
      <c r="P2043" s="345" t="s">
        <v>209</v>
      </c>
      <c r="Q2043" s="345" t="s">
        <v>210</v>
      </c>
      <c r="R2043" s="345" t="s">
        <v>223</v>
      </c>
      <c r="S2043" s="345" t="s">
        <v>224</v>
      </c>
    </row>
    <row r="2044" spans="1:19" x14ac:dyDescent="0.25">
      <c r="A2044" s="311"/>
      <c r="B2044" s="312"/>
      <c r="C2044" s="312"/>
      <c r="D2044" s="312"/>
      <c r="E2044" s="312"/>
      <c r="F2044" s="312"/>
      <c r="G2044" s="328"/>
      <c r="H2044" s="337"/>
      <c r="I2044" s="334"/>
      <c r="J2044" s="314"/>
      <c r="K2044" s="449"/>
      <c r="M2044" s="349" t="str">
        <f>N2044&amp;AS[[#This Row],[Insurer Code]]&amp;"; "&amp;O2044&amp;AS[[#This Row],[Reporting Year]]&amp;"; "&amp;P2044&amp;AS[[#This Row],[Insurance Category Code]]&amp;"; "&amp;Q2044&amp;AS[[#This Row],[Large Provider Entity Code]]&amp;"; "&amp;R2044&amp;AS[[#This Row],[Age Band Code]]&amp;"; "&amp;S2044&amp;AS[[#This Row],[Sex Code]]</f>
        <v xml:space="preserve">Insurer Code ; Reporting Year ; Insurance Category Code ; Large Provider Entity Code ; Age Band Code ; Sex Code </v>
      </c>
      <c r="N2044" s="345" t="s">
        <v>207</v>
      </c>
      <c r="O2044" s="345" t="s">
        <v>208</v>
      </c>
      <c r="P2044" s="345" t="s">
        <v>209</v>
      </c>
      <c r="Q2044" s="345" t="s">
        <v>210</v>
      </c>
      <c r="R2044" s="345" t="s">
        <v>223</v>
      </c>
      <c r="S2044" s="345" t="s">
        <v>224</v>
      </c>
    </row>
    <row r="2045" spans="1:19" x14ac:dyDescent="0.25">
      <c r="A2045" s="311"/>
      <c r="B2045" s="312"/>
      <c r="C2045" s="312"/>
      <c r="D2045" s="312"/>
      <c r="E2045" s="312"/>
      <c r="F2045" s="312"/>
      <c r="G2045" s="328"/>
      <c r="H2045" s="337"/>
      <c r="I2045" s="334"/>
      <c r="J2045" s="314"/>
      <c r="K2045" s="449"/>
      <c r="M2045" s="349" t="str">
        <f>N2045&amp;AS[[#This Row],[Insurer Code]]&amp;"; "&amp;O2045&amp;AS[[#This Row],[Reporting Year]]&amp;"; "&amp;P2045&amp;AS[[#This Row],[Insurance Category Code]]&amp;"; "&amp;Q2045&amp;AS[[#This Row],[Large Provider Entity Code]]&amp;"; "&amp;R2045&amp;AS[[#This Row],[Age Band Code]]&amp;"; "&amp;S2045&amp;AS[[#This Row],[Sex Code]]</f>
        <v xml:space="preserve">Insurer Code ; Reporting Year ; Insurance Category Code ; Large Provider Entity Code ; Age Band Code ; Sex Code </v>
      </c>
      <c r="N2045" s="345" t="s">
        <v>207</v>
      </c>
      <c r="O2045" s="345" t="s">
        <v>208</v>
      </c>
      <c r="P2045" s="345" t="s">
        <v>209</v>
      </c>
      <c r="Q2045" s="345" t="s">
        <v>210</v>
      </c>
      <c r="R2045" s="345" t="s">
        <v>223</v>
      </c>
      <c r="S2045" s="345" t="s">
        <v>224</v>
      </c>
    </row>
    <row r="2046" spans="1:19" x14ac:dyDescent="0.25">
      <c r="A2046" s="311"/>
      <c r="B2046" s="312"/>
      <c r="C2046" s="312"/>
      <c r="D2046" s="312"/>
      <c r="E2046" s="312"/>
      <c r="F2046" s="312"/>
      <c r="G2046" s="328"/>
      <c r="H2046" s="337"/>
      <c r="I2046" s="334"/>
      <c r="J2046" s="314"/>
      <c r="K2046" s="449"/>
      <c r="M2046" s="349" t="str">
        <f>N2046&amp;AS[[#This Row],[Insurer Code]]&amp;"; "&amp;O2046&amp;AS[[#This Row],[Reporting Year]]&amp;"; "&amp;P2046&amp;AS[[#This Row],[Insurance Category Code]]&amp;"; "&amp;Q2046&amp;AS[[#This Row],[Large Provider Entity Code]]&amp;"; "&amp;R2046&amp;AS[[#This Row],[Age Band Code]]&amp;"; "&amp;S2046&amp;AS[[#This Row],[Sex Code]]</f>
        <v xml:space="preserve">Insurer Code ; Reporting Year ; Insurance Category Code ; Large Provider Entity Code ; Age Band Code ; Sex Code </v>
      </c>
      <c r="N2046" s="345" t="s">
        <v>207</v>
      </c>
      <c r="O2046" s="345" t="s">
        <v>208</v>
      </c>
      <c r="P2046" s="345" t="s">
        <v>209</v>
      </c>
      <c r="Q2046" s="345" t="s">
        <v>210</v>
      </c>
      <c r="R2046" s="345" t="s">
        <v>223</v>
      </c>
      <c r="S2046" s="345" t="s">
        <v>224</v>
      </c>
    </row>
    <row r="2047" spans="1:19" x14ac:dyDescent="0.25">
      <c r="A2047" s="311"/>
      <c r="B2047" s="312"/>
      <c r="C2047" s="312"/>
      <c r="D2047" s="312"/>
      <c r="E2047" s="312"/>
      <c r="F2047" s="312"/>
      <c r="G2047" s="328"/>
      <c r="H2047" s="337"/>
      <c r="I2047" s="334"/>
      <c r="J2047" s="314"/>
      <c r="K2047" s="449"/>
      <c r="M2047" s="349" t="str">
        <f>N2047&amp;AS[[#This Row],[Insurer Code]]&amp;"; "&amp;O2047&amp;AS[[#This Row],[Reporting Year]]&amp;"; "&amp;P2047&amp;AS[[#This Row],[Insurance Category Code]]&amp;"; "&amp;Q2047&amp;AS[[#This Row],[Large Provider Entity Code]]&amp;"; "&amp;R2047&amp;AS[[#This Row],[Age Band Code]]&amp;"; "&amp;S2047&amp;AS[[#This Row],[Sex Code]]</f>
        <v xml:space="preserve">Insurer Code ; Reporting Year ; Insurance Category Code ; Large Provider Entity Code ; Age Band Code ; Sex Code </v>
      </c>
      <c r="N2047" s="345" t="s">
        <v>207</v>
      </c>
      <c r="O2047" s="345" t="s">
        <v>208</v>
      </c>
      <c r="P2047" s="345" t="s">
        <v>209</v>
      </c>
      <c r="Q2047" s="345" t="s">
        <v>210</v>
      </c>
      <c r="R2047" s="345" t="s">
        <v>223</v>
      </c>
      <c r="S2047" s="345" t="s">
        <v>224</v>
      </c>
    </row>
    <row r="2048" spans="1:19" x14ac:dyDescent="0.25">
      <c r="A2048" s="311"/>
      <c r="B2048" s="312"/>
      <c r="C2048" s="312"/>
      <c r="D2048" s="312"/>
      <c r="E2048" s="312"/>
      <c r="F2048" s="312"/>
      <c r="G2048" s="328"/>
      <c r="H2048" s="337"/>
      <c r="I2048" s="334"/>
      <c r="J2048" s="314"/>
      <c r="K2048" s="449"/>
      <c r="M2048" s="349" t="str">
        <f>N2048&amp;AS[[#This Row],[Insurer Code]]&amp;"; "&amp;O2048&amp;AS[[#This Row],[Reporting Year]]&amp;"; "&amp;P2048&amp;AS[[#This Row],[Insurance Category Code]]&amp;"; "&amp;Q2048&amp;AS[[#This Row],[Large Provider Entity Code]]&amp;"; "&amp;R2048&amp;AS[[#This Row],[Age Band Code]]&amp;"; "&amp;S2048&amp;AS[[#This Row],[Sex Code]]</f>
        <v xml:space="preserve">Insurer Code ; Reporting Year ; Insurance Category Code ; Large Provider Entity Code ; Age Band Code ; Sex Code </v>
      </c>
      <c r="N2048" s="345" t="s">
        <v>207</v>
      </c>
      <c r="O2048" s="345" t="s">
        <v>208</v>
      </c>
      <c r="P2048" s="345" t="s">
        <v>209</v>
      </c>
      <c r="Q2048" s="345" t="s">
        <v>210</v>
      </c>
      <c r="R2048" s="345" t="s">
        <v>223</v>
      </c>
      <c r="S2048" s="345" t="s">
        <v>224</v>
      </c>
    </row>
    <row r="2049" spans="1:19" x14ac:dyDescent="0.25">
      <c r="A2049" s="311"/>
      <c r="B2049" s="312"/>
      <c r="C2049" s="312"/>
      <c r="D2049" s="312"/>
      <c r="E2049" s="312"/>
      <c r="F2049" s="312"/>
      <c r="G2049" s="328"/>
      <c r="H2049" s="337"/>
      <c r="I2049" s="334"/>
      <c r="J2049" s="314"/>
      <c r="K2049" s="449"/>
      <c r="M2049" s="349" t="str">
        <f>N2049&amp;AS[[#This Row],[Insurer Code]]&amp;"; "&amp;O2049&amp;AS[[#This Row],[Reporting Year]]&amp;"; "&amp;P2049&amp;AS[[#This Row],[Insurance Category Code]]&amp;"; "&amp;Q2049&amp;AS[[#This Row],[Large Provider Entity Code]]&amp;"; "&amp;R2049&amp;AS[[#This Row],[Age Band Code]]&amp;"; "&amp;S2049&amp;AS[[#This Row],[Sex Code]]</f>
        <v xml:space="preserve">Insurer Code ; Reporting Year ; Insurance Category Code ; Large Provider Entity Code ; Age Band Code ; Sex Code </v>
      </c>
      <c r="N2049" s="345" t="s">
        <v>207</v>
      </c>
      <c r="O2049" s="345" t="s">
        <v>208</v>
      </c>
      <c r="P2049" s="345" t="s">
        <v>209</v>
      </c>
      <c r="Q2049" s="345" t="s">
        <v>210</v>
      </c>
      <c r="R2049" s="345" t="s">
        <v>223</v>
      </c>
      <c r="S2049" s="345" t="s">
        <v>224</v>
      </c>
    </row>
    <row r="2050" spans="1:19" x14ac:dyDescent="0.25">
      <c r="A2050" s="311"/>
      <c r="B2050" s="312"/>
      <c r="C2050" s="312"/>
      <c r="D2050" s="312"/>
      <c r="E2050" s="312"/>
      <c r="F2050" s="312"/>
      <c r="G2050" s="328"/>
      <c r="H2050" s="337"/>
      <c r="I2050" s="334"/>
      <c r="J2050" s="314"/>
      <c r="K2050" s="449"/>
      <c r="M2050" s="349" t="str">
        <f>N2050&amp;AS[[#This Row],[Insurer Code]]&amp;"; "&amp;O2050&amp;AS[[#This Row],[Reporting Year]]&amp;"; "&amp;P2050&amp;AS[[#This Row],[Insurance Category Code]]&amp;"; "&amp;Q2050&amp;AS[[#This Row],[Large Provider Entity Code]]&amp;"; "&amp;R2050&amp;AS[[#This Row],[Age Band Code]]&amp;"; "&amp;S2050&amp;AS[[#This Row],[Sex Code]]</f>
        <v xml:space="preserve">Insurer Code ; Reporting Year ; Insurance Category Code ; Large Provider Entity Code ; Age Band Code ; Sex Code </v>
      </c>
      <c r="N2050" s="345" t="s">
        <v>207</v>
      </c>
      <c r="O2050" s="345" t="s">
        <v>208</v>
      </c>
      <c r="P2050" s="345" t="s">
        <v>209</v>
      </c>
      <c r="Q2050" s="345" t="s">
        <v>210</v>
      </c>
      <c r="R2050" s="345" t="s">
        <v>223</v>
      </c>
      <c r="S2050" s="345" t="s">
        <v>224</v>
      </c>
    </row>
    <row r="2051" spans="1:19" x14ac:dyDescent="0.25">
      <c r="A2051" s="311"/>
      <c r="B2051" s="312"/>
      <c r="C2051" s="312"/>
      <c r="D2051" s="312"/>
      <c r="E2051" s="312"/>
      <c r="F2051" s="312"/>
      <c r="G2051" s="328"/>
      <c r="H2051" s="337"/>
      <c r="I2051" s="334"/>
      <c r="J2051" s="314"/>
      <c r="K2051" s="449"/>
      <c r="M2051" s="349" t="str">
        <f>N2051&amp;AS[[#This Row],[Insurer Code]]&amp;"; "&amp;O2051&amp;AS[[#This Row],[Reporting Year]]&amp;"; "&amp;P2051&amp;AS[[#This Row],[Insurance Category Code]]&amp;"; "&amp;Q2051&amp;AS[[#This Row],[Large Provider Entity Code]]&amp;"; "&amp;R2051&amp;AS[[#This Row],[Age Band Code]]&amp;"; "&amp;S2051&amp;AS[[#This Row],[Sex Code]]</f>
        <v xml:space="preserve">Insurer Code ; Reporting Year ; Insurance Category Code ; Large Provider Entity Code ; Age Band Code ; Sex Code </v>
      </c>
      <c r="N2051" s="345" t="s">
        <v>207</v>
      </c>
      <c r="O2051" s="345" t="s">
        <v>208</v>
      </c>
      <c r="P2051" s="345" t="s">
        <v>209</v>
      </c>
      <c r="Q2051" s="345" t="s">
        <v>210</v>
      </c>
      <c r="R2051" s="345" t="s">
        <v>223</v>
      </c>
      <c r="S2051" s="345" t="s">
        <v>224</v>
      </c>
    </row>
    <row r="2052" spans="1:19" x14ac:dyDescent="0.25">
      <c r="A2052" s="311"/>
      <c r="B2052" s="312"/>
      <c r="C2052" s="312"/>
      <c r="D2052" s="312"/>
      <c r="E2052" s="312"/>
      <c r="F2052" s="312"/>
      <c r="G2052" s="328"/>
      <c r="H2052" s="337"/>
      <c r="I2052" s="334"/>
      <c r="J2052" s="314"/>
      <c r="K2052" s="449"/>
      <c r="M2052" s="349" t="str">
        <f>N2052&amp;AS[[#This Row],[Insurer Code]]&amp;"; "&amp;O2052&amp;AS[[#This Row],[Reporting Year]]&amp;"; "&amp;P2052&amp;AS[[#This Row],[Insurance Category Code]]&amp;"; "&amp;Q2052&amp;AS[[#This Row],[Large Provider Entity Code]]&amp;"; "&amp;R2052&amp;AS[[#This Row],[Age Band Code]]&amp;"; "&amp;S2052&amp;AS[[#This Row],[Sex Code]]</f>
        <v xml:space="preserve">Insurer Code ; Reporting Year ; Insurance Category Code ; Large Provider Entity Code ; Age Band Code ; Sex Code </v>
      </c>
      <c r="N2052" s="345" t="s">
        <v>207</v>
      </c>
      <c r="O2052" s="345" t="s">
        <v>208</v>
      </c>
      <c r="P2052" s="345" t="s">
        <v>209</v>
      </c>
      <c r="Q2052" s="345" t="s">
        <v>210</v>
      </c>
      <c r="R2052" s="345" t="s">
        <v>223</v>
      </c>
      <c r="S2052" s="345" t="s">
        <v>224</v>
      </c>
    </row>
    <row r="2053" spans="1:19" x14ac:dyDescent="0.25">
      <c r="A2053" s="311"/>
      <c r="B2053" s="312"/>
      <c r="C2053" s="312"/>
      <c r="D2053" s="312"/>
      <c r="E2053" s="312"/>
      <c r="F2053" s="312"/>
      <c r="G2053" s="328"/>
      <c r="H2053" s="337"/>
      <c r="I2053" s="334"/>
      <c r="J2053" s="314"/>
      <c r="K2053" s="449"/>
      <c r="M2053" s="349" t="str">
        <f>N2053&amp;AS[[#This Row],[Insurer Code]]&amp;"; "&amp;O2053&amp;AS[[#This Row],[Reporting Year]]&amp;"; "&amp;P2053&amp;AS[[#This Row],[Insurance Category Code]]&amp;"; "&amp;Q2053&amp;AS[[#This Row],[Large Provider Entity Code]]&amp;"; "&amp;R2053&amp;AS[[#This Row],[Age Band Code]]&amp;"; "&amp;S2053&amp;AS[[#This Row],[Sex Code]]</f>
        <v xml:space="preserve">Insurer Code ; Reporting Year ; Insurance Category Code ; Large Provider Entity Code ; Age Band Code ; Sex Code </v>
      </c>
      <c r="N2053" s="345" t="s">
        <v>207</v>
      </c>
      <c r="O2053" s="345" t="s">
        <v>208</v>
      </c>
      <c r="P2053" s="345" t="s">
        <v>209</v>
      </c>
      <c r="Q2053" s="345" t="s">
        <v>210</v>
      </c>
      <c r="R2053" s="345" t="s">
        <v>223</v>
      </c>
      <c r="S2053" s="345" t="s">
        <v>224</v>
      </c>
    </row>
    <row r="2054" spans="1:19" x14ac:dyDescent="0.25">
      <c r="A2054" s="311"/>
      <c r="B2054" s="312"/>
      <c r="C2054" s="312"/>
      <c r="D2054" s="312"/>
      <c r="E2054" s="312"/>
      <c r="F2054" s="312"/>
      <c r="G2054" s="328"/>
      <c r="H2054" s="337"/>
      <c r="I2054" s="334"/>
      <c r="J2054" s="314"/>
      <c r="K2054" s="449"/>
      <c r="M2054" s="349" t="str">
        <f>N2054&amp;AS[[#This Row],[Insurer Code]]&amp;"; "&amp;O2054&amp;AS[[#This Row],[Reporting Year]]&amp;"; "&amp;P2054&amp;AS[[#This Row],[Insurance Category Code]]&amp;"; "&amp;Q2054&amp;AS[[#This Row],[Large Provider Entity Code]]&amp;"; "&amp;R2054&amp;AS[[#This Row],[Age Band Code]]&amp;"; "&amp;S2054&amp;AS[[#This Row],[Sex Code]]</f>
        <v xml:space="preserve">Insurer Code ; Reporting Year ; Insurance Category Code ; Large Provider Entity Code ; Age Band Code ; Sex Code </v>
      </c>
      <c r="N2054" s="345" t="s">
        <v>207</v>
      </c>
      <c r="O2054" s="345" t="s">
        <v>208</v>
      </c>
      <c r="P2054" s="345" t="s">
        <v>209</v>
      </c>
      <c r="Q2054" s="345" t="s">
        <v>210</v>
      </c>
      <c r="R2054" s="345" t="s">
        <v>223</v>
      </c>
      <c r="S2054" s="345" t="s">
        <v>224</v>
      </c>
    </row>
    <row r="2055" spans="1:19" x14ac:dyDescent="0.25">
      <c r="A2055" s="311"/>
      <c r="B2055" s="312"/>
      <c r="C2055" s="312"/>
      <c r="D2055" s="312"/>
      <c r="E2055" s="312"/>
      <c r="F2055" s="312"/>
      <c r="G2055" s="328"/>
      <c r="H2055" s="337"/>
      <c r="I2055" s="334"/>
      <c r="J2055" s="314"/>
      <c r="K2055" s="449"/>
      <c r="M2055" s="349" t="str">
        <f>N2055&amp;AS[[#This Row],[Insurer Code]]&amp;"; "&amp;O2055&amp;AS[[#This Row],[Reporting Year]]&amp;"; "&amp;P2055&amp;AS[[#This Row],[Insurance Category Code]]&amp;"; "&amp;Q2055&amp;AS[[#This Row],[Large Provider Entity Code]]&amp;"; "&amp;R2055&amp;AS[[#This Row],[Age Band Code]]&amp;"; "&amp;S2055&amp;AS[[#This Row],[Sex Code]]</f>
        <v xml:space="preserve">Insurer Code ; Reporting Year ; Insurance Category Code ; Large Provider Entity Code ; Age Band Code ; Sex Code </v>
      </c>
      <c r="N2055" s="345" t="s">
        <v>207</v>
      </c>
      <c r="O2055" s="345" t="s">
        <v>208</v>
      </c>
      <c r="P2055" s="345" t="s">
        <v>209</v>
      </c>
      <c r="Q2055" s="345" t="s">
        <v>210</v>
      </c>
      <c r="R2055" s="345" t="s">
        <v>223</v>
      </c>
      <c r="S2055" s="345" t="s">
        <v>224</v>
      </c>
    </row>
    <row r="2056" spans="1:19" x14ac:dyDescent="0.25">
      <c r="A2056" s="311"/>
      <c r="B2056" s="312"/>
      <c r="C2056" s="312"/>
      <c r="D2056" s="312"/>
      <c r="E2056" s="312"/>
      <c r="F2056" s="312"/>
      <c r="G2056" s="328"/>
      <c r="H2056" s="337"/>
      <c r="I2056" s="334"/>
      <c r="J2056" s="314"/>
      <c r="K2056" s="449"/>
      <c r="M2056" s="349" t="str">
        <f>N2056&amp;AS[[#This Row],[Insurer Code]]&amp;"; "&amp;O2056&amp;AS[[#This Row],[Reporting Year]]&amp;"; "&amp;P2056&amp;AS[[#This Row],[Insurance Category Code]]&amp;"; "&amp;Q2056&amp;AS[[#This Row],[Large Provider Entity Code]]&amp;"; "&amp;R2056&amp;AS[[#This Row],[Age Band Code]]&amp;"; "&amp;S2056&amp;AS[[#This Row],[Sex Code]]</f>
        <v xml:space="preserve">Insurer Code ; Reporting Year ; Insurance Category Code ; Large Provider Entity Code ; Age Band Code ; Sex Code </v>
      </c>
      <c r="N2056" s="345" t="s">
        <v>207</v>
      </c>
      <c r="O2056" s="345" t="s">
        <v>208</v>
      </c>
      <c r="P2056" s="345" t="s">
        <v>209</v>
      </c>
      <c r="Q2056" s="345" t="s">
        <v>210</v>
      </c>
      <c r="R2056" s="345" t="s">
        <v>223</v>
      </c>
      <c r="S2056" s="345" t="s">
        <v>224</v>
      </c>
    </row>
    <row r="2057" spans="1:19" x14ac:dyDescent="0.25">
      <c r="A2057" s="311"/>
      <c r="B2057" s="312"/>
      <c r="C2057" s="312"/>
      <c r="D2057" s="312"/>
      <c r="E2057" s="312"/>
      <c r="F2057" s="312"/>
      <c r="G2057" s="328"/>
      <c r="H2057" s="337"/>
      <c r="I2057" s="334"/>
      <c r="J2057" s="314"/>
      <c r="K2057" s="449"/>
      <c r="M2057" s="349" t="str">
        <f>N2057&amp;AS[[#This Row],[Insurer Code]]&amp;"; "&amp;O2057&amp;AS[[#This Row],[Reporting Year]]&amp;"; "&amp;P2057&amp;AS[[#This Row],[Insurance Category Code]]&amp;"; "&amp;Q2057&amp;AS[[#This Row],[Large Provider Entity Code]]&amp;"; "&amp;R2057&amp;AS[[#This Row],[Age Band Code]]&amp;"; "&amp;S2057&amp;AS[[#This Row],[Sex Code]]</f>
        <v xml:space="preserve">Insurer Code ; Reporting Year ; Insurance Category Code ; Large Provider Entity Code ; Age Band Code ; Sex Code </v>
      </c>
      <c r="N2057" s="345" t="s">
        <v>207</v>
      </c>
      <c r="O2057" s="345" t="s">
        <v>208</v>
      </c>
      <c r="P2057" s="345" t="s">
        <v>209</v>
      </c>
      <c r="Q2057" s="345" t="s">
        <v>210</v>
      </c>
      <c r="R2057" s="345" t="s">
        <v>223</v>
      </c>
      <c r="S2057" s="345" t="s">
        <v>224</v>
      </c>
    </row>
    <row r="2058" spans="1:19" x14ac:dyDescent="0.25">
      <c r="A2058" s="311"/>
      <c r="B2058" s="312"/>
      <c r="C2058" s="312"/>
      <c r="D2058" s="312"/>
      <c r="E2058" s="312"/>
      <c r="F2058" s="312"/>
      <c r="G2058" s="328"/>
      <c r="H2058" s="337"/>
      <c r="I2058" s="334"/>
      <c r="J2058" s="314"/>
      <c r="K2058" s="449"/>
      <c r="M2058" s="349" t="str">
        <f>N2058&amp;AS[[#This Row],[Insurer Code]]&amp;"; "&amp;O2058&amp;AS[[#This Row],[Reporting Year]]&amp;"; "&amp;P2058&amp;AS[[#This Row],[Insurance Category Code]]&amp;"; "&amp;Q2058&amp;AS[[#This Row],[Large Provider Entity Code]]&amp;"; "&amp;R2058&amp;AS[[#This Row],[Age Band Code]]&amp;"; "&amp;S2058&amp;AS[[#This Row],[Sex Code]]</f>
        <v xml:space="preserve">Insurer Code ; Reporting Year ; Insurance Category Code ; Large Provider Entity Code ; Age Band Code ; Sex Code </v>
      </c>
      <c r="N2058" s="345" t="s">
        <v>207</v>
      </c>
      <c r="O2058" s="345" t="s">
        <v>208</v>
      </c>
      <c r="P2058" s="345" t="s">
        <v>209</v>
      </c>
      <c r="Q2058" s="345" t="s">
        <v>210</v>
      </c>
      <c r="R2058" s="345" t="s">
        <v>223</v>
      </c>
      <c r="S2058" s="345" t="s">
        <v>224</v>
      </c>
    </row>
    <row r="2059" spans="1:19" x14ac:dyDescent="0.25">
      <c r="A2059" s="311"/>
      <c r="B2059" s="312"/>
      <c r="C2059" s="312"/>
      <c r="D2059" s="312"/>
      <c r="E2059" s="312"/>
      <c r="F2059" s="312"/>
      <c r="G2059" s="328"/>
      <c r="H2059" s="337"/>
      <c r="I2059" s="334"/>
      <c r="J2059" s="314"/>
      <c r="K2059" s="449"/>
      <c r="M2059" s="349" t="str">
        <f>N2059&amp;AS[[#This Row],[Insurer Code]]&amp;"; "&amp;O2059&amp;AS[[#This Row],[Reporting Year]]&amp;"; "&amp;P2059&amp;AS[[#This Row],[Insurance Category Code]]&amp;"; "&amp;Q2059&amp;AS[[#This Row],[Large Provider Entity Code]]&amp;"; "&amp;R2059&amp;AS[[#This Row],[Age Band Code]]&amp;"; "&amp;S2059&amp;AS[[#This Row],[Sex Code]]</f>
        <v xml:space="preserve">Insurer Code ; Reporting Year ; Insurance Category Code ; Large Provider Entity Code ; Age Band Code ; Sex Code </v>
      </c>
      <c r="N2059" s="345" t="s">
        <v>207</v>
      </c>
      <c r="O2059" s="345" t="s">
        <v>208</v>
      </c>
      <c r="P2059" s="345" t="s">
        <v>209</v>
      </c>
      <c r="Q2059" s="345" t="s">
        <v>210</v>
      </c>
      <c r="R2059" s="345" t="s">
        <v>223</v>
      </c>
      <c r="S2059" s="345" t="s">
        <v>224</v>
      </c>
    </row>
    <row r="2060" spans="1:19" x14ac:dyDescent="0.25">
      <c r="A2060" s="311"/>
      <c r="B2060" s="312"/>
      <c r="C2060" s="312"/>
      <c r="D2060" s="312"/>
      <c r="E2060" s="312"/>
      <c r="F2060" s="312"/>
      <c r="G2060" s="328"/>
      <c r="H2060" s="337"/>
      <c r="I2060" s="334"/>
      <c r="J2060" s="314"/>
      <c r="K2060" s="449"/>
      <c r="M2060" s="349" t="str">
        <f>N2060&amp;AS[[#This Row],[Insurer Code]]&amp;"; "&amp;O2060&amp;AS[[#This Row],[Reporting Year]]&amp;"; "&amp;P2060&amp;AS[[#This Row],[Insurance Category Code]]&amp;"; "&amp;Q2060&amp;AS[[#This Row],[Large Provider Entity Code]]&amp;"; "&amp;R2060&amp;AS[[#This Row],[Age Band Code]]&amp;"; "&amp;S2060&amp;AS[[#This Row],[Sex Code]]</f>
        <v xml:space="preserve">Insurer Code ; Reporting Year ; Insurance Category Code ; Large Provider Entity Code ; Age Band Code ; Sex Code </v>
      </c>
      <c r="N2060" s="345" t="s">
        <v>207</v>
      </c>
      <c r="O2060" s="345" t="s">
        <v>208</v>
      </c>
      <c r="P2060" s="345" t="s">
        <v>209</v>
      </c>
      <c r="Q2060" s="345" t="s">
        <v>210</v>
      </c>
      <c r="R2060" s="345" t="s">
        <v>223</v>
      </c>
      <c r="S2060" s="345" t="s">
        <v>224</v>
      </c>
    </row>
    <row r="2061" spans="1:19" x14ac:dyDescent="0.25">
      <c r="A2061" s="311"/>
      <c r="B2061" s="312"/>
      <c r="C2061" s="312"/>
      <c r="D2061" s="312"/>
      <c r="E2061" s="312"/>
      <c r="F2061" s="312"/>
      <c r="G2061" s="328"/>
      <c r="H2061" s="337"/>
      <c r="I2061" s="334"/>
      <c r="J2061" s="314"/>
      <c r="K2061" s="449"/>
      <c r="M2061" s="349" t="str">
        <f>N2061&amp;AS[[#This Row],[Insurer Code]]&amp;"; "&amp;O2061&amp;AS[[#This Row],[Reporting Year]]&amp;"; "&amp;P2061&amp;AS[[#This Row],[Insurance Category Code]]&amp;"; "&amp;Q2061&amp;AS[[#This Row],[Large Provider Entity Code]]&amp;"; "&amp;R2061&amp;AS[[#This Row],[Age Band Code]]&amp;"; "&amp;S2061&amp;AS[[#This Row],[Sex Code]]</f>
        <v xml:space="preserve">Insurer Code ; Reporting Year ; Insurance Category Code ; Large Provider Entity Code ; Age Band Code ; Sex Code </v>
      </c>
      <c r="N2061" s="345" t="s">
        <v>207</v>
      </c>
      <c r="O2061" s="345" t="s">
        <v>208</v>
      </c>
      <c r="P2061" s="345" t="s">
        <v>209</v>
      </c>
      <c r="Q2061" s="345" t="s">
        <v>210</v>
      </c>
      <c r="R2061" s="345" t="s">
        <v>223</v>
      </c>
      <c r="S2061" s="345" t="s">
        <v>224</v>
      </c>
    </row>
    <row r="2062" spans="1:19" x14ac:dyDescent="0.25">
      <c r="A2062" s="311"/>
      <c r="B2062" s="312"/>
      <c r="C2062" s="312"/>
      <c r="D2062" s="312"/>
      <c r="E2062" s="312"/>
      <c r="F2062" s="312"/>
      <c r="G2062" s="328"/>
      <c r="H2062" s="337"/>
      <c r="I2062" s="334"/>
      <c r="J2062" s="314"/>
      <c r="K2062" s="449"/>
      <c r="M2062" s="349" t="str">
        <f>N2062&amp;AS[[#This Row],[Insurer Code]]&amp;"; "&amp;O2062&amp;AS[[#This Row],[Reporting Year]]&amp;"; "&amp;P2062&amp;AS[[#This Row],[Insurance Category Code]]&amp;"; "&amp;Q2062&amp;AS[[#This Row],[Large Provider Entity Code]]&amp;"; "&amp;R2062&amp;AS[[#This Row],[Age Band Code]]&amp;"; "&amp;S2062&amp;AS[[#This Row],[Sex Code]]</f>
        <v xml:space="preserve">Insurer Code ; Reporting Year ; Insurance Category Code ; Large Provider Entity Code ; Age Band Code ; Sex Code </v>
      </c>
      <c r="N2062" s="345" t="s">
        <v>207</v>
      </c>
      <c r="O2062" s="345" t="s">
        <v>208</v>
      </c>
      <c r="P2062" s="345" t="s">
        <v>209</v>
      </c>
      <c r="Q2062" s="345" t="s">
        <v>210</v>
      </c>
      <c r="R2062" s="345" t="s">
        <v>223</v>
      </c>
      <c r="S2062" s="345" t="s">
        <v>224</v>
      </c>
    </row>
    <row r="2063" spans="1:19" x14ac:dyDescent="0.25">
      <c r="A2063" s="311"/>
      <c r="B2063" s="312"/>
      <c r="C2063" s="312"/>
      <c r="D2063" s="312"/>
      <c r="E2063" s="312"/>
      <c r="F2063" s="312"/>
      <c r="G2063" s="328"/>
      <c r="H2063" s="337"/>
      <c r="I2063" s="334"/>
      <c r="J2063" s="314"/>
      <c r="K2063" s="449"/>
      <c r="M2063" s="349" t="str">
        <f>N2063&amp;AS[[#This Row],[Insurer Code]]&amp;"; "&amp;O2063&amp;AS[[#This Row],[Reporting Year]]&amp;"; "&amp;P2063&amp;AS[[#This Row],[Insurance Category Code]]&amp;"; "&amp;Q2063&amp;AS[[#This Row],[Large Provider Entity Code]]&amp;"; "&amp;R2063&amp;AS[[#This Row],[Age Band Code]]&amp;"; "&amp;S2063&amp;AS[[#This Row],[Sex Code]]</f>
        <v xml:space="preserve">Insurer Code ; Reporting Year ; Insurance Category Code ; Large Provider Entity Code ; Age Band Code ; Sex Code </v>
      </c>
      <c r="N2063" s="345" t="s">
        <v>207</v>
      </c>
      <c r="O2063" s="345" t="s">
        <v>208</v>
      </c>
      <c r="P2063" s="345" t="s">
        <v>209</v>
      </c>
      <c r="Q2063" s="345" t="s">
        <v>210</v>
      </c>
      <c r="R2063" s="345" t="s">
        <v>223</v>
      </c>
      <c r="S2063" s="345" t="s">
        <v>224</v>
      </c>
    </row>
    <row r="2064" spans="1:19" x14ac:dyDescent="0.25">
      <c r="A2064" s="311"/>
      <c r="B2064" s="312"/>
      <c r="C2064" s="312"/>
      <c r="D2064" s="312"/>
      <c r="E2064" s="312"/>
      <c r="F2064" s="312"/>
      <c r="G2064" s="328"/>
      <c r="H2064" s="337"/>
      <c r="I2064" s="334"/>
      <c r="J2064" s="314"/>
      <c r="K2064" s="449"/>
      <c r="M2064" s="349" t="str">
        <f>N2064&amp;AS[[#This Row],[Insurer Code]]&amp;"; "&amp;O2064&amp;AS[[#This Row],[Reporting Year]]&amp;"; "&amp;P2064&amp;AS[[#This Row],[Insurance Category Code]]&amp;"; "&amp;Q2064&amp;AS[[#This Row],[Large Provider Entity Code]]&amp;"; "&amp;R2064&amp;AS[[#This Row],[Age Band Code]]&amp;"; "&amp;S2064&amp;AS[[#This Row],[Sex Code]]</f>
        <v xml:space="preserve">Insurer Code ; Reporting Year ; Insurance Category Code ; Large Provider Entity Code ; Age Band Code ; Sex Code </v>
      </c>
      <c r="N2064" s="345" t="s">
        <v>207</v>
      </c>
      <c r="O2064" s="345" t="s">
        <v>208</v>
      </c>
      <c r="P2064" s="345" t="s">
        <v>209</v>
      </c>
      <c r="Q2064" s="345" t="s">
        <v>210</v>
      </c>
      <c r="R2064" s="345" t="s">
        <v>223</v>
      </c>
      <c r="S2064" s="345" t="s">
        <v>224</v>
      </c>
    </row>
    <row r="2065" spans="1:19" x14ac:dyDescent="0.25">
      <c r="A2065" s="311"/>
      <c r="B2065" s="312"/>
      <c r="C2065" s="312"/>
      <c r="D2065" s="312"/>
      <c r="E2065" s="312"/>
      <c r="F2065" s="312"/>
      <c r="G2065" s="328"/>
      <c r="H2065" s="337"/>
      <c r="I2065" s="334"/>
      <c r="J2065" s="314"/>
      <c r="K2065" s="449"/>
      <c r="M2065" s="349" t="str">
        <f>N2065&amp;AS[[#This Row],[Insurer Code]]&amp;"; "&amp;O2065&amp;AS[[#This Row],[Reporting Year]]&amp;"; "&amp;P2065&amp;AS[[#This Row],[Insurance Category Code]]&amp;"; "&amp;Q2065&amp;AS[[#This Row],[Large Provider Entity Code]]&amp;"; "&amp;R2065&amp;AS[[#This Row],[Age Band Code]]&amp;"; "&amp;S2065&amp;AS[[#This Row],[Sex Code]]</f>
        <v xml:space="preserve">Insurer Code ; Reporting Year ; Insurance Category Code ; Large Provider Entity Code ; Age Band Code ; Sex Code </v>
      </c>
      <c r="N2065" s="345" t="s">
        <v>207</v>
      </c>
      <c r="O2065" s="345" t="s">
        <v>208</v>
      </c>
      <c r="P2065" s="345" t="s">
        <v>209</v>
      </c>
      <c r="Q2065" s="345" t="s">
        <v>210</v>
      </c>
      <c r="R2065" s="345" t="s">
        <v>223</v>
      </c>
      <c r="S2065" s="345" t="s">
        <v>224</v>
      </c>
    </row>
    <row r="2066" spans="1:19" x14ac:dyDescent="0.25">
      <c r="A2066" s="311"/>
      <c r="B2066" s="312"/>
      <c r="C2066" s="312"/>
      <c r="D2066" s="312"/>
      <c r="E2066" s="312"/>
      <c r="F2066" s="312"/>
      <c r="G2066" s="328"/>
      <c r="H2066" s="337"/>
      <c r="I2066" s="334"/>
      <c r="J2066" s="314"/>
      <c r="K2066" s="449"/>
      <c r="M2066" s="349" t="str">
        <f>N2066&amp;AS[[#This Row],[Insurer Code]]&amp;"; "&amp;O2066&amp;AS[[#This Row],[Reporting Year]]&amp;"; "&amp;P2066&amp;AS[[#This Row],[Insurance Category Code]]&amp;"; "&amp;Q2066&amp;AS[[#This Row],[Large Provider Entity Code]]&amp;"; "&amp;R2066&amp;AS[[#This Row],[Age Band Code]]&amp;"; "&amp;S2066&amp;AS[[#This Row],[Sex Code]]</f>
        <v xml:space="preserve">Insurer Code ; Reporting Year ; Insurance Category Code ; Large Provider Entity Code ; Age Band Code ; Sex Code </v>
      </c>
      <c r="N2066" s="345" t="s">
        <v>207</v>
      </c>
      <c r="O2066" s="345" t="s">
        <v>208</v>
      </c>
      <c r="P2066" s="345" t="s">
        <v>209</v>
      </c>
      <c r="Q2066" s="345" t="s">
        <v>210</v>
      </c>
      <c r="R2066" s="345" t="s">
        <v>223</v>
      </c>
      <c r="S2066" s="345" t="s">
        <v>224</v>
      </c>
    </row>
    <row r="2067" spans="1:19" x14ac:dyDescent="0.25">
      <c r="A2067" s="311"/>
      <c r="B2067" s="312"/>
      <c r="C2067" s="312"/>
      <c r="D2067" s="312"/>
      <c r="E2067" s="312"/>
      <c r="F2067" s="312"/>
      <c r="G2067" s="328"/>
      <c r="H2067" s="337"/>
      <c r="I2067" s="334"/>
      <c r="J2067" s="314"/>
      <c r="K2067" s="449"/>
      <c r="M2067" s="349" t="str">
        <f>N2067&amp;AS[[#This Row],[Insurer Code]]&amp;"; "&amp;O2067&amp;AS[[#This Row],[Reporting Year]]&amp;"; "&amp;P2067&amp;AS[[#This Row],[Insurance Category Code]]&amp;"; "&amp;Q2067&amp;AS[[#This Row],[Large Provider Entity Code]]&amp;"; "&amp;R2067&amp;AS[[#This Row],[Age Band Code]]&amp;"; "&amp;S2067&amp;AS[[#This Row],[Sex Code]]</f>
        <v xml:space="preserve">Insurer Code ; Reporting Year ; Insurance Category Code ; Large Provider Entity Code ; Age Band Code ; Sex Code </v>
      </c>
      <c r="N2067" s="345" t="s">
        <v>207</v>
      </c>
      <c r="O2067" s="345" t="s">
        <v>208</v>
      </c>
      <c r="P2067" s="345" t="s">
        <v>209</v>
      </c>
      <c r="Q2067" s="345" t="s">
        <v>210</v>
      </c>
      <c r="R2067" s="345" t="s">
        <v>223</v>
      </c>
      <c r="S2067" s="345" t="s">
        <v>224</v>
      </c>
    </row>
    <row r="2068" spans="1:19" x14ac:dyDescent="0.25">
      <c r="A2068" s="311"/>
      <c r="B2068" s="312"/>
      <c r="C2068" s="312"/>
      <c r="D2068" s="312"/>
      <c r="E2068" s="312"/>
      <c r="F2068" s="312"/>
      <c r="G2068" s="328"/>
      <c r="H2068" s="337"/>
      <c r="I2068" s="334"/>
      <c r="J2068" s="314"/>
      <c r="K2068" s="449"/>
      <c r="M2068" s="349" t="str">
        <f>N2068&amp;AS[[#This Row],[Insurer Code]]&amp;"; "&amp;O2068&amp;AS[[#This Row],[Reporting Year]]&amp;"; "&amp;P2068&amp;AS[[#This Row],[Insurance Category Code]]&amp;"; "&amp;Q2068&amp;AS[[#This Row],[Large Provider Entity Code]]&amp;"; "&amp;R2068&amp;AS[[#This Row],[Age Band Code]]&amp;"; "&amp;S2068&amp;AS[[#This Row],[Sex Code]]</f>
        <v xml:space="preserve">Insurer Code ; Reporting Year ; Insurance Category Code ; Large Provider Entity Code ; Age Band Code ; Sex Code </v>
      </c>
      <c r="N2068" s="345" t="s">
        <v>207</v>
      </c>
      <c r="O2068" s="345" t="s">
        <v>208</v>
      </c>
      <c r="P2068" s="345" t="s">
        <v>209</v>
      </c>
      <c r="Q2068" s="345" t="s">
        <v>210</v>
      </c>
      <c r="R2068" s="345" t="s">
        <v>223</v>
      </c>
      <c r="S2068" s="345" t="s">
        <v>224</v>
      </c>
    </row>
    <row r="2069" spans="1:19" x14ac:dyDescent="0.25">
      <c r="A2069" s="311"/>
      <c r="B2069" s="312"/>
      <c r="C2069" s="312"/>
      <c r="D2069" s="312"/>
      <c r="E2069" s="312"/>
      <c r="F2069" s="312"/>
      <c r="G2069" s="328"/>
      <c r="H2069" s="337"/>
      <c r="I2069" s="334"/>
      <c r="J2069" s="314"/>
      <c r="K2069" s="449"/>
      <c r="M2069" s="349" t="str">
        <f>N2069&amp;AS[[#This Row],[Insurer Code]]&amp;"; "&amp;O2069&amp;AS[[#This Row],[Reporting Year]]&amp;"; "&amp;P2069&amp;AS[[#This Row],[Insurance Category Code]]&amp;"; "&amp;Q2069&amp;AS[[#This Row],[Large Provider Entity Code]]&amp;"; "&amp;R2069&amp;AS[[#This Row],[Age Band Code]]&amp;"; "&amp;S2069&amp;AS[[#This Row],[Sex Code]]</f>
        <v xml:space="preserve">Insurer Code ; Reporting Year ; Insurance Category Code ; Large Provider Entity Code ; Age Band Code ; Sex Code </v>
      </c>
      <c r="N2069" s="345" t="s">
        <v>207</v>
      </c>
      <c r="O2069" s="345" t="s">
        <v>208</v>
      </c>
      <c r="P2069" s="345" t="s">
        <v>209</v>
      </c>
      <c r="Q2069" s="345" t="s">
        <v>210</v>
      </c>
      <c r="R2069" s="345" t="s">
        <v>223</v>
      </c>
      <c r="S2069" s="345" t="s">
        <v>224</v>
      </c>
    </row>
    <row r="2070" spans="1:19" x14ac:dyDescent="0.25">
      <c r="A2070" s="311"/>
      <c r="B2070" s="312"/>
      <c r="C2070" s="312"/>
      <c r="D2070" s="312"/>
      <c r="E2070" s="312"/>
      <c r="F2070" s="312"/>
      <c r="G2070" s="328"/>
      <c r="H2070" s="337"/>
      <c r="I2070" s="334"/>
      <c r="J2070" s="314"/>
      <c r="K2070" s="449"/>
      <c r="M2070" s="349" t="str">
        <f>N2070&amp;AS[[#This Row],[Insurer Code]]&amp;"; "&amp;O2070&amp;AS[[#This Row],[Reporting Year]]&amp;"; "&amp;P2070&amp;AS[[#This Row],[Insurance Category Code]]&amp;"; "&amp;Q2070&amp;AS[[#This Row],[Large Provider Entity Code]]&amp;"; "&amp;R2070&amp;AS[[#This Row],[Age Band Code]]&amp;"; "&amp;S2070&amp;AS[[#This Row],[Sex Code]]</f>
        <v xml:space="preserve">Insurer Code ; Reporting Year ; Insurance Category Code ; Large Provider Entity Code ; Age Band Code ; Sex Code </v>
      </c>
      <c r="N2070" s="345" t="s">
        <v>207</v>
      </c>
      <c r="O2070" s="345" t="s">
        <v>208</v>
      </c>
      <c r="P2070" s="345" t="s">
        <v>209</v>
      </c>
      <c r="Q2070" s="345" t="s">
        <v>210</v>
      </c>
      <c r="R2070" s="345" t="s">
        <v>223</v>
      </c>
      <c r="S2070" s="345" t="s">
        <v>224</v>
      </c>
    </row>
    <row r="2071" spans="1:19" x14ac:dyDescent="0.25">
      <c r="A2071" s="311"/>
      <c r="B2071" s="312"/>
      <c r="C2071" s="312"/>
      <c r="D2071" s="312"/>
      <c r="E2071" s="312"/>
      <c r="F2071" s="312"/>
      <c r="G2071" s="328"/>
      <c r="H2071" s="337"/>
      <c r="I2071" s="334"/>
      <c r="J2071" s="314"/>
      <c r="K2071" s="449"/>
      <c r="M2071" s="349" t="str">
        <f>N2071&amp;AS[[#This Row],[Insurer Code]]&amp;"; "&amp;O2071&amp;AS[[#This Row],[Reporting Year]]&amp;"; "&amp;P2071&amp;AS[[#This Row],[Insurance Category Code]]&amp;"; "&amp;Q2071&amp;AS[[#This Row],[Large Provider Entity Code]]&amp;"; "&amp;R2071&amp;AS[[#This Row],[Age Band Code]]&amp;"; "&amp;S2071&amp;AS[[#This Row],[Sex Code]]</f>
        <v xml:space="preserve">Insurer Code ; Reporting Year ; Insurance Category Code ; Large Provider Entity Code ; Age Band Code ; Sex Code </v>
      </c>
      <c r="N2071" s="345" t="s">
        <v>207</v>
      </c>
      <c r="O2071" s="345" t="s">
        <v>208</v>
      </c>
      <c r="P2071" s="345" t="s">
        <v>209</v>
      </c>
      <c r="Q2071" s="345" t="s">
        <v>210</v>
      </c>
      <c r="R2071" s="345" t="s">
        <v>223</v>
      </c>
      <c r="S2071" s="345" t="s">
        <v>224</v>
      </c>
    </row>
    <row r="2072" spans="1:19" x14ac:dyDescent="0.25">
      <c r="A2072" s="311"/>
      <c r="B2072" s="312"/>
      <c r="C2072" s="312"/>
      <c r="D2072" s="312"/>
      <c r="E2072" s="312"/>
      <c r="F2072" s="312"/>
      <c r="G2072" s="328"/>
      <c r="H2072" s="337"/>
      <c r="I2072" s="334"/>
      <c r="J2072" s="314"/>
      <c r="K2072" s="449"/>
      <c r="M2072" s="349" t="str">
        <f>N2072&amp;AS[[#This Row],[Insurer Code]]&amp;"; "&amp;O2072&amp;AS[[#This Row],[Reporting Year]]&amp;"; "&amp;P2072&amp;AS[[#This Row],[Insurance Category Code]]&amp;"; "&amp;Q2072&amp;AS[[#This Row],[Large Provider Entity Code]]&amp;"; "&amp;R2072&amp;AS[[#This Row],[Age Band Code]]&amp;"; "&amp;S2072&amp;AS[[#This Row],[Sex Code]]</f>
        <v xml:space="preserve">Insurer Code ; Reporting Year ; Insurance Category Code ; Large Provider Entity Code ; Age Band Code ; Sex Code </v>
      </c>
      <c r="N2072" s="345" t="s">
        <v>207</v>
      </c>
      <c r="O2072" s="345" t="s">
        <v>208</v>
      </c>
      <c r="P2072" s="345" t="s">
        <v>209</v>
      </c>
      <c r="Q2072" s="345" t="s">
        <v>210</v>
      </c>
      <c r="R2072" s="345" t="s">
        <v>223</v>
      </c>
      <c r="S2072" s="345" t="s">
        <v>224</v>
      </c>
    </row>
    <row r="2073" spans="1:19" x14ac:dyDescent="0.25">
      <c r="A2073" s="311"/>
      <c r="B2073" s="312"/>
      <c r="C2073" s="312"/>
      <c r="D2073" s="312"/>
      <c r="E2073" s="312"/>
      <c r="F2073" s="312"/>
      <c r="G2073" s="328"/>
      <c r="H2073" s="337"/>
      <c r="I2073" s="334"/>
      <c r="J2073" s="314"/>
      <c r="K2073" s="449"/>
      <c r="M2073" s="349" t="str">
        <f>N2073&amp;AS[[#This Row],[Insurer Code]]&amp;"; "&amp;O2073&amp;AS[[#This Row],[Reporting Year]]&amp;"; "&amp;P2073&amp;AS[[#This Row],[Insurance Category Code]]&amp;"; "&amp;Q2073&amp;AS[[#This Row],[Large Provider Entity Code]]&amp;"; "&amp;R2073&amp;AS[[#This Row],[Age Band Code]]&amp;"; "&amp;S2073&amp;AS[[#This Row],[Sex Code]]</f>
        <v xml:space="preserve">Insurer Code ; Reporting Year ; Insurance Category Code ; Large Provider Entity Code ; Age Band Code ; Sex Code </v>
      </c>
      <c r="N2073" s="345" t="s">
        <v>207</v>
      </c>
      <c r="O2073" s="345" t="s">
        <v>208</v>
      </c>
      <c r="P2073" s="345" t="s">
        <v>209</v>
      </c>
      <c r="Q2073" s="345" t="s">
        <v>210</v>
      </c>
      <c r="R2073" s="345" t="s">
        <v>223</v>
      </c>
      <c r="S2073" s="345" t="s">
        <v>224</v>
      </c>
    </row>
    <row r="2074" spans="1:19" x14ac:dyDescent="0.25">
      <c r="A2074" s="311"/>
      <c r="B2074" s="312"/>
      <c r="C2074" s="312"/>
      <c r="D2074" s="312"/>
      <c r="E2074" s="312"/>
      <c r="F2074" s="312"/>
      <c r="G2074" s="328"/>
      <c r="H2074" s="337"/>
      <c r="I2074" s="334"/>
      <c r="J2074" s="314"/>
      <c r="K2074" s="449"/>
      <c r="M2074" s="349" t="str">
        <f>N2074&amp;AS[[#This Row],[Insurer Code]]&amp;"; "&amp;O2074&amp;AS[[#This Row],[Reporting Year]]&amp;"; "&amp;P2074&amp;AS[[#This Row],[Insurance Category Code]]&amp;"; "&amp;Q2074&amp;AS[[#This Row],[Large Provider Entity Code]]&amp;"; "&amp;R2074&amp;AS[[#This Row],[Age Band Code]]&amp;"; "&amp;S2074&amp;AS[[#This Row],[Sex Code]]</f>
        <v xml:space="preserve">Insurer Code ; Reporting Year ; Insurance Category Code ; Large Provider Entity Code ; Age Band Code ; Sex Code </v>
      </c>
      <c r="N2074" s="345" t="s">
        <v>207</v>
      </c>
      <c r="O2074" s="345" t="s">
        <v>208</v>
      </c>
      <c r="P2074" s="345" t="s">
        <v>209</v>
      </c>
      <c r="Q2074" s="345" t="s">
        <v>210</v>
      </c>
      <c r="R2074" s="345" t="s">
        <v>223</v>
      </c>
      <c r="S2074" s="345" t="s">
        <v>224</v>
      </c>
    </row>
    <row r="2075" spans="1:19" x14ac:dyDescent="0.25">
      <c r="A2075" s="311"/>
      <c r="B2075" s="312"/>
      <c r="C2075" s="312"/>
      <c r="D2075" s="312"/>
      <c r="E2075" s="312"/>
      <c r="F2075" s="312"/>
      <c r="G2075" s="328"/>
      <c r="H2075" s="337"/>
      <c r="I2075" s="334"/>
      <c r="J2075" s="314"/>
      <c r="K2075" s="449"/>
      <c r="M2075" s="349" t="str">
        <f>N2075&amp;AS[[#This Row],[Insurer Code]]&amp;"; "&amp;O2075&amp;AS[[#This Row],[Reporting Year]]&amp;"; "&amp;P2075&amp;AS[[#This Row],[Insurance Category Code]]&amp;"; "&amp;Q2075&amp;AS[[#This Row],[Large Provider Entity Code]]&amp;"; "&amp;R2075&amp;AS[[#This Row],[Age Band Code]]&amp;"; "&amp;S2075&amp;AS[[#This Row],[Sex Code]]</f>
        <v xml:space="preserve">Insurer Code ; Reporting Year ; Insurance Category Code ; Large Provider Entity Code ; Age Band Code ; Sex Code </v>
      </c>
      <c r="N2075" s="345" t="s">
        <v>207</v>
      </c>
      <c r="O2075" s="345" t="s">
        <v>208</v>
      </c>
      <c r="P2075" s="345" t="s">
        <v>209</v>
      </c>
      <c r="Q2075" s="345" t="s">
        <v>210</v>
      </c>
      <c r="R2075" s="345" t="s">
        <v>223</v>
      </c>
      <c r="S2075" s="345" t="s">
        <v>224</v>
      </c>
    </row>
    <row r="2076" spans="1:19" x14ac:dyDescent="0.25">
      <c r="A2076" s="311"/>
      <c r="B2076" s="312"/>
      <c r="C2076" s="312"/>
      <c r="D2076" s="312"/>
      <c r="E2076" s="312"/>
      <c r="F2076" s="312"/>
      <c r="G2076" s="328"/>
      <c r="H2076" s="337"/>
      <c r="I2076" s="334"/>
      <c r="J2076" s="314"/>
      <c r="K2076" s="449"/>
      <c r="M2076" s="349" t="str">
        <f>N2076&amp;AS[[#This Row],[Insurer Code]]&amp;"; "&amp;O2076&amp;AS[[#This Row],[Reporting Year]]&amp;"; "&amp;P2076&amp;AS[[#This Row],[Insurance Category Code]]&amp;"; "&amp;Q2076&amp;AS[[#This Row],[Large Provider Entity Code]]&amp;"; "&amp;R2076&amp;AS[[#This Row],[Age Band Code]]&amp;"; "&amp;S2076&amp;AS[[#This Row],[Sex Code]]</f>
        <v xml:space="preserve">Insurer Code ; Reporting Year ; Insurance Category Code ; Large Provider Entity Code ; Age Band Code ; Sex Code </v>
      </c>
      <c r="N2076" s="345" t="s">
        <v>207</v>
      </c>
      <c r="O2076" s="345" t="s">
        <v>208</v>
      </c>
      <c r="P2076" s="345" t="s">
        <v>209</v>
      </c>
      <c r="Q2076" s="345" t="s">
        <v>210</v>
      </c>
      <c r="R2076" s="345" t="s">
        <v>223</v>
      </c>
      <c r="S2076" s="345" t="s">
        <v>224</v>
      </c>
    </row>
    <row r="2077" spans="1:19" x14ac:dyDescent="0.25">
      <c r="A2077" s="311"/>
      <c r="B2077" s="312"/>
      <c r="C2077" s="312"/>
      <c r="D2077" s="312"/>
      <c r="E2077" s="312"/>
      <c r="F2077" s="312"/>
      <c r="G2077" s="328"/>
      <c r="H2077" s="337"/>
      <c r="I2077" s="334"/>
      <c r="J2077" s="314"/>
      <c r="K2077" s="449"/>
      <c r="M2077" s="349" t="str">
        <f>N2077&amp;AS[[#This Row],[Insurer Code]]&amp;"; "&amp;O2077&amp;AS[[#This Row],[Reporting Year]]&amp;"; "&amp;P2077&amp;AS[[#This Row],[Insurance Category Code]]&amp;"; "&amp;Q2077&amp;AS[[#This Row],[Large Provider Entity Code]]&amp;"; "&amp;R2077&amp;AS[[#This Row],[Age Band Code]]&amp;"; "&amp;S2077&amp;AS[[#This Row],[Sex Code]]</f>
        <v xml:space="preserve">Insurer Code ; Reporting Year ; Insurance Category Code ; Large Provider Entity Code ; Age Band Code ; Sex Code </v>
      </c>
      <c r="N2077" s="345" t="s">
        <v>207</v>
      </c>
      <c r="O2077" s="345" t="s">
        <v>208</v>
      </c>
      <c r="P2077" s="345" t="s">
        <v>209</v>
      </c>
      <c r="Q2077" s="345" t="s">
        <v>210</v>
      </c>
      <c r="R2077" s="345" t="s">
        <v>223</v>
      </c>
      <c r="S2077" s="345" t="s">
        <v>224</v>
      </c>
    </row>
    <row r="2078" spans="1:19" x14ac:dyDescent="0.25">
      <c r="A2078" s="311"/>
      <c r="B2078" s="312"/>
      <c r="C2078" s="312"/>
      <c r="D2078" s="312"/>
      <c r="E2078" s="312"/>
      <c r="F2078" s="312"/>
      <c r="G2078" s="328"/>
      <c r="H2078" s="337"/>
      <c r="I2078" s="334"/>
      <c r="J2078" s="314"/>
      <c r="K2078" s="449"/>
      <c r="M2078" s="349" t="str">
        <f>N2078&amp;AS[[#This Row],[Insurer Code]]&amp;"; "&amp;O2078&amp;AS[[#This Row],[Reporting Year]]&amp;"; "&amp;P2078&amp;AS[[#This Row],[Insurance Category Code]]&amp;"; "&amp;Q2078&amp;AS[[#This Row],[Large Provider Entity Code]]&amp;"; "&amp;R2078&amp;AS[[#This Row],[Age Band Code]]&amp;"; "&amp;S2078&amp;AS[[#This Row],[Sex Code]]</f>
        <v xml:space="preserve">Insurer Code ; Reporting Year ; Insurance Category Code ; Large Provider Entity Code ; Age Band Code ; Sex Code </v>
      </c>
      <c r="N2078" s="345" t="s">
        <v>207</v>
      </c>
      <c r="O2078" s="345" t="s">
        <v>208</v>
      </c>
      <c r="P2078" s="345" t="s">
        <v>209</v>
      </c>
      <c r="Q2078" s="345" t="s">
        <v>210</v>
      </c>
      <c r="R2078" s="345" t="s">
        <v>223</v>
      </c>
      <c r="S2078" s="345" t="s">
        <v>224</v>
      </c>
    </row>
    <row r="2079" spans="1:19" x14ac:dyDescent="0.25">
      <c r="A2079" s="311"/>
      <c r="B2079" s="312"/>
      <c r="C2079" s="312"/>
      <c r="D2079" s="312"/>
      <c r="E2079" s="312"/>
      <c r="F2079" s="312"/>
      <c r="G2079" s="328"/>
      <c r="H2079" s="337"/>
      <c r="I2079" s="334"/>
      <c r="J2079" s="314"/>
      <c r="K2079" s="449"/>
      <c r="M2079" s="349" t="str">
        <f>N2079&amp;AS[[#This Row],[Insurer Code]]&amp;"; "&amp;O2079&amp;AS[[#This Row],[Reporting Year]]&amp;"; "&amp;P2079&amp;AS[[#This Row],[Insurance Category Code]]&amp;"; "&amp;Q2079&amp;AS[[#This Row],[Large Provider Entity Code]]&amp;"; "&amp;R2079&amp;AS[[#This Row],[Age Band Code]]&amp;"; "&amp;S2079&amp;AS[[#This Row],[Sex Code]]</f>
        <v xml:space="preserve">Insurer Code ; Reporting Year ; Insurance Category Code ; Large Provider Entity Code ; Age Band Code ; Sex Code </v>
      </c>
      <c r="N2079" s="345" t="s">
        <v>207</v>
      </c>
      <c r="O2079" s="345" t="s">
        <v>208</v>
      </c>
      <c r="P2079" s="345" t="s">
        <v>209</v>
      </c>
      <c r="Q2079" s="345" t="s">
        <v>210</v>
      </c>
      <c r="R2079" s="345" t="s">
        <v>223</v>
      </c>
      <c r="S2079" s="345" t="s">
        <v>224</v>
      </c>
    </row>
    <row r="2080" spans="1:19" x14ac:dyDescent="0.25">
      <c r="A2080" s="311"/>
      <c r="B2080" s="312"/>
      <c r="C2080" s="312"/>
      <c r="D2080" s="312"/>
      <c r="E2080" s="312"/>
      <c r="F2080" s="312"/>
      <c r="G2080" s="328"/>
      <c r="H2080" s="337"/>
      <c r="I2080" s="334"/>
      <c r="J2080" s="314"/>
      <c r="K2080" s="449"/>
      <c r="M2080" s="349" t="str">
        <f>N2080&amp;AS[[#This Row],[Insurer Code]]&amp;"; "&amp;O2080&amp;AS[[#This Row],[Reporting Year]]&amp;"; "&amp;P2080&amp;AS[[#This Row],[Insurance Category Code]]&amp;"; "&amp;Q2080&amp;AS[[#This Row],[Large Provider Entity Code]]&amp;"; "&amp;R2080&amp;AS[[#This Row],[Age Band Code]]&amp;"; "&amp;S2080&amp;AS[[#This Row],[Sex Code]]</f>
        <v xml:space="preserve">Insurer Code ; Reporting Year ; Insurance Category Code ; Large Provider Entity Code ; Age Band Code ; Sex Code </v>
      </c>
      <c r="N2080" s="345" t="s">
        <v>207</v>
      </c>
      <c r="O2080" s="345" t="s">
        <v>208</v>
      </c>
      <c r="P2080" s="345" t="s">
        <v>209</v>
      </c>
      <c r="Q2080" s="345" t="s">
        <v>210</v>
      </c>
      <c r="R2080" s="345" t="s">
        <v>223</v>
      </c>
      <c r="S2080" s="345" t="s">
        <v>224</v>
      </c>
    </row>
    <row r="2081" spans="1:19" x14ac:dyDescent="0.25">
      <c r="A2081" s="311"/>
      <c r="B2081" s="312"/>
      <c r="C2081" s="312"/>
      <c r="D2081" s="312"/>
      <c r="E2081" s="312"/>
      <c r="F2081" s="312"/>
      <c r="G2081" s="328"/>
      <c r="H2081" s="337"/>
      <c r="I2081" s="334"/>
      <c r="J2081" s="314"/>
      <c r="K2081" s="449"/>
      <c r="M2081" s="349" t="str">
        <f>N2081&amp;AS[[#This Row],[Insurer Code]]&amp;"; "&amp;O2081&amp;AS[[#This Row],[Reporting Year]]&amp;"; "&amp;P2081&amp;AS[[#This Row],[Insurance Category Code]]&amp;"; "&amp;Q2081&amp;AS[[#This Row],[Large Provider Entity Code]]&amp;"; "&amp;R2081&amp;AS[[#This Row],[Age Band Code]]&amp;"; "&amp;S2081&amp;AS[[#This Row],[Sex Code]]</f>
        <v xml:space="preserve">Insurer Code ; Reporting Year ; Insurance Category Code ; Large Provider Entity Code ; Age Band Code ; Sex Code </v>
      </c>
      <c r="N2081" s="345" t="s">
        <v>207</v>
      </c>
      <c r="O2081" s="345" t="s">
        <v>208</v>
      </c>
      <c r="P2081" s="345" t="s">
        <v>209</v>
      </c>
      <c r="Q2081" s="345" t="s">
        <v>210</v>
      </c>
      <c r="R2081" s="345" t="s">
        <v>223</v>
      </c>
      <c r="S2081" s="345" t="s">
        <v>224</v>
      </c>
    </row>
    <row r="2082" spans="1:19" x14ac:dyDescent="0.25">
      <c r="A2082" s="311"/>
      <c r="B2082" s="312"/>
      <c r="C2082" s="312"/>
      <c r="D2082" s="312"/>
      <c r="E2082" s="312"/>
      <c r="F2082" s="312"/>
      <c r="G2082" s="328"/>
      <c r="H2082" s="337"/>
      <c r="I2082" s="334"/>
      <c r="J2082" s="314"/>
      <c r="K2082" s="449"/>
      <c r="M2082" s="349" t="str">
        <f>N2082&amp;AS[[#This Row],[Insurer Code]]&amp;"; "&amp;O2082&amp;AS[[#This Row],[Reporting Year]]&amp;"; "&amp;P2082&amp;AS[[#This Row],[Insurance Category Code]]&amp;"; "&amp;Q2082&amp;AS[[#This Row],[Large Provider Entity Code]]&amp;"; "&amp;R2082&amp;AS[[#This Row],[Age Band Code]]&amp;"; "&amp;S2082&amp;AS[[#This Row],[Sex Code]]</f>
        <v xml:space="preserve">Insurer Code ; Reporting Year ; Insurance Category Code ; Large Provider Entity Code ; Age Band Code ; Sex Code </v>
      </c>
      <c r="N2082" s="345" t="s">
        <v>207</v>
      </c>
      <c r="O2082" s="345" t="s">
        <v>208</v>
      </c>
      <c r="P2082" s="345" t="s">
        <v>209</v>
      </c>
      <c r="Q2082" s="345" t="s">
        <v>210</v>
      </c>
      <c r="R2082" s="345" t="s">
        <v>223</v>
      </c>
      <c r="S2082" s="345" t="s">
        <v>224</v>
      </c>
    </row>
    <row r="2083" spans="1:19" x14ac:dyDescent="0.25">
      <c r="A2083" s="311"/>
      <c r="B2083" s="312"/>
      <c r="C2083" s="312"/>
      <c r="D2083" s="312"/>
      <c r="E2083" s="312"/>
      <c r="F2083" s="312"/>
      <c r="G2083" s="328"/>
      <c r="H2083" s="337"/>
      <c r="I2083" s="334"/>
      <c r="J2083" s="314"/>
      <c r="K2083" s="449"/>
      <c r="M2083" s="349" t="str">
        <f>N2083&amp;AS[[#This Row],[Insurer Code]]&amp;"; "&amp;O2083&amp;AS[[#This Row],[Reporting Year]]&amp;"; "&amp;P2083&amp;AS[[#This Row],[Insurance Category Code]]&amp;"; "&amp;Q2083&amp;AS[[#This Row],[Large Provider Entity Code]]&amp;"; "&amp;R2083&amp;AS[[#This Row],[Age Band Code]]&amp;"; "&amp;S2083&amp;AS[[#This Row],[Sex Code]]</f>
        <v xml:space="preserve">Insurer Code ; Reporting Year ; Insurance Category Code ; Large Provider Entity Code ; Age Band Code ; Sex Code </v>
      </c>
      <c r="N2083" s="345" t="s">
        <v>207</v>
      </c>
      <c r="O2083" s="345" t="s">
        <v>208</v>
      </c>
      <c r="P2083" s="345" t="s">
        <v>209</v>
      </c>
      <c r="Q2083" s="345" t="s">
        <v>210</v>
      </c>
      <c r="R2083" s="345" t="s">
        <v>223</v>
      </c>
      <c r="S2083" s="345" t="s">
        <v>224</v>
      </c>
    </row>
    <row r="2084" spans="1:19" x14ac:dyDescent="0.25">
      <c r="A2084" s="311"/>
      <c r="B2084" s="312"/>
      <c r="C2084" s="312"/>
      <c r="D2084" s="312"/>
      <c r="E2084" s="312"/>
      <c r="F2084" s="312"/>
      <c r="G2084" s="328"/>
      <c r="H2084" s="337"/>
      <c r="I2084" s="334"/>
      <c r="J2084" s="314"/>
      <c r="K2084" s="449"/>
      <c r="M2084" s="349" t="str">
        <f>N2084&amp;AS[[#This Row],[Insurer Code]]&amp;"; "&amp;O2084&amp;AS[[#This Row],[Reporting Year]]&amp;"; "&amp;P2084&amp;AS[[#This Row],[Insurance Category Code]]&amp;"; "&amp;Q2084&amp;AS[[#This Row],[Large Provider Entity Code]]&amp;"; "&amp;R2084&amp;AS[[#This Row],[Age Band Code]]&amp;"; "&amp;S2084&amp;AS[[#This Row],[Sex Code]]</f>
        <v xml:space="preserve">Insurer Code ; Reporting Year ; Insurance Category Code ; Large Provider Entity Code ; Age Band Code ; Sex Code </v>
      </c>
      <c r="N2084" s="345" t="s">
        <v>207</v>
      </c>
      <c r="O2084" s="345" t="s">
        <v>208</v>
      </c>
      <c r="P2084" s="345" t="s">
        <v>209</v>
      </c>
      <c r="Q2084" s="345" t="s">
        <v>210</v>
      </c>
      <c r="R2084" s="345" t="s">
        <v>223</v>
      </c>
      <c r="S2084" s="345" t="s">
        <v>224</v>
      </c>
    </row>
    <row r="2085" spans="1:19" x14ac:dyDescent="0.25">
      <c r="A2085" s="311"/>
      <c r="B2085" s="312"/>
      <c r="C2085" s="312"/>
      <c r="D2085" s="312"/>
      <c r="E2085" s="312"/>
      <c r="F2085" s="312"/>
      <c r="G2085" s="328"/>
      <c r="H2085" s="337"/>
      <c r="I2085" s="334"/>
      <c r="J2085" s="314"/>
      <c r="K2085" s="449"/>
      <c r="M2085" s="349" t="str">
        <f>N2085&amp;AS[[#This Row],[Insurer Code]]&amp;"; "&amp;O2085&amp;AS[[#This Row],[Reporting Year]]&amp;"; "&amp;P2085&amp;AS[[#This Row],[Insurance Category Code]]&amp;"; "&amp;Q2085&amp;AS[[#This Row],[Large Provider Entity Code]]&amp;"; "&amp;R2085&amp;AS[[#This Row],[Age Band Code]]&amp;"; "&amp;S2085&amp;AS[[#This Row],[Sex Code]]</f>
        <v xml:space="preserve">Insurer Code ; Reporting Year ; Insurance Category Code ; Large Provider Entity Code ; Age Band Code ; Sex Code </v>
      </c>
      <c r="N2085" s="345" t="s">
        <v>207</v>
      </c>
      <c r="O2085" s="345" t="s">
        <v>208</v>
      </c>
      <c r="P2085" s="345" t="s">
        <v>209</v>
      </c>
      <c r="Q2085" s="345" t="s">
        <v>210</v>
      </c>
      <c r="R2085" s="345" t="s">
        <v>223</v>
      </c>
      <c r="S2085" s="345" t="s">
        <v>224</v>
      </c>
    </row>
    <row r="2086" spans="1:19" x14ac:dyDescent="0.25">
      <c r="A2086" s="311"/>
      <c r="B2086" s="312"/>
      <c r="C2086" s="312"/>
      <c r="D2086" s="312"/>
      <c r="E2086" s="312"/>
      <c r="F2086" s="312"/>
      <c r="G2086" s="328"/>
      <c r="H2086" s="337"/>
      <c r="I2086" s="334"/>
      <c r="J2086" s="314"/>
      <c r="K2086" s="449"/>
      <c r="M2086" s="349" t="str">
        <f>N2086&amp;AS[[#This Row],[Insurer Code]]&amp;"; "&amp;O2086&amp;AS[[#This Row],[Reporting Year]]&amp;"; "&amp;P2086&amp;AS[[#This Row],[Insurance Category Code]]&amp;"; "&amp;Q2086&amp;AS[[#This Row],[Large Provider Entity Code]]&amp;"; "&amp;R2086&amp;AS[[#This Row],[Age Band Code]]&amp;"; "&amp;S2086&amp;AS[[#This Row],[Sex Code]]</f>
        <v xml:space="preserve">Insurer Code ; Reporting Year ; Insurance Category Code ; Large Provider Entity Code ; Age Band Code ; Sex Code </v>
      </c>
      <c r="N2086" s="345" t="s">
        <v>207</v>
      </c>
      <c r="O2086" s="345" t="s">
        <v>208</v>
      </c>
      <c r="P2086" s="345" t="s">
        <v>209</v>
      </c>
      <c r="Q2086" s="345" t="s">
        <v>210</v>
      </c>
      <c r="R2086" s="345" t="s">
        <v>223</v>
      </c>
      <c r="S2086" s="345" t="s">
        <v>224</v>
      </c>
    </row>
    <row r="2087" spans="1:19" x14ac:dyDescent="0.25">
      <c r="A2087" s="311"/>
      <c r="B2087" s="312"/>
      <c r="C2087" s="312"/>
      <c r="D2087" s="312"/>
      <c r="E2087" s="312"/>
      <c r="F2087" s="312"/>
      <c r="G2087" s="328"/>
      <c r="H2087" s="337"/>
      <c r="I2087" s="334"/>
      <c r="J2087" s="314"/>
      <c r="K2087" s="449"/>
      <c r="M2087" s="349" t="str">
        <f>N2087&amp;AS[[#This Row],[Insurer Code]]&amp;"; "&amp;O2087&amp;AS[[#This Row],[Reporting Year]]&amp;"; "&amp;P2087&amp;AS[[#This Row],[Insurance Category Code]]&amp;"; "&amp;Q2087&amp;AS[[#This Row],[Large Provider Entity Code]]&amp;"; "&amp;R2087&amp;AS[[#This Row],[Age Band Code]]&amp;"; "&amp;S2087&amp;AS[[#This Row],[Sex Code]]</f>
        <v xml:space="preserve">Insurer Code ; Reporting Year ; Insurance Category Code ; Large Provider Entity Code ; Age Band Code ; Sex Code </v>
      </c>
      <c r="N2087" s="345" t="s">
        <v>207</v>
      </c>
      <c r="O2087" s="345" t="s">
        <v>208</v>
      </c>
      <c r="P2087" s="345" t="s">
        <v>209</v>
      </c>
      <c r="Q2087" s="345" t="s">
        <v>210</v>
      </c>
      <c r="R2087" s="345" t="s">
        <v>223</v>
      </c>
      <c r="S2087" s="345" t="s">
        <v>224</v>
      </c>
    </row>
    <row r="2088" spans="1:19" x14ac:dyDescent="0.25">
      <c r="A2088" s="311"/>
      <c r="B2088" s="312"/>
      <c r="C2088" s="312"/>
      <c r="D2088" s="312"/>
      <c r="E2088" s="312"/>
      <c r="F2088" s="312"/>
      <c r="G2088" s="328"/>
      <c r="H2088" s="337"/>
      <c r="I2088" s="334"/>
      <c r="J2088" s="314"/>
      <c r="K2088" s="449"/>
      <c r="M2088" s="349" t="str">
        <f>N2088&amp;AS[[#This Row],[Insurer Code]]&amp;"; "&amp;O2088&amp;AS[[#This Row],[Reporting Year]]&amp;"; "&amp;P2088&amp;AS[[#This Row],[Insurance Category Code]]&amp;"; "&amp;Q2088&amp;AS[[#This Row],[Large Provider Entity Code]]&amp;"; "&amp;R2088&amp;AS[[#This Row],[Age Band Code]]&amp;"; "&amp;S2088&amp;AS[[#This Row],[Sex Code]]</f>
        <v xml:space="preserve">Insurer Code ; Reporting Year ; Insurance Category Code ; Large Provider Entity Code ; Age Band Code ; Sex Code </v>
      </c>
      <c r="N2088" s="345" t="s">
        <v>207</v>
      </c>
      <c r="O2088" s="345" t="s">
        <v>208</v>
      </c>
      <c r="P2088" s="345" t="s">
        <v>209</v>
      </c>
      <c r="Q2088" s="345" t="s">
        <v>210</v>
      </c>
      <c r="R2088" s="345" t="s">
        <v>223</v>
      </c>
      <c r="S2088" s="345" t="s">
        <v>224</v>
      </c>
    </row>
    <row r="2089" spans="1:19" x14ac:dyDescent="0.25">
      <c r="A2089" s="311"/>
      <c r="B2089" s="312"/>
      <c r="C2089" s="312"/>
      <c r="D2089" s="312"/>
      <c r="E2089" s="312"/>
      <c r="F2089" s="312"/>
      <c r="G2089" s="328"/>
      <c r="H2089" s="337"/>
      <c r="I2089" s="334"/>
      <c r="J2089" s="314"/>
      <c r="K2089" s="449"/>
      <c r="M2089" s="349" t="str">
        <f>N2089&amp;AS[[#This Row],[Insurer Code]]&amp;"; "&amp;O2089&amp;AS[[#This Row],[Reporting Year]]&amp;"; "&amp;P2089&amp;AS[[#This Row],[Insurance Category Code]]&amp;"; "&amp;Q2089&amp;AS[[#This Row],[Large Provider Entity Code]]&amp;"; "&amp;R2089&amp;AS[[#This Row],[Age Band Code]]&amp;"; "&amp;S2089&amp;AS[[#This Row],[Sex Code]]</f>
        <v xml:space="preserve">Insurer Code ; Reporting Year ; Insurance Category Code ; Large Provider Entity Code ; Age Band Code ; Sex Code </v>
      </c>
      <c r="N2089" s="345" t="s">
        <v>207</v>
      </c>
      <c r="O2089" s="345" t="s">
        <v>208</v>
      </c>
      <c r="P2089" s="345" t="s">
        <v>209</v>
      </c>
      <c r="Q2089" s="345" t="s">
        <v>210</v>
      </c>
      <c r="R2089" s="345" t="s">
        <v>223</v>
      </c>
      <c r="S2089" s="345" t="s">
        <v>224</v>
      </c>
    </row>
    <row r="2090" spans="1:19" x14ac:dyDescent="0.25">
      <c r="A2090" s="311"/>
      <c r="B2090" s="312"/>
      <c r="C2090" s="312"/>
      <c r="D2090" s="312"/>
      <c r="E2090" s="312"/>
      <c r="F2090" s="312"/>
      <c r="G2090" s="328"/>
      <c r="H2090" s="337"/>
      <c r="I2090" s="334"/>
      <c r="J2090" s="314"/>
      <c r="K2090" s="449"/>
      <c r="M2090" s="349" t="str">
        <f>N2090&amp;AS[[#This Row],[Insurer Code]]&amp;"; "&amp;O2090&amp;AS[[#This Row],[Reporting Year]]&amp;"; "&amp;P2090&amp;AS[[#This Row],[Insurance Category Code]]&amp;"; "&amp;Q2090&amp;AS[[#This Row],[Large Provider Entity Code]]&amp;"; "&amp;R2090&amp;AS[[#This Row],[Age Band Code]]&amp;"; "&amp;S2090&amp;AS[[#This Row],[Sex Code]]</f>
        <v xml:space="preserve">Insurer Code ; Reporting Year ; Insurance Category Code ; Large Provider Entity Code ; Age Band Code ; Sex Code </v>
      </c>
      <c r="N2090" s="345" t="s">
        <v>207</v>
      </c>
      <c r="O2090" s="345" t="s">
        <v>208</v>
      </c>
      <c r="P2090" s="345" t="s">
        <v>209</v>
      </c>
      <c r="Q2090" s="345" t="s">
        <v>210</v>
      </c>
      <c r="R2090" s="345" t="s">
        <v>223</v>
      </c>
      <c r="S2090" s="345" t="s">
        <v>224</v>
      </c>
    </row>
    <row r="2091" spans="1:19" x14ac:dyDescent="0.25">
      <c r="A2091" s="311"/>
      <c r="B2091" s="312"/>
      <c r="C2091" s="312"/>
      <c r="D2091" s="312"/>
      <c r="E2091" s="312"/>
      <c r="F2091" s="312"/>
      <c r="G2091" s="328"/>
      <c r="H2091" s="337"/>
      <c r="I2091" s="334"/>
      <c r="J2091" s="314"/>
      <c r="K2091" s="449"/>
      <c r="M2091" s="349" t="str">
        <f>N2091&amp;AS[[#This Row],[Insurer Code]]&amp;"; "&amp;O2091&amp;AS[[#This Row],[Reporting Year]]&amp;"; "&amp;P2091&amp;AS[[#This Row],[Insurance Category Code]]&amp;"; "&amp;Q2091&amp;AS[[#This Row],[Large Provider Entity Code]]&amp;"; "&amp;R2091&amp;AS[[#This Row],[Age Band Code]]&amp;"; "&amp;S2091&amp;AS[[#This Row],[Sex Code]]</f>
        <v xml:space="preserve">Insurer Code ; Reporting Year ; Insurance Category Code ; Large Provider Entity Code ; Age Band Code ; Sex Code </v>
      </c>
      <c r="N2091" s="345" t="s">
        <v>207</v>
      </c>
      <c r="O2091" s="345" t="s">
        <v>208</v>
      </c>
      <c r="P2091" s="345" t="s">
        <v>209</v>
      </c>
      <c r="Q2091" s="345" t="s">
        <v>210</v>
      </c>
      <c r="R2091" s="345" t="s">
        <v>223</v>
      </c>
      <c r="S2091" s="345" t="s">
        <v>224</v>
      </c>
    </row>
    <row r="2092" spans="1:19" x14ac:dyDescent="0.25">
      <c r="A2092" s="311"/>
      <c r="B2092" s="312"/>
      <c r="C2092" s="312"/>
      <c r="D2092" s="312"/>
      <c r="E2092" s="312"/>
      <c r="F2092" s="312"/>
      <c r="G2092" s="328"/>
      <c r="H2092" s="337"/>
      <c r="I2092" s="334"/>
      <c r="J2092" s="314"/>
      <c r="K2092" s="449"/>
      <c r="M2092" s="349" t="str">
        <f>N2092&amp;AS[[#This Row],[Insurer Code]]&amp;"; "&amp;O2092&amp;AS[[#This Row],[Reporting Year]]&amp;"; "&amp;P2092&amp;AS[[#This Row],[Insurance Category Code]]&amp;"; "&amp;Q2092&amp;AS[[#This Row],[Large Provider Entity Code]]&amp;"; "&amp;R2092&amp;AS[[#This Row],[Age Band Code]]&amp;"; "&amp;S2092&amp;AS[[#This Row],[Sex Code]]</f>
        <v xml:space="preserve">Insurer Code ; Reporting Year ; Insurance Category Code ; Large Provider Entity Code ; Age Band Code ; Sex Code </v>
      </c>
      <c r="N2092" s="345" t="s">
        <v>207</v>
      </c>
      <c r="O2092" s="345" t="s">
        <v>208</v>
      </c>
      <c r="P2092" s="345" t="s">
        <v>209</v>
      </c>
      <c r="Q2092" s="345" t="s">
        <v>210</v>
      </c>
      <c r="R2092" s="345" t="s">
        <v>223</v>
      </c>
      <c r="S2092" s="345" t="s">
        <v>224</v>
      </c>
    </row>
    <row r="2093" spans="1:19" x14ac:dyDescent="0.25">
      <c r="A2093" s="311"/>
      <c r="B2093" s="312"/>
      <c r="C2093" s="312"/>
      <c r="D2093" s="312"/>
      <c r="E2093" s="312"/>
      <c r="F2093" s="312"/>
      <c r="G2093" s="328"/>
      <c r="H2093" s="337"/>
      <c r="I2093" s="334"/>
      <c r="J2093" s="314"/>
      <c r="K2093" s="449"/>
      <c r="M2093" s="349" t="str">
        <f>N2093&amp;AS[[#This Row],[Insurer Code]]&amp;"; "&amp;O2093&amp;AS[[#This Row],[Reporting Year]]&amp;"; "&amp;P2093&amp;AS[[#This Row],[Insurance Category Code]]&amp;"; "&amp;Q2093&amp;AS[[#This Row],[Large Provider Entity Code]]&amp;"; "&amp;R2093&amp;AS[[#This Row],[Age Band Code]]&amp;"; "&amp;S2093&amp;AS[[#This Row],[Sex Code]]</f>
        <v xml:space="preserve">Insurer Code ; Reporting Year ; Insurance Category Code ; Large Provider Entity Code ; Age Band Code ; Sex Code </v>
      </c>
      <c r="N2093" s="345" t="s">
        <v>207</v>
      </c>
      <c r="O2093" s="345" t="s">
        <v>208</v>
      </c>
      <c r="P2093" s="345" t="s">
        <v>209</v>
      </c>
      <c r="Q2093" s="345" t="s">
        <v>210</v>
      </c>
      <c r="R2093" s="345" t="s">
        <v>223</v>
      </c>
      <c r="S2093" s="345" t="s">
        <v>224</v>
      </c>
    </row>
    <row r="2094" spans="1:19" x14ac:dyDescent="0.25">
      <c r="A2094" s="311"/>
      <c r="B2094" s="312"/>
      <c r="C2094" s="312"/>
      <c r="D2094" s="312"/>
      <c r="E2094" s="312"/>
      <c r="F2094" s="312"/>
      <c r="G2094" s="328"/>
      <c r="H2094" s="337"/>
      <c r="I2094" s="334"/>
      <c r="J2094" s="314"/>
      <c r="K2094" s="449"/>
      <c r="M2094" s="349" t="str">
        <f>N2094&amp;AS[[#This Row],[Insurer Code]]&amp;"; "&amp;O2094&amp;AS[[#This Row],[Reporting Year]]&amp;"; "&amp;P2094&amp;AS[[#This Row],[Insurance Category Code]]&amp;"; "&amp;Q2094&amp;AS[[#This Row],[Large Provider Entity Code]]&amp;"; "&amp;R2094&amp;AS[[#This Row],[Age Band Code]]&amp;"; "&amp;S2094&amp;AS[[#This Row],[Sex Code]]</f>
        <v xml:space="preserve">Insurer Code ; Reporting Year ; Insurance Category Code ; Large Provider Entity Code ; Age Band Code ; Sex Code </v>
      </c>
      <c r="N2094" s="345" t="s">
        <v>207</v>
      </c>
      <c r="O2094" s="345" t="s">
        <v>208</v>
      </c>
      <c r="P2094" s="345" t="s">
        <v>209</v>
      </c>
      <c r="Q2094" s="345" t="s">
        <v>210</v>
      </c>
      <c r="R2094" s="345" t="s">
        <v>223</v>
      </c>
      <c r="S2094" s="345" t="s">
        <v>224</v>
      </c>
    </row>
    <row r="2095" spans="1:19" x14ac:dyDescent="0.25">
      <c r="A2095" s="311"/>
      <c r="B2095" s="312"/>
      <c r="C2095" s="312"/>
      <c r="D2095" s="312"/>
      <c r="E2095" s="312"/>
      <c r="F2095" s="312"/>
      <c r="G2095" s="328"/>
      <c r="H2095" s="337"/>
      <c r="I2095" s="334"/>
      <c r="J2095" s="314"/>
      <c r="K2095" s="449"/>
      <c r="M2095" s="349" t="str">
        <f>N2095&amp;AS[[#This Row],[Insurer Code]]&amp;"; "&amp;O2095&amp;AS[[#This Row],[Reporting Year]]&amp;"; "&amp;P2095&amp;AS[[#This Row],[Insurance Category Code]]&amp;"; "&amp;Q2095&amp;AS[[#This Row],[Large Provider Entity Code]]&amp;"; "&amp;R2095&amp;AS[[#This Row],[Age Band Code]]&amp;"; "&amp;S2095&amp;AS[[#This Row],[Sex Code]]</f>
        <v xml:space="preserve">Insurer Code ; Reporting Year ; Insurance Category Code ; Large Provider Entity Code ; Age Band Code ; Sex Code </v>
      </c>
      <c r="N2095" s="345" t="s">
        <v>207</v>
      </c>
      <c r="O2095" s="345" t="s">
        <v>208</v>
      </c>
      <c r="P2095" s="345" t="s">
        <v>209</v>
      </c>
      <c r="Q2095" s="345" t="s">
        <v>210</v>
      </c>
      <c r="R2095" s="345" t="s">
        <v>223</v>
      </c>
      <c r="S2095" s="345" t="s">
        <v>224</v>
      </c>
    </row>
    <row r="2096" spans="1:19" x14ac:dyDescent="0.25">
      <c r="A2096" s="311"/>
      <c r="B2096" s="312"/>
      <c r="C2096" s="312"/>
      <c r="D2096" s="312"/>
      <c r="E2096" s="312"/>
      <c r="F2096" s="312"/>
      <c r="G2096" s="328"/>
      <c r="H2096" s="337"/>
      <c r="I2096" s="334"/>
      <c r="J2096" s="314"/>
      <c r="K2096" s="449"/>
      <c r="M2096" s="349" t="str">
        <f>N2096&amp;AS[[#This Row],[Insurer Code]]&amp;"; "&amp;O2096&amp;AS[[#This Row],[Reporting Year]]&amp;"; "&amp;P2096&amp;AS[[#This Row],[Insurance Category Code]]&amp;"; "&amp;Q2096&amp;AS[[#This Row],[Large Provider Entity Code]]&amp;"; "&amp;R2096&amp;AS[[#This Row],[Age Band Code]]&amp;"; "&amp;S2096&amp;AS[[#This Row],[Sex Code]]</f>
        <v xml:space="preserve">Insurer Code ; Reporting Year ; Insurance Category Code ; Large Provider Entity Code ; Age Band Code ; Sex Code </v>
      </c>
      <c r="N2096" s="345" t="s">
        <v>207</v>
      </c>
      <c r="O2096" s="345" t="s">
        <v>208</v>
      </c>
      <c r="P2096" s="345" t="s">
        <v>209</v>
      </c>
      <c r="Q2096" s="345" t="s">
        <v>210</v>
      </c>
      <c r="R2096" s="345" t="s">
        <v>223</v>
      </c>
      <c r="S2096" s="345" t="s">
        <v>224</v>
      </c>
    </row>
    <row r="2097" spans="1:19" x14ac:dyDescent="0.25">
      <c r="A2097" s="311"/>
      <c r="B2097" s="312"/>
      <c r="C2097" s="312"/>
      <c r="D2097" s="312"/>
      <c r="E2097" s="312"/>
      <c r="F2097" s="312"/>
      <c r="G2097" s="328"/>
      <c r="H2097" s="337"/>
      <c r="I2097" s="334"/>
      <c r="J2097" s="314"/>
      <c r="K2097" s="449"/>
      <c r="M2097" s="349" t="str">
        <f>N2097&amp;AS[[#This Row],[Insurer Code]]&amp;"; "&amp;O2097&amp;AS[[#This Row],[Reporting Year]]&amp;"; "&amp;P2097&amp;AS[[#This Row],[Insurance Category Code]]&amp;"; "&amp;Q2097&amp;AS[[#This Row],[Large Provider Entity Code]]&amp;"; "&amp;R2097&amp;AS[[#This Row],[Age Band Code]]&amp;"; "&amp;S2097&amp;AS[[#This Row],[Sex Code]]</f>
        <v xml:space="preserve">Insurer Code ; Reporting Year ; Insurance Category Code ; Large Provider Entity Code ; Age Band Code ; Sex Code </v>
      </c>
      <c r="N2097" s="345" t="s">
        <v>207</v>
      </c>
      <c r="O2097" s="345" t="s">
        <v>208</v>
      </c>
      <c r="P2097" s="345" t="s">
        <v>209</v>
      </c>
      <c r="Q2097" s="345" t="s">
        <v>210</v>
      </c>
      <c r="R2097" s="345" t="s">
        <v>223</v>
      </c>
      <c r="S2097" s="345" t="s">
        <v>224</v>
      </c>
    </row>
    <row r="2098" spans="1:19" x14ac:dyDescent="0.25">
      <c r="A2098" s="311"/>
      <c r="B2098" s="312"/>
      <c r="C2098" s="312"/>
      <c r="D2098" s="312"/>
      <c r="E2098" s="312"/>
      <c r="F2098" s="312"/>
      <c r="G2098" s="328"/>
      <c r="H2098" s="337"/>
      <c r="I2098" s="334"/>
      <c r="J2098" s="314"/>
      <c r="K2098" s="449"/>
      <c r="M2098" s="349" t="str">
        <f>N2098&amp;AS[[#This Row],[Insurer Code]]&amp;"; "&amp;O2098&amp;AS[[#This Row],[Reporting Year]]&amp;"; "&amp;P2098&amp;AS[[#This Row],[Insurance Category Code]]&amp;"; "&amp;Q2098&amp;AS[[#This Row],[Large Provider Entity Code]]&amp;"; "&amp;R2098&amp;AS[[#This Row],[Age Band Code]]&amp;"; "&amp;S2098&amp;AS[[#This Row],[Sex Code]]</f>
        <v xml:space="preserve">Insurer Code ; Reporting Year ; Insurance Category Code ; Large Provider Entity Code ; Age Band Code ; Sex Code </v>
      </c>
      <c r="N2098" s="345" t="s">
        <v>207</v>
      </c>
      <c r="O2098" s="345" t="s">
        <v>208</v>
      </c>
      <c r="P2098" s="345" t="s">
        <v>209</v>
      </c>
      <c r="Q2098" s="345" t="s">
        <v>210</v>
      </c>
      <c r="R2098" s="345" t="s">
        <v>223</v>
      </c>
      <c r="S2098" s="345" t="s">
        <v>224</v>
      </c>
    </row>
    <row r="2099" spans="1:19" x14ac:dyDescent="0.25">
      <c r="A2099" s="311"/>
      <c r="B2099" s="312"/>
      <c r="C2099" s="312"/>
      <c r="D2099" s="312"/>
      <c r="E2099" s="312"/>
      <c r="F2099" s="312"/>
      <c r="G2099" s="328"/>
      <c r="H2099" s="337"/>
      <c r="I2099" s="334"/>
      <c r="J2099" s="314"/>
      <c r="K2099" s="449"/>
      <c r="M2099" s="349" t="str">
        <f>N2099&amp;AS[[#This Row],[Insurer Code]]&amp;"; "&amp;O2099&amp;AS[[#This Row],[Reporting Year]]&amp;"; "&amp;P2099&amp;AS[[#This Row],[Insurance Category Code]]&amp;"; "&amp;Q2099&amp;AS[[#This Row],[Large Provider Entity Code]]&amp;"; "&amp;R2099&amp;AS[[#This Row],[Age Band Code]]&amp;"; "&amp;S2099&amp;AS[[#This Row],[Sex Code]]</f>
        <v xml:space="preserve">Insurer Code ; Reporting Year ; Insurance Category Code ; Large Provider Entity Code ; Age Band Code ; Sex Code </v>
      </c>
      <c r="N2099" s="345" t="s">
        <v>207</v>
      </c>
      <c r="O2099" s="345" t="s">
        <v>208</v>
      </c>
      <c r="P2099" s="345" t="s">
        <v>209</v>
      </c>
      <c r="Q2099" s="345" t="s">
        <v>210</v>
      </c>
      <c r="R2099" s="345" t="s">
        <v>223</v>
      </c>
      <c r="S2099" s="345" t="s">
        <v>224</v>
      </c>
    </row>
    <row r="2100" spans="1:19" x14ac:dyDescent="0.25">
      <c r="A2100" s="311"/>
      <c r="B2100" s="312"/>
      <c r="C2100" s="312"/>
      <c r="D2100" s="312"/>
      <c r="E2100" s="312"/>
      <c r="F2100" s="312"/>
      <c r="G2100" s="328"/>
      <c r="H2100" s="337"/>
      <c r="I2100" s="334"/>
      <c r="J2100" s="314"/>
      <c r="K2100" s="449"/>
      <c r="M2100" s="349" t="str">
        <f>N2100&amp;AS[[#This Row],[Insurer Code]]&amp;"; "&amp;O2100&amp;AS[[#This Row],[Reporting Year]]&amp;"; "&amp;P2100&amp;AS[[#This Row],[Insurance Category Code]]&amp;"; "&amp;Q2100&amp;AS[[#This Row],[Large Provider Entity Code]]&amp;"; "&amp;R2100&amp;AS[[#This Row],[Age Band Code]]&amp;"; "&amp;S2100&amp;AS[[#This Row],[Sex Code]]</f>
        <v xml:space="preserve">Insurer Code ; Reporting Year ; Insurance Category Code ; Large Provider Entity Code ; Age Band Code ; Sex Code </v>
      </c>
      <c r="N2100" s="345" t="s">
        <v>207</v>
      </c>
      <c r="O2100" s="345" t="s">
        <v>208</v>
      </c>
      <c r="P2100" s="345" t="s">
        <v>209</v>
      </c>
      <c r="Q2100" s="345" t="s">
        <v>210</v>
      </c>
      <c r="R2100" s="345" t="s">
        <v>223</v>
      </c>
      <c r="S2100" s="345" t="s">
        <v>224</v>
      </c>
    </row>
    <row r="2101" spans="1:19" x14ac:dyDescent="0.25">
      <c r="A2101" s="311"/>
      <c r="B2101" s="312"/>
      <c r="C2101" s="312"/>
      <c r="D2101" s="312"/>
      <c r="E2101" s="312"/>
      <c r="F2101" s="312"/>
      <c r="G2101" s="328"/>
      <c r="H2101" s="337"/>
      <c r="I2101" s="334"/>
      <c r="J2101" s="314"/>
      <c r="K2101" s="449"/>
      <c r="M2101" s="349" t="str">
        <f>N2101&amp;AS[[#This Row],[Insurer Code]]&amp;"; "&amp;O2101&amp;AS[[#This Row],[Reporting Year]]&amp;"; "&amp;P2101&amp;AS[[#This Row],[Insurance Category Code]]&amp;"; "&amp;Q2101&amp;AS[[#This Row],[Large Provider Entity Code]]&amp;"; "&amp;R2101&amp;AS[[#This Row],[Age Band Code]]&amp;"; "&amp;S2101&amp;AS[[#This Row],[Sex Code]]</f>
        <v xml:space="preserve">Insurer Code ; Reporting Year ; Insurance Category Code ; Large Provider Entity Code ; Age Band Code ; Sex Code </v>
      </c>
      <c r="N2101" s="345" t="s">
        <v>207</v>
      </c>
      <c r="O2101" s="345" t="s">
        <v>208</v>
      </c>
      <c r="P2101" s="345" t="s">
        <v>209</v>
      </c>
      <c r="Q2101" s="345" t="s">
        <v>210</v>
      </c>
      <c r="R2101" s="345" t="s">
        <v>223</v>
      </c>
      <c r="S2101" s="345" t="s">
        <v>224</v>
      </c>
    </row>
    <row r="2102" spans="1:19" x14ac:dyDescent="0.25">
      <c r="A2102" s="311"/>
      <c r="B2102" s="312"/>
      <c r="C2102" s="312"/>
      <c r="D2102" s="312"/>
      <c r="E2102" s="312"/>
      <c r="F2102" s="312"/>
      <c r="G2102" s="328"/>
      <c r="H2102" s="337"/>
      <c r="I2102" s="334"/>
      <c r="J2102" s="314"/>
      <c r="K2102" s="449"/>
      <c r="M2102" s="349" t="str">
        <f>N2102&amp;AS[[#This Row],[Insurer Code]]&amp;"; "&amp;O2102&amp;AS[[#This Row],[Reporting Year]]&amp;"; "&amp;P2102&amp;AS[[#This Row],[Insurance Category Code]]&amp;"; "&amp;Q2102&amp;AS[[#This Row],[Large Provider Entity Code]]&amp;"; "&amp;R2102&amp;AS[[#This Row],[Age Band Code]]&amp;"; "&amp;S2102&amp;AS[[#This Row],[Sex Code]]</f>
        <v xml:space="preserve">Insurer Code ; Reporting Year ; Insurance Category Code ; Large Provider Entity Code ; Age Band Code ; Sex Code </v>
      </c>
      <c r="N2102" s="345" t="s">
        <v>207</v>
      </c>
      <c r="O2102" s="345" t="s">
        <v>208</v>
      </c>
      <c r="P2102" s="345" t="s">
        <v>209</v>
      </c>
      <c r="Q2102" s="345" t="s">
        <v>210</v>
      </c>
      <c r="R2102" s="345" t="s">
        <v>223</v>
      </c>
      <c r="S2102" s="345" t="s">
        <v>224</v>
      </c>
    </row>
    <row r="2103" spans="1:19" x14ac:dyDescent="0.25">
      <c r="A2103" s="311"/>
      <c r="B2103" s="312"/>
      <c r="C2103" s="312"/>
      <c r="D2103" s="312"/>
      <c r="E2103" s="312"/>
      <c r="F2103" s="312"/>
      <c r="G2103" s="328"/>
      <c r="H2103" s="337"/>
      <c r="I2103" s="334"/>
      <c r="J2103" s="314"/>
      <c r="K2103" s="449"/>
      <c r="M2103" s="349" t="str">
        <f>N2103&amp;AS[[#This Row],[Insurer Code]]&amp;"; "&amp;O2103&amp;AS[[#This Row],[Reporting Year]]&amp;"; "&amp;P2103&amp;AS[[#This Row],[Insurance Category Code]]&amp;"; "&amp;Q2103&amp;AS[[#This Row],[Large Provider Entity Code]]&amp;"; "&amp;R2103&amp;AS[[#This Row],[Age Band Code]]&amp;"; "&amp;S2103&amp;AS[[#This Row],[Sex Code]]</f>
        <v xml:space="preserve">Insurer Code ; Reporting Year ; Insurance Category Code ; Large Provider Entity Code ; Age Band Code ; Sex Code </v>
      </c>
      <c r="N2103" s="345" t="s">
        <v>207</v>
      </c>
      <c r="O2103" s="345" t="s">
        <v>208</v>
      </c>
      <c r="P2103" s="345" t="s">
        <v>209</v>
      </c>
      <c r="Q2103" s="345" t="s">
        <v>210</v>
      </c>
      <c r="R2103" s="345" t="s">
        <v>223</v>
      </c>
      <c r="S2103" s="345" t="s">
        <v>224</v>
      </c>
    </row>
    <row r="2104" spans="1:19" x14ac:dyDescent="0.25">
      <c r="A2104" s="311"/>
      <c r="B2104" s="312"/>
      <c r="C2104" s="312"/>
      <c r="D2104" s="312"/>
      <c r="E2104" s="312"/>
      <c r="F2104" s="312"/>
      <c r="G2104" s="328"/>
      <c r="H2104" s="337"/>
      <c r="I2104" s="334"/>
      <c r="J2104" s="314"/>
      <c r="K2104" s="449"/>
      <c r="M2104" s="349" t="str">
        <f>N2104&amp;AS[[#This Row],[Insurer Code]]&amp;"; "&amp;O2104&amp;AS[[#This Row],[Reporting Year]]&amp;"; "&amp;P2104&amp;AS[[#This Row],[Insurance Category Code]]&amp;"; "&amp;Q2104&amp;AS[[#This Row],[Large Provider Entity Code]]&amp;"; "&amp;R2104&amp;AS[[#This Row],[Age Band Code]]&amp;"; "&amp;S2104&amp;AS[[#This Row],[Sex Code]]</f>
        <v xml:space="preserve">Insurer Code ; Reporting Year ; Insurance Category Code ; Large Provider Entity Code ; Age Band Code ; Sex Code </v>
      </c>
      <c r="N2104" s="345" t="s">
        <v>207</v>
      </c>
      <c r="O2104" s="345" t="s">
        <v>208</v>
      </c>
      <c r="P2104" s="345" t="s">
        <v>209</v>
      </c>
      <c r="Q2104" s="345" t="s">
        <v>210</v>
      </c>
      <c r="R2104" s="345" t="s">
        <v>223</v>
      </c>
      <c r="S2104" s="345" t="s">
        <v>224</v>
      </c>
    </row>
    <row r="2105" spans="1:19" x14ac:dyDescent="0.25">
      <c r="A2105" s="311"/>
      <c r="B2105" s="312"/>
      <c r="C2105" s="312"/>
      <c r="D2105" s="312"/>
      <c r="E2105" s="312"/>
      <c r="F2105" s="312"/>
      <c r="G2105" s="328"/>
      <c r="H2105" s="337"/>
      <c r="I2105" s="334"/>
      <c r="J2105" s="314"/>
      <c r="K2105" s="449"/>
      <c r="M2105" s="349" t="str">
        <f>N2105&amp;AS[[#This Row],[Insurer Code]]&amp;"; "&amp;O2105&amp;AS[[#This Row],[Reporting Year]]&amp;"; "&amp;P2105&amp;AS[[#This Row],[Insurance Category Code]]&amp;"; "&amp;Q2105&amp;AS[[#This Row],[Large Provider Entity Code]]&amp;"; "&amp;R2105&amp;AS[[#This Row],[Age Band Code]]&amp;"; "&amp;S2105&amp;AS[[#This Row],[Sex Code]]</f>
        <v xml:space="preserve">Insurer Code ; Reporting Year ; Insurance Category Code ; Large Provider Entity Code ; Age Band Code ; Sex Code </v>
      </c>
      <c r="N2105" s="345" t="s">
        <v>207</v>
      </c>
      <c r="O2105" s="345" t="s">
        <v>208</v>
      </c>
      <c r="P2105" s="345" t="s">
        <v>209</v>
      </c>
      <c r="Q2105" s="345" t="s">
        <v>210</v>
      </c>
      <c r="R2105" s="345" t="s">
        <v>223</v>
      </c>
      <c r="S2105" s="345" t="s">
        <v>224</v>
      </c>
    </row>
    <row r="2106" spans="1:19" x14ac:dyDescent="0.25">
      <c r="A2106" s="311"/>
      <c r="B2106" s="312"/>
      <c r="C2106" s="312"/>
      <c r="D2106" s="312"/>
      <c r="E2106" s="312"/>
      <c r="F2106" s="312"/>
      <c r="G2106" s="328"/>
      <c r="H2106" s="337"/>
      <c r="I2106" s="334"/>
      <c r="J2106" s="314"/>
      <c r="K2106" s="449"/>
      <c r="M2106" s="349" t="str">
        <f>N2106&amp;AS[[#This Row],[Insurer Code]]&amp;"; "&amp;O2106&amp;AS[[#This Row],[Reporting Year]]&amp;"; "&amp;P2106&amp;AS[[#This Row],[Insurance Category Code]]&amp;"; "&amp;Q2106&amp;AS[[#This Row],[Large Provider Entity Code]]&amp;"; "&amp;R2106&amp;AS[[#This Row],[Age Band Code]]&amp;"; "&amp;S2106&amp;AS[[#This Row],[Sex Code]]</f>
        <v xml:space="preserve">Insurer Code ; Reporting Year ; Insurance Category Code ; Large Provider Entity Code ; Age Band Code ; Sex Code </v>
      </c>
      <c r="N2106" s="345" t="s">
        <v>207</v>
      </c>
      <c r="O2106" s="345" t="s">
        <v>208</v>
      </c>
      <c r="P2106" s="345" t="s">
        <v>209</v>
      </c>
      <c r="Q2106" s="345" t="s">
        <v>210</v>
      </c>
      <c r="R2106" s="345" t="s">
        <v>223</v>
      </c>
      <c r="S2106" s="345" t="s">
        <v>224</v>
      </c>
    </row>
    <row r="2107" spans="1:19" x14ac:dyDescent="0.25">
      <c r="A2107" s="311"/>
      <c r="B2107" s="312"/>
      <c r="C2107" s="312"/>
      <c r="D2107" s="312"/>
      <c r="E2107" s="312"/>
      <c r="F2107" s="312"/>
      <c r="G2107" s="328"/>
      <c r="H2107" s="337"/>
      <c r="I2107" s="334"/>
      <c r="J2107" s="314"/>
      <c r="K2107" s="449"/>
      <c r="M2107" s="349" t="str">
        <f>N2107&amp;AS[[#This Row],[Insurer Code]]&amp;"; "&amp;O2107&amp;AS[[#This Row],[Reporting Year]]&amp;"; "&amp;P2107&amp;AS[[#This Row],[Insurance Category Code]]&amp;"; "&amp;Q2107&amp;AS[[#This Row],[Large Provider Entity Code]]&amp;"; "&amp;R2107&amp;AS[[#This Row],[Age Band Code]]&amp;"; "&amp;S2107&amp;AS[[#This Row],[Sex Code]]</f>
        <v xml:space="preserve">Insurer Code ; Reporting Year ; Insurance Category Code ; Large Provider Entity Code ; Age Band Code ; Sex Code </v>
      </c>
      <c r="N2107" s="345" t="s">
        <v>207</v>
      </c>
      <c r="O2107" s="345" t="s">
        <v>208</v>
      </c>
      <c r="P2107" s="345" t="s">
        <v>209</v>
      </c>
      <c r="Q2107" s="345" t="s">
        <v>210</v>
      </c>
      <c r="R2107" s="345" t="s">
        <v>223</v>
      </c>
      <c r="S2107" s="345" t="s">
        <v>224</v>
      </c>
    </row>
    <row r="2108" spans="1:19" x14ac:dyDescent="0.25">
      <c r="A2108" s="311"/>
      <c r="B2108" s="312"/>
      <c r="C2108" s="312"/>
      <c r="D2108" s="312"/>
      <c r="E2108" s="312"/>
      <c r="F2108" s="312"/>
      <c r="G2108" s="328"/>
      <c r="H2108" s="337"/>
      <c r="I2108" s="334"/>
      <c r="J2108" s="314"/>
      <c r="K2108" s="449"/>
      <c r="M2108" s="349" t="str">
        <f>N2108&amp;AS[[#This Row],[Insurer Code]]&amp;"; "&amp;O2108&amp;AS[[#This Row],[Reporting Year]]&amp;"; "&amp;P2108&amp;AS[[#This Row],[Insurance Category Code]]&amp;"; "&amp;Q2108&amp;AS[[#This Row],[Large Provider Entity Code]]&amp;"; "&amp;R2108&amp;AS[[#This Row],[Age Band Code]]&amp;"; "&amp;S2108&amp;AS[[#This Row],[Sex Code]]</f>
        <v xml:space="preserve">Insurer Code ; Reporting Year ; Insurance Category Code ; Large Provider Entity Code ; Age Band Code ; Sex Code </v>
      </c>
      <c r="N2108" s="345" t="s">
        <v>207</v>
      </c>
      <c r="O2108" s="345" t="s">
        <v>208</v>
      </c>
      <c r="P2108" s="345" t="s">
        <v>209</v>
      </c>
      <c r="Q2108" s="345" t="s">
        <v>210</v>
      </c>
      <c r="R2108" s="345" t="s">
        <v>223</v>
      </c>
      <c r="S2108" s="345" t="s">
        <v>224</v>
      </c>
    </row>
    <row r="2109" spans="1:19" x14ac:dyDescent="0.25">
      <c r="A2109" s="311"/>
      <c r="B2109" s="312"/>
      <c r="C2109" s="312"/>
      <c r="D2109" s="312"/>
      <c r="E2109" s="312"/>
      <c r="F2109" s="312"/>
      <c r="G2109" s="328"/>
      <c r="H2109" s="337"/>
      <c r="I2109" s="334"/>
      <c r="J2109" s="314"/>
      <c r="K2109" s="449"/>
      <c r="M2109" s="349" t="str">
        <f>N2109&amp;AS[[#This Row],[Insurer Code]]&amp;"; "&amp;O2109&amp;AS[[#This Row],[Reporting Year]]&amp;"; "&amp;P2109&amp;AS[[#This Row],[Insurance Category Code]]&amp;"; "&amp;Q2109&amp;AS[[#This Row],[Large Provider Entity Code]]&amp;"; "&amp;R2109&amp;AS[[#This Row],[Age Band Code]]&amp;"; "&amp;S2109&amp;AS[[#This Row],[Sex Code]]</f>
        <v xml:space="preserve">Insurer Code ; Reporting Year ; Insurance Category Code ; Large Provider Entity Code ; Age Band Code ; Sex Code </v>
      </c>
      <c r="N2109" s="345" t="s">
        <v>207</v>
      </c>
      <c r="O2109" s="345" t="s">
        <v>208</v>
      </c>
      <c r="P2109" s="345" t="s">
        <v>209</v>
      </c>
      <c r="Q2109" s="345" t="s">
        <v>210</v>
      </c>
      <c r="R2109" s="345" t="s">
        <v>223</v>
      </c>
      <c r="S2109" s="345" t="s">
        <v>224</v>
      </c>
    </row>
    <row r="2110" spans="1:19" x14ac:dyDescent="0.25">
      <c r="A2110" s="311"/>
      <c r="B2110" s="312"/>
      <c r="C2110" s="312"/>
      <c r="D2110" s="312"/>
      <c r="E2110" s="312"/>
      <c r="F2110" s="312"/>
      <c r="G2110" s="328"/>
      <c r="H2110" s="337"/>
      <c r="I2110" s="334"/>
      <c r="J2110" s="314"/>
      <c r="K2110" s="449"/>
      <c r="M2110" s="349" t="str">
        <f>N2110&amp;AS[[#This Row],[Insurer Code]]&amp;"; "&amp;O2110&amp;AS[[#This Row],[Reporting Year]]&amp;"; "&amp;P2110&amp;AS[[#This Row],[Insurance Category Code]]&amp;"; "&amp;Q2110&amp;AS[[#This Row],[Large Provider Entity Code]]&amp;"; "&amp;R2110&amp;AS[[#This Row],[Age Band Code]]&amp;"; "&amp;S2110&amp;AS[[#This Row],[Sex Code]]</f>
        <v xml:space="preserve">Insurer Code ; Reporting Year ; Insurance Category Code ; Large Provider Entity Code ; Age Band Code ; Sex Code </v>
      </c>
      <c r="N2110" s="345" t="s">
        <v>207</v>
      </c>
      <c r="O2110" s="345" t="s">
        <v>208</v>
      </c>
      <c r="P2110" s="345" t="s">
        <v>209</v>
      </c>
      <c r="Q2110" s="345" t="s">
        <v>210</v>
      </c>
      <c r="R2110" s="345" t="s">
        <v>223</v>
      </c>
      <c r="S2110" s="345" t="s">
        <v>224</v>
      </c>
    </row>
    <row r="2111" spans="1:19" x14ac:dyDescent="0.25">
      <c r="A2111" s="311"/>
      <c r="B2111" s="312"/>
      <c r="C2111" s="312"/>
      <c r="D2111" s="312"/>
      <c r="E2111" s="312"/>
      <c r="F2111" s="312"/>
      <c r="G2111" s="328"/>
      <c r="H2111" s="337"/>
      <c r="I2111" s="334"/>
      <c r="J2111" s="314"/>
      <c r="K2111" s="449"/>
      <c r="M2111" s="349" t="str">
        <f>N2111&amp;AS[[#This Row],[Insurer Code]]&amp;"; "&amp;O2111&amp;AS[[#This Row],[Reporting Year]]&amp;"; "&amp;P2111&amp;AS[[#This Row],[Insurance Category Code]]&amp;"; "&amp;Q2111&amp;AS[[#This Row],[Large Provider Entity Code]]&amp;"; "&amp;R2111&amp;AS[[#This Row],[Age Band Code]]&amp;"; "&amp;S2111&amp;AS[[#This Row],[Sex Code]]</f>
        <v xml:space="preserve">Insurer Code ; Reporting Year ; Insurance Category Code ; Large Provider Entity Code ; Age Band Code ; Sex Code </v>
      </c>
      <c r="N2111" s="345" t="s">
        <v>207</v>
      </c>
      <c r="O2111" s="345" t="s">
        <v>208</v>
      </c>
      <c r="P2111" s="345" t="s">
        <v>209</v>
      </c>
      <c r="Q2111" s="345" t="s">
        <v>210</v>
      </c>
      <c r="R2111" s="345" t="s">
        <v>223</v>
      </c>
      <c r="S2111" s="345" t="s">
        <v>224</v>
      </c>
    </row>
    <row r="2112" spans="1:19" x14ac:dyDescent="0.25">
      <c r="A2112" s="311"/>
      <c r="B2112" s="312"/>
      <c r="C2112" s="312"/>
      <c r="D2112" s="312"/>
      <c r="E2112" s="312"/>
      <c r="F2112" s="312"/>
      <c r="G2112" s="328"/>
      <c r="H2112" s="337"/>
      <c r="I2112" s="334"/>
      <c r="J2112" s="314"/>
      <c r="K2112" s="449"/>
      <c r="M2112" s="349" t="str">
        <f>N2112&amp;AS[[#This Row],[Insurer Code]]&amp;"; "&amp;O2112&amp;AS[[#This Row],[Reporting Year]]&amp;"; "&amp;P2112&amp;AS[[#This Row],[Insurance Category Code]]&amp;"; "&amp;Q2112&amp;AS[[#This Row],[Large Provider Entity Code]]&amp;"; "&amp;R2112&amp;AS[[#This Row],[Age Band Code]]&amp;"; "&amp;S2112&amp;AS[[#This Row],[Sex Code]]</f>
        <v xml:space="preserve">Insurer Code ; Reporting Year ; Insurance Category Code ; Large Provider Entity Code ; Age Band Code ; Sex Code </v>
      </c>
      <c r="N2112" s="345" t="s">
        <v>207</v>
      </c>
      <c r="O2112" s="345" t="s">
        <v>208</v>
      </c>
      <c r="P2112" s="345" t="s">
        <v>209</v>
      </c>
      <c r="Q2112" s="345" t="s">
        <v>210</v>
      </c>
      <c r="R2112" s="345" t="s">
        <v>223</v>
      </c>
      <c r="S2112" s="345" t="s">
        <v>224</v>
      </c>
    </row>
    <row r="2113" spans="1:19" x14ac:dyDescent="0.25">
      <c r="A2113" s="311"/>
      <c r="B2113" s="312"/>
      <c r="C2113" s="312"/>
      <c r="D2113" s="312"/>
      <c r="E2113" s="312"/>
      <c r="F2113" s="312"/>
      <c r="G2113" s="328"/>
      <c r="H2113" s="337"/>
      <c r="I2113" s="334"/>
      <c r="J2113" s="314"/>
      <c r="K2113" s="449"/>
      <c r="M2113" s="349" t="str">
        <f>N2113&amp;AS[[#This Row],[Insurer Code]]&amp;"; "&amp;O2113&amp;AS[[#This Row],[Reporting Year]]&amp;"; "&amp;P2113&amp;AS[[#This Row],[Insurance Category Code]]&amp;"; "&amp;Q2113&amp;AS[[#This Row],[Large Provider Entity Code]]&amp;"; "&amp;R2113&amp;AS[[#This Row],[Age Band Code]]&amp;"; "&amp;S2113&amp;AS[[#This Row],[Sex Code]]</f>
        <v xml:space="preserve">Insurer Code ; Reporting Year ; Insurance Category Code ; Large Provider Entity Code ; Age Band Code ; Sex Code </v>
      </c>
      <c r="N2113" s="345" t="s">
        <v>207</v>
      </c>
      <c r="O2113" s="345" t="s">
        <v>208</v>
      </c>
      <c r="P2113" s="345" t="s">
        <v>209</v>
      </c>
      <c r="Q2113" s="345" t="s">
        <v>210</v>
      </c>
      <c r="R2113" s="345" t="s">
        <v>223</v>
      </c>
      <c r="S2113" s="345" t="s">
        <v>224</v>
      </c>
    </row>
    <row r="2114" spans="1:19" x14ac:dyDescent="0.25">
      <c r="A2114" s="311"/>
      <c r="B2114" s="312"/>
      <c r="C2114" s="312"/>
      <c r="D2114" s="312"/>
      <c r="E2114" s="312"/>
      <c r="F2114" s="312"/>
      <c r="G2114" s="328"/>
      <c r="H2114" s="337"/>
      <c r="I2114" s="334"/>
      <c r="J2114" s="314"/>
      <c r="K2114" s="449"/>
      <c r="M2114" s="349" t="str">
        <f>N2114&amp;AS[[#This Row],[Insurer Code]]&amp;"; "&amp;O2114&amp;AS[[#This Row],[Reporting Year]]&amp;"; "&amp;P2114&amp;AS[[#This Row],[Insurance Category Code]]&amp;"; "&amp;Q2114&amp;AS[[#This Row],[Large Provider Entity Code]]&amp;"; "&amp;R2114&amp;AS[[#This Row],[Age Band Code]]&amp;"; "&amp;S2114&amp;AS[[#This Row],[Sex Code]]</f>
        <v xml:space="preserve">Insurer Code ; Reporting Year ; Insurance Category Code ; Large Provider Entity Code ; Age Band Code ; Sex Code </v>
      </c>
      <c r="N2114" s="345" t="s">
        <v>207</v>
      </c>
      <c r="O2114" s="345" t="s">
        <v>208</v>
      </c>
      <c r="P2114" s="345" t="s">
        <v>209</v>
      </c>
      <c r="Q2114" s="345" t="s">
        <v>210</v>
      </c>
      <c r="R2114" s="345" t="s">
        <v>223</v>
      </c>
      <c r="S2114" s="345" t="s">
        <v>224</v>
      </c>
    </row>
    <row r="2115" spans="1:19" x14ac:dyDescent="0.25">
      <c r="A2115" s="311"/>
      <c r="B2115" s="312"/>
      <c r="C2115" s="312"/>
      <c r="D2115" s="312"/>
      <c r="E2115" s="312"/>
      <c r="F2115" s="312"/>
      <c r="G2115" s="328"/>
      <c r="H2115" s="337"/>
      <c r="I2115" s="334"/>
      <c r="J2115" s="314"/>
      <c r="K2115" s="449"/>
      <c r="M2115" s="349" t="str">
        <f>N2115&amp;AS[[#This Row],[Insurer Code]]&amp;"; "&amp;O2115&amp;AS[[#This Row],[Reporting Year]]&amp;"; "&amp;P2115&amp;AS[[#This Row],[Insurance Category Code]]&amp;"; "&amp;Q2115&amp;AS[[#This Row],[Large Provider Entity Code]]&amp;"; "&amp;R2115&amp;AS[[#This Row],[Age Band Code]]&amp;"; "&amp;S2115&amp;AS[[#This Row],[Sex Code]]</f>
        <v xml:space="preserve">Insurer Code ; Reporting Year ; Insurance Category Code ; Large Provider Entity Code ; Age Band Code ; Sex Code </v>
      </c>
      <c r="N2115" s="345" t="s">
        <v>207</v>
      </c>
      <c r="O2115" s="345" t="s">
        <v>208</v>
      </c>
      <c r="P2115" s="345" t="s">
        <v>209</v>
      </c>
      <c r="Q2115" s="345" t="s">
        <v>210</v>
      </c>
      <c r="R2115" s="345" t="s">
        <v>223</v>
      </c>
      <c r="S2115" s="345" t="s">
        <v>224</v>
      </c>
    </row>
    <row r="2116" spans="1:19" x14ac:dyDescent="0.25">
      <c r="A2116" s="311"/>
      <c r="B2116" s="312"/>
      <c r="C2116" s="312"/>
      <c r="D2116" s="312"/>
      <c r="E2116" s="312"/>
      <c r="F2116" s="312"/>
      <c r="G2116" s="328"/>
      <c r="H2116" s="337"/>
      <c r="I2116" s="334"/>
      <c r="J2116" s="314"/>
      <c r="K2116" s="449"/>
      <c r="M2116" s="349" t="str">
        <f>N2116&amp;AS[[#This Row],[Insurer Code]]&amp;"; "&amp;O2116&amp;AS[[#This Row],[Reporting Year]]&amp;"; "&amp;P2116&amp;AS[[#This Row],[Insurance Category Code]]&amp;"; "&amp;Q2116&amp;AS[[#This Row],[Large Provider Entity Code]]&amp;"; "&amp;R2116&amp;AS[[#This Row],[Age Band Code]]&amp;"; "&amp;S2116&amp;AS[[#This Row],[Sex Code]]</f>
        <v xml:space="preserve">Insurer Code ; Reporting Year ; Insurance Category Code ; Large Provider Entity Code ; Age Band Code ; Sex Code </v>
      </c>
      <c r="N2116" s="345" t="s">
        <v>207</v>
      </c>
      <c r="O2116" s="345" t="s">
        <v>208</v>
      </c>
      <c r="P2116" s="345" t="s">
        <v>209</v>
      </c>
      <c r="Q2116" s="345" t="s">
        <v>210</v>
      </c>
      <c r="R2116" s="345" t="s">
        <v>223</v>
      </c>
      <c r="S2116" s="345" t="s">
        <v>224</v>
      </c>
    </row>
    <row r="2117" spans="1:19" x14ac:dyDescent="0.25">
      <c r="A2117" s="311"/>
      <c r="B2117" s="312"/>
      <c r="C2117" s="312"/>
      <c r="D2117" s="312"/>
      <c r="E2117" s="312"/>
      <c r="F2117" s="312"/>
      <c r="G2117" s="328"/>
      <c r="H2117" s="337"/>
      <c r="I2117" s="334"/>
      <c r="J2117" s="314"/>
      <c r="K2117" s="449"/>
      <c r="M2117" s="349" t="str">
        <f>N2117&amp;AS[[#This Row],[Insurer Code]]&amp;"; "&amp;O2117&amp;AS[[#This Row],[Reporting Year]]&amp;"; "&amp;P2117&amp;AS[[#This Row],[Insurance Category Code]]&amp;"; "&amp;Q2117&amp;AS[[#This Row],[Large Provider Entity Code]]&amp;"; "&amp;R2117&amp;AS[[#This Row],[Age Band Code]]&amp;"; "&amp;S2117&amp;AS[[#This Row],[Sex Code]]</f>
        <v xml:space="preserve">Insurer Code ; Reporting Year ; Insurance Category Code ; Large Provider Entity Code ; Age Band Code ; Sex Code </v>
      </c>
      <c r="N2117" s="345" t="s">
        <v>207</v>
      </c>
      <c r="O2117" s="345" t="s">
        <v>208</v>
      </c>
      <c r="P2117" s="345" t="s">
        <v>209</v>
      </c>
      <c r="Q2117" s="345" t="s">
        <v>210</v>
      </c>
      <c r="R2117" s="345" t="s">
        <v>223</v>
      </c>
      <c r="S2117" s="345" t="s">
        <v>224</v>
      </c>
    </row>
    <row r="2118" spans="1:19" x14ac:dyDescent="0.25">
      <c r="A2118" s="311"/>
      <c r="B2118" s="312"/>
      <c r="C2118" s="312"/>
      <c r="D2118" s="312"/>
      <c r="E2118" s="312"/>
      <c r="F2118" s="312"/>
      <c r="G2118" s="328"/>
      <c r="H2118" s="337"/>
      <c r="I2118" s="334"/>
      <c r="J2118" s="314"/>
      <c r="K2118" s="449"/>
      <c r="M2118" s="349" t="str">
        <f>N2118&amp;AS[[#This Row],[Insurer Code]]&amp;"; "&amp;O2118&amp;AS[[#This Row],[Reporting Year]]&amp;"; "&amp;P2118&amp;AS[[#This Row],[Insurance Category Code]]&amp;"; "&amp;Q2118&amp;AS[[#This Row],[Large Provider Entity Code]]&amp;"; "&amp;R2118&amp;AS[[#This Row],[Age Band Code]]&amp;"; "&amp;S2118&amp;AS[[#This Row],[Sex Code]]</f>
        <v xml:space="preserve">Insurer Code ; Reporting Year ; Insurance Category Code ; Large Provider Entity Code ; Age Band Code ; Sex Code </v>
      </c>
      <c r="N2118" s="345" t="s">
        <v>207</v>
      </c>
      <c r="O2118" s="345" t="s">
        <v>208</v>
      </c>
      <c r="P2118" s="345" t="s">
        <v>209</v>
      </c>
      <c r="Q2118" s="345" t="s">
        <v>210</v>
      </c>
      <c r="R2118" s="345" t="s">
        <v>223</v>
      </c>
      <c r="S2118" s="345" t="s">
        <v>224</v>
      </c>
    </row>
    <row r="2119" spans="1:19" x14ac:dyDescent="0.25">
      <c r="A2119" s="311"/>
      <c r="B2119" s="312"/>
      <c r="C2119" s="312"/>
      <c r="D2119" s="312"/>
      <c r="E2119" s="312"/>
      <c r="F2119" s="312"/>
      <c r="G2119" s="313"/>
      <c r="H2119" s="336"/>
      <c r="I2119" s="334"/>
      <c r="J2119" s="332"/>
      <c r="K2119" s="449"/>
      <c r="M2119" s="349" t="str">
        <f>N2119&amp;AS[[#This Row],[Insurer Code]]&amp;"; "&amp;O2119&amp;AS[[#This Row],[Reporting Year]]&amp;"; "&amp;P2119&amp;AS[[#This Row],[Insurance Category Code]]&amp;"; "&amp;Q2119&amp;AS[[#This Row],[Large Provider Entity Code]]&amp;"; "&amp;R2119&amp;AS[[#This Row],[Age Band Code]]&amp;"; "&amp;S2119&amp;AS[[#This Row],[Sex Code]]</f>
        <v xml:space="preserve">Insurer Code ; Reporting Year ; Insurance Category Code ; Large Provider Entity Code ; Age Band Code ; Sex Code </v>
      </c>
      <c r="N2119" s="345" t="s">
        <v>207</v>
      </c>
      <c r="O2119" s="345" t="s">
        <v>208</v>
      </c>
      <c r="P2119" s="345" t="s">
        <v>209</v>
      </c>
      <c r="Q2119" s="345" t="s">
        <v>210</v>
      </c>
      <c r="R2119" s="345" t="s">
        <v>223</v>
      </c>
      <c r="S2119" s="345" t="s">
        <v>224</v>
      </c>
    </row>
    <row r="2120" spans="1:19" x14ac:dyDescent="0.25">
      <c r="A2120" s="311"/>
      <c r="B2120" s="312"/>
      <c r="C2120" s="312"/>
      <c r="D2120" s="312"/>
      <c r="E2120" s="312"/>
      <c r="F2120" s="312"/>
      <c r="G2120" s="335"/>
      <c r="H2120" s="336"/>
      <c r="I2120" s="334"/>
      <c r="J2120" s="332"/>
      <c r="K2120" s="449"/>
      <c r="M2120" s="349" t="str">
        <f>N2120&amp;AS[[#This Row],[Insurer Code]]&amp;"; "&amp;O2120&amp;AS[[#This Row],[Reporting Year]]&amp;"; "&amp;P2120&amp;AS[[#This Row],[Insurance Category Code]]&amp;"; "&amp;Q2120&amp;AS[[#This Row],[Large Provider Entity Code]]&amp;"; "&amp;R2120&amp;AS[[#This Row],[Age Band Code]]&amp;"; "&amp;S2120&amp;AS[[#This Row],[Sex Code]]</f>
        <v xml:space="preserve">Insurer Code ; Reporting Year ; Insurance Category Code ; Large Provider Entity Code ; Age Band Code ; Sex Code </v>
      </c>
      <c r="N2120" s="345" t="s">
        <v>207</v>
      </c>
      <c r="O2120" s="345" t="s">
        <v>208</v>
      </c>
      <c r="P2120" s="345" t="s">
        <v>209</v>
      </c>
      <c r="Q2120" s="345" t="s">
        <v>210</v>
      </c>
      <c r="R2120" s="345" t="s">
        <v>223</v>
      </c>
      <c r="S2120" s="345" t="s">
        <v>224</v>
      </c>
    </row>
    <row r="2121" spans="1:19" x14ac:dyDescent="0.25">
      <c r="A2121" s="311"/>
      <c r="B2121" s="312"/>
      <c r="C2121" s="312"/>
      <c r="D2121" s="312"/>
      <c r="E2121" s="312"/>
      <c r="F2121" s="312"/>
      <c r="G2121" s="313"/>
      <c r="H2121" s="336"/>
      <c r="I2121" s="334"/>
      <c r="J2121" s="332"/>
      <c r="K2121" s="449"/>
      <c r="M2121" s="349" t="str">
        <f>N2121&amp;AS[[#This Row],[Insurer Code]]&amp;"; "&amp;O2121&amp;AS[[#This Row],[Reporting Year]]&amp;"; "&amp;P2121&amp;AS[[#This Row],[Insurance Category Code]]&amp;"; "&amp;Q2121&amp;AS[[#This Row],[Large Provider Entity Code]]&amp;"; "&amp;R2121&amp;AS[[#This Row],[Age Band Code]]&amp;"; "&amp;S2121&amp;AS[[#This Row],[Sex Code]]</f>
        <v xml:space="preserve">Insurer Code ; Reporting Year ; Insurance Category Code ; Large Provider Entity Code ; Age Band Code ; Sex Code </v>
      </c>
      <c r="N2121" s="345" t="s">
        <v>207</v>
      </c>
      <c r="O2121" s="345" t="s">
        <v>208</v>
      </c>
      <c r="P2121" s="345" t="s">
        <v>209</v>
      </c>
      <c r="Q2121" s="345" t="s">
        <v>210</v>
      </c>
      <c r="R2121" s="345" t="s">
        <v>223</v>
      </c>
      <c r="S2121" s="345" t="s">
        <v>224</v>
      </c>
    </row>
    <row r="2122" spans="1:19" x14ac:dyDescent="0.25">
      <c r="A2122" s="311"/>
      <c r="B2122" s="312"/>
      <c r="C2122" s="312"/>
      <c r="D2122" s="312"/>
      <c r="E2122" s="312"/>
      <c r="F2122" s="312"/>
      <c r="G2122" s="335"/>
      <c r="H2122" s="336"/>
      <c r="I2122" s="334"/>
      <c r="J2122" s="332"/>
      <c r="K2122" s="449"/>
      <c r="M2122" s="349" t="str">
        <f>N2122&amp;AS[[#This Row],[Insurer Code]]&amp;"; "&amp;O2122&amp;AS[[#This Row],[Reporting Year]]&amp;"; "&amp;P2122&amp;AS[[#This Row],[Insurance Category Code]]&amp;"; "&amp;Q2122&amp;AS[[#This Row],[Large Provider Entity Code]]&amp;"; "&amp;R2122&amp;AS[[#This Row],[Age Band Code]]&amp;"; "&amp;S2122&amp;AS[[#This Row],[Sex Code]]</f>
        <v xml:space="preserve">Insurer Code ; Reporting Year ; Insurance Category Code ; Large Provider Entity Code ; Age Band Code ; Sex Code </v>
      </c>
      <c r="N2122" s="345" t="s">
        <v>207</v>
      </c>
      <c r="O2122" s="345" t="s">
        <v>208</v>
      </c>
      <c r="P2122" s="345" t="s">
        <v>209</v>
      </c>
      <c r="Q2122" s="345" t="s">
        <v>210</v>
      </c>
      <c r="R2122" s="345" t="s">
        <v>223</v>
      </c>
      <c r="S2122" s="345" t="s">
        <v>224</v>
      </c>
    </row>
    <row r="2123" spans="1:19" x14ac:dyDescent="0.25">
      <c r="A2123" s="311"/>
      <c r="B2123" s="312"/>
      <c r="C2123" s="312"/>
      <c r="D2123" s="312"/>
      <c r="E2123" s="312"/>
      <c r="F2123" s="312"/>
      <c r="G2123" s="313"/>
      <c r="H2123" s="336"/>
      <c r="I2123" s="334"/>
      <c r="J2123" s="332"/>
      <c r="K2123" s="449"/>
      <c r="M2123" s="349" t="str">
        <f>N2123&amp;AS[[#This Row],[Insurer Code]]&amp;"; "&amp;O2123&amp;AS[[#This Row],[Reporting Year]]&amp;"; "&amp;P2123&amp;AS[[#This Row],[Insurance Category Code]]&amp;"; "&amp;Q2123&amp;AS[[#This Row],[Large Provider Entity Code]]&amp;"; "&amp;R2123&amp;AS[[#This Row],[Age Band Code]]&amp;"; "&amp;S2123&amp;AS[[#This Row],[Sex Code]]</f>
        <v xml:space="preserve">Insurer Code ; Reporting Year ; Insurance Category Code ; Large Provider Entity Code ; Age Band Code ; Sex Code </v>
      </c>
      <c r="N2123" s="345" t="s">
        <v>207</v>
      </c>
      <c r="O2123" s="345" t="s">
        <v>208</v>
      </c>
      <c r="P2123" s="345" t="s">
        <v>209</v>
      </c>
      <c r="Q2123" s="345" t="s">
        <v>210</v>
      </c>
      <c r="R2123" s="345" t="s">
        <v>223</v>
      </c>
      <c r="S2123" s="345" t="s">
        <v>224</v>
      </c>
    </row>
    <row r="2124" spans="1:19" x14ac:dyDescent="0.25">
      <c r="A2124" s="311"/>
      <c r="B2124" s="312"/>
      <c r="C2124" s="312"/>
      <c r="D2124" s="312"/>
      <c r="E2124" s="312"/>
      <c r="F2124" s="312"/>
      <c r="G2124" s="335"/>
      <c r="H2124" s="336"/>
      <c r="I2124" s="334"/>
      <c r="J2124" s="332"/>
      <c r="K2124" s="449"/>
      <c r="M2124" s="349" t="str">
        <f>N2124&amp;AS[[#This Row],[Insurer Code]]&amp;"; "&amp;O2124&amp;AS[[#This Row],[Reporting Year]]&amp;"; "&amp;P2124&amp;AS[[#This Row],[Insurance Category Code]]&amp;"; "&amp;Q2124&amp;AS[[#This Row],[Large Provider Entity Code]]&amp;"; "&amp;R2124&amp;AS[[#This Row],[Age Band Code]]&amp;"; "&amp;S2124&amp;AS[[#This Row],[Sex Code]]</f>
        <v xml:space="preserve">Insurer Code ; Reporting Year ; Insurance Category Code ; Large Provider Entity Code ; Age Band Code ; Sex Code </v>
      </c>
      <c r="N2124" s="345" t="s">
        <v>207</v>
      </c>
      <c r="O2124" s="345" t="s">
        <v>208</v>
      </c>
      <c r="P2124" s="345" t="s">
        <v>209</v>
      </c>
      <c r="Q2124" s="345" t="s">
        <v>210</v>
      </c>
      <c r="R2124" s="345" t="s">
        <v>223</v>
      </c>
      <c r="S2124" s="345" t="s">
        <v>224</v>
      </c>
    </row>
    <row r="2125" spans="1:19" x14ac:dyDescent="0.25">
      <c r="A2125" s="311"/>
      <c r="B2125" s="312"/>
      <c r="C2125" s="312"/>
      <c r="D2125" s="312"/>
      <c r="E2125" s="333"/>
      <c r="F2125" s="333"/>
      <c r="G2125" s="313"/>
      <c r="H2125" s="314"/>
      <c r="I2125" s="334"/>
      <c r="J2125" s="314"/>
      <c r="K2125" s="449"/>
      <c r="M2125" s="349" t="str">
        <f>N2125&amp;AS[[#This Row],[Insurer Code]]&amp;"; "&amp;O2125&amp;AS[[#This Row],[Reporting Year]]&amp;"; "&amp;P2125&amp;AS[[#This Row],[Insurance Category Code]]&amp;"; "&amp;Q2125&amp;AS[[#This Row],[Large Provider Entity Code]]&amp;"; "&amp;R2125&amp;AS[[#This Row],[Age Band Code]]&amp;"; "&amp;S2125&amp;AS[[#This Row],[Sex Code]]</f>
        <v xml:space="preserve">Insurer Code ; Reporting Year ; Insurance Category Code ; Large Provider Entity Code ; Age Band Code ; Sex Code </v>
      </c>
      <c r="N2125" s="345" t="s">
        <v>207</v>
      </c>
      <c r="O2125" s="345" t="s">
        <v>208</v>
      </c>
      <c r="P2125" s="345" t="s">
        <v>209</v>
      </c>
      <c r="Q2125" s="345" t="s">
        <v>210</v>
      </c>
      <c r="R2125" s="345" t="s">
        <v>223</v>
      </c>
      <c r="S2125" s="345" t="s">
        <v>224</v>
      </c>
    </row>
    <row r="2126" spans="1:19" x14ac:dyDescent="0.25">
      <c r="A2126" s="311"/>
      <c r="B2126" s="312"/>
      <c r="C2126" s="312"/>
      <c r="D2126" s="312"/>
      <c r="E2126" s="333"/>
      <c r="F2126" s="333"/>
      <c r="G2126" s="313"/>
      <c r="H2126" s="314"/>
      <c r="I2126" s="334"/>
      <c r="J2126" s="314"/>
      <c r="K2126" s="449"/>
      <c r="M2126" s="349" t="str">
        <f>N2126&amp;AS[[#This Row],[Insurer Code]]&amp;"; "&amp;O2126&amp;AS[[#This Row],[Reporting Year]]&amp;"; "&amp;P2126&amp;AS[[#This Row],[Insurance Category Code]]&amp;"; "&amp;Q2126&amp;AS[[#This Row],[Large Provider Entity Code]]&amp;"; "&amp;R2126&amp;AS[[#This Row],[Age Band Code]]&amp;"; "&amp;S2126&amp;AS[[#This Row],[Sex Code]]</f>
        <v xml:space="preserve">Insurer Code ; Reporting Year ; Insurance Category Code ; Large Provider Entity Code ; Age Band Code ; Sex Code </v>
      </c>
      <c r="N2126" s="345" t="s">
        <v>207</v>
      </c>
      <c r="O2126" s="345" t="s">
        <v>208</v>
      </c>
      <c r="P2126" s="345" t="s">
        <v>209</v>
      </c>
      <c r="Q2126" s="345" t="s">
        <v>210</v>
      </c>
      <c r="R2126" s="345" t="s">
        <v>223</v>
      </c>
      <c r="S2126" s="345" t="s">
        <v>224</v>
      </c>
    </row>
    <row r="2127" spans="1:19" x14ac:dyDescent="0.25">
      <c r="A2127" s="311"/>
      <c r="B2127" s="312"/>
      <c r="C2127" s="312"/>
      <c r="D2127" s="312"/>
      <c r="E2127" s="333"/>
      <c r="F2127" s="333"/>
      <c r="G2127" s="313"/>
      <c r="H2127" s="314"/>
      <c r="I2127" s="334"/>
      <c r="J2127" s="314"/>
      <c r="K2127" s="449"/>
      <c r="M2127" s="349" t="str">
        <f>N2127&amp;AS[[#This Row],[Insurer Code]]&amp;"; "&amp;O2127&amp;AS[[#This Row],[Reporting Year]]&amp;"; "&amp;P2127&amp;AS[[#This Row],[Insurance Category Code]]&amp;"; "&amp;Q2127&amp;AS[[#This Row],[Large Provider Entity Code]]&amp;"; "&amp;R2127&amp;AS[[#This Row],[Age Band Code]]&amp;"; "&amp;S2127&amp;AS[[#This Row],[Sex Code]]</f>
        <v xml:space="preserve">Insurer Code ; Reporting Year ; Insurance Category Code ; Large Provider Entity Code ; Age Band Code ; Sex Code </v>
      </c>
      <c r="N2127" s="345" t="s">
        <v>207</v>
      </c>
      <c r="O2127" s="345" t="s">
        <v>208</v>
      </c>
      <c r="P2127" s="345" t="s">
        <v>209</v>
      </c>
      <c r="Q2127" s="345" t="s">
        <v>210</v>
      </c>
      <c r="R2127" s="345" t="s">
        <v>223</v>
      </c>
      <c r="S2127" s="345" t="s">
        <v>224</v>
      </c>
    </row>
    <row r="2128" spans="1:19" x14ac:dyDescent="0.25">
      <c r="A2128" s="311"/>
      <c r="B2128" s="312"/>
      <c r="C2128" s="312"/>
      <c r="D2128" s="312"/>
      <c r="E2128" s="333"/>
      <c r="F2128" s="333"/>
      <c r="G2128" s="313"/>
      <c r="H2128" s="314"/>
      <c r="I2128" s="334"/>
      <c r="J2128" s="314"/>
      <c r="K2128" s="449"/>
      <c r="M2128" s="349" t="str">
        <f>N2128&amp;AS[[#This Row],[Insurer Code]]&amp;"; "&amp;O2128&amp;AS[[#This Row],[Reporting Year]]&amp;"; "&amp;P2128&amp;AS[[#This Row],[Insurance Category Code]]&amp;"; "&amp;Q2128&amp;AS[[#This Row],[Large Provider Entity Code]]&amp;"; "&amp;R2128&amp;AS[[#This Row],[Age Band Code]]&amp;"; "&amp;S2128&amp;AS[[#This Row],[Sex Code]]</f>
        <v xml:space="preserve">Insurer Code ; Reporting Year ; Insurance Category Code ; Large Provider Entity Code ; Age Band Code ; Sex Code </v>
      </c>
      <c r="N2128" s="345" t="s">
        <v>207</v>
      </c>
      <c r="O2128" s="345" t="s">
        <v>208</v>
      </c>
      <c r="P2128" s="345" t="s">
        <v>209</v>
      </c>
      <c r="Q2128" s="345" t="s">
        <v>210</v>
      </c>
      <c r="R2128" s="345" t="s">
        <v>223</v>
      </c>
      <c r="S2128" s="345" t="s">
        <v>224</v>
      </c>
    </row>
    <row r="2129" spans="1:19" x14ac:dyDescent="0.25">
      <c r="A2129" s="311"/>
      <c r="B2129" s="312"/>
      <c r="C2129" s="312"/>
      <c r="D2129" s="312"/>
      <c r="E2129" s="333"/>
      <c r="F2129" s="333"/>
      <c r="G2129" s="313"/>
      <c r="H2129" s="314"/>
      <c r="I2129" s="334"/>
      <c r="J2129" s="314"/>
      <c r="K2129" s="449"/>
      <c r="M2129" s="349" t="str">
        <f>N2129&amp;AS[[#This Row],[Insurer Code]]&amp;"; "&amp;O2129&amp;AS[[#This Row],[Reporting Year]]&amp;"; "&amp;P2129&amp;AS[[#This Row],[Insurance Category Code]]&amp;"; "&amp;Q2129&amp;AS[[#This Row],[Large Provider Entity Code]]&amp;"; "&amp;R2129&amp;AS[[#This Row],[Age Band Code]]&amp;"; "&amp;S2129&amp;AS[[#This Row],[Sex Code]]</f>
        <v xml:space="preserve">Insurer Code ; Reporting Year ; Insurance Category Code ; Large Provider Entity Code ; Age Band Code ; Sex Code </v>
      </c>
      <c r="N2129" s="345" t="s">
        <v>207</v>
      </c>
      <c r="O2129" s="345" t="s">
        <v>208</v>
      </c>
      <c r="P2129" s="345" t="s">
        <v>209</v>
      </c>
      <c r="Q2129" s="345" t="s">
        <v>210</v>
      </c>
      <c r="R2129" s="345" t="s">
        <v>223</v>
      </c>
      <c r="S2129" s="345" t="s">
        <v>224</v>
      </c>
    </row>
    <row r="2130" spans="1:19" x14ac:dyDescent="0.25">
      <c r="A2130" s="311"/>
      <c r="B2130" s="312"/>
      <c r="C2130" s="312"/>
      <c r="D2130" s="312"/>
      <c r="E2130" s="333"/>
      <c r="F2130" s="333"/>
      <c r="G2130" s="313"/>
      <c r="H2130" s="314"/>
      <c r="I2130" s="334"/>
      <c r="J2130" s="314"/>
      <c r="K2130" s="449"/>
      <c r="M2130" s="349" t="str">
        <f>N2130&amp;AS[[#This Row],[Insurer Code]]&amp;"; "&amp;O2130&amp;AS[[#This Row],[Reporting Year]]&amp;"; "&amp;P2130&amp;AS[[#This Row],[Insurance Category Code]]&amp;"; "&amp;Q2130&amp;AS[[#This Row],[Large Provider Entity Code]]&amp;"; "&amp;R2130&amp;AS[[#This Row],[Age Band Code]]&amp;"; "&amp;S2130&amp;AS[[#This Row],[Sex Code]]</f>
        <v xml:space="preserve">Insurer Code ; Reporting Year ; Insurance Category Code ; Large Provider Entity Code ; Age Band Code ; Sex Code </v>
      </c>
      <c r="N2130" s="345" t="s">
        <v>207</v>
      </c>
      <c r="O2130" s="345" t="s">
        <v>208</v>
      </c>
      <c r="P2130" s="345" t="s">
        <v>209</v>
      </c>
      <c r="Q2130" s="345" t="s">
        <v>210</v>
      </c>
      <c r="R2130" s="345" t="s">
        <v>223</v>
      </c>
      <c r="S2130" s="345" t="s">
        <v>224</v>
      </c>
    </row>
    <row r="2131" spans="1:19" x14ac:dyDescent="0.25">
      <c r="A2131" s="311"/>
      <c r="B2131" s="312"/>
      <c r="C2131" s="312"/>
      <c r="D2131" s="312"/>
      <c r="E2131" s="312"/>
      <c r="F2131" s="312"/>
      <c r="G2131" s="328"/>
      <c r="H2131" s="337"/>
      <c r="I2131" s="334"/>
      <c r="J2131" s="314"/>
      <c r="K2131" s="449"/>
      <c r="M2131" s="349" t="str">
        <f>N2131&amp;AS[[#This Row],[Insurer Code]]&amp;"; "&amp;O2131&amp;AS[[#This Row],[Reporting Year]]&amp;"; "&amp;P2131&amp;AS[[#This Row],[Insurance Category Code]]&amp;"; "&amp;Q2131&amp;AS[[#This Row],[Large Provider Entity Code]]&amp;"; "&amp;R2131&amp;AS[[#This Row],[Age Band Code]]&amp;"; "&amp;S2131&amp;AS[[#This Row],[Sex Code]]</f>
        <v xml:space="preserve">Insurer Code ; Reporting Year ; Insurance Category Code ; Large Provider Entity Code ; Age Band Code ; Sex Code </v>
      </c>
      <c r="N2131" s="345" t="s">
        <v>207</v>
      </c>
      <c r="O2131" s="345" t="s">
        <v>208</v>
      </c>
      <c r="P2131" s="345" t="s">
        <v>209</v>
      </c>
      <c r="Q2131" s="345" t="s">
        <v>210</v>
      </c>
      <c r="R2131" s="345" t="s">
        <v>223</v>
      </c>
      <c r="S2131" s="345" t="s">
        <v>224</v>
      </c>
    </row>
    <row r="2132" spans="1:19" x14ac:dyDescent="0.25">
      <c r="A2132" s="311"/>
      <c r="B2132" s="312"/>
      <c r="C2132" s="312"/>
      <c r="D2132" s="312"/>
      <c r="E2132" s="312"/>
      <c r="F2132" s="312"/>
      <c r="G2132" s="328"/>
      <c r="H2132" s="337"/>
      <c r="I2132" s="334"/>
      <c r="J2132" s="314"/>
      <c r="K2132" s="449"/>
      <c r="M2132" s="349" t="str">
        <f>N2132&amp;AS[[#This Row],[Insurer Code]]&amp;"; "&amp;O2132&amp;AS[[#This Row],[Reporting Year]]&amp;"; "&amp;P2132&amp;AS[[#This Row],[Insurance Category Code]]&amp;"; "&amp;Q2132&amp;AS[[#This Row],[Large Provider Entity Code]]&amp;"; "&amp;R2132&amp;AS[[#This Row],[Age Band Code]]&amp;"; "&amp;S2132&amp;AS[[#This Row],[Sex Code]]</f>
        <v xml:space="preserve">Insurer Code ; Reporting Year ; Insurance Category Code ; Large Provider Entity Code ; Age Band Code ; Sex Code </v>
      </c>
      <c r="N2132" s="345" t="s">
        <v>207</v>
      </c>
      <c r="O2132" s="345" t="s">
        <v>208</v>
      </c>
      <c r="P2132" s="345" t="s">
        <v>209</v>
      </c>
      <c r="Q2132" s="345" t="s">
        <v>210</v>
      </c>
      <c r="R2132" s="345" t="s">
        <v>223</v>
      </c>
      <c r="S2132" s="345" t="s">
        <v>224</v>
      </c>
    </row>
    <row r="2133" spans="1:19" x14ac:dyDescent="0.25">
      <c r="A2133" s="311"/>
      <c r="B2133" s="312"/>
      <c r="C2133" s="312"/>
      <c r="D2133" s="312"/>
      <c r="E2133" s="312"/>
      <c r="F2133" s="312"/>
      <c r="G2133" s="328"/>
      <c r="H2133" s="337"/>
      <c r="I2133" s="334"/>
      <c r="J2133" s="314"/>
      <c r="K2133" s="449"/>
      <c r="M2133" s="349" t="str">
        <f>N2133&amp;AS[[#This Row],[Insurer Code]]&amp;"; "&amp;O2133&amp;AS[[#This Row],[Reporting Year]]&amp;"; "&amp;P2133&amp;AS[[#This Row],[Insurance Category Code]]&amp;"; "&amp;Q2133&amp;AS[[#This Row],[Large Provider Entity Code]]&amp;"; "&amp;R2133&amp;AS[[#This Row],[Age Band Code]]&amp;"; "&amp;S2133&amp;AS[[#This Row],[Sex Code]]</f>
        <v xml:space="preserve">Insurer Code ; Reporting Year ; Insurance Category Code ; Large Provider Entity Code ; Age Band Code ; Sex Code </v>
      </c>
      <c r="N2133" s="345" t="s">
        <v>207</v>
      </c>
      <c r="O2133" s="345" t="s">
        <v>208</v>
      </c>
      <c r="P2133" s="345" t="s">
        <v>209</v>
      </c>
      <c r="Q2133" s="345" t="s">
        <v>210</v>
      </c>
      <c r="R2133" s="345" t="s">
        <v>223</v>
      </c>
      <c r="S2133" s="345" t="s">
        <v>224</v>
      </c>
    </row>
    <row r="2134" spans="1:19" x14ac:dyDescent="0.25">
      <c r="A2134" s="311"/>
      <c r="B2134" s="312"/>
      <c r="C2134" s="312"/>
      <c r="D2134" s="312"/>
      <c r="E2134" s="312"/>
      <c r="F2134" s="312"/>
      <c r="G2134" s="328"/>
      <c r="H2134" s="337"/>
      <c r="I2134" s="334"/>
      <c r="J2134" s="314"/>
      <c r="K2134" s="449"/>
      <c r="M2134" s="349" t="str">
        <f>N2134&amp;AS[[#This Row],[Insurer Code]]&amp;"; "&amp;O2134&amp;AS[[#This Row],[Reporting Year]]&amp;"; "&amp;P2134&amp;AS[[#This Row],[Insurance Category Code]]&amp;"; "&amp;Q2134&amp;AS[[#This Row],[Large Provider Entity Code]]&amp;"; "&amp;R2134&amp;AS[[#This Row],[Age Band Code]]&amp;"; "&amp;S2134&amp;AS[[#This Row],[Sex Code]]</f>
        <v xml:space="preserve">Insurer Code ; Reporting Year ; Insurance Category Code ; Large Provider Entity Code ; Age Band Code ; Sex Code </v>
      </c>
      <c r="N2134" s="345" t="s">
        <v>207</v>
      </c>
      <c r="O2134" s="345" t="s">
        <v>208</v>
      </c>
      <c r="P2134" s="345" t="s">
        <v>209</v>
      </c>
      <c r="Q2134" s="345" t="s">
        <v>210</v>
      </c>
      <c r="R2134" s="345" t="s">
        <v>223</v>
      </c>
      <c r="S2134" s="345" t="s">
        <v>224</v>
      </c>
    </row>
    <row r="2135" spans="1:19" x14ac:dyDescent="0.25">
      <c r="A2135" s="311"/>
      <c r="B2135" s="312"/>
      <c r="C2135" s="312"/>
      <c r="D2135" s="312"/>
      <c r="E2135" s="312"/>
      <c r="F2135" s="312"/>
      <c r="G2135" s="328"/>
      <c r="H2135" s="337"/>
      <c r="I2135" s="334"/>
      <c r="J2135" s="314"/>
      <c r="K2135" s="449"/>
      <c r="M2135" s="349" t="str">
        <f>N2135&amp;AS[[#This Row],[Insurer Code]]&amp;"; "&amp;O2135&amp;AS[[#This Row],[Reporting Year]]&amp;"; "&amp;P2135&amp;AS[[#This Row],[Insurance Category Code]]&amp;"; "&amp;Q2135&amp;AS[[#This Row],[Large Provider Entity Code]]&amp;"; "&amp;R2135&amp;AS[[#This Row],[Age Band Code]]&amp;"; "&amp;S2135&amp;AS[[#This Row],[Sex Code]]</f>
        <v xml:space="preserve">Insurer Code ; Reporting Year ; Insurance Category Code ; Large Provider Entity Code ; Age Band Code ; Sex Code </v>
      </c>
      <c r="N2135" s="345" t="s">
        <v>207</v>
      </c>
      <c r="O2135" s="345" t="s">
        <v>208</v>
      </c>
      <c r="P2135" s="345" t="s">
        <v>209</v>
      </c>
      <c r="Q2135" s="345" t="s">
        <v>210</v>
      </c>
      <c r="R2135" s="345" t="s">
        <v>223</v>
      </c>
      <c r="S2135" s="345" t="s">
        <v>224</v>
      </c>
    </row>
    <row r="2136" spans="1:19" x14ac:dyDescent="0.25">
      <c r="A2136" s="311"/>
      <c r="B2136" s="312"/>
      <c r="C2136" s="312"/>
      <c r="D2136" s="312"/>
      <c r="E2136" s="312"/>
      <c r="F2136" s="312"/>
      <c r="G2136" s="328"/>
      <c r="H2136" s="337"/>
      <c r="I2136" s="334"/>
      <c r="J2136" s="314"/>
      <c r="K2136" s="449"/>
      <c r="M2136" s="349" t="str">
        <f>N2136&amp;AS[[#This Row],[Insurer Code]]&amp;"; "&amp;O2136&amp;AS[[#This Row],[Reporting Year]]&amp;"; "&amp;P2136&amp;AS[[#This Row],[Insurance Category Code]]&amp;"; "&amp;Q2136&amp;AS[[#This Row],[Large Provider Entity Code]]&amp;"; "&amp;R2136&amp;AS[[#This Row],[Age Band Code]]&amp;"; "&amp;S2136&amp;AS[[#This Row],[Sex Code]]</f>
        <v xml:space="preserve">Insurer Code ; Reporting Year ; Insurance Category Code ; Large Provider Entity Code ; Age Band Code ; Sex Code </v>
      </c>
      <c r="N2136" s="345" t="s">
        <v>207</v>
      </c>
      <c r="O2136" s="345" t="s">
        <v>208</v>
      </c>
      <c r="P2136" s="345" t="s">
        <v>209</v>
      </c>
      <c r="Q2136" s="345" t="s">
        <v>210</v>
      </c>
      <c r="R2136" s="345" t="s">
        <v>223</v>
      </c>
      <c r="S2136" s="345" t="s">
        <v>224</v>
      </c>
    </row>
    <row r="2137" spans="1:19" x14ac:dyDescent="0.25">
      <c r="A2137" s="311"/>
      <c r="B2137" s="312"/>
      <c r="C2137" s="312"/>
      <c r="D2137" s="312"/>
      <c r="E2137" s="312"/>
      <c r="F2137" s="312"/>
      <c r="G2137" s="328"/>
      <c r="H2137" s="337"/>
      <c r="I2137" s="334"/>
      <c r="J2137" s="314"/>
      <c r="K2137" s="449"/>
      <c r="M2137" s="349" t="str">
        <f>N2137&amp;AS[[#This Row],[Insurer Code]]&amp;"; "&amp;O2137&amp;AS[[#This Row],[Reporting Year]]&amp;"; "&amp;P2137&amp;AS[[#This Row],[Insurance Category Code]]&amp;"; "&amp;Q2137&amp;AS[[#This Row],[Large Provider Entity Code]]&amp;"; "&amp;R2137&amp;AS[[#This Row],[Age Band Code]]&amp;"; "&amp;S2137&amp;AS[[#This Row],[Sex Code]]</f>
        <v xml:space="preserve">Insurer Code ; Reporting Year ; Insurance Category Code ; Large Provider Entity Code ; Age Band Code ; Sex Code </v>
      </c>
      <c r="N2137" s="345" t="s">
        <v>207</v>
      </c>
      <c r="O2137" s="345" t="s">
        <v>208</v>
      </c>
      <c r="P2137" s="345" t="s">
        <v>209</v>
      </c>
      <c r="Q2137" s="345" t="s">
        <v>210</v>
      </c>
      <c r="R2137" s="345" t="s">
        <v>223</v>
      </c>
      <c r="S2137" s="345" t="s">
        <v>224</v>
      </c>
    </row>
    <row r="2138" spans="1:19" x14ac:dyDescent="0.25">
      <c r="A2138" s="311"/>
      <c r="B2138" s="312"/>
      <c r="C2138" s="312"/>
      <c r="D2138" s="312"/>
      <c r="E2138" s="312"/>
      <c r="F2138" s="312"/>
      <c r="G2138" s="328"/>
      <c r="H2138" s="337"/>
      <c r="I2138" s="334"/>
      <c r="J2138" s="314"/>
      <c r="K2138" s="449"/>
      <c r="M2138" s="349" t="str">
        <f>N2138&amp;AS[[#This Row],[Insurer Code]]&amp;"; "&amp;O2138&amp;AS[[#This Row],[Reporting Year]]&amp;"; "&amp;P2138&amp;AS[[#This Row],[Insurance Category Code]]&amp;"; "&amp;Q2138&amp;AS[[#This Row],[Large Provider Entity Code]]&amp;"; "&amp;R2138&amp;AS[[#This Row],[Age Band Code]]&amp;"; "&amp;S2138&amp;AS[[#This Row],[Sex Code]]</f>
        <v xml:space="preserve">Insurer Code ; Reporting Year ; Insurance Category Code ; Large Provider Entity Code ; Age Band Code ; Sex Code </v>
      </c>
      <c r="N2138" s="345" t="s">
        <v>207</v>
      </c>
      <c r="O2138" s="345" t="s">
        <v>208</v>
      </c>
      <c r="P2138" s="345" t="s">
        <v>209</v>
      </c>
      <c r="Q2138" s="345" t="s">
        <v>210</v>
      </c>
      <c r="R2138" s="345" t="s">
        <v>223</v>
      </c>
      <c r="S2138" s="345" t="s">
        <v>224</v>
      </c>
    </row>
    <row r="2139" spans="1:19" x14ac:dyDescent="0.25">
      <c r="A2139" s="311"/>
      <c r="B2139" s="312"/>
      <c r="C2139" s="312"/>
      <c r="D2139" s="312"/>
      <c r="E2139" s="312"/>
      <c r="F2139" s="312"/>
      <c r="G2139" s="328"/>
      <c r="H2139" s="337"/>
      <c r="I2139" s="334"/>
      <c r="J2139" s="314"/>
      <c r="K2139" s="449"/>
      <c r="M2139" s="349" t="str">
        <f>N2139&amp;AS[[#This Row],[Insurer Code]]&amp;"; "&amp;O2139&amp;AS[[#This Row],[Reporting Year]]&amp;"; "&amp;P2139&amp;AS[[#This Row],[Insurance Category Code]]&amp;"; "&amp;Q2139&amp;AS[[#This Row],[Large Provider Entity Code]]&amp;"; "&amp;R2139&amp;AS[[#This Row],[Age Band Code]]&amp;"; "&amp;S2139&amp;AS[[#This Row],[Sex Code]]</f>
        <v xml:space="preserve">Insurer Code ; Reporting Year ; Insurance Category Code ; Large Provider Entity Code ; Age Band Code ; Sex Code </v>
      </c>
      <c r="N2139" s="345" t="s">
        <v>207</v>
      </c>
      <c r="O2139" s="345" t="s">
        <v>208</v>
      </c>
      <c r="P2139" s="345" t="s">
        <v>209</v>
      </c>
      <c r="Q2139" s="345" t="s">
        <v>210</v>
      </c>
      <c r="R2139" s="345" t="s">
        <v>223</v>
      </c>
      <c r="S2139" s="345" t="s">
        <v>224</v>
      </c>
    </row>
    <row r="2140" spans="1:19" x14ac:dyDescent="0.25">
      <c r="A2140" s="311"/>
      <c r="B2140" s="312"/>
      <c r="C2140" s="312"/>
      <c r="D2140" s="312"/>
      <c r="E2140" s="312"/>
      <c r="F2140" s="312"/>
      <c r="G2140" s="328"/>
      <c r="H2140" s="337"/>
      <c r="I2140" s="334"/>
      <c r="J2140" s="314"/>
      <c r="K2140" s="449"/>
      <c r="M2140" s="349" t="str">
        <f>N2140&amp;AS[[#This Row],[Insurer Code]]&amp;"; "&amp;O2140&amp;AS[[#This Row],[Reporting Year]]&amp;"; "&amp;P2140&amp;AS[[#This Row],[Insurance Category Code]]&amp;"; "&amp;Q2140&amp;AS[[#This Row],[Large Provider Entity Code]]&amp;"; "&amp;R2140&amp;AS[[#This Row],[Age Band Code]]&amp;"; "&amp;S2140&amp;AS[[#This Row],[Sex Code]]</f>
        <v xml:space="preserve">Insurer Code ; Reporting Year ; Insurance Category Code ; Large Provider Entity Code ; Age Band Code ; Sex Code </v>
      </c>
      <c r="N2140" s="345" t="s">
        <v>207</v>
      </c>
      <c r="O2140" s="345" t="s">
        <v>208</v>
      </c>
      <c r="P2140" s="345" t="s">
        <v>209</v>
      </c>
      <c r="Q2140" s="345" t="s">
        <v>210</v>
      </c>
      <c r="R2140" s="345" t="s">
        <v>223</v>
      </c>
      <c r="S2140" s="345" t="s">
        <v>224</v>
      </c>
    </row>
    <row r="2141" spans="1:19" x14ac:dyDescent="0.25">
      <c r="A2141" s="311"/>
      <c r="B2141" s="312"/>
      <c r="C2141" s="312"/>
      <c r="D2141" s="312"/>
      <c r="E2141" s="312"/>
      <c r="F2141" s="312"/>
      <c r="G2141" s="328"/>
      <c r="H2141" s="337"/>
      <c r="I2141" s="334"/>
      <c r="J2141" s="314"/>
      <c r="K2141" s="449"/>
      <c r="M2141" s="349" t="str">
        <f>N2141&amp;AS[[#This Row],[Insurer Code]]&amp;"; "&amp;O2141&amp;AS[[#This Row],[Reporting Year]]&amp;"; "&amp;P2141&amp;AS[[#This Row],[Insurance Category Code]]&amp;"; "&amp;Q2141&amp;AS[[#This Row],[Large Provider Entity Code]]&amp;"; "&amp;R2141&amp;AS[[#This Row],[Age Band Code]]&amp;"; "&amp;S2141&amp;AS[[#This Row],[Sex Code]]</f>
        <v xml:space="preserve">Insurer Code ; Reporting Year ; Insurance Category Code ; Large Provider Entity Code ; Age Band Code ; Sex Code </v>
      </c>
      <c r="N2141" s="345" t="s">
        <v>207</v>
      </c>
      <c r="O2141" s="345" t="s">
        <v>208</v>
      </c>
      <c r="P2141" s="345" t="s">
        <v>209</v>
      </c>
      <c r="Q2141" s="345" t="s">
        <v>210</v>
      </c>
      <c r="R2141" s="345" t="s">
        <v>223</v>
      </c>
      <c r="S2141" s="345" t="s">
        <v>224</v>
      </c>
    </row>
    <row r="2142" spans="1:19" x14ac:dyDescent="0.25">
      <c r="A2142" s="311"/>
      <c r="B2142" s="312"/>
      <c r="C2142" s="312"/>
      <c r="D2142" s="312"/>
      <c r="E2142" s="312"/>
      <c r="F2142" s="312"/>
      <c r="G2142" s="328"/>
      <c r="H2142" s="337"/>
      <c r="I2142" s="334"/>
      <c r="J2142" s="314"/>
      <c r="K2142" s="449"/>
      <c r="M2142" s="349" t="str">
        <f>N2142&amp;AS[[#This Row],[Insurer Code]]&amp;"; "&amp;O2142&amp;AS[[#This Row],[Reporting Year]]&amp;"; "&amp;P2142&amp;AS[[#This Row],[Insurance Category Code]]&amp;"; "&amp;Q2142&amp;AS[[#This Row],[Large Provider Entity Code]]&amp;"; "&amp;R2142&amp;AS[[#This Row],[Age Band Code]]&amp;"; "&amp;S2142&amp;AS[[#This Row],[Sex Code]]</f>
        <v xml:space="preserve">Insurer Code ; Reporting Year ; Insurance Category Code ; Large Provider Entity Code ; Age Band Code ; Sex Code </v>
      </c>
      <c r="N2142" s="345" t="s">
        <v>207</v>
      </c>
      <c r="O2142" s="345" t="s">
        <v>208</v>
      </c>
      <c r="P2142" s="345" t="s">
        <v>209</v>
      </c>
      <c r="Q2142" s="345" t="s">
        <v>210</v>
      </c>
      <c r="R2142" s="345" t="s">
        <v>223</v>
      </c>
      <c r="S2142" s="345" t="s">
        <v>224</v>
      </c>
    </row>
    <row r="2143" spans="1:19" x14ac:dyDescent="0.25">
      <c r="A2143" s="311"/>
      <c r="B2143" s="312"/>
      <c r="C2143" s="312"/>
      <c r="D2143" s="312"/>
      <c r="E2143" s="312"/>
      <c r="F2143" s="312"/>
      <c r="G2143" s="328"/>
      <c r="H2143" s="337"/>
      <c r="I2143" s="334"/>
      <c r="J2143" s="314"/>
      <c r="K2143" s="449"/>
      <c r="M2143" s="349" t="str">
        <f>N2143&amp;AS[[#This Row],[Insurer Code]]&amp;"; "&amp;O2143&amp;AS[[#This Row],[Reporting Year]]&amp;"; "&amp;P2143&amp;AS[[#This Row],[Insurance Category Code]]&amp;"; "&amp;Q2143&amp;AS[[#This Row],[Large Provider Entity Code]]&amp;"; "&amp;R2143&amp;AS[[#This Row],[Age Band Code]]&amp;"; "&amp;S2143&amp;AS[[#This Row],[Sex Code]]</f>
        <v xml:space="preserve">Insurer Code ; Reporting Year ; Insurance Category Code ; Large Provider Entity Code ; Age Band Code ; Sex Code </v>
      </c>
      <c r="N2143" s="345" t="s">
        <v>207</v>
      </c>
      <c r="O2143" s="345" t="s">
        <v>208</v>
      </c>
      <c r="P2143" s="345" t="s">
        <v>209</v>
      </c>
      <c r="Q2143" s="345" t="s">
        <v>210</v>
      </c>
      <c r="R2143" s="345" t="s">
        <v>223</v>
      </c>
      <c r="S2143" s="345" t="s">
        <v>224</v>
      </c>
    </row>
    <row r="2144" spans="1:19" x14ac:dyDescent="0.25">
      <c r="A2144" s="311"/>
      <c r="B2144" s="312"/>
      <c r="C2144" s="312"/>
      <c r="D2144" s="312"/>
      <c r="E2144" s="312"/>
      <c r="F2144" s="312"/>
      <c r="G2144" s="328"/>
      <c r="H2144" s="337"/>
      <c r="I2144" s="334"/>
      <c r="J2144" s="314"/>
      <c r="K2144" s="449"/>
      <c r="M2144" s="349" t="str">
        <f>N2144&amp;AS[[#This Row],[Insurer Code]]&amp;"; "&amp;O2144&amp;AS[[#This Row],[Reporting Year]]&amp;"; "&amp;P2144&amp;AS[[#This Row],[Insurance Category Code]]&amp;"; "&amp;Q2144&amp;AS[[#This Row],[Large Provider Entity Code]]&amp;"; "&amp;R2144&amp;AS[[#This Row],[Age Band Code]]&amp;"; "&amp;S2144&amp;AS[[#This Row],[Sex Code]]</f>
        <v xml:space="preserve">Insurer Code ; Reporting Year ; Insurance Category Code ; Large Provider Entity Code ; Age Band Code ; Sex Code </v>
      </c>
      <c r="N2144" s="345" t="s">
        <v>207</v>
      </c>
      <c r="O2144" s="345" t="s">
        <v>208</v>
      </c>
      <c r="P2144" s="345" t="s">
        <v>209</v>
      </c>
      <c r="Q2144" s="345" t="s">
        <v>210</v>
      </c>
      <c r="R2144" s="345" t="s">
        <v>223</v>
      </c>
      <c r="S2144" s="345" t="s">
        <v>224</v>
      </c>
    </row>
    <row r="2145" spans="1:19" x14ac:dyDescent="0.25">
      <c r="A2145" s="311"/>
      <c r="B2145" s="312"/>
      <c r="C2145" s="312"/>
      <c r="D2145" s="312"/>
      <c r="E2145" s="312"/>
      <c r="F2145" s="312"/>
      <c r="G2145" s="328"/>
      <c r="H2145" s="337"/>
      <c r="I2145" s="334"/>
      <c r="J2145" s="314"/>
      <c r="K2145" s="449"/>
      <c r="M2145" s="349" t="str">
        <f>N2145&amp;AS[[#This Row],[Insurer Code]]&amp;"; "&amp;O2145&amp;AS[[#This Row],[Reporting Year]]&amp;"; "&amp;P2145&amp;AS[[#This Row],[Insurance Category Code]]&amp;"; "&amp;Q2145&amp;AS[[#This Row],[Large Provider Entity Code]]&amp;"; "&amp;R2145&amp;AS[[#This Row],[Age Band Code]]&amp;"; "&amp;S2145&amp;AS[[#This Row],[Sex Code]]</f>
        <v xml:space="preserve">Insurer Code ; Reporting Year ; Insurance Category Code ; Large Provider Entity Code ; Age Band Code ; Sex Code </v>
      </c>
      <c r="N2145" s="345" t="s">
        <v>207</v>
      </c>
      <c r="O2145" s="345" t="s">
        <v>208</v>
      </c>
      <c r="P2145" s="345" t="s">
        <v>209</v>
      </c>
      <c r="Q2145" s="345" t="s">
        <v>210</v>
      </c>
      <c r="R2145" s="345" t="s">
        <v>223</v>
      </c>
      <c r="S2145" s="345" t="s">
        <v>224</v>
      </c>
    </row>
    <row r="2146" spans="1:19" x14ac:dyDescent="0.25">
      <c r="A2146" s="311"/>
      <c r="B2146" s="312"/>
      <c r="C2146" s="312"/>
      <c r="D2146" s="312"/>
      <c r="E2146" s="312"/>
      <c r="F2146" s="312"/>
      <c r="G2146" s="328"/>
      <c r="H2146" s="337"/>
      <c r="I2146" s="334"/>
      <c r="J2146" s="314"/>
      <c r="K2146" s="449"/>
      <c r="M2146" s="349" t="str">
        <f>N2146&amp;AS[[#This Row],[Insurer Code]]&amp;"; "&amp;O2146&amp;AS[[#This Row],[Reporting Year]]&amp;"; "&amp;P2146&amp;AS[[#This Row],[Insurance Category Code]]&amp;"; "&amp;Q2146&amp;AS[[#This Row],[Large Provider Entity Code]]&amp;"; "&amp;R2146&amp;AS[[#This Row],[Age Band Code]]&amp;"; "&amp;S2146&amp;AS[[#This Row],[Sex Code]]</f>
        <v xml:space="preserve">Insurer Code ; Reporting Year ; Insurance Category Code ; Large Provider Entity Code ; Age Band Code ; Sex Code </v>
      </c>
      <c r="N2146" s="345" t="s">
        <v>207</v>
      </c>
      <c r="O2146" s="345" t="s">
        <v>208</v>
      </c>
      <c r="P2146" s="345" t="s">
        <v>209</v>
      </c>
      <c r="Q2146" s="345" t="s">
        <v>210</v>
      </c>
      <c r="R2146" s="345" t="s">
        <v>223</v>
      </c>
      <c r="S2146" s="345" t="s">
        <v>224</v>
      </c>
    </row>
    <row r="2147" spans="1:19" x14ac:dyDescent="0.25">
      <c r="A2147" s="311"/>
      <c r="B2147" s="312"/>
      <c r="C2147" s="312"/>
      <c r="D2147" s="312"/>
      <c r="E2147" s="312"/>
      <c r="F2147" s="312"/>
      <c r="G2147" s="328"/>
      <c r="H2147" s="337"/>
      <c r="I2147" s="334"/>
      <c r="J2147" s="314"/>
      <c r="K2147" s="449"/>
      <c r="M2147" s="349" t="str">
        <f>N2147&amp;AS[[#This Row],[Insurer Code]]&amp;"; "&amp;O2147&amp;AS[[#This Row],[Reporting Year]]&amp;"; "&amp;P2147&amp;AS[[#This Row],[Insurance Category Code]]&amp;"; "&amp;Q2147&amp;AS[[#This Row],[Large Provider Entity Code]]&amp;"; "&amp;R2147&amp;AS[[#This Row],[Age Band Code]]&amp;"; "&amp;S2147&amp;AS[[#This Row],[Sex Code]]</f>
        <v xml:space="preserve">Insurer Code ; Reporting Year ; Insurance Category Code ; Large Provider Entity Code ; Age Band Code ; Sex Code </v>
      </c>
      <c r="N2147" s="345" t="s">
        <v>207</v>
      </c>
      <c r="O2147" s="345" t="s">
        <v>208</v>
      </c>
      <c r="P2147" s="345" t="s">
        <v>209</v>
      </c>
      <c r="Q2147" s="345" t="s">
        <v>210</v>
      </c>
      <c r="R2147" s="345" t="s">
        <v>223</v>
      </c>
      <c r="S2147" s="345" t="s">
        <v>224</v>
      </c>
    </row>
    <row r="2148" spans="1:19" x14ac:dyDescent="0.25">
      <c r="A2148" s="311"/>
      <c r="B2148" s="312"/>
      <c r="C2148" s="312"/>
      <c r="D2148" s="312"/>
      <c r="E2148" s="312"/>
      <c r="F2148" s="312"/>
      <c r="G2148" s="328"/>
      <c r="H2148" s="337"/>
      <c r="I2148" s="334"/>
      <c r="J2148" s="314"/>
      <c r="K2148" s="449"/>
      <c r="M2148" s="349" t="str">
        <f>N2148&amp;AS[[#This Row],[Insurer Code]]&amp;"; "&amp;O2148&amp;AS[[#This Row],[Reporting Year]]&amp;"; "&amp;P2148&amp;AS[[#This Row],[Insurance Category Code]]&amp;"; "&amp;Q2148&amp;AS[[#This Row],[Large Provider Entity Code]]&amp;"; "&amp;R2148&amp;AS[[#This Row],[Age Band Code]]&amp;"; "&amp;S2148&amp;AS[[#This Row],[Sex Code]]</f>
        <v xml:space="preserve">Insurer Code ; Reporting Year ; Insurance Category Code ; Large Provider Entity Code ; Age Band Code ; Sex Code </v>
      </c>
      <c r="N2148" s="345" t="s">
        <v>207</v>
      </c>
      <c r="O2148" s="345" t="s">
        <v>208</v>
      </c>
      <c r="P2148" s="345" t="s">
        <v>209</v>
      </c>
      <c r="Q2148" s="345" t="s">
        <v>210</v>
      </c>
      <c r="R2148" s="345" t="s">
        <v>223</v>
      </c>
      <c r="S2148" s="345" t="s">
        <v>224</v>
      </c>
    </row>
    <row r="2149" spans="1:19" x14ac:dyDescent="0.25">
      <c r="A2149" s="311"/>
      <c r="B2149" s="312"/>
      <c r="C2149" s="312"/>
      <c r="D2149" s="312"/>
      <c r="E2149" s="312"/>
      <c r="F2149" s="312"/>
      <c r="G2149" s="328"/>
      <c r="H2149" s="337"/>
      <c r="I2149" s="334"/>
      <c r="J2149" s="314"/>
      <c r="K2149" s="449"/>
      <c r="M2149" s="349" t="str">
        <f>N2149&amp;AS[[#This Row],[Insurer Code]]&amp;"; "&amp;O2149&amp;AS[[#This Row],[Reporting Year]]&amp;"; "&amp;P2149&amp;AS[[#This Row],[Insurance Category Code]]&amp;"; "&amp;Q2149&amp;AS[[#This Row],[Large Provider Entity Code]]&amp;"; "&amp;R2149&amp;AS[[#This Row],[Age Band Code]]&amp;"; "&amp;S2149&amp;AS[[#This Row],[Sex Code]]</f>
        <v xml:space="preserve">Insurer Code ; Reporting Year ; Insurance Category Code ; Large Provider Entity Code ; Age Band Code ; Sex Code </v>
      </c>
      <c r="N2149" s="345" t="s">
        <v>207</v>
      </c>
      <c r="O2149" s="345" t="s">
        <v>208</v>
      </c>
      <c r="P2149" s="345" t="s">
        <v>209</v>
      </c>
      <c r="Q2149" s="345" t="s">
        <v>210</v>
      </c>
      <c r="R2149" s="345" t="s">
        <v>223</v>
      </c>
      <c r="S2149" s="345" t="s">
        <v>224</v>
      </c>
    </row>
    <row r="2150" spans="1:19" x14ac:dyDescent="0.25">
      <c r="A2150" s="311"/>
      <c r="B2150" s="312"/>
      <c r="C2150" s="312"/>
      <c r="D2150" s="312"/>
      <c r="E2150" s="312"/>
      <c r="F2150" s="312"/>
      <c r="G2150" s="328"/>
      <c r="H2150" s="337"/>
      <c r="I2150" s="334"/>
      <c r="J2150" s="314"/>
      <c r="K2150" s="449"/>
      <c r="M2150" s="349" t="str">
        <f>N2150&amp;AS[[#This Row],[Insurer Code]]&amp;"; "&amp;O2150&amp;AS[[#This Row],[Reporting Year]]&amp;"; "&amp;P2150&amp;AS[[#This Row],[Insurance Category Code]]&amp;"; "&amp;Q2150&amp;AS[[#This Row],[Large Provider Entity Code]]&amp;"; "&amp;R2150&amp;AS[[#This Row],[Age Band Code]]&amp;"; "&amp;S2150&amp;AS[[#This Row],[Sex Code]]</f>
        <v xml:space="preserve">Insurer Code ; Reporting Year ; Insurance Category Code ; Large Provider Entity Code ; Age Band Code ; Sex Code </v>
      </c>
      <c r="N2150" s="345" t="s">
        <v>207</v>
      </c>
      <c r="O2150" s="345" t="s">
        <v>208</v>
      </c>
      <c r="P2150" s="345" t="s">
        <v>209</v>
      </c>
      <c r="Q2150" s="345" t="s">
        <v>210</v>
      </c>
      <c r="R2150" s="345" t="s">
        <v>223</v>
      </c>
      <c r="S2150" s="345" t="s">
        <v>224</v>
      </c>
    </row>
    <row r="2151" spans="1:19" x14ac:dyDescent="0.25">
      <c r="A2151" s="311"/>
      <c r="B2151" s="312"/>
      <c r="C2151" s="312"/>
      <c r="D2151" s="312"/>
      <c r="E2151" s="312"/>
      <c r="F2151" s="312"/>
      <c r="G2151" s="328"/>
      <c r="H2151" s="337"/>
      <c r="I2151" s="334"/>
      <c r="J2151" s="314"/>
      <c r="K2151" s="449"/>
      <c r="M2151" s="349" t="str">
        <f>N2151&amp;AS[[#This Row],[Insurer Code]]&amp;"; "&amp;O2151&amp;AS[[#This Row],[Reporting Year]]&amp;"; "&amp;P2151&amp;AS[[#This Row],[Insurance Category Code]]&amp;"; "&amp;Q2151&amp;AS[[#This Row],[Large Provider Entity Code]]&amp;"; "&amp;R2151&amp;AS[[#This Row],[Age Band Code]]&amp;"; "&amp;S2151&amp;AS[[#This Row],[Sex Code]]</f>
        <v xml:space="preserve">Insurer Code ; Reporting Year ; Insurance Category Code ; Large Provider Entity Code ; Age Band Code ; Sex Code </v>
      </c>
      <c r="N2151" s="345" t="s">
        <v>207</v>
      </c>
      <c r="O2151" s="345" t="s">
        <v>208</v>
      </c>
      <c r="P2151" s="345" t="s">
        <v>209</v>
      </c>
      <c r="Q2151" s="345" t="s">
        <v>210</v>
      </c>
      <c r="R2151" s="345" t="s">
        <v>223</v>
      </c>
      <c r="S2151" s="345" t="s">
        <v>224</v>
      </c>
    </row>
    <row r="2152" spans="1:19" x14ac:dyDescent="0.25">
      <c r="A2152" s="311"/>
      <c r="B2152" s="312"/>
      <c r="C2152" s="312"/>
      <c r="D2152" s="312"/>
      <c r="E2152" s="312"/>
      <c r="F2152" s="312"/>
      <c r="G2152" s="328"/>
      <c r="H2152" s="337"/>
      <c r="I2152" s="334"/>
      <c r="J2152" s="314"/>
      <c r="K2152" s="449"/>
      <c r="M2152" s="349" t="str">
        <f>N2152&amp;AS[[#This Row],[Insurer Code]]&amp;"; "&amp;O2152&amp;AS[[#This Row],[Reporting Year]]&amp;"; "&amp;P2152&amp;AS[[#This Row],[Insurance Category Code]]&amp;"; "&amp;Q2152&amp;AS[[#This Row],[Large Provider Entity Code]]&amp;"; "&amp;R2152&amp;AS[[#This Row],[Age Band Code]]&amp;"; "&amp;S2152&amp;AS[[#This Row],[Sex Code]]</f>
        <v xml:space="preserve">Insurer Code ; Reporting Year ; Insurance Category Code ; Large Provider Entity Code ; Age Band Code ; Sex Code </v>
      </c>
      <c r="N2152" s="345" t="s">
        <v>207</v>
      </c>
      <c r="O2152" s="345" t="s">
        <v>208</v>
      </c>
      <c r="P2152" s="345" t="s">
        <v>209</v>
      </c>
      <c r="Q2152" s="345" t="s">
        <v>210</v>
      </c>
      <c r="R2152" s="345" t="s">
        <v>223</v>
      </c>
      <c r="S2152" s="345" t="s">
        <v>224</v>
      </c>
    </row>
    <row r="2153" spans="1:19" x14ac:dyDescent="0.25">
      <c r="A2153" s="311"/>
      <c r="B2153" s="312"/>
      <c r="C2153" s="312"/>
      <c r="D2153" s="312"/>
      <c r="E2153" s="312"/>
      <c r="F2153" s="312"/>
      <c r="G2153" s="328"/>
      <c r="H2153" s="337"/>
      <c r="I2153" s="334"/>
      <c r="J2153" s="314"/>
      <c r="K2153" s="449"/>
      <c r="M2153" s="349" t="str">
        <f>N2153&amp;AS[[#This Row],[Insurer Code]]&amp;"; "&amp;O2153&amp;AS[[#This Row],[Reporting Year]]&amp;"; "&amp;P2153&amp;AS[[#This Row],[Insurance Category Code]]&amp;"; "&amp;Q2153&amp;AS[[#This Row],[Large Provider Entity Code]]&amp;"; "&amp;R2153&amp;AS[[#This Row],[Age Band Code]]&amp;"; "&amp;S2153&amp;AS[[#This Row],[Sex Code]]</f>
        <v xml:space="preserve">Insurer Code ; Reporting Year ; Insurance Category Code ; Large Provider Entity Code ; Age Band Code ; Sex Code </v>
      </c>
      <c r="N2153" s="345" t="s">
        <v>207</v>
      </c>
      <c r="O2153" s="345" t="s">
        <v>208</v>
      </c>
      <c r="P2153" s="345" t="s">
        <v>209</v>
      </c>
      <c r="Q2153" s="345" t="s">
        <v>210</v>
      </c>
      <c r="R2153" s="345" t="s">
        <v>223</v>
      </c>
      <c r="S2153" s="345" t="s">
        <v>224</v>
      </c>
    </row>
    <row r="2154" spans="1:19" x14ac:dyDescent="0.25">
      <c r="A2154" s="311"/>
      <c r="B2154" s="312"/>
      <c r="C2154" s="312"/>
      <c r="D2154" s="312"/>
      <c r="E2154" s="312"/>
      <c r="F2154" s="312"/>
      <c r="G2154" s="328"/>
      <c r="H2154" s="337"/>
      <c r="I2154" s="334"/>
      <c r="J2154" s="314"/>
      <c r="K2154" s="449"/>
      <c r="M2154" s="349" t="str">
        <f>N2154&amp;AS[[#This Row],[Insurer Code]]&amp;"; "&amp;O2154&amp;AS[[#This Row],[Reporting Year]]&amp;"; "&amp;P2154&amp;AS[[#This Row],[Insurance Category Code]]&amp;"; "&amp;Q2154&amp;AS[[#This Row],[Large Provider Entity Code]]&amp;"; "&amp;R2154&amp;AS[[#This Row],[Age Band Code]]&amp;"; "&amp;S2154&amp;AS[[#This Row],[Sex Code]]</f>
        <v xml:space="preserve">Insurer Code ; Reporting Year ; Insurance Category Code ; Large Provider Entity Code ; Age Band Code ; Sex Code </v>
      </c>
      <c r="N2154" s="345" t="s">
        <v>207</v>
      </c>
      <c r="O2154" s="345" t="s">
        <v>208</v>
      </c>
      <c r="P2154" s="345" t="s">
        <v>209</v>
      </c>
      <c r="Q2154" s="345" t="s">
        <v>210</v>
      </c>
      <c r="R2154" s="345" t="s">
        <v>223</v>
      </c>
      <c r="S2154" s="345" t="s">
        <v>224</v>
      </c>
    </row>
    <row r="2155" spans="1:19" x14ac:dyDescent="0.25">
      <c r="A2155" s="311"/>
      <c r="B2155" s="312"/>
      <c r="C2155" s="312"/>
      <c r="D2155" s="312"/>
      <c r="E2155" s="312"/>
      <c r="F2155" s="312"/>
      <c r="G2155" s="328"/>
      <c r="H2155" s="337"/>
      <c r="I2155" s="334"/>
      <c r="J2155" s="314"/>
      <c r="K2155" s="449"/>
      <c r="M2155" s="349" t="str">
        <f>N2155&amp;AS[[#This Row],[Insurer Code]]&amp;"; "&amp;O2155&amp;AS[[#This Row],[Reporting Year]]&amp;"; "&amp;P2155&amp;AS[[#This Row],[Insurance Category Code]]&amp;"; "&amp;Q2155&amp;AS[[#This Row],[Large Provider Entity Code]]&amp;"; "&amp;R2155&amp;AS[[#This Row],[Age Band Code]]&amp;"; "&amp;S2155&amp;AS[[#This Row],[Sex Code]]</f>
        <v xml:space="preserve">Insurer Code ; Reporting Year ; Insurance Category Code ; Large Provider Entity Code ; Age Band Code ; Sex Code </v>
      </c>
      <c r="N2155" s="345" t="s">
        <v>207</v>
      </c>
      <c r="O2155" s="345" t="s">
        <v>208</v>
      </c>
      <c r="P2155" s="345" t="s">
        <v>209</v>
      </c>
      <c r="Q2155" s="345" t="s">
        <v>210</v>
      </c>
      <c r="R2155" s="345" t="s">
        <v>223</v>
      </c>
      <c r="S2155" s="345" t="s">
        <v>224</v>
      </c>
    </row>
    <row r="2156" spans="1:19" x14ac:dyDescent="0.25">
      <c r="A2156" s="311"/>
      <c r="B2156" s="312"/>
      <c r="C2156" s="312"/>
      <c r="D2156" s="312"/>
      <c r="E2156" s="312"/>
      <c r="F2156" s="312"/>
      <c r="G2156" s="328"/>
      <c r="H2156" s="337"/>
      <c r="I2156" s="334"/>
      <c r="J2156" s="314"/>
      <c r="K2156" s="449"/>
      <c r="M2156" s="349" t="str">
        <f>N2156&amp;AS[[#This Row],[Insurer Code]]&amp;"; "&amp;O2156&amp;AS[[#This Row],[Reporting Year]]&amp;"; "&amp;P2156&amp;AS[[#This Row],[Insurance Category Code]]&amp;"; "&amp;Q2156&amp;AS[[#This Row],[Large Provider Entity Code]]&amp;"; "&amp;R2156&amp;AS[[#This Row],[Age Band Code]]&amp;"; "&amp;S2156&amp;AS[[#This Row],[Sex Code]]</f>
        <v xml:space="preserve">Insurer Code ; Reporting Year ; Insurance Category Code ; Large Provider Entity Code ; Age Band Code ; Sex Code </v>
      </c>
      <c r="N2156" s="345" t="s">
        <v>207</v>
      </c>
      <c r="O2156" s="345" t="s">
        <v>208</v>
      </c>
      <c r="P2156" s="345" t="s">
        <v>209</v>
      </c>
      <c r="Q2156" s="345" t="s">
        <v>210</v>
      </c>
      <c r="R2156" s="345" t="s">
        <v>223</v>
      </c>
      <c r="S2156" s="345" t="s">
        <v>224</v>
      </c>
    </row>
    <row r="2157" spans="1:19" x14ac:dyDescent="0.25">
      <c r="A2157" s="311"/>
      <c r="B2157" s="312"/>
      <c r="C2157" s="312"/>
      <c r="D2157" s="312"/>
      <c r="E2157" s="312"/>
      <c r="F2157" s="312"/>
      <c r="G2157" s="328"/>
      <c r="H2157" s="337"/>
      <c r="I2157" s="334"/>
      <c r="J2157" s="314"/>
      <c r="K2157" s="449"/>
      <c r="M2157" s="349" t="str">
        <f>N2157&amp;AS[[#This Row],[Insurer Code]]&amp;"; "&amp;O2157&amp;AS[[#This Row],[Reporting Year]]&amp;"; "&amp;P2157&amp;AS[[#This Row],[Insurance Category Code]]&amp;"; "&amp;Q2157&amp;AS[[#This Row],[Large Provider Entity Code]]&amp;"; "&amp;R2157&amp;AS[[#This Row],[Age Band Code]]&amp;"; "&amp;S2157&amp;AS[[#This Row],[Sex Code]]</f>
        <v xml:space="preserve">Insurer Code ; Reporting Year ; Insurance Category Code ; Large Provider Entity Code ; Age Band Code ; Sex Code </v>
      </c>
      <c r="N2157" s="345" t="s">
        <v>207</v>
      </c>
      <c r="O2157" s="345" t="s">
        <v>208</v>
      </c>
      <c r="P2157" s="345" t="s">
        <v>209</v>
      </c>
      <c r="Q2157" s="345" t="s">
        <v>210</v>
      </c>
      <c r="R2157" s="345" t="s">
        <v>223</v>
      </c>
      <c r="S2157" s="345" t="s">
        <v>224</v>
      </c>
    </row>
    <row r="2158" spans="1:19" x14ac:dyDescent="0.25">
      <c r="A2158" s="311"/>
      <c r="B2158" s="312"/>
      <c r="C2158" s="312"/>
      <c r="D2158" s="312"/>
      <c r="E2158" s="312"/>
      <c r="F2158" s="312"/>
      <c r="G2158" s="328"/>
      <c r="H2158" s="337"/>
      <c r="I2158" s="334"/>
      <c r="J2158" s="314"/>
      <c r="K2158" s="449"/>
      <c r="M2158" s="349" t="str">
        <f>N2158&amp;AS[[#This Row],[Insurer Code]]&amp;"; "&amp;O2158&amp;AS[[#This Row],[Reporting Year]]&amp;"; "&amp;P2158&amp;AS[[#This Row],[Insurance Category Code]]&amp;"; "&amp;Q2158&amp;AS[[#This Row],[Large Provider Entity Code]]&amp;"; "&amp;R2158&amp;AS[[#This Row],[Age Band Code]]&amp;"; "&amp;S2158&amp;AS[[#This Row],[Sex Code]]</f>
        <v xml:space="preserve">Insurer Code ; Reporting Year ; Insurance Category Code ; Large Provider Entity Code ; Age Band Code ; Sex Code </v>
      </c>
      <c r="N2158" s="345" t="s">
        <v>207</v>
      </c>
      <c r="O2158" s="345" t="s">
        <v>208</v>
      </c>
      <c r="P2158" s="345" t="s">
        <v>209</v>
      </c>
      <c r="Q2158" s="345" t="s">
        <v>210</v>
      </c>
      <c r="R2158" s="345" t="s">
        <v>223</v>
      </c>
      <c r="S2158" s="345" t="s">
        <v>224</v>
      </c>
    </row>
    <row r="2159" spans="1:19" x14ac:dyDescent="0.25">
      <c r="A2159" s="311"/>
      <c r="B2159" s="312"/>
      <c r="C2159" s="312"/>
      <c r="D2159" s="312"/>
      <c r="E2159" s="312"/>
      <c r="F2159" s="312"/>
      <c r="G2159" s="328"/>
      <c r="H2159" s="337"/>
      <c r="I2159" s="334"/>
      <c r="J2159" s="314"/>
      <c r="K2159" s="449"/>
      <c r="M2159" s="349" t="str">
        <f>N2159&amp;AS[[#This Row],[Insurer Code]]&amp;"; "&amp;O2159&amp;AS[[#This Row],[Reporting Year]]&amp;"; "&amp;P2159&amp;AS[[#This Row],[Insurance Category Code]]&amp;"; "&amp;Q2159&amp;AS[[#This Row],[Large Provider Entity Code]]&amp;"; "&amp;R2159&amp;AS[[#This Row],[Age Band Code]]&amp;"; "&amp;S2159&amp;AS[[#This Row],[Sex Code]]</f>
        <v xml:space="preserve">Insurer Code ; Reporting Year ; Insurance Category Code ; Large Provider Entity Code ; Age Band Code ; Sex Code </v>
      </c>
      <c r="N2159" s="345" t="s">
        <v>207</v>
      </c>
      <c r="O2159" s="345" t="s">
        <v>208</v>
      </c>
      <c r="P2159" s="345" t="s">
        <v>209</v>
      </c>
      <c r="Q2159" s="345" t="s">
        <v>210</v>
      </c>
      <c r="R2159" s="345" t="s">
        <v>223</v>
      </c>
      <c r="S2159" s="345" t="s">
        <v>224</v>
      </c>
    </row>
    <row r="2160" spans="1:19" x14ac:dyDescent="0.25">
      <c r="A2160" s="311"/>
      <c r="B2160" s="312"/>
      <c r="C2160" s="312"/>
      <c r="D2160" s="312"/>
      <c r="E2160" s="312"/>
      <c r="F2160" s="312"/>
      <c r="G2160" s="328"/>
      <c r="H2160" s="337"/>
      <c r="I2160" s="334"/>
      <c r="J2160" s="314"/>
      <c r="K2160" s="449"/>
      <c r="M2160" s="349" t="str">
        <f>N2160&amp;AS[[#This Row],[Insurer Code]]&amp;"; "&amp;O2160&amp;AS[[#This Row],[Reporting Year]]&amp;"; "&amp;P2160&amp;AS[[#This Row],[Insurance Category Code]]&amp;"; "&amp;Q2160&amp;AS[[#This Row],[Large Provider Entity Code]]&amp;"; "&amp;R2160&amp;AS[[#This Row],[Age Band Code]]&amp;"; "&amp;S2160&amp;AS[[#This Row],[Sex Code]]</f>
        <v xml:space="preserve">Insurer Code ; Reporting Year ; Insurance Category Code ; Large Provider Entity Code ; Age Band Code ; Sex Code </v>
      </c>
      <c r="N2160" s="345" t="s">
        <v>207</v>
      </c>
      <c r="O2160" s="345" t="s">
        <v>208</v>
      </c>
      <c r="P2160" s="345" t="s">
        <v>209</v>
      </c>
      <c r="Q2160" s="345" t="s">
        <v>210</v>
      </c>
      <c r="R2160" s="345" t="s">
        <v>223</v>
      </c>
      <c r="S2160" s="345" t="s">
        <v>224</v>
      </c>
    </row>
    <row r="2161" spans="1:19" x14ac:dyDescent="0.25">
      <c r="A2161" s="311"/>
      <c r="B2161" s="312"/>
      <c r="C2161" s="312"/>
      <c r="D2161" s="312"/>
      <c r="E2161" s="312"/>
      <c r="F2161" s="312"/>
      <c r="G2161" s="328"/>
      <c r="H2161" s="337"/>
      <c r="I2161" s="334"/>
      <c r="J2161" s="314"/>
      <c r="K2161" s="449"/>
      <c r="M2161" s="349" t="str">
        <f>N2161&amp;AS[[#This Row],[Insurer Code]]&amp;"; "&amp;O2161&amp;AS[[#This Row],[Reporting Year]]&amp;"; "&amp;P2161&amp;AS[[#This Row],[Insurance Category Code]]&amp;"; "&amp;Q2161&amp;AS[[#This Row],[Large Provider Entity Code]]&amp;"; "&amp;R2161&amp;AS[[#This Row],[Age Band Code]]&amp;"; "&amp;S2161&amp;AS[[#This Row],[Sex Code]]</f>
        <v xml:space="preserve">Insurer Code ; Reporting Year ; Insurance Category Code ; Large Provider Entity Code ; Age Band Code ; Sex Code </v>
      </c>
      <c r="N2161" s="345" t="s">
        <v>207</v>
      </c>
      <c r="O2161" s="345" t="s">
        <v>208</v>
      </c>
      <c r="P2161" s="345" t="s">
        <v>209</v>
      </c>
      <c r="Q2161" s="345" t="s">
        <v>210</v>
      </c>
      <c r="R2161" s="345" t="s">
        <v>223</v>
      </c>
      <c r="S2161" s="345" t="s">
        <v>224</v>
      </c>
    </row>
    <row r="2162" spans="1:19" x14ac:dyDescent="0.25">
      <c r="A2162" s="311"/>
      <c r="B2162" s="312"/>
      <c r="C2162" s="312"/>
      <c r="D2162" s="312"/>
      <c r="E2162" s="312"/>
      <c r="F2162" s="312"/>
      <c r="G2162" s="328"/>
      <c r="H2162" s="337"/>
      <c r="I2162" s="334"/>
      <c r="J2162" s="314"/>
      <c r="K2162" s="449"/>
      <c r="M2162" s="349" t="str">
        <f>N2162&amp;AS[[#This Row],[Insurer Code]]&amp;"; "&amp;O2162&amp;AS[[#This Row],[Reporting Year]]&amp;"; "&amp;P2162&amp;AS[[#This Row],[Insurance Category Code]]&amp;"; "&amp;Q2162&amp;AS[[#This Row],[Large Provider Entity Code]]&amp;"; "&amp;R2162&amp;AS[[#This Row],[Age Band Code]]&amp;"; "&amp;S2162&amp;AS[[#This Row],[Sex Code]]</f>
        <v xml:space="preserve">Insurer Code ; Reporting Year ; Insurance Category Code ; Large Provider Entity Code ; Age Band Code ; Sex Code </v>
      </c>
      <c r="N2162" s="345" t="s">
        <v>207</v>
      </c>
      <c r="O2162" s="345" t="s">
        <v>208</v>
      </c>
      <c r="P2162" s="345" t="s">
        <v>209</v>
      </c>
      <c r="Q2162" s="345" t="s">
        <v>210</v>
      </c>
      <c r="R2162" s="345" t="s">
        <v>223</v>
      </c>
      <c r="S2162" s="345" t="s">
        <v>224</v>
      </c>
    </row>
    <row r="2163" spans="1:19" x14ac:dyDescent="0.25">
      <c r="A2163" s="311"/>
      <c r="B2163" s="312"/>
      <c r="C2163" s="312"/>
      <c r="D2163" s="312"/>
      <c r="E2163" s="312"/>
      <c r="F2163" s="312"/>
      <c r="G2163" s="328"/>
      <c r="H2163" s="337"/>
      <c r="I2163" s="334"/>
      <c r="J2163" s="314"/>
      <c r="K2163" s="449"/>
      <c r="M2163" s="349" t="str">
        <f>N2163&amp;AS[[#This Row],[Insurer Code]]&amp;"; "&amp;O2163&amp;AS[[#This Row],[Reporting Year]]&amp;"; "&amp;P2163&amp;AS[[#This Row],[Insurance Category Code]]&amp;"; "&amp;Q2163&amp;AS[[#This Row],[Large Provider Entity Code]]&amp;"; "&amp;R2163&amp;AS[[#This Row],[Age Band Code]]&amp;"; "&amp;S2163&amp;AS[[#This Row],[Sex Code]]</f>
        <v xml:space="preserve">Insurer Code ; Reporting Year ; Insurance Category Code ; Large Provider Entity Code ; Age Band Code ; Sex Code </v>
      </c>
      <c r="N2163" s="345" t="s">
        <v>207</v>
      </c>
      <c r="O2163" s="345" t="s">
        <v>208</v>
      </c>
      <c r="P2163" s="345" t="s">
        <v>209</v>
      </c>
      <c r="Q2163" s="345" t="s">
        <v>210</v>
      </c>
      <c r="R2163" s="345" t="s">
        <v>223</v>
      </c>
      <c r="S2163" s="345" t="s">
        <v>224</v>
      </c>
    </row>
    <row r="2164" spans="1:19" x14ac:dyDescent="0.25">
      <c r="A2164" s="311"/>
      <c r="B2164" s="312"/>
      <c r="C2164" s="312"/>
      <c r="D2164" s="312"/>
      <c r="E2164" s="312"/>
      <c r="F2164" s="312"/>
      <c r="G2164" s="328"/>
      <c r="H2164" s="337"/>
      <c r="I2164" s="334"/>
      <c r="J2164" s="314"/>
      <c r="K2164" s="449"/>
      <c r="M2164" s="349" t="str">
        <f>N2164&amp;AS[[#This Row],[Insurer Code]]&amp;"; "&amp;O2164&amp;AS[[#This Row],[Reporting Year]]&amp;"; "&amp;P2164&amp;AS[[#This Row],[Insurance Category Code]]&amp;"; "&amp;Q2164&amp;AS[[#This Row],[Large Provider Entity Code]]&amp;"; "&amp;R2164&amp;AS[[#This Row],[Age Band Code]]&amp;"; "&amp;S2164&amp;AS[[#This Row],[Sex Code]]</f>
        <v xml:space="preserve">Insurer Code ; Reporting Year ; Insurance Category Code ; Large Provider Entity Code ; Age Band Code ; Sex Code </v>
      </c>
      <c r="N2164" s="345" t="s">
        <v>207</v>
      </c>
      <c r="O2164" s="345" t="s">
        <v>208</v>
      </c>
      <c r="P2164" s="345" t="s">
        <v>209</v>
      </c>
      <c r="Q2164" s="345" t="s">
        <v>210</v>
      </c>
      <c r="R2164" s="345" t="s">
        <v>223</v>
      </c>
      <c r="S2164" s="345" t="s">
        <v>224</v>
      </c>
    </row>
    <row r="2165" spans="1:19" x14ac:dyDescent="0.25">
      <c r="A2165" s="311"/>
      <c r="B2165" s="312"/>
      <c r="C2165" s="312"/>
      <c r="D2165" s="312"/>
      <c r="E2165" s="312"/>
      <c r="F2165" s="312"/>
      <c r="G2165" s="328"/>
      <c r="H2165" s="337"/>
      <c r="I2165" s="334"/>
      <c r="J2165" s="314"/>
      <c r="K2165" s="449"/>
      <c r="M2165" s="349" t="str">
        <f>N2165&amp;AS[[#This Row],[Insurer Code]]&amp;"; "&amp;O2165&amp;AS[[#This Row],[Reporting Year]]&amp;"; "&amp;P2165&amp;AS[[#This Row],[Insurance Category Code]]&amp;"; "&amp;Q2165&amp;AS[[#This Row],[Large Provider Entity Code]]&amp;"; "&amp;R2165&amp;AS[[#This Row],[Age Band Code]]&amp;"; "&amp;S2165&amp;AS[[#This Row],[Sex Code]]</f>
        <v xml:space="preserve">Insurer Code ; Reporting Year ; Insurance Category Code ; Large Provider Entity Code ; Age Band Code ; Sex Code </v>
      </c>
      <c r="N2165" s="345" t="s">
        <v>207</v>
      </c>
      <c r="O2165" s="345" t="s">
        <v>208</v>
      </c>
      <c r="P2165" s="345" t="s">
        <v>209</v>
      </c>
      <c r="Q2165" s="345" t="s">
        <v>210</v>
      </c>
      <c r="R2165" s="345" t="s">
        <v>223</v>
      </c>
      <c r="S2165" s="345" t="s">
        <v>224</v>
      </c>
    </row>
    <row r="2166" spans="1:19" x14ac:dyDescent="0.25">
      <c r="A2166" s="311"/>
      <c r="B2166" s="312"/>
      <c r="C2166" s="312"/>
      <c r="D2166" s="312"/>
      <c r="E2166" s="312"/>
      <c r="F2166" s="312"/>
      <c r="G2166" s="328"/>
      <c r="H2166" s="337"/>
      <c r="I2166" s="334"/>
      <c r="J2166" s="314"/>
      <c r="K2166" s="449"/>
      <c r="M2166" s="349" t="str">
        <f>N2166&amp;AS[[#This Row],[Insurer Code]]&amp;"; "&amp;O2166&amp;AS[[#This Row],[Reporting Year]]&amp;"; "&amp;P2166&amp;AS[[#This Row],[Insurance Category Code]]&amp;"; "&amp;Q2166&amp;AS[[#This Row],[Large Provider Entity Code]]&amp;"; "&amp;R2166&amp;AS[[#This Row],[Age Band Code]]&amp;"; "&amp;S2166&amp;AS[[#This Row],[Sex Code]]</f>
        <v xml:space="preserve">Insurer Code ; Reporting Year ; Insurance Category Code ; Large Provider Entity Code ; Age Band Code ; Sex Code </v>
      </c>
      <c r="N2166" s="345" t="s">
        <v>207</v>
      </c>
      <c r="O2166" s="345" t="s">
        <v>208</v>
      </c>
      <c r="P2166" s="345" t="s">
        <v>209</v>
      </c>
      <c r="Q2166" s="345" t="s">
        <v>210</v>
      </c>
      <c r="R2166" s="345" t="s">
        <v>223</v>
      </c>
      <c r="S2166" s="345" t="s">
        <v>224</v>
      </c>
    </row>
    <row r="2167" spans="1:19" x14ac:dyDescent="0.25">
      <c r="A2167" s="311"/>
      <c r="B2167" s="312"/>
      <c r="C2167" s="312"/>
      <c r="D2167" s="312"/>
      <c r="E2167" s="312"/>
      <c r="F2167" s="312"/>
      <c r="G2167" s="328"/>
      <c r="H2167" s="337"/>
      <c r="I2167" s="334"/>
      <c r="J2167" s="314"/>
      <c r="K2167" s="449"/>
      <c r="M2167" s="349" t="str">
        <f>N2167&amp;AS[[#This Row],[Insurer Code]]&amp;"; "&amp;O2167&amp;AS[[#This Row],[Reporting Year]]&amp;"; "&amp;P2167&amp;AS[[#This Row],[Insurance Category Code]]&amp;"; "&amp;Q2167&amp;AS[[#This Row],[Large Provider Entity Code]]&amp;"; "&amp;R2167&amp;AS[[#This Row],[Age Band Code]]&amp;"; "&amp;S2167&amp;AS[[#This Row],[Sex Code]]</f>
        <v xml:space="preserve">Insurer Code ; Reporting Year ; Insurance Category Code ; Large Provider Entity Code ; Age Band Code ; Sex Code </v>
      </c>
      <c r="N2167" s="345" t="s">
        <v>207</v>
      </c>
      <c r="O2167" s="345" t="s">
        <v>208</v>
      </c>
      <c r="P2167" s="345" t="s">
        <v>209</v>
      </c>
      <c r="Q2167" s="345" t="s">
        <v>210</v>
      </c>
      <c r="R2167" s="345" t="s">
        <v>223</v>
      </c>
      <c r="S2167" s="345" t="s">
        <v>224</v>
      </c>
    </row>
    <row r="2168" spans="1:19" x14ac:dyDescent="0.25">
      <c r="A2168" s="311"/>
      <c r="B2168" s="312"/>
      <c r="C2168" s="312"/>
      <c r="D2168" s="312"/>
      <c r="E2168" s="312"/>
      <c r="F2168" s="312"/>
      <c r="G2168" s="328"/>
      <c r="H2168" s="337"/>
      <c r="I2168" s="334"/>
      <c r="J2168" s="314"/>
      <c r="K2168" s="449"/>
      <c r="M2168" s="349" t="str">
        <f>N2168&amp;AS[[#This Row],[Insurer Code]]&amp;"; "&amp;O2168&amp;AS[[#This Row],[Reporting Year]]&amp;"; "&amp;P2168&amp;AS[[#This Row],[Insurance Category Code]]&amp;"; "&amp;Q2168&amp;AS[[#This Row],[Large Provider Entity Code]]&amp;"; "&amp;R2168&amp;AS[[#This Row],[Age Band Code]]&amp;"; "&amp;S2168&amp;AS[[#This Row],[Sex Code]]</f>
        <v xml:space="preserve">Insurer Code ; Reporting Year ; Insurance Category Code ; Large Provider Entity Code ; Age Band Code ; Sex Code </v>
      </c>
      <c r="N2168" s="345" t="s">
        <v>207</v>
      </c>
      <c r="O2168" s="345" t="s">
        <v>208</v>
      </c>
      <c r="P2168" s="345" t="s">
        <v>209</v>
      </c>
      <c r="Q2168" s="345" t="s">
        <v>210</v>
      </c>
      <c r="R2168" s="345" t="s">
        <v>223</v>
      </c>
      <c r="S2168" s="345" t="s">
        <v>224</v>
      </c>
    </row>
    <row r="2169" spans="1:19" x14ac:dyDescent="0.25">
      <c r="A2169" s="311"/>
      <c r="B2169" s="312"/>
      <c r="C2169" s="312"/>
      <c r="D2169" s="312"/>
      <c r="E2169" s="312"/>
      <c r="F2169" s="312"/>
      <c r="G2169" s="328"/>
      <c r="H2169" s="337"/>
      <c r="I2169" s="334"/>
      <c r="J2169" s="314"/>
      <c r="K2169" s="449"/>
      <c r="M2169" s="349" t="str">
        <f>N2169&amp;AS[[#This Row],[Insurer Code]]&amp;"; "&amp;O2169&amp;AS[[#This Row],[Reporting Year]]&amp;"; "&amp;P2169&amp;AS[[#This Row],[Insurance Category Code]]&amp;"; "&amp;Q2169&amp;AS[[#This Row],[Large Provider Entity Code]]&amp;"; "&amp;R2169&amp;AS[[#This Row],[Age Band Code]]&amp;"; "&amp;S2169&amp;AS[[#This Row],[Sex Code]]</f>
        <v xml:space="preserve">Insurer Code ; Reporting Year ; Insurance Category Code ; Large Provider Entity Code ; Age Band Code ; Sex Code </v>
      </c>
      <c r="N2169" s="345" t="s">
        <v>207</v>
      </c>
      <c r="O2169" s="345" t="s">
        <v>208</v>
      </c>
      <c r="P2169" s="345" t="s">
        <v>209</v>
      </c>
      <c r="Q2169" s="345" t="s">
        <v>210</v>
      </c>
      <c r="R2169" s="345" t="s">
        <v>223</v>
      </c>
      <c r="S2169" s="345" t="s">
        <v>224</v>
      </c>
    </row>
    <row r="2170" spans="1:19" x14ac:dyDescent="0.25">
      <c r="A2170" s="311"/>
      <c r="B2170" s="312"/>
      <c r="C2170" s="312"/>
      <c r="D2170" s="312"/>
      <c r="E2170" s="312"/>
      <c r="F2170" s="312"/>
      <c r="G2170" s="328"/>
      <c r="H2170" s="337"/>
      <c r="I2170" s="334"/>
      <c r="J2170" s="314"/>
      <c r="K2170" s="449"/>
      <c r="M2170" s="349" t="str">
        <f>N2170&amp;AS[[#This Row],[Insurer Code]]&amp;"; "&amp;O2170&amp;AS[[#This Row],[Reporting Year]]&amp;"; "&amp;P2170&amp;AS[[#This Row],[Insurance Category Code]]&amp;"; "&amp;Q2170&amp;AS[[#This Row],[Large Provider Entity Code]]&amp;"; "&amp;R2170&amp;AS[[#This Row],[Age Band Code]]&amp;"; "&amp;S2170&amp;AS[[#This Row],[Sex Code]]</f>
        <v xml:space="preserve">Insurer Code ; Reporting Year ; Insurance Category Code ; Large Provider Entity Code ; Age Band Code ; Sex Code </v>
      </c>
      <c r="N2170" s="345" t="s">
        <v>207</v>
      </c>
      <c r="O2170" s="345" t="s">
        <v>208</v>
      </c>
      <c r="P2170" s="345" t="s">
        <v>209</v>
      </c>
      <c r="Q2170" s="345" t="s">
        <v>210</v>
      </c>
      <c r="R2170" s="345" t="s">
        <v>223</v>
      </c>
      <c r="S2170" s="345" t="s">
        <v>224</v>
      </c>
    </row>
    <row r="2171" spans="1:19" x14ac:dyDescent="0.25">
      <c r="A2171" s="311"/>
      <c r="B2171" s="312"/>
      <c r="C2171" s="312"/>
      <c r="D2171" s="312"/>
      <c r="E2171" s="312"/>
      <c r="F2171" s="312"/>
      <c r="G2171" s="328"/>
      <c r="H2171" s="337"/>
      <c r="I2171" s="334"/>
      <c r="J2171" s="314"/>
      <c r="K2171" s="449"/>
      <c r="M2171" s="349" t="str">
        <f>N2171&amp;AS[[#This Row],[Insurer Code]]&amp;"; "&amp;O2171&amp;AS[[#This Row],[Reporting Year]]&amp;"; "&amp;P2171&amp;AS[[#This Row],[Insurance Category Code]]&amp;"; "&amp;Q2171&amp;AS[[#This Row],[Large Provider Entity Code]]&amp;"; "&amp;R2171&amp;AS[[#This Row],[Age Band Code]]&amp;"; "&amp;S2171&amp;AS[[#This Row],[Sex Code]]</f>
        <v xml:space="preserve">Insurer Code ; Reporting Year ; Insurance Category Code ; Large Provider Entity Code ; Age Band Code ; Sex Code </v>
      </c>
      <c r="N2171" s="345" t="s">
        <v>207</v>
      </c>
      <c r="O2171" s="345" t="s">
        <v>208</v>
      </c>
      <c r="P2171" s="345" t="s">
        <v>209</v>
      </c>
      <c r="Q2171" s="345" t="s">
        <v>210</v>
      </c>
      <c r="R2171" s="345" t="s">
        <v>223</v>
      </c>
      <c r="S2171" s="345" t="s">
        <v>224</v>
      </c>
    </row>
    <row r="2172" spans="1:19" x14ac:dyDescent="0.25">
      <c r="A2172" s="311"/>
      <c r="B2172" s="312"/>
      <c r="C2172" s="312"/>
      <c r="D2172" s="312"/>
      <c r="E2172" s="312"/>
      <c r="F2172" s="312"/>
      <c r="G2172" s="328"/>
      <c r="H2172" s="337"/>
      <c r="I2172" s="334"/>
      <c r="J2172" s="314"/>
      <c r="K2172" s="449"/>
      <c r="M2172" s="349" t="str">
        <f>N2172&amp;AS[[#This Row],[Insurer Code]]&amp;"; "&amp;O2172&amp;AS[[#This Row],[Reporting Year]]&amp;"; "&amp;P2172&amp;AS[[#This Row],[Insurance Category Code]]&amp;"; "&amp;Q2172&amp;AS[[#This Row],[Large Provider Entity Code]]&amp;"; "&amp;R2172&amp;AS[[#This Row],[Age Band Code]]&amp;"; "&amp;S2172&amp;AS[[#This Row],[Sex Code]]</f>
        <v xml:space="preserve">Insurer Code ; Reporting Year ; Insurance Category Code ; Large Provider Entity Code ; Age Band Code ; Sex Code </v>
      </c>
      <c r="N2172" s="345" t="s">
        <v>207</v>
      </c>
      <c r="O2172" s="345" t="s">
        <v>208</v>
      </c>
      <c r="P2172" s="345" t="s">
        <v>209</v>
      </c>
      <c r="Q2172" s="345" t="s">
        <v>210</v>
      </c>
      <c r="R2172" s="345" t="s">
        <v>223</v>
      </c>
      <c r="S2172" s="345" t="s">
        <v>224</v>
      </c>
    </row>
    <row r="2173" spans="1:19" x14ac:dyDescent="0.25">
      <c r="A2173" s="311"/>
      <c r="B2173" s="312"/>
      <c r="C2173" s="312"/>
      <c r="D2173" s="312"/>
      <c r="E2173" s="312"/>
      <c r="F2173" s="312"/>
      <c r="G2173" s="328"/>
      <c r="H2173" s="337"/>
      <c r="I2173" s="334"/>
      <c r="J2173" s="314"/>
      <c r="K2173" s="449"/>
      <c r="M2173" s="349" t="str">
        <f>N2173&amp;AS[[#This Row],[Insurer Code]]&amp;"; "&amp;O2173&amp;AS[[#This Row],[Reporting Year]]&amp;"; "&amp;P2173&amp;AS[[#This Row],[Insurance Category Code]]&amp;"; "&amp;Q2173&amp;AS[[#This Row],[Large Provider Entity Code]]&amp;"; "&amp;R2173&amp;AS[[#This Row],[Age Band Code]]&amp;"; "&amp;S2173&amp;AS[[#This Row],[Sex Code]]</f>
        <v xml:space="preserve">Insurer Code ; Reporting Year ; Insurance Category Code ; Large Provider Entity Code ; Age Band Code ; Sex Code </v>
      </c>
      <c r="N2173" s="345" t="s">
        <v>207</v>
      </c>
      <c r="O2173" s="345" t="s">
        <v>208</v>
      </c>
      <c r="P2173" s="345" t="s">
        <v>209</v>
      </c>
      <c r="Q2173" s="345" t="s">
        <v>210</v>
      </c>
      <c r="R2173" s="345" t="s">
        <v>223</v>
      </c>
      <c r="S2173" s="345" t="s">
        <v>224</v>
      </c>
    </row>
    <row r="2174" spans="1:19" x14ac:dyDescent="0.25">
      <c r="A2174" s="311"/>
      <c r="B2174" s="312"/>
      <c r="C2174" s="312"/>
      <c r="D2174" s="312"/>
      <c r="E2174" s="312"/>
      <c r="F2174" s="312"/>
      <c r="G2174" s="328"/>
      <c r="H2174" s="337"/>
      <c r="I2174" s="334"/>
      <c r="J2174" s="314"/>
      <c r="K2174" s="449"/>
      <c r="M2174" s="349" t="str">
        <f>N2174&amp;AS[[#This Row],[Insurer Code]]&amp;"; "&amp;O2174&amp;AS[[#This Row],[Reporting Year]]&amp;"; "&amp;P2174&amp;AS[[#This Row],[Insurance Category Code]]&amp;"; "&amp;Q2174&amp;AS[[#This Row],[Large Provider Entity Code]]&amp;"; "&amp;R2174&amp;AS[[#This Row],[Age Band Code]]&amp;"; "&amp;S2174&amp;AS[[#This Row],[Sex Code]]</f>
        <v xml:space="preserve">Insurer Code ; Reporting Year ; Insurance Category Code ; Large Provider Entity Code ; Age Band Code ; Sex Code </v>
      </c>
      <c r="N2174" s="345" t="s">
        <v>207</v>
      </c>
      <c r="O2174" s="345" t="s">
        <v>208</v>
      </c>
      <c r="P2174" s="345" t="s">
        <v>209</v>
      </c>
      <c r="Q2174" s="345" t="s">
        <v>210</v>
      </c>
      <c r="R2174" s="345" t="s">
        <v>223</v>
      </c>
      <c r="S2174" s="345" t="s">
        <v>224</v>
      </c>
    </row>
    <row r="2175" spans="1:19" x14ac:dyDescent="0.25">
      <c r="A2175" s="311"/>
      <c r="B2175" s="312"/>
      <c r="C2175" s="312"/>
      <c r="D2175" s="312"/>
      <c r="E2175" s="312"/>
      <c r="F2175" s="312"/>
      <c r="G2175" s="328"/>
      <c r="H2175" s="337"/>
      <c r="I2175" s="334"/>
      <c r="J2175" s="314"/>
      <c r="K2175" s="449"/>
      <c r="M2175" s="349" t="str">
        <f>N2175&amp;AS[[#This Row],[Insurer Code]]&amp;"; "&amp;O2175&amp;AS[[#This Row],[Reporting Year]]&amp;"; "&amp;P2175&amp;AS[[#This Row],[Insurance Category Code]]&amp;"; "&amp;Q2175&amp;AS[[#This Row],[Large Provider Entity Code]]&amp;"; "&amp;R2175&amp;AS[[#This Row],[Age Band Code]]&amp;"; "&amp;S2175&amp;AS[[#This Row],[Sex Code]]</f>
        <v xml:space="preserve">Insurer Code ; Reporting Year ; Insurance Category Code ; Large Provider Entity Code ; Age Band Code ; Sex Code </v>
      </c>
      <c r="N2175" s="345" t="s">
        <v>207</v>
      </c>
      <c r="O2175" s="345" t="s">
        <v>208</v>
      </c>
      <c r="P2175" s="345" t="s">
        <v>209</v>
      </c>
      <c r="Q2175" s="345" t="s">
        <v>210</v>
      </c>
      <c r="R2175" s="345" t="s">
        <v>223</v>
      </c>
      <c r="S2175" s="345" t="s">
        <v>224</v>
      </c>
    </row>
    <row r="2176" spans="1:19" x14ac:dyDescent="0.25">
      <c r="A2176" s="311"/>
      <c r="B2176" s="312"/>
      <c r="C2176" s="312"/>
      <c r="D2176" s="312"/>
      <c r="E2176" s="312"/>
      <c r="F2176" s="312"/>
      <c r="G2176" s="328"/>
      <c r="H2176" s="337"/>
      <c r="I2176" s="334"/>
      <c r="J2176" s="314"/>
      <c r="K2176" s="449"/>
      <c r="M2176" s="349" t="str">
        <f>N2176&amp;AS[[#This Row],[Insurer Code]]&amp;"; "&amp;O2176&amp;AS[[#This Row],[Reporting Year]]&amp;"; "&amp;P2176&amp;AS[[#This Row],[Insurance Category Code]]&amp;"; "&amp;Q2176&amp;AS[[#This Row],[Large Provider Entity Code]]&amp;"; "&amp;R2176&amp;AS[[#This Row],[Age Band Code]]&amp;"; "&amp;S2176&amp;AS[[#This Row],[Sex Code]]</f>
        <v xml:space="preserve">Insurer Code ; Reporting Year ; Insurance Category Code ; Large Provider Entity Code ; Age Band Code ; Sex Code </v>
      </c>
      <c r="N2176" s="345" t="s">
        <v>207</v>
      </c>
      <c r="O2176" s="345" t="s">
        <v>208</v>
      </c>
      <c r="P2176" s="345" t="s">
        <v>209</v>
      </c>
      <c r="Q2176" s="345" t="s">
        <v>210</v>
      </c>
      <c r="R2176" s="345" t="s">
        <v>223</v>
      </c>
      <c r="S2176" s="345" t="s">
        <v>224</v>
      </c>
    </row>
    <row r="2177" spans="1:19" x14ac:dyDescent="0.25">
      <c r="A2177" s="311"/>
      <c r="B2177" s="312"/>
      <c r="C2177" s="312"/>
      <c r="D2177" s="312"/>
      <c r="E2177" s="312"/>
      <c r="F2177" s="312"/>
      <c r="G2177" s="328"/>
      <c r="H2177" s="337"/>
      <c r="I2177" s="334"/>
      <c r="J2177" s="314"/>
      <c r="K2177" s="449"/>
      <c r="M2177" s="349" t="str">
        <f>N2177&amp;AS[[#This Row],[Insurer Code]]&amp;"; "&amp;O2177&amp;AS[[#This Row],[Reporting Year]]&amp;"; "&amp;P2177&amp;AS[[#This Row],[Insurance Category Code]]&amp;"; "&amp;Q2177&amp;AS[[#This Row],[Large Provider Entity Code]]&amp;"; "&amp;R2177&amp;AS[[#This Row],[Age Band Code]]&amp;"; "&amp;S2177&amp;AS[[#This Row],[Sex Code]]</f>
        <v xml:space="preserve">Insurer Code ; Reporting Year ; Insurance Category Code ; Large Provider Entity Code ; Age Band Code ; Sex Code </v>
      </c>
      <c r="N2177" s="345" t="s">
        <v>207</v>
      </c>
      <c r="O2177" s="345" t="s">
        <v>208</v>
      </c>
      <c r="P2177" s="345" t="s">
        <v>209</v>
      </c>
      <c r="Q2177" s="345" t="s">
        <v>210</v>
      </c>
      <c r="R2177" s="345" t="s">
        <v>223</v>
      </c>
      <c r="S2177" s="345" t="s">
        <v>224</v>
      </c>
    </row>
    <row r="2178" spans="1:19" x14ac:dyDescent="0.25">
      <c r="A2178" s="311"/>
      <c r="B2178" s="312"/>
      <c r="C2178" s="312"/>
      <c r="D2178" s="312"/>
      <c r="E2178" s="312"/>
      <c r="F2178" s="312"/>
      <c r="G2178" s="328"/>
      <c r="H2178" s="337"/>
      <c r="I2178" s="334"/>
      <c r="J2178" s="314"/>
      <c r="K2178" s="449"/>
      <c r="M2178" s="349" t="str">
        <f>N2178&amp;AS[[#This Row],[Insurer Code]]&amp;"; "&amp;O2178&amp;AS[[#This Row],[Reporting Year]]&amp;"; "&amp;P2178&amp;AS[[#This Row],[Insurance Category Code]]&amp;"; "&amp;Q2178&amp;AS[[#This Row],[Large Provider Entity Code]]&amp;"; "&amp;R2178&amp;AS[[#This Row],[Age Band Code]]&amp;"; "&amp;S2178&amp;AS[[#This Row],[Sex Code]]</f>
        <v xml:space="preserve">Insurer Code ; Reporting Year ; Insurance Category Code ; Large Provider Entity Code ; Age Band Code ; Sex Code </v>
      </c>
      <c r="N2178" s="345" t="s">
        <v>207</v>
      </c>
      <c r="O2178" s="345" t="s">
        <v>208</v>
      </c>
      <c r="P2178" s="345" t="s">
        <v>209</v>
      </c>
      <c r="Q2178" s="345" t="s">
        <v>210</v>
      </c>
      <c r="R2178" s="345" t="s">
        <v>223</v>
      </c>
      <c r="S2178" s="345" t="s">
        <v>224</v>
      </c>
    </row>
    <row r="2179" spans="1:19" x14ac:dyDescent="0.25">
      <c r="A2179" s="311"/>
      <c r="B2179" s="312"/>
      <c r="C2179" s="312"/>
      <c r="D2179" s="312"/>
      <c r="E2179" s="312"/>
      <c r="F2179" s="312"/>
      <c r="G2179" s="328"/>
      <c r="H2179" s="337"/>
      <c r="I2179" s="334"/>
      <c r="J2179" s="314"/>
      <c r="K2179" s="449"/>
      <c r="M2179" s="349" t="str">
        <f>N2179&amp;AS[[#This Row],[Insurer Code]]&amp;"; "&amp;O2179&amp;AS[[#This Row],[Reporting Year]]&amp;"; "&amp;P2179&amp;AS[[#This Row],[Insurance Category Code]]&amp;"; "&amp;Q2179&amp;AS[[#This Row],[Large Provider Entity Code]]&amp;"; "&amp;R2179&amp;AS[[#This Row],[Age Band Code]]&amp;"; "&amp;S2179&amp;AS[[#This Row],[Sex Code]]</f>
        <v xml:space="preserve">Insurer Code ; Reporting Year ; Insurance Category Code ; Large Provider Entity Code ; Age Band Code ; Sex Code </v>
      </c>
      <c r="N2179" s="345" t="s">
        <v>207</v>
      </c>
      <c r="O2179" s="345" t="s">
        <v>208</v>
      </c>
      <c r="P2179" s="345" t="s">
        <v>209</v>
      </c>
      <c r="Q2179" s="345" t="s">
        <v>210</v>
      </c>
      <c r="R2179" s="345" t="s">
        <v>223</v>
      </c>
      <c r="S2179" s="345" t="s">
        <v>224</v>
      </c>
    </row>
    <row r="2180" spans="1:19" x14ac:dyDescent="0.25">
      <c r="A2180" s="311"/>
      <c r="B2180" s="312"/>
      <c r="C2180" s="312"/>
      <c r="D2180" s="312"/>
      <c r="E2180" s="312"/>
      <c r="F2180" s="312"/>
      <c r="G2180" s="328"/>
      <c r="H2180" s="337"/>
      <c r="I2180" s="334"/>
      <c r="J2180" s="314"/>
      <c r="K2180" s="449"/>
      <c r="M2180" s="349" t="str">
        <f>N2180&amp;AS[[#This Row],[Insurer Code]]&amp;"; "&amp;O2180&amp;AS[[#This Row],[Reporting Year]]&amp;"; "&amp;P2180&amp;AS[[#This Row],[Insurance Category Code]]&amp;"; "&amp;Q2180&amp;AS[[#This Row],[Large Provider Entity Code]]&amp;"; "&amp;R2180&amp;AS[[#This Row],[Age Band Code]]&amp;"; "&amp;S2180&amp;AS[[#This Row],[Sex Code]]</f>
        <v xml:space="preserve">Insurer Code ; Reporting Year ; Insurance Category Code ; Large Provider Entity Code ; Age Band Code ; Sex Code </v>
      </c>
      <c r="N2180" s="345" t="s">
        <v>207</v>
      </c>
      <c r="O2180" s="345" t="s">
        <v>208</v>
      </c>
      <c r="P2180" s="345" t="s">
        <v>209</v>
      </c>
      <c r="Q2180" s="345" t="s">
        <v>210</v>
      </c>
      <c r="R2180" s="345" t="s">
        <v>223</v>
      </c>
      <c r="S2180" s="345" t="s">
        <v>224</v>
      </c>
    </row>
    <row r="2181" spans="1:19" x14ac:dyDescent="0.25">
      <c r="A2181" s="311"/>
      <c r="B2181" s="312"/>
      <c r="C2181" s="312"/>
      <c r="D2181" s="312"/>
      <c r="E2181" s="312"/>
      <c r="F2181" s="312"/>
      <c r="G2181" s="328"/>
      <c r="H2181" s="337"/>
      <c r="I2181" s="334"/>
      <c r="J2181" s="314"/>
      <c r="K2181" s="449"/>
      <c r="M2181" s="349" t="str">
        <f>N2181&amp;AS[[#This Row],[Insurer Code]]&amp;"; "&amp;O2181&amp;AS[[#This Row],[Reporting Year]]&amp;"; "&amp;P2181&amp;AS[[#This Row],[Insurance Category Code]]&amp;"; "&amp;Q2181&amp;AS[[#This Row],[Large Provider Entity Code]]&amp;"; "&amp;R2181&amp;AS[[#This Row],[Age Band Code]]&amp;"; "&amp;S2181&amp;AS[[#This Row],[Sex Code]]</f>
        <v xml:space="preserve">Insurer Code ; Reporting Year ; Insurance Category Code ; Large Provider Entity Code ; Age Band Code ; Sex Code </v>
      </c>
      <c r="N2181" s="345" t="s">
        <v>207</v>
      </c>
      <c r="O2181" s="345" t="s">
        <v>208</v>
      </c>
      <c r="P2181" s="345" t="s">
        <v>209</v>
      </c>
      <c r="Q2181" s="345" t="s">
        <v>210</v>
      </c>
      <c r="R2181" s="345" t="s">
        <v>223</v>
      </c>
      <c r="S2181" s="345" t="s">
        <v>224</v>
      </c>
    </row>
    <row r="2182" spans="1:19" x14ac:dyDescent="0.25">
      <c r="A2182" s="311"/>
      <c r="B2182" s="312"/>
      <c r="C2182" s="312"/>
      <c r="D2182" s="312"/>
      <c r="E2182" s="312"/>
      <c r="F2182" s="312"/>
      <c r="G2182" s="328"/>
      <c r="H2182" s="337"/>
      <c r="I2182" s="334"/>
      <c r="J2182" s="314"/>
      <c r="K2182" s="449"/>
      <c r="M2182" s="349" t="str">
        <f>N2182&amp;AS[[#This Row],[Insurer Code]]&amp;"; "&amp;O2182&amp;AS[[#This Row],[Reporting Year]]&amp;"; "&amp;P2182&amp;AS[[#This Row],[Insurance Category Code]]&amp;"; "&amp;Q2182&amp;AS[[#This Row],[Large Provider Entity Code]]&amp;"; "&amp;R2182&amp;AS[[#This Row],[Age Band Code]]&amp;"; "&amp;S2182&amp;AS[[#This Row],[Sex Code]]</f>
        <v xml:space="preserve">Insurer Code ; Reporting Year ; Insurance Category Code ; Large Provider Entity Code ; Age Band Code ; Sex Code </v>
      </c>
      <c r="N2182" s="345" t="s">
        <v>207</v>
      </c>
      <c r="O2182" s="345" t="s">
        <v>208</v>
      </c>
      <c r="P2182" s="345" t="s">
        <v>209</v>
      </c>
      <c r="Q2182" s="345" t="s">
        <v>210</v>
      </c>
      <c r="R2182" s="345" t="s">
        <v>223</v>
      </c>
      <c r="S2182" s="345" t="s">
        <v>224</v>
      </c>
    </row>
    <row r="2183" spans="1:19" x14ac:dyDescent="0.25">
      <c r="A2183" s="311"/>
      <c r="B2183" s="312"/>
      <c r="C2183" s="312"/>
      <c r="D2183" s="312"/>
      <c r="E2183" s="312"/>
      <c r="F2183" s="312"/>
      <c r="G2183" s="328"/>
      <c r="H2183" s="337"/>
      <c r="I2183" s="334"/>
      <c r="J2183" s="314"/>
      <c r="K2183" s="449"/>
      <c r="M2183" s="349" t="str">
        <f>N2183&amp;AS[[#This Row],[Insurer Code]]&amp;"; "&amp;O2183&amp;AS[[#This Row],[Reporting Year]]&amp;"; "&amp;P2183&amp;AS[[#This Row],[Insurance Category Code]]&amp;"; "&amp;Q2183&amp;AS[[#This Row],[Large Provider Entity Code]]&amp;"; "&amp;R2183&amp;AS[[#This Row],[Age Band Code]]&amp;"; "&amp;S2183&amp;AS[[#This Row],[Sex Code]]</f>
        <v xml:space="preserve">Insurer Code ; Reporting Year ; Insurance Category Code ; Large Provider Entity Code ; Age Band Code ; Sex Code </v>
      </c>
      <c r="N2183" s="345" t="s">
        <v>207</v>
      </c>
      <c r="O2183" s="345" t="s">
        <v>208</v>
      </c>
      <c r="P2183" s="345" t="s">
        <v>209</v>
      </c>
      <c r="Q2183" s="345" t="s">
        <v>210</v>
      </c>
      <c r="R2183" s="345" t="s">
        <v>223</v>
      </c>
      <c r="S2183" s="345" t="s">
        <v>224</v>
      </c>
    </row>
    <row r="2184" spans="1:19" x14ac:dyDescent="0.25">
      <c r="A2184" s="311"/>
      <c r="B2184" s="312"/>
      <c r="C2184" s="312"/>
      <c r="D2184" s="312"/>
      <c r="E2184" s="312"/>
      <c r="F2184" s="312"/>
      <c r="G2184" s="328"/>
      <c r="H2184" s="337"/>
      <c r="I2184" s="334"/>
      <c r="J2184" s="314"/>
      <c r="K2184" s="449"/>
      <c r="M2184" s="349" t="str">
        <f>N2184&amp;AS[[#This Row],[Insurer Code]]&amp;"; "&amp;O2184&amp;AS[[#This Row],[Reporting Year]]&amp;"; "&amp;P2184&amp;AS[[#This Row],[Insurance Category Code]]&amp;"; "&amp;Q2184&amp;AS[[#This Row],[Large Provider Entity Code]]&amp;"; "&amp;R2184&amp;AS[[#This Row],[Age Band Code]]&amp;"; "&amp;S2184&amp;AS[[#This Row],[Sex Code]]</f>
        <v xml:space="preserve">Insurer Code ; Reporting Year ; Insurance Category Code ; Large Provider Entity Code ; Age Band Code ; Sex Code </v>
      </c>
      <c r="N2184" s="345" t="s">
        <v>207</v>
      </c>
      <c r="O2184" s="345" t="s">
        <v>208</v>
      </c>
      <c r="P2184" s="345" t="s">
        <v>209</v>
      </c>
      <c r="Q2184" s="345" t="s">
        <v>210</v>
      </c>
      <c r="R2184" s="345" t="s">
        <v>223</v>
      </c>
      <c r="S2184" s="345" t="s">
        <v>224</v>
      </c>
    </row>
    <row r="2185" spans="1:19" x14ac:dyDescent="0.25">
      <c r="A2185" s="311"/>
      <c r="B2185" s="312"/>
      <c r="C2185" s="312"/>
      <c r="D2185" s="312"/>
      <c r="E2185" s="312"/>
      <c r="F2185" s="312"/>
      <c r="G2185" s="328"/>
      <c r="H2185" s="337"/>
      <c r="I2185" s="334"/>
      <c r="J2185" s="314"/>
      <c r="K2185" s="449"/>
      <c r="M2185" s="349" t="str">
        <f>N2185&amp;AS[[#This Row],[Insurer Code]]&amp;"; "&amp;O2185&amp;AS[[#This Row],[Reporting Year]]&amp;"; "&amp;P2185&amp;AS[[#This Row],[Insurance Category Code]]&amp;"; "&amp;Q2185&amp;AS[[#This Row],[Large Provider Entity Code]]&amp;"; "&amp;R2185&amp;AS[[#This Row],[Age Band Code]]&amp;"; "&amp;S2185&amp;AS[[#This Row],[Sex Code]]</f>
        <v xml:space="preserve">Insurer Code ; Reporting Year ; Insurance Category Code ; Large Provider Entity Code ; Age Band Code ; Sex Code </v>
      </c>
      <c r="N2185" s="345" t="s">
        <v>207</v>
      </c>
      <c r="O2185" s="345" t="s">
        <v>208</v>
      </c>
      <c r="P2185" s="345" t="s">
        <v>209</v>
      </c>
      <c r="Q2185" s="345" t="s">
        <v>210</v>
      </c>
      <c r="R2185" s="345" t="s">
        <v>223</v>
      </c>
      <c r="S2185" s="345" t="s">
        <v>224</v>
      </c>
    </row>
    <row r="2186" spans="1:19" x14ac:dyDescent="0.25">
      <c r="A2186" s="311"/>
      <c r="B2186" s="312"/>
      <c r="C2186" s="312"/>
      <c r="D2186" s="312"/>
      <c r="E2186" s="312"/>
      <c r="F2186" s="312"/>
      <c r="G2186" s="328"/>
      <c r="H2186" s="337"/>
      <c r="I2186" s="334"/>
      <c r="J2186" s="314"/>
      <c r="K2186" s="449"/>
      <c r="M2186" s="349" t="str">
        <f>N2186&amp;AS[[#This Row],[Insurer Code]]&amp;"; "&amp;O2186&amp;AS[[#This Row],[Reporting Year]]&amp;"; "&amp;P2186&amp;AS[[#This Row],[Insurance Category Code]]&amp;"; "&amp;Q2186&amp;AS[[#This Row],[Large Provider Entity Code]]&amp;"; "&amp;R2186&amp;AS[[#This Row],[Age Band Code]]&amp;"; "&amp;S2186&amp;AS[[#This Row],[Sex Code]]</f>
        <v xml:space="preserve">Insurer Code ; Reporting Year ; Insurance Category Code ; Large Provider Entity Code ; Age Band Code ; Sex Code </v>
      </c>
      <c r="N2186" s="345" t="s">
        <v>207</v>
      </c>
      <c r="O2186" s="345" t="s">
        <v>208</v>
      </c>
      <c r="P2186" s="345" t="s">
        <v>209</v>
      </c>
      <c r="Q2186" s="345" t="s">
        <v>210</v>
      </c>
      <c r="R2186" s="345" t="s">
        <v>223</v>
      </c>
      <c r="S2186" s="345" t="s">
        <v>224</v>
      </c>
    </row>
    <row r="2187" spans="1:19" x14ac:dyDescent="0.25">
      <c r="A2187" s="311"/>
      <c r="B2187" s="312"/>
      <c r="C2187" s="312"/>
      <c r="D2187" s="312"/>
      <c r="E2187" s="312"/>
      <c r="F2187" s="312"/>
      <c r="G2187" s="328"/>
      <c r="H2187" s="337"/>
      <c r="I2187" s="334"/>
      <c r="J2187" s="314"/>
      <c r="K2187" s="449"/>
      <c r="M2187" s="349" t="str">
        <f>N2187&amp;AS[[#This Row],[Insurer Code]]&amp;"; "&amp;O2187&amp;AS[[#This Row],[Reporting Year]]&amp;"; "&amp;P2187&amp;AS[[#This Row],[Insurance Category Code]]&amp;"; "&amp;Q2187&amp;AS[[#This Row],[Large Provider Entity Code]]&amp;"; "&amp;R2187&amp;AS[[#This Row],[Age Band Code]]&amp;"; "&amp;S2187&amp;AS[[#This Row],[Sex Code]]</f>
        <v xml:space="preserve">Insurer Code ; Reporting Year ; Insurance Category Code ; Large Provider Entity Code ; Age Band Code ; Sex Code </v>
      </c>
      <c r="N2187" s="345" t="s">
        <v>207</v>
      </c>
      <c r="O2187" s="345" t="s">
        <v>208</v>
      </c>
      <c r="P2187" s="345" t="s">
        <v>209</v>
      </c>
      <c r="Q2187" s="345" t="s">
        <v>210</v>
      </c>
      <c r="R2187" s="345" t="s">
        <v>223</v>
      </c>
      <c r="S2187" s="345" t="s">
        <v>224</v>
      </c>
    </row>
    <row r="2188" spans="1:19" x14ac:dyDescent="0.25">
      <c r="A2188" s="311"/>
      <c r="B2188" s="312"/>
      <c r="C2188" s="312"/>
      <c r="D2188" s="312"/>
      <c r="E2188" s="312"/>
      <c r="F2188" s="312"/>
      <c r="G2188" s="328"/>
      <c r="H2188" s="337"/>
      <c r="I2188" s="334"/>
      <c r="J2188" s="314"/>
      <c r="K2188" s="449"/>
      <c r="M2188" s="349" t="str">
        <f>N2188&amp;AS[[#This Row],[Insurer Code]]&amp;"; "&amp;O2188&amp;AS[[#This Row],[Reporting Year]]&amp;"; "&amp;P2188&amp;AS[[#This Row],[Insurance Category Code]]&amp;"; "&amp;Q2188&amp;AS[[#This Row],[Large Provider Entity Code]]&amp;"; "&amp;R2188&amp;AS[[#This Row],[Age Band Code]]&amp;"; "&amp;S2188&amp;AS[[#This Row],[Sex Code]]</f>
        <v xml:space="preserve">Insurer Code ; Reporting Year ; Insurance Category Code ; Large Provider Entity Code ; Age Band Code ; Sex Code </v>
      </c>
      <c r="N2188" s="345" t="s">
        <v>207</v>
      </c>
      <c r="O2188" s="345" t="s">
        <v>208</v>
      </c>
      <c r="P2188" s="345" t="s">
        <v>209</v>
      </c>
      <c r="Q2188" s="345" t="s">
        <v>210</v>
      </c>
      <c r="R2188" s="345" t="s">
        <v>223</v>
      </c>
      <c r="S2188" s="345" t="s">
        <v>224</v>
      </c>
    </row>
    <row r="2189" spans="1:19" x14ac:dyDescent="0.25">
      <c r="A2189" s="311"/>
      <c r="B2189" s="312"/>
      <c r="C2189" s="312"/>
      <c r="D2189" s="312"/>
      <c r="E2189" s="312"/>
      <c r="F2189" s="312"/>
      <c r="G2189" s="328"/>
      <c r="H2189" s="337"/>
      <c r="I2189" s="334"/>
      <c r="J2189" s="314"/>
      <c r="K2189" s="449"/>
      <c r="M2189" s="349" t="str">
        <f>N2189&amp;AS[[#This Row],[Insurer Code]]&amp;"; "&amp;O2189&amp;AS[[#This Row],[Reporting Year]]&amp;"; "&amp;P2189&amp;AS[[#This Row],[Insurance Category Code]]&amp;"; "&amp;Q2189&amp;AS[[#This Row],[Large Provider Entity Code]]&amp;"; "&amp;R2189&amp;AS[[#This Row],[Age Band Code]]&amp;"; "&amp;S2189&amp;AS[[#This Row],[Sex Code]]</f>
        <v xml:space="preserve">Insurer Code ; Reporting Year ; Insurance Category Code ; Large Provider Entity Code ; Age Band Code ; Sex Code </v>
      </c>
      <c r="N2189" s="345" t="s">
        <v>207</v>
      </c>
      <c r="O2189" s="345" t="s">
        <v>208</v>
      </c>
      <c r="P2189" s="345" t="s">
        <v>209</v>
      </c>
      <c r="Q2189" s="345" t="s">
        <v>210</v>
      </c>
      <c r="R2189" s="345" t="s">
        <v>223</v>
      </c>
      <c r="S2189" s="345" t="s">
        <v>224</v>
      </c>
    </row>
    <row r="2190" spans="1:19" x14ac:dyDescent="0.25">
      <c r="A2190" s="311"/>
      <c r="B2190" s="312"/>
      <c r="C2190" s="312"/>
      <c r="D2190" s="312"/>
      <c r="E2190" s="312"/>
      <c r="F2190" s="312"/>
      <c r="G2190" s="328"/>
      <c r="H2190" s="337"/>
      <c r="I2190" s="334"/>
      <c r="J2190" s="314"/>
      <c r="K2190" s="449"/>
      <c r="M2190" s="349" t="str">
        <f>N2190&amp;AS[[#This Row],[Insurer Code]]&amp;"; "&amp;O2190&amp;AS[[#This Row],[Reporting Year]]&amp;"; "&amp;P2190&amp;AS[[#This Row],[Insurance Category Code]]&amp;"; "&amp;Q2190&amp;AS[[#This Row],[Large Provider Entity Code]]&amp;"; "&amp;R2190&amp;AS[[#This Row],[Age Band Code]]&amp;"; "&amp;S2190&amp;AS[[#This Row],[Sex Code]]</f>
        <v xml:space="preserve">Insurer Code ; Reporting Year ; Insurance Category Code ; Large Provider Entity Code ; Age Band Code ; Sex Code </v>
      </c>
      <c r="N2190" s="345" t="s">
        <v>207</v>
      </c>
      <c r="O2190" s="345" t="s">
        <v>208</v>
      </c>
      <c r="P2190" s="345" t="s">
        <v>209</v>
      </c>
      <c r="Q2190" s="345" t="s">
        <v>210</v>
      </c>
      <c r="R2190" s="345" t="s">
        <v>223</v>
      </c>
      <c r="S2190" s="345" t="s">
        <v>224</v>
      </c>
    </row>
    <row r="2191" spans="1:19" x14ac:dyDescent="0.25">
      <c r="A2191" s="311"/>
      <c r="B2191" s="312"/>
      <c r="C2191" s="312"/>
      <c r="D2191" s="312"/>
      <c r="E2191" s="312"/>
      <c r="F2191" s="312"/>
      <c r="G2191" s="328"/>
      <c r="H2191" s="337"/>
      <c r="I2191" s="334"/>
      <c r="J2191" s="314"/>
      <c r="K2191" s="449"/>
      <c r="M2191" s="349" t="str">
        <f>N2191&amp;AS[[#This Row],[Insurer Code]]&amp;"; "&amp;O2191&amp;AS[[#This Row],[Reporting Year]]&amp;"; "&amp;P2191&amp;AS[[#This Row],[Insurance Category Code]]&amp;"; "&amp;Q2191&amp;AS[[#This Row],[Large Provider Entity Code]]&amp;"; "&amp;R2191&amp;AS[[#This Row],[Age Band Code]]&amp;"; "&amp;S2191&amp;AS[[#This Row],[Sex Code]]</f>
        <v xml:space="preserve">Insurer Code ; Reporting Year ; Insurance Category Code ; Large Provider Entity Code ; Age Band Code ; Sex Code </v>
      </c>
      <c r="N2191" s="345" t="s">
        <v>207</v>
      </c>
      <c r="O2191" s="345" t="s">
        <v>208</v>
      </c>
      <c r="P2191" s="345" t="s">
        <v>209</v>
      </c>
      <c r="Q2191" s="345" t="s">
        <v>210</v>
      </c>
      <c r="R2191" s="345" t="s">
        <v>223</v>
      </c>
      <c r="S2191" s="345" t="s">
        <v>224</v>
      </c>
    </row>
    <row r="2192" spans="1:19" x14ac:dyDescent="0.25">
      <c r="A2192" s="311"/>
      <c r="B2192" s="312"/>
      <c r="C2192" s="312"/>
      <c r="D2192" s="312"/>
      <c r="E2192" s="312"/>
      <c r="F2192" s="312"/>
      <c r="G2192" s="328"/>
      <c r="H2192" s="337"/>
      <c r="I2192" s="334"/>
      <c r="J2192" s="314"/>
      <c r="K2192" s="449"/>
      <c r="M2192" s="349" t="str">
        <f>N2192&amp;AS[[#This Row],[Insurer Code]]&amp;"; "&amp;O2192&amp;AS[[#This Row],[Reporting Year]]&amp;"; "&amp;P2192&amp;AS[[#This Row],[Insurance Category Code]]&amp;"; "&amp;Q2192&amp;AS[[#This Row],[Large Provider Entity Code]]&amp;"; "&amp;R2192&amp;AS[[#This Row],[Age Band Code]]&amp;"; "&amp;S2192&amp;AS[[#This Row],[Sex Code]]</f>
        <v xml:space="preserve">Insurer Code ; Reporting Year ; Insurance Category Code ; Large Provider Entity Code ; Age Band Code ; Sex Code </v>
      </c>
      <c r="N2192" s="345" t="s">
        <v>207</v>
      </c>
      <c r="O2192" s="345" t="s">
        <v>208</v>
      </c>
      <c r="P2192" s="345" t="s">
        <v>209</v>
      </c>
      <c r="Q2192" s="345" t="s">
        <v>210</v>
      </c>
      <c r="R2192" s="345" t="s">
        <v>223</v>
      </c>
      <c r="S2192" s="345" t="s">
        <v>224</v>
      </c>
    </row>
    <row r="2193" spans="1:19" x14ac:dyDescent="0.25">
      <c r="A2193" s="311"/>
      <c r="B2193" s="312"/>
      <c r="C2193" s="312"/>
      <c r="D2193" s="312"/>
      <c r="E2193" s="312"/>
      <c r="F2193" s="312"/>
      <c r="G2193" s="328"/>
      <c r="H2193" s="337"/>
      <c r="I2193" s="334"/>
      <c r="J2193" s="314"/>
      <c r="K2193" s="449"/>
      <c r="M2193" s="349" t="str">
        <f>N2193&amp;AS[[#This Row],[Insurer Code]]&amp;"; "&amp;O2193&amp;AS[[#This Row],[Reporting Year]]&amp;"; "&amp;P2193&amp;AS[[#This Row],[Insurance Category Code]]&amp;"; "&amp;Q2193&amp;AS[[#This Row],[Large Provider Entity Code]]&amp;"; "&amp;R2193&amp;AS[[#This Row],[Age Band Code]]&amp;"; "&amp;S2193&amp;AS[[#This Row],[Sex Code]]</f>
        <v xml:space="preserve">Insurer Code ; Reporting Year ; Insurance Category Code ; Large Provider Entity Code ; Age Band Code ; Sex Code </v>
      </c>
      <c r="N2193" s="345" t="s">
        <v>207</v>
      </c>
      <c r="O2193" s="345" t="s">
        <v>208</v>
      </c>
      <c r="P2193" s="345" t="s">
        <v>209</v>
      </c>
      <c r="Q2193" s="345" t="s">
        <v>210</v>
      </c>
      <c r="R2193" s="345" t="s">
        <v>223</v>
      </c>
      <c r="S2193" s="345" t="s">
        <v>224</v>
      </c>
    </row>
    <row r="2194" spans="1:19" x14ac:dyDescent="0.25">
      <c r="A2194" s="311"/>
      <c r="B2194" s="312"/>
      <c r="C2194" s="312"/>
      <c r="D2194" s="312"/>
      <c r="E2194" s="312"/>
      <c r="F2194" s="312"/>
      <c r="G2194" s="328"/>
      <c r="H2194" s="337"/>
      <c r="I2194" s="334"/>
      <c r="J2194" s="314"/>
      <c r="K2194" s="449"/>
      <c r="M2194" s="349" t="str">
        <f>N2194&amp;AS[[#This Row],[Insurer Code]]&amp;"; "&amp;O2194&amp;AS[[#This Row],[Reporting Year]]&amp;"; "&amp;P2194&amp;AS[[#This Row],[Insurance Category Code]]&amp;"; "&amp;Q2194&amp;AS[[#This Row],[Large Provider Entity Code]]&amp;"; "&amp;R2194&amp;AS[[#This Row],[Age Band Code]]&amp;"; "&amp;S2194&amp;AS[[#This Row],[Sex Code]]</f>
        <v xml:space="preserve">Insurer Code ; Reporting Year ; Insurance Category Code ; Large Provider Entity Code ; Age Band Code ; Sex Code </v>
      </c>
      <c r="N2194" s="345" t="s">
        <v>207</v>
      </c>
      <c r="O2194" s="345" t="s">
        <v>208</v>
      </c>
      <c r="P2194" s="345" t="s">
        <v>209</v>
      </c>
      <c r="Q2194" s="345" t="s">
        <v>210</v>
      </c>
      <c r="R2194" s="345" t="s">
        <v>223</v>
      </c>
      <c r="S2194" s="345" t="s">
        <v>224</v>
      </c>
    </row>
    <row r="2195" spans="1:19" x14ac:dyDescent="0.25">
      <c r="A2195" s="311"/>
      <c r="B2195" s="312"/>
      <c r="C2195" s="312"/>
      <c r="D2195" s="312"/>
      <c r="E2195" s="312"/>
      <c r="F2195" s="312"/>
      <c r="G2195" s="328"/>
      <c r="H2195" s="337"/>
      <c r="I2195" s="334"/>
      <c r="J2195" s="314"/>
      <c r="K2195" s="449"/>
      <c r="M2195" s="349" t="str">
        <f>N2195&amp;AS[[#This Row],[Insurer Code]]&amp;"; "&amp;O2195&amp;AS[[#This Row],[Reporting Year]]&amp;"; "&amp;P2195&amp;AS[[#This Row],[Insurance Category Code]]&amp;"; "&amp;Q2195&amp;AS[[#This Row],[Large Provider Entity Code]]&amp;"; "&amp;R2195&amp;AS[[#This Row],[Age Band Code]]&amp;"; "&amp;S2195&amp;AS[[#This Row],[Sex Code]]</f>
        <v xml:space="preserve">Insurer Code ; Reporting Year ; Insurance Category Code ; Large Provider Entity Code ; Age Band Code ; Sex Code </v>
      </c>
      <c r="N2195" s="345" t="s">
        <v>207</v>
      </c>
      <c r="O2195" s="345" t="s">
        <v>208</v>
      </c>
      <c r="P2195" s="345" t="s">
        <v>209</v>
      </c>
      <c r="Q2195" s="345" t="s">
        <v>210</v>
      </c>
      <c r="R2195" s="345" t="s">
        <v>223</v>
      </c>
      <c r="S2195" s="345" t="s">
        <v>224</v>
      </c>
    </row>
    <row r="2196" spans="1:19" x14ac:dyDescent="0.25">
      <c r="A2196" s="311"/>
      <c r="B2196" s="312"/>
      <c r="C2196" s="312"/>
      <c r="D2196" s="312"/>
      <c r="E2196" s="312"/>
      <c r="F2196" s="312"/>
      <c r="G2196" s="328"/>
      <c r="H2196" s="337"/>
      <c r="I2196" s="334"/>
      <c r="J2196" s="314"/>
      <c r="K2196" s="449"/>
      <c r="M2196" s="349" t="str">
        <f>N2196&amp;AS[[#This Row],[Insurer Code]]&amp;"; "&amp;O2196&amp;AS[[#This Row],[Reporting Year]]&amp;"; "&amp;P2196&amp;AS[[#This Row],[Insurance Category Code]]&amp;"; "&amp;Q2196&amp;AS[[#This Row],[Large Provider Entity Code]]&amp;"; "&amp;R2196&amp;AS[[#This Row],[Age Band Code]]&amp;"; "&amp;S2196&amp;AS[[#This Row],[Sex Code]]</f>
        <v xml:space="preserve">Insurer Code ; Reporting Year ; Insurance Category Code ; Large Provider Entity Code ; Age Band Code ; Sex Code </v>
      </c>
      <c r="N2196" s="345" t="s">
        <v>207</v>
      </c>
      <c r="O2196" s="345" t="s">
        <v>208</v>
      </c>
      <c r="P2196" s="345" t="s">
        <v>209</v>
      </c>
      <c r="Q2196" s="345" t="s">
        <v>210</v>
      </c>
      <c r="R2196" s="345" t="s">
        <v>223</v>
      </c>
      <c r="S2196" s="345" t="s">
        <v>224</v>
      </c>
    </row>
    <row r="2197" spans="1:19" x14ac:dyDescent="0.25">
      <c r="A2197" s="311"/>
      <c r="B2197" s="312"/>
      <c r="C2197" s="312"/>
      <c r="D2197" s="312"/>
      <c r="E2197" s="312"/>
      <c r="F2197" s="312"/>
      <c r="G2197" s="328"/>
      <c r="H2197" s="337"/>
      <c r="I2197" s="334"/>
      <c r="J2197" s="314"/>
      <c r="K2197" s="449"/>
      <c r="M2197" s="349" t="str">
        <f>N2197&amp;AS[[#This Row],[Insurer Code]]&amp;"; "&amp;O2197&amp;AS[[#This Row],[Reporting Year]]&amp;"; "&amp;P2197&amp;AS[[#This Row],[Insurance Category Code]]&amp;"; "&amp;Q2197&amp;AS[[#This Row],[Large Provider Entity Code]]&amp;"; "&amp;R2197&amp;AS[[#This Row],[Age Band Code]]&amp;"; "&amp;S2197&amp;AS[[#This Row],[Sex Code]]</f>
        <v xml:space="preserve">Insurer Code ; Reporting Year ; Insurance Category Code ; Large Provider Entity Code ; Age Band Code ; Sex Code </v>
      </c>
      <c r="N2197" s="345" t="s">
        <v>207</v>
      </c>
      <c r="O2197" s="345" t="s">
        <v>208</v>
      </c>
      <c r="P2197" s="345" t="s">
        <v>209</v>
      </c>
      <c r="Q2197" s="345" t="s">
        <v>210</v>
      </c>
      <c r="R2197" s="345" t="s">
        <v>223</v>
      </c>
      <c r="S2197" s="345" t="s">
        <v>224</v>
      </c>
    </row>
    <row r="2198" spans="1:19" x14ac:dyDescent="0.25">
      <c r="A2198" s="311"/>
      <c r="B2198" s="312"/>
      <c r="C2198" s="312"/>
      <c r="D2198" s="312"/>
      <c r="E2198" s="312"/>
      <c r="F2198" s="312"/>
      <c r="G2198" s="328"/>
      <c r="H2198" s="337"/>
      <c r="I2198" s="334"/>
      <c r="J2198" s="314"/>
      <c r="K2198" s="449"/>
      <c r="M2198" s="349" t="str">
        <f>N2198&amp;AS[[#This Row],[Insurer Code]]&amp;"; "&amp;O2198&amp;AS[[#This Row],[Reporting Year]]&amp;"; "&amp;P2198&amp;AS[[#This Row],[Insurance Category Code]]&amp;"; "&amp;Q2198&amp;AS[[#This Row],[Large Provider Entity Code]]&amp;"; "&amp;R2198&amp;AS[[#This Row],[Age Band Code]]&amp;"; "&amp;S2198&amp;AS[[#This Row],[Sex Code]]</f>
        <v xml:space="preserve">Insurer Code ; Reporting Year ; Insurance Category Code ; Large Provider Entity Code ; Age Band Code ; Sex Code </v>
      </c>
      <c r="N2198" s="345" t="s">
        <v>207</v>
      </c>
      <c r="O2198" s="345" t="s">
        <v>208</v>
      </c>
      <c r="P2198" s="345" t="s">
        <v>209</v>
      </c>
      <c r="Q2198" s="345" t="s">
        <v>210</v>
      </c>
      <c r="R2198" s="345" t="s">
        <v>223</v>
      </c>
      <c r="S2198" s="345" t="s">
        <v>224</v>
      </c>
    </row>
    <row r="2199" spans="1:19" x14ac:dyDescent="0.25">
      <c r="A2199" s="311"/>
      <c r="B2199" s="312"/>
      <c r="C2199" s="312"/>
      <c r="D2199" s="312"/>
      <c r="E2199" s="312"/>
      <c r="F2199" s="312"/>
      <c r="G2199" s="328"/>
      <c r="H2199" s="337"/>
      <c r="I2199" s="334"/>
      <c r="J2199" s="314"/>
      <c r="K2199" s="449"/>
      <c r="M2199" s="349" t="str">
        <f>N2199&amp;AS[[#This Row],[Insurer Code]]&amp;"; "&amp;O2199&amp;AS[[#This Row],[Reporting Year]]&amp;"; "&amp;P2199&amp;AS[[#This Row],[Insurance Category Code]]&amp;"; "&amp;Q2199&amp;AS[[#This Row],[Large Provider Entity Code]]&amp;"; "&amp;R2199&amp;AS[[#This Row],[Age Band Code]]&amp;"; "&amp;S2199&amp;AS[[#This Row],[Sex Code]]</f>
        <v xml:space="preserve">Insurer Code ; Reporting Year ; Insurance Category Code ; Large Provider Entity Code ; Age Band Code ; Sex Code </v>
      </c>
      <c r="N2199" s="345" t="s">
        <v>207</v>
      </c>
      <c r="O2199" s="345" t="s">
        <v>208</v>
      </c>
      <c r="P2199" s="345" t="s">
        <v>209</v>
      </c>
      <c r="Q2199" s="345" t="s">
        <v>210</v>
      </c>
      <c r="R2199" s="345" t="s">
        <v>223</v>
      </c>
      <c r="S2199" s="345" t="s">
        <v>224</v>
      </c>
    </row>
    <row r="2200" spans="1:19" x14ac:dyDescent="0.25">
      <c r="A2200" s="311"/>
      <c r="B2200" s="312"/>
      <c r="C2200" s="312"/>
      <c r="D2200" s="312"/>
      <c r="E2200" s="312"/>
      <c r="F2200" s="312"/>
      <c r="G2200" s="328"/>
      <c r="H2200" s="337"/>
      <c r="I2200" s="334"/>
      <c r="J2200" s="314"/>
      <c r="K2200" s="449"/>
      <c r="M2200" s="349" t="str">
        <f>N2200&amp;AS[[#This Row],[Insurer Code]]&amp;"; "&amp;O2200&amp;AS[[#This Row],[Reporting Year]]&amp;"; "&amp;P2200&amp;AS[[#This Row],[Insurance Category Code]]&amp;"; "&amp;Q2200&amp;AS[[#This Row],[Large Provider Entity Code]]&amp;"; "&amp;R2200&amp;AS[[#This Row],[Age Band Code]]&amp;"; "&amp;S2200&amp;AS[[#This Row],[Sex Code]]</f>
        <v xml:space="preserve">Insurer Code ; Reporting Year ; Insurance Category Code ; Large Provider Entity Code ; Age Band Code ; Sex Code </v>
      </c>
      <c r="N2200" s="345" t="s">
        <v>207</v>
      </c>
      <c r="O2200" s="345" t="s">
        <v>208</v>
      </c>
      <c r="P2200" s="345" t="s">
        <v>209</v>
      </c>
      <c r="Q2200" s="345" t="s">
        <v>210</v>
      </c>
      <c r="R2200" s="345" t="s">
        <v>223</v>
      </c>
      <c r="S2200" s="345" t="s">
        <v>224</v>
      </c>
    </row>
    <row r="2201" spans="1:19" x14ac:dyDescent="0.25">
      <c r="A2201" s="311"/>
      <c r="B2201" s="312"/>
      <c r="C2201" s="312"/>
      <c r="D2201" s="312"/>
      <c r="E2201" s="312"/>
      <c r="F2201" s="312"/>
      <c r="G2201" s="328"/>
      <c r="H2201" s="337"/>
      <c r="I2201" s="334"/>
      <c r="J2201" s="314"/>
      <c r="K2201" s="449"/>
      <c r="M2201" s="349" t="str">
        <f>N2201&amp;AS[[#This Row],[Insurer Code]]&amp;"; "&amp;O2201&amp;AS[[#This Row],[Reporting Year]]&amp;"; "&amp;P2201&amp;AS[[#This Row],[Insurance Category Code]]&amp;"; "&amp;Q2201&amp;AS[[#This Row],[Large Provider Entity Code]]&amp;"; "&amp;R2201&amp;AS[[#This Row],[Age Band Code]]&amp;"; "&amp;S2201&amp;AS[[#This Row],[Sex Code]]</f>
        <v xml:space="preserve">Insurer Code ; Reporting Year ; Insurance Category Code ; Large Provider Entity Code ; Age Band Code ; Sex Code </v>
      </c>
      <c r="N2201" s="345" t="s">
        <v>207</v>
      </c>
      <c r="O2201" s="345" t="s">
        <v>208</v>
      </c>
      <c r="P2201" s="345" t="s">
        <v>209</v>
      </c>
      <c r="Q2201" s="345" t="s">
        <v>210</v>
      </c>
      <c r="R2201" s="345" t="s">
        <v>223</v>
      </c>
      <c r="S2201" s="345" t="s">
        <v>224</v>
      </c>
    </row>
    <row r="2202" spans="1:19" x14ac:dyDescent="0.25">
      <c r="A2202" s="311"/>
      <c r="B2202" s="312"/>
      <c r="C2202" s="312"/>
      <c r="D2202" s="312"/>
      <c r="E2202" s="312"/>
      <c r="F2202" s="312"/>
      <c r="G2202" s="328"/>
      <c r="H2202" s="337"/>
      <c r="I2202" s="334"/>
      <c r="J2202" s="314"/>
      <c r="K2202" s="449"/>
      <c r="M2202" s="349" t="str">
        <f>N2202&amp;AS[[#This Row],[Insurer Code]]&amp;"; "&amp;O2202&amp;AS[[#This Row],[Reporting Year]]&amp;"; "&amp;P2202&amp;AS[[#This Row],[Insurance Category Code]]&amp;"; "&amp;Q2202&amp;AS[[#This Row],[Large Provider Entity Code]]&amp;"; "&amp;R2202&amp;AS[[#This Row],[Age Band Code]]&amp;"; "&amp;S2202&amp;AS[[#This Row],[Sex Code]]</f>
        <v xml:space="preserve">Insurer Code ; Reporting Year ; Insurance Category Code ; Large Provider Entity Code ; Age Band Code ; Sex Code </v>
      </c>
      <c r="N2202" s="345" t="s">
        <v>207</v>
      </c>
      <c r="O2202" s="345" t="s">
        <v>208</v>
      </c>
      <c r="P2202" s="345" t="s">
        <v>209</v>
      </c>
      <c r="Q2202" s="345" t="s">
        <v>210</v>
      </c>
      <c r="R2202" s="345" t="s">
        <v>223</v>
      </c>
      <c r="S2202" s="345" t="s">
        <v>224</v>
      </c>
    </row>
    <row r="2203" spans="1:19" x14ac:dyDescent="0.25">
      <c r="A2203" s="311"/>
      <c r="B2203" s="312"/>
      <c r="C2203" s="312"/>
      <c r="D2203" s="312"/>
      <c r="E2203" s="312"/>
      <c r="F2203" s="312"/>
      <c r="G2203" s="328"/>
      <c r="H2203" s="337"/>
      <c r="I2203" s="334"/>
      <c r="J2203" s="314"/>
      <c r="K2203" s="449"/>
      <c r="M2203" s="349" t="str">
        <f>N2203&amp;AS[[#This Row],[Insurer Code]]&amp;"; "&amp;O2203&amp;AS[[#This Row],[Reporting Year]]&amp;"; "&amp;P2203&amp;AS[[#This Row],[Insurance Category Code]]&amp;"; "&amp;Q2203&amp;AS[[#This Row],[Large Provider Entity Code]]&amp;"; "&amp;R2203&amp;AS[[#This Row],[Age Band Code]]&amp;"; "&amp;S2203&amp;AS[[#This Row],[Sex Code]]</f>
        <v xml:space="preserve">Insurer Code ; Reporting Year ; Insurance Category Code ; Large Provider Entity Code ; Age Band Code ; Sex Code </v>
      </c>
      <c r="N2203" s="345" t="s">
        <v>207</v>
      </c>
      <c r="O2203" s="345" t="s">
        <v>208</v>
      </c>
      <c r="P2203" s="345" t="s">
        <v>209</v>
      </c>
      <c r="Q2203" s="345" t="s">
        <v>210</v>
      </c>
      <c r="R2203" s="345" t="s">
        <v>223</v>
      </c>
      <c r="S2203" s="345" t="s">
        <v>224</v>
      </c>
    </row>
    <row r="2204" spans="1:19" x14ac:dyDescent="0.25">
      <c r="A2204" s="311"/>
      <c r="B2204" s="312"/>
      <c r="C2204" s="312"/>
      <c r="D2204" s="312"/>
      <c r="E2204" s="312"/>
      <c r="F2204" s="312"/>
      <c r="G2204" s="328"/>
      <c r="H2204" s="337"/>
      <c r="I2204" s="334"/>
      <c r="J2204" s="314"/>
      <c r="K2204" s="449"/>
      <c r="M2204" s="349" t="str">
        <f>N2204&amp;AS[[#This Row],[Insurer Code]]&amp;"; "&amp;O2204&amp;AS[[#This Row],[Reporting Year]]&amp;"; "&amp;P2204&amp;AS[[#This Row],[Insurance Category Code]]&amp;"; "&amp;Q2204&amp;AS[[#This Row],[Large Provider Entity Code]]&amp;"; "&amp;R2204&amp;AS[[#This Row],[Age Band Code]]&amp;"; "&amp;S2204&amp;AS[[#This Row],[Sex Code]]</f>
        <v xml:space="preserve">Insurer Code ; Reporting Year ; Insurance Category Code ; Large Provider Entity Code ; Age Band Code ; Sex Code </v>
      </c>
      <c r="N2204" s="345" t="s">
        <v>207</v>
      </c>
      <c r="O2204" s="345" t="s">
        <v>208</v>
      </c>
      <c r="P2204" s="345" t="s">
        <v>209</v>
      </c>
      <c r="Q2204" s="345" t="s">
        <v>210</v>
      </c>
      <c r="R2204" s="345" t="s">
        <v>223</v>
      </c>
      <c r="S2204" s="345" t="s">
        <v>224</v>
      </c>
    </row>
    <row r="2205" spans="1:19" x14ac:dyDescent="0.25">
      <c r="A2205" s="311"/>
      <c r="B2205" s="312"/>
      <c r="C2205" s="312"/>
      <c r="D2205" s="312"/>
      <c r="E2205" s="312"/>
      <c r="F2205" s="312"/>
      <c r="G2205" s="328"/>
      <c r="H2205" s="337"/>
      <c r="I2205" s="334"/>
      <c r="J2205" s="314"/>
      <c r="K2205" s="449"/>
      <c r="M2205" s="349" t="str">
        <f>N2205&amp;AS[[#This Row],[Insurer Code]]&amp;"; "&amp;O2205&amp;AS[[#This Row],[Reporting Year]]&amp;"; "&amp;P2205&amp;AS[[#This Row],[Insurance Category Code]]&amp;"; "&amp;Q2205&amp;AS[[#This Row],[Large Provider Entity Code]]&amp;"; "&amp;R2205&amp;AS[[#This Row],[Age Band Code]]&amp;"; "&amp;S2205&amp;AS[[#This Row],[Sex Code]]</f>
        <v xml:space="preserve">Insurer Code ; Reporting Year ; Insurance Category Code ; Large Provider Entity Code ; Age Band Code ; Sex Code </v>
      </c>
      <c r="N2205" s="345" t="s">
        <v>207</v>
      </c>
      <c r="O2205" s="345" t="s">
        <v>208</v>
      </c>
      <c r="P2205" s="345" t="s">
        <v>209</v>
      </c>
      <c r="Q2205" s="345" t="s">
        <v>210</v>
      </c>
      <c r="R2205" s="345" t="s">
        <v>223</v>
      </c>
      <c r="S2205" s="345" t="s">
        <v>224</v>
      </c>
    </row>
    <row r="2206" spans="1:19" x14ac:dyDescent="0.25">
      <c r="A2206" s="311"/>
      <c r="B2206" s="312"/>
      <c r="C2206" s="312"/>
      <c r="D2206" s="312"/>
      <c r="E2206" s="312"/>
      <c r="F2206" s="312"/>
      <c r="G2206" s="328"/>
      <c r="H2206" s="337"/>
      <c r="I2206" s="334"/>
      <c r="J2206" s="314"/>
      <c r="K2206" s="449"/>
      <c r="M2206" s="349" t="str">
        <f>N2206&amp;AS[[#This Row],[Insurer Code]]&amp;"; "&amp;O2206&amp;AS[[#This Row],[Reporting Year]]&amp;"; "&amp;P2206&amp;AS[[#This Row],[Insurance Category Code]]&amp;"; "&amp;Q2206&amp;AS[[#This Row],[Large Provider Entity Code]]&amp;"; "&amp;R2206&amp;AS[[#This Row],[Age Band Code]]&amp;"; "&amp;S2206&amp;AS[[#This Row],[Sex Code]]</f>
        <v xml:space="preserve">Insurer Code ; Reporting Year ; Insurance Category Code ; Large Provider Entity Code ; Age Band Code ; Sex Code </v>
      </c>
      <c r="N2206" s="345" t="s">
        <v>207</v>
      </c>
      <c r="O2206" s="345" t="s">
        <v>208</v>
      </c>
      <c r="P2206" s="345" t="s">
        <v>209</v>
      </c>
      <c r="Q2206" s="345" t="s">
        <v>210</v>
      </c>
      <c r="R2206" s="345" t="s">
        <v>223</v>
      </c>
      <c r="S2206" s="345" t="s">
        <v>224</v>
      </c>
    </row>
    <row r="2207" spans="1:19" x14ac:dyDescent="0.25">
      <c r="A2207" s="311"/>
      <c r="B2207" s="312"/>
      <c r="C2207" s="312"/>
      <c r="D2207" s="312"/>
      <c r="E2207" s="312"/>
      <c r="F2207" s="312"/>
      <c r="G2207" s="328"/>
      <c r="H2207" s="337"/>
      <c r="I2207" s="334"/>
      <c r="J2207" s="314"/>
      <c r="K2207" s="449"/>
      <c r="M2207" s="349" t="str">
        <f>N2207&amp;AS[[#This Row],[Insurer Code]]&amp;"; "&amp;O2207&amp;AS[[#This Row],[Reporting Year]]&amp;"; "&amp;P2207&amp;AS[[#This Row],[Insurance Category Code]]&amp;"; "&amp;Q2207&amp;AS[[#This Row],[Large Provider Entity Code]]&amp;"; "&amp;R2207&amp;AS[[#This Row],[Age Band Code]]&amp;"; "&amp;S2207&amp;AS[[#This Row],[Sex Code]]</f>
        <v xml:space="preserve">Insurer Code ; Reporting Year ; Insurance Category Code ; Large Provider Entity Code ; Age Band Code ; Sex Code </v>
      </c>
      <c r="N2207" s="345" t="s">
        <v>207</v>
      </c>
      <c r="O2207" s="345" t="s">
        <v>208</v>
      </c>
      <c r="P2207" s="345" t="s">
        <v>209</v>
      </c>
      <c r="Q2207" s="345" t="s">
        <v>210</v>
      </c>
      <c r="R2207" s="345" t="s">
        <v>223</v>
      </c>
      <c r="S2207" s="345" t="s">
        <v>224</v>
      </c>
    </row>
    <row r="2208" spans="1:19" x14ac:dyDescent="0.25">
      <c r="A2208" s="311"/>
      <c r="B2208" s="312"/>
      <c r="C2208" s="312"/>
      <c r="D2208" s="312"/>
      <c r="E2208" s="312"/>
      <c r="F2208" s="312"/>
      <c r="G2208" s="328"/>
      <c r="H2208" s="337"/>
      <c r="I2208" s="334"/>
      <c r="J2208" s="314"/>
      <c r="K2208" s="449"/>
      <c r="M2208" s="349" t="str">
        <f>N2208&amp;AS[[#This Row],[Insurer Code]]&amp;"; "&amp;O2208&amp;AS[[#This Row],[Reporting Year]]&amp;"; "&amp;P2208&amp;AS[[#This Row],[Insurance Category Code]]&amp;"; "&amp;Q2208&amp;AS[[#This Row],[Large Provider Entity Code]]&amp;"; "&amp;R2208&amp;AS[[#This Row],[Age Band Code]]&amp;"; "&amp;S2208&amp;AS[[#This Row],[Sex Code]]</f>
        <v xml:space="preserve">Insurer Code ; Reporting Year ; Insurance Category Code ; Large Provider Entity Code ; Age Band Code ; Sex Code </v>
      </c>
      <c r="N2208" s="345" t="s">
        <v>207</v>
      </c>
      <c r="O2208" s="345" t="s">
        <v>208</v>
      </c>
      <c r="P2208" s="345" t="s">
        <v>209</v>
      </c>
      <c r="Q2208" s="345" t="s">
        <v>210</v>
      </c>
      <c r="R2208" s="345" t="s">
        <v>223</v>
      </c>
      <c r="S2208" s="345" t="s">
        <v>224</v>
      </c>
    </row>
    <row r="2209" spans="1:19" x14ac:dyDescent="0.25">
      <c r="A2209" s="311"/>
      <c r="B2209" s="312"/>
      <c r="C2209" s="312"/>
      <c r="D2209" s="312"/>
      <c r="E2209" s="312"/>
      <c r="F2209" s="312"/>
      <c r="G2209" s="328"/>
      <c r="H2209" s="337"/>
      <c r="I2209" s="334"/>
      <c r="J2209" s="314"/>
      <c r="K2209" s="449"/>
      <c r="M2209" s="349" t="str">
        <f>N2209&amp;AS[[#This Row],[Insurer Code]]&amp;"; "&amp;O2209&amp;AS[[#This Row],[Reporting Year]]&amp;"; "&amp;P2209&amp;AS[[#This Row],[Insurance Category Code]]&amp;"; "&amp;Q2209&amp;AS[[#This Row],[Large Provider Entity Code]]&amp;"; "&amp;R2209&amp;AS[[#This Row],[Age Band Code]]&amp;"; "&amp;S2209&amp;AS[[#This Row],[Sex Code]]</f>
        <v xml:space="preserve">Insurer Code ; Reporting Year ; Insurance Category Code ; Large Provider Entity Code ; Age Band Code ; Sex Code </v>
      </c>
      <c r="N2209" s="345" t="s">
        <v>207</v>
      </c>
      <c r="O2209" s="345" t="s">
        <v>208</v>
      </c>
      <c r="P2209" s="345" t="s">
        <v>209</v>
      </c>
      <c r="Q2209" s="345" t="s">
        <v>210</v>
      </c>
      <c r="R2209" s="345" t="s">
        <v>223</v>
      </c>
      <c r="S2209" s="345" t="s">
        <v>224</v>
      </c>
    </row>
    <row r="2210" spans="1:19" x14ac:dyDescent="0.25">
      <c r="A2210" s="311"/>
      <c r="B2210" s="312"/>
      <c r="C2210" s="312"/>
      <c r="D2210" s="312"/>
      <c r="E2210" s="312"/>
      <c r="F2210" s="312"/>
      <c r="G2210" s="328"/>
      <c r="H2210" s="337"/>
      <c r="I2210" s="334"/>
      <c r="J2210" s="314"/>
      <c r="K2210" s="449"/>
      <c r="M2210" s="349" t="str">
        <f>N2210&amp;AS[[#This Row],[Insurer Code]]&amp;"; "&amp;O2210&amp;AS[[#This Row],[Reporting Year]]&amp;"; "&amp;P2210&amp;AS[[#This Row],[Insurance Category Code]]&amp;"; "&amp;Q2210&amp;AS[[#This Row],[Large Provider Entity Code]]&amp;"; "&amp;R2210&amp;AS[[#This Row],[Age Band Code]]&amp;"; "&amp;S2210&amp;AS[[#This Row],[Sex Code]]</f>
        <v xml:space="preserve">Insurer Code ; Reporting Year ; Insurance Category Code ; Large Provider Entity Code ; Age Band Code ; Sex Code </v>
      </c>
      <c r="N2210" s="345" t="s">
        <v>207</v>
      </c>
      <c r="O2210" s="345" t="s">
        <v>208</v>
      </c>
      <c r="P2210" s="345" t="s">
        <v>209</v>
      </c>
      <c r="Q2210" s="345" t="s">
        <v>210</v>
      </c>
      <c r="R2210" s="345" t="s">
        <v>223</v>
      </c>
      <c r="S2210" s="345" t="s">
        <v>224</v>
      </c>
    </row>
    <row r="2211" spans="1:19" x14ac:dyDescent="0.25">
      <c r="A2211" s="311"/>
      <c r="B2211" s="312"/>
      <c r="C2211" s="312"/>
      <c r="D2211" s="312"/>
      <c r="E2211" s="312"/>
      <c r="F2211" s="312"/>
      <c r="G2211" s="328"/>
      <c r="H2211" s="337"/>
      <c r="I2211" s="334"/>
      <c r="J2211" s="314"/>
      <c r="K2211" s="449"/>
      <c r="M2211" s="349" t="str">
        <f>N2211&amp;AS[[#This Row],[Insurer Code]]&amp;"; "&amp;O2211&amp;AS[[#This Row],[Reporting Year]]&amp;"; "&amp;P2211&amp;AS[[#This Row],[Insurance Category Code]]&amp;"; "&amp;Q2211&amp;AS[[#This Row],[Large Provider Entity Code]]&amp;"; "&amp;R2211&amp;AS[[#This Row],[Age Band Code]]&amp;"; "&amp;S2211&amp;AS[[#This Row],[Sex Code]]</f>
        <v xml:space="preserve">Insurer Code ; Reporting Year ; Insurance Category Code ; Large Provider Entity Code ; Age Band Code ; Sex Code </v>
      </c>
      <c r="N2211" s="345" t="s">
        <v>207</v>
      </c>
      <c r="O2211" s="345" t="s">
        <v>208</v>
      </c>
      <c r="P2211" s="345" t="s">
        <v>209</v>
      </c>
      <c r="Q2211" s="345" t="s">
        <v>210</v>
      </c>
      <c r="R2211" s="345" t="s">
        <v>223</v>
      </c>
      <c r="S2211" s="345" t="s">
        <v>224</v>
      </c>
    </row>
    <row r="2212" spans="1:19" x14ac:dyDescent="0.25">
      <c r="A2212" s="311"/>
      <c r="B2212" s="312"/>
      <c r="C2212" s="312"/>
      <c r="D2212" s="312"/>
      <c r="E2212" s="312"/>
      <c r="F2212" s="312"/>
      <c r="G2212" s="328"/>
      <c r="H2212" s="337"/>
      <c r="I2212" s="334"/>
      <c r="J2212" s="314"/>
      <c r="K2212" s="449"/>
      <c r="M2212" s="349" t="str">
        <f>N2212&amp;AS[[#This Row],[Insurer Code]]&amp;"; "&amp;O2212&amp;AS[[#This Row],[Reporting Year]]&amp;"; "&amp;P2212&amp;AS[[#This Row],[Insurance Category Code]]&amp;"; "&amp;Q2212&amp;AS[[#This Row],[Large Provider Entity Code]]&amp;"; "&amp;R2212&amp;AS[[#This Row],[Age Band Code]]&amp;"; "&amp;S2212&amp;AS[[#This Row],[Sex Code]]</f>
        <v xml:space="preserve">Insurer Code ; Reporting Year ; Insurance Category Code ; Large Provider Entity Code ; Age Band Code ; Sex Code </v>
      </c>
      <c r="N2212" s="345" t="s">
        <v>207</v>
      </c>
      <c r="O2212" s="345" t="s">
        <v>208</v>
      </c>
      <c r="P2212" s="345" t="s">
        <v>209</v>
      </c>
      <c r="Q2212" s="345" t="s">
        <v>210</v>
      </c>
      <c r="R2212" s="345" t="s">
        <v>223</v>
      </c>
      <c r="S2212" s="345" t="s">
        <v>224</v>
      </c>
    </row>
    <row r="2213" spans="1:19" x14ac:dyDescent="0.25">
      <c r="A2213" s="311"/>
      <c r="B2213" s="312"/>
      <c r="C2213" s="312"/>
      <c r="D2213" s="312"/>
      <c r="E2213" s="312"/>
      <c r="F2213" s="312"/>
      <c r="G2213" s="328"/>
      <c r="H2213" s="337"/>
      <c r="I2213" s="334"/>
      <c r="J2213" s="314"/>
      <c r="K2213" s="449"/>
      <c r="M2213" s="349" t="str">
        <f>N2213&amp;AS[[#This Row],[Insurer Code]]&amp;"; "&amp;O2213&amp;AS[[#This Row],[Reporting Year]]&amp;"; "&amp;P2213&amp;AS[[#This Row],[Insurance Category Code]]&amp;"; "&amp;Q2213&amp;AS[[#This Row],[Large Provider Entity Code]]&amp;"; "&amp;R2213&amp;AS[[#This Row],[Age Band Code]]&amp;"; "&amp;S2213&amp;AS[[#This Row],[Sex Code]]</f>
        <v xml:space="preserve">Insurer Code ; Reporting Year ; Insurance Category Code ; Large Provider Entity Code ; Age Band Code ; Sex Code </v>
      </c>
      <c r="N2213" s="345" t="s">
        <v>207</v>
      </c>
      <c r="O2213" s="345" t="s">
        <v>208</v>
      </c>
      <c r="P2213" s="345" t="s">
        <v>209</v>
      </c>
      <c r="Q2213" s="345" t="s">
        <v>210</v>
      </c>
      <c r="R2213" s="345" t="s">
        <v>223</v>
      </c>
      <c r="S2213" s="345" t="s">
        <v>224</v>
      </c>
    </row>
    <row r="2214" spans="1:19" x14ac:dyDescent="0.25">
      <c r="A2214" s="311"/>
      <c r="B2214" s="312"/>
      <c r="C2214" s="312"/>
      <c r="D2214" s="312"/>
      <c r="E2214" s="312"/>
      <c r="F2214" s="312"/>
      <c r="G2214" s="328"/>
      <c r="H2214" s="337"/>
      <c r="I2214" s="334"/>
      <c r="J2214" s="314"/>
      <c r="K2214" s="449"/>
      <c r="M2214" s="349" t="str">
        <f>N2214&amp;AS[[#This Row],[Insurer Code]]&amp;"; "&amp;O2214&amp;AS[[#This Row],[Reporting Year]]&amp;"; "&amp;P2214&amp;AS[[#This Row],[Insurance Category Code]]&amp;"; "&amp;Q2214&amp;AS[[#This Row],[Large Provider Entity Code]]&amp;"; "&amp;R2214&amp;AS[[#This Row],[Age Band Code]]&amp;"; "&amp;S2214&amp;AS[[#This Row],[Sex Code]]</f>
        <v xml:space="preserve">Insurer Code ; Reporting Year ; Insurance Category Code ; Large Provider Entity Code ; Age Band Code ; Sex Code </v>
      </c>
      <c r="N2214" s="345" t="s">
        <v>207</v>
      </c>
      <c r="O2214" s="345" t="s">
        <v>208</v>
      </c>
      <c r="P2214" s="345" t="s">
        <v>209</v>
      </c>
      <c r="Q2214" s="345" t="s">
        <v>210</v>
      </c>
      <c r="R2214" s="345" t="s">
        <v>223</v>
      </c>
      <c r="S2214" s="345" t="s">
        <v>224</v>
      </c>
    </row>
    <row r="2215" spans="1:19" x14ac:dyDescent="0.25">
      <c r="A2215" s="311"/>
      <c r="B2215" s="312"/>
      <c r="C2215" s="312"/>
      <c r="D2215" s="312"/>
      <c r="E2215" s="312"/>
      <c r="F2215" s="312"/>
      <c r="G2215" s="328"/>
      <c r="H2215" s="337"/>
      <c r="I2215" s="334"/>
      <c r="J2215" s="314"/>
      <c r="K2215" s="449"/>
      <c r="M2215" s="349" t="str">
        <f>N2215&amp;AS[[#This Row],[Insurer Code]]&amp;"; "&amp;O2215&amp;AS[[#This Row],[Reporting Year]]&amp;"; "&amp;P2215&amp;AS[[#This Row],[Insurance Category Code]]&amp;"; "&amp;Q2215&amp;AS[[#This Row],[Large Provider Entity Code]]&amp;"; "&amp;R2215&amp;AS[[#This Row],[Age Band Code]]&amp;"; "&amp;S2215&amp;AS[[#This Row],[Sex Code]]</f>
        <v xml:space="preserve">Insurer Code ; Reporting Year ; Insurance Category Code ; Large Provider Entity Code ; Age Band Code ; Sex Code </v>
      </c>
      <c r="N2215" s="345" t="s">
        <v>207</v>
      </c>
      <c r="O2215" s="345" t="s">
        <v>208</v>
      </c>
      <c r="P2215" s="345" t="s">
        <v>209</v>
      </c>
      <c r="Q2215" s="345" t="s">
        <v>210</v>
      </c>
      <c r="R2215" s="345" t="s">
        <v>223</v>
      </c>
      <c r="S2215" s="345" t="s">
        <v>224</v>
      </c>
    </row>
    <row r="2216" spans="1:19" x14ac:dyDescent="0.25">
      <c r="A2216" s="311"/>
      <c r="B2216" s="312"/>
      <c r="C2216" s="312"/>
      <c r="D2216" s="312"/>
      <c r="E2216" s="312"/>
      <c r="F2216" s="312"/>
      <c r="G2216" s="328"/>
      <c r="H2216" s="337"/>
      <c r="I2216" s="334"/>
      <c r="J2216" s="314"/>
      <c r="K2216" s="449"/>
      <c r="M2216" s="349" t="str">
        <f>N2216&amp;AS[[#This Row],[Insurer Code]]&amp;"; "&amp;O2216&amp;AS[[#This Row],[Reporting Year]]&amp;"; "&amp;P2216&amp;AS[[#This Row],[Insurance Category Code]]&amp;"; "&amp;Q2216&amp;AS[[#This Row],[Large Provider Entity Code]]&amp;"; "&amp;R2216&amp;AS[[#This Row],[Age Band Code]]&amp;"; "&amp;S2216&amp;AS[[#This Row],[Sex Code]]</f>
        <v xml:space="preserve">Insurer Code ; Reporting Year ; Insurance Category Code ; Large Provider Entity Code ; Age Band Code ; Sex Code </v>
      </c>
      <c r="N2216" s="345" t="s">
        <v>207</v>
      </c>
      <c r="O2216" s="345" t="s">
        <v>208</v>
      </c>
      <c r="P2216" s="345" t="s">
        <v>209</v>
      </c>
      <c r="Q2216" s="345" t="s">
        <v>210</v>
      </c>
      <c r="R2216" s="345" t="s">
        <v>223</v>
      </c>
      <c r="S2216" s="345" t="s">
        <v>224</v>
      </c>
    </row>
    <row r="2217" spans="1:19" x14ac:dyDescent="0.25">
      <c r="A2217" s="311"/>
      <c r="B2217" s="312"/>
      <c r="C2217" s="312"/>
      <c r="D2217" s="312"/>
      <c r="E2217" s="312"/>
      <c r="F2217" s="312"/>
      <c r="G2217" s="328"/>
      <c r="H2217" s="337"/>
      <c r="I2217" s="334"/>
      <c r="J2217" s="314"/>
      <c r="K2217" s="449"/>
      <c r="M2217" s="349" t="str">
        <f>N2217&amp;AS[[#This Row],[Insurer Code]]&amp;"; "&amp;O2217&amp;AS[[#This Row],[Reporting Year]]&amp;"; "&amp;P2217&amp;AS[[#This Row],[Insurance Category Code]]&amp;"; "&amp;Q2217&amp;AS[[#This Row],[Large Provider Entity Code]]&amp;"; "&amp;R2217&amp;AS[[#This Row],[Age Band Code]]&amp;"; "&amp;S2217&amp;AS[[#This Row],[Sex Code]]</f>
        <v xml:space="preserve">Insurer Code ; Reporting Year ; Insurance Category Code ; Large Provider Entity Code ; Age Band Code ; Sex Code </v>
      </c>
      <c r="N2217" s="345" t="s">
        <v>207</v>
      </c>
      <c r="O2217" s="345" t="s">
        <v>208</v>
      </c>
      <c r="P2217" s="345" t="s">
        <v>209</v>
      </c>
      <c r="Q2217" s="345" t="s">
        <v>210</v>
      </c>
      <c r="R2217" s="345" t="s">
        <v>223</v>
      </c>
      <c r="S2217" s="345" t="s">
        <v>224</v>
      </c>
    </row>
    <row r="2218" spans="1:19" x14ac:dyDescent="0.25">
      <c r="A2218" s="311"/>
      <c r="B2218" s="312"/>
      <c r="C2218" s="312"/>
      <c r="D2218" s="312"/>
      <c r="E2218" s="312"/>
      <c r="F2218" s="312"/>
      <c r="G2218" s="328"/>
      <c r="H2218" s="337"/>
      <c r="I2218" s="334"/>
      <c r="J2218" s="314"/>
      <c r="K2218" s="449"/>
      <c r="M2218" s="349" t="str">
        <f>N2218&amp;AS[[#This Row],[Insurer Code]]&amp;"; "&amp;O2218&amp;AS[[#This Row],[Reporting Year]]&amp;"; "&amp;P2218&amp;AS[[#This Row],[Insurance Category Code]]&amp;"; "&amp;Q2218&amp;AS[[#This Row],[Large Provider Entity Code]]&amp;"; "&amp;R2218&amp;AS[[#This Row],[Age Band Code]]&amp;"; "&amp;S2218&amp;AS[[#This Row],[Sex Code]]</f>
        <v xml:space="preserve">Insurer Code ; Reporting Year ; Insurance Category Code ; Large Provider Entity Code ; Age Band Code ; Sex Code </v>
      </c>
      <c r="N2218" s="345" t="s">
        <v>207</v>
      </c>
      <c r="O2218" s="345" t="s">
        <v>208</v>
      </c>
      <c r="P2218" s="345" t="s">
        <v>209</v>
      </c>
      <c r="Q2218" s="345" t="s">
        <v>210</v>
      </c>
      <c r="R2218" s="345" t="s">
        <v>223</v>
      </c>
      <c r="S2218" s="345" t="s">
        <v>224</v>
      </c>
    </row>
    <row r="2219" spans="1:19" x14ac:dyDescent="0.25">
      <c r="A2219" s="311"/>
      <c r="B2219" s="312"/>
      <c r="C2219" s="312"/>
      <c r="D2219" s="312"/>
      <c r="E2219" s="312"/>
      <c r="F2219" s="312"/>
      <c r="G2219" s="328"/>
      <c r="H2219" s="337"/>
      <c r="I2219" s="334"/>
      <c r="J2219" s="314"/>
      <c r="K2219" s="449"/>
      <c r="M2219" s="349" t="str">
        <f>N2219&amp;AS[[#This Row],[Insurer Code]]&amp;"; "&amp;O2219&amp;AS[[#This Row],[Reporting Year]]&amp;"; "&amp;P2219&amp;AS[[#This Row],[Insurance Category Code]]&amp;"; "&amp;Q2219&amp;AS[[#This Row],[Large Provider Entity Code]]&amp;"; "&amp;R2219&amp;AS[[#This Row],[Age Band Code]]&amp;"; "&amp;S2219&amp;AS[[#This Row],[Sex Code]]</f>
        <v xml:space="preserve">Insurer Code ; Reporting Year ; Insurance Category Code ; Large Provider Entity Code ; Age Band Code ; Sex Code </v>
      </c>
      <c r="N2219" s="345" t="s">
        <v>207</v>
      </c>
      <c r="O2219" s="345" t="s">
        <v>208</v>
      </c>
      <c r="P2219" s="345" t="s">
        <v>209</v>
      </c>
      <c r="Q2219" s="345" t="s">
        <v>210</v>
      </c>
      <c r="R2219" s="345" t="s">
        <v>223</v>
      </c>
      <c r="S2219" s="345" t="s">
        <v>224</v>
      </c>
    </row>
    <row r="2220" spans="1:19" x14ac:dyDescent="0.25">
      <c r="A2220" s="311"/>
      <c r="B2220" s="312"/>
      <c r="C2220" s="312"/>
      <c r="D2220" s="312"/>
      <c r="E2220" s="312"/>
      <c r="F2220" s="312"/>
      <c r="G2220" s="328"/>
      <c r="H2220" s="337"/>
      <c r="I2220" s="334"/>
      <c r="J2220" s="314"/>
      <c r="K2220" s="449"/>
      <c r="M2220" s="349" t="str">
        <f>N2220&amp;AS[[#This Row],[Insurer Code]]&amp;"; "&amp;O2220&amp;AS[[#This Row],[Reporting Year]]&amp;"; "&amp;P2220&amp;AS[[#This Row],[Insurance Category Code]]&amp;"; "&amp;Q2220&amp;AS[[#This Row],[Large Provider Entity Code]]&amp;"; "&amp;R2220&amp;AS[[#This Row],[Age Band Code]]&amp;"; "&amp;S2220&amp;AS[[#This Row],[Sex Code]]</f>
        <v xml:space="preserve">Insurer Code ; Reporting Year ; Insurance Category Code ; Large Provider Entity Code ; Age Band Code ; Sex Code </v>
      </c>
      <c r="N2220" s="345" t="s">
        <v>207</v>
      </c>
      <c r="O2220" s="345" t="s">
        <v>208</v>
      </c>
      <c r="P2220" s="345" t="s">
        <v>209</v>
      </c>
      <c r="Q2220" s="345" t="s">
        <v>210</v>
      </c>
      <c r="R2220" s="345" t="s">
        <v>223</v>
      </c>
      <c r="S2220" s="345" t="s">
        <v>224</v>
      </c>
    </row>
    <row r="2221" spans="1:19" x14ac:dyDescent="0.25">
      <c r="A2221" s="311"/>
      <c r="B2221" s="312"/>
      <c r="C2221" s="312"/>
      <c r="D2221" s="312"/>
      <c r="E2221" s="312"/>
      <c r="F2221" s="312"/>
      <c r="G2221" s="328"/>
      <c r="H2221" s="337"/>
      <c r="I2221" s="334"/>
      <c r="J2221" s="314"/>
      <c r="K2221" s="449"/>
      <c r="M2221" s="349" t="str">
        <f>N2221&amp;AS[[#This Row],[Insurer Code]]&amp;"; "&amp;O2221&amp;AS[[#This Row],[Reporting Year]]&amp;"; "&amp;P2221&amp;AS[[#This Row],[Insurance Category Code]]&amp;"; "&amp;Q2221&amp;AS[[#This Row],[Large Provider Entity Code]]&amp;"; "&amp;R2221&amp;AS[[#This Row],[Age Band Code]]&amp;"; "&amp;S2221&amp;AS[[#This Row],[Sex Code]]</f>
        <v xml:space="preserve">Insurer Code ; Reporting Year ; Insurance Category Code ; Large Provider Entity Code ; Age Band Code ; Sex Code </v>
      </c>
      <c r="N2221" s="345" t="s">
        <v>207</v>
      </c>
      <c r="O2221" s="345" t="s">
        <v>208</v>
      </c>
      <c r="P2221" s="345" t="s">
        <v>209</v>
      </c>
      <c r="Q2221" s="345" t="s">
        <v>210</v>
      </c>
      <c r="R2221" s="345" t="s">
        <v>223</v>
      </c>
      <c r="S2221" s="345" t="s">
        <v>224</v>
      </c>
    </row>
    <row r="2222" spans="1:19" x14ac:dyDescent="0.25">
      <c r="A2222" s="311"/>
      <c r="B2222" s="312"/>
      <c r="C2222" s="312"/>
      <c r="D2222" s="312"/>
      <c r="E2222" s="312"/>
      <c r="F2222" s="312"/>
      <c r="G2222" s="328"/>
      <c r="H2222" s="337"/>
      <c r="I2222" s="334"/>
      <c r="J2222" s="314"/>
      <c r="K2222" s="449"/>
      <c r="M2222" s="349" t="str">
        <f>N2222&amp;AS[[#This Row],[Insurer Code]]&amp;"; "&amp;O2222&amp;AS[[#This Row],[Reporting Year]]&amp;"; "&amp;P2222&amp;AS[[#This Row],[Insurance Category Code]]&amp;"; "&amp;Q2222&amp;AS[[#This Row],[Large Provider Entity Code]]&amp;"; "&amp;R2222&amp;AS[[#This Row],[Age Band Code]]&amp;"; "&amp;S2222&amp;AS[[#This Row],[Sex Code]]</f>
        <v xml:space="preserve">Insurer Code ; Reporting Year ; Insurance Category Code ; Large Provider Entity Code ; Age Band Code ; Sex Code </v>
      </c>
      <c r="N2222" s="345" t="s">
        <v>207</v>
      </c>
      <c r="O2222" s="345" t="s">
        <v>208</v>
      </c>
      <c r="P2222" s="345" t="s">
        <v>209</v>
      </c>
      <c r="Q2222" s="345" t="s">
        <v>210</v>
      </c>
      <c r="R2222" s="345" t="s">
        <v>223</v>
      </c>
      <c r="S2222" s="345" t="s">
        <v>224</v>
      </c>
    </row>
    <row r="2223" spans="1:19" x14ac:dyDescent="0.25">
      <c r="A2223" s="311"/>
      <c r="B2223" s="312"/>
      <c r="C2223" s="312"/>
      <c r="D2223" s="312"/>
      <c r="E2223" s="312"/>
      <c r="F2223" s="312"/>
      <c r="G2223" s="328"/>
      <c r="H2223" s="337"/>
      <c r="I2223" s="334"/>
      <c r="J2223" s="314"/>
      <c r="K2223" s="449"/>
      <c r="M2223" s="349" t="str">
        <f>N2223&amp;AS[[#This Row],[Insurer Code]]&amp;"; "&amp;O2223&amp;AS[[#This Row],[Reporting Year]]&amp;"; "&amp;P2223&amp;AS[[#This Row],[Insurance Category Code]]&amp;"; "&amp;Q2223&amp;AS[[#This Row],[Large Provider Entity Code]]&amp;"; "&amp;R2223&amp;AS[[#This Row],[Age Band Code]]&amp;"; "&amp;S2223&amp;AS[[#This Row],[Sex Code]]</f>
        <v xml:space="preserve">Insurer Code ; Reporting Year ; Insurance Category Code ; Large Provider Entity Code ; Age Band Code ; Sex Code </v>
      </c>
      <c r="N2223" s="345" t="s">
        <v>207</v>
      </c>
      <c r="O2223" s="345" t="s">
        <v>208</v>
      </c>
      <c r="P2223" s="345" t="s">
        <v>209</v>
      </c>
      <c r="Q2223" s="345" t="s">
        <v>210</v>
      </c>
      <c r="R2223" s="345" t="s">
        <v>223</v>
      </c>
      <c r="S2223" s="345" t="s">
        <v>224</v>
      </c>
    </row>
    <row r="2224" spans="1:19" x14ac:dyDescent="0.25">
      <c r="A2224" s="311"/>
      <c r="B2224" s="312"/>
      <c r="C2224" s="312"/>
      <c r="D2224" s="312"/>
      <c r="E2224" s="312"/>
      <c r="F2224" s="312"/>
      <c r="G2224" s="328"/>
      <c r="H2224" s="337"/>
      <c r="I2224" s="334"/>
      <c r="J2224" s="314"/>
      <c r="K2224" s="449"/>
      <c r="M2224" s="349" t="str">
        <f>N2224&amp;AS[[#This Row],[Insurer Code]]&amp;"; "&amp;O2224&amp;AS[[#This Row],[Reporting Year]]&amp;"; "&amp;P2224&amp;AS[[#This Row],[Insurance Category Code]]&amp;"; "&amp;Q2224&amp;AS[[#This Row],[Large Provider Entity Code]]&amp;"; "&amp;R2224&amp;AS[[#This Row],[Age Band Code]]&amp;"; "&amp;S2224&amp;AS[[#This Row],[Sex Code]]</f>
        <v xml:space="preserve">Insurer Code ; Reporting Year ; Insurance Category Code ; Large Provider Entity Code ; Age Band Code ; Sex Code </v>
      </c>
      <c r="N2224" s="345" t="s">
        <v>207</v>
      </c>
      <c r="O2224" s="345" t="s">
        <v>208</v>
      </c>
      <c r="P2224" s="345" t="s">
        <v>209</v>
      </c>
      <c r="Q2224" s="345" t="s">
        <v>210</v>
      </c>
      <c r="R2224" s="345" t="s">
        <v>223</v>
      </c>
      <c r="S2224" s="345" t="s">
        <v>224</v>
      </c>
    </row>
    <row r="2225" spans="1:19" x14ac:dyDescent="0.25">
      <c r="A2225" s="311"/>
      <c r="B2225" s="312"/>
      <c r="C2225" s="312"/>
      <c r="D2225" s="312"/>
      <c r="E2225" s="312"/>
      <c r="F2225" s="312"/>
      <c r="G2225" s="328"/>
      <c r="H2225" s="337"/>
      <c r="I2225" s="334"/>
      <c r="J2225" s="314"/>
      <c r="K2225" s="449"/>
      <c r="M2225" s="349" t="str">
        <f>N2225&amp;AS[[#This Row],[Insurer Code]]&amp;"; "&amp;O2225&amp;AS[[#This Row],[Reporting Year]]&amp;"; "&amp;P2225&amp;AS[[#This Row],[Insurance Category Code]]&amp;"; "&amp;Q2225&amp;AS[[#This Row],[Large Provider Entity Code]]&amp;"; "&amp;R2225&amp;AS[[#This Row],[Age Band Code]]&amp;"; "&amp;S2225&amp;AS[[#This Row],[Sex Code]]</f>
        <v xml:space="preserve">Insurer Code ; Reporting Year ; Insurance Category Code ; Large Provider Entity Code ; Age Band Code ; Sex Code </v>
      </c>
      <c r="N2225" s="345" t="s">
        <v>207</v>
      </c>
      <c r="O2225" s="345" t="s">
        <v>208</v>
      </c>
      <c r="P2225" s="345" t="s">
        <v>209</v>
      </c>
      <c r="Q2225" s="345" t="s">
        <v>210</v>
      </c>
      <c r="R2225" s="345" t="s">
        <v>223</v>
      </c>
      <c r="S2225" s="345" t="s">
        <v>224</v>
      </c>
    </row>
    <row r="2226" spans="1:19" x14ac:dyDescent="0.25">
      <c r="A2226" s="311"/>
      <c r="B2226" s="312"/>
      <c r="C2226" s="312"/>
      <c r="D2226" s="312"/>
      <c r="E2226" s="312"/>
      <c r="F2226" s="312"/>
      <c r="G2226" s="328"/>
      <c r="H2226" s="337"/>
      <c r="I2226" s="334"/>
      <c r="J2226" s="314"/>
      <c r="K2226" s="449"/>
      <c r="M2226" s="349" t="str">
        <f>N2226&amp;AS[[#This Row],[Insurer Code]]&amp;"; "&amp;O2226&amp;AS[[#This Row],[Reporting Year]]&amp;"; "&amp;P2226&amp;AS[[#This Row],[Insurance Category Code]]&amp;"; "&amp;Q2226&amp;AS[[#This Row],[Large Provider Entity Code]]&amp;"; "&amp;R2226&amp;AS[[#This Row],[Age Band Code]]&amp;"; "&amp;S2226&amp;AS[[#This Row],[Sex Code]]</f>
        <v xml:space="preserve">Insurer Code ; Reporting Year ; Insurance Category Code ; Large Provider Entity Code ; Age Band Code ; Sex Code </v>
      </c>
      <c r="N2226" s="345" t="s">
        <v>207</v>
      </c>
      <c r="O2226" s="345" t="s">
        <v>208</v>
      </c>
      <c r="P2226" s="345" t="s">
        <v>209</v>
      </c>
      <c r="Q2226" s="345" t="s">
        <v>210</v>
      </c>
      <c r="R2226" s="345" t="s">
        <v>223</v>
      </c>
      <c r="S2226" s="345" t="s">
        <v>224</v>
      </c>
    </row>
    <row r="2227" spans="1:19" x14ac:dyDescent="0.25">
      <c r="A2227" s="311"/>
      <c r="B2227" s="312"/>
      <c r="C2227" s="312"/>
      <c r="D2227" s="312"/>
      <c r="E2227" s="312"/>
      <c r="F2227" s="312"/>
      <c r="G2227" s="328"/>
      <c r="H2227" s="337"/>
      <c r="I2227" s="334"/>
      <c r="J2227" s="314"/>
      <c r="K2227" s="449"/>
      <c r="M2227" s="349" t="str">
        <f>N2227&amp;AS[[#This Row],[Insurer Code]]&amp;"; "&amp;O2227&amp;AS[[#This Row],[Reporting Year]]&amp;"; "&amp;P2227&amp;AS[[#This Row],[Insurance Category Code]]&amp;"; "&amp;Q2227&amp;AS[[#This Row],[Large Provider Entity Code]]&amp;"; "&amp;R2227&amp;AS[[#This Row],[Age Band Code]]&amp;"; "&amp;S2227&amp;AS[[#This Row],[Sex Code]]</f>
        <v xml:space="preserve">Insurer Code ; Reporting Year ; Insurance Category Code ; Large Provider Entity Code ; Age Band Code ; Sex Code </v>
      </c>
      <c r="N2227" s="345" t="s">
        <v>207</v>
      </c>
      <c r="O2227" s="345" t="s">
        <v>208</v>
      </c>
      <c r="P2227" s="345" t="s">
        <v>209</v>
      </c>
      <c r="Q2227" s="345" t="s">
        <v>210</v>
      </c>
      <c r="R2227" s="345" t="s">
        <v>223</v>
      </c>
      <c r="S2227" s="345" t="s">
        <v>224</v>
      </c>
    </row>
    <row r="2228" spans="1:19" x14ac:dyDescent="0.25">
      <c r="A2228" s="311"/>
      <c r="B2228" s="312"/>
      <c r="C2228" s="312"/>
      <c r="D2228" s="312"/>
      <c r="E2228" s="312"/>
      <c r="F2228" s="312"/>
      <c r="G2228" s="328"/>
      <c r="H2228" s="337"/>
      <c r="I2228" s="334"/>
      <c r="J2228" s="314"/>
      <c r="K2228" s="449"/>
      <c r="M2228" s="349" t="str">
        <f>N2228&amp;AS[[#This Row],[Insurer Code]]&amp;"; "&amp;O2228&amp;AS[[#This Row],[Reporting Year]]&amp;"; "&amp;P2228&amp;AS[[#This Row],[Insurance Category Code]]&amp;"; "&amp;Q2228&amp;AS[[#This Row],[Large Provider Entity Code]]&amp;"; "&amp;R2228&amp;AS[[#This Row],[Age Band Code]]&amp;"; "&amp;S2228&amp;AS[[#This Row],[Sex Code]]</f>
        <v xml:space="preserve">Insurer Code ; Reporting Year ; Insurance Category Code ; Large Provider Entity Code ; Age Band Code ; Sex Code </v>
      </c>
      <c r="N2228" s="345" t="s">
        <v>207</v>
      </c>
      <c r="O2228" s="345" t="s">
        <v>208</v>
      </c>
      <c r="P2228" s="345" t="s">
        <v>209</v>
      </c>
      <c r="Q2228" s="345" t="s">
        <v>210</v>
      </c>
      <c r="R2228" s="345" t="s">
        <v>223</v>
      </c>
      <c r="S2228" s="345" t="s">
        <v>224</v>
      </c>
    </row>
    <row r="2229" spans="1:19" x14ac:dyDescent="0.25">
      <c r="A2229" s="311"/>
      <c r="B2229" s="312"/>
      <c r="C2229" s="312"/>
      <c r="D2229" s="312"/>
      <c r="E2229" s="312"/>
      <c r="F2229" s="312"/>
      <c r="G2229" s="328"/>
      <c r="H2229" s="337"/>
      <c r="I2229" s="334"/>
      <c r="J2229" s="314"/>
      <c r="K2229" s="449"/>
      <c r="M2229" s="349" t="str">
        <f>N2229&amp;AS[[#This Row],[Insurer Code]]&amp;"; "&amp;O2229&amp;AS[[#This Row],[Reporting Year]]&amp;"; "&amp;P2229&amp;AS[[#This Row],[Insurance Category Code]]&amp;"; "&amp;Q2229&amp;AS[[#This Row],[Large Provider Entity Code]]&amp;"; "&amp;R2229&amp;AS[[#This Row],[Age Band Code]]&amp;"; "&amp;S2229&amp;AS[[#This Row],[Sex Code]]</f>
        <v xml:space="preserve">Insurer Code ; Reporting Year ; Insurance Category Code ; Large Provider Entity Code ; Age Band Code ; Sex Code </v>
      </c>
      <c r="N2229" s="345" t="s">
        <v>207</v>
      </c>
      <c r="O2229" s="345" t="s">
        <v>208</v>
      </c>
      <c r="P2229" s="345" t="s">
        <v>209</v>
      </c>
      <c r="Q2229" s="345" t="s">
        <v>210</v>
      </c>
      <c r="R2229" s="345" t="s">
        <v>223</v>
      </c>
      <c r="S2229" s="345" t="s">
        <v>224</v>
      </c>
    </row>
    <row r="2230" spans="1:19" x14ac:dyDescent="0.25">
      <c r="A2230" s="311"/>
      <c r="B2230" s="312"/>
      <c r="C2230" s="312"/>
      <c r="D2230" s="312"/>
      <c r="E2230" s="312"/>
      <c r="F2230" s="312"/>
      <c r="G2230" s="328"/>
      <c r="H2230" s="337"/>
      <c r="I2230" s="334"/>
      <c r="J2230" s="314"/>
      <c r="K2230" s="449"/>
      <c r="M2230" s="349" t="str">
        <f>N2230&amp;AS[[#This Row],[Insurer Code]]&amp;"; "&amp;O2230&amp;AS[[#This Row],[Reporting Year]]&amp;"; "&amp;P2230&amp;AS[[#This Row],[Insurance Category Code]]&amp;"; "&amp;Q2230&amp;AS[[#This Row],[Large Provider Entity Code]]&amp;"; "&amp;R2230&amp;AS[[#This Row],[Age Band Code]]&amp;"; "&amp;S2230&amp;AS[[#This Row],[Sex Code]]</f>
        <v xml:space="preserve">Insurer Code ; Reporting Year ; Insurance Category Code ; Large Provider Entity Code ; Age Band Code ; Sex Code </v>
      </c>
      <c r="N2230" s="345" t="s">
        <v>207</v>
      </c>
      <c r="O2230" s="345" t="s">
        <v>208</v>
      </c>
      <c r="P2230" s="345" t="s">
        <v>209</v>
      </c>
      <c r="Q2230" s="345" t="s">
        <v>210</v>
      </c>
      <c r="R2230" s="345" t="s">
        <v>223</v>
      </c>
      <c r="S2230" s="345" t="s">
        <v>224</v>
      </c>
    </row>
    <row r="2231" spans="1:19" x14ac:dyDescent="0.25">
      <c r="A2231" s="311"/>
      <c r="B2231" s="312"/>
      <c r="C2231" s="312"/>
      <c r="D2231" s="312"/>
      <c r="E2231" s="312"/>
      <c r="F2231" s="312"/>
      <c r="G2231" s="328"/>
      <c r="H2231" s="337"/>
      <c r="I2231" s="334"/>
      <c r="J2231" s="314"/>
      <c r="K2231" s="449"/>
      <c r="M2231" s="349" t="str">
        <f>N2231&amp;AS[[#This Row],[Insurer Code]]&amp;"; "&amp;O2231&amp;AS[[#This Row],[Reporting Year]]&amp;"; "&amp;P2231&amp;AS[[#This Row],[Insurance Category Code]]&amp;"; "&amp;Q2231&amp;AS[[#This Row],[Large Provider Entity Code]]&amp;"; "&amp;R2231&amp;AS[[#This Row],[Age Band Code]]&amp;"; "&amp;S2231&amp;AS[[#This Row],[Sex Code]]</f>
        <v xml:space="preserve">Insurer Code ; Reporting Year ; Insurance Category Code ; Large Provider Entity Code ; Age Band Code ; Sex Code </v>
      </c>
      <c r="N2231" s="345" t="s">
        <v>207</v>
      </c>
      <c r="O2231" s="345" t="s">
        <v>208</v>
      </c>
      <c r="P2231" s="345" t="s">
        <v>209</v>
      </c>
      <c r="Q2231" s="345" t="s">
        <v>210</v>
      </c>
      <c r="R2231" s="345" t="s">
        <v>223</v>
      </c>
      <c r="S2231" s="345" t="s">
        <v>224</v>
      </c>
    </row>
    <row r="2232" spans="1:19" x14ac:dyDescent="0.25">
      <c r="A2232" s="311"/>
      <c r="B2232" s="312"/>
      <c r="C2232" s="312"/>
      <c r="D2232" s="312"/>
      <c r="E2232" s="312"/>
      <c r="F2232" s="312"/>
      <c r="G2232" s="328"/>
      <c r="H2232" s="337"/>
      <c r="I2232" s="334"/>
      <c r="J2232" s="314"/>
      <c r="K2232" s="449"/>
      <c r="M2232" s="349" t="str">
        <f>N2232&amp;AS[[#This Row],[Insurer Code]]&amp;"; "&amp;O2232&amp;AS[[#This Row],[Reporting Year]]&amp;"; "&amp;P2232&amp;AS[[#This Row],[Insurance Category Code]]&amp;"; "&amp;Q2232&amp;AS[[#This Row],[Large Provider Entity Code]]&amp;"; "&amp;R2232&amp;AS[[#This Row],[Age Band Code]]&amp;"; "&amp;S2232&amp;AS[[#This Row],[Sex Code]]</f>
        <v xml:space="preserve">Insurer Code ; Reporting Year ; Insurance Category Code ; Large Provider Entity Code ; Age Band Code ; Sex Code </v>
      </c>
      <c r="N2232" s="345" t="s">
        <v>207</v>
      </c>
      <c r="O2232" s="345" t="s">
        <v>208</v>
      </c>
      <c r="P2232" s="345" t="s">
        <v>209</v>
      </c>
      <c r="Q2232" s="345" t="s">
        <v>210</v>
      </c>
      <c r="R2232" s="345" t="s">
        <v>223</v>
      </c>
      <c r="S2232" s="345" t="s">
        <v>224</v>
      </c>
    </row>
    <row r="2233" spans="1:19" x14ac:dyDescent="0.25">
      <c r="A2233" s="311"/>
      <c r="B2233" s="312"/>
      <c r="C2233" s="312"/>
      <c r="D2233" s="312"/>
      <c r="E2233" s="312"/>
      <c r="F2233" s="312"/>
      <c r="G2233" s="328"/>
      <c r="H2233" s="337"/>
      <c r="I2233" s="334"/>
      <c r="J2233" s="314"/>
      <c r="K2233" s="449"/>
      <c r="M2233" s="349" t="str">
        <f>N2233&amp;AS[[#This Row],[Insurer Code]]&amp;"; "&amp;O2233&amp;AS[[#This Row],[Reporting Year]]&amp;"; "&amp;P2233&amp;AS[[#This Row],[Insurance Category Code]]&amp;"; "&amp;Q2233&amp;AS[[#This Row],[Large Provider Entity Code]]&amp;"; "&amp;R2233&amp;AS[[#This Row],[Age Band Code]]&amp;"; "&amp;S2233&amp;AS[[#This Row],[Sex Code]]</f>
        <v xml:space="preserve">Insurer Code ; Reporting Year ; Insurance Category Code ; Large Provider Entity Code ; Age Band Code ; Sex Code </v>
      </c>
      <c r="N2233" s="345" t="s">
        <v>207</v>
      </c>
      <c r="O2233" s="345" t="s">
        <v>208</v>
      </c>
      <c r="P2233" s="345" t="s">
        <v>209</v>
      </c>
      <c r="Q2233" s="345" t="s">
        <v>210</v>
      </c>
      <c r="R2233" s="345" t="s">
        <v>223</v>
      </c>
      <c r="S2233" s="345" t="s">
        <v>224</v>
      </c>
    </row>
    <row r="2234" spans="1:19" x14ac:dyDescent="0.25">
      <c r="A2234" s="311"/>
      <c r="B2234" s="312"/>
      <c r="C2234" s="312"/>
      <c r="D2234" s="312"/>
      <c r="E2234" s="312"/>
      <c r="F2234" s="312"/>
      <c r="G2234" s="328"/>
      <c r="H2234" s="337"/>
      <c r="I2234" s="334"/>
      <c r="J2234" s="314"/>
      <c r="K2234" s="449"/>
      <c r="M2234" s="349" t="str">
        <f>N2234&amp;AS[[#This Row],[Insurer Code]]&amp;"; "&amp;O2234&amp;AS[[#This Row],[Reporting Year]]&amp;"; "&amp;P2234&amp;AS[[#This Row],[Insurance Category Code]]&amp;"; "&amp;Q2234&amp;AS[[#This Row],[Large Provider Entity Code]]&amp;"; "&amp;R2234&amp;AS[[#This Row],[Age Band Code]]&amp;"; "&amp;S2234&amp;AS[[#This Row],[Sex Code]]</f>
        <v xml:space="preserve">Insurer Code ; Reporting Year ; Insurance Category Code ; Large Provider Entity Code ; Age Band Code ; Sex Code </v>
      </c>
      <c r="N2234" s="345" t="s">
        <v>207</v>
      </c>
      <c r="O2234" s="345" t="s">
        <v>208</v>
      </c>
      <c r="P2234" s="345" t="s">
        <v>209</v>
      </c>
      <c r="Q2234" s="345" t="s">
        <v>210</v>
      </c>
      <c r="R2234" s="345" t="s">
        <v>223</v>
      </c>
      <c r="S2234" s="345" t="s">
        <v>224</v>
      </c>
    </row>
    <row r="2235" spans="1:19" x14ac:dyDescent="0.25">
      <c r="A2235" s="311"/>
      <c r="B2235" s="312"/>
      <c r="C2235" s="312"/>
      <c r="D2235" s="312"/>
      <c r="E2235" s="312"/>
      <c r="F2235" s="312"/>
      <c r="G2235" s="328"/>
      <c r="H2235" s="337"/>
      <c r="I2235" s="334"/>
      <c r="J2235" s="314"/>
      <c r="K2235" s="449"/>
      <c r="M2235" s="349" t="str">
        <f>N2235&amp;AS[[#This Row],[Insurer Code]]&amp;"; "&amp;O2235&amp;AS[[#This Row],[Reporting Year]]&amp;"; "&amp;P2235&amp;AS[[#This Row],[Insurance Category Code]]&amp;"; "&amp;Q2235&amp;AS[[#This Row],[Large Provider Entity Code]]&amp;"; "&amp;R2235&amp;AS[[#This Row],[Age Band Code]]&amp;"; "&amp;S2235&amp;AS[[#This Row],[Sex Code]]</f>
        <v xml:space="preserve">Insurer Code ; Reporting Year ; Insurance Category Code ; Large Provider Entity Code ; Age Band Code ; Sex Code </v>
      </c>
      <c r="N2235" s="345" t="s">
        <v>207</v>
      </c>
      <c r="O2235" s="345" t="s">
        <v>208</v>
      </c>
      <c r="P2235" s="345" t="s">
        <v>209</v>
      </c>
      <c r="Q2235" s="345" t="s">
        <v>210</v>
      </c>
      <c r="R2235" s="345" t="s">
        <v>223</v>
      </c>
      <c r="S2235" s="345" t="s">
        <v>224</v>
      </c>
    </row>
    <row r="2236" spans="1:19" x14ac:dyDescent="0.25">
      <c r="A2236" s="311"/>
      <c r="B2236" s="312"/>
      <c r="C2236" s="312"/>
      <c r="D2236" s="312"/>
      <c r="E2236" s="312"/>
      <c r="F2236" s="312"/>
      <c r="G2236" s="328"/>
      <c r="H2236" s="337"/>
      <c r="I2236" s="334"/>
      <c r="J2236" s="314"/>
      <c r="K2236" s="449"/>
      <c r="M2236" s="349" t="str">
        <f>N2236&amp;AS[[#This Row],[Insurer Code]]&amp;"; "&amp;O2236&amp;AS[[#This Row],[Reporting Year]]&amp;"; "&amp;P2236&amp;AS[[#This Row],[Insurance Category Code]]&amp;"; "&amp;Q2236&amp;AS[[#This Row],[Large Provider Entity Code]]&amp;"; "&amp;R2236&amp;AS[[#This Row],[Age Band Code]]&amp;"; "&amp;S2236&amp;AS[[#This Row],[Sex Code]]</f>
        <v xml:space="preserve">Insurer Code ; Reporting Year ; Insurance Category Code ; Large Provider Entity Code ; Age Band Code ; Sex Code </v>
      </c>
      <c r="N2236" s="345" t="s">
        <v>207</v>
      </c>
      <c r="O2236" s="345" t="s">
        <v>208</v>
      </c>
      <c r="P2236" s="345" t="s">
        <v>209</v>
      </c>
      <c r="Q2236" s="345" t="s">
        <v>210</v>
      </c>
      <c r="R2236" s="345" t="s">
        <v>223</v>
      </c>
      <c r="S2236" s="345" t="s">
        <v>224</v>
      </c>
    </row>
    <row r="2237" spans="1:19" x14ac:dyDescent="0.25">
      <c r="A2237" s="311"/>
      <c r="B2237" s="312"/>
      <c r="C2237" s="312"/>
      <c r="D2237" s="312"/>
      <c r="E2237" s="312"/>
      <c r="F2237" s="312"/>
      <c r="G2237" s="328"/>
      <c r="H2237" s="337"/>
      <c r="I2237" s="334"/>
      <c r="J2237" s="314"/>
      <c r="K2237" s="449"/>
      <c r="M2237" s="349" t="str">
        <f>N2237&amp;AS[[#This Row],[Insurer Code]]&amp;"; "&amp;O2237&amp;AS[[#This Row],[Reporting Year]]&amp;"; "&amp;P2237&amp;AS[[#This Row],[Insurance Category Code]]&amp;"; "&amp;Q2237&amp;AS[[#This Row],[Large Provider Entity Code]]&amp;"; "&amp;R2237&amp;AS[[#This Row],[Age Band Code]]&amp;"; "&amp;S2237&amp;AS[[#This Row],[Sex Code]]</f>
        <v xml:space="preserve">Insurer Code ; Reporting Year ; Insurance Category Code ; Large Provider Entity Code ; Age Band Code ; Sex Code </v>
      </c>
      <c r="N2237" s="345" t="s">
        <v>207</v>
      </c>
      <c r="O2237" s="345" t="s">
        <v>208</v>
      </c>
      <c r="P2237" s="345" t="s">
        <v>209</v>
      </c>
      <c r="Q2237" s="345" t="s">
        <v>210</v>
      </c>
      <c r="R2237" s="345" t="s">
        <v>223</v>
      </c>
      <c r="S2237" s="345" t="s">
        <v>224</v>
      </c>
    </row>
    <row r="2238" spans="1:19" x14ac:dyDescent="0.25">
      <c r="A2238" s="311"/>
      <c r="B2238" s="312"/>
      <c r="C2238" s="312"/>
      <c r="D2238" s="312"/>
      <c r="E2238" s="312"/>
      <c r="F2238" s="312"/>
      <c r="G2238" s="328"/>
      <c r="H2238" s="337"/>
      <c r="I2238" s="334"/>
      <c r="J2238" s="314"/>
      <c r="K2238" s="449"/>
      <c r="M2238" s="349" t="str">
        <f>N2238&amp;AS[[#This Row],[Insurer Code]]&amp;"; "&amp;O2238&amp;AS[[#This Row],[Reporting Year]]&amp;"; "&amp;P2238&amp;AS[[#This Row],[Insurance Category Code]]&amp;"; "&amp;Q2238&amp;AS[[#This Row],[Large Provider Entity Code]]&amp;"; "&amp;R2238&amp;AS[[#This Row],[Age Band Code]]&amp;"; "&amp;S2238&amp;AS[[#This Row],[Sex Code]]</f>
        <v xml:space="preserve">Insurer Code ; Reporting Year ; Insurance Category Code ; Large Provider Entity Code ; Age Band Code ; Sex Code </v>
      </c>
      <c r="N2238" s="345" t="s">
        <v>207</v>
      </c>
      <c r="O2238" s="345" t="s">
        <v>208</v>
      </c>
      <c r="P2238" s="345" t="s">
        <v>209</v>
      </c>
      <c r="Q2238" s="345" t="s">
        <v>210</v>
      </c>
      <c r="R2238" s="345" t="s">
        <v>223</v>
      </c>
      <c r="S2238" s="345" t="s">
        <v>224</v>
      </c>
    </row>
    <row r="2239" spans="1:19" x14ac:dyDescent="0.25">
      <c r="A2239" s="311"/>
      <c r="B2239" s="312"/>
      <c r="C2239" s="312"/>
      <c r="D2239" s="312"/>
      <c r="E2239" s="312"/>
      <c r="F2239" s="312"/>
      <c r="G2239" s="328"/>
      <c r="H2239" s="337"/>
      <c r="I2239" s="334"/>
      <c r="J2239" s="314"/>
      <c r="K2239" s="449"/>
      <c r="M2239" s="349" t="str">
        <f>N2239&amp;AS[[#This Row],[Insurer Code]]&amp;"; "&amp;O2239&amp;AS[[#This Row],[Reporting Year]]&amp;"; "&amp;P2239&amp;AS[[#This Row],[Insurance Category Code]]&amp;"; "&amp;Q2239&amp;AS[[#This Row],[Large Provider Entity Code]]&amp;"; "&amp;R2239&amp;AS[[#This Row],[Age Band Code]]&amp;"; "&amp;S2239&amp;AS[[#This Row],[Sex Code]]</f>
        <v xml:space="preserve">Insurer Code ; Reporting Year ; Insurance Category Code ; Large Provider Entity Code ; Age Band Code ; Sex Code </v>
      </c>
      <c r="N2239" s="345" t="s">
        <v>207</v>
      </c>
      <c r="O2239" s="345" t="s">
        <v>208</v>
      </c>
      <c r="P2239" s="345" t="s">
        <v>209</v>
      </c>
      <c r="Q2239" s="345" t="s">
        <v>210</v>
      </c>
      <c r="R2239" s="345" t="s">
        <v>223</v>
      </c>
      <c r="S2239" s="345" t="s">
        <v>224</v>
      </c>
    </row>
    <row r="2240" spans="1:19" x14ac:dyDescent="0.25">
      <c r="A2240" s="311"/>
      <c r="B2240" s="312"/>
      <c r="C2240" s="312"/>
      <c r="D2240" s="312"/>
      <c r="E2240" s="312"/>
      <c r="F2240" s="312"/>
      <c r="G2240" s="328"/>
      <c r="H2240" s="337"/>
      <c r="I2240" s="334"/>
      <c r="J2240" s="314"/>
      <c r="K2240" s="449"/>
      <c r="M2240" s="349" t="str">
        <f>N2240&amp;AS[[#This Row],[Insurer Code]]&amp;"; "&amp;O2240&amp;AS[[#This Row],[Reporting Year]]&amp;"; "&amp;P2240&amp;AS[[#This Row],[Insurance Category Code]]&amp;"; "&amp;Q2240&amp;AS[[#This Row],[Large Provider Entity Code]]&amp;"; "&amp;R2240&amp;AS[[#This Row],[Age Band Code]]&amp;"; "&amp;S2240&amp;AS[[#This Row],[Sex Code]]</f>
        <v xml:space="preserve">Insurer Code ; Reporting Year ; Insurance Category Code ; Large Provider Entity Code ; Age Band Code ; Sex Code </v>
      </c>
      <c r="N2240" s="345" t="s">
        <v>207</v>
      </c>
      <c r="O2240" s="345" t="s">
        <v>208</v>
      </c>
      <c r="P2240" s="345" t="s">
        <v>209</v>
      </c>
      <c r="Q2240" s="345" t="s">
        <v>210</v>
      </c>
      <c r="R2240" s="345" t="s">
        <v>223</v>
      </c>
      <c r="S2240" s="345" t="s">
        <v>224</v>
      </c>
    </row>
    <row r="2241" spans="1:19" x14ac:dyDescent="0.25">
      <c r="A2241" s="311"/>
      <c r="B2241" s="312"/>
      <c r="C2241" s="312"/>
      <c r="D2241" s="312"/>
      <c r="E2241" s="312"/>
      <c r="F2241" s="312"/>
      <c r="G2241" s="328"/>
      <c r="H2241" s="337"/>
      <c r="I2241" s="334"/>
      <c r="J2241" s="314"/>
      <c r="K2241" s="449"/>
      <c r="M2241" s="349" t="str">
        <f>N2241&amp;AS[[#This Row],[Insurer Code]]&amp;"; "&amp;O2241&amp;AS[[#This Row],[Reporting Year]]&amp;"; "&amp;P2241&amp;AS[[#This Row],[Insurance Category Code]]&amp;"; "&amp;Q2241&amp;AS[[#This Row],[Large Provider Entity Code]]&amp;"; "&amp;R2241&amp;AS[[#This Row],[Age Band Code]]&amp;"; "&amp;S2241&amp;AS[[#This Row],[Sex Code]]</f>
        <v xml:space="preserve">Insurer Code ; Reporting Year ; Insurance Category Code ; Large Provider Entity Code ; Age Band Code ; Sex Code </v>
      </c>
      <c r="N2241" s="345" t="s">
        <v>207</v>
      </c>
      <c r="O2241" s="345" t="s">
        <v>208</v>
      </c>
      <c r="P2241" s="345" t="s">
        <v>209</v>
      </c>
      <c r="Q2241" s="345" t="s">
        <v>210</v>
      </c>
      <c r="R2241" s="345" t="s">
        <v>223</v>
      </c>
      <c r="S2241" s="345" t="s">
        <v>224</v>
      </c>
    </row>
    <row r="2242" spans="1:19" x14ac:dyDescent="0.25">
      <c r="A2242" s="311"/>
      <c r="B2242" s="312"/>
      <c r="C2242" s="312"/>
      <c r="D2242" s="312"/>
      <c r="E2242" s="312"/>
      <c r="F2242" s="312"/>
      <c r="G2242" s="328"/>
      <c r="H2242" s="337"/>
      <c r="I2242" s="334"/>
      <c r="J2242" s="314"/>
      <c r="K2242" s="449"/>
      <c r="M2242" s="349" t="str">
        <f>N2242&amp;AS[[#This Row],[Insurer Code]]&amp;"; "&amp;O2242&amp;AS[[#This Row],[Reporting Year]]&amp;"; "&amp;P2242&amp;AS[[#This Row],[Insurance Category Code]]&amp;"; "&amp;Q2242&amp;AS[[#This Row],[Large Provider Entity Code]]&amp;"; "&amp;R2242&amp;AS[[#This Row],[Age Band Code]]&amp;"; "&amp;S2242&amp;AS[[#This Row],[Sex Code]]</f>
        <v xml:space="preserve">Insurer Code ; Reporting Year ; Insurance Category Code ; Large Provider Entity Code ; Age Band Code ; Sex Code </v>
      </c>
      <c r="N2242" s="345" t="s">
        <v>207</v>
      </c>
      <c r="O2242" s="345" t="s">
        <v>208</v>
      </c>
      <c r="P2242" s="345" t="s">
        <v>209</v>
      </c>
      <c r="Q2242" s="345" t="s">
        <v>210</v>
      </c>
      <c r="R2242" s="345" t="s">
        <v>223</v>
      </c>
      <c r="S2242" s="345" t="s">
        <v>224</v>
      </c>
    </row>
    <row r="2243" spans="1:19" x14ac:dyDescent="0.25">
      <c r="A2243" s="311"/>
      <c r="B2243" s="312"/>
      <c r="C2243" s="312"/>
      <c r="D2243" s="312"/>
      <c r="E2243" s="312"/>
      <c r="F2243" s="312"/>
      <c r="G2243" s="328"/>
      <c r="H2243" s="337"/>
      <c r="I2243" s="334"/>
      <c r="J2243" s="314"/>
      <c r="K2243" s="449"/>
      <c r="M2243" s="349" t="str">
        <f>N2243&amp;AS[[#This Row],[Insurer Code]]&amp;"; "&amp;O2243&amp;AS[[#This Row],[Reporting Year]]&amp;"; "&amp;P2243&amp;AS[[#This Row],[Insurance Category Code]]&amp;"; "&amp;Q2243&amp;AS[[#This Row],[Large Provider Entity Code]]&amp;"; "&amp;R2243&amp;AS[[#This Row],[Age Band Code]]&amp;"; "&amp;S2243&amp;AS[[#This Row],[Sex Code]]</f>
        <v xml:space="preserve">Insurer Code ; Reporting Year ; Insurance Category Code ; Large Provider Entity Code ; Age Band Code ; Sex Code </v>
      </c>
      <c r="N2243" s="345" t="s">
        <v>207</v>
      </c>
      <c r="O2243" s="345" t="s">
        <v>208</v>
      </c>
      <c r="P2243" s="345" t="s">
        <v>209</v>
      </c>
      <c r="Q2243" s="345" t="s">
        <v>210</v>
      </c>
      <c r="R2243" s="345" t="s">
        <v>223</v>
      </c>
      <c r="S2243" s="345" t="s">
        <v>224</v>
      </c>
    </row>
    <row r="2244" spans="1:19" x14ac:dyDescent="0.25">
      <c r="A2244" s="311"/>
      <c r="B2244" s="312"/>
      <c r="C2244" s="312"/>
      <c r="D2244" s="312"/>
      <c r="E2244" s="312"/>
      <c r="F2244" s="312"/>
      <c r="G2244" s="328"/>
      <c r="H2244" s="337"/>
      <c r="I2244" s="334"/>
      <c r="J2244" s="314"/>
      <c r="K2244" s="449"/>
      <c r="M2244" s="349" t="str">
        <f>N2244&amp;AS[[#This Row],[Insurer Code]]&amp;"; "&amp;O2244&amp;AS[[#This Row],[Reporting Year]]&amp;"; "&amp;P2244&amp;AS[[#This Row],[Insurance Category Code]]&amp;"; "&amp;Q2244&amp;AS[[#This Row],[Large Provider Entity Code]]&amp;"; "&amp;R2244&amp;AS[[#This Row],[Age Band Code]]&amp;"; "&amp;S2244&amp;AS[[#This Row],[Sex Code]]</f>
        <v xml:space="preserve">Insurer Code ; Reporting Year ; Insurance Category Code ; Large Provider Entity Code ; Age Band Code ; Sex Code </v>
      </c>
      <c r="N2244" s="345" t="s">
        <v>207</v>
      </c>
      <c r="O2244" s="345" t="s">
        <v>208</v>
      </c>
      <c r="P2244" s="345" t="s">
        <v>209</v>
      </c>
      <c r="Q2244" s="345" t="s">
        <v>210</v>
      </c>
      <c r="R2244" s="345" t="s">
        <v>223</v>
      </c>
      <c r="S2244" s="345" t="s">
        <v>224</v>
      </c>
    </row>
    <row r="2245" spans="1:19" x14ac:dyDescent="0.25">
      <c r="A2245" s="311"/>
      <c r="B2245" s="312"/>
      <c r="C2245" s="312"/>
      <c r="D2245" s="312"/>
      <c r="E2245" s="312"/>
      <c r="F2245" s="312"/>
      <c r="G2245" s="328"/>
      <c r="H2245" s="337"/>
      <c r="I2245" s="334"/>
      <c r="J2245" s="314"/>
      <c r="K2245" s="449"/>
      <c r="M2245" s="349" t="str">
        <f>N2245&amp;AS[[#This Row],[Insurer Code]]&amp;"; "&amp;O2245&amp;AS[[#This Row],[Reporting Year]]&amp;"; "&amp;P2245&amp;AS[[#This Row],[Insurance Category Code]]&amp;"; "&amp;Q2245&amp;AS[[#This Row],[Large Provider Entity Code]]&amp;"; "&amp;R2245&amp;AS[[#This Row],[Age Band Code]]&amp;"; "&amp;S2245&amp;AS[[#This Row],[Sex Code]]</f>
        <v xml:space="preserve">Insurer Code ; Reporting Year ; Insurance Category Code ; Large Provider Entity Code ; Age Band Code ; Sex Code </v>
      </c>
      <c r="N2245" s="345" t="s">
        <v>207</v>
      </c>
      <c r="O2245" s="345" t="s">
        <v>208</v>
      </c>
      <c r="P2245" s="345" t="s">
        <v>209</v>
      </c>
      <c r="Q2245" s="345" t="s">
        <v>210</v>
      </c>
      <c r="R2245" s="345" t="s">
        <v>223</v>
      </c>
      <c r="S2245" s="345" t="s">
        <v>224</v>
      </c>
    </row>
    <row r="2246" spans="1:19" x14ac:dyDescent="0.25">
      <c r="A2246" s="311"/>
      <c r="B2246" s="312"/>
      <c r="C2246" s="312"/>
      <c r="D2246" s="312"/>
      <c r="E2246" s="312"/>
      <c r="F2246" s="312"/>
      <c r="G2246" s="328"/>
      <c r="H2246" s="337"/>
      <c r="I2246" s="334"/>
      <c r="J2246" s="314"/>
      <c r="K2246" s="449"/>
      <c r="M2246" s="349" t="str">
        <f>N2246&amp;AS[[#This Row],[Insurer Code]]&amp;"; "&amp;O2246&amp;AS[[#This Row],[Reporting Year]]&amp;"; "&amp;P2246&amp;AS[[#This Row],[Insurance Category Code]]&amp;"; "&amp;Q2246&amp;AS[[#This Row],[Large Provider Entity Code]]&amp;"; "&amp;R2246&amp;AS[[#This Row],[Age Band Code]]&amp;"; "&amp;S2246&amp;AS[[#This Row],[Sex Code]]</f>
        <v xml:space="preserve">Insurer Code ; Reporting Year ; Insurance Category Code ; Large Provider Entity Code ; Age Band Code ; Sex Code </v>
      </c>
      <c r="N2246" s="345" t="s">
        <v>207</v>
      </c>
      <c r="O2246" s="345" t="s">
        <v>208</v>
      </c>
      <c r="P2246" s="345" t="s">
        <v>209</v>
      </c>
      <c r="Q2246" s="345" t="s">
        <v>210</v>
      </c>
      <c r="R2246" s="345" t="s">
        <v>223</v>
      </c>
      <c r="S2246" s="345" t="s">
        <v>224</v>
      </c>
    </row>
    <row r="2247" spans="1:19" x14ac:dyDescent="0.25">
      <c r="A2247" s="311"/>
      <c r="B2247" s="312"/>
      <c r="C2247" s="312"/>
      <c r="D2247" s="312"/>
      <c r="E2247" s="312"/>
      <c r="F2247" s="312"/>
      <c r="G2247" s="328"/>
      <c r="H2247" s="337"/>
      <c r="I2247" s="334"/>
      <c r="J2247" s="314"/>
      <c r="K2247" s="449"/>
      <c r="M2247" s="349" t="str">
        <f>N2247&amp;AS[[#This Row],[Insurer Code]]&amp;"; "&amp;O2247&amp;AS[[#This Row],[Reporting Year]]&amp;"; "&amp;P2247&amp;AS[[#This Row],[Insurance Category Code]]&amp;"; "&amp;Q2247&amp;AS[[#This Row],[Large Provider Entity Code]]&amp;"; "&amp;R2247&amp;AS[[#This Row],[Age Band Code]]&amp;"; "&amp;S2247&amp;AS[[#This Row],[Sex Code]]</f>
        <v xml:space="preserve">Insurer Code ; Reporting Year ; Insurance Category Code ; Large Provider Entity Code ; Age Band Code ; Sex Code </v>
      </c>
      <c r="N2247" s="345" t="s">
        <v>207</v>
      </c>
      <c r="O2247" s="345" t="s">
        <v>208</v>
      </c>
      <c r="P2247" s="345" t="s">
        <v>209</v>
      </c>
      <c r="Q2247" s="345" t="s">
        <v>210</v>
      </c>
      <c r="R2247" s="345" t="s">
        <v>223</v>
      </c>
      <c r="S2247" s="345" t="s">
        <v>224</v>
      </c>
    </row>
    <row r="2248" spans="1:19" x14ac:dyDescent="0.25">
      <c r="A2248" s="311"/>
      <c r="B2248" s="312"/>
      <c r="C2248" s="312"/>
      <c r="D2248" s="312"/>
      <c r="E2248" s="312"/>
      <c r="F2248" s="312"/>
      <c r="G2248" s="328"/>
      <c r="H2248" s="337"/>
      <c r="I2248" s="334"/>
      <c r="J2248" s="314"/>
      <c r="K2248" s="449"/>
      <c r="M2248" s="349" t="str">
        <f>N2248&amp;AS[[#This Row],[Insurer Code]]&amp;"; "&amp;O2248&amp;AS[[#This Row],[Reporting Year]]&amp;"; "&amp;P2248&amp;AS[[#This Row],[Insurance Category Code]]&amp;"; "&amp;Q2248&amp;AS[[#This Row],[Large Provider Entity Code]]&amp;"; "&amp;R2248&amp;AS[[#This Row],[Age Band Code]]&amp;"; "&amp;S2248&amp;AS[[#This Row],[Sex Code]]</f>
        <v xml:space="preserve">Insurer Code ; Reporting Year ; Insurance Category Code ; Large Provider Entity Code ; Age Band Code ; Sex Code </v>
      </c>
      <c r="N2248" s="345" t="s">
        <v>207</v>
      </c>
      <c r="O2248" s="345" t="s">
        <v>208</v>
      </c>
      <c r="P2248" s="345" t="s">
        <v>209</v>
      </c>
      <c r="Q2248" s="345" t="s">
        <v>210</v>
      </c>
      <c r="R2248" s="345" t="s">
        <v>223</v>
      </c>
      <c r="S2248" s="345" t="s">
        <v>224</v>
      </c>
    </row>
    <row r="2249" spans="1:19" x14ac:dyDescent="0.25">
      <c r="A2249" s="311"/>
      <c r="B2249" s="312"/>
      <c r="C2249" s="312"/>
      <c r="D2249" s="312"/>
      <c r="E2249" s="312"/>
      <c r="F2249" s="312"/>
      <c r="G2249" s="328"/>
      <c r="H2249" s="337"/>
      <c r="I2249" s="334"/>
      <c r="J2249" s="314"/>
      <c r="K2249" s="449"/>
      <c r="M2249" s="349" t="str">
        <f>N2249&amp;AS[[#This Row],[Insurer Code]]&amp;"; "&amp;O2249&amp;AS[[#This Row],[Reporting Year]]&amp;"; "&amp;P2249&amp;AS[[#This Row],[Insurance Category Code]]&amp;"; "&amp;Q2249&amp;AS[[#This Row],[Large Provider Entity Code]]&amp;"; "&amp;R2249&amp;AS[[#This Row],[Age Band Code]]&amp;"; "&amp;S2249&amp;AS[[#This Row],[Sex Code]]</f>
        <v xml:space="preserve">Insurer Code ; Reporting Year ; Insurance Category Code ; Large Provider Entity Code ; Age Band Code ; Sex Code </v>
      </c>
      <c r="N2249" s="345" t="s">
        <v>207</v>
      </c>
      <c r="O2249" s="345" t="s">
        <v>208</v>
      </c>
      <c r="P2249" s="345" t="s">
        <v>209</v>
      </c>
      <c r="Q2249" s="345" t="s">
        <v>210</v>
      </c>
      <c r="R2249" s="345" t="s">
        <v>223</v>
      </c>
      <c r="S2249" s="345" t="s">
        <v>224</v>
      </c>
    </row>
    <row r="2250" spans="1:19" x14ac:dyDescent="0.25">
      <c r="A2250" s="311"/>
      <c r="B2250" s="312"/>
      <c r="C2250" s="312"/>
      <c r="D2250" s="312"/>
      <c r="E2250" s="312"/>
      <c r="F2250" s="312"/>
      <c r="G2250" s="328"/>
      <c r="H2250" s="337"/>
      <c r="I2250" s="334"/>
      <c r="J2250" s="314"/>
      <c r="K2250" s="449"/>
      <c r="M2250" s="349" t="str">
        <f>N2250&amp;AS[[#This Row],[Insurer Code]]&amp;"; "&amp;O2250&amp;AS[[#This Row],[Reporting Year]]&amp;"; "&amp;P2250&amp;AS[[#This Row],[Insurance Category Code]]&amp;"; "&amp;Q2250&amp;AS[[#This Row],[Large Provider Entity Code]]&amp;"; "&amp;R2250&amp;AS[[#This Row],[Age Band Code]]&amp;"; "&amp;S2250&amp;AS[[#This Row],[Sex Code]]</f>
        <v xml:space="preserve">Insurer Code ; Reporting Year ; Insurance Category Code ; Large Provider Entity Code ; Age Band Code ; Sex Code </v>
      </c>
      <c r="N2250" s="345" t="s">
        <v>207</v>
      </c>
      <c r="O2250" s="345" t="s">
        <v>208</v>
      </c>
      <c r="P2250" s="345" t="s">
        <v>209</v>
      </c>
      <c r="Q2250" s="345" t="s">
        <v>210</v>
      </c>
      <c r="R2250" s="345" t="s">
        <v>223</v>
      </c>
      <c r="S2250" s="345" t="s">
        <v>224</v>
      </c>
    </row>
    <row r="2251" spans="1:19" x14ac:dyDescent="0.25">
      <c r="A2251" s="311"/>
      <c r="B2251" s="312"/>
      <c r="C2251" s="312"/>
      <c r="D2251" s="312"/>
      <c r="E2251" s="312"/>
      <c r="F2251" s="312"/>
      <c r="G2251" s="328"/>
      <c r="H2251" s="337"/>
      <c r="I2251" s="334"/>
      <c r="J2251" s="314"/>
      <c r="K2251" s="449"/>
      <c r="M2251" s="349" t="str">
        <f>N2251&amp;AS[[#This Row],[Insurer Code]]&amp;"; "&amp;O2251&amp;AS[[#This Row],[Reporting Year]]&amp;"; "&amp;P2251&amp;AS[[#This Row],[Insurance Category Code]]&amp;"; "&amp;Q2251&amp;AS[[#This Row],[Large Provider Entity Code]]&amp;"; "&amp;R2251&amp;AS[[#This Row],[Age Band Code]]&amp;"; "&amp;S2251&amp;AS[[#This Row],[Sex Code]]</f>
        <v xml:space="preserve">Insurer Code ; Reporting Year ; Insurance Category Code ; Large Provider Entity Code ; Age Band Code ; Sex Code </v>
      </c>
      <c r="N2251" s="345" t="s">
        <v>207</v>
      </c>
      <c r="O2251" s="345" t="s">
        <v>208</v>
      </c>
      <c r="P2251" s="345" t="s">
        <v>209</v>
      </c>
      <c r="Q2251" s="345" t="s">
        <v>210</v>
      </c>
      <c r="R2251" s="345" t="s">
        <v>223</v>
      </c>
      <c r="S2251" s="345" t="s">
        <v>224</v>
      </c>
    </row>
    <row r="2252" spans="1:19" x14ac:dyDescent="0.25">
      <c r="A2252" s="311"/>
      <c r="B2252" s="312"/>
      <c r="C2252" s="312"/>
      <c r="D2252" s="312"/>
      <c r="E2252" s="312"/>
      <c r="F2252" s="312"/>
      <c r="G2252" s="328"/>
      <c r="H2252" s="337"/>
      <c r="I2252" s="334"/>
      <c r="J2252" s="314"/>
      <c r="K2252" s="449"/>
      <c r="M2252" s="349" t="str">
        <f>N2252&amp;AS[[#This Row],[Insurer Code]]&amp;"; "&amp;O2252&amp;AS[[#This Row],[Reporting Year]]&amp;"; "&amp;P2252&amp;AS[[#This Row],[Insurance Category Code]]&amp;"; "&amp;Q2252&amp;AS[[#This Row],[Large Provider Entity Code]]&amp;"; "&amp;R2252&amp;AS[[#This Row],[Age Band Code]]&amp;"; "&amp;S2252&amp;AS[[#This Row],[Sex Code]]</f>
        <v xml:space="preserve">Insurer Code ; Reporting Year ; Insurance Category Code ; Large Provider Entity Code ; Age Band Code ; Sex Code </v>
      </c>
      <c r="N2252" s="345" t="s">
        <v>207</v>
      </c>
      <c r="O2252" s="345" t="s">
        <v>208</v>
      </c>
      <c r="P2252" s="345" t="s">
        <v>209</v>
      </c>
      <c r="Q2252" s="345" t="s">
        <v>210</v>
      </c>
      <c r="R2252" s="345" t="s">
        <v>223</v>
      </c>
      <c r="S2252" s="345" t="s">
        <v>224</v>
      </c>
    </row>
    <row r="2253" spans="1:19" x14ac:dyDescent="0.25">
      <c r="A2253" s="311"/>
      <c r="B2253" s="312"/>
      <c r="C2253" s="312"/>
      <c r="D2253" s="312"/>
      <c r="E2253" s="312"/>
      <c r="F2253" s="312"/>
      <c r="G2253" s="328"/>
      <c r="H2253" s="337"/>
      <c r="I2253" s="334"/>
      <c r="J2253" s="314"/>
      <c r="K2253" s="449"/>
      <c r="M2253" s="349" t="str">
        <f>N2253&amp;AS[[#This Row],[Insurer Code]]&amp;"; "&amp;O2253&amp;AS[[#This Row],[Reporting Year]]&amp;"; "&amp;P2253&amp;AS[[#This Row],[Insurance Category Code]]&amp;"; "&amp;Q2253&amp;AS[[#This Row],[Large Provider Entity Code]]&amp;"; "&amp;R2253&amp;AS[[#This Row],[Age Band Code]]&amp;"; "&amp;S2253&amp;AS[[#This Row],[Sex Code]]</f>
        <v xml:space="preserve">Insurer Code ; Reporting Year ; Insurance Category Code ; Large Provider Entity Code ; Age Band Code ; Sex Code </v>
      </c>
      <c r="N2253" s="345" t="s">
        <v>207</v>
      </c>
      <c r="O2253" s="345" t="s">
        <v>208</v>
      </c>
      <c r="P2253" s="345" t="s">
        <v>209</v>
      </c>
      <c r="Q2253" s="345" t="s">
        <v>210</v>
      </c>
      <c r="R2253" s="345" t="s">
        <v>223</v>
      </c>
      <c r="S2253" s="345" t="s">
        <v>224</v>
      </c>
    </row>
    <row r="2254" spans="1:19" x14ac:dyDescent="0.25">
      <c r="A2254" s="311"/>
      <c r="B2254" s="312"/>
      <c r="C2254" s="312"/>
      <c r="D2254" s="312"/>
      <c r="E2254" s="312"/>
      <c r="F2254" s="312"/>
      <c r="G2254" s="328"/>
      <c r="H2254" s="337"/>
      <c r="I2254" s="334"/>
      <c r="J2254" s="314"/>
      <c r="K2254" s="449"/>
      <c r="M2254" s="349" t="str">
        <f>N2254&amp;AS[[#This Row],[Insurer Code]]&amp;"; "&amp;O2254&amp;AS[[#This Row],[Reporting Year]]&amp;"; "&amp;P2254&amp;AS[[#This Row],[Insurance Category Code]]&amp;"; "&amp;Q2254&amp;AS[[#This Row],[Large Provider Entity Code]]&amp;"; "&amp;R2254&amp;AS[[#This Row],[Age Band Code]]&amp;"; "&amp;S2254&amp;AS[[#This Row],[Sex Code]]</f>
        <v xml:space="preserve">Insurer Code ; Reporting Year ; Insurance Category Code ; Large Provider Entity Code ; Age Band Code ; Sex Code </v>
      </c>
      <c r="N2254" s="345" t="s">
        <v>207</v>
      </c>
      <c r="O2254" s="345" t="s">
        <v>208</v>
      </c>
      <c r="P2254" s="345" t="s">
        <v>209</v>
      </c>
      <c r="Q2254" s="345" t="s">
        <v>210</v>
      </c>
      <c r="R2254" s="345" t="s">
        <v>223</v>
      </c>
      <c r="S2254" s="345" t="s">
        <v>224</v>
      </c>
    </row>
    <row r="2255" spans="1:19" x14ac:dyDescent="0.25">
      <c r="A2255" s="311"/>
      <c r="B2255" s="312"/>
      <c r="C2255" s="312"/>
      <c r="D2255" s="312"/>
      <c r="E2255" s="312"/>
      <c r="F2255" s="312"/>
      <c r="G2255" s="328"/>
      <c r="H2255" s="337"/>
      <c r="I2255" s="334"/>
      <c r="J2255" s="314"/>
      <c r="K2255" s="449"/>
      <c r="M2255" s="349" t="str">
        <f>N2255&amp;AS[[#This Row],[Insurer Code]]&amp;"; "&amp;O2255&amp;AS[[#This Row],[Reporting Year]]&amp;"; "&amp;P2255&amp;AS[[#This Row],[Insurance Category Code]]&amp;"; "&amp;Q2255&amp;AS[[#This Row],[Large Provider Entity Code]]&amp;"; "&amp;R2255&amp;AS[[#This Row],[Age Band Code]]&amp;"; "&amp;S2255&amp;AS[[#This Row],[Sex Code]]</f>
        <v xml:space="preserve">Insurer Code ; Reporting Year ; Insurance Category Code ; Large Provider Entity Code ; Age Band Code ; Sex Code </v>
      </c>
      <c r="N2255" s="345" t="s">
        <v>207</v>
      </c>
      <c r="O2255" s="345" t="s">
        <v>208</v>
      </c>
      <c r="P2255" s="345" t="s">
        <v>209</v>
      </c>
      <c r="Q2255" s="345" t="s">
        <v>210</v>
      </c>
      <c r="R2255" s="345" t="s">
        <v>223</v>
      </c>
      <c r="S2255" s="345" t="s">
        <v>224</v>
      </c>
    </row>
    <row r="2256" spans="1:19" x14ac:dyDescent="0.25">
      <c r="A2256" s="311"/>
      <c r="B2256" s="312"/>
      <c r="C2256" s="312"/>
      <c r="D2256" s="312"/>
      <c r="E2256" s="312"/>
      <c r="F2256" s="312"/>
      <c r="G2256" s="328"/>
      <c r="H2256" s="337"/>
      <c r="I2256" s="334"/>
      <c r="J2256" s="314"/>
      <c r="K2256" s="449"/>
      <c r="M2256" s="349" t="str">
        <f>N2256&amp;AS[[#This Row],[Insurer Code]]&amp;"; "&amp;O2256&amp;AS[[#This Row],[Reporting Year]]&amp;"; "&amp;P2256&amp;AS[[#This Row],[Insurance Category Code]]&amp;"; "&amp;Q2256&amp;AS[[#This Row],[Large Provider Entity Code]]&amp;"; "&amp;R2256&amp;AS[[#This Row],[Age Band Code]]&amp;"; "&amp;S2256&amp;AS[[#This Row],[Sex Code]]</f>
        <v xml:space="preserve">Insurer Code ; Reporting Year ; Insurance Category Code ; Large Provider Entity Code ; Age Band Code ; Sex Code </v>
      </c>
      <c r="N2256" s="345" t="s">
        <v>207</v>
      </c>
      <c r="O2256" s="345" t="s">
        <v>208</v>
      </c>
      <c r="P2256" s="345" t="s">
        <v>209</v>
      </c>
      <c r="Q2256" s="345" t="s">
        <v>210</v>
      </c>
      <c r="R2256" s="345" t="s">
        <v>223</v>
      </c>
      <c r="S2256" s="345" t="s">
        <v>224</v>
      </c>
    </row>
    <row r="2257" spans="1:19" x14ac:dyDescent="0.25">
      <c r="A2257" s="311"/>
      <c r="B2257" s="312"/>
      <c r="C2257" s="312"/>
      <c r="D2257" s="312"/>
      <c r="E2257" s="312"/>
      <c r="F2257" s="312"/>
      <c r="G2257" s="328"/>
      <c r="H2257" s="337"/>
      <c r="I2257" s="334"/>
      <c r="J2257" s="314"/>
      <c r="K2257" s="449"/>
      <c r="M2257" s="349" t="str">
        <f>N2257&amp;AS[[#This Row],[Insurer Code]]&amp;"; "&amp;O2257&amp;AS[[#This Row],[Reporting Year]]&amp;"; "&amp;P2257&amp;AS[[#This Row],[Insurance Category Code]]&amp;"; "&amp;Q2257&amp;AS[[#This Row],[Large Provider Entity Code]]&amp;"; "&amp;R2257&amp;AS[[#This Row],[Age Band Code]]&amp;"; "&amp;S2257&amp;AS[[#This Row],[Sex Code]]</f>
        <v xml:space="preserve">Insurer Code ; Reporting Year ; Insurance Category Code ; Large Provider Entity Code ; Age Band Code ; Sex Code </v>
      </c>
      <c r="N2257" s="345" t="s">
        <v>207</v>
      </c>
      <c r="O2257" s="345" t="s">
        <v>208</v>
      </c>
      <c r="P2257" s="345" t="s">
        <v>209</v>
      </c>
      <c r="Q2257" s="345" t="s">
        <v>210</v>
      </c>
      <c r="R2257" s="345" t="s">
        <v>223</v>
      </c>
      <c r="S2257" s="345" t="s">
        <v>224</v>
      </c>
    </row>
    <row r="2258" spans="1:19" x14ac:dyDescent="0.25">
      <c r="A2258" s="311"/>
      <c r="B2258" s="312"/>
      <c r="C2258" s="312"/>
      <c r="D2258" s="312"/>
      <c r="E2258" s="312"/>
      <c r="F2258" s="312"/>
      <c r="G2258" s="328"/>
      <c r="H2258" s="337"/>
      <c r="I2258" s="334"/>
      <c r="J2258" s="314"/>
      <c r="K2258" s="449"/>
      <c r="M2258" s="349" t="str">
        <f>N2258&amp;AS[[#This Row],[Insurer Code]]&amp;"; "&amp;O2258&amp;AS[[#This Row],[Reporting Year]]&amp;"; "&amp;P2258&amp;AS[[#This Row],[Insurance Category Code]]&amp;"; "&amp;Q2258&amp;AS[[#This Row],[Large Provider Entity Code]]&amp;"; "&amp;R2258&amp;AS[[#This Row],[Age Band Code]]&amp;"; "&amp;S2258&amp;AS[[#This Row],[Sex Code]]</f>
        <v xml:space="preserve">Insurer Code ; Reporting Year ; Insurance Category Code ; Large Provider Entity Code ; Age Band Code ; Sex Code </v>
      </c>
      <c r="N2258" s="345" t="s">
        <v>207</v>
      </c>
      <c r="O2258" s="345" t="s">
        <v>208</v>
      </c>
      <c r="P2258" s="345" t="s">
        <v>209</v>
      </c>
      <c r="Q2258" s="345" t="s">
        <v>210</v>
      </c>
      <c r="R2258" s="345" t="s">
        <v>223</v>
      </c>
      <c r="S2258" s="345" t="s">
        <v>224</v>
      </c>
    </row>
    <row r="2259" spans="1:19" x14ac:dyDescent="0.25">
      <c r="A2259" s="311"/>
      <c r="B2259" s="312"/>
      <c r="C2259" s="312"/>
      <c r="D2259" s="312"/>
      <c r="E2259" s="312"/>
      <c r="F2259" s="312"/>
      <c r="G2259" s="328"/>
      <c r="H2259" s="337"/>
      <c r="I2259" s="334"/>
      <c r="J2259" s="314"/>
      <c r="K2259" s="449"/>
      <c r="M2259" s="349" t="str">
        <f>N2259&amp;AS[[#This Row],[Insurer Code]]&amp;"; "&amp;O2259&amp;AS[[#This Row],[Reporting Year]]&amp;"; "&amp;P2259&amp;AS[[#This Row],[Insurance Category Code]]&amp;"; "&amp;Q2259&amp;AS[[#This Row],[Large Provider Entity Code]]&amp;"; "&amp;R2259&amp;AS[[#This Row],[Age Band Code]]&amp;"; "&amp;S2259&amp;AS[[#This Row],[Sex Code]]</f>
        <v xml:space="preserve">Insurer Code ; Reporting Year ; Insurance Category Code ; Large Provider Entity Code ; Age Band Code ; Sex Code </v>
      </c>
      <c r="N2259" s="345" t="s">
        <v>207</v>
      </c>
      <c r="O2259" s="345" t="s">
        <v>208</v>
      </c>
      <c r="P2259" s="345" t="s">
        <v>209</v>
      </c>
      <c r="Q2259" s="345" t="s">
        <v>210</v>
      </c>
      <c r="R2259" s="345" t="s">
        <v>223</v>
      </c>
      <c r="S2259" s="345" t="s">
        <v>224</v>
      </c>
    </row>
    <row r="2260" spans="1:19" x14ac:dyDescent="0.25">
      <c r="A2260" s="311"/>
      <c r="B2260" s="312"/>
      <c r="C2260" s="312"/>
      <c r="D2260" s="312"/>
      <c r="E2260" s="312"/>
      <c r="F2260" s="312"/>
      <c r="G2260" s="328"/>
      <c r="H2260" s="337"/>
      <c r="I2260" s="334"/>
      <c r="J2260" s="314"/>
      <c r="K2260" s="449"/>
      <c r="M2260" s="349" t="str">
        <f>N2260&amp;AS[[#This Row],[Insurer Code]]&amp;"; "&amp;O2260&amp;AS[[#This Row],[Reporting Year]]&amp;"; "&amp;P2260&amp;AS[[#This Row],[Insurance Category Code]]&amp;"; "&amp;Q2260&amp;AS[[#This Row],[Large Provider Entity Code]]&amp;"; "&amp;R2260&amp;AS[[#This Row],[Age Band Code]]&amp;"; "&amp;S2260&amp;AS[[#This Row],[Sex Code]]</f>
        <v xml:space="preserve">Insurer Code ; Reporting Year ; Insurance Category Code ; Large Provider Entity Code ; Age Band Code ; Sex Code </v>
      </c>
      <c r="N2260" s="345" t="s">
        <v>207</v>
      </c>
      <c r="O2260" s="345" t="s">
        <v>208</v>
      </c>
      <c r="P2260" s="345" t="s">
        <v>209</v>
      </c>
      <c r="Q2260" s="345" t="s">
        <v>210</v>
      </c>
      <c r="R2260" s="345" t="s">
        <v>223</v>
      </c>
      <c r="S2260" s="345" t="s">
        <v>224</v>
      </c>
    </row>
    <row r="2261" spans="1:19" x14ac:dyDescent="0.25">
      <c r="A2261" s="311"/>
      <c r="B2261" s="312"/>
      <c r="C2261" s="312"/>
      <c r="D2261" s="312"/>
      <c r="E2261" s="312"/>
      <c r="F2261" s="312"/>
      <c r="G2261" s="328"/>
      <c r="H2261" s="337"/>
      <c r="I2261" s="334"/>
      <c r="J2261" s="314"/>
      <c r="K2261" s="449"/>
      <c r="M2261" s="349" t="str">
        <f>N2261&amp;AS[[#This Row],[Insurer Code]]&amp;"; "&amp;O2261&amp;AS[[#This Row],[Reporting Year]]&amp;"; "&amp;P2261&amp;AS[[#This Row],[Insurance Category Code]]&amp;"; "&amp;Q2261&amp;AS[[#This Row],[Large Provider Entity Code]]&amp;"; "&amp;R2261&amp;AS[[#This Row],[Age Band Code]]&amp;"; "&amp;S2261&amp;AS[[#This Row],[Sex Code]]</f>
        <v xml:space="preserve">Insurer Code ; Reporting Year ; Insurance Category Code ; Large Provider Entity Code ; Age Band Code ; Sex Code </v>
      </c>
      <c r="N2261" s="345" t="s">
        <v>207</v>
      </c>
      <c r="O2261" s="345" t="s">
        <v>208</v>
      </c>
      <c r="P2261" s="345" t="s">
        <v>209</v>
      </c>
      <c r="Q2261" s="345" t="s">
        <v>210</v>
      </c>
      <c r="R2261" s="345" t="s">
        <v>223</v>
      </c>
      <c r="S2261" s="345" t="s">
        <v>224</v>
      </c>
    </row>
    <row r="2262" spans="1:19" x14ac:dyDescent="0.25">
      <c r="A2262" s="311"/>
      <c r="B2262" s="312"/>
      <c r="C2262" s="312"/>
      <c r="D2262" s="312"/>
      <c r="E2262" s="312"/>
      <c r="F2262" s="312"/>
      <c r="G2262" s="328"/>
      <c r="H2262" s="337"/>
      <c r="I2262" s="334"/>
      <c r="J2262" s="314"/>
      <c r="K2262" s="449"/>
      <c r="M2262" s="349" t="str">
        <f>N2262&amp;AS[[#This Row],[Insurer Code]]&amp;"; "&amp;O2262&amp;AS[[#This Row],[Reporting Year]]&amp;"; "&amp;P2262&amp;AS[[#This Row],[Insurance Category Code]]&amp;"; "&amp;Q2262&amp;AS[[#This Row],[Large Provider Entity Code]]&amp;"; "&amp;R2262&amp;AS[[#This Row],[Age Band Code]]&amp;"; "&amp;S2262&amp;AS[[#This Row],[Sex Code]]</f>
        <v xml:space="preserve">Insurer Code ; Reporting Year ; Insurance Category Code ; Large Provider Entity Code ; Age Band Code ; Sex Code </v>
      </c>
      <c r="N2262" s="345" t="s">
        <v>207</v>
      </c>
      <c r="O2262" s="345" t="s">
        <v>208</v>
      </c>
      <c r="P2262" s="345" t="s">
        <v>209</v>
      </c>
      <c r="Q2262" s="345" t="s">
        <v>210</v>
      </c>
      <c r="R2262" s="345" t="s">
        <v>223</v>
      </c>
      <c r="S2262" s="345" t="s">
        <v>224</v>
      </c>
    </row>
    <row r="2263" spans="1:19" x14ac:dyDescent="0.25">
      <c r="A2263" s="311"/>
      <c r="B2263" s="312"/>
      <c r="C2263" s="312"/>
      <c r="D2263" s="312"/>
      <c r="E2263" s="312"/>
      <c r="F2263" s="312"/>
      <c r="G2263" s="328"/>
      <c r="H2263" s="337"/>
      <c r="I2263" s="334"/>
      <c r="J2263" s="314"/>
      <c r="K2263" s="449"/>
      <c r="M2263" s="349" t="str">
        <f>N2263&amp;AS[[#This Row],[Insurer Code]]&amp;"; "&amp;O2263&amp;AS[[#This Row],[Reporting Year]]&amp;"; "&amp;P2263&amp;AS[[#This Row],[Insurance Category Code]]&amp;"; "&amp;Q2263&amp;AS[[#This Row],[Large Provider Entity Code]]&amp;"; "&amp;R2263&amp;AS[[#This Row],[Age Band Code]]&amp;"; "&amp;S2263&amp;AS[[#This Row],[Sex Code]]</f>
        <v xml:space="preserve">Insurer Code ; Reporting Year ; Insurance Category Code ; Large Provider Entity Code ; Age Band Code ; Sex Code </v>
      </c>
      <c r="N2263" s="345" t="s">
        <v>207</v>
      </c>
      <c r="O2263" s="345" t="s">
        <v>208</v>
      </c>
      <c r="P2263" s="345" t="s">
        <v>209</v>
      </c>
      <c r="Q2263" s="345" t="s">
        <v>210</v>
      </c>
      <c r="R2263" s="345" t="s">
        <v>223</v>
      </c>
      <c r="S2263" s="345" t="s">
        <v>224</v>
      </c>
    </row>
    <row r="2264" spans="1:19" x14ac:dyDescent="0.25">
      <c r="A2264" s="311"/>
      <c r="B2264" s="312"/>
      <c r="C2264" s="312"/>
      <c r="D2264" s="312"/>
      <c r="E2264" s="312"/>
      <c r="F2264" s="312"/>
      <c r="G2264" s="328"/>
      <c r="H2264" s="337"/>
      <c r="I2264" s="334"/>
      <c r="J2264" s="314"/>
      <c r="K2264" s="449"/>
      <c r="M2264" s="349" t="str">
        <f>N2264&amp;AS[[#This Row],[Insurer Code]]&amp;"; "&amp;O2264&amp;AS[[#This Row],[Reporting Year]]&amp;"; "&amp;P2264&amp;AS[[#This Row],[Insurance Category Code]]&amp;"; "&amp;Q2264&amp;AS[[#This Row],[Large Provider Entity Code]]&amp;"; "&amp;R2264&amp;AS[[#This Row],[Age Band Code]]&amp;"; "&amp;S2264&amp;AS[[#This Row],[Sex Code]]</f>
        <v xml:space="preserve">Insurer Code ; Reporting Year ; Insurance Category Code ; Large Provider Entity Code ; Age Band Code ; Sex Code </v>
      </c>
      <c r="N2264" s="345" t="s">
        <v>207</v>
      </c>
      <c r="O2264" s="345" t="s">
        <v>208</v>
      </c>
      <c r="P2264" s="345" t="s">
        <v>209</v>
      </c>
      <c r="Q2264" s="345" t="s">
        <v>210</v>
      </c>
      <c r="R2264" s="345" t="s">
        <v>223</v>
      </c>
      <c r="S2264" s="345" t="s">
        <v>224</v>
      </c>
    </row>
    <row r="2265" spans="1:19" x14ac:dyDescent="0.25">
      <c r="A2265" s="311"/>
      <c r="B2265" s="312"/>
      <c r="C2265" s="312"/>
      <c r="D2265" s="312"/>
      <c r="E2265" s="312"/>
      <c r="F2265" s="312"/>
      <c r="G2265" s="328"/>
      <c r="H2265" s="337"/>
      <c r="I2265" s="334"/>
      <c r="J2265" s="314"/>
      <c r="K2265" s="449"/>
      <c r="M2265" s="349" t="str">
        <f>N2265&amp;AS[[#This Row],[Insurer Code]]&amp;"; "&amp;O2265&amp;AS[[#This Row],[Reporting Year]]&amp;"; "&amp;P2265&amp;AS[[#This Row],[Insurance Category Code]]&amp;"; "&amp;Q2265&amp;AS[[#This Row],[Large Provider Entity Code]]&amp;"; "&amp;R2265&amp;AS[[#This Row],[Age Band Code]]&amp;"; "&amp;S2265&amp;AS[[#This Row],[Sex Code]]</f>
        <v xml:space="preserve">Insurer Code ; Reporting Year ; Insurance Category Code ; Large Provider Entity Code ; Age Band Code ; Sex Code </v>
      </c>
      <c r="N2265" s="345" t="s">
        <v>207</v>
      </c>
      <c r="O2265" s="345" t="s">
        <v>208</v>
      </c>
      <c r="P2265" s="345" t="s">
        <v>209</v>
      </c>
      <c r="Q2265" s="345" t="s">
        <v>210</v>
      </c>
      <c r="R2265" s="345" t="s">
        <v>223</v>
      </c>
      <c r="S2265" s="345" t="s">
        <v>224</v>
      </c>
    </row>
    <row r="2266" spans="1:19" x14ac:dyDescent="0.25">
      <c r="A2266" s="311"/>
      <c r="B2266" s="312"/>
      <c r="C2266" s="312"/>
      <c r="D2266" s="312"/>
      <c r="E2266" s="312"/>
      <c r="F2266" s="312"/>
      <c r="G2266" s="328"/>
      <c r="H2266" s="337"/>
      <c r="I2266" s="334"/>
      <c r="J2266" s="314"/>
      <c r="K2266" s="449"/>
      <c r="M2266" s="349" t="str">
        <f>N2266&amp;AS[[#This Row],[Insurer Code]]&amp;"; "&amp;O2266&amp;AS[[#This Row],[Reporting Year]]&amp;"; "&amp;P2266&amp;AS[[#This Row],[Insurance Category Code]]&amp;"; "&amp;Q2266&amp;AS[[#This Row],[Large Provider Entity Code]]&amp;"; "&amp;R2266&amp;AS[[#This Row],[Age Band Code]]&amp;"; "&amp;S2266&amp;AS[[#This Row],[Sex Code]]</f>
        <v xml:space="preserve">Insurer Code ; Reporting Year ; Insurance Category Code ; Large Provider Entity Code ; Age Band Code ; Sex Code </v>
      </c>
      <c r="N2266" s="345" t="s">
        <v>207</v>
      </c>
      <c r="O2266" s="345" t="s">
        <v>208</v>
      </c>
      <c r="P2266" s="345" t="s">
        <v>209</v>
      </c>
      <c r="Q2266" s="345" t="s">
        <v>210</v>
      </c>
      <c r="R2266" s="345" t="s">
        <v>223</v>
      </c>
      <c r="S2266" s="345" t="s">
        <v>224</v>
      </c>
    </row>
    <row r="2267" spans="1:19" x14ac:dyDescent="0.25">
      <c r="A2267" s="311"/>
      <c r="B2267" s="312"/>
      <c r="C2267" s="312"/>
      <c r="D2267" s="312"/>
      <c r="E2267" s="312"/>
      <c r="F2267" s="312"/>
      <c r="G2267" s="328"/>
      <c r="H2267" s="337"/>
      <c r="I2267" s="334"/>
      <c r="J2267" s="314"/>
      <c r="K2267" s="449"/>
      <c r="M2267" s="349" t="str">
        <f>N2267&amp;AS[[#This Row],[Insurer Code]]&amp;"; "&amp;O2267&amp;AS[[#This Row],[Reporting Year]]&amp;"; "&amp;P2267&amp;AS[[#This Row],[Insurance Category Code]]&amp;"; "&amp;Q2267&amp;AS[[#This Row],[Large Provider Entity Code]]&amp;"; "&amp;R2267&amp;AS[[#This Row],[Age Band Code]]&amp;"; "&amp;S2267&amp;AS[[#This Row],[Sex Code]]</f>
        <v xml:space="preserve">Insurer Code ; Reporting Year ; Insurance Category Code ; Large Provider Entity Code ; Age Band Code ; Sex Code </v>
      </c>
      <c r="N2267" s="345" t="s">
        <v>207</v>
      </c>
      <c r="O2267" s="345" t="s">
        <v>208</v>
      </c>
      <c r="P2267" s="345" t="s">
        <v>209</v>
      </c>
      <c r="Q2267" s="345" t="s">
        <v>210</v>
      </c>
      <c r="R2267" s="345" t="s">
        <v>223</v>
      </c>
      <c r="S2267" s="345" t="s">
        <v>224</v>
      </c>
    </row>
    <row r="2268" spans="1:19" x14ac:dyDescent="0.25">
      <c r="A2268" s="311"/>
      <c r="B2268" s="312"/>
      <c r="C2268" s="312"/>
      <c r="D2268" s="312"/>
      <c r="E2268" s="312"/>
      <c r="F2268" s="312"/>
      <c r="G2268" s="328"/>
      <c r="H2268" s="337"/>
      <c r="I2268" s="334"/>
      <c r="J2268" s="314"/>
      <c r="K2268" s="449"/>
      <c r="M2268" s="349" t="str">
        <f>N2268&amp;AS[[#This Row],[Insurer Code]]&amp;"; "&amp;O2268&amp;AS[[#This Row],[Reporting Year]]&amp;"; "&amp;P2268&amp;AS[[#This Row],[Insurance Category Code]]&amp;"; "&amp;Q2268&amp;AS[[#This Row],[Large Provider Entity Code]]&amp;"; "&amp;R2268&amp;AS[[#This Row],[Age Band Code]]&amp;"; "&amp;S2268&amp;AS[[#This Row],[Sex Code]]</f>
        <v xml:space="preserve">Insurer Code ; Reporting Year ; Insurance Category Code ; Large Provider Entity Code ; Age Band Code ; Sex Code </v>
      </c>
      <c r="N2268" s="345" t="s">
        <v>207</v>
      </c>
      <c r="O2268" s="345" t="s">
        <v>208</v>
      </c>
      <c r="P2268" s="345" t="s">
        <v>209</v>
      </c>
      <c r="Q2268" s="345" t="s">
        <v>210</v>
      </c>
      <c r="R2268" s="345" t="s">
        <v>223</v>
      </c>
      <c r="S2268" s="345" t="s">
        <v>224</v>
      </c>
    </row>
    <row r="2269" spans="1:19" x14ac:dyDescent="0.25">
      <c r="A2269" s="311"/>
      <c r="B2269" s="312"/>
      <c r="C2269" s="312"/>
      <c r="D2269" s="312"/>
      <c r="E2269" s="312"/>
      <c r="F2269" s="312"/>
      <c r="G2269" s="328"/>
      <c r="H2269" s="337"/>
      <c r="I2269" s="334"/>
      <c r="J2269" s="314"/>
      <c r="K2269" s="449"/>
      <c r="M2269" s="349" t="str">
        <f>N2269&amp;AS[[#This Row],[Insurer Code]]&amp;"; "&amp;O2269&amp;AS[[#This Row],[Reporting Year]]&amp;"; "&amp;P2269&amp;AS[[#This Row],[Insurance Category Code]]&amp;"; "&amp;Q2269&amp;AS[[#This Row],[Large Provider Entity Code]]&amp;"; "&amp;R2269&amp;AS[[#This Row],[Age Band Code]]&amp;"; "&amp;S2269&amp;AS[[#This Row],[Sex Code]]</f>
        <v xml:space="preserve">Insurer Code ; Reporting Year ; Insurance Category Code ; Large Provider Entity Code ; Age Band Code ; Sex Code </v>
      </c>
      <c r="N2269" s="345" t="s">
        <v>207</v>
      </c>
      <c r="O2269" s="345" t="s">
        <v>208</v>
      </c>
      <c r="P2269" s="345" t="s">
        <v>209</v>
      </c>
      <c r="Q2269" s="345" t="s">
        <v>210</v>
      </c>
      <c r="R2269" s="345" t="s">
        <v>223</v>
      </c>
      <c r="S2269" s="345" t="s">
        <v>224</v>
      </c>
    </row>
    <row r="2270" spans="1:19" x14ac:dyDescent="0.25">
      <c r="A2270" s="311"/>
      <c r="B2270" s="312"/>
      <c r="C2270" s="312"/>
      <c r="D2270" s="312"/>
      <c r="E2270" s="312"/>
      <c r="F2270" s="312"/>
      <c r="G2270" s="328"/>
      <c r="H2270" s="337"/>
      <c r="I2270" s="334"/>
      <c r="J2270" s="314"/>
      <c r="K2270" s="449"/>
      <c r="M2270" s="349" t="str">
        <f>N2270&amp;AS[[#This Row],[Insurer Code]]&amp;"; "&amp;O2270&amp;AS[[#This Row],[Reporting Year]]&amp;"; "&amp;P2270&amp;AS[[#This Row],[Insurance Category Code]]&amp;"; "&amp;Q2270&amp;AS[[#This Row],[Large Provider Entity Code]]&amp;"; "&amp;R2270&amp;AS[[#This Row],[Age Band Code]]&amp;"; "&amp;S2270&amp;AS[[#This Row],[Sex Code]]</f>
        <v xml:space="preserve">Insurer Code ; Reporting Year ; Insurance Category Code ; Large Provider Entity Code ; Age Band Code ; Sex Code </v>
      </c>
      <c r="N2270" s="345" t="s">
        <v>207</v>
      </c>
      <c r="O2270" s="345" t="s">
        <v>208</v>
      </c>
      <c r="P2270" s="345" t="s">
        <v>209</v>
      </c>
      <c r="Q2270" s="345" t="s">
        <v>210</v>
      </c>
      <c r="R2270" s="345" t="s">
        <v>223</v>
      </c>
      <c r="S2270" s="345" t="s">
        <v>224</v>
      </c>
    </row>
    <row r="2271" spans="1:19" x14ac:dyDescent="0.25">
      <c r="A2271" s="311"/>
      <c r="B2271" s="312"/>
      <c r="C2271" s="312"/>
      <c r="D2271" s="312"/>
      <c r="E2271" s="312"/>
      <c r="F2271" s="312"/>
      <c r="G2271" s="328"/>
      <c r="H2271" s="337"/>
      <c r="I2271" s="334"/>
      <c r="J2271" s="314"/>
      <c r="K2271" s="449"/>
      <c r="M2271" s="349" t="str">
        <f>N2271&amp;AS[[#This Row],[Insurer Code]]&amp;"; "&amp;O2271&amp;AS[[#This Row],[Reporting Year]]&amp;"; "&amp;P2271&amp;AS[[#This Row],[Insurance Category Code]]&amp;"; "&amp;Q2271&amp;AS[[#This Row],[Large Provider Entity Code]]&amp;"; "&amp;R2271&amp;AS[[#This Row],[Age Band Code]]&amp;"; "&amp;S2271&amp;AS[[#This Row],[Sex Code]]</f>
        <v xml:space="preserve">Insurer Code ; Reporting Year ; Insurance Category Code ; Large Provider Entity Code ; Age Band Code ; Sex Code </v>
      </c>
      <c r="N2271" s="345" t="s">
        <v>207</v>
      </c>
      <c r="O2271" s="345" t="s">
        <v>208</v>
      </c>
      <c r="P2271" s="345" t="s">
        <v>209</v>
      </c>
      <c r="Q2271" s="345" t="s">
        <v>210</v>
      </c>
      <c r="R2271" s="345" t="s">
        <v>223</v>
      </c>
      <c r="S2271" s="345" t="s">
        <v>224</v>
      </c>
    </row>
    <row r="2272" spans="1:19" x14ac:dyDescent="0.25">
      <c r="A2272" s="311"/>
      <c r="B2272" s="312"/>
      <c r="C2272" s="312"/>
      <c r="D2272" s="312"/>
      <c r="E2272" s="312"/>
      <c r="F2272" s="312"/>
      <c r="G2272" s="328"/>
      <c r="H2272" s="337"/>
      <c r="I2272" s="334"/>
      <c r="J2272" s="314"/>
      <c r="K2272" s="449"/>
      <c r="M2272" s="349" t="str">
        <f>N2272&amp;AS[[#This Row],[Insurer Code]]&amp;"; "&amp;O2272&amp;AS[[#This Row],[Reporting Year]]&amp;"; "&amp;P2272&amp;AS[[#This Row],[Insurance Category Code]]&amp;"; "&amp;Q2272&amp;AS[[#This Row],[Large Provider Entity Code]]&amp;"; "&amp;R2272&amp;AS[[#This Row],[Age Band Code]]&amp;"; "&amp;S2272&amp;AS[[#This Row],[Sex Code]]</f>
        <v xml:space="preserve">Insurer Code ; Reporting Year ; Insurance Category Code ; Large Provider Entity Code ; Age Band Code ; Sex Code </v>
      </c>
      <c r="N2272" s="345" t="s">
        <v>207</v>
      </c>
      <c r="O2272" s="345" t="s">
        <v>208</v>
      </c>
      <c r="P2272" s="345" t="s">
        <v>209</v>
      </c>
      <c r="Q2272" s="345" t="s">
        <v>210</v>
      </c>
      <c r="R2272" s="345" t="s">
        <v>223</v>
      </c>
      <c r="S2272" s="345" t="s">
        <v>224</v>
      </c>
    </row>
    <row r="2273" spans="1:19" x14ac:dyDescent="0.25">
      <c r="A2273" s="311"/>
      <c r="B2273" s="312"/>
      <c r="C2273" s="312"/>
      <c r="D2273" s="312"/>
      <c r="E2273" s="312"/>
      <c r="F2273" s="312"/>
      <c r="G2273" s="328"/>
      <c r="H2273" s="337"/>
      <c r="I2273" s="334"/>
      <c r="J2273" s="314"/>
      <c r="K2273" s="449"/>
      <c r="M2273" s="349" t="str">
        <f>N2273&amp;AS[[#This Row],[Insurer Code]]&amp;"; "&amp;O2273&amp;AS[[#This Row],[Reporting Year]]&amp;"; "&amp;P2273&amp;AS[[#This Row],[Insurance Category Code]]&amp;"; "&amp;Q2273&amp;AS[[#This Row],[Large Provider Entity Code]]&amp;"; "&amp;R2273&amp;AS[[#This Row],[Age Band Code]]&amp;"; "&amp;S2273&amp;AS[[#This Row],[Sex Code]]</f>
        <v xml:space="preserve">Insurer Code ; Reporting Year ; Insurance Category Code ; Large Provider Entity Code ; Age Band Code ; Sex Code </v>
      </c>
      <c r="N2273" s="345" t="s">
        <v>207</v>
      </c>
      <c r="O2273" s="345" t="s">
        <v>208</v>
      </c>
      <c r="P2273" s="345" t="s">
        <v>209</v>
      </c>
      <c r="Q2273" s="345" t="s">
        <v>210</v>
      </c>
      <c r="R2273" s="345" t="s">
        <v>223</v>
      </c>
      <c r="S2273" s="345" t="s">
        <v>224</v>
      </c>
    </row>
    <row r="2274" spans="1:19" x14ac:dyDescent="0.25">
      <c r="A2274" s="311"/>
      <c r="B2274" s="312"/>
      <c r="C2274" s="312"/>
      <c r="D2274" s="312"/>
      <c r="E2274" s="312"/>
      <c r="F2274" s="312"/>
      <c r="G2274" s="328"/>
      <c r="H2274" s="337"/>
      <c r="I2274" s="334"/>
      <c r="J2274" s="314"/>
      <c r="K2274" s="449"/>
      <c r="M2274" s="349" t="str">
        <f>N2274&amp;AS[[#This Row],[Insurer Code]]&amp;"; "&amp;O2274&amp;AS[[#This Row],[Reporting Year]]&amp;"; "&amp;P2274&amp;AS[[#This Row],[Insurance Category Code]]&amp;"; "&amp;Q2274&amp;AS[[#This Row],[Large Provider Entity Code]]&amp;"; "&amp;R2274&amp;AS[[#This Row],[Age Band Code]]&amp;"; "&amp;S2274&amp;AS[[#This Row],[Sex Code]]</f>
        <v xml:space="preserve">Insurer Code ; Reporting Year ; Insurance Category Code ; Large Provider Entity Code ; Age Band Code ; Sex Code </v>
      </c>
      <c r="N2274" s="345" t="s">
        <v>207</v>
      </c>
      <c r="O2274" s="345" t="s">
        <v>208</v>
      </c>
      <c r="P2274" s="345" t="s">
        <v>209</v>
      </c>
      <c r="Q2274" s="345" t="s">
        <v>210</v>
      </c>
      <c r="R2274" s="345" t="s">
        <v>223</v>
      </c>
      <c r="S2274" s="345" t="s">
        <v>224</v>
      </c>
    </row>
    <row r="2275" spans="1:19" x14ac:dyDescent="0.25">
      <c r="A2275" s="311"/>
      <c r="B2275" s="312"/>
      <c r="C2275" s="312"/>
      <c r="D2275" s="312"/>
      <c r="E2275" s="312"/>
      <c r="F2275" s="312"/>
      <c r="G2275" s="328"/>
      <c r="H2275" s="337"/>
      <c r="I2275" s="334"/>
      <c r="J2275" s="314"/>
      <c r="K2275" s="449"/>
      <c r="M2275" s="349" t="str">
        <f>N2275&amp;AS[[#This Row],[Insurer Code]]&amp;"; "&amp;O2275&amp;AS[[#This Row],[Reporting Year]]&amp;"; "&amp;P2275&amp;AS[[#This Row],[Insurance Category Code]]&amp;"; "&amp;Q2275&amp;AS[[#This Row],[Large Provider Entity Code]]&amp;"; "&amp;R2275&amp;AS[[#This Row],[Age Band Code]]&amp;"; "&amp;S2275&amp;AS[[#This Row],[Sex Code]]</f>
        <v xml:space="preserve">Insurer Code ; Reporting Year ; Insurance Category Code ; Large Provider Entity Code ; Age Band Code ; Sex Code </v>
      </c>
      <c r="N2275" s="345" t="s">
        <v>207</v>
      </c>
      <c r="O2275" s="345" t="s">
        <v>208</v>
      </c>
      <c r="P2275" s="345" t="s">
        <v>209</v>
      </c>
      <c r="Q2275" s="345" t="s">
        <v>210</v>
      </c>
      <c r="R2275" s="345" t="s">
        <v>223</v>
      </c>
      <c r="S2275" s="345" t="s">
        <v>224</v>
      </c>
    </row>
    <row r="2276" spans="1:19" x14ac:dyDescent="0.25">
      <c r="A2276" s="311"/>
      <c r="B2276" s="312"/>
      <c r="C2276" s="312"/>
      <c r="D2276" s="312"/>
      <c r="E2276" s="312"/>
      <c r="F2276" s="312"/>
      <c r="G2276" s="328"/>
      <c r="H2276" s="337"/>
      <c r="I2276" s="334"/>
      <c r="J2276" s="314"/>
      <c r="K2276" s="449"/>
      <c r="M2276" s="349" t="str">
        <f>N2276&amp;AS[[#This Row],[Insurer Code]]&amp;"; "&amp;O2276&amp;AS[[#This Row],[Reporting Year]]&amp;"; "&amp;P2276&amp;AS[[#This Row],[Insurance Category Code]]&amp;"; "&amp;Q2276&amp;AS[[#This Row],[Large Provider Entity Code]]&amp;"; "&amp;R2276&amp;AS[[#This Row],[Age Band Code]]&amp;"; "&amp;S2276&amp;AS[[#This Row],[Sex Code]]</f>
        <v xml:space="preserve">Insurer Code ; Reporting Year ; Insurance Category Code ; Large Provider Entity Code ; Age Band Code ; Sex Code </v>
      </c>
      <c r="N2276" s="345" t="s">
        <v>207</v>
      </c>
      <c r="O2276" s="345" t="s">
        <v>208</v>
      </c>
      <c r="P2276" s="345" t="s">
        <v>209</v>
      </c>
      <c r="Q2276" s="345" t="s">
        <v>210</v>
      </c>
      <c r="R2276" s="345" t="s">
        <v>223</v>
      </c>
      <c r="S2276" s="345" t="s">
        <v>224</v>
      </c>
    </row>
    <row r="2277" spans="1:19" x14ac:dyDescent="0.25">
      <c r="A2277" s="311"/>
      <c r="B2277" s="312"/>
      <c r="C2277" s="312"/>
      <c r="D2277" s="312"/>
      <c r="E2277" s="312"/>
      <c r="F2277" s="312"/>
      <c r="G2277" s="328"/>
      <c r="H2277" s="337"/>
      <c r="I2277" s="334"/>
      <c r="J2277" s="314"/>
      <c r="K2277" s="449"/>
      <c r="M2277" s="349" t="str">
        <f>N2277&amp;AS[[#This Row],[Insurer Code]]&amp;"; "&amp;O2277&amp;AS[[#This Row],[Reporting Year]]&amp;"; "&amp;P2277&amp;AS[[#This Row],[Insurance Category Code]]&amp;"; "&amp;Q2277&amp;AS[[#This Row],[Large Provider Entity Code]]&amp;"; "&amp;R2277&amp;AS[[#This Row],[Age Band Code]]&amp;"; "&amp;S2277&amp;AS[[#This Row],[Sex Code]]</f>
        <v xml:space="preserve">Insurer Code ; Reporting Year ; Insurance Category Code ; Large Provider Entity Code ; Age Band Code ; Sex Code </v>
      </c>
      <c r="N2277" s="345" t="s">
        <v>207</v>
      </c>
      <c r="O2277" s="345" t="s">
        <v>208</v>
      </c>
      <c r="P2277" s="345" t="s">
        <v>209</v>
      </c>
      <c r="Q2277" s="345" t="s">
        <v>210</v>
      </c>
      <c r="R2277" s="345" t="s">
        <v>223</v>
      </c>
      <c r="S2277" s="345" t="s">
        <v>224</v>
      </c>
    </row>
    <row r="2278" spans="1:19" x14ac:dyDescent="0.25">
      <c r="A2278" s="311"/>
      <c r="B2278" s="312"/>
      <c r="C2278" s="312"/>
      <c r="D2278" s="312"/>
      <c r="E2278" s="312"/>
      <c r="F2278" s="312"/>
      <c r="G2278" s="328"/>
      <c r="H2278" s="337"/>
      <c r="I2278" s="334"/>
      <c r="J2278" s="314"/>
      <c r="K2278" s="449"/>
      <c r="M2278" s="349" t="str">
        <f>N2278&amp;AS[[#This Row],[Insurer Code]]&amp;"; "&amp;O2278&amp;AS[[#This Row],[Reporting Year]]&amp;"; "&amp;P2278&amp;AS[[#This Row],[Insurance Category Code]]&amp;"; "&amp;Q2278&amp;AS[[#This Row],[Large Provider Entity Code]]&amp;"; "&amp;R2278&amp;AS[[#This Row],[Age Band Code]]&amp;"; "&amp;S2278&amp;AS[[#This Row],[Sex Code]]</f>
        <v xml:space="preserve">Insurer Code ; Reporting Year ; Insurance Category Code ; Large Provider Entity Code ; Age Band Code ; Sex Code </v>
      </c>
      <c r="N2278" s="345" t="s">
        <v>207</v>
      </c>
      <c r="O2278" s="345" t="s">
        <v>208</v>
      </c>
      <c r="P2278" s="345" t="s">
        <v>209</v>
      </c>
      <c r="Q2278" s="345" t="s">
        <v>210</v>
      </c>
      <c r="R2278" s="345" t="s">
        <v>223</v>
      </c>
      <c r="S2278" s="345" t="s">
        <v>224</v>
      </c>
    </row>
    <row r="2279" spans="1:19" x14ac:dyDescent="0.25">
      <c r="A2279" s="311"/>
      <c r="B2279" s="312"/>
      <c r="C2279" s="312"/>
      <c r="D2279" s="312"/>
      <c r="E2279" s="312"/>
      <c r="F2279" s="312"/>
      <c r="G2279" s="328"/>
      <c r="H2279" s="337"/>
      <c r="I2279" s="334"/>
      <c r="J2279" s="314"/>
      <c r="K2279" s="449"/>
      <c r="M2279" s="349" t="str">
        <f>N2279&amp;AS[[#This Row],[Insurer Code]]&amp;"; "&amp;O2279&amp;AS[[#This Row],[Reporting Year]]&amp;"; "&amp;P2279&amp;AS[[#This Row],[Insurance Category Code]]&amp;"; "&amp;Q2279&amp;AS[[#This Row],[Large Provider Entity Code]]&amp;"; "&amp;R2279&amp;AS[[#This Row],[Age Band Code]]&amp;"; "&amp;S2279&amp;AS[[#This Row],[Sex Code]]</f>
        <v xml:space="preserve">Insurer Code ; Reporting Year ; Insurance Category Code ; Large Provider Entity Code ; Age Band Code ; Sex Code </v>
      </c>
      <c r="N2279" s="345" t="s">
        <v>207</v>
      </c>
      <c r="O2279" s="345" t="s">
        <v>208</v>
      </c>
      <c r="P2279" s="345" t="s">
        <v>209</v>
      </c>
      <c r="Q2279" s="345" t="s">
        <v>210</v>
      </c>
      <c r="R2279" s="345" t="s">
        <v>223</v>
      </c>
      <c r="S2279" s="345" t="s">
        <v>224</v>
      </c>
    </row>
    <row r="2280" spans="1:19" x14ac:dyDescent="0.25">
      <c r="A2280" s="311"/>
      <c r="B2280" s="312"/>
      <c r="C2280" s="312"/>
      <c r="D2280" s="312"/>
      <c r="E2280" s="312"/>
      <c r="F2280" s="312"/>
      <c r="G2280" s="328"/>
      <c r="H2280" s="337"/>
      <c r="I2280" s="334"/>
      <c r="J2280" s="314"/>
      <c r="K2280" s="449"/>
      <c r="M2280" s="349" t="str">
        <f>N2280&amp;AS[[#This Row],[Insurer Code]]&amp;"; "&amp;O2280&amp;AS[[#This Row],[Reporting Year]]&amp;"; "&amp;P2280&amp;AS[[#This Row],[Insurance Category Code]]&amp;"; "&amp;Q2280&amp;AS[[#This Row],[Large Provider Entity Code]]&amp;"; "&amp;R2280&amp;AS[[#This Row],[Age Band Code]]&amp;"; "&amp;S2280&amp;AS[[#This Row],[Sex Code]]</f>
        <v xml:space="preserve">Insurer Code ; Reporting Year ; Insurance Category Code ; Large Provider Entity Code ; Age Band Code ; Sex Code </v>
      </c>
      <c r="N2280" s="345" t="s">
        <v>207</v>
      </c>
      <c r="O2280" s="345" t="s">
        <v>208</v>
      </c>
      <c r="P2280" s="345" t="s">
        <v>209</v>
      </c>
      <c r="Q2280" s="345" t="s">
        <v>210</v>
      </c>
      <c r="R2280" s="345" t="s">
        <v>223</v>
      </c>
      <c r="S2280" s="345" t="s">
        <v>224</v>
      </c>
    </row>
    <row r="2281" spans="1:19" x14ac:dyDescent="0.25">
      <c r="A2281" s="311"/>
      <c r="B2281" s="312"/>
      <c r="C2281" s="312"/>
      <c r="D2281" s="312"/>
      <c r="E2281" s="312"/>
      <c r="F2281" s="312"/>
      <c r="G2281" s="328"/>
      <c r="H2281" s="337"/>
      <c r="I2281" s="334"/>
      <c r="J2281" s="314"/>
      <c r="K2281" s="449"/>
      <c r="M2281" s="349" t="str">
        <f>N2281&amp;AS[[#This Row],[Insurer Code]]&amp;"; "&amp;O2281&amp;AS[[#This Row],[Reporting Year]]&amp;"; "&amp;P2281&amp;AS[[#This Row],[Insurance Category Code]]&amp;"; "&amp;Q2281&amp;AS[[#This Row],[Large Provider Entity Code]]&amp;"; "&amp;R2281&amp;AS[[#This Row],[Age Band Code]]&amp;"; "&amp;S2281&amp;AS[[#This Row],[Sex Code]]</f>
        <v xml:space="preserve">Insurer Code ; Reporting Year ; Insurance Category Code ; Large Provider Entity Code ; Age Band Code ; Sex Code </v>
      </c>
      <c r="N2281" s="345" t="s">
        <v>207</v>
      </c>
      <c r="O2281" s="345" t="s">
        <v>208</v>
      </c>
      <c r="P2281" s="345" t="s">
        <v>209</v>
      </c>
      <c r="Q2281" s="345" t="s">
        <v>210</v>
      </c>
      <c r="R2281" s="345" t="s">
        <v>223</v>
      </c>
      <c r="S2281" s="345" t="s">
        <v>224</v>
      </c>
    </row>
    <row r="2282" spans="1:19" x14ac:dyDescent="0.25">
      <c r="A2282" s="311"/>
      <c r="B2282" s="312"/>
      <c r="C2282" s="312"/>
      <c r="D2282" s="312"/>
      <c r="E2282" s="312"/>
      <c r="F2282" s="312"/>
      <c r="G2282" s="328"/>
      <c r="H2282" s="337"/>
      <c r="I2282" s="334"/>
      <c r="J2282" s="314"/>
      <c r="K2282" s="449"/>
      <c r="M2282" s="349" t="str">
        <f>N2282&amp;AS[[#This Row],[Insurer Code]]&amp;"; "&amp;O2282&amp;AS[[#This Row],[Reporting Year]]&amp;"; "&amp;P2282&amp;AS[[#This Row],[Insurance Category Code]]&amp;"; "&amp;Q2282&amp;AS[[#This Row],[Large Provider Entity Code]]&amp;"; "&amp;R2282&amp;AS[[#This Row],[Age Band Code]]&amp;"; "&amp;S2282&amp;AS[[#This Row],[Sex Code]]</f>
        <v xml:space="preserve">Insurer Code ; Reporting Year ; Insurance Category Code ; Large Provider Entity Code ; Age Band Code ; Sex Code </v>
      </c>
      <c r="N2282" s="345" t="s">
        <v>207</v>
      </c>
      <c r="O2282" s="345" t="s">
        <v>208</v>
      </c>
      <c r="P2282" s="345" t="s">
        <v>209</v>
      </c>
      <c r="Q2282" s="345" t="s">
        <v>210</v>
      </c>
      <c r="R2282" s="345" t="s">
        <v>223</v>
      </c>
      <c r="S2282" s="345" t="s">
        <v>224</v>
      </c>
    </row>
    <row r="2283" spans="1:19" x14ac:dyDescent="0.25">
      <c r="A2283" s="311"/>
      <c r="B2283" s="312"/>
      <c r="C2283" s="312"/>
      <c r="D2283" s="312"/>
      <c r="E2283" s="312"/>
      <c r="F2283" s="312"/>
      <c r="G2283" s="328"/>
      <c r="H2283" s="337"/>
      <c r="I2283" s="334"/>
      <c r="J2283" s="314"/>
      <c r="K2283" s="449"/>
      <c r="M2283" s="349" t="str">
        <f>N2283&amp;AS[[#This Row],[Insurer Code]]&amp;"; "&amp;O2283&amp;AS[[#This Row],[Reporting Year]]&amp;"; "&amp;P2283&amp;AS[[#This Row],[Insurance Category Code]]&amp;"; "&amp;Q2283&amp;AS[[#This Row],[Large Provider Entity Code]]&amp;"; "&amp;R2283&amp;AS[[#This Row],[Age Band Code]]&amp;"; "&amp;S2283&amp;AS[[#This Row],[Sex Code]]</f>
        <v xml:space="preserve">Insurer Code ; Reporting Year ; Insurance Category Code ; Large Provider Entity Code ; Age Band Code ; Sex Code </v>
      </c>
      <c r="N2283" s="345" t="s">
        <v>207</v>
      </c>
      <c r="O2283" s="345" t="s">
        <v>208</v>
      </c>
      <c r="P2283" s="345" t="s">
        <v>209</v>
      </c>
      <c r="Q2283" s="345" t="s">
        <v>210</v>
      </c>
      <c r="R2283" s="345" t="s">
        <v>223</v>
      </c>
      <c r="S2283" s="345" t="s">
        <v>224</v>
      </c>
    </row>
    <row r="2284" spans="1:19" x14ac:dyDescent="0.25">
      <c r="A2284" s="311"/>
      <c r="B2284" s="312"/>
      <c r="C2284" s="312"/>
      <c r="D2284" s="312"/>
      <c r="E2284" s="312"/>
      <c r="F2284" s="312"/>
      <c r="G2284" s="328"/>
      <c r="H2284" s="337"/>
      <c r="I2284" s="334"/>
      <c r="J2284" s="314"/>
      <c r="K2284" s="449"/>
      <c r="M2284" s="349" t="str">
        <f>N2284&amp;AS[[#This Row],[Insurer Code]]&amp;"; "&amp;O2284&amp;AS[[#This Row],[Reporting Year]]&amp;"; "&amp;P2284&amp;AS[[#This Row],[Insurance Category Code]]&amp;"; "&amp;Q2284&amp;AS[[#This Row],[Large Provider Entity Code]]&amp;"; "&amp;R2284&amp;AS[[#This Row],[Age Band Code]]&amp;"; "&amp;S2284&amp;AS[[#This Row],[Sex Code]]</f>
        <v xml:space="preserve">Insurer Code ; Reporting Year ; Insurance Category Code ; Large Provider Entity Code ; Age Band Code ; Sex Code </v>
      </c>
      <c r="N2284" s="345" t="s">
        <v>207</v>
      </c>
      <c r="O2284" s="345" t="s">
        <v>208</v>
      </c>
      <c r="P2284" s="345" t="s">
        <v>209</v>
      </c>
      <c r="Q2284" s="345" t="s">
        <v>210</v>
      </c>
      <c r="R2284" s="345" t="s">
        <v>223</v>
      </c>
      <c r="S2284" s="345" t="s">
        <v>224</v>
      </c>
    </row>
    <row r="2285" spans="1:19" x14ac:dyDescent="0.25">
      <c r="A2285" s="311"/>
      <c r="B2285" s="312"/>
      <c r="C2285" s="312"/>
      <c r="D2285" s="312"/>
      <c r="E2285" s="312"/>
      <c r="F2285" s="312"/>
      <c r="G2285" s="328"/>
      <c r="H2285" s="337"/>
      <c r="I2285" s="334"/>
      <c r="J2285" s="314"/>
      <c r="K2285" s="449"/>
      <c r="M2285" s="349" t="str">
        <f>N2285&amp;AS[[#This Row],[Insurer Code]]&amp;"; "&amp;O2285&amp;AS[[#This Row],[Reporting Year]]&amp;"; "&amp;P2285&amp;AS[[#This Row],[Insurance Category Code]]&amp;"; "&amp;Q2285&amp;AS[[#This Row],[Large Provider Entity Code]]&amp;"; "&amp;R2285&amp;AS[[#This Row],[Age Band Code]]&amp;"; "&amp;S2285&amp;AS[[#This Row],[Sex Code]]</f>
        <v xml:space="preserve">Insurer Code ; Reporting Year ; Insurance Category Code ; Large Provider Entity Code ; Age Band Code ; Sex Code </v>
      </c>
      <c r="N2285" s="345" t="s">
        <v>207</v>
      </c>
      <c r="O2285" s="345" t="s">
        <v>208</v>
      </c>
      <c r="P2285" s="345" t="s">
        <v>209</v>
      </c>
      <c r="Q2285" s="345" t="s">
        <v>210</v>
      </c>
      <c r="R2285" s="345" t="s">
        <v>223</v>
      </c>
      <c r="S2285" s="345" t="s">
        <v>224</v>
      </c>
    </row>
    <row r="2286" spans="1:19" x14ac:dyDescent="0.25">
      <c r="A2286" s="311"/>
      <c r="B2286" s="312"/>
      <c r="C2286" s="312"/>
      <c r="D2286" s="312"/>
      <c r="E2286" s="312"/>
      <c r="F2286" s="312"/>
      <c r="G2286" s="328"/>
      <c r="H2286" s="337"/>
      <c r="I2286" s="334"/>
      <c r="J2286" s="314"/>
      <c r="K2286" s="449"/>
      <c r="M2286" s="349" t="str">
        <f>N2286&amp;AS[[#This Row],[Insurer Code]]&amp;"; "&amp;O2286&amp;AS[[#This Row],[Reporting Year]]&amp;"; "&amp;P2286&amp;AS[[#This Row],[Insurance Category Code]]&amp;"; "&amp;Q2286&amp;AS[[#This Row],[Large Provider Entity Code]]&amp;"; "&amp;R2286&amp;AS[[#This Row],[Age Band Code]]&amp;"; "&amp;S2286&amp;AS[[#This Row],[Sex Code]]</f>
        <v xml:space="preserve">Insurer Code ; Reporting Year ; Insurance Category Code ; Large Provider Entity Code ; Age Band Code ; Sex Code </v>
      </c>
      <c r="N2286" s="345" t="s">
        <v>207</v>
      </c>
      <c r="O2286" s="345" t="s">
        <v>208</v>
      </c>
      <c r="P2286" s="345" t="s">
        <v>209</v>
      </c>
      <c r="Q2286" s="345" t="s">
        <v>210</v>
      </c>
      <c r="R2286" s="345" t="s">
        <v>223</v>
      </c>
      <c r="S2286" s="345" t="s">
        <v>224</v>
      </c>
    </row>
    <row r="2287" spans="1:19" x14ac:dyDescent="0.25">
      <c r="A2287" s="311"/>
      <c r="B2287" s="312"/>
      <c r="C2287" s="312"/>
      <c r="D2287" s="312"/>
      <c r="E2287" s="312"/>
      <c r="F2287" s="312"/>
      <c r="G2287" s="328"/>
      <c r="H2287" s="337"/>
      <c r="I2287" s="334"/>
      <c r="J2287" s="314"/>
      <c r="K2287" s="449"/>
      <c r="M2287" s="349" t="str">
        <f>N2287&amp;AS[[#This Row],[Insurer Code]]&amp;"; "&amp;O2287&amp;AS[[#This Row],[Reporting Year]]&amp;"; "&amp;P2287&amp;AS[[#This Row],[Insurance Category Code]]&amp;"; "&amp;Q2287&amp;AS[[#This Row],[Large Provider Entity Code]]&amp;"; "&amp;R2287&amp;AS[[#This Row],[Age Band Code]]&amp;"; "&amp;S2287&amp;AS[[#This Row],[Sex Code]]</f>
        <v xml:space="preserve">Insurer Code ; Reporting Year ; Insurance Category Code ; Large Provider Entity Code ; Age Band Code ; Sex Code </v>
      </c>
      <c r="N2287" s="345" t="s">
        <v>207</v>
      </c>
      <c r="O2287" s="345" t="s">
        <v>208</v>
      </c>
      <c r="P2287" s="345" t="s">
        <v>209</v>
      </c>
      <c r="Q2287" s="345" t="s">
        <v>210</v>
      </c>
      <c r="R2287" s="345" t="s">
        <v>223</v>
      </c>
      <c r="S2287" s="345" t="s">
        <v>224</v>
      </c>
    </row>
    <row r="2288" spans="1:19" x14ac:dyDescent="0.25">
      <c r="A2288" s="311"/>
      <c r="B2288" s="312"/>
      <c r="C2288" s="312"/>
      <c r="D2288" s="312"/>
      <c r="E2288" s="312"/>
      <c r="F2288" s="312"/>
      <c r="G2288" s="328"/>
      <c r="H2288" s="337"/>
      <c r="I2288" s="334"/>
      <c r="J2288" s="314"/>
      <c r="K2288" s="449"/>
      <c r="M2288" s="349" t="str">
        <f>N2288&amp;AS[[#This Row],[Insurer Code]]&amp;"; "&amp;O2288&amp;AS[[#This Row],[Reporting Year]]&amp;"; "&amp;P2288&amp;AS[[#This Row],[Insurance Category Code]]&amp;"; "&amp;Q2288&amp;AS[[#This Row],[Large Provider Entity Code]]&amp;"; "&amp;R2288&amp;AS[[#This Row],[Age Band Code]]&amp;"; "&amp;S2288&amp;AS[[#This Row],[Sex Code]]</f>
        <v xml:space="preserve">Insurer Code ; Reporting Year ; Insurance Category Code ; Large Provider Entity Code ; Age Band Code ; Sex Code </v>
      </c>
      <c r="N2288" s="345" t="s">
        <v>207</v>
      </c>
      <c r="O2288" s="345" t="s">
        <v>208</v>
      </c>
      <c r="P2288" s="345" t="s">
        <v>209</v>
      </c>
      <c r="Q2288" s="345" t="s">
        <v>210</v>
      </c>
      <c r="R2288" s="345" t="s">
        <v>223</v>
      </c>
      <c r="S2288" s="345" t="s">
        <v>224</v>
      </c>
    </row>
    <row r="2289" spans="1:19" x14ac:dyDescent="0.25">
      <c r="A2289" s="311"/>
      <c r="B2289" s="312"/>
      <c r="C2289" s="312"/>
      <c r="D2289" s="312"/>
      <c r="E2289" s="312"/>
      <c r="F2289" s="312"/>
      <c r="G2289" s="328"/>
      <c r="H2289" s="337"/>
      <c r="I2289" s="334"/>
      <c r="J2289" s="314"/>
      <c r="K2289" s="449"/>
      <c r="M2289" s="349" t="str">
        <f>N2289&amp;AS[[#This Row],[Insurer Code]]&amp;"; "&amp;O2289&amp;AS[[#This Row],[Reporting Year]]&amp;"; "&amp;P2289&amp;AS[[#This Row],[Insurance Category Code]]&amp;"; "&amp;Q2289&amp;AS[[#This Row],[Large Provider Entity Code]]&amp;"; "&amp;R2289&amp;AS[[#This Row],[Age Band Code]]&amp;"; "&amp;S2289&amp;AS[[#This Row],[Sex Code]]</f>
        <v xml:space="preserve">Insurer Code ; Reporting Year ; Insurance Category Code ; Large Provider Entity Code ; Age Band Code ; Sex Code </v>
      </c>
      <c r="N2289" s="345" t="s">
        <v>207</v>
      </c>
      <c r="O2289" s="345" t="s">
        <v>208</v>
      </c>
      <c r="P2289" s="345" t="s">
        <v>209</v>
      </c>
      <c r="Q2289" s="345" t="s">
        <v>210</v>
      </c>
      <c r="R2289" s="345" t="s">
        <v>223</v>
      </c>
      <c r="S2289" s="345" t="s">
        <v>224</v>
      </c>
    </row>
    <row r="2290" spans="1:19" x14ac:dyDescent="0.25">
      <c r="A2290" s="311"/>
      <c r="B2290" s="312"/>
      <c r="C2290" s="312"/>
      <c r="D2290" s="312"/>
      <c r="E2290" s="312"/>
      <c r="F2290" s="312"/>
      <c r="G2290" s="328"/>
      <c r="H2290" s="337"/>
      <c r="I2290" s="334"/>
      <c r="J2290" s="314"/>
      <c r="K2290" s="449"/>
      <c r="M2290" s="349" t="str">
        <f>N2290&amp;AS[[#This Row],[Insurer Code]]&amp;"; "&amp;O2290&amp;AS[[#This Row],[Reporting Year]]&amp;"; "&amp;P2290&amp;AS[[#This Row],[Insurance Category Code]]&amp;"; "&amp;Q2290&amp;AS[[#This Row],[Large Provider Entity Code]]&amp;"; "&amp;R2290&amp;AS[[#This Row],[Age Band Code]]&amp;"; "&amp;S2290&amp;AS[[#This Row],[Sex Code]]</f>
        <v xml:space="preserve">Insurer Code ; Reporting Year ; Insurance Category Code ; Large Provider Entity Code ; Age Band Code ; Sex Code </v>
      </c>
      <c r="N2290" s="345" t="s">
        <v>207</v>
      </c>
      <c r="O2290" s="345" t="s">
        <v>208</v>
      </c>
      <c r="P2290" s="345" t="s">
        <v>209</v>
      </c>
      <c r="Q2290" s="345" t="s">
        <v>210</v>
      </c>
      <c r="R2290" s="345" t="s">
        <v>223</v>
      </c>
      <c r="S2290" s="345" t="s">
        <v>224</v>
      </c>
    </row>
    <row r="2291" spans="1:19" x14ac:dyDescent="0.25">
      <c r="A2291" s="311"/>
      <c r="B2291" s="312"/>
      <c r="C2291" s="312"/>
      <c r="D2291" s="312"/>
      <c r="E2291" s="312"/>
      <c r="F2291" s="312"/>
      <c r="G2291" s="328"/>
      <c r="H2291" s="337"/>
      <c r="I2291" s="334"/>
      <c r="J2291" s="314"/>
      <c r="K2291" s="449"/>
      <c r="M2291" s="349" t="str">
        <f>N2291&amp;AS[[#This Row],[Insurer Code]]&amp;"; "&amp;O2291&amp;AS[[#This Row],[Reporting Year]]&amp;"; "&amp;P2291&amp;AS[[#This Row],[Insurance Category Code]]&amp;"; "&amp;Q2291&amp;AS[[#This Row],[Large Provider Entity Code]]&amp;"; "&amp;R2291&amp;AS[[#This Row],[Age Band Code]]&amp;"; "&amp;S2291&amp;AS[[#This Row],[Sex Code]]</f>
        <v xml:space="preserve">Insurer Code ; Reporting Year ; Insurance Category Code ; Large Provider Entity Code ; Age Band Code ; Sex Code </v>
      </c>
      <c r="N2291" s="345" t="s">
        <v>207</v>
      </c>
      <c r="O2291" s="345" t="s">
        <v>208</v>
      </c>
      <c r="P2291" s="345" t="s">
        <v>209</v>
      </c>
      <c r="Q2291" s="345" t="s">
        <v>210</v>
      </c>
      <c r="R2291" s="345" t="s">
        <v>223</v>
      </c>
      <c r="S2291" s="345" t="s">
        <v>224</v>
      </c>
    </row>
    <row r="2292" spans="1:19" x14ac:dyDescent="0.25">
      <c r="A2292" s="311"/>
      <c r="B2292" s="312"/>
      <c r="C2292" s="312"/>
      <c r="D2292" s="312"/>
      <c r="E2292" s="312"/>
      <c r="F2292" s="312"/>
      <c r="G2292" s="328"/>
      <c r="H2292" s="337"/>
      <c r="I2292" s="334"/>
      <c r="J2292" s="314"/>
      <c r="K2292" s="449"/>
      <c r="M2292" s="349" t="str">
        <f>N2292&amp;AS[[#This Row],[Insurer Code]]&amp;"; "&amp;O2292&amp;AS[[#This Row],[Reporting Year]]&amp;"; "&amp;P2292&amp;AS[[#This Row],[Insurance Category Code]]&amp;"; "&amp;Q2292&amp;AS[[#This Row],[Large Provider Entity Code]]&amp;"; "&amp;R2292&amp;AS[[#This Row],[Age Band Code]]&amp;"; "&amp;S2292&amp;AS[[#This Row],[Sex Code]]</f>
        <v xml:space="preserve">Insurer Code ; Reporting Year ; Insurance Category Code ; Large Provider Entity Code ; Age Band Code ; Sex Code </v>
      </c>
      <c r="N2292" s="345" t="s">
        <v>207</v>
      </c>
      <c r="O2292" s="345" t="s">
        <v>208</v>
      </c>
      <c r="P2292" s="345" t="s">
        <v>209</v>
      </c>
      <c r="Q2292" s="345" t="s">
        <v>210</v>
      </c>
      <c r="R2292" s="345" t="s">
        <v>223</v>
      </c>
      <c r="S2292" s="345" t="s">
        <v>224</v>
      </c>
    </row>
    <row r="2293" spans="1:19" x14ac:dyDescent="0.25">
      <c r="A2293" s="311"/>
      <c r="B2293" s="312"/>
      <c r="C2293" s="312"/>
      <c r="D2293" s="312"/>
      <c r="E2293" s="312"/>
      <c r="F2293" s="312"/>
      <c r="G2293" s="328"/>
      <c r="H2293" s="337"/>
      <c r="I2293" s="334"/>
      <c r="J2293" s="314"/>
      <c r="K2293" s="449"/>
      <c r="M2293" s="349" t="str">
        <f>N2293&amp;AS[[#This Row],[Insurer Code]]&amp;"; "&amp;O2293&amp;AS[[#This Row],[Reporting Year]]&amp;"; "&amp;P2293&amp;AS[[#This Row],[Insurance Category Code]]&amp;"; "&amp;Q2293&amp;AS[[#This Row],[Large Provider Entity Code]]&amp;"; "&amp;R2293&amp;AS[[#This Row],[Age Band Code]]&amp;"; "&amp;S2293&amp;AS[[#This Row],[Sex Code]]</f>
        <v xml:space="preserve">Insurer Code ; Reporting Year ; Insurance Category Code ; Large Provider Entity Code ; Age Band Code ; Sex Code </v>
      </c>
      <c r="N2293" s="345" t="s">
        <v>207</v>
      </c>
      <c r="O2293" s="345" t="s">
        <v>208</v>
      </c>
      <c r="P2293" s="345" t="s">
        <v>209</v>
      </c>
      <c r="Q2293" s="345" t="s">
        <v>210</v>
      </c>
      <c r="R2293" s="345" t="s">
        <v>223</v>
      </c>
      <c r="S2293" s="345" t="s">
        <v>224</v>
      </c>
    </row>
    <row r="2294" spans="1:19" x14ac:dyDescent="0.25">
      <c r="A2294" s="311"/>
      <c r="B2294" s="312"/>
      <c r="C2294" s="312"/>
      <c r="D2294" s="312"/>
      <c r="E2294" s="312"/>
      <c r="F2294" s="312"/>
      <c r="G2294" s="328"/>
      <c r="H2294" s="337"/>
      <c r="I2294" s="334"/>
      <c r="J2294" s="314"/>
      <c r="K2294" s="449"/>
      <c r="M2294" s="349" t="str">
        <f>N2294&amp;AS[[#This Row],[Insurer Code]]&amp;"; "&amp;O2294&amp;AS[[#This Row],[Reporting Year]]&amp;"; "&amp;P2294&amp;AS[[#This Row],[Insurance Category Code]]&amp;"; "&amp;Q2294&amp;AS[[#This Row],[Large Provider Entity Code]]&amp;"; "&amp;R2294&amp;AS[[#This Row],[Age Band Code]]&amp;"; "&amp;S2294&amp;AS[[#This Row],[Sex Code]]</f>
        <v xml:space="preserve">Insurer Code ; Reporting Year ; Insurance Category Code ; Large Provider Entity Code ; Age Band Code ; Sex Code </v>
      </c>
      <c r="N2294" s="345" t="s">
        <v>207</v>
      </c>
      <c r="O2294" s="345" t="s">
        <v>208</v>
      </c>
      <c r="P2294" s="345" t="s">
        <v>209</v>
      </c>
      <c r="Q2294" s="345" t="s">
        <v>210</v>
      </c>
      <c r="R2294" s="345" t="s">
        <v>223</v>
      </c>
      <c r="S2294" s="345" t="s">
        <v>224</v>
      </c>
    </row>
    <row r="2295" spans="1:19" x14ac:dyDescent="0.25">
      <c r="A2295" s="311"/>
      <c r="B2295" s="312"/>
      <c r="C2295" s="312"/>
      <c r="D2295" s="312"/>
      <c r="E2295" s="312"/>
      <c r="F2295" s="312"/>
      <c r="G2295" s="328"/>
      <c r="H2295" s="337"/>
      <c r="I2295" s="334"/>
      <c r="J2295" s="314"/>
      <c r="K2295" s="449"/>
      <c r="M2295" s="349" t="str">
        <f>N2295&amp;AS[[#This Row],[Insurer Code]]&amp;"; "&amp;O2295&amp;AS[[#This Row],[Reporting Year]]&amp;"; "&amp;P2295&amp;AS[[#This Row],[Insurance Category Code]]&amp;"; "&amp;Q2295&amp;AS[[#This Row],[Large Provider Entity Code]]&amp;"; "&amp;R2295&amp;AS[[#This Row],[Age Band Code]]&amp;"; "&amp;S2295&amp;AS[[#This Row],[Sex Code]]</f>
        <v xml:space="preserve">Insurer Code ; Reporting Year ; Insurance Category Code ; Large Provider Entity Code ; Age Band Code ; Sex Code </v>
      </c>
      <c r="N2295" s="345" t="s">
        <v>207</v>
      </c>
      <c r="O2295" s="345" t="s">
        <v>208</v>
      </c>
      <c r="P2295" s="345" t="s">
        <v>209</v>
      </c>
      <c r="Q2295" s="345" t="s">
        <v>210</v>
      </c>
      <c r="R2295" s="345" t="s">
        <v>223</v>
      </c>
      <c r="S2295" s="345" t="s">
        <v>224</v>
      </c>
    </row>
    <row r="2296" spans="1:19" x14ac:dyDescent="0.25">
      <c r="A2296" s="311"/>
      <c r="B2296" s="312"/>
      <c r="C2296" s="312"/>
      <c r="D2296" s="312"/>
      <c r="E2296" s="312"/>
      <c r="F2296" s="312"/>
      <c r="G2296" s="328"/>
      <c r="H2296" s="337"/>
      <c r="I2296" s="334"/>
      <c r="J2296" s="314"/>
      <c r="K2296" s="449"/>
      <c r="M2296" s="349" t="str">
        <f>N2296&amp;AS[[#This Row],[Insurer Code]]&amp;"; "&amp;O2296&amp;AS[[#This Row],[Reporting Year]]&amp;"; "&amp;P2296&amp;AS[[#This Row],[Insurance Category Code]]&amp;"; "&amp;Q2296&amp;AS[[#This Row],[Large Provider Entity Code]]&amp;"; "&amp;R2296&amp;AS[[#This Row],[Age Band Code]]&amp;"; "&amp;S2296&amp;AS[[#This Row],[Sex Code]]</f>
        <v xml:space="preserve">Insurer Code ; Reporting Year ; Insurance Category Code ; Large Provider Entity Code ; Age Band Code ; Sex Code </v>
      </c>
      <c r="N2296" s="345" t="s">
        <v>207</v>
      </c>
      <c r="O2296" s="345" t="s">
        <v>208</v>
      </c>
      <c r="P2296" s="345" t="s">
        <v>209</v>
      </c>
      <c r="Q2296" s="345" t="s">
        <v>210</v>
      </c>
      <c r="R2296" s="345" t="s">
        <v>223</v>
      </c>
      <c r="S2296" s="345" t="s">
        <v>224</v>
      </c>
    </row>
    <row r="2297" spans="1:19" x14ac:dyDescent="0.25">
      <c r="A2297" s="311"/>
      <c r="B2297" s="312"/>
      <c r="C2297" s="312"/>
      <c r="D2297" s="312"/>
      <c r="E2297" s="312"/>
      <c r="F2297" s="312"/>
      <c r="G2297" s="328"/>
      <c r="H2297" s="337"/>
      <c r="I2297" s="334"/>
      <c r="J2297" s="314"/>
      <c r="K2297" s="449"/>
      <c r="M2297" s="349" t="str">
        <f>N2297&amp;AS[[#This Row],[Insurer Code]]&amp;"; "&amp;O2297&amp;AS[[#This Row],[Reporting Year]]&amp;"; "&amp;P2297&amp;AS[[#This Row],[Insurance Category Code]]&amp;"; "&amp;Q2297&amp;AS[[#This Row],[Large Provider Entity Code]]&amp;"; "&amp;R2297&amp;AS[[#This Row],[Age Band Code]]&amp;"; "&amp;S2297&amp;AS[[#This Row],[Sex Code]]</f>
        <v xml:space="preserve">Insurer Code ; Reporting Year ; Insurance Category Code ; Large Provider Entity Code ; Age Band Code ; Sex Code </v>
      </c>
      <c r="N2297" s="345" t="s">
        <v>207</v>
      </c>
      <c r="O2297" s="345" t="s">
        <v>208</v>
      </c>
      <c r="P2297" s="345" t="s">
        <v>209</v>
      </c>
      <c r="Q2297" s="345" t="s">
        <v>210</v>
      </c>
      <c r="R2297" s="345" t="s">
        <v>223</v>
      </c>
      <c r="S2297" s="345" t="s">
        <v>224</v>
      </c>
    </row>
    <row r="2298" spans="1:19" x14ac:dyDescent="0.25">
      <c r="A2298" s="311"/>
      <c r="B2298" s="312"/>
      <c r="C2298" s="312"/>
      <c r="D2298" s="312"/>
      <c r="E2298" s="312"/>
      <c r="F2298" s="312"/>
      <c r="G2298" s="328"/>
      <c r="H2298" s="337"/>
      <c r="I2298" s="334"/>
      <c r="J2298" s="314"/>
      <c r="K2298" s="449"/>
      <c r="M2298" s="349" t="str">
        <f>N2298&amp;AS[[#This Row],[Insurer Code]]&amp;"; "&amp;O2298&amp;AS[[#This Row],[Reporting Year]]&amp;"; "&amp;P2298&amp;AS[[#This Row],[Insurance Category Code]]&amp;"; "&amp;Q2298&amp;AS[[#This Row],[Large Provider Entity Code]]&amp;"; "&amp;R2298&amp;AS[[#This Row],[Age Band Code]]&amp;"; "&amp;S2298&amp;AS[[#This Row],[Sex Code]]</f>
        <v xml:space="preserve">Insurer Code ; Reporting Year ; Insurance Category Code ; Large Provider Entity Code ; Age Band Code ; Sex Code </v>
      </c>
      <c r="N2298" s="345" t="s">
        <v>207</v>
      </c>
      <c r="O2298" s="345" t="s">
        <v>208</v>
      </c>
      <c r="P2298" s="345" t="s">
        <v>209</v>
      </c>
      <c r="Q2298" s="345" t="s">
        <v>210</v>
      </c>
      <c r="R2298" s="345" t="s">
        <v>223</v>
      </c>
      <c r="S2298" s="345" t="s">
        <v>224</v>
      </c>
    </row>
    <row r="2299" spans="1:19" x14ac:dyDescent="0.25">
      <c r="A2299" s="311"/>
      <c r="B2299" s="312"/>
      <c r="C2299" s="312"/>
      <c r="D2299" s="312"/>
      <c r="E2299" s="312"/>
      <c r="F2299" s="312"/>
      <c r="G2299" s="328"/>
      <c r="H2299" s="337"/>
      <c r="I2299" s="334"/>
      <c r="J2299" s="314"/>
      <c r="K2299" s="449"/>
      <c r="M2299" s="349" t="str">
        <f>N2299&amp;AS[[#This Row],[Insurer Code]]&amp;"; "&amp;O2299&amp;AS[[#This Row],[Reporting Year]]&amp;"; "&amp;P2299&amp;AS[[#This Row],[Insurance Category Code]]&amp;"; "&amp;Q2299&amp;AS[[#This Row],[Large Provider Entity Code]]&amp;"; "&amp;R2299&amp;AS[[#This Row],[Age Band Code]]&amp;"; "&amp;S2299&amp;AS[[#This Row],[Sex Code]]</f>
        <v xml:space="preserve">Insurer Code ; Reporting Year ; Insurance Category Code ; Large Provider Entity Code ; Age Band Code ; Sex Code </v>
      </c>
      <c r="N2299" s="345" t="s">
        <v>207</v>
      </c>
      <c r="O2299" s="345" t="s">
        <v>208</v>
      </c>
      <c r="P2299" s="345" t="s">
        <v>209</v>
      </c>
      <c r="Q2299" s="345" t="s">
        <v>210</v>
      </c>
      <c r="R2299" s="345" t="s">
        <v>223</v>
      </c>
      <c r="S2299" s="345" t="s">
        <v>224</v>
      </c>
    </row>
    <row r="2300" spans="1:19" x14ac:dyDescent="0.25">
      <c r="A2300" s="311"/>
      <c r="B2300" s="312"/>
      <c r="C2300" s="312"/>
      <c r="D2300" s="312"/>
      <c r="E2300" s="312"/>
      <c r="F2300" s="312"/>
      <c r="G2300" s="328"/>
      <c r="H2300" s="337"/>
      <c r="I2300" s="334"/>
      <c r="J2300" s="314"/>
      <c r="K2300" s="449"/>
      <c r="M2300" s="349" t="str">
        <f>N2300&amp;AS[[#This Row],[Insurer Code]]&amp;"; "&amp;O2300&amp;AS[[#This Row],[Reporting Year]]&amp;"; "&amp;P2300&amp;AS[[#This Row],[Insurance Category Code]]&amp;"; "&amp;Q2300&amp;AS[[#This Row],[Large Provider Entity Code]]&amp;"; "&amp;R2300&amp;AS[[#This Row],[Age Band Code]]&amp;"; "&amp;S2300&amp;AS[[#This Row],[Sex Code]]</f>
        <v xml:space="preserve">Insurer Code ; Reporting Year ; Insurance Category Code ; Large Provider Entity Code ; Age Band Code ; Sex Code </v>
      </c>
      <c r="N2300" s="345" t="s">
        <v>207</v>
      </c>
      <c r="O2300" s="345" t="s">
        <v>208</v>
      </c>
      <c r="P2300" s="345" t="s">
        <v>209</v>
      </c>
      <c r="Q2300" s="345" t="s">
        <v>210</v>
      </c>
      <c r="R2300" s="345" t="s">
        <v>223</v>
      </c>
      <c r="S2300" s="345" t="s">
        <v>224</v>
      </c>
    </row>
    <row r="2301" spans="1:19" x14ac:dyDescent="0.25">
      <c r="A2301" s="311"/>
      <c r="B2301" s="312"/>
      <c r="C2301" s="312"/>
      <c r="D2301" s="312"/>
      <c r="E2301" s="312"/>
      <c r="F2301" s="312"/>
      <c r="G2301" s="328"/>
      <c r="H2301" s="337"/>
      <c r="I2301" s="334"/>
      <c r="J2301" s="314"/>
      <c r="K2301" s="449"/>
      <c r="M2301" s="349" t="str">
        <f>N2301&amp;AS[[#This Row],[Insurer Code]]&amp;"; "&amp;O2301&amp;AS[[#This Row],[Reporting Year]]&amp;"; "&amp;P2301&amp;AS[[#This Row],[Insurance Category Code]]&amp;"; "&amp;Q2301&amp;AS[[#This Row],[Large Provider Entity Code]]&amp;"; "&amp;R2301&amp;AS[[#This Row],[Age Band Code]]&amp;"; "&amp;S2301&amp;AS[[#This Row],[Sex Code]]</f>
        <v xml:space="preserve">Insurer Code ; Reporting Year ; Insurance Category Code ; Large Provider Entity Code ; Age Band Code ; Sex Code </v>
      </c>
      <c r="N2301" s="345" t="s">
        <v>207</v>
      </c>
      <c r="O2301" s="345" t="s">
        <v>208</v>
      </c>
      <c r="P2301" s="345" t="s">
        <v>209</v>
      </c>
      <c r="Q2301" s="345" t="s">
        <v>210</v>
      </c>
      <c r="R2301" s="345" t="s">
        <v>223</v>
      </c>
      <c r="S2301" s="345" t="s">
        <v>224</v>
      </c>
    </row>
    <row r="2302" spans="1:19" x14ac:dyDescent="0.25">
      <c r="A2302" s="311"/>
      <c r="B2302" s="312"/>
      <c r="C2302" s="312"/>
      <c r="D2302" s="312"/>
      <c r="E2302" s="312"/>
      <c r="F2302" s="312"/>
      <c r="G2302" s="328"/>
      <c r="H2302" s="337"/>
      <c r="I2302" s="334"/>
      <c r="J2302" s="314"/>
      <c r="K2302" s="449"/>
      <c r="M2302" s="349" t="str">
        <f>N2302&amp;AS[[#This Row],[Insurer Code]]&amp;"; "&amp;O2302&amp;AS[[#This Row],[Reporting Year]]&amp;"; "&amp;P2302&amp;AS[[#This Row],[Insurance Category Code]]&amp;"; "&amp;Q2302&amp;AS[[#This Row],[Large Provider Entity Code]]&amp;"; "&amp;R2302&amp;AS[[#This Row],[Age Band Code]]&amp;"; "&amp;S2302&amp;AS[[#This Row],[Sex Code]]</f>
        <v xml:space="preserve">Insurer Code ; Reporting Year ; Insurance Category Code ; Large Provider Entity Code ; Age Band Code ; Sex Code </v>
      </c>
      <c r="N2302" s="345" t="s">
        <v>207</v>
      </c>
      <c r="O2302" s="345" t="s">
        <v>208</v>
      </c>
      <c r="P2302" s="345" t="s">
        <v>209</v>
      </c>
      <c r="Q2302" s="345" t="s">
        <v>210</v>
      </c>
      <c r="R2302" s="345" t="s">
        <v>223</v>
      </c>
      <c r="S2302" s="345" t="s">
        <v>224</v>
      </c>
    </row>
    <row r="2303" spans="1:19" x14ac:dyDescent="0.25">
      <c r="A2303" s="311"/>
      <c r="B2303" s="312"/>
      <c r="C2303" s="312"/>
      <c r="D2303" s="312"/>
      <c r="E2303" s="312"/>
      <c r="F2303" s="312"/>
      <c r="G2303" s="328"/>
      <c r="H2303" s="337"/>
      <c r="I2303" s="334"/>
      <c r="J2303" s="314"/>
      <c r="K2303" s="449"/>
      <c r="M2303" s="349" t="str">
        <f>N2303&amp;AS[[#This Row],[Insurer Code]]&amp;"; "&amp;O2303&amp;AS[[#This Row],[Reporting Year]]&amp;"; "&amp;P2303&amp;AS[[#This Row],[Insurance Category Code]]&amp;"; "&amp;Q2303&amp;AS[[#This Row],[Large Provider Entity Code]]&amp;"; "&amp;R2303&amp;AS[[#This Row],[Age Band Code]]&amp;"; "&amp;S2303&amp;AS[[#This Row],[Sex Code]]</f>
        <v xml:space="preserve">Insurer Code ; Reporting Year ; Insurance Category Code ; Large Provider Entity Code ; Age Band Code ; Sex Code </v>
      </c>
      <c r="N2303" s="345" t="s">
        <v>207</v>
      </c>
      <c r="O2303" s="345" t="s">
        <v>208</v>
      </c>
      <c r="P2303" s="345" t="s">
        <v>209</v>
      </c>
      <c r="Q2303" s="345" t="s">
        <v>210</v>
      </c>
      <c r="R2303" s="345" t="s">
        <v>223</v>
      </c>
      <c r="S2303" s="345" t="s">
        <v>224</v>
      </c>
    </row>
    <row r="2304" spans="1:19" x14ac:dyDescent="0.25">
      <c r="A2304" s="311"/>
      <c r="B2304" s="312"/>
      <c r="C2304" s="312"/>
      <c r="D2304" s="312"/>
      <c r="E2304" s="312"/>
      <c r="F2304" s="312"/>
      <c r="G2304" s="328"/>
      <c r="H2304" s="337"/>
      <c r="I2304" s="334"/>
      <c r="J2304" s="314"/>
      <c r="K2304" s="449"/>
      <c r="M2304" s="349" t="str">
        <f>N2304&amp;AS[[#This Row],[Insurer Code]]&amp;"; "&amp;O2304&amp;AS[[#This Row],[Reporting Year]]&amp;"; "&amp;P2304&amp;AS[[#This Row],[Insurance Category Code]]&amp;"; "&amp;Q2304&amp;AS[[#This Row],[Large Provider Entity Code]]&amp;"; "&amp;R2304&amp;AS[[#This Row],[Age Band Code]]&amp;"; "&amp;S2304&amp;AS[[#This Row],[Sex Code]]</f>
        <v xml:space="preserve">Insurer Code ; Reporting Year ; Insurance Category Code ; Large Provider Entity Code ; Age Band Code ; Sex Code </v>
      </c>
      <c r="N2304" s="345" t="s">
        <v>207</v>
      </c>
      <c r="O2304" s="345" t="s">
        <v>208</v>
      </c>
      <c r="P2304" s="345" t="s">
        <v>209</v>
      </c>
      <c r="Q2304" s="345" t="s">
        <v>210</v>
      </c>
      <c r="R2304" s="345" t="s">
        <v>223</v>
      </c>
      <c r="S2304" s="345" t="s">
        <v>224</v>
      </c>
    </row>
    <row r="2305" spans="1:19" x14ac:dyDescent="0.25">
      <c r="A2305" s="311"/>
      <c r="B2305" s="312"/>
      <c r="C2305" s="312"/>
      <c r="D2305" s="312"/>
      <c r="E2305" s="312"/>
      <c r="F2305" s="312"/>
      <c r="G2305" s="328"/>
      <c r="H2305" s="337"/>
      <c r="I2305" s="334"/>
      <c r="J2305" s="314"/>
      <c r="K2305" s="449"/>
      <c r="M2305" s="349" t="str">
        <f>N2305&amp;AS[[#This Row],[Insurer Code]]&amp;"; "&amp;O2305&amp;AS[[#This Row],[Reporting Year]]&amp;"; "&amp;P2305&amp;AS[[#This Row],[Insurance Category Code]]&amp;"; "&amp;Q2305&amp;AS[[#This Row],[Large Provider Entity Code]]&amp;"; "&amp;R2305&amp;AS[[#This Row],[Age Band Code]]&amp;"; "&amp;S2305&amp;AS[[#This Row],[Sex Code]]</f>
        <v xml:space="preserve">Insurer Code ; Reporting Year ; Insurance Category Code ; Large Provider Entity Code ; Age Band Code ; Sex Code </v>
      </c>
      <c r="N2305" s="345" t="s">
        <v>207</v>
      </c>
      <c r="O2305" s="345" t="s">
        <v>208</v>
      </c>
      <c r="P2305" s="345" t="s">
        <v>209</v>
      </c>
      <c r="Q2305" s="345" t="s">
        <v>210</v>
      </c>
      <c r="R2305" s="345" t="s">
        <v>223</v>
      </c>
      <c r="S2305" s="345" t="s">
        <v>224</v>
      </c>
    </row>
    <row r="2306" spans="1:19" x14ac:dyDescent="0.25">
      <c r="A2306" s="311"/>
      <c r="B2306" s="312"/>
      <c r="C2306" s="312"/>
      <c r="D2306" s="312"/>
      <c r="E2306" s="312"/>
      <c r="F2306" s="312"/>
      <c r="G2306" s="328"/>
      <c r="H2306" s="337"/>
      <c r="I2306" s="334"/>
      <c r="J2306" s="314"/>
      <c r="K2306" s="449"/>
      <c r="M2306" s="349" t="str">
        <f>N2306&amp;AS[[#This Row],[Insurer Code]]&amp;"; "&amp;O2306&amp;AS[[#This Row],[Reporting Year]]&amp;"; "&amp;P2306&amp;AS[[#This Row],[Insurance Category Code]]&amp;"; "&amp;Q2306&amp;AS[[#This Row],[Large Provider Entity Code]]&amp;"; "&amp;R2306&amp;AS[[#This Row],[Age Band Code]]&amp;"; "&amp;S2306&amp;AS[[#This Row],[Sex Code]]</f>
        <v xml:space="preserve">Insurer Code ; Reporting Year ; Insurance Category Code ; Large Provider Entity Code ; Age Band Code ; Sex Code </v>
      </c>
      <c r="N2306" s="345" t="s">
        <v>207</v>
      </c>
      <c r="O2306" s="345" t="s">
        <v>208</v>
      </c>
      <c r="P2306" s="345" t="s">
        <v>209</v>
      </c>
      <c r="Q2306" s="345" t="s">
        <v>210</v>
      </c>
      <c r="R2306" s="345" t="s">
        <v>223</v>
      </c>
      <c r="S2306" s="345" t="s">
        <v>224</v>
      </c>
    </row>
    <row r="2307" spans="1:19" x14ac:dyDescent="0.25">
      <c r="A2307" s="311"/>
      <c r="B2307" s="312"/>
      <c r="C2307" s="312"/>
      <c r="D2307" s="312"/>
      <c r="E2307" s="312"/>
      <c r="F2307" s="312"/>
      <c r="G2307" s="328"/>
      <c r="H2307" s="453"/>
      <c r="I2307" s="334"/>
      <c r="J2307" s="314"/>
      <c r="K2307" s="454"/>
      <c r="M2307" s="349" t="str">
        <f>N2307&amp;AS[[#This Row],[Insurer Code]]&amp;"; "&amp;O2307&amp;AS[[#This Row],[Reporting Year]]&amp;"; "&amp;P2307&amp;AS[[#This Row],[Insurance Category Code]]&amp;"; "&amp;Q2307&amp;AS[[#This Row],[Large Provider Entity Code]]&amp;"; "&amp;R2307&amp;AS[[#This Row],[Age Band Code]]&amp;"; "&amp;S2307&amp;AS[[#This Row],[Sex Code]]</f>
        <v xml:space="preserve">Insurer Code ; Reporting Year ; Insurance Category Code ; Large Provider Entity Code ; Age Band Code ; Sex Code </v>
      </c>
      <c r="N2307" s="345" t="s">
        <v>207</v>
      </c>
      <c r="O2307" s="345" t="s">
        <v>208</v>
      </c>
      <c r="P2307" s="345" t="s">
        <v>209</v>
      </c>
      <c r="Q2307" s="345" t="s">
        <v>210</v>
      </c>
      <c r="R2307" s="345" t="s">
        <v>223</v>
      </c>
      <c r="S2307" s="345" t="s">
        <v>224</v>
      </c>
    </row>
    <row r="2308" spans="1:19" x14ac:dyDescent="0.25">
      <c r="A2308" s="311"/>
      <c r="B2308" s="312"/>
      <c r="C2308" s="312"/>
      <c r="D2308" s="312"/>
      <c r="E2308" s="312"/>
      <c r="F2308" s="312"/>
      <c r="G2308" s="328"/>
      <c r="H2308" s="453"/>
      <c r="I2308" s="334"/>
      <c r="J2308" s="314"/>
      <c r="K2308" s="454"/>
      <c r="M2308" s="349" t="str">
        <f>N2308&amp;AS[[#This Row],[Insurer Code]]&amp;"; "&amp;O2308&amp;AS[[#This Row],[Reporting Year]]&amp;"; "&amp;P2308&amp;AS[[#This Row],[Insurance Category Code]]&amp;"; "&amp;Q2308&amp;AS[[#This Row],[Large Provider Entity Code]]&amp;"; "&amp;R2308&amp;AS[[#This Row],[Age Band Code]]&amp;"; "&amp;S2308&amp;AS[[#This Row],[Sex Code]]</f>
        <v xml:space="preserve">Insurer Code ; Reporting Year ; Insurance Category Code ; Large Provider Entity Code ; Age Band Code ; Sex Code </v>
      </c>
      <c r="N2308" s="345" t="s">
        <v>207</v>
      </c>
      <c r="O2308" s="345" t="s">
        <v>208</v>
      </c>
      <c r="P2308" s="345" t="s">
        <v>209</v>
      </c>
      <c r="Q2308" s="345" t="s">
        <v>210</v>
      </c>
      <c r="R2308" s="345" t="s">
        <v>223</v>
      </c>
      <c r="S2308" s="345" t="s">
        <v>224</v>
      </c>
    </row>
    <row r="2309" spans="1:19" x14ac:dyDescent="0.25">
      <c r="A2309" s="311"/>
      <c r="B2309" s="312"/>
      <c r="C2309" s="312"/>
      <c r="D2309" s="312"/>
      <c r="E2309" s="312"/>
      <c r="F2309" s="312"/>
      <c r="G2309" s="328"/>
      <c r="H2309" s="453"/>
      <c r="I2309" s="334"/>
      <c r="J2309" s="314"/>
      <c r="K2309" s="454"/>
      <c r="M2309" s="349" t="str">
        <f>N2309&amp;AS[[#This Row],[Insurer Code]]&amp;"; "&amp;O2309&amp;AS[[#This Row],[Reporting Year]]&amp;"; "&amp;P2309&amp;AS[[#This Row],[Insurance Category Code]]&amp;"; "&amp;Q2309&amp;AS[[#This Row],[Large Provider Entity Code]]&amp;"; "&amp;R2309&amp;AS[[#This Row],[Age Band Code]]&amp;"; "&amp;S2309&amp;AS[[#This Row],[Sex Code]]</f>
        <v xml:space="preserve">Insurer Code ; Reporting Year ; Insurance Category Code ; Large Provider Entity Code ; Age Band Code ; Sex Code </v>
      </c>
      <c r="N2309" s="345" t="s">
        <v>207</v>
      </c>
      <c r="O2309" s="345" t="s">
        <v>208</v>
      </c>
      <c r="P2309" s="345" t="s">
        <v>209</v>
      </c>
      <c r="Q2309" s="345" t="s">
        <v>210</v>
      </c>
      <c r="R2309" s="345" t="s">
        <v>223</v>
      </c>
      <c r="S2309" s="345" t="s">
        <v>224</v>
      </c>
    </row>
    <row r="2310" spans="1:19" x14ac:dyDescent="0.25">
      <c r="A2310" s="311"/>
      <c r="B2310" s="312"/>
      <c r="C2310" s="312"/>
      <c r="D2310" s="312"/>
      <c r="E2310" s="312"/>
      <c r="F2310" s="312"/>
      <c r="G2310" s="328"/>
      <c r="H2310" s="453"/>
      <c r="I2310" s="334"/>
      <c r="J2310" s="314"/>
      <c r="K2310" s="454"/>
      <c r="M2310" s="349" t="str">
        <f>N2310&amp;AS[[#This Row],[Insurer Code]]&amp;"; "&amp;O2310&amp;AS[[#This Row],[Reporting Year]]&amp;"; "&amp;P2310&amp;AS[[#This Row],[Insurance Category Code]]&amp;"; "&amp;Q2310&amp;AS[[#This Row],[Large Provider Entity Code]]&amp;"; "&amp;R2310&amp;AS[[#This Row],[Age Band Code]]&amp;"; "&amp;S2310&amp;AS[[#This Row],[Sex Code]]</f>
        <v xml:space="preserve">Insurer Code ; Reporting Year ; Insurance Category Code ; Large Provider Entity Code ; Age Band Code ; Sex Code </v>
      </c>
      <c r="N2310" s="345" t="s">
        <v>207</v>
      </c>
      <c r="O2310" s="345" t="s">
        <v>208</v>
      </c>
      <c r="P2310" s="345" t="s">
        <v>209</v>
      </c>
      <c r="Q2310" s="345" t="s">
        <v>210</v>
      </c>
      <c r="R2310" s="345" t="s">
        <v>223</v>
      </c>
      <c r="S2310" s="345" t="s">
        <v>224</v>
      </c>
    </row>
    <row r="2311" spans="1:19" x14ac:dyDescent="0.25">
      <c r="A2311" s="311"/>
      <c r="B2311" s="312"/>
      <c r="C2311" s="312"/>
      <c r="D2311" s="312"/>
      <c r="E2311" s="312"/>
      <c r="F2311" s="312"/>
      <c r="G2311" s="328"/>
      <c r="H2311" s="453"/>
      <c r="I2311" s="334"/>
      <c r="J2311" s="314"/>
      <c r="K2311" s="454"/>
      <c r="M2311" s="349" t="str">
        <f>N2311&amp;AS[[#This Row],[Insurer Code]]&amp;"; "&amp;O2311&amp;AS[[#This Row],[Reporting Year]]&amp;"; "&amp;P2311&amp;AS[[#This Row],[Insurance Category Code]]&amp;"; "&amp;Q2311&amp;AS[[#This Row],[Large Provider Entity Code]]&amp;"; "&amp;R2311&amp;AS[[#This Row],[Age Band Code]]&amp;"; "&amp;S2311&amp;AS[[#This Row],[Sex Code]]</f>
        <v xml:space="preserve">Insurer Code ; Reporting Year ; Insurance Category Code ; Large Provider Entity Code ; Age Band Code ; Sex Code </v>
      </c>
      <c r="N2311" s="345" t="s">
        <v>207</v>
      </c>
      <c r="O2311" s="345" t="s">
        <v>208</v>
      </c>
      <c r="P2311" s="345" t="s">
        <v>209</v>
      </c>
      <c r="Q2311" s="345" t="s">
        <v>210</v>
      </c>
      <c r="R2311" s="345" t="s">
        <v>223</v>
      </c>
      <c r="S2311" s="345" t="s">
        <v>224</v>
      </c>
    </row>
    <row r="2312" spans="1:19" x14ac:dyDescent="0.25">
      <c r="A2312" s="311"/>
      <c r="B2312" s="312"/>
      <c r="C2312" s="312"/>
      <c r="D2312" s="312"/>
      <c r="E2312" s="312"/>
      <c r="F2312" s="312"/>
      <c r="G2312" s="328"/>
      <c r="H2312" s="453"/>
      <c r="I2312" s="334"/>
      <c r="J2312" s="314"/>
      <c r="K2312" s="454"/>
      <c r="M2312" s="349" t="str">
        <f>N2312&amp;AS[[#This Row],[Insurer Code]]&amp;"; "&amp;O2312&amp;AS[[#This Row],[Reporting Year]]&amp;"; "&amp;P2312&amp;AS[[#This Row],[Insurance Category Code]]&amp;"; "&amp;Q2312&amp;AS[[#This Row],[Large Provider Entity Code]]&amp;"; "&amp;R2312&amp;AS[[#This Row],[Age Band Code]]&amp;"; "&amp;S2312&amp;AS[[#This Row],[Sex Code]]</f>
        <v xml:space="preserve">Insurer Code ; Reporting Year ; Insurance Category Code ; Large Provider Entity Code ; Age Band Code ; Sex Code </v>
      </c>
      <c r="N2312" s="345" t="s">
        <v>207</v>
      </c>
      <c r="O2312" s="345" t="s">
        <v>208</v>
      </c>
      <c r="P2312" s="345" t="s">
        <v>209</v>
      </c>
      <c r="Q2312" s="345" t="s">
        <v>210</v>
      </c>
      <c r="R2312" s="345" t="s">
        <v>223</v>
      </c>
      <c r="S2312" s="345" t="s">
        <v>224</v>
      </c>
    </row>
    <row r="2313" spans="1:19" x14ac:dyDescent="0.25">
      <c r="A2313" s="311"/>
      <c r="B2313" s="312"/>
      <c r="C2313" s="312"/>
      <c r="D2313" s="312"/>
      <c r="E2313" s="312"/>
      <c r="F2313" s="312"/>
      <c r="G2313" s="328"/>
      <c r="H2313" s="453"/>
      <c r="I2313" s="334"/>
      <c r="J2313" s="314"/>
      <c r="K2313" s="454"/>
      <c r="M2313" s="349" t="str">
        <f>N2313&amp;AS[[#This Row],[Insurer Code]]&amp;"; "&amp;O2313&amp;AS[[#This Row],[Reporting Year]]&amp;"; "&amp;P2313&amp;AS[[#This Row],[Insurance Category Code]]&amp;"; "&amp;Q2313&amp;AS[[#This Row],[Large Provider Entity Code]]&amp;"; "&amp;R2313&amp;AS[[#This Row],[Age Band Code]]&amp;"; "&amp;S2313&amp;AS[[#This Row],[Sex Code]]</f>
        <v xml:space="preserve">Insurer Code ; Reporting Year ; Insurance Category Code ; Large Provider Entity Code ; Age Band Code ; Sex Code </v>
      </c>
      <c r="N2313" s="345" t="s">
        <v>207</v>
      </c>
      <c r="O2313" s="345" t="s">
        <v>208</v>
      </c>
      <c r="P2313" s="345" t="s">
        <v>209</v>
      </c>
      <c r="Q2313" s="345" t="s">
        <v>210</v>
      </c>
      <c r="R2313" s="345" t="s">
        <v>223</v>
      </c>
      <c r="S2313" s="345" t="s">
        <v>224</v>
      </c>
    </row>
    <row r="2314" spans="1:19" x14ac:dyDescent="0.25">
      <c r="A2314" s="311"/>
      <c r="B2314" s="312"/>
      <c r="C2314" s="312"/>
      <c r="D2314" s="312"/>
      <c r="E2314" s="312"/>
      <c r="F2314" s="312"/>
      <c r="G2314" s="328"/>
      <c r="H2314" s="453"/>
      <c r="I2314" s="334"/>
      <c r="J2314" s="314"/>
      <c r="K2314" s="454"/>
      <c r="M2314" s="349" t="str">
        <f>N2314&amp;AS[[#This Row],[Insurer Code]]&amp;"; "&amp;O2314&amp;AS[[#This Row],[Reporting Year]]&amp;"; "&amp;P2314&amp;AS[[#This Row],[Insurance Category Code]]&amp;"; "&amp;Q2314&amp;AS[[#This Row],[Large Provider Entity Code]]&amp;"; "&amp;R2314&amp;AS[[#This Row],[Age Band Code]]&amp;"; "&amp;S2314&amp;AS[[#This Row],[Sex Code]]</f>
        <v xml:space="preserve">Insurer Code ; Reporting Year ; Insurance Category Code ; Large Provider Entity Code ; Age Band Code ; Sex Code </v>
      </c>
      <c r="N2314" s="345" t="s">
        <v>207</v>
      </c>
      <c r="O2314" s="345" t="s">
        <v>208</v>
      </c>
      <c r="P2314" s="345" t="s">
        <v>209</v>
      </c>
      <c r="Q2314" s="345" t="s">
        <v>210</v>
      </c>
      <c r="R2314" s="345" t="s">
        <v>223</v>
      </c>
      <c r="S2314" s="345" t="s">
        <v>224</v>
      </c>
    </row>
    <row r="2315" spans="1:19" x14ac:dyDescent="0.25">
      <c r="A2315" s="311"/>
      <c r="B2315" s="312"/>
      <c r="C2315" s="312"/>
      <c r="D2315" s="312"/>
      <c r="E2315" s="333"/>
      <c r="F2315" s="333"/>
      <c r="G2315" s="313"/>
      <c r="H2315" s="314"/>
      <c r="I2315" s="334"/>
      <c r="J2315" s="314"/>
      <c r="K2315" s="449"/>
      <c r="M2315" s="349" t="str">
        <f>N2315&amp;AS[[#This Row],[Insurer Code]]&amp;"; "&amp;O2315&amp;AS[[#This Row],[Reporting Year]]&amp;"; "&amp;P2315&amp;AS[[#This Row],[Insurance Category Code]]&amp;"; "&amp;Q2315&amp;AS[[#This Row],[Large Provider Entity Code]]&amp;"; "&amp;R2315&amp;AS[[#This Row],[Age Band Code]]&amp;"; "&amp;S2315&amp;AS[[#This Row],[Sex Code]]</f>
        <v xml:space="preserve">Insurer Code ; Reporting Year ; Insurance Category Code ; Large Provider Entity Code ; Age Band Code ; Sex Code </v>
      </c>
      <c r="N2315" s="345" t="s">
        <v>207</v>
      </c>
      <c r="O2315" s="345" t="s">
        <v>208</v>
      </c>
      <c r="P2315" s="345" t="s">
        <v>209</v>
      </c>
      <c r="Q2315" s="345" t="s">
        <v>210</v>
      </c>
      <c r="R2315" s="345" t="s">
        <v>223</v>
      </c>
      <c r="S2315" s="345" t="s">
        <v>224</v>
      </c>
    </row>
    <row r="2316" spans="1:19" x14ac:dyDescent="0.25">
      <c r="A2316" s="311"/>
      <c r="B2316" s="312"/>
      <c r="C2316" s="312"/>
      <c r="D2316" s="312"/>
      <c r="E2316" s="333"/>
      <c r="F2316" s="333"/>
      <c r="G2316" s="313"/>
      <c r="H2316" s="314"/>
      <c r="I2316" s="334"/>
      <c r="J2316" s="314"/>
      <c r="K2316" s="449"/>
      <c r="M2316" s="349" t="str">
        <f>N2316&amp;AS[[#This Row],[Insurer Code]]&amp;"; "&amp;O2316&amp;AS[[#This Row],[Reporting Year]]&amp;"; "&amp;P2316&amp;AS[[#This Row],[Insurance Category Code]]&amp;"; "&amp;Q2316&amp;AS[[#This Row],[Large Provider Entity Code]]&amp;"; "&amp;R2316&amp;AS[[#This Row],[Age Band Code]]&amp;"; "&amp;S2316&amp;AS[[#This Row],[Sex Code]]</f>
        <v xml:space="preserve">Insurer Code ; Reporting Year ; Insurance Category Code ; Large Provider Entity Code ; Age Band Code ; Sex Code </v>
      </c>
      <c r="N2316" s="345" t="s">
        <v>207</v>
      </c>
      <c r="O2316" s="345" t="s">
        <v>208</v>
      </c>
      <c r="P2316" s="345" t="s">
        <v>209</v>
      </c>
      <c r="Q2316" s="345" t="s">
        <v>210</v>
      </c>
      <c r="R2316" s="345" t="s">
        <v>223</v>
      </c>
      <c r="S2316" s="345" t="s">
        <v>224</v>
      </c>
    </row>
    <row r="2317" spans="1:19" x14ac:dyDescent="0.25">
      <c r="A2317" s="311"/>
      <c r="B2317" s="312"/>
      <c r="C2317" s="312"/>
      <c r="D2317" s="312"/>
      <c r="E2317" s="333"/>
      <c r="F2317" s="333"/>
      <c r="G2317" s="313"/>
      <c r="H2317" s="314"/>
      <c r="I2317" s="334"/>
      <c r="J2317" s="314"/>
      <c r="K2317" s="449"/>
      <c r="M2317" s="349" t="str">
        <f>N2317&amp;AS[[#This Row],[Insurer Code]]&amp;"; "&amp;O2317&amp;AS[[#This Row],[Reporting Year]]&amp;"; "&amp;P2317&amp;AS[[#This Row],[Insurance Category Code]]&amp;"; "&amp;Q2317&amp;AS[[#This Row],[Large Provider Entity Code]]&amp;"; "&amp;R2317&amp;AS[[#This Row],[Age Band Code]]&amp;"; "&amp;S2317&amp;AS[[#This Row],[Sex Code]]</f>
        <v xml:space="preserve">Insurer Code ; Reporting Year ; Insurance Category Code ; Large Provider Entity Code ; Age Band Code ; Sex Code </v>
      </c>
      <c r="N2317" s="345" t="s">
        <v>207</v>
      </c>
      <c r="O2317" s="345" t="s">
        <v>208</v>
      </c>
      <c r="P2317" s="345" t="s">
        <v>209</v>
      </c>
      <c r="Q2317" s="345" t="s">
        <v>210</v>
      </c>
      <c r="R2317" s="345" t="s">
        <v>223</v>
      </c>
      <c r="S2317" s="345" t="s">
        <v>224</v>
      </c>
    </row>
    <row r="2318" spans="1:19" x14ac:dyDescent="0.25">
      <c r="A2318" s="311"/>
      <c r="B2318" s="312"/>
      <c r="C2318" s="312"/>
      <c r="D2318" s="312"/>
      <c r="E2318" s="333"/>
      <c r="F2318" s="333"/>
      <c r="G2318" s="313"/>
      <c r="H2318" s="314"/>
      <c r="I2318" s="334"/>
      <c r="J2318" s="314"/>
      <c r="K2318" s="449"/>
      <c r="M2318" s="349" t="str">
        <f>N2318&amp;AS[[#This Row],[Insurer Code]]&amp;"; "&amp;O2318&amp;AS[[#This Row],[Reporting Year]]&amp;"; "&amp;P2318&amp;AS[[#This Row],[Insurance Category Code]]&amp;"; "&amp;Q2318&amp;AS[[#This Row],[Large Provider Entity Code]]&amp;"; "&amp;R2318&amp;AS[[#This Row],[Age Band Code]]&amp;"; "&amp;S2318&amp;AS[[#This Row],[Sex Code]]</f>
        <v xml:space="preserve">Insurer Code ; Reporting Year ; Insurance Category Code ; Large Provider Entity Code ; Age Band Code ; Sex Code </v>
      </c>
      <c r="N2318" s="345" t="s">
        <v>207</v>
      </c>
      <c r="O2318" s="345" t="s">
        <v>208</v>
      </c>
      <c r="P2318" s="345" t="s">
        <v>209</v>
      </c>
      <c r="Q2318" s="345" t="s">
        <v>210</v>
      </c>
      <c r="R2318" s="345" t="s">
        <v>223</v>
      </c>
      <c r="S2318" s="345" t="s">
        <v>224</v>
      </c>
    </row>
    <row r="2319" spans="1:19" x14ac:dyDescent="0.25">
      <c r="A2319" s="311"/>
      <c r="B2319" s="312"/>
      <c r="C2319" s="312"/>
      <c r="D2319" s="312"/>
      <c r="E2319" s="333"/>
      <c r="F2319" s="333"/>
      <c r="G2319" s="313"/>
      <c r="H2319" s="314"/>
      <c r="I2319" s="334"/>
      <c r="J2319" s="314"/>
      <c r="K2319" s="449"/>
      <c r="M2319" s="349" t="str">
        <f>N2319&amp;AS[[#This Row],[Insurer Code]]&amp;"; "&amp;O2319&amp;AS[[#This Row],[Reporting Year]]&amp;"; "&amp;P2319&amp;AS[[#This Row],[Insurance Category Code]]&amp;"; "&amp;Q2319&amp;AS[[#This Row],[Large Provider Entity Code]]&amp;"; "&amp;R2319&amp;AS[[#This Row],[Age Band Code]]&amp;"; "&amp;S2319&amp;AS[[#This Row],[Sex Code]]</f>
        <v xml:space="preserve">Insurer Code ; Reporting Year ; Insurance Category Code ; Large Provider Entity Code ; Age Band Code ; Sex Code </v>
      </c>
      <c r="N2319" s="345" t="s">
        <v>207</v>
      </c>
      <c r="O2319" s="345" t="s">
        <v>208</v>
      </c>
      <c r="P2319" s="345" t="s">
        <v>209</v>
      </c>
      <c r="Q2319" s="345" t="s">
        <v>210</v>
      </c>
      <c r="R2319" s="345" t="s">
        <v>223</v>
      </c>
      <c r="S2319" s="345" t="s">
        <v>224</v>
      </c>
    </row>
    <row r="2320" spans="1:19" x14ac:dyDescent="0.25">
      <c r="A2320" s="311"/>
      <c r="B2320" s="312"/>
      <c r="C2320" s="312"/>
      <c r="D2320" s="312"/>
      <c r="E2320" s="333"/>
      <c r="F2320" s="333"/>
      <c r="G2320" s="313"/>
      <c r="H2320" s="314"/>
      <c r="I2320" s="334"/>
      <c r="J2320" s="314"/>
      <c r="K2320" s="449"/>
      <c r="M2320" s="349" t="str">
        <f>N2320&amp;AS[[#This Row],[Insurer Code]]&amp;"; "&amp;O2320&amp;AS[[#This Row],[Reporting Year]]&amp;"; "&amp;P2320&amp;AS[[#This Row],[Insurance Category Code]]&amp;"; "&amp;Q2320&amp;AS[[#This Row],[Large Provider Entity Code]]&amp;"; "&amp;R2320&amp;AS[[#This Row],[Age Band Code]]&amp;"; "&amp;S2320&amp;AS[[#This Row],[Sex Code]]</f>
        <v xml:space="preserve">Insurer Code ; Reporting Year ; Insurance Category Code ; Large Provider Entity Code ; Age Band Code ; Sex Code </v>
      </c>
      <c r="N2320" s="345" t="s">
        <v>207</v>
      </c>
      <c r="O2320" s="345" t="s">
        <v>208</v>
      </c>
      <c r="P2320" s="345" t="s">
        <v>209</v>
      </c>
      <c r="Q2320" s="345" t="s">
        <v>210</v>
      </c>
      <c r="R2320" s="345" t="s">
        <v>223</v>
      </c>
      <c r="S2320" s="345" t="s">
        <v>224</v>
      </c>
    </row>
    <row r="2321" spans="1:19" x14ac:dyDescent="0.25">
      <c r="A2321" s="311"/>
      <c r="B2321" s="312"/>
      <c r="C2321" s="312"/>
      <c r="D2321" s="312"/>
      <c r="E2321" s="333"/>
      <c r="F2321" s="333"/>
      <c r="G2321" s="313"/>
      <c r="H2321" s="314"/>
      <c r="I2321" s="334"/>
      <c r="J2321" s="314"/>
      <c r="K2321" s="449"/>
      <c r="M2321" s="349" t="str">
        <f>N2321&amp;AS[[#This Row],[Insurer Code]]&amp;"; "&amp;O2321&amp;AS[[#This Row],[Reporting Year]]&amp;"; "&amp;P2321&amp;AS[[#This Row],[Insurance Category Code]]&amp;"; "&amp;Q2321&amp;AS[[#This Row],[Large Provider Entity Code]]&amp;"; "&amp;R2321&amp;AS[[#This Row],[Age Band Code]]&amp;"; "&amp;S2321&amp;AS[[#This Row],[Sex Code]]</f>
        <v xml:space="preserve">Insurer Code ; Reporting Year ; Insurance Category Code ; Large Provider Entity Code ; Age Band Code ; Sex Code </v>
      </c>
      <c r="N2321" s="345" t="s">
        <v>207</v>
      </c>
      <c r="O2321" s="345" t="s">
        <v>208</v>
      </c>
      <c r="P2321" s="345" t="s">
        <v>209</v>
      </c>
      <c r="Q2321" s="345" t="s">
        <v>210</v>
      </c>
      <c r="R2321" s="345" t="s">
        <v>223</v>
      </c>
      <c r="S2321" s="345" t="s">
        <v>224</v>
      </c>
    </row>
    <row r="2322" spans="1:19" x14ac:dyDescent="0.25">
      <c r="A2322" s="311"/>
      <c r="B2322" s="312"/>
      <c r="C2322" s="312"/>
      <c r="D2322" s="312"/>
      <c r="E2322" s="333"/>
      <c r="F2322" s="333"/>
      <c r="G2322" s="313"/>
      <c r="H2322" s="314"/>
      <c r="I2322" s="334"/>
      <c r="J2322" s="314"/>
      <c r="K2322" s="449"/>
      <c r="M2322" s="349" t="str">
        <f>N2322&amp;AS[[#This Row],[Insurer Code]]&amp;"; "&amp;O2322&amp;AS[[#This Row],[Reporting Year]]&amp;"; "&amp;P2322&amp;AS[[#This Row],[Insurance Category Code]]&amp;"; "&amp;Q2322&amp;AS[[#This Row],[Large Provider Entity Code]]&amp;"; "&amp;R2322&amp;AS[[#This Row],[Age Band Code]]&amp;"; "&amp;S2322&amp;AS[[#This Row],[Sex Code]]</f>
        <v xml:space="preserve">Insurer Code ; Reporting Year ; Insurance Category Code ; Large Provider Entity Code ; Age Band Code ; Sex Code </v>
      </c>
      <c r="N2322" s="345" t="s">
        <v>207</v>
      </c>
      <c r="O2322" s="345" t="s">
        <v>208</v>
      </c>
      <c r="P2322" s="345" t="s">
        <v>209</v>
      </c>
      <c r="Q2322" s="345" t="s">
        <v>210</v>
      </c>
      <c r="R2322" s="345" t="s">
        <v>223</v>
      </c>
      <c r="S2322" s="345" t="s">
        <v>224</v>
      </c>
    </row>
    <row r="2323" spans="1:19" x14ac:dyDescent="0.25">
      <c r="A2323" s="311"/>
      <c r="B2323" s="312"/>
      <c r="C2323" s="312"/>
      <c r="D2323" s="312"/>
      <c r="E2323" s="333"/>
      <c r="F2323" s="333"/>
      <c r="G2323" s="313"/>
      <c r="H2323" s="314"/>
      <c r="I2323" s="334"/>
      <c r="J2323" s="314"/>
      <c r="K2323" s="449"/>
      <c r="M2323" s="349" t="str">
        <f>N2323&amp;AS[[#This Row],[Insurer Code]]&amp;"; "&amp;O2323&amp;AS[[#This Row],[Reporting Year]]&amp;"; "&amp;P2323&amp;AS[[#This Row],[Insurance Category Code]]&amp;"; "&amp;Q2323&amp;AS[[#This Row],[Large Provider Entity Code]]&amp;"; "&amp;R2323&amp;AS[[#This Row],[Age Band Code]]&amp;"; "&amp;S2323&amp;AS[[#This Row],[Sex Code]]</f>
        <v xml:space="preserve">Insurer Code ; Reporting Year ; Insurance Category Code ; Large Provider Entity Code ; Age Band Code ; Sex Code </v>
      </c>
      <c r="N2323" s="345" t="s">
        <v>207</v>
      </c>
      <c r="O2323" s="345" t="s">
        <v>208</v>
      </c>
      <c r="P2323" s="345" t="s">
        <v>209</v>
      </c>
      <c r="Q2323" s="345" t="s">
        <v>210</v>
      </c>
      <c r="R2323" s="345" t="s">
        <v>223</v>
      </c>
      <c r="S2323" s="345" t="s">
        <v>224</v>
      </c>
    </row>
    <row r="2324" spans="1:19" x14ac:dyDescent="0.25">
      <c r="A2324" s="311"/>
      <c r="B2324" s="312"/>
      <c r="C2324" s="312"/>
      <c r="D2324" s="312"/>
      <c r="E2324" s="333"/>
      <c r="F2324" s="333"/>
      <c r="G2324" s="313"/>
      <c r="H2324" s="314"/>
      <c r="I2324" s="334"/>
      <c r="J2324" s="314"/>
      <c r="K2324" s="449"/>
      <c r="M2324" s="349" t="str">
        <f>N2324&amp;AS[[#This Row],[Insurer Code]]&amp;"; "&amp;O2324&amp;AS[[#This Row],[Reporting Year]]&amp;"; "&amp;P2324&amp;AS[[#This Row],[Insurance Category Code]]&amp;"; "&amp;Q2324&amp;AS[[#This Row],[Large Provider Entity Code]]&amp;"; "&amp;R2324&amp;AS[[#This Row],[Age Band Code]]&amp;"; "&amp;S2324&amp;AS[[#This Row],[Sex Code]]</f>
        <v xml:space="preserve">Insurer Code ; Reporting Year ; Insurance Category Code ; Large Provider Entity Code ; Age Band Code ; Sex Code </v>
      </c>
      <c r="N2324" s="345" t="s">
        <v>207</v>
      </c>
      <c r="O2324" s="345" t="s">
        <v>208</v>
      </c>
      <c r="P2324" s="345" t="s">
        <v>209</v>
      </c>
      <c r="Q2324" s="345" t="s">
        <v>210</v>
      </c>
      <c r="R2324" s="345" t="s">
        <v>223</v>
      </c>
      <c r="S2324" s="345" t="s">
        <v>224</v>
      </c>
    </row>
    <row r="2325" spans="1:19" x14ac:dyDescent="0.25">
      <c r="A2325" s="311"/>
      <c r="B2325" s="312"/>
      <c r="C2325" s="312"/>
      <c r="D2325" s="312"/>
      <c r="E2325" s="333"/>
      <c r="F2325" s="333"/>
      <c r="G2325" s="313"/>
      <c r="H2325" s="314"/>
      <c r="I2325" s="334"/>
      <c r="J2325" s="314"/>
      <c r="K2325" s="449"/>
      <c r="M2325" s="349" t="str">
        <f>N2325&amp;AS[[#This Row],[Insurer Code]]&amp;"; "&amp;O2325&amp;AS[[#This Row],[Reporting Year]]&amp;"; "&amp;P2325&amp;AS[[#This Row],[Insurance Category Code]]&amp;"; "&amp;Q2325&amp;AS[[#This Row],[Large Provider Entity Code]]&amp;"; "&amp;R2325&amp;AS[[#This Row],[Age Band Code]]&amp;"; "&amp;S2325&amp;AS[[#This Row],[Sex Code]]</f>
        <v xml:space="preserve">Insurer Code ; Reporting Year ; Insurance Category Code ; Large Provider Entity Code ; Age Band Code ; Sex Code </v>
      </c>
      <c r="N2325" s="345" t="s">
        <v>207</v>
      </c>
      <c r="O2325" s="345" t="s">
        <v>208</v>
      </c>
      <c r="P2325" s="345" t="s">
        <v>209</v>
      </c>
      <c r="Q2325" s="345" t="s">
        <v>210</v>
      </c>
      <c r="R2325" s="345" t="s">
        <v>223</v>
      </c>
      <c r="S2325" s="345" t="s">
        <v>224</v>
      </c>
    </row>
    <row r="2326" spans="1:19" x14ac:dyDescent="0.25">
      <c r="A2326" s="311"/>
      <c r="B2326" s="312"/>
      <c r="C2326" s="312"/>
      <c r="D2326" s="312"/>
      <c r="E2326" s="333"/>
      <c r="F2326" s="333"/>
      <c r="G2326" s="313"/>
      <c r="H2326" s="314"/>
      <c r="I2326" s="334"/>
      <c r="J2326" s="314"/>
      <c r="K2326" s="449"/>
      <c r="M2326" s="349" t="str">
        <f>N2326&amp;AS[[#This Row],[Insurer Code]]&amp;"; "&amp;O2326&amp;AS[[#This Row],[Reporting Year]]&amp;"; "&amp;P2326&amp;AS[[#This Row],[Insurance Category Code]]&amp;"; "&amp;Q2326&amp;AS[[#This Row],[Large Provider Entity Code]]&amp;"; "&amp;R2326&amp;AS[[#This Row],[Age Band Code]]&amp;"; "&amp;S2326&amp;AS[[#This Row],[Sex Code]]</f>
        <v xml:space="preserve">Insurer Code ; Reporting Year ; Insurance Category Code ; Large Provider Entity Code ; Age Band Code ; Sex Code </v>
      </c>
      <c r="N2326" s="345" t="s">
        <v>207</v>
      </c>
      <c r="O2326" s="345" t="s">
        <v>208</v>
      </c>
      <c r="P2326" s="345" t="s">
        <v>209</v>
      </c>
      <c r="Q2326" s="345" t="s">
        <v>210</v>
      </c>
      <c r="R2326" s="345" t="s">
        <v>223</v>
      </c>
      <c r="S2326" s="345" t="s">
        <v>224</v>
      </c>
    </row>
    <row r="2327" spans="1:19" x14ac:dyDescent="0.25">
      <c r="A2327" s="311"/>
      <c r="B2327" s="312"/>
      <c r="C2327" s="312"/>
      <c r="D2327" s="312"/>
      <c r="E2327" s="312"/>
      <c r="F2327" s="312"/>
      <c r="G2327" s="328"/>
      <c r="H2327" s="337"/>
      <c r="I2327" s="334"/>
      <c r="J2327" s="314"/>
      <c r="K2327" s="449"/>
      <c r="M2327" s="349" t="str">
        <f>N2327&amp;AS[[#This Row],[Insurer Code]]&amp;"; "&amp;O2327&amp;AS[[#This Row],[Reporting Year]]&amp;"; "&amp;P2327&amp;AS[[#This Row],[Insurance Category Code]]&amp;"; "&amp;Q2327&amp;AS[[#This Row],[Large Provider Entity Code]]&amp;"; "&amp;R2327&amp;AS[[#This Row],[Age Band Code]]&amp;"; "&amp;S2327&amp;AS[[#This Row],[Sex Code]]</f>
        <v xml:space="preserve">Insurer Code ; Reporting Year ; Insurance Category Code ; Large Provider Entity Code ; Age Band Code ; Sex Code </v>
      </c>
      <c r="N2327" s="345" t="s">
        <v>207</v>
      </c>
      <c r="O2327" s="345" t="s">
        <v>208</v>
      </c>
      <c r="P2327" s="345" t="s">
        <v>209</v>
      </c>
      <c r="Q2327" s="345" t="s">
        <v>210</v>
      </c>
      <c r="R2327" s="345" t="s">
        <v>223</v>
      </c>
      <c r="S2327" s="345" t="s">
        <v>224</v>
      </c>
    </row>
    <row r="2328" spans="1:19" x14ac:dyDescent="0.25">
      <c r="A2328" s="311"/>
      <c r="B2328" s="312"/>
      <c r="C2328" s="312"/>
      <c r="D2328" s="312"/>
      <c r="E2328" s="312"/>
      <c r="F2328" s="312"/>
      <c r="G2328" s="328"/>
      <c r="H2328" s="337"/>
      <c r="I2328" s="334"/>
      <c r="J2328" s="314"/>
      <c r="K2328" s="449"/>
      <c r="M2328" s="349" t="str">
        <f>N2328&amp;AS[[#This Row],[Insurer Code]]&amp;"; "&amp;O2328&amp;AS[[#This Row],[Reporting Year]]&amp;"; "&amp;P2328&amp;AS[[#This Row],[Insurance Category Code]]&amp;"; "&amp;Q2328&amp;AS[[#This Row],[Large Provider Entity Code]]&amp;"; "&amp;R2328&amp;AS[[#This Row],[Age Band Code]]&amp;"; "&amp;S2328&amp;AS[[#This Row],[Sex Code]]</f>
        <v xml:space="preserve">Insurer Code ; Reporting Year ; Insurance Category Code ; Large Provider Entity Code ; Age Band Code ; Sex Code </v>
      </c>
      <c r="N2328" s="345" t="s">
        <v>207</v>
      </c>
      <c r="O2328" s="345" t="s">
        <v>208</v>
      </c>
      <c r="P2328" s="345" t="s">
        <v>209</v>
      </c>
      <c r="Q2328" s="345" t="s">
        <v>210</v>
      </c>
      <c r="R2328" s="345" t="s">
        <v>223</v>
      </c>
      <c r="S2328" s="345" t="s">
        <v>224</v>
      </c>
    </row>
    <row r="2329" spans="1:19" x14ac:dyDescent="0.25">
      <c r="A2329" s="311"/>
      <c r="B2329" s="312"/>
      <c r="C2329" s="312"/>
      <c r="D2329" s="312"/>
      <c r="E2329" s="312"/>
      <c r="F2329" s="312"/>
      <c r="G2329" s="328"/>
      <c r="H2329" s="337"/>
      <c r="I2329" s="334"/>
      <c r="J2329" s="314"/>
      <c r="K2329" s="449"/>
      <c r="M2329" s="349" t="str">
        <f>N2329&amp;AS[[#This Row],[Insurer Code]]&amp;"; "&amp;O2329&amp;AS[[#This Row],[Reporting Year]]&amp;"; "&amp;P2329&amp;AS[[#This Row],[Insurance Category Code]]&amp;"; "&amp;Q2329&amp;AS[[#This Row],[Large Provider Entity Code]]&amp;"; "&amp;R2329&amp;AS[[#This Row],[Age Band Code]]&amp;"; "&amp;S2329&amp;AS[[#This Row],[Sex Code]]</f>
        <v xml:space="preserve">Insurer Code ; Reporting Year ; Insurance Category Code ; Large Provider Entity Code ; Age Band Code ; Sex Code </v>
      </c>
      <c r="N2329" s="345" t="s">
        <v>207</v>
      </c>
      <c r="O2329" s="345" t="s">
        <v>208</v>
      </c>
      <c r="P2329" s="345" t="s">
        <v>209</v>
      </c>
      <c r="Q2329" s="345" t="s">
        <v>210</v>
      </c>
      <c r="R2329" s="345" t="s">
        <v>223</v>
      </c>
      <c r="S2329" s="345" t="s">
        <v>224</v>
      </c>
    </row>
    <row r="2330" spans="1:19" x14ac:dyDescent="0.25">
      <c r="A2330" s="311"/>
      <c r="B2330" s="312"/>
      <c r="C2330" s="312"/>
      <c r="D2330" s="312"/>
      <c r="E2330" s="312"/>
      <c r="F2330" s="312"/>
      <c r="G2330" s="328"/>
      <c r="H2330" s="337"/>
      <c r="I2330" s="334"/>
      <c r="J2330" s="314"/>
      <c r="K2330" s="449"/>
      <c r="M2330" s="349" t="str">
        <f>N2330&amp;AS[[#This Row],[Insurer Code]]&amp;"; "&amp;O2330&amp;AS[[#This Row],[Reporting Year]]&amp;"; "&amp;P2330&amp;AS[[#This Row],[Insurance Category Code]]&amp;"; "&amp;Q2330&amp;AS[[#This Row],[Large Provider Entity Code]]&amp;"; "&amp;R2330&amp;AS[[#This Row],[Age Band Code]]&amp;"; "&amp;S2330&amp;AS[[#This Row],[Sex Code]]</f>
        <v xml:space="preserve">Insurer Code ; Reporting Year ; Insurance Category Code ; Large Provider Entity Code ; Age Band Code ; Sex Code </v>
      </c>
      <c r="N2330" s="345" t="s">
        <v>207</v>
      </c>
      <c r="O2330" s="345" t="s">
        <v>208</v>
      </c>
      <c r="P2330" s="345" t="s">
        <v>209</v>
      </c>
      <c r="Q2330" s="345" t="s">
        <v>210</v>
      </c>
      <c r="R2330" s="345" t="s">
        <v>223</v>
      </c>
      <c r="S2330" s="345" t="s">
        <v>224</v>
      </c>
    </row>
    <row r="2331" spans="1:19" x14ac:dyDescent="0.25">
      <c r="A2331" s="311"/>
      <c r="B2331" s="312"/>
      <c r="C2331" s="312"/>
      <c r="D2331" s="312"/>
      <c r="E2331" s="312"/>
      <c r="F2331" s="312"/>
      <c r="G2331" s="328"/>
      <c r="H2331" s="337"/>
      <c r="I2331" s="334"/>
      <c r="J2331" s="314"/>
      <c r="K2331" s="449"/>
      <c r="M2331" s="349" t="str">
        <f>N2331&amp;AS[[#This Row],[Insurer Code]]&amp;"; "&amp;O2331&amp;AS[[#This Row],[Reporting Year]]&amp;"; "&amp;P2331&amp;AS[[#This Row],[Insurance Category Code]]&amp;"; "&amp;Q2331&amp;AS[[#This Row],[Large Provider Entity Code]]&amp;"; "&amp;R2331&amp;AS[[#This Row],[Age Band Code]]&amp;"; "&amp;S2331&amp;AS[[#This Row],[Sex Code]]</f>
        <v xml:space="preserve">Insurer Code ; Reporting Year ; Insurance Category Code ; Large Provider Entity Code ; Age Band Code ; Sex Code </v>
      </c>
      <c r="N2331" s="345" t="s">
        <v>207</v>
      </c>
      <c r="O2331" s="345" t="s">
        <v>208</v>
      </c>
      <c r="P2331" s="345" t="s">
        <v>209</v>
      </c>
      <c r="Q2331" s="345" t="s">
        <v>210</v>
      </c>
      <c r="R2331" s="345" t="s">
        <v>223</v>
      </c>
      <c r="S2331" s="345" t="s">
        <v>224</v>
      </c>
    </row>
    <row r="2332" spans="1:19" x14ac:dyDescent="0.25">
      <c r="A2332" s="311"/>
      <c r="B2332" s="312"/>
      <c r="C2332" s="312"/>
      <c r="D2332" s="312"/>
      <c r="E2332" s="312"/>
      <c r="F2332" s="312"/>
      <c r="G2332" s="328"/>
      <c r="H2332" s="337"/>
      <c r="I2332" s="334"/>
      <c r="J2332" s="314"/>
      <c r="K2332" s="449"/>
      <c r="M2332" s="349" t="str">
        <f>N2332&amp;AS[[#This Row],[Insurer Code]]&amp;"; "&amp;O2332&amp;AS[[#This Row],[Reporting Year]]&amp;"; "&amp;P2332&amp;AS[[#This Row],[Insurance Category Code]]&amp;"; "&amp;Q2332&amp;AS[[#This Row],[Large Provider Entity Code]]&amp;"; "&amp;R2332&amp;AS[[#This Row],[Age Band Code]]&amp;"; "&amp;S2332&amp;AS[[#This Row],[Sex Code]]</f>
        <v xml:space="preserve">Insurer Code ; Reporting Year ; Insurance Category Code ; Large Provider Entity Code ; Age Band Code ; Sex Code </v>
      </c>
      <c r="N2332" s="345" t="s">
        <v>207</v>
      </c>
      <c r="O2332" s="345" t="s">
        <v>208</v>
      </c>
      <c r="P2332" s="345" t="s">
        <v>209</v>
      </c>
      <c r="Q2332" s="345" t="s">
        <v>210</v>
      </c>
      <c r="R2332" s="345" t="s">
        <v>223</v>
      </c>
      <c r="S2332" s="345" t="s">
        <v>224</v>
      </c>
    </row>
    <row r="2333" spans="1:19" x14ac:dyDescent="0.25">
      <c r="A2333" s="311"/>
      <c r="B2333" s="312"/>
      <c r="C2333" s="312"/>
      <c r="D2333" s="312"/>
      <c r="E2333" s="312"/>
      <c r="F2333" s="312"/>
      <c r="G2333" s="328"/>
      <c r="H2333" s="337"/>
      <c r="I2333" s="334"/>
      <c r="J2333" s="314"/>
      <c r="K2333" s="449"/>
      <c r="M2333" s="349" t="str">
        <f>N2333&amp;AS[[#This Row],[Insurer Code]]&amp;"; "&amp;O2333&amp;AS[[#This Row],[Reporting Year]]&amp;"; "&amp;P2333&amp;AS[[#This Row],[Insurance Category Code]]&amp;"; "&amp;Q2333&amp;AS[[#This Row],[Large Provider Entity Code]]&amp;"; "&amp;R2333&amp;AS[[#This Row],[Age Band Code]]&amp;"; "&amp;S2333&amp;AS[[#This Row],[Sex Code]]</f>
        <v xml:space="preserve">Insurer Code ; Reporting Year ; Insurance Category Code ; Large Provider Entity Code ; Age Band Code ; Sex Code </v>
      </c>
      <c r="N2333" s="345" t="s">
        <v>207</v>
      </c>
      <c r="O2333" s="345" t="s">
        <v>208</v>
      </c>
      <c r="P2333" s="345" t="s">
        <v>209</v>
      </c>
      <c r="Q2333" s="345" t="s">
        <v>210</v>
      </c>
      <c r="R2333" s="345" t="s">
        <v>223</v>
      </c>
      <c r="S2333" s="345" t="s">
        <v>224</v>
      </c>
    </row>
    <row r="2334" spans="1:19" x14ac:dyDescent="0.25">
      <c r="A2334" s="311"/>
      <c r="B2334" s="312"/>
      <c r="C2334" s="312"/>
      <c r="D2334" s="312"/>
      <c r="E2334" s="312"/>
      <c r="F2334" s="312"/>
      <c r="G2334" s="328"/>
      <c r="H2334" s="337"/>
      <c r="I2334" s="334"/>
      <c r="J2334" s="314"/>
      <c r="K2334" s="449"/>
      <c r="M2334" s="349" t="str">
        <f>N2334&amp;AS[[#This Row],[Insurer Code]]&amp;"; "&amp;O2334&amp;AS[[#This Row],[Reporting Year]]&amp;"; "&amp;P2334&amp;AS[[#This Row],[Insurance Category Code]]&amp;"; "&amp;Q2334&amp;AS[[#This Row],[Large Provider Entity Code]]&amp;"; "&amp;R2334&amp;AS[[#This Row],[Age Band Code]]&amp;"; "&amp;S2334&amp;AS[[#This Row],[Sex Code]]</f>
        <v xml:space="preserve">Insurer Code ; Reporting Year ; Insurance Category Code ; Large Provider Entity Code ; Age Band Code ; Sex Code </v>
      </c>
      <c r="N2334" s="345" t="s">
        <v>207</v>
      </c>
      <c r="O2334" s="345" t="s">
        <v>208</v>
      </c>
      <c r="P2334" s="345" t="s">
        <v>209</v>
      </c>
      <c r="Q2334" s="345" t="s">
        <v>210</v>
      </c>
      <c r="R2334" s="345" t="s">
        <v>223</v>
      </c>
      <c r="S2334" s="345" t="s">
        <v>224</v>
      </c>
    </row>
    <row r="2335" spans="1:19" x14ac:dyDescent="0.25">
      <c r="A2335" s="311"/>
      <c r="B2335" s="312"/>
      <c r="C2335" s="312"/>
      <c r="D2335" s="312"/>
      <c r="E2335" s="312"/>
      <c r="F2335" s="312"/>
      <c r="G2335" s="328"/>
      <c r="H2335" s="337"/>
      <c r="I2335" s="334"/>
      <c r="J2335" s="314"/>
      <c r="K2335" s="449"/>
      <c r="M2335" s="349" t="str">
        <f>N2335&amp;AS[[#This Row],[Insurer Code]]&amp;"; "&amp;O2335&amp;AS[[#This Row],[Reporting Year]]&amp;"; "&amp;P2335&amp;AS[[#This Row],[Insurance Category Code]]&amp;"; "&amp;Q2335&amp;AS[[#This Row],[Large Provider Entity Code]]&amp;"; "&amp;R2335&amp;AS[[#This Row],[Age Band Code]]&amp;"; "&amp;S2335&amp;AS[[#This Row],[Sex Code]]</f>
        <v xml:space="preserve">Insurer Code ; Reporting Year ; Insurance Category Code ; Large Provider Entity Code ; Age Band Code ; Sex Code </v>
      </c>
      <c r="N2335" s="345" t="s">
        <v>207</v>
      </c>
      <c r="O2335" s="345" t="s">
        <v>208</v>
      </c>
      <c r="P2335" s="345" t="s">
        <v>209</v>
      </c>
      <c r="Q2335" s="345" t="s">
        <v>210</v>
      </c>
      <c r="R2335" s="345" t="s">
        <v>223</v>
      </c>
      <c r="S2335" s="345" t="s">
        <v>224</v>
      </c>
    </row>
    <row r="2336" spans="1:19" x14ac:dyDescent="0.25">
      <c r="A2336" s="311"/>
      <c r="B2336" s="312"/>
      <c r="C2336" s="312"/>
      <c r="D2336" s="312"/>
      <c r="E2336" s="312"/>
      <c r="F2336" s="312"/>
      <c r="G2336" s="328"/>
      <c r="H2336" s="337"/>
      <c r="I2336" s="334"/>
      <c r="J2336" s="314"/>
      <c r="K2336" s="449"/>
      <c r="M2336" s="349" t="str">
        <f>N2336&amp;AS[[#This Row],[Insurer Code]]&amp;"; "&amp;O2336&amp;AS[[#This Row],[Reporting Year]]&amp;"; "&amp;P2336&amp;AS[[#This Row],[Insurance Category Code]]&amp;"; "&amp;Q2336&amp;AS[[#This Row],[Large Provider Entity Code]]&amp;"; "&amp;R2336&amp;AS[[#This Row],[Age Band Code]]&amp;"; "&amp;S2336&amp;AS[[#This Row],[Sex Code]]</f>
        <v xml:space="preserve">Insurer Code ; Reporting Year ; Insurance Category Code ; Large Provider Entity Code ; Age Band Code ; Sex Code </v>
      </c>
      <c r="N2336" s="345" t="s">
        <v>207</v>
      </c>
      <c r="O2336" s="345" t="s">
        <v>208</v>
      </c>
      <c r="P2336" s="345" t="s">
        <v>209</v>
      </c>
      <c r="Q2336" s="345" t="s">
        <v>210</v>
      </c>
      <c r="R2336" s="345" t="s">
        <v>223</v>
      </c>
      <c r="S2336" s="345" t="s">
        <v>224</v>
      </c>
    </row>
    <row r="2337" spans="1:19" x14ac:dyDescent="0.25">
      <c r="A2337" s="311"/>
      <c r="B2337" s="312"/>
      <c r="C2337" s="312"/>
      <c r="D2337" s="312"/>
      <c r="E2337" s="312"/>
      <c r="F2337" s="312"/>
      <c r="G2337" s="328"/>
      <c r="H2337" s="337"/>
      <c r="I2337" s="334"/>
      <c r="J2337" s="314"/>
      <c r="K2337" s="449"/>
      <c r="M2337" s="349" t="str">
        <f>N2337&amp;AS[[#This Row],[Insurer Code]]&amp;"; "&amp;O2337&amp;AS[[#This Row],[Reporting Year]]&amp;"; "&amp;P2337&amp;AS[[#This Row],[Insurance Category Code]]&amp;"; "&amp;Q2337&amp;AS[[#This Row],[Large Provider Entity Code]]&amp;"; "&amp;R2337&amp;AS[[#This Row],[Age Band Code]]&amp;"; "&amp;S2337&amp;AS[[#This Row],[Sex Code]]</f>
        <v xml:space="preserve">Insurer Code ; Reporting Year ; Insurance Category Code ; Large Provider Entity Code ; Age Band Code ; Sex Code </v>
      </c>
      <c r="N2337" s="345" t="s">
        <v>207</v>
      </c>
      <c r="O2337" s="345" t="s">
        <v>208</v>
      </c>
      <c r="P2337" s="345" t="s">
        <v>209</v>
      </c>
      <c r="Q2337" s="345" t="s">
        <v>210</v>
      </c>
      <c r="R2337" s="345" t="s">
        <v>223</v>
      </c>
      <c r="S2337" s="345" t="s">
        <v>224</v>
      </c>
    </row>
    <row r="2338" spans="1:19" x14ac:dyDescent="0.25">
      <c r="A2338" s="311"/>
      <c r="B2338" s="312"/>
      <c r="C2338" s="312"/>
      <c r="D2338" s="312"/>
      <c r="E2338" s="312"/>
      <c r="F2338" s="312"/>
      <c r="G2338" s="328"/>
      <c r="H2338" s="337"/>
      <c r="I2338" s="334"/>
      <c r="J2338" s="314"/>
      <c r="K2338" s="449"/>
      <c r="M2338" s="349" t="str">
        <f>N2338&amp;AS[[#This Row],[Insurer Code]]&amp;"; "&amp;O2338&amp;AS[[#This Row],[Reporting Year]]&amp;"; "&amp;P2338&amp;AS[[#This Row],[Insurance Category Code]]&amp;"; "&amp;Q2338&amp;AS[[#This Row],[Large Provider Entity Code]]&amp;"; "&amp;R2338&amp;AS[[#This Row],[Age Band Code]]&amp;"; "&amp;S2338&amp;AS[[#This Row],[Sex Code]]</f>
        <v xml:space="preserve">Insurer Code ; Reporting Year ; Insurance Category Code ; Large Provider Entity Code ; Age Band Code ; Sex Code </v>
      </c>
      <c r="N2338" s="345" t="s">
        <v>207</v>
      </c>
      <c r="O2338" s="345" t="s">
        <v>208</v>
      </c>
      <c r="P2338" s="345" t="s">
        <v>209</v>
      </c>
      <c r="Q2338" s="345" t="s">
        <v>210</v>
      </c>
      <c r="R2338" s="345" t="s">
        <v>223</v>
      </c>
      <c r="S2338" s="345" t="s">
        <v>224</v>
      </c>
    </row>
    <row r="2339" spans="1:19" x14ac:dyDescent="0.25">
      <c r="A2339" s="311"/>
      <c r="B2339" s="312"/>
      <c r="C2339" s="312"/>
      <c r="D2339" s="312"/>
      <c r="E2339" s="312"/>
      <c r="F2339" s="312"/>
      <c r="G2339" s="328"/>
      <c r="H2339" s="337"/>
      <c r="I2339" s="334"/>
      <c r="J2339" s="314"/>
      <c r="K2339" s="449"/>
      <c r="M2339" s="349" t="str">
        <f>N2339&amp;AS[[#This Row],[Insurer Code]]&amp;"; "&amp;O2339&amp;AS[[#This Row],[Reporting Year]]&amp;"; "&amp;P2339&amp;AS[[#This Row],[Insurance Category Code]]&amp;"; "&amp;Q2339&amp;AS[[#This Row],[Large Provider Entity Code]]&amp;"; "&amp;R2339&amp;AS[[#This Row],[Age Band Code]]&amp;"; "&amp;S2339&amp;AS[[#This Row],[Sex Code]]</f>
        <v xml:space="preserve">Insurer Code ; Reporting Year ; Insurance Category Code ; Large Provider Entity Code ; Age Band Code ; Sex Code </v>
      </c>
      <c r="N2339" s="345" t="s">
        <v>207</v>
      </c>
      <c r="O2339" s="345" t="s">
        <v>208</v>
      </c>
      <c r="P2339" s="345" t="s">
        <v>209</v>
      </c>
      <c r="Q2339" s="345" t="s">
        <v>210</v>
      </c>
      <c r="R2339" s="345" t="s">
        <v>223</v>
      </c>
      <c r="S2339" s="345" t="s">
        <v>224</v>
      </c>
    </row>
    <row r="2340" spans="1:19" x14ac:dyDescent="0.25">
      <c r="A2340" s="311"/>
      <c r="B2340" s="312"/>
      <c r="C2340" s="312"/>
      <c r="D2340" s="312"/>
      <c r="E2340" s="312"/>
      <c r="F2340" s="312"/>
      <c r="G2340" s="328"/>
      <c r="H2340" s="337"/>
      <c r="I2340" s="334"/>
      <c r="J2340" s="314"/>
      <c r="K2340" s="449"/>
      <c r="M2340" s="349" t="str">
        <f>N2340&amp;AS[[#This Row],[Insurer Code]]&amp;"; "&amp;O2340&amp;AS[[#This Row],[Reporting Year]]&amp;"; "&amp;P2340&amp;AS[[#This Row],[Insurance Category Code]]&amp;"; "&amp;Q2340&amp;AS[[#This Row],[Large Provider Entity Code]]&amp;"; "&amp;R2340&amp;AS[[#This Row],[Age Band Code]]&amp;"; "&amp;S2340&amp;AS[[#This Row],[Sex Code]]</f>
        <v xml:space="preserve">Insurer Code ; Reporting Year ; Insurance Category Code ; Large Provider Entity Code ; Age Band Code ; Sex Code </v>
      </c>
      <c r="N2340" s="345" t="s">
        <v>207</v>
      </c>
      <c r="O2340" s="345" t="s">
        <v>208</v>
      </c>
      <c r="P2340" s="345" t="s">
        <v>209</v>
      </c>
      <c r="Q2340" s="345" t="s">
        <v>210</v>
      </c>
      <c r="R2340" s="345" t="s">
        <v>223</v>
      </c>
      <c r="S2340" s="345" t="s">
        <v>224</v>
      </c>
    </row>
    <row r="2341" spans="1:19" x14ac:dyDescent="0.25">
      <c r="A2341" s="311"/>
      <c r="B2341" s="312"/>
      <c r="C2341" s="312"/>
      <c r="D2341" s="312"/>
      <c r="E2341" s="312"/>
      <c r="F2341" s="312"/>
      <c r="G2341" s="328"/>
      <c r="H2341" s="337"/>
      <c r="I2341" s="334"/>
      <c r="J2341" s="314"/>
      <c r="K2341" s="449"/>
      <c r="M2341" s="349" t="str">
        <f>N2341&amp;AS[[#This Row],[Insurer Code]]&amp;"; "&amp;O2341&amp;AS[[#This Row],[Reporting Year]]&amp;"; "&amp;P2341&amp;AS[[#This Row],[Insurance Category Code]]&amp;"; "&amp;Q2341&amp;AS[[#This Row],[Large Provider Entity Code]]&amp;"; "&amp;R2341&amp;AS[[#This Row],[Age Band Code]]&amp;"; "&amp;S2341&amp;AS[[#This Row],[Sex Code]]</f>
        <v xml:space="preserve">Insurer Code ; Reporting Year ; Insurance Category Code ; Large Provider Entity Code ; Age Band Code ; Sex Code </v>
      </c>
      <c r="N2341" s="345" t="s">
        <v>207</v>
      </c>
      <c r="O2341" s="345" t="s">
        <v>208</v>
      </c>
      <c r="P2341" s="345" t="s">
        <v>209</v>
      </c>
      <c r="Q2341" s="345" t="s">
        <v>210</v>
      </c>
      <c r="R2341" s="345" t="s">
        <v>223</v>
      </c>
      <c r="S2341" s="345" t="s">
        <v>224</v>
      </c>
    </row>
    <row r="2342" spans="1:19" x14ac:dyDescent="0.25">
      <c r="A2342" s="311"/>
      <c r="B2342" s="312"/>
      <c r="C2342" s="312"/>
      <c r="D2342" s="312"/>
      <c r="E2342" s="312"/>
      <c r="F2342" s="312"/>
      <c r="G2342" s="328"/>
      <c r="H2342" s="337"/>
      <c r="I2342" s="334"/>
      <c r="J2342" s="314"/>
      <c r="K2342" s="449"/>
      <c r="M2342" s="349" t="str">
        <f>N2342&amp;AS[[#This Row],[Insurer Code]]&amp;"; "&amp;O2342&amp;AS[[#This Row],[Reporting Year]]&amp;"; "&amp;P2342&amp;AS[[#This Row],[Insurance Category Code]]&amp;"; "&amp;Q2342&amp;AS[[#This Row],[Large Provider Entity Code]]&amp;"; "&amp;R2342&amp;AS[[#This Row],[Age Band Code]]&amp;"; "&amp;S2342&amp;AS[[#This Row],[Sex Code]]</f>
        <v xml:space="preserve">Insurer Code ; Reporting Year ; Insurance Category Code ; Large Provider Entity Code ; Age Band Code ; Sex Code </v>
      </c>
      <c r="N2342" s="345" t="s">
        <v>207</v>
      </c>
      <c r="O2342" s="345" t="s">
        <v>208</v>
      </c>
      <c r="P2342" s="345" t="s">
        <v>209</v>
      </c>
      <c r="Q2342" s="345" t="s">
        <v>210</v>
      </c>
      <c r="R2342" s="345" t="s">
        <v>223</v>
      </c>
      <c r="S2342" s="345" t="s">
        <v>224</v>
      </c>
    </row>
    <row r="2343" spans="1:19" x14ac:dyDescent="0.25">
      <c r="A2343" s="311"/>
      <c r="B2343" s="312"/>
      <c r="C2343" s="312"/>
      <c r="D2343" s="312"/>
      <c r="E2343" s="312"/>
      <c r="F2343" s="312"/>
      <c r="G2343" s="328"/>
      <c r="H2343" s="337"/>
      <c r="I2343" s="334"/>
      <c r="J2343" s="314"/>
      <c r="K2343" s="449"/>
      <c r="M2343" s="349" t="str">
        <f>N2343&amp;AS[[#This Row],[Insurer Code]]&amp;"; "&amp;O2343&amp;AS[[#This Row],[Reporting Year]]&amp;"; "&amp;P2343&amp;AS[[#This Row],[Insurance Category Code]]&amp;"; "&amp;Q2343&amp;AS[[#This Row],[Large Provider Entity Code]]&amp;"; "&amp;R2343&amp;AS[[#This Row],[Age Band Code]]&amp;"; "&amp;S2343&amp;AS[[#This Row],[Sex Code]]</f>
        <v xml:space="preserve">Insurer Code ; Reporting Year ; Insurance Category Code ; Large Provider Entity Code ; Age Band Code ; Sex Code </v>
      </c>
      <c r="N2343" s="345" t="s">
        <v>207</v>
      </c>
      <c r="O2343" s="345" t="s">
        <v>208</v>
      </c>
      <c r="P2343" s="345" t="s">
        <v>209</v>
      </c>
      <c r="Q2343" s="345" t="s">
        <v>210</v>
      </c>
      <c r="R2343" s="345" t="s">
        <v>223</v>
      </c>
      <c r="S2343" s="345" t="s">
        <v>224</v>
      </c>
    </row>
    <row r="2344" spans="1:19" x14ac:dyDescent="0.25">
      <c r="A2344" s="311"/>
      <c r="B2344" s="312"/>
      <c r="C2344" s="312"/>
      <c r="D2344" s="312"/>
      <c r="E2344" s="312"/>
      <c r="F2344" s="312"/>
      <c r="G2344" s="328"/>
      <c r="H2344" s="337"/>
      <c r="I2344" s="334"/>
      <c r="J2344" s="314"/>
      <c r="K2344" s="449"/>
      <c r="M2344" s="349" t="str">
        <f>N2344&amp;AS[[#This Row],[Insurer Code]]&amp;"; "&amp;O2344&amp;AS[[#This Row],[Reporting Year]]&amp;"; "&amp;P2344&amp;AS[[#This Row],[Insurance Category Code]]&amp;"; "&amp;Q2344&amp;AS[[#This Row],[Large Provider Entity Code]]&amp;"; "&amp;R2344&amp;AS[[#This Row],[Age Band Code]]&amp;"; "&amp;S2344&amp;AS[[#This Row],[Sex Code]]</f>
        <v xml:space="preserve">Insurer Code ; Reporting Year ; Insurance Category Code ; Large Provider Entity Code ; Age Band Code ; Sex Code </v>
      </c>
      <c r="N2344" s="345" t="s">
        <v>207</v>
      </c>
      <c r="O2344" s="345" t="s">
        <v>208</v>
      </c>
      <c r="P2344" s="345" t="s">
        <v>209</v>
      </c>
      <c r="Q2344" s="345" t="s">
        <v>210</v>
      </c>
      <c r="R2344" s="345" t="s">
        <v>223</v>
      </c>
      <c r="S2344" s="345" t="s">
        <v>224</v>
      </c>
    </row>
    <row r="2345" spans="1:19" x14ac:dyDescent="0.25">
      <c r="A2345" s="311"/>
      <c r="B2345" s="312"/>
      <c r="C2345" s="312"/>
      <c r="D2345" s="312"/>
      <c r="E2345" s="312"/>
      <c r="F2345" s="312"/>
      <c r="G2345" s="328"/>
      <c r="H2345" s="337"/>
      <c r="I2345" s="334"/>
      <c r="J2345" s="314"/>
      <c r="K2345" s="449"/>
      <c r="M2345" s="349" t="str">
        <f>N2345&amp;AS[[#This Row],[Insurer Code]]&amp;"; "&amp;O2345&amp;AS[[#This Row],[Reporting Year]]&amp;"; "&amp;P2345&amp;AS[[#This Row],[Insurance Category Code]]&amp;"; "&amp;Q2345&amp;AS[[#This Row],[Large Provider Entity Code]]&amp;"; "&amp;R2345&amp;AS[[#This Row],[Age Band Code]]&amp;"; "&amp;S2345&amp;AS[[#This Row],[Sex Code]]</f>
        <v xml:space="preserve">Insurer Code ; Reporting Year ; Insurance Category Code ; Large Provider Entity Code ; Age Band Code ; Sex Code </v>
      </c>
      <c r="N2345" s="345" t="s">
        <v>207</v>
      </c>
      <c r="O2345" s="345" t="s">
        <v>208</v>
      </c>
      <c r="P2345" s="345" t="s">
        <v>209</v>
      </c>
      <c r="Q2345" s="345" t="s">
        <v>210</v>
      </c>
      <c r="R2345" s="345" t="s">
        <v>223</v>
      </c>
      <c r="S2345" s="345" t="s">
        <v>224</v>
      </c>
    </row>
    <row r="2346" spans="1:19" x14ac:dyDescent="0.25">
      <c r="A2346" s="311"/>
      <c r="B2346" s="312"/>
      <c r="C2346" s="312"/>
      <c r="D2346" s="312"/>
      <c r="E2346" s="312"/>
      <c r="F2346" s="312"/>
      <c r="G2346" s="328"/>
      <c r="H2346" s="337"/>
      <c r="I2346" s="334"/>
      <c r="J2346" s="314"/>
      <c r="K2346" s="449"/>
      <c r="M2346" s="349" t="str">
        <f>N2346&amp;AS[[#This Row],[Insurer Code]]&amp;"; "&amp;O2346&amp;AS[[#This Row],[Reporting Year]]&amp;"; "&amp;P2346&amp;AS[[#This Row],[Insurance Category Code]]&amp;"; "&amp;Q2346&amp;AS[[#This Row],[Large Provider Entity Code]]&amp;"; "&amp;R2346&amp;AS[[#This Row],[Age Band Code]]&amp;"; "&amp;S2346&amp;AS[[#This Row],[Sex Code]]</f>
        <v xml:space="preserve">Insurer Code ; Reporting Year ; Insurance Category Code ; Large Provider Entity Code ; Age Band Code ; Sex Code </v>
      </c>
      <c r="N2346" s="345" t="s">
        <v>207</v>
      </c>
      <c r="O2346" s="345" t="s">
        <v>208</v>
      </c>
      <c r="P2346" s="345" t="s">
        <v>209</v>
      </c>
      <c r="Q2346" s="345" t="s">
        <v>210</v>
      </c>
      <c r="R2346" s="345" t="s">
        <v>223</v>
      </c>
      <c r="S2346" s="345" t="s">
        <v>224</v>
      </c>
    </row>
    <row r="2347" spans="1:19" x14ac:dyDescent="0.25">
      <c r="A2347" s="311"/>
      <c r="B2347" s="312"/>
      <c r="C2347" s="312"/>
      <c r="D2347" s="312"/>
      <c r="E2347" s="312"/>
      <c r="F2347" s="312"/>
      <c r="G2347" s="328"/>
      <c r="H2347" s="337"/>
      <c r="I2347" s="334"/>
      <c r="J2347" s="314"/>
      <c r="K2347" s="449"/>
      <c r="M2347" s="349" t="str">
        <f>N2347&amp;AS[[#This Row],[Insurer Code]]&amp;"; "&amp;O2347&amp;AS[[#This Row],[Reporting Year]]&amp;"; "&amp;P2347&amp;AS[[#This Row],[Insurance Category Code]]&amp;"; "&amp;Q2347&amp;AS[[#This Row],[Large Provider Entity Code]]&amp;"; "&amp;R2347&amp;AS[[#This Row],[Age Band Code]]&amp;"; "&amp;S2347&amp;AS[[#This Row],[Sex Code]]</f>
        <v xml:space="preserve">Insurer Code ; Reporting Year ; Insurance Category Code ; Large Provider Entity Code ; Age Band Code ; Sex Code </v>
      </c>
      <c r="N2347" s="345" t="s">
        <v>207</v>
      </c>
      <c r="O2347" s="345" t="s">
        <v>208</v>
      </c>
      <c r="P2347" s="345" t="s">
        <v>209</v>
      </c>
      <c r="Q2347" s="345" t="s">
        <v>210</v>
      </c>
      <c r="R2347" s="345" t="s">
        <v>223</v>
      </c>
      <c r="S2347" s="345" t="s">
        <v>224</v>
      </c>
    </row>
    <row r="2348" spans="1:19" x14ac:dyDescent="0.25">
      <c r="A2348" s="311"/>
      <c r="B2348" s="312"/>
      <c r="C2348" s="312"/>
      <c r="D2348" s="312"/>
      <c r="E2348" s="312"/>
      <c r="F2348" s="312"/>
      <c r="G2348" s="328"/>
      <c r="H2348" s="337"/>
      <c r="I2348" s="334"/>
      <c r="J2348" s="314"/>
      <c r="K2348" s="449"/>
      <c r="M2348" s="349" t="str">
        <f>N2348&amp;AS[[#This Row],[Insurer Code]]&amp;"; "&amp;O2348&amp;AS[[#This Row],[Reporting Year]]&amp;"; "&amp;P2348&amp;AS[[#This Row],[Insurance Category Code]]&amp;"; "&amp;Q2348&amp;AS[[#This Row],[Large Provider Entity Code]]&amp;"; "&amp;R2348&amp;AS[[#This Row],[Age Band Code]]&amp;"; "&amp;S2348&amp;AS[[#This Row],[Sex Code]]</f>
        <v xml:space="preserve">Insurer Code ; Reporting Year ; Insurance Category Code ; Large Provider Entity Code ; Age Band Code ; Sex Code </v>
      </c>
      <c r="N2348" s="345" t="s">
        <v>207</v>
      </c>
      <c r="O2348" s="345" t="s">
        <v>208</v>
      </c>
      <c r="P2348" s="345" t="s">
        <v>209</v>
      </c>
      <c r="Q2348" s="345" t="s">
        <v>210</v>
      </c>
      <c r="R2348" s="345" t="s">
        <v>223</v>
      </c>
      <c r="S2348" s="345" t="s">
        <v>224</v>
      </c>
    </row>
    <row r="2349" spans="1:19" x14ac:dyDescent="0.25">
      <c r="A2349" s="311"/>
      <c r="B2349" s="312"/>
      <c r="C2349" s="312"/>
      <c r="D2349" s="312"/>
      <c r="E2349" s="312"/>
      <c r="F2349" s="312"/>
      <c r="G2349" s="328"/>
      <c r="H2349" s="337"/>
      <c r="I2349" s="334"/>
      <c r="J2349" s="314"/>
      <c r="K2349" s="449"/>
      <c r="M2349" s="349" t="str">
        <f>N2349&amp;AS[[#This Row],[Insurer Code]]&amp;"; "&amp;O2349&amp;AS[[#This Row],[Reporting Year]]&amp;"; "&amp;P2349&amp;AS[[#This Row],[Insurance Category Code]]&amp;"; "&amp;Q2349&amp;AS[[#This Row],[Large Provider Entity Code]]&amp;"; "&amp;R2349&amp;AS[[#This Row],[Age Band Code]]&amp;"; "&amp;S2349&amp;AS[[#This Row],[Sex Code]]</f>
        <v xml:space="preserve">Insurer Code ; Reporting Year ; Insurance Category Code ; Large Provider Entity Code ; Age Band Code ; Sex Code </v>
      </c>
      <c r="N2349" s="345" t="s">
        <v>207</v>
      </c>
      <c r="O2349" s="345" t="s">
        <v>208</v>
      </c>
      <c r="P2349" s="345" t="s">
        <v>209</v>
      </c>
      <c r="Q2349" s="345" t="s">
        <v>210</v>
      </c>
      <c r="R2349" s="345" t="s">
        <v>223</v>
      </c>
      <c r="S2349" s="345" t="s">
        <v>224</v>
      </c>
    </row>
    <row r="2350" spans="1:19" x14ac:dyDescent="0.25">
      <c r="A2350" s="311"/>
      <c r="B2350" s="312"/>
      <c r="C2350" s="312"/>
      <c r="D2350" s="312"/>
      <c r="E2350" s="312"/>
      <c r="F2350" s="312"/>
      <c r="G2350" s="328"/>
      <c r="H2350" s="337"/>
      <c r="I2350" s="334"/>
      <c r="J2350" s="314"/>
      <c r="K2350" s="449"/>
      <c r="M2350" s="349" t="str">
        <f>N2350&amp;AS[[#This Row],[Insurer Code]]&amp;"; "&amp;O2350&amp;AS[[#This Row],[Reporting Year]]&amp;"; "&amp;P2350&amp;AS[[#This Row],[Insurance Category Code]]&amp;"; "&amp;Q2350&amp;AS[[#This Row],[Large Provider Entity Code]]&amp;"; "&amp;R2350&amp;AS[[#This Row],[Age Band Code]]&amp;"; "&amp;S2350&amp;AS[[#This Row],[Sex Code]]</f>
        <v xml:space="preserve">Insurer Code ; Reporting Year ; Insurance Category Code ; Large Provider Entity Code ; Age Band Code ; Sex Code </v>
      </c>
      <c r="N2350" s="345" t="s">
        <v>207</v>
      </c>
      <c r="O2350" s="345" t="s">
        <v>208</v>
      </c>
      <c r="P2350" s="345" t="s">
        <v>209</v>
      </c>
      <c r="Q2350" s="345" t="s">
        <v>210</v>
      </c>
      <c r="R2350" s="345" t="s">
        <v>223</v>
      </c>
      <c r="S2350" s="345" t="s">
        <v>224</v>
      </c>
    </row>
    <row r="2351" spans="1:19" x14ac:dyDescent="0.25">
      <c r="A2351" s="311"/>
      <c r="B2351" s="312"/>
      <c r="C2351" s="312"/>
      <c r="D2351" s="312"/>
      <c r="E2351" s="312"/>
      <c r="F2351" s="312"/>
      <c r="G2351" s="328"/>
      <c r="H2351" s="337"/>
      <c r="I2351" s="334"/>
      <c r="J2351" s="314"/>
      <c r="K2351" s="449"/>
      <c r="M2351" s="349" t="str">
        <f>N2351&amp;AS[[#This Row],[Insurer Code]]&amp;"; "&amp;O2351&amp;AS[[#This Row],[Reporting Year]]&amp;"; "&amp;P2351&amp;AS[[#This Row],[Insurance Category Code]]&amp;"; "&amp;Q2351&amp;AS[[#This Row],[Large Provider Entity Code]]&amp;"; "&amp;R2351&amp;AS[[#This Row],[Age Band Code]]&amp;"; "&amp;S2351&amp;AS[[#This Row],[Sex Code]]</f>
        <v xml:space="preserve">Insurer Code ; Reporting Year ; Insurance Category Code ; Large Provider Entity Code ; Age Band Code ; Sex Code </v>
      </c>
      <c r="N2351" s="345" t="s">
        <v>207</v>
      </c>
      <c r="O2351" s="345" t="s">
        <v>208</v>
      </c>
      <c r="P2351" s="345" t="s">
        <v>209</v>
      </c>
      <c r="Q2351" s="345" t="s">
        <v>210</v>
      </c>
      <c r="R2351" s="345" t="s">
        <v>223</v>
      </c>
      <c r="S2351" s="345" t="s">
        <v>224</v>
      </c>
    </row>
    <row r="2352" spans="1:19" x14ac:dyDescent="0.25">
      <c r="A2352" s="311"/>
      <c r="B2352" s="312"/>
      <c r="C2352" s="312"/>
      <c r="D2352" s="312"/>
      <c r="E2352" s="312"/>
      <c r="F2352" s="312"/>
      <c r="G2352" s="328"/>
      <c r="H2352" s="337"/>
      <c r="I2352" s="334"/>
      <c r="J2352" s="314"/>
      <c r="K2352" s="449"/>
      <c r="M2352" s="349" t="str">
        <f>N2352&amp;AS[[#This Row],[Insurer Code]]&amp;"; "&amp;O2352&amp;AS[[#This Row],[Reporting Year]]&amp;"; "&amp;P2352&amp;AS[[#This Row],[Insurance Category Code]]&amp;"; "&amp;Q2352&amp;AS[[#This Row],[Large Provider Entity Code]]&amp;"; "&amp;R2352&amp;AS[[#This Row],[Age Band Code]]&amp;"; "&amp;S2352&amp;AS[[#This Row],[Sex Code]]</f>
        <v xml:space="preserve">Insurer Code ; Reporting Year ; Insurance Category Code ; Large Provider Entity Code ; Age Band Code ; Sex Code </v>
      </c>
      <c r="N2352" s="345" t="s">
        <v>207</v>
      </c>
      <c r="O2352" s="345" t="s">
        <v>208</v>
      </c>
      <c r="P2352" s="345" t="s">
        <v>209</v>
      </c>
      <c r="Q2352" s="345" t="s">
        <v>210</v>
      </c>
      <c r="R2352" s="345" t="s">
        <v>223</v>
      </c>
      <c r="S2352" s="345" t="s">
        <v>224</v>
      </c>
    </row>
    <row r="2353" spans="1:19" x14ac:dyDescent="0.25">
      <c r="A2353" s="311"/>
      <c r="B2353" s="312"/>
      <c r="C2353" s="312"/>
      <c r="D2353" s="312"/>
      <c r="E2353" s="312"/>
      <c r="F2353" s="312"/>
      <c r="G2353" s="328"/>
      <c r="H2353" s="337"/>
      <c r="I2353" s="334"/>
      <c r="J2353" s="314"/>
      <c r="K2353" s="449"/>
      <c r="M2353" s="349" t="str">
        <f>N2353&amp;AS[[#This Row],[Insurer Code]]&amp;"; "&amp;O2353&amp;AS[[#This Row],[Reporting Year]]&amp;"; "&amp;P2353&amp;AS[[#This Row],[Insurance Category Code]]&amp;"; "&amp;Q2353&amp;AS[[#This Row],[Large Provider Entity Code]]&amp;"; "&amp;R2353&amp;AS[[#This Row],[Age Band Code]]&amp;"; "&amp;S2353&amp;AS[[#This Row],[Sex Code]]</f>
        <v xml:space="preserve">Insurer Code ; Reporting Year ; Insurance Category Code ; Large Provider Entity Code ; Age Band Code ; Sex Code </v>
      </c>
      <c r="N2353" s="345" t="s">
        <v>207</v>
      </c>
      <c r="O2353" s="345" t="s">
        <v>208</v>
      </c>
      <c r="P2353" s="345" t="s">
        <v>209</v>
      </c>
      <c r="Q2353" s="345" t="s">
        <v>210</v>
      </c>
      <c r="R2353" s="345" t="s">
        <v>223</v>
      </c>
      <c r="S2353" s="345" t="s">
        <v>224</v>
      </c>
    </row>
    <row r="2354" spans="1:19" x14ac:dyDescent="0.25">
      <c r="A2354" s="311"/>
      <c r="B2354" s="312"/>
      <c r="C2354" s="312"/>
      <c r="D2354" s="312"/>
      <c r="E2354" s="312"/>
      <c r="F2354" s="312"/>
      <c r="G2354" s="328"/>
      <c r="H2354" s="337"/>
      <c r="I2354" s="334"/>
      <c r="J2354" s="314"/>
      <c r="K2354" s="449"/>
      <c r="M2354" s="349" t="str">
        <f>N2354&amp;AS[[#This Row],[Insurer Code]]&amp;"; "&amp;O2354&amp;AS[[#This Row],[Reporting Year]]&amp;"; "&amp;P2354&amp;AS[[#This Row],[Insurance Category Code]]&amp;"; "&amp;Q2354&amp;AS[[#This Row],[Large Provider Entity Code]]&amp;"; "&amp;R2354&amp;AS[[#This Row],[Age Band Code]]&amp;"; "&amp;S2354&amp;AS[[#This Row],[Sex Code]]</f>
        <v xml:space="preserve">Insurer Code ; Reporting Year ; Insurance Category Code ; Large Provider Entity Code ; Age Band Code ; Sex Code </v>
      </c>
      <c r="N2354" s="345" t="s">
        <v>207</v>
      </c>
      <c r="O2354" s="345" t="s">
        <v>208</v>
      </c>
      <c r="P2354" s="345" t="s">
        <v>209</v>
      </c>
      <c r="Q2354" s="345" t="s">
        <v>210</v>
      </c>
      <c r="R2354" s="345" t="s">
        <v>223</v>
      </c>
      <c r="S2354" s="345" t="s">
        <v>224</v>
      </c>
    </row>
    <row r="2355" spans="1:19" x14ac:dyDescent="0.25">
      <c r="A2355" s="311"/>
      <c r="B2355" s="312"/>
      <c r="C2355" s="312"/>
      <c r="D2355" s="312"/>
      <c r="E2355" s="312"/>
      <c r="F2355" s="312"/>
      <c r="G2355" s="328"/>
      <c r="H2355" s="337"/>
      <c r="I2355" s="334"/>
      <c r="J2355" s="314"/>
      <c r="K2355" s="449"/>
      <c r="M2355" s="349" t="str">
        <f>N2355&amp;AS[[#This Row],[Insurer Code]]&amp;"; "&amp;O2355&amp;AS[[#This Row],[Reporting Year]]&amp;"; "&amp;P2355&amp;AS[[#This Row],[Insurance Category Code]]&amp;"; "&amp;Q2355&amp;AS[[#This Row],[Large Provider Entity Code]]&amp;"; "&amp;R2355&amp;AS[[#This Row],[Age Band Code]]&amp;"; "&amp;S2355&amp;AS[[#This Row],[Sex Code]]</f>
        <v xml:space="preserve">Insurer Code ; Reporting Year ; Insurance Category Code ; Large Provider Entity Code ; Age Band Code ; Sex Code </v>
      </c>
      <c r="N2355" s="345" t="s">
        <v>207</v>
      </c>
      <c r="O2355" s="345" t="s">
        <v>208</v>
      </c>
      <c r="P2355" s="345" t="s">
        <v>209</v>
      </c>
      <c r="Q2355" s="345" t="s">
        <v>210</v>
      </c>
      <c r="R2355" s="345" t="s">
        <v>223</v>
      </c>
      <c r="S2355" s="345" t="s">
        <v>224</v>
      </c>
    </row>
    <row r="2356" spans="1:19" x14ac:dyDescent="0.25">
      <c r="A2356" s="311"/>
      <c r="B2356" s="312"/>
      <c r="C2356" s="312"/>
      <c r="D2356" s="312"/>
      <c r="E2356" s="312"/>
      <c r="F2356" s="312"/>
      <c r="G2356" s="328"/>
      <c r="H2356" s="337"/>
      <c r="I2356" s="334"/>
      <c r="J2356" s="314"/>
      <c r="K2356" s="449"/>
      <c r="M2356" s="349" t="str">
        <f>N2356&amp;AS[[#This Row],[Insurer Code]]&amp;"; "&amp;O2356&amp;AS[[#This Row],[Reporting Year]]&amp;"; "&amp;P2356&amp;AS[[#This Row],[Insurance Category Code]]&amp;"; "&amp;Q2356&amp;AS[[#This Row],[Large Provider Entity Code]]&amp;"; "&amp;R2356&amp;AS[[#This Row],[Age Band Code]]&amp;"; "&amp;S2356&amp;AS[[#This Row],[Sex Code]]</f>
        <v xml:space="preserve">Insurer Code ; Reporting Year ; Insurance Category Code ; Large Provider Entity Code ; Age Band Code ; Sex Code </v>
      </c>
      <c r="N2356" s="345" t="s">
        <v>207</v>
      </c>
      <c r="O2356" s="345" t="s">
        <v>208</v>
      </c>
      <c r="P2356" s="345" t="s">
        <v>209</v>
      </c>
      <c r="Q2356" s="345" t="s">
        <v>210</v>
      </c>
      <c r="R2356" s="345" t="s">
        <v>223</v>
      </c>
      <c r="S2356" s="345" t="s">
        <v>224</v>
      </c>
    </row>
    <row r="2357" spans="1:19" x14ac:dyDescent="0.25">
      <c r="A2357" s="311"/>
      <c r="B2357" s="312"/>
      <c r="C2357" s="312"/>
      <c r="D2357" s="312"/>
      <c r="E2357" s="312"/>
      <c r="F2357" s="312"/>
      <c r="G2357" s="328"/>
      <c r="H2357" s="337"/>
      <c r="I2357" s="334"/>
      <c r="J2357" s="314"/>
      <c r="K2357" s="449"/>
      <c r="M2357" s="349" t="str">
        <f>N2357&amp;AS[[#This Row],[Insurer Code]]&amp;"; "&amp;O2357&amp;AS[[#This Row],[Reporting Year]]&amp;"; "&amp;P2357&amp;AS[[#This Row],[Insurance Category Code]]&amp;"; "&amp;Q2357&amp;AS[[#This Row],[Large Provider Entity Code]]&amp;"; "&amp;R2357&amp;AS[[#This Row],[Age Band Code]]&amp;"; "&amp;S2357&amp;AS[[#This Row],[Sex Code]]</f>
        <v xml:space="preserve">Insurer Code ; Reporting Year ; Insurance Category Code ; Large Provider Entity Code ; Age Band Code ; Sex Code </v>
      </c>
      <c r="N2357" s="345" t="s">
        <v>207</v>
      </c>
      <c r="O2357" s="345" t="s">
        <v>208</v>
      </c>
      <c r="P2357" s="345" t="s">
        <v>209</v>
      </c>
      <c r="Q2357" s="345" t="s">
        <v>210</v>
      </c>
      <c r="R2357" s="345" t="s">
        <v>223</v>
      </c>
      <c r="S2357" s="345" t="s">
        <v>224</v>
      </c>
    </row>
    <row r="2358" spans="1:19" x14ac:dyDescent="0.25">
      <c r="A2358" s="311"/>
      <c r="B2358" s="312"/>
      <c r="C2358" s="312"/>
      <c r="D2358" s="312"/>
      <c r="E2358" s="312"/>
      <c r="F2358" s="312"/>
      <c r="G2358" s="328"/>
      <c r="H2358" s="337"/>
      <c r="I2358" s="334"/>
      <c r="J2358" s="314"/>
      <c r="K2358" s="449"/>
      <c r="M2358" s="349" t="str">
        <f>N2358&amp;AS[[#This Row],[Insurer Code]]&amp;"; "&amp;O2358&amp;AS[[#This Row],[Reporting Year]]&amp;"; "&amp;P2358&amp;AS[[#This Row],[Insurance Category Code]]&amp;"; "&amp;Q2358&amp;AS[[#This Row],[Large Provider Entity Code]]&amp;"; "&amp;R2358&amp;AS[[#This Row],[Age Band Code]]&amp;"; "&amp;S2358&amp;AS[[#This Row],[Sex Code]]</f>
        <v xml:space="preserve">Insurer Code ; Reporting Year ; Insurance Category Code ; Large Provider Entity Code ; Age Band Code ; Sex Code </v>
      </c>
      <c r="N2358" s="345" t="s">
        <v>207</v>
      </c>
      <c r="O2358" s="345" t="s">
        <v>208</v>
      </c>
      <c r="P2358" s="345" t="s">
        <v>209</v>
      </c>
      <c r="Q2358" s="345" t="s">
        <v>210</v>
      </c>
      <c r="R2358" s="345" t="s">
        <v>223</v>
      </c>
      <c r="S2358" s="345" t="s">
        <v>224</v>
      </c>
    </row>
    <row r="2359" spans="1:19" x14ac:dyDescent="0.25">
      <c r="A2359" s="311"/>
      <c r="B2359" s="312"/>
      <c r="C2359" s="312"/>
      <c r="D2359" s="312"/>
      <c r="E2359" s="312"/>
      <c r="F2359" s="312"/>
      <c r="G2359" s="328"/>
      <c r="H2359" s="337"/>
      <c r="I2359" s="334"/>
      <c r="J2359" s="314"/>
      <c r="K2359" s="449"/>
      <c r="M2359" s="349" t="str">
        <f>N2359&amp;AS[[#This Row],[Insurer Code]]&amp;"; "&amp;O2359&amp;AS[[#This Row],[Reporting Year]]&amp;"; "&amp;P2359&amp;AS[[#This Row],[Insurance Category Code]]&amp;"; "&amp;Q2359&amp;AS[[#This Row],[Large Provider Entity Code]]&amp;"; "&amp;R2359&amp;AS[[#This Row],[Age Band Code]]&amp;"; "&amp;S2359&amp;AS[[#This Row],[Sex Code]]</f>
        <v xml:space="preserve">Insurer Code ; Reporting Year ; Insurance Category Code ; Large Provider Entity Code ; Age Band Code ; Sex Code </v>
      </c>
      <c r="N2359" s="345" t="s">
        <v>207</v>
      </c>
      <c r="O2359" s="345" t="s">
        <v>208</v>
      </c>
      <c r="P2359" s="345" t="s">
        <v>209</v>
      </c>
      <c r="Q2359" s="345" t="s">
        <v>210</v>
      </c>
      <c r="R2359" s="345" t="s">
        <v>223</v>
      </c>
      <c r="S2359" s="345" t="s">
        <v>224</v>
      </c>
    </row>
    <row r="2360" spans="1:19" x14ac:dyDescent="0.25">
      <c r="A2360" s="311"/>
      <c r="B2360" s="312"/>
      <c r="C2360" s="312"/>
      <c r="D2360" s="312"/>
      <c r="E2360" s="312"/>
      <c r="F2360" s="312"/>
      <c r="G2360" s="328"/>
      <c r="H2360" s="337"/>
      <c r="I2360" s="334"/>
      <c r="J2360" s="314"/>
      <c r="K2360" s="449"/>
      <c r="M2360" s="349" t="str">
        <f>N2360&amp;AS[[#This Row],[Insurer Code]]&amp;"; "&amp;O2360&amp;AS[[#This Row],[Reporting Year]]&amp;"; "&amp;P2360&amp;AS[[#This Row],[Insurance Category Code]]&amp;"; "&amp;Q2360&amp;AS[[#This Row],[Large Provider Entity Code]]&amp;"; "&amp;R2360&amp;AS[[#This Row],[Age Band Code]]&amp;"; "&amp;S2360&amp;AS[[#This Row],[Sex Code]]</f>
        <v xml:space="preserve">Insurer Code ; Reporting Year ; Insurance Category Code ; Large Provider Entity Code ; Age Band Code ; Sex Code </v>
      </c>
      <c r="N2360" s="345" t="s">
        <v>207</v>
      </c>
      <c r="O2360" s="345" t="s">
        <v>208</v>
      </c>
      <c r="P2360" s="345" t="s">
        <v>209</v>
      </c>
      <c r="Q2360" s="345" t="s">
        <v>210</v>
      </c>
      <c r="R2360" s="345" t="s">
        <v>223</v>
      </c>
      <c r="S2360" s="345" t="s">
        <v>224</v>
      </c>
    </row>
    <row r="2361" spans="1:19" x14ac:dyDescent="0.25">
      <c r="A2361" s="311"/>
      <c r="B2361" s="312"/>
      <c r="C2361" s="312"/>
      <c r="D2361" s="312"/>
      <c r="E2361" s="312"/>
      <c r="F2361" s="312"/>
      <c r="G2361" s="328"/>
      <c r="H2361" s="337"/>
      <c r="I2361" s="334"/>
      <c r="J2361" s="314"/>
      <c r="K2361" s="449"/>
      <c r="M2361" s="349" t="str">
        <f>N2361&amp;AS[[#This Row],[Insurer Code]]&amp;"; "&amp;O2361&amp;AS[[#This Row],[Reporting Year]]&amp;"; "&amp;P2361&amp;AS[[#This Row],[Insurance Category Code]]&amp;"; "&amp;Q2361&amp;AS[[#This Row],[Large Provider Entity Code]]&amp;"; "&amp;R2361&amp;AS[[#This Row],[Age Band Code]]&amp;"; "&amp;S2361&amp;AS[[#This Row],[Sex Code]]</f>
        <v xml:space="preserve">Insurer Code ; Reporting Year ; Insurance Category Code ; Large Provider Entity Code ; Age Band Code ; Sex Code </v>
      </c>
      <c r="N2361" s="345" t="s">
        <v>207</v>
      </c>
      <c r="O2361" s="345" t="s">
        <v>208</v>
      </c>
      <c r="P2361" s="345" t="s">
        <v>209</v>
      </c>
      <c r="Q2361" s="345" t="s">
        <v>210</v>
      </c>
      <c r="R2361" s="345" t="s">
        <v>223</v>
      </c>
      <c r="S2361" s="345" t="s">
        <v>224</v>
      </c>
    </row>
    <row r="2362" spans="1:19" x14ac:dyDescent="0.25">
      <c r="A2362" s="311"/>
      <c r="B2362" s="312"/>
      <c r="C2362" s="312"/>
      <c r="D2362" s="312"/>
      <c r="E2362" s="312"/>
      <c r="F2362" s="312"/>
      <c r="G2362" s="328"/>
      <c r="H2362" s="337"/>
      <c r="I2362" s="334"/>
      <c r="J2362" s="314"/>
      <c r="K2362" s="449"/>
      <c r="M2362" s="349" t="str">
        <f>N2362&amp;AS[[#This Row],[Insurer Code]]&amp;"; "&amp;O2362&amp;AS[[#This Row],[Reporting Year]]&amp;"; "&amp;P2362&amp;AS[[#This Row],[Insurance Category Code]]&amp;"; "&amp;Q2362&amp;AS[[#This Row],[Large Provider Entity Code]]&amp;"; "&amp;R2362&amp;AS[[#This Row],[Age Band Code]]&amp;"; "&amp;S2362&amp;AS[[#This Row],[Sex Code]]</f>
        <v xml:space="preserve">Insurer Code ; Reporting Year ; Insurance Category Code ; Large Provider Entity Code ; Age Band Code ; Sex Code </v>
      </c>
      <c r="N2362" s="345" t="s">
        <v>207</v>
      </c>
      <c r="O2362" s="345" t="s">
        <v>208</v>
      </c>
      <c r="P2362" s="345" t="s">
        <v>209</v>
      </c>
      <c r="Q2362" s="345" t="s">
        <v>210</v>
      </c>
      <c r="R2362" s="345" t="s">
        <v>223</v>
      </c>
      <c r="S2362" s="345" t="s">
        <v>224</v>
      </c>
    </row>
    <row r="2363" spans="1:19" x14ac:dyDescent="0.25">
      <c r="A2363" s="311"/>
      <c r="B2363" s="312"/>
      <c r="C2363" s="312"/>
      <c r="D2363" s="312"/>
      <c r="E2363" s="312"/>
      <c r="F2363" s="312"/>
      <c r="G2363" s="328"/>
      <c r="H2363" s="337"/>
      <c r="I2363" s="334"/>
      <c r="J2363" s="314"/>
      <c r="K2363" s="449"/>
      <c r="M2363" s="349" t="str">
        <f>N2363&amp;AS[[#This Row],[Insurer Code]]&amp;"; "&amp;O2363&amp;AS[[#This Row],[Reporting Year]]&amp;"; "&amp;P2363&amp;AS[[#This Row],[Insurance Category Code]]&amp;"; "&amp;Q2363&amp;AS[[#This Row],[Large Provider Entity Code]]&amp;"; "&amp;R2363&amp;AS[[#This Row],[Age Band Code]]&amp;"; "&amp;S2363&amp;AS[[#This Row],[Sex Code]]</f>
        <v xml:space="preserve">Insurer Code ; Reporting Year ; Insurance Category Code ; Large Provider Entity Code ; Age Band Code ; Sex Code </v>
      </c>
      <c r="N2363" s="345" t="s">
        <v>207</v>
      </c>
      <c r="O2363" s="345" t="s">
        <v>208</v>
      </c>
      <c r="P2363" s="345" t="s">
        <v>209</v>
      </c>
      <c r="Q2363" s="345" t="s">
        <v>210</v>
      </c>
      <c r="R2363" s="345" t="s">
        <v>223</v>
      </c>
      <c r="S2363" s="345" t="s">
        <v>224</v>
      </c>
    </row>
    <row r="2364" spans="1:19" x14ac:dyDescent="0.25">
      <c r="A2364" s="311"/>
      <c r="B2364" s="312"/>
      <c r="C2364" s="312"/>
      <c r="D2364" s="312"/>
      <c r="E2364" s="312"/>
      <c r="F2364" s="312"/>
      <c r="G2364" s="328"/>
      <c r="H2364" s="337"/>
      <c r="I2364" s="334"/>
      <c r="J2364" s="314"/>
      <c r="K2364" s="449"/>
      <c r="M2364" s="349" t="str">
        <f>N2364&amp;AS[[#This Row],[Insurer Code]]&amp;"; "&amp;O2364&amp;AS[[#This Row],[Reporting Year]]&amp;"; "&amp;P2364&amp;AS[[#This Row],[Insurance Category Code]]&amp;"; "&amp;Q2364&amp;AS[[#This Row],[Large Provider Entity Code]]&amp;"; "&amp;R2364&amp;AS[[#This Row],[Age Band Code]]&amp;"; "&amp;S2364&amp;AS[[#This Row],[Sex Code]]</f>
        <v xml:space="preserve">Insurer Code ; Reporting Year ; Insurance Category Code ; Large Provider Entity Code ; Age Band Code ; Sex Code </v>
      </c>
      <c r="N2364" s="345" t="s">
        <v>207</v>
      </c>
      <c r="O2364" s="345" t="s">
        <v>208</v>
      </c>
      <c r="P2364" s="345" t="s">
        <v>209</v>
      </c>
      <c r="Q2364" s="345" t="s">
        <v>210</v>
      </c>
      <c r="R2364" s="345" t="s">
        <v>223</v>
      </c>
      <c r="S2364" s="345" t="s">
        <v>224</v>
      </c>
    </row>
    <row r="2365" spans="1:19" x14ac:dyDescent="0.25">
      <c r="A2365" s="311"/>
      <c r="B2365" s="312"/>
      <c r="C2365" s="312"/>
      <c r="D2365" s="312"/>
      <c r="E2365" s="312"/>
      <c r="F2365" s="312"/>
      <c r="G2365" s="328"/>
      <c r="H2365" s="337"/>
      <c r="I2365" s="334"/>
      <c r="J2365" s="314"/>
      <c r="K2365" s="449"/>
      <c r="M2365" s="349" t="str">
        <f>N2365&amp;AS[[#This Row],[Insurer Code]]&amp;"; "&amp;O2365&amp;AS[[#This Row],[Reporting Year]]&amp;"; "&amp;P2365&amp;AS[[#This Row],[Insurance Category Code]]&amp;"; "&amp;Q2365&amp;AS[[#This Row],[Large Provider Entity Code]]&amp;"; "&amp;R2365&amp;AS[[#This Row],[Age Band Code]]&amp;"; "&amp;S2365&amp;AS[[#This Row],[Sex Code]]</f>
        <v xml:space="preserve">Insurer Code ; Reporting Year ; Insurance Category Code ; Large Provider Entity Code ; Age Band Code ; Sex Code </v>
      </c>
      <c r="N2365" s="345" t="s">
        <v>207</v>
      </c>
      <c r="O2365" s="345" t="s">
        <v>208</v>
      </c>
      <c r="P2365" s="345" t="s">
        <v>209</v>
      </c>
      <c r="Q2365" s="345" t="s">
        <v>210</v>
      </c>
      <c r="R2365" s="345" t="s">
        <v>223</v>
      </c>
      <c r="S2365" s="345" t="s">
        <v>224</v>
      </c>
    </row>
    <row r="2366" spans="1:19" x14ac:dyDescent="0.25">
      <c r="A2366" s="311"/>
      <c r="B2366" s="312"/>
      <c r="C2366" s="312"/>
      <c r="D2366" s="312"/>
      <c r="E2366" s="312"/>
      <c r="F2366" s="312"/>
      <c r="G2366" s="328"/>
      <c r="H2366" s="337"/>
      <c r="I2366" s="334"/>
      <c r="J2366" s="314"/>
      <c r="K2366" s="449"/>
      <c r="M2366" s="349" t="str">
        <f>N2366&amp;AS[[#This Row],[Insurer Code]]&amp;"; "&amp;O2366&amp;AS[[#This Row],[Reporting Year]]&amp;"; "&amp;P2366&amp;AS[[#This Row],[Insurance Category Code]]&amp;"; "&amp;Q2366&amp;AS[[#This Row],[Large Provider Entity Code]]&amp;"; "&amp;R2366&amp;AS[[#This Row],[Age Band Code]]&amp;"; "&amp;S2366&amp;AS[[#This Row],[Sex Code]]</f>
        <v xml:space="preserve">Insurer Code ; Reporting Year ; Insurance Category Code ; Large Provider Entity Code ; Age Band Code ; Sex Code </v>
      </c>
      <c r="N2366" s="345" t="s">
        <v>207</v>
      </c>
      <c r="O2366" s="345" t="s">
        <v>208</v>
      </c>
      <c r="P2366" s="345" t="s">
        <v>209</v>
      </c>
      <c r="Q2366" s="345" t="s">
        <v>210</v>
      </c>
      <c r="R2366" s="345" t="s">
        <v>223</v>
      </c>
      <c r="S2366" s="345" t="s">
        <v>224</v>
      </c>
    </row>
    <row r="2367" spans="1:19" x14ac:dyDescent="0.25">
      <c r="A2367" s="311"/>
      <c r="B2367" s="312"/>
      <c r="C2367" s="312"/>
      <c r="D2367" s="312"/>
      <c r="E2367" s="312"/>
      <c r="F2367" s="312"/>
      <c r="G2367" s="328"/>
      <c r="H2367" s="337"/>
      <c r="I2367" s="334"/>
      <c r="J2367" s="314"/>
      <c r="K2367" s="449"/>
      <c r="M2367" s="349" t="str">
        <f>N2367&amp;AS[[#This Row],[Insurer Code]]&amp;"; "&amp;O2367&amp;AS[[#This Row],[Reporting Year]]&amp;"; "&amp;P2367&amp;AS[[#This Row],[Insurance Category Code]]&amp;"; "&amp;Q2367&amp;AS[[#This Row],[Large Provider Entity Code]]&amp;"; "&amp;R2367&amp;AS[[#This Row],[Age Band Code]]&amp;"; "&amp;S2367&amp;AS[[#This Row],[Sex Code]]</f>
        <v xml:space="preserve">Insurer Code ; Reporting Year ; Insurance Category Code ; Large Provider Entity Code ; Age Band Code ; Sex Code </v>
      </c>
      <c r="N2367" s="345" t="s">
        <v>207</v>
      </c>
      <c r="O2367" s="345" t="s">
        <v>208</v>
      </c>
      <c r="P2367" s="345" t="s">
        <v>209</v>
      </c>
      <c r="Q2367" s="345" t="s">
        <v>210</v>
      </c>
      <c r="R2367" s="345" t="s">
        <v>223</v>
      </c>
      <c r="S2367" s="345" t="s">
        <v>224</v>
      </c>
    </row>
    <row r="2368" spans="1:19" x14ac:dyDescent="0.25">
      <c r="A2368" s="311"/>
      <c r="B2368" s="312"/>
      <c r="C2368" s="312"/>
      <c r="D2368" s="312"/>
      <c r="E2368" s="312"/>
      <c r="F2368" s="312"/>
      <c r="G2368" s="328"/>
      <c r="H2368" s="337"/>
      <c r="I2368" s="334"/>
      <c r="J2368" s="314"/>
      <c r="K2368" s="449"/>
      <c r="M2368" s="349" t="str">
        <f>N2368&amp;AS[[#This Row],[Insurer Code]]&amp;"; "&amp;O2368&amp;AS[[#This Row],[Reporting Year]]&amp;"; "&amp;P2368&amp;AS[[#This Row],[Insurance Category Code]]&amp;"; "&amp;Q2368&amp;AS[[#This Row],[Large Provider Entity Code]]&amp;"; "&amp;R2368&amp;AS[[#This Row],[Age Band Code]]&amp;"; "&amp;S2368&amp;AS[[#This Row],[Sex Code]]</f>
        <v xml:space="preserve">Insurer Code ; Reporting Year ; Insurance Category Code ; Large Provider Entity Code ; Age Band Code ; Sex Code </v>
      </c>
      <c r="N2368" s="345" t="s">
        <v>207</v>
      </c>
      <c r="O2368" s="345" t="s">
        <v>208</v>
      </c>
      <c r="P2368" s="345" t="s">
        <v>209</v>
      </c>
      <c r="Q2368" s="345" t="s">
        <v>210</v>
      </c>
      <c r="R2368" s="345" t="s">
        <v>223</v>
      </c>
      <c r="S2368" s="345" t="s">
        <v>224</v>
      </c>
    </row>
    <row r="2369" spans="1:19" x14ac:dyDescent="0.25">
      <c r="A2369" s="311"/>
      <c r="B2369" s="312"/>
      <c r="C2369" s="312"/>
      <c r="D2369" s="312"/>
      <c r="E2369" s="312"/>
      <c r="F2369" s="312"/>
      <c r="G2369" s="328"/>
      <c r="H2369" s="337"/>
      <c r="I2369" s="334"/>
      <c r="J2369" s="314"/>
      <c r="K2369" s="449"/>
      <c r="M2369" s="349" t="str">
        <f>N2369&amp;AS[[#This Row],[Insurer Code]]&amp;"; "&amp;O2369&amp;AS[[#This Row],[Reporting Year]]&amp;"; "&amp;P2369&amp;AS[[#This Row],[Insurance Category Code]]&amp;"; "&amp;Q2369&amp;AS[[#This Row],[Large Provider Entity Code]]&amp;"; "&amp;R2369&amp;AS[[#This Row],[Age Band Code]]&amp;"; "&amp;S2369&amp;AS[[#This Row],[Sex Code]]</f>
        <v xml:space="preserve">Insurer Code ; Reporting Year ; Insurance Category Code ; Large Provider Entity Code ; Age Band Code ; Sex Code </v>
      </c>
      <c r="N2369" s="345" t="s">
        <v>207</v>
      </c>
      <c r="O2369" s="345" t="s">
        <v>208</v>
      </c>
      <c r="P2369" s="345" t="s">
        <v>209</v>
      </c>
      <c r="Q2369" s="345" t="s">
        <v>210</v>
      </c>
      <c r="R2369" s="345" t="s">
        <v>223</v>
      </c>
      <c r="S2369" s="345" t="s">
        <v>224</v>
      </c>
    </row>
    <row r="2370" spans="1:19" x14ac:dyDescent="0.25">
      <c r="A2370" s="311"/>
      <c r="B2370" s="312"/>
      <c r="C2370" s="312"/>
      <c r="D2370" s="312"/>
      <c r="E2370" s="312"/>
      <c r="F2370" s="312"/>
      <c r="G2370" s="328"/>
      <c r="H2370" s="337"/>
      <c r="I2370" s="334"/>
      <c r="J2370" s="314"/>
      <c r="K2370" s="449"/>
      <c r="M2370" s="349" t="str">
        <f>N2370&amp;AS[[#This Row],[Insurer Code]]&amp;"; "&amp;O2370&amp;AS[[#This Row],[Reporting Year]]&amp;"; "&amp;P2370&amp;AS[[#This Row],[Insurance Category Code]]&amp;"; "&amp;Q2370&amp;AS[[#This Row],[Large Provider Entity Code]]&amp;"; "&amp;R2370&amp;AS[[#This Row],[Age Band Code]]&amp;"; "&amp;S2370&amp;AS[[#This Row],[Sex Code]]</f>
        <v xml:space="preserve">Insurer Code ; Reporting Year ; Insurance Category Code ; Large Provider Entity Code ; Age Band Code ; Sex Code </v>
      </c>
      <c r="N2370" s="345" t="s">
        <v>207</v>
      </c>
      <c r="O2370" s="345" t="s">
        <v>208</v>
      </c>
      <c r="P2370" s="345" t="s">
        <v>209</v>
      </c>
      <c r="Q2370" s="345" t="s">
        <v>210</v>
      </c>
      <c r="R2370" s="345" t="s">
        <v>223</v>
      </c>
      <c r="S2370" s="345" t="s">
        <v>224</v>
      </c>
    </row>
    <row r="2371" spans="1:19" x14ac:dyDescent="0.25">
      <c r="A2371" s="311"/>
      <c r="B2371" s="312"/>
      <c r="C2371" s="312"/>
      <c r="D2371" s="312"/>
      <c r="E2371" s="312"/>
      <c r="F2371" s="312"/>
      <c r="G2371" s="328"/>
      <c r="H2371" s="337"/>
      <c r="I2371" s="334"/>
      <c r="J2371" s="314"/>
      <c r="K2371" s="449"/>
      <c r="M2371" s="349" t="str">
        <f>N2371&amp;AS[[#This Row],[Insurer Code]]&amp;"; "&amp;O2371&amp;AS[[#This Row],[Reporting Year]]&amp;"; "&amp;P2371&amp;AS[[#This Row],[Insurance Category Code]]&amp;"; "&amp;Q2371&amp;AS[[#This Row],[Large Provider Entity Code]]&amp;"; "&amp;R2371&amp;AS[[#This Row],[Age Band Code]]&amp;"; "&amp;S2371&amp;AS[[#This Row],[Sex Code]]</f>
        <v xml:space="preserve">Insurer Code ; Reporting Year ; Insurance Category Code ; Large Provider Entity Code ; Age Band Code ; Sex Code </v>
      </c>
      <c r="N2371" s="345" t="s">
        <v>207</v>
      </c>
      <c r="O2371" s="345" t="s">
        <v>208</v>
      </c>
      <c r="P2371" s="345" t="s">
        <v>209</v>
      </c>
      <c r="Q2371" s="345" t="s">
        <v>210</v>
      </c>
      <c r="R2371" s="345" t="s">
        <v>223</v>
      </c>
      <c r="S2371" s="345" t="s">
        <v>224</v>
      </c>
    </row>
    <row r="2372" spans="1:19" x14ac:dyDescent="0.25">
      <c r="A2372" s="311"/>
      <c r="B2372" s="312"/>
      <c r="C2372" s="312"/>
      <c r="D2372" s="312"/>
      <c r="E2372" s="312"/>
      <c r="F2372" s="312"/>
      <c r="G2372" s="328"/>
      <c r="H2372" s="337"/>
      <c r="I2372" s="334"/>
      <c r="J2372" s="314"/>
      <c r="K2372" s="449"/>
      <c r="M2372" s="349" t="str">
        <f>N2372&amp;AS[[#This Row],[Insurer Code]]&amp;"; "&amp;O2372&amp;AS[[#This Row],[Reporting Year]]&amp;"; "&amp;P2372&amp;AS[[#This Row],[Insurance Category Code]]&amp;"; "&amp;Q2372&amp;AS[[#This Row],[Large Provider Entity Code]]&amp;"; "&amp;R2372&amp;AS[[#This Row],[Age Band Code]]&amp;"; "&amp;S2372&amp;AS[[#This Row],[Sex Code]]</f>
        <v xml:space="preserve">Insurer Code ; Reporting Year ; Insurance Category Code ; Large Provider Entity Code ; Age Band Code ; Sex Code </v>
      </c>
      <c r="N2372" s="345" t="s">
        <v>207</v>
      </c>
      <c r="O2372" s="345" t="s">
        <v>208</v>
      </c>
      <c r="P2372" s="345" t="s">
        <v>209</v>
      </c>
      <c r="Q2372" s="345" t="s">
        <v>210</v>
      </c>
      <c r="R2372" s="345" t="s">
        <v>223</v>
      </c>
      <c r="S2372" s="345" t="s">
        <v>224</v>
      </c>
    </row>
    <row r="2373" spans="1:19" x14ac:dyDescent="0.25">
      <c r="A2373" s="311"/>
      <c r="B2373" s="312"/>
      <c r="C2373" s="312"/>
      <c r="D2373" s="312"/>
      <c r="E2373" s="312"/>
      <c r="F2373" s="312"/>
      <c r="G2373" s="328"/>
      <c r="H2373" s="337"/>
      <c r="I2373" s="334"/>
      <c r="J2373" s="314"/>
      <c r="K2373" s="449"/>
      <c r="M2373" s="349" t="str">
        <f>N2373&amp;AS[[#This Row],[Insurer Code]]&amp;"; "&amp;O2373&amp;AS[[#This Row],[Reporting Year]]&amp;"; "&amp;P2373&amp;AS[[#This Row],[Insurance Category Code]]&amp;"; "&amp;Q2373&amp;AS[[#This Row],[Large Provider Entity Code]]&amp;"; "&amp;R2373&amp;AS[[#This Row],[Age Band Code]]&amp;"; "&amp;S2373&amp;AS[[#This Row],[Sex Code]]</f>
        <v xml:space="preserve">Insurer Code ; Reporting Year ; Insurance Category Code ; Large Provider Entity Code ; Age Band Code ; Sex Code </v>
      </c>
      <c r="N2373" s="345" t="s">
        <v>207</v>
      </c>
      <c r="O2373" s="345" t="s">
        <v>208</v>
      </c>
      <c r="P2373" s="345" t="s">
        <v>209</v>
      </c>
      <c r="Q2373" s="345" t="s">
        <v>210</v>
      </c>
      <c r="R2373" s="345" t="s">
        <v>223</v>
      </c>
      <c r="S2373" s="345" t="s">
        <v>224</v>
      </c>
    </row>
    <row r="2374" spans="1:19" x14ac:dyDescent="0.25">
      <c r="A2374" s="311"/>
      <c r="B2374" s="312"/>
      <c r="C2374" s="312"/>
      <c r="D2374" s="312"/>
      <c r="E2374" s="312"/>
      <c r="F2374" s="312"/>
      <c r="G2374" s="328"/>
      <c r="H2374" s="337"/>
      <c r="I2374" s="334"/>
      <c r="J2374" s="314"/>
      <c r="K2374" s="449"/>
      <c r="M2374" s="349" t="str">
        <f>N2374&amp;AS[[#This Row],[Insurer Code]]&amp;"; "&amp;O2374&amp;AS[[#This Row],[Reporting Year]]&amp;"; "&amp;P2374&amp;AS[[#This Row],[Insurance Category Code]]&amp;"; "&amp;Q2374&amp;AS[[#This Row],[Large Provider Entity Code]]&amp;"; "&amp;R2374&amp;AS[[#This Row],[Age Band Code]]&amp;"; "&amp;S2374&amp;AS[[#This Row],[Sex Code]]</f>
        <v xml:space="preserve">Insurer Code ; Reporting Year ; Insurance Category Code ; Large Provider Entity Code ; Age Band Code ; Sex Code </v>
      </c>
      <c r="N2374" s="345" t="s">
        <v>207</v>
      </c>
      <c r="O2374" s="345" t="s">
        <v>208</v>
      </c>
      <c r="P2374" s="345" t="s">
        <v>209</v>
      </c>
      <c r="Q2374" s="345" t="s">
        <v>210</v>
      </c>
      <c r="R2374" s="345" t="s">
        <v>223</v>
      </c>
      <c r="S2374" s="345" t="s">
        <v>224</v>
      </c>
    </row>
    <row r="2375" spans="1:19" x14ac:dyDescent="0.25">
      <c r="A2375" s="311"/>
      <c r="B2375" s="312"/>
      <c r="C2375" s="312"/>
      <c r="D2375" s="312"/>
      <c r="E2375" s="312"/>
      <c r="F2375" s="312"/>
      <c r="G2375" s="328"/>
      <c r="H2375" s="337"/>
      <c r="I2375" s="334"/>
      <c r="J2375" s="314"/>
      <c r="K2375" s="449"/>
      <c r="M2375" s="349" t="str">
        <f>N2375&amp;AS[[#This Row],[Insurer Code]]&amp;"; "&amp;O2375&amp;AS[[#This Row],[Reporting Year]]&amp;"; "&amp;P2375&amp;AS[[#This Row],[Insurance Category Code]]&amp;"; "&amp;Q2375&amp;AS[[#This Row],[Large Provider Entity Code]]&amp;"; "&amp;R2375&amp;AS[[#This Row],[Age Band Code]]&amp;"; "&amp;S2375&amp;AS[[#This Row],[Sex Code]]</f>
        <v xml:space="preserve">Insurer Code ; Reporting Year ; Insurance Category Code ; Large Provider Entity Code ; Age Band Code ; Sex Code </v>
      </c>
      <c r="N2375" s="345" t="s">
        <v>207</v>
      </c>
      <c r="O2375" s="345" t="s">
        <v>208</v>
      </c>
      <c r="P2375" s="345" t="s">
        <v>209</v>
      </c>
      <c r="Q2375" s="345" t="s">
        <v>210</v>
      </c>
      <c r="R2375" s="345" t="s">
        <v>223</v>
      </c>
      <c r="S2375" s="345" t="s">
        <v>224</v>
      </c>
    </row>
    <row r="2376" spans="1:19" x14ac:dyDescent="0.25">
      <c r="A2376" s="311"/>
      <c r="B2376" s="312"/>
      <c r="C2376" s="312"/>
      <c r="D2376" s="312"/>
      <c r="E2376" s="312"/>
      <c r="F2376" s="312"/>
      <c r="G2376" s="328"/>
      <c r="H2376" s="337"/>
      <c r="I2376" s="334"/>
      <c r="J2376" s="314"/>
      <c r="K2376" s="449"/>
      <c r="M2376" s="349" t="str">
        <f>N2376&amp;AS[[#This Row],[Insurer Code]]&amp;"; "&amp;O2376&amp;AS[[#This Row],[Reporting Year]]&amp;"; "&amp;P2376&amp;AS[[#This Row],[Insurance Category Code]]&amp;"; "&amp;Q2376&amp;AS[[#This Row],[Large Provider Entity Code]]&amp;"; "&amp;R2376&amp;AS[[#This Row],[Age Band Code]]&amp;"; "&amp;S2376&amp;AS[[#This Row],[Sex Code]]</f>
        <v xml:space="preserve">Insurer Code ; Reporting Year ; Insurance Category Code ; Large Provider Entity Code ; Age Band Code ; Sex Code </v>
      </c>
      <c r="N2376" s="345" t="s">
        <v>207</v>
      </c>
      <c r="O2376" s="345" t="s">
        <v>208</v>
      </c>
      <c r="P2376" s="345" t="s">
        <v>209</v>
      </c>
      <c r="Q2376" s="345" t="s">
        <v>210</v>
      </c>
      <c r="R2376" s="345" t="s">
        <v>223</v>
      </c>
      <c r="S2376" s="345" t="s">
        <v>224</v>
      </c>
    </row>
    <row r="2377" spans="1:19" x14ac:dyDescent="0.25">
      <c r="A2377" s="311"/>
      <c r="B2377" s="312"/>
      <c r="C2377" s="312"/>
      <c r="D2377" s="312"/>
      <c r="E2377" s="312"/>
      <c r="F2377" s="312"/>
      <c r="G2377" s="328"/>
      <c r="H2377" s="337"/>
      <c r="I2377" s="334"/>
      <c r="J2377" s="314"/>
      <c r="K2377" s="449"/>
      <c r="M2377" s="349" t="str">
        <f>N2377&amp;AS[[#This Row],[Insurer Code]]&amp;"; "&amp;O2377&amp;AS[[#This Row],[Reporting Year]]&amp;"; "&amp;P2377&amp;AS[[#This Row],[Insurance Category Code]]&amp;"; "&amp;Q2377&amp;AS[[#This Row],[Large Provider Entity Code]]&amp;"; "&amp;R2377&amp;AS[[#This Row],[Age Band Code]]&amp;"; "&amp;S2377&amp;AS[[#This Row],[Sex Code]]</f>
        <v xml:space="preserve">Insurer Code ; Reporting Year ; Insurance Category Code ; Large Provider Entity Code ; Age Band Code ; Sex Code </v>
      </c>
      <c r="N2377" s="345" t="s">
        <v>207</v>
      </c>
      <c r="O2377" s="345" t="s">
        <v>208</v>
      </c>
      <c r="P2377" s="345" t="s">
        <v>209</v>
      </c>
      <c r="Q2377" s="345" t="s">
        <v>210</v>
      </c>
      <c r="R2377" s="345" t="s">
        <v>223</v>
      </c>
      <c r="S2377" s="345" t="s">
        <v>224</v>
      </c>
    </row>
    <row r="2378" spans="1:19" x14ac:dyDescent="0.25">
      <c r="A2378" s="311"/>
      <c r="B2378" s="312"/>
      <c r="C2378" s="312"/>
      <c r="D2378" s="312"/>
      <c r="E2378" s="312"/>
      <c r="F2378" s="312"/>
      <c r="G2378" s="328"/>
      <c r="H2378" s="337"/>
      <c r="I2378" s="334"/>
      <c r="J2378" s="314"/>
      <c r="K2378" s="449"/>
      <c r="M2378" s="349" t="str">
        <f>N2378&amp;AS[[#This Row],[Insurer Code]]&amp;"; "&amp;O2378&amp;AS[[#This Row],[Reporting Year]]&amp;"; "&amp;P2378&amp;AS[[#This Row],[Insurance Category Code]]&amp;"; "&amp;Q2378&amp;AS[[#This Row],[Large Provider Entity Code]]&amp;"; "&amp;R2378&amp;AS[[#This Row],[Age Band Code]]&amp;"; "&amp;S2378&amp;AS[[#This Row],[Sex Code]]</f>
        <v xml:space="preserve">Insurer Code ; Reporting Year ; Insurance Category Code ; Large Provider Entity Code ; Age Band Code ; Sex Code </v>
      </c>
      <c r="N2378" s="345" t="s">
        <v>207</v>
      </c>
      <c r="O2378" s="345" t="s">
        <v>208</v>
      </c>
      <c r="P2378" s="345" t="s">
        <v>209</v>
      </c>
      <c r="Q2378" s="345" t="s">
        <v>210</v>
      </c>
      <c r="R2378" s="345" t="s">
        <v>223</v>
      </c>
      <c r="S2378" s="345" t="s">
        <v>224</v>
      </c>
    </row>
    <row r="2379" spans="1:19" x14ac:dyDescent="0.25">
      <c r="A2379" s="311"/>
      <c r="B2379" s="312"/>
      <c r="C2379" s="312"/>
      <c r="D2379" s="312"/>
      <c r="E2379" s="312"/>
      <c r="F2379" s="312"/>
      <c r="G2379" s="328"/>
      <c r="H2379" s="337"/>
      <c r="I2379" s="334"/>
      <c r="J2379" s="314"/>
      <c r="K2379" s="449"/>
      <c r="M2379" s="349" t="str">
        <f>N2379&amp;AS[[#This Row],[Insurer Code]]&amp;"; "&amp;O2379&amp;AS[[#This Row],[Reporting Year]]&amp;"; "&amp;P2379&amp;AS[[#This Row],[Insurance Category Code]]&amp;"; "&amp;Q2379&amp;AS[[#This Row],[Large Provider Entity Code]]&amp;"; "&amp;R2379&amp;AS[[#This Row],[Age Band Code]]&amp;"; "&amp;S2379&amp;AS[[#This Row],[Sex Code]]</f>
        <v xml:space="preserve">Insurer Code ; Reporting Year ; Insurance Category Code ; Large Provider Entity Code ; Age Band Code ; Sex Code </v>
      </c>
      <c r="N2379" s="345" t="s">
        <v>207</v>
      </c>
      <c r="O2379" s="345" t="s">
        <v>208</v>
      </c>
      <c r="P2379" s="345" t="s">
        <v>209</v>
      </c>
      <c r="Q2379" s="345" t="s">
        <v>210</v>
      </c>
      <c r="R2379" s="345" t="s">
        <v>223</v>
      </c>
      <c r="S2379" s="345" t="s">
        <v>224</v>
      </c>
    </row>
    <row r="2380" spans="1:19" x14ac:dyDescent="0.25">
      <c r="A2380" s="311"/>
      <c r="B2380" s="312"/>
      <c r="C2380" s="312"/>
      <c r="D2380" s="312"/>
      <c r="E2380" s="312"/>
      <c r="F2380" s="312"/>
      <c r="G2380" s="328"/>
      <c r="H2380" s="337"/>
      <c r="I2380" s="334"/>
      <c r="J2380" s="314"/>
      <c r="K2380" s="449"/>
      <c r="M2380" s="349" t="str">
        <f>N2380&amp;AS[[#This Row],[Insurer Code]]&amp;"; "&amp;O2380&amp;AS[[#This Row],[Reporting Year]]&amp;"; "&amp;P2380&amp;AS[[#This Row],[Insurance Category Code]]&amp;"; "&amp;Q2380&amp;AS[[#This Row],[Large Provider Entity Code]]&amp;"; "&amp;R2380&amp;AS[[#This Row],[Age Band Code]]&amp;"; "&amp;S2380&amp;AS[[#This Row],[Sex Code]]</f>
        <v xml:space="preserve">Insurer Code ; Reporting Year ; Insurance Category Code ; Large Provider Entity Code ; Age Band Code ; Sex Code </v>
      </c>
      <c r="N2380" s="345" t="s">
        <v>207</v>
      </c>
      <c r="O2380" s="345" t="s">
        <v>208</v>
      </c>
      <c r="P2380" s="345" t="s">
        <v>209</v>
      </c>
      <c r="Q2380" s="345" t="s">
        <v>210</v>
      </c>
      <c r="R2380" s="345" t="s">
        <v>223</v>
      </c>
      <c r="S2380" s="345" t="s">
        <v>224</v>
      </c>
    </row>
    <row r="2381" spans="1:19" x14ac:dyDescent="0.25">
      <c r="A2381" s="311"/>
      <c r="B2381" s="312"/>
      <c r="C2381" s="312"/>
      <c r="D2381" s="312"/>
      <c r="E2381" s="312"/>
      <c r="F2381" s="312"/>
      <c r="G2381" s="328"/>
      <c r="H2381" s="337"/>
      <c r="I2381" s="334"/>
      <c r="J2381" s="314"/>
      <c r="K2381" s="449"/>
      <c r="M2381" s="349" t="str">
        <f>N2381&amp;AS[[#This Row],[Insurer Code]]&amp;"; "&amp;O2381&amp;AS[[#This Row],[Reporting Year]]&amp;"; "&amp;P2381&amp;AS[[#This Row],[Insurance Category Code]]&amp;"; "&amp;Q2381&amp;AS[[#This Row],[Large Provider Entity Code]]&amp;"; "&amp;R2381&amp;AS[[#This Row],[Age Band Code]]&amp;"; "&amp;S2381&amp;AS[[#This Row],[Sex Code]]</f>
        <v xml:space="preserve">Insurer Code ; Reporting Year ; Insurance Category Code ; Large Provider Entity Code ; Age Band Code ; Sex Code </v>
      </c>
      <c r="N2381" s="345" t="s">
        <v>207</v>
      </c>
      <c r="O2381" s="345" t="s">
        <v>208</v>
      </c>
      <c r="P2381" s="345" t="s">
        <v>209</v>
      </c>
      <c r="Q2381" s="345" t="s">
        <v>210</v>
      </c>
      <c r="R2381" s="345" t="s">
        <v>223</v>
      </c>
      <c r="S2381" s="345" t="s">
        <v>224</v>
      </c>
    </row>
    <row r="2382" spans="1:19" x14ac:dyDescent="0.25">
      <c r="A2382" s="311"/>
      <c r="B2382" s="312"/>
      <c r="C2382" s="312"/>
      <c r="D2382" s="312"/>
      <c r="E2382" s="312"/>
      <c r="F2382" s="312"/>
      <c r="G2382" s="328"/>
      <c r="H2382" s="337"/>
      <c r="I2382" s="334"/>
      <c r="J2382" s="314"/>
      <c r="K2382" s="449"/>
      <c r="M2382" s="349" t="str">
        <f>N2382&amp;AS[[#This Row],[Insurer Code]]&amp;"; "&amp;O2382&amp;AS[[#This Row],[Reporting Year]]&amp;"; "&amp;P2382&amp;AS[[#This Row],[Insurance Category Code]]&amp;"; "&amp;Q2382&amp;AS[[#This Row],[Large Provider Entity Code]]&amp;"; "&amp;R2382&amp;AS[[#This Row],[Age Band Code]]&amp;"; "&amp;S2382&amp;AS[[#This Row],[Sex Code]]</f>
        <v xml:space="preserve">Insurer Code ; Reporting Year ; Insurance Category Code ; Large Provider Entity Code ; Age Band Code ; Sex Code </v>
      </c>
      <c r="N2382" s="345" t="s">
        <v>207</v>
      </c>
      <c r="O2382" s="345" t="s">
        <v>208</v>
      </c>
      <c r="P2382" s="345" t="s">
        <v>209</v>
      </c>
      <c r="Q2382" s="345" t="s">
        <v>210</v>
      </c>
      <c r="R2382" s="345" t="s">
        <v>223</v>
      </c>
      <c r="S2382" s="345" t="s">
        <v>224</v>
      </c>
    </row>
    <row r="2383" spans="1:19" x14ac:dyDescent="0.25">
      <c r="A2383" s="311"/>
      <c r="B2383" s="312"/>
      <c r="C2383" s="312"/>
      <c r="D2383" s="312"/>
      <c r="E2383" s="312"/>
      <c r="F2383" s="312"/>
      <c r="G2383" s="328"/>
      <c r="H2383" s="337"/>
      <c r="I2383" s="334"/>
      <c r="J2383" s="314"/>
      <c r="K2383" s="449"/>
      <c r="M2383" s="349" t="str">
        <f>N2383&amp;AS[[#This Row],[Insurer Code]]&amp;"; "&amp;O2383&amp;AS[[#This Row],[Reporting Year]]&amp;"; "&amp;P2383&amp;AS[[#This Row],[Insurance Category Code]]&amp;"; "&amp;Q2383&amp;AS[[#This Row],[Large Provider Entity Code]]&amp;"; "&amp;R2383&amp;AS[[#This Row],[Age Band Code]]&amp;"; "&amp;S2383&amp;AS[[#This Row],[Sex Code]]</f>
        <v xml:space="preserve">Insurer Code ; Reporting Year ; Insurance Category Code ; Large Provider Entity Code ; Age Band Code ; Sex Code </v>
      </c>
      <c r="N2383" s="345" t="s">
        <v>207</v>
      </c>
      <c r="O2383" s="345" t="s">
        <v>208</v>
      </c>
      <c r="P2383" s="345" t="s">
        <v>209</v>
      </c>
      <c r="Q2383" s="345" t="s">
        <v>210</v>
      </c>
      <c r="R2383" s="345" t="s">
        <v>223</v>
      </c>
      <c r="S2383" s="345" t="s">
        <v>224</v>
      </c>
    </row>
    <row r="2384" spans="1:19" x14ac:dyDescent="0.25">
      <c r="A2384" s="311"/>
      <c r="B2384" s="312"/>
      <c r="C2384" s="312"/>
      <c r="D2384" s="312"/>
      <c r="E2384" s="312"/>
      <c r="F2384" s="312"/>
      <c r="G2384" s="328"/>
      <c r="H2384" s="337"/>
      <c r="I2384" s="334"/>
      <c r="J2384" s="314"/>
      <c r="K2384" s="449"/>
      <c r="M2384" s="349" t="str">
        <f>N2384&amp;AS[[#This Row],[Insurer Code]]&amp;"; "&amp;O2384&amp;AS[[#This Row],[Reporting Year]]&amp;"; "&amp;P2384&amp;AS[[#This Row],[Insurance Category Code]]&amp;"; "&amp;Q2384&amp;AS[[#This Row],[Large Provider Entity Code]]&amp;"; "&amp;R2384&amp;AS[[#This Row],[Age Band Code]]&amp;"; "&amp;S2384&amp;AS[[#This Row],[Sex Code]]</f>
        <v xml:space="preserve">Insurer Code ; Reporting Year ; Insurance Category Code ; Large Provider Entity Code ; Age Band Code ; Sex Code </v>
      </c>
      <c r="N2384" s="345" t="s">
        <v>207</v>
      </c>
      <c r="O2384" s="345" t="s">
        <v>208</v>
      </c>
      <c r="P2384" s="345" t="s">
        <v>209</v>
      </c>
      <c r="Q2384" s="345" t="s">
        <v>210</v>
      </c>
      <c r="R2384" s="345" t="s">
        <v>223</v>
      </c>
      <c r="S2384" s="345" t="s">
        <v>224</v>
      </c>
    </row>
    <row r="2385" spans="1:19" x14ac:dyDescent="0.25">
      <c r="A2385" s="311"/>
      <c r="B2385" s="312"/>
      <c r="C2385" s="312"/>
      <c r="D2385" s="312"/>
      <c r="E2385" s="312"/>
      <c r="F2385" s="312"/>
      <c r="G2385" s="328"/>
      <c r="H2385" s="337"/>
      <c r="I2385" s="334"/>
      <c r="J2385" s="314"/>
      <c r="K2385" s="449"/>
      <c r="M2385" s="349" t="str">
        <f>N2385&amp;AS[[#This Row],[Insurer Code]]&amp;"; "&amp;O2385&amp;AS[[#This Row],[Reporting Year]]&amp;"; "&amp;P2385&amp;AS[[#This Row],[Insurance Category Code]]&amp;"; "&amp;Q2385&amp;AS[[#This Row],[Large Provider Entity Code]]&amp;"; "&amp;R2385&amp;AS[[#This Row],[Age Band Code]]&amp;"; "&amp;S2385&amp;AS[[#This Row],[Sex Code]]</f>
        <v xml:space="preserve">Insurer Code ; Reporting Year ; Insurance Category Code ; Large Provider Entity Code ; Age Band Code ; Sex Code </v>
      </c>
      <c r="N2385" s="345" t="s">
        <v>207</v>
      </c>
      <c r="O2385" s="345" t="s">
        <v>208</v>
      </c>
      <c r="P2385" s="345" t="s">
        <v>209</v>
      </c>
      <c r="Q2385" s="345" t="s">
        <v>210</v>
      </c>
      <c r="R2385" s="345" t="s">
        <v>223</v>
      </c>
      <c r="S2385" s="345" t="s">
        <v>224</v>
      </c>
    </row>
    <row r="2386" spans="1:19" x14ac:dyDescent="0.25">
      <c r="A2386" s="311"/>
      <c r="B2386" s="312"/>
      <c r="C2386" s="312"/>
      <c r="D2386" s="312"/>
      <c r="E2386" s="312"/>
      <c r="F2386" s="312"/>
      <c r="G2386" s="328"/>
      <c r="H2386" s="337"/>
      <c r="I2386" s="334"/>
      <c r="J2386" s="314"/>
      <c r="K2386" s="449"/>
      <c r="M2386" s="349" t="str">
        <f>N2386&amp;AS[[#This Row],[Insurer Code]]&amp;"; "&amp;O2386&amp;AS[[#This Row],[Reporting Year]]&amp;"; "&amp;P2386&amp;AS[[#This Row],[Insurance Category Code]]&amp;"; "&amp;Q2386&amp;AS[[#This Row],[Large Provider Entity Code]]&amp;"; "&amp;R2386&amp;AS[[#This Row],[Age Band Code]]&amp;"; "&amp;S2386&amp;AS[[#This Row],[Sex Code]]</f>
        <v xml:space="preserve">Insurer Code ; Reporting Year ; Insurance Category Code ; Large Provider Entity Code ; Age Band Code ; Sex Code </v>
      </c>
      <c r="N2386" s="345" t="s">
        <v>207</v>
      </c>
      <c r="O2386" s="345" t="s">
        <v>208</v>
      </c>
      <c r="P2386" s="345" t="s">
        <v>209</v>
      </c>
      <c r="Q2386" s="345" t="s">
        <v>210</v>
      </c>
      <c r="R2386" s="345" t="s">
        <v>223</v>
      </c>
      <c r="S2386" s="345" t="s">
        <v>224</v>
      </c>
    </row>
    <row r="2387" spans="1:19" x14ac:dyDescent="0.25">
      <c r="A2387" s="311"/>
      <c r="B2387" s="312"/>
      <c r="C2387" s="312"/>
      <c r="D2387" s="312"/>
      <c r="E2387" s="312"/>
      <c r="F2387" s="312"/>
      <c r="G2387" s="328"/>
      <c r="H2387" s="337"/>
      <c r="I2387" s="334"/>
      <c r="J2387" s="314"/>
      <c r="K2387" s="449"/>
      <c r="M2387" s="349" t="str">
        <f>N2387&amp;AS[[#This Row],[Insurer Code]]&amp;"; "&amp;O2387&amp;AS[[#This Row],[Reporting Year]]&amp;"; "&amp;P2387&amp;AS[[#This Row],[Insurance Category Code]]&amp;"; "&amp;Q2387&amp;AS[[#This Row],[Large Provider Entity Code]]&amp;"; "&amp;R2387&amp;AS[[#This Row],[Age Band Code]]&amp;"; "&amp;S2387&amp;AS[[#This Row],[Sex Code]]</f>
        <v xml:space="preserve">Insurer Code ; Reporting Year ; Insurance Category Code ; Large Provider Entity Code ; Age Band Code ; Sex Code </v>
      </c>
      <c r="N2387" s="345" t="s">
        <v>207</v>
      </c>
      <c r="O2387" s="345" t="s">
        <v>208</v>
      </c>
      <c r="P2387" s="345" t="s">
        <v>209</v>
      </c>
      <c r="Q2387" s="345" t="s">
        <v>210</v>
      </c>
      <c r="R2387" s="345" t="s">
        <v>223</v>
      </c>
      <c r="S2387" s="345" t="s">
        <v>224</v>
      </c>
    </row>
    <row r="2388" spans="1:19" x14ac:dyDescent="0.25">
      <c r="A2388" s="311"/>
      <c r="B2388" s="312"/>
      <c r="C2388" s="312"/>
      <c r="D2388" s="312"/>
      <c r="E2388" s="312"/>
      <c r="F2388" s="312"/>
      <c r="G2388" s="328"/>
      <c r="H2388" s="337"/>
      <c r="I2388" s="334"/>
      <c r="J2388" s="314"/>
      <c r="K2388" s="449"/>
      <c r="M2388" s="349" t="str">
        <f>N2388&amp;AS[[#This Row],[Insurer Code]]&amp;"; "&amp;O2388&amp;AS[[#This Row],[Reporting Year]]&amp;"; "&amp;P2388&amp;AS[[#This Row],[Insurance Category Code]]&amp;"; "&amp;Q2388&amp;AS[[#This Row],[Large Provider Entity Code]]&amp;"; "&amp;R2388&amp;AS[[#This Row],[Age Band Code]]&amp;"; "&amp;S2388&amp;AS[[#This Row],[Sex Code]]</f>
        <v xml:space="preserve">Insurer Code ; Reporting Year ; Insurance Category Code ; Large Provider Entity Code ; Age Band Code ; Sex Code </v>
      </c>
      <c r="N2388" s="345" t="s">
        <v>207</v>
      </c>
      <c r="O2388" s="345" t="s">
        <v>208</v>
      </c>
      <c r="P2388" s="345" t="s">
        <v>209</v>
      </c>
      <c r="Q2388" s="345" t="s">
        <v>210</v>
      </c>
      <c r="R2388" s="345" t="s">
        <v>223</v>
      </c>
      <c r="S2388" s="345" t="s">
        <v>224</v>
      </c>
    </row>
    <row r="2389" spans="1:19" x14ac:dyDescent="0.25">
      <c r="A2389" s="311"/>
      <c r="B2389" s="312"/>
      <c r="C2389" s="312"/>
      <c r="D2389" s="312"/>
      <c r="E2389" s="312"/>
      <c r="F2389" s="312"/>
      <c r="G2389" s="328"/>
      <c r="H2389" s="337"/>
      <c r="I2389" s="334"/>
      <c r="J2389" s="314"/>
      <c r="K2389" s="449"/>
      <c r="M2389" s="349" t="str">
        <f>N2389&amp;AS[[#This Row],[Insurer Code]]&amp;"; "&amp;O2389&amp;AS[[#This Row],[Reporting Year]]&amp;"; "&amp;P2389&amp;AS[[#This Row],[Insurance Category Code]]&amp;"; "&amp;Q2389&amp;AS[[#This Row],[Large Provider Entity Code]]&amp;"; "&amp;R2389&amp;AS[[#This Row],[Age Band Code]]&amp;"; "&amp;S2389&amp;AS[[#This Row],[Sex Code]]</f>
        <v xml:space="preserve">Insurer Code ; Reporting Year ; Insurance Category Code ; Large Provider Entity Code ; Age Band Code ; Sex Code </v>
      </c>
      <c r="N2389" s="345" t="s">
        <v>207</v>
      </c>
      <c r="O2389" s="345" t="s">
        <v>208</v>
      </c>
      <c r="P2389" s="345" t="s">
        <v>209</v>
      </c>
      <c r="Q2389" s="345" t="s">
        <v>210</v>
      </c>
      <c r="R2389" s="345" t="s">
        <v>223</v>
      </c>
      <c r="S2389" s="345" t="s">
        <v>224</v>
      </c>
    </row>
    <row r="2390" spans="1:19" x14ac:dyDescent="0.25">
      <c r="A2390" s="311"/>
      <c r="B2390" s="312"/>
      <c r="C2390" s="312"/>
      <c r="D2390" s="312"/>
      <c r="E2390" s="312"/>
      <c r="F2390" s="312"/>
      <c r="G2390" s="328"/>
      <c r="H2390" s="337"/>
      <c r="I2390" s="334"/>
      <c r="J2390" s="314"/>
      <c r="K2390" s="449"/>
      <c r="M2390" s="349" t="str">
        <f>N2390&amp;AS[[#This Row],[Insurer Code]]&amp;"; "&amp;O2390&amp;AS[[#This Row],[Reporting Year]]&amp;"; "&amp;P2390&amp;AS[[#This Row],[Insurance Category Code]]&amp;"; "&amp;Q2390&amp;AS[[#This Row],[Large Provider Entity Code]]&amp;"; "&amp;R2390&amp;AS[[#This Row],[Age Band Code]]&amp;"; "&amp;S2390&amp;AS[[#This Row],[Sex Code]]</f>
        <v xml:space="preserve">Insurer Code ; Reporting Year ; Insurance Category Code ; Large Provider Entity Code ; Age Band Code ; Sex Code </v>
      </c>
      <c r="N2390" s="345" t="s">
        <v>207</v>
      </c>
      <c r="O2390" s="345" t="s">
        <v>208</v>
      </c>
      <c r="P2390" s="345" t="s">
        <v>209</v>
      </c>
      <c r="Q2390" s="345" t="s">
        <v>210</v>
      </c>
      <c r="R2390" s="345" t="s">
        <v>223</v>
      </c>
      <c r="S2390" s="345" t="s">
        <v>224</v>
      </c>
    </row>
    <row r="2391" spans="1:19" x14ac:dyDescent="0.25">
      <c r="A2391" s="311"/>
      <c r="B2391" s="312"/>
      <c r="C2391" s="312"/>
      <c r="D2391" s="312"/>
      <c r="E2391" s="312"/>
      <c r="F2391" s="312"/>
      <c r="G2391" s="328"/>
      <c r="H2391" s="337"/>
      <c r="I2391" s="334"/>
      <c r="J2391" s="314"/>
      <c r="K2391" s="449"/>
      <c r="M2391" s="349" t="str">
        <f>N2391&amp;AS[[#This Row],[Insurer Code]]&amp;"; "&amp;O2391&amp;AS[[#This Row],[Reporting Year]]&amp;"; "&amp;P2391&amp;AS[[#This Row],[Insurance Category Code]]&amp;"; "&amp;Q2391&amp;AS[[#This Row],[Large Provider Entity Code]]&amp;"; "&amp;R2391&amp;AS[[#This Row],[Age Band Code]]&amp;"; "&amp;S2391&amp;AS[[#This Row],[Sex Code]]</f>
        <v xml:space="preserve">Insurer Code ; Reporting Year ; Insurance Category Code ; Large Provider Entity Code ; Age Band Code ; Sex Code </v>
      </c>
      <c r="N2391" s="345" t="s">
        <v>207</v>
      </c>
      <c r="O2391" s="345" t="s">
        <v>208</v>
      </c>
      <c r="P2391" s="345" t="s">
        <v>209</v>
      </c>
      <c r="Q2391" s="345" t="s">
        <v>210</v>
      </c>
      <c r="R2391" s="345" t="s">
        <v>223</v>
      </c>
      <c r="S2391" s="345" t="s">
        <v>224</v>
      </c>
    </row>
    <row r="2392" spans="1:19" x14ac:dyDescent="0.25">
      <c r="A2392" s="311"/>
      <c r="B2392" s="312"/>
      <c r="C2392" s="312"/>
      <c r="D2392" s="312"/>
      <c r="E2392" s="312"/>
      <c r="F2392" s="312"/>
      <c r="G2392" s="328"/>
      <c r="H2392" s="337"/>
      <c r="I2392" s="334"/>
      <c r="J2392" s="314"/>
      <c r="K2392" s="449"/>
      <c r="M2392" s="349" t="str">
        <f>N2392&amp;AS[[#This Row],[Insurer Code]]&amp;"; "&amp;O2392&amp;AS[[#This Row],[Reporting Year]]&amp;"; "&amp;P2392&amp;AS[[#This Row],[Insurance Category Code]]&amp;"; "&amp;Q2392&amp;AS[[#This Row],[Large Provider Entity Code]]&amp;"; "&amp;R2392&amp;AS[[#This Row],[Age Band Code]]&amp;"; "&amp;S2392&amp;AS[[#This Row],[Sex Code]]</f>
        <v xml:space="preserve">Insurer Code ; Reporting Year ; Insurance Category Code ; Large Provider Entity Code ; Age Band Code ; Sex Code </v>
      </c>
      <c r="N2392" s="345" t="s">
        <v>207</v>
      </c>
      <c r="O2392" s="345" t="s">
        <v>208</v>
      </c>
      <c r="P2392" s="345" t="s">
        <v>209</v>
      </c>
      <c r="Q2392" s="345" t="s">
        <v>210</v>
      </c>
      <c r="R2392" s="345" t="s">
        <v>223</v>
      </c>
      <c r="S2392" s="345" t="s">
        <v>224</v>
      </c>
    </row>
    <row r="2393" spans="1:19" x14ac:dyDescent="0.25">
      <c r="A2393" s="311"/>
      <c r="B2393" s="312"/>
      <c r="C2393" s="312"/>
      <c r="D2393" s="312"/>
      <c r="E2393" s="312"/>
      <c r="F2393" s="312"/>
      <c r="G2393" s="328"/>
      <c r="H2393" s="337"/>
      <c r="I2393" s="334"/>
      <c r="J2393" s="314"/>
      <c r="K2393" s="449"/>
      <c r="M2393" s="349" t="str">
        <f>N2393&amp;AS[[#This Row],[Insurer Code]]&amp;"; "&amp;O2393&amp;AS[[#This Row],[Reporting Year]]&amp;"; "&amp;P2393&amp;AS[[#This Row],[Insurance Category Code]]&amp;"; "&amp;Q2393&amp;AS[[#This Row],[Large Provider Entity Code]]&amp;"; "&amp;R2393&amp;AS[[#This Row],[Age Band Code]]&amp;"; "&amp;S2393&amp;AS[[#This Row],[Sex Code]]</f>
        <v xml:space="preserve">Insurer Code ; Reporting Year ; Insurance Category Code ; Large Provider Entity Code ; Age Band Code ; Sex Code </v>
      </c>
      <c r="N2393" s="345" t="s">
        <v>207</v>
      </c>
      <c r="O2393" s="345" t="s">
        <v>208</v>
      </c>
      <c r="P2393" s="345" t="s">
        <v>209</v>
      </c>
      <c r="Q2393" s="345" t="s">
        <v>210</v>
      </c>
      <c r="R2393" s="345" t="s">
        <v>223</v>
      </c>
      <c r="S2393" s="345" t="s">
        <v>224</v>
      </c>
    </row>
    <row r="2394" spans="1:19" x14ac:dyDescent="0.25">
      <c r="A2394" s="311"/>
      <c r="B2394" s="312"/>
      <c r="C2394" s="312"/>
      <c r="D2394" s="312"/>
      <c r="E2394" s="312"/>
      <c r="F2394" s="312"/>
      <c r="G2394" s="328"/>
      <c r="H2394" s="337"/>
      <c r="I2394" s="334"/>
      <c r="J2394" s="314"/>
      <c r="K2394" s="449"/>
      <c r="M2394" s="349" t="str">
        <f>N2394&amp;AS[[#This Row],[Insurer Code]]&amp;"; "&amp;O2394&amp;AS[[#This Row],[Reporting Year]]&amp;"; "&amp;P2394&amp;AS[[#This Row],[Insurance Category Code]]&amp;"; "&amp;Q2394&amp;AS[[#This Row],[Large Provider Entity Code]]&amp;"; "&amp;R2394&amp;AS[[#This Row],[Age Band Code]]&amp;"; "&amp;S2394&amp;AS[[#This Row],[Sex Code]]</f>
        <v xml:space="preserve">Insurer Code ; Reporting Year ; Insurance Category Code ; Large Provider Entity Code ; Age Band Code ; Sex Code </v>
      </c>
      <c r="N2394" s="345" t="s">
        <v>207</v>
      </c>
      <c r="O2394" s="345" t="s">
        <v>208</v>
      </c>
      <c r="P2394" s="345" t="s">
        <v>209</v>
      </c>
      <c r="Q2394" s="345" t="s">
        <v>210</v>
      </c>
      <c r="R2394" s="345" t="s">
        <v>223</v>
      </c>
      <c r="S2394" s="345" t="s">
        <v>224</v>
      </c>
    </row>
    <row r="2395" spans="1:19" x14ac:dyDescent="0.25">
      <c r="A2395" s="311"/>
      <c r="B2395" s="312"/>
      <c r="C2395" s="312"/>
      <c r="D2395" s="312"/>
      <c r="E2395" s="312"/>
      <c r="F2395" s="312"/>
      <c r="G2395" s="328"/>
      <c r="H2395" s="337"/>
      <c r="I2395" s="334"/>
      <c r="J2395" s="314"/>
      <c r="K2395" s="449"/>
      <c r="M2395" s="349" t="str">
        <f>N2395&amp;AS[[#This Row],[Insurer Code]]&amp;"; "&amp;O2395&amp;AS[[#This Row],[Reporting Year]]&amp;"; "&amp;P2395&amp;AS[[#This Row],[Insurance Category Code]]&amp;"; "&amp;Q2395&amp;AS[[#This Row],[Large Provider Entity Code]]&amp;"; "&amp;R2395&amp;AS[[#This Row],[Age Band Code]]&amp;"; "&amp;S2395&amp;AS[[#This Row],[Sex Code]]</f>
        <v xml:space="preserve">Insurer Code ; Reporting Year ; Insurance Category Code ; Large Provider Entity Code ; Age Band Code ; Sex Code </v>
      </c>
      <c r="N2395" s="345" t="s">
        <v>207</v>
      </c>
      <c r="O2395" s="345" t="s">
        <v>208</v>
      </c>
      <c r="P2395" s="345" t="s">
        <v>209</v>
      </c>
      <c r="Q2395" s="345" t="s">
        <v>210</v>
      </c>
      <c r="R2395" s="345" t="s">
        <v>223</v>
      </c>
      <c r="S2395" s="345" t="s">
        <v>224</v>
      </c>
    </row>
    <row r="2396" spans="1:19" x14ac:dyDescent="0.25">
      <c r="A2396" s="311"/>
      <c r="B2396" s="312"/>
      <c r="C2396" s="312"/>
      <c r="D2396" s="312"/>
      <c r="E2396" s="312"/>
      <c r="F2396" s="312"/>
      <c r="G2396" s="328"/>
      <c r="H2396" s="337"/>
      <c r="I2396" s="334"/>
      <c r="J2396" s="314"/>
      <c r="K2396" s="449"/>
      <c r="M2396" s="349" t="str">
        <f>N2396&amp;AS[[#This Row],[Insurer Code]]&amp;"; "&amp;O2396&amp;AS[[#This Row],[Reporting Year]]&amp;"; "&amp;P2396&amp;AS[[#This Row],[Insurance Category Code]]&amp;"; "&amp;Q2396&amp;AS[[#This Row],[Large Provider Entity Code]]&amp;"; "&amp;R2396&amp;AS[[#This Row],[Age Band Code]]&amp;"; "&amp;S2396&amp;AS[[#This Row],[Sex Code]]</f>
        <v xml:space="preserve">Insurer Code ; Reporting Year ; Insurance Category Code ; Large Provider Entity Code ; Age Band Code ; Sex Code </v>
      </c>
      <c r="N2396" s="345" t="s">
        <v>207</v>
      </c>
      <c r="O2396" s="345" t="s">
        <v>208</v>
      </c>
      <c r="P2396" s="345" t="s">
        <v>209</v>
      </c>
      <c r="Q2396" s="345" t="s">
        <v>210</v>
      </c>
      <c r="R2396" s="345" t="s">
        <v>223</v>
      </c>
      <c r="S2396" s="345" t="s">
        <v>224</v>
      </c>
    </row>
    <row r="2397" spans="1:19" x14ac:dyDescent="0.25">
      <c r="A2397" s="311"/>
      <c r="B2397" s="312"/>
      <c r="C2397" s="312"/>
      <c r="D2397" s="312"/>
      <c r="E2397" s="312"/>
      <c r="F2397" s="312"/>
      <c r="G2397" s="328"/>
      <c r="H2397" s="337"/>
      <c r="I2397" s="334"/>
      <c r="J2397" s="314"/>
      <c r="K2397" s="449"/>
      <c r="M2397" s="349" t="str">
        <f>N2397&amp;AS[[#This Row],[Insurer Code]]&amp;"; "&amp;O2397&amp;AS[[#This Row],[Reporting Year]]&amp;"; "&amp;P2397&amp;AS[[#This Row],[Insurance Category Code]]&amp;"; "&amp;Q2397&amp;AS[[#This Row],[Large Provider Entity Code]]&amp;"; "&amp;R2397&amp;AS[[#This Row],[Age Band Code]]&amp;"; "&amp;S2397&amp;AS[[#This Row],[Sex Code]]</f>
        <v xml:space="preserve">Insurer Code ; Reporting Year ; Insurance Category Code ; Large Provider Entity Code ; Age Band Code ; Sex Code </v>
      </c>
      <c r="N2397" s="345" t="s">
        <v>207</v>
      </c>
      <c r="O2397" s="345" t="s">
        <v>208</v>
      </c>
      <c r="P2397" s="345" t="s">
        <v>209</v>
      </c>
      <c r="Q2397" s="345" t="s">
        <v>210</v>
      </c>
      <c r="R2397" s="345" t="s">
        <v>223</v>
      </c>
      <c r="S2397" s="345" t="s">
        <v>224</v>
      </c>
    </row>
    <row r="2398" spans="1:19" x14ac:dyDescent="0.25">
      <c r="A2398" s="311"/>
      <c r="B2398" s="312"/>
      <c r="C2398" s="312"/>
      <c r="D2398" s="312"/>
      <c r="E2398" s="312"/>
      <c r="F2398" s="312"/>
      <c r="G2398" s="328"/>
      <c r="H2398" s="337"/>
      <c r="I2398" s="334"/>
      <c r="J2398" s="314"/>
      <c r="K2398" s="449"/>
      <c r="M2398" s="349" t="str">
        <f>N2398&amp;AS[[#This Row],[Insurer Code]]&amp;"; "&amp;O2398&amp;AS[[#This Row],[Reporting Year]]&amp;"; "&amp;P2398&amp;AS[[#This Row],[Insurance Category Code]]&amp;"; "&amp;Q2398&amp;AS[[#This Row],[Large Provider Entity Code]]&amp;"; "&amp;R2398&amp;AS[[#This Row],[Age Band Code]]&amp;"; "&amp;S2398&amp;AS[[#This Row],[Sex Code]]</f>
        <v xml:space="preserve">Insurer Code ; Reporting Year ; Insurance Category Code ; Large Provider Entity Code ; Age Band Code ; Sex Code </v>
      </c>
      <c r="N2398" s="345" t="s">
        <v>207</v>
      </c>
      <c r="O2398" s="345" t="s">
        <v>208</v>
      </c>
      <c r="P2398" s="345" t="s">
        <v>209</v>
      </c>
      <c r="Q2398" s="345" t="s">
        <v>210</v>
      </c>
      <c r="R2398" s="345" t="s">
        <v>223</v>
      </c>
      <c r="S2398" s="345" t="s">
        <v>224</v>
      </c>
    </row>
    <row r="2399" spans="1:19" x14ac:dyDescent="0.25">
      <c r="A2399" s="311"/>
      <c r="B2399" s="312"/>
      <c r="C2399" s="312"/>
      <c r="D2399" s="312"/>
      <c r="E2399" s="312"/>
      <c r="F2399" s="312"/>
      <c r="G2399" s="328"/>
      <c r="H2399" s="337"/>
      <c r="I2399" s="334"/>
      <c r="J2399" s="314"/>
      <c r="K2399" s="449"/>
      <c r="M2399" s="349" t="str">
        <f>N2399&amp;AS[[#This Row],[Insurer Code]]&amp;"; "&amp;O2399&amp;AS[[#This Row],[Reporting Year]]&amp;"; "&amp;P2399&amp;AS[[#This Row],[Insurance Category Code]]&amp;"; "&amp;Q2399&amp;AS[[#This Row],[Large Provider Entity Code]]&amp;"; "&amp;R2399&amp;AS[[#This Row],[Age Band Code]]&amp;"; "&amp;S2399&amp;AS[[#This Row],[Sex Code]]</f>
        <v xml:space="preserve">Insurer Code ; Reporting Year ; Insurance Category Code ; Large Provider Entity Code ; Age Band Code ; Sex Code </v>
      </c>
      <c r="N2399" s="345" t="s">
        <v>207</v>
      </c>
      <c r="O2399" s="345" t="s">
        <v>208</v>
      </c>
      <c r="P2399" s="345" t="s">
        <v>209</v>
      </c>
      <c r="Q2399" s="345" t="s">
        <v>210</v>
      </c>
      <c r="R2399" s="345" t="s">
        <v>223</v>
      </c>
      <c r="S2399" s="345" t="s">
        <v>224</v>
      </c>
    </row>
    <row r="2400" spans="1:19" x14ac:dyDescent="0.25">
      <c r="A2400" s="311"/>
      <c r="B2400" s="312"/>
      <c r="C2400" s="312"/>
      <c r="D2400" s="312"/>
      <c r="E2400" s="312"/>
      <c r="F2400" s="312"/>
      <c r="G2400" s="328"/>
      <c r="H2400" s="337"/>
      <c r="I2400" s="334"/>
      <c r="J2400" s="314"/>
      <c r="K2400" s="449"/>
      <c r="M2400" s="349" t="str">
        <f>N2400&amp;AS[[#This Row],[Insurer Code]]&amp;"; "&amp;O2400&amp;AS[[#This Row],[Reporting Year]]&amp;"; "&amp;P2400&amp;AS[[#This Row],[Insurance Category Code]]&amp;"; "&amp;Q2400&amp;AS[[#This Row],[Large Provider Entity Code]]&amp;"; "&amp;R2400&amp;AS[[#This Row],[Age Band Code]]&amp;"; "&amp;S2400&amp;AS[[#This Row],[Sex Code]]</f>
        <v xml:space="preserve">Insurer Code ; Reporting Year ; Insurance Category Code ; Large Provider Entity Code ; Age Band Code ; Sex Code </v>
      </c>
      <c r="N2400" s="345" t="s">
        <v>207</v>
      </c>
      <c r="O2400" s="345" t="s">
        <v>208</v>
      </c>
      <c r="P2400" s="345" t="s">
        <v>209</v>
      </c>
      <c r="Q2400" s="345" t="s">
        <v>210</v>
      </c>
      <c r="R2400" s="345" t="s">
        <v>223</v>
      </c>
      <c r="S2400" s="345" t="s">
        <v>224</v>
      </c>
    </row>
    <row r="2401" spans="1:19" x14ac:dyDescent="0.25">
      <c r="A2401" s="311"/>
      <c r="B2401" s="312"/>
      <c r="C2401" s="312"/>
      <c r="D2401" s="312"/>
      <c r="E2401" s="312"/>
      <c r="F2401" s="312"/>
      <c r="G2401" s="328"/>
      <c r="H2401" s="337"/>
      <c r="I2401" s="334"/>
      <c r="J2401" s="314"/>
      <c r="K2401" s="449"/>
      <c r="M2401" s="349" t="str">
        <f>N2401&amp;AS[[#This Row],[Insurer Code]]&amp;"; "&amp;O2401&amp;AS[[#This Row],[Reporting Year]]&amp;"; "&amp;P2401&amp;AS[[#This Row],[Insurance Category Code]]&amp;"; "&amp;Q2401&amp;AS[[#This Row],[Large Provider Entity Code]]&amp;"; "&amp;R2401&amp;AS[[#This Row],[Age Band Code]]&amp;"; "&amp;S2401&amp;AS[[#This Row],[Sex Code]]</f>
        <v xml:space="preserve">Insurer Code ; Reporting Year ; Insurance Category Code ; Large Provider Entity Code ; Age Band Code ; Sex Code </v>
      </c>
      <c r="N2401" s="345" t="s">
        <v>207</v>
      </c>
      <c r="O2401" s="345" t="s">
        <v>208</v>
      </c>
      <c r="P2401" s="345" t="s">
        <v>209</v>
      </c>
      <c r="Q2401" s="345" t="s">
        <v>210</v>
      </c>
      <c r="R2401" s="345" t="s">
        <v>223</v>
      </c>
      <c r="S2401" s="345" t="s">
        <v>224</v>
      </c>
    </row>
    <row r="2402" spans="1:19" x14ac:dyDescent="0.25">
      <c r="A2402" s="311"/>
      <c r="B2402" s="312"/>
      <c r="C2402" s="312"/>
      <c r="D2402" s="312"/>
      <c r="E2402" s="312"/>
      <c r="F2402" s="312"/>
      <c r="G2402" s="328"/>
      <c r="H2402" s="337"/>
      <c r="I2402" s="334"/>
      <c r="J2402" s="314"/>
      <c r="K2402" s="449"/>
      <c r="M2402" s="349" t="str">
        <f>N2402&amp;AS[[#This Row],[Insurer Code]]&amp;"; "&amp;O2402&amp;AS[[#This Row],[Reporting Year]]&amp;"; "&amp;P2402&amp;AS[[#This Row],[Insurance Category Code]]&amp;"; "&amp;Q2402&amp;AS[[#This Row],[Large Provider Entity Code]]&amp;"; "&amp;R2402&amp;AS[[#This Row],[Age Band Code]]&amp;"; "&amp;S2402&amp;AS[[#This Row],[Sex Code]]</f>
        <v xml:space="preserve">Insurer Code ; Reporting Year ; Insurance Category Code ; Large Provider Entity Code ; Age Band Code ; Sex Code </v>
      </c>
      <c r="N2402" s="345" t="s">
        <v>207</v>
      </c>
      <c r="O2402" s="345" t="s">
        <v>208</v>
      </c>
      <c r="P2402" s="345" t="s">
        <v>209</v>
      </c>
      <c r="Q2402" s="345" t="s">
        <v>210</v>
      </c>
      <c r="R2402" s="345" t="s">
        <v>223</v>
      </c>
      <c r="S2402" s="345" t="s">
        <v>224</v>
      </c>
    </row>
    <row r="2403" spans="1:19" x14ac:dyDescent="0.25">
      <c r="A2403" s="311"/>
      <c r="B2403" s="312"/>
      <c r="C2403" s="312"/>
      <c r="D2403" s="312"/>
      <c r="E2403" s="312"/>
      <c r="F2403" s="312"/>
      <c r="G2403" s="328"/>
      <c r="H2403" s="337"/>
      <c r="I2403" s="334"/>
      <c r="J2403" s="314"/>
      <c r="K2403" s="449"/>
      <c r="M2403" s="349" t="str">
        <f>N2403&amp;AS[[#This Row],[Insurer Code]]&amp;"; "&amp;O2403&amp;AS[[#This Row],[Reporting Year]]&amp;"; "&amp;P2403&amp;AS[[#This Row],[Insurance Category Code]]&amp;"; "&amp;Q2403&amp;AS[[#This Row],[Large Provider Entity Code]]&amp;"; "&amp;R2403&amp;AS[[#This Row],[Age Band Code]]&amp;"; "&amp;S2403&amp;AS[[#This Row],[Sex Code]]</f>
        <v xml:space="preserve">Insurer Code ; Reporting Year ; Insurance Category Code ; Large Provider Entity Code ; Age Band Code ; Sex Code </v>
      </c>
      <c r="N2403" s="345" t="s">
        <v>207</v>
      </c>
      <c r="O2403" s="345" t="s">
        <v>208</v>
      </c>
      <c r="P2403" s="345" t="s">
        <v>209</v>
      </c>
      <c r="Q2403" s="345" t="s">
        <v>210</v>
      </c>
      <c r="R2403" s="345" t="s">
        <v>223</v>
      </c>
      <c r="S2403" s="345" t="s">
        <v>224</v>
      </c>
    </row>
    <row r="2404" spans="1:19" x14ac:dyDescent="0.25">
      <c r="A2404" s="311"/>
      <c r="B2404" s="312"/>
      <c r="C2404" s="312"/>
      <c r="D2404" s="312"/>
      <c r="E2404" s="312"/>
      <c r="F2404" s="312"/>
      <c r="G2404" s="328"/>
      <c r="H2404" s="337"/>
      <c r="I2404" s="334"/>
      <c r="J2404" s="314"/>
      <c r="K2404" s="449"/>
      <c r="M2404" s="349" t="str">
        <f>N2404&amp;AS[[#This Row],[Insurer Code]]&amp;"; "&amp;O2404&amp;AS[[#This Row],[Reporting Year]]&amp;"; "&amp;P2404&amp;AS[[#This Row],[Insurance Category Code]]&amp;"; "&amp;Q2404&amp;AS[[#This Row],[Large Provider Entity Code]]&amp;"; "&amp;R2404&amp;AS[[#This Row],[Age Band Code]]&amp;"; "&amp;S2404&amp;AS[[#This Row],[Sex Code]]</f>
        <v xml:space="preserve">Insurer Code ; Reporting Year ; Insurance Category Code ; Large Provider Entity Code ; Age Band Code ; Sex Code </v>
      </c>
      <c r="N2404" s="345" t="s">
        <v>207</v>
      </c>
      <c r="O2404" s="345" t="s">
        <v>208</v>
      </c>
      <c r="P2404" s="345" t="s">
        <v>209</v>
      </c>
      <c r="Q2404" s="345" t="s">
        <v>210</v>
      </c>
      <c r="R2404" s="345" t="s">
        <v>223</v>
      </c>
      <c r="S2404" s="345" t="s">
        <v>224</v>
      </c>
    </row>
    <row r="2405" spans="1:19" x14ac:dyDescent="0.25">
      <c r="A2405" s="311"/>
      <c r="B2405" s="312"/>
      <c r="C2405" s="312"/>
      <c r="D2405" s="312"/>
      <c r="E2405" s="312"/>
      <c r="F2405" s="312"/>
      <c r="G2405" s="328"/>
      <c r="H2405" s="337"/>
      <c r="I2405" s="334"/>
      <c r="J2405" s="314"/>
      <c r="K2405" s="449"/>
      <c r="M2405" s="349" t="str">
        <f>N2405&amp;AS[[#This Row],[Insurer Code]]&amp;"; "&amp;O2405&amp;AS[[#This Row],[Reporting Year]]&amp;"; "&amp;P2405&amp;AS[[#This Row],[Insurance Category Code]]&amp;"; "&amp;Q2405&amp;AS[[#This Row],[Large Provider Entity Code]]&amp;"; "&amp;R2405&amp;AS[[#This Row],[Age Band Code]]&amp;"; "&amp;S2405&amp;AS[[#This Row],[Sex Code]]</f>
        <v xml:space="preserve">Insurer Code ; Reporting Year ; Insurance Category Code ; Large Provider Entity Code ; Age Band Code ; Sex Code </v>
      </c>
      <c r="N2405" s="345" t="s">
        <v>207</v>
      </c>
      <c r="O2405" s="345" t="s">
        <v>208</v>
      </c>
      <c r="P2405" s="345" t="s">
        <v>209</v>
      </c>
      <c r="Q2405" s="345" t="s">
        <v>210</v>
      </c>
      <c r="R2405" s="345" t="s">
        <v>223</v>
      </c>
      <c r="S2405" s="345" t="s">
        <v>224</v>
      </c>
    </row>
    <row r="2406" spans="1:19" x14ac:dyDescent="0.25">
      <c r="A2406" s="311"/>
      <c r="B2406" s="312"/>
      <c r="C2406" s="312"/>
      <c r="D2406" s="312"/>
      <c r="E2406" s="312"/>
      <c r="F2406" s="312"/>
      <c r="G2406" s="328"/>
      <c r="H2406" s="337"/>
      <c r="I2406" s="334"/>
      <c r="J2406" s="314"/>
      <c r="K2406" s="449"/>
      <c r="M2406" s="349" t="str">
        <f>N2406&amp;AS[[#This Row],[Insurer Code]]&amp;"; "&amp;O2406&amp;AS[[#This Row],[Reporting Year]]&amp;"; "&amp;P2406&amp;AS[[#This Row],[Insurance Category Code]]&amp;"; "&amp;Q2406&amp;AS[[#This Row],[Large Provider Entity Code]]&amp;"; "&amp;R2406&amp;AS[[#This Row],[Age Band Code]]&amp;"; "&amp;S2406&amp;AS[[#This Row],[Sex Code]]</f>
        <v xml:space="preserve">Insurer Code ; Reporting Year ; Insurance Category Code ; Large Provider Entity Code ; Age Band Code ; Sex Code </v>
      </c>
      <c r="N2406" s="345" t="s">
        <v>207</v>
      </c>
      <c r="O2406" s="345" t="s">
        <v>208</v>
      </c>
      <c r="P2406" s="345" t="s">
        <v>209</v>
      </c>
      <c r="Q2406" s="345" t="s">
        <v>210</v>
      </c>
      <c r="R2406" s="345" t="s">
        <v>223</v>
      </c>
      <c r="S2406" s="345" t="s">
        <v>224</v>
      </c>
    </row>
    <row r="2407" spans="1:19" x14ac:dyDescent="0.25">
      <c r="A2407" s="311"/>
      <c r="B2407" s="312"/>
      <c r="C2407" s="312"/>
      <c r="D2407" s="312"/>
      <c r="E2407" s="312"/>
      <c r="F2407" s="312"/>
      <c r="G2407" s="328"/>
      <c r="H2407" s="337"/>
      <c r="I2407" s="334"/>
      <c r="J2407" s="314"/>
      <c r="K2407" s="449"/>
      <c r="M2407" s="349" t="str">
        <f>N2407&amp;AS[[#This Row],[Insurer Code]]&amp;"; "&amp;O2407&amp;AS[[#This Row],[Reporting Year]]&amp;"; "&amp;P2407&amp;AS[[#This Row],[Insurance Category Code]]&amp;"; "&amp;Q2407&amp;AS[[#This Row],[Large Provider Entity Code]]&amp;"; "&amp;R2407&amp;AS[[#This Row],[Age Band Code]]&amp;"; "&amp;S2407&amp;AS[[#This Row],[Sex Code]]</f>
        <v xml:space="preserve">Insurer Code ; Reporting Year ; Insurance Category Code ; Large Provider Entity Code ; Age Band Code ; Sex Code </v>
      </c>
      <c r="N2407" s="345" t="s">
        <v>207</v>
      </c>
      <c r="O2407" s="345" t="s">
        <v>208</v>
      </c>
      <c r="P2407" s="345" t="s">
        <v>209</v>
      </c>
      <c r="Q2407" s="345" t="s">
        <v>210</v>
      </c>
      <c r="R2407" s="345" t="s">
        <v>223</v>
      </c>
      <c r="S2407" s="345" t="s">
        <v>224</v>
      </c>
    </row>
    <row r="2408" spans="1:19" x14ac:dyDescent="0.25">
      <c r="A2408" s="311"/>
      <c r="B2408" s="312"/>
      <c r="C2408" s="312"/>
      <c r="D2408" s="312"/>
      <c r="E2408" s="312"/>
      <c r="F2408" s="312"/>
      <c r="G2408" s="328"/>
      <c r="H2408" s="337"/>
      <c r="I2408" s="334"/>
      <c r="J2408" s="314"/>
      <c r="K2408" s="449"/>
      <c r="M2408" s="349" t="str">
        <f>N2408&amp;AS[[#This Row],[Insurer Code]]&amp;"; "&amp;O2408&amp;AS[[#This Row],[Reporting Year]]&amp;"; "&amp;P2408&amp;AS[[#This Row],[Insurance Category Code]]&amp;"; "&amp;Q2408&amp;AS[[#This Row],[Large Provider Entity Code]]&amp;"; "&amp;R2408&amp;AS[[#This Row],[Age Band Code]]&amp;"; "&amp;S2408&amp;AS[[#This Row],[Sex Code]]</f>
        <v xml:space="preserve">Insurer Code ; Reporting Year ; Insurance Category Code ; Large Provider Entity Code ; Age Band Code ; Sex Code </v>
      </c>
      <c r="N2408" s="345" t="s">
        <v>207</v>
      </c>
      <c r="O2408" s="345" t="s">
        <v>208</v>
      </c>
      <c r="P2408" s="345" t="s">
        <v>209</v>
      </c>
      <c r="Q2408" s="345" t="s">
        <v>210</v>
      </c>
      <c r="R2408" s="345" t="s">
        <v>223</v>
      </c>
      <c r="S2408" s="345" t="s">
        <v>224</v>
      </c>
    </row>
    <row r="2409" spans="1:19" x14ac:dyDescent="0.25">
      <c r="A2409" s="311"/>
      <c r="B2409" s="312"/>
      <c r="C2409" s="312"/>
      <c r="D2409" s="312"/>
      <c r="E2409" s="312"/>
      <c r="F2409" s="312"/>
      <c r="G2409" s="328"/>
      <c r="H2409" s="337"/>
      <c r="I2409" s="334"/>
      <c r="J2409" s="314"/>
      <c r="K2409" s="449"/>
      <c r="M2409" s="349" t="str">
        <f>N2409&amp;AS[[#This Row],[Insurer Code]]&amp;"; "&amp;O2409&amp;AS[[#This Row],[Reporting Year]]&amp;"; "&amp;P2409&amp;AS[[#This Row],[Insurance Category Code]]&amp;"; "&amp;Q2409&amp;AS[[#This Row],[Large Provider Entity Code]]&amp;"; "&amp;R2409&amp;AS[[#This Row],[Age Band Code]]&amp;"; "&amp;S2409&amp;AS[[#This Row],[Sex Code]]</f>
        <v xml:space="preserve">Insurer Code ; Reporting Year ; Insurance Category Code ; Large Provider Entity Code ; Age Band Code ; Sex Code </v>
      </c>
      <c r="N2409" s="345" t="s">
        <v>207</v>
      </c>
      <c r="O2409" s="345" t="s">
        <v>208</v>
      </c>
      <c r="P2409" s="345" t="s">
        <v>209</v>
      </c>
      <c r="Q2409" s="345" t="s">
        <v>210</v>
      </c>
      <c r="R2409" s="345" t="s">
        <v>223</v>
      </c>
      <c r="S2409" s="345" t="s">
        <v>224</v>
      </c>
    </row>
    <row r="2410" spans="1:19" x14ac:dyDescent="0.25">
      <c r="A2410" s="311"/>
      <c r="B2410" s="312"/>
      <c r="C2410" s="312"/>
      <c r="D2410" s="312"/>
      <c r="E2410" s="312"/>
      <c r="F2410" s="312"/>
      <c r="G2410" s="328"/>
      <c r="H2410" s="337"/>
      <c r="I2410" s="334"/>
      <c r="J2410" s="314"/>
      <c r="K2410" s="449"/>
      <c r="M2410" s="349" t="str">
        <f>N2410&amp;AS[[#This Row],[Insurer Code]]&amp;"; "&amp;O2410&amp;AS[[#This Row],[Reporting Year]]&amp;"; "&amp;P2410&amp;AS[[#This Row],[Insurance Category Code]]&amp;"; "&amp;Q2410&amp;AS[[#This Row],[Large Provider Entity Code]]&amp;"; "&amp;R2410&amp;AS[[#This Row],[Age Band Code]]&amp;"; "&amp;S2410&amp;AS[[#This Row],[Sex Code]]</f>
        <v xml:space="preserve">Insurer Code ; Reporting Year ; Insurance Category Code ; Large Provider Entity Code ; Age Band Code ; Sex Code </v>
      </c>
      <c r="N2410" s="345" t="s">
        <v>207</v>
      </c>
      <c r="O2410" s="345" t="s">
        <v>208</v>
      </c>
      <c r="P2410" s="345" t="s">
        <v>209</v>
      </c>
      <c r="Q2410" s="345" t="s">
        <v>210</v>
      </c>
      <c r="R2410" s="345" t="s">
        <v>223</v>
      </c>
      <c r="S2410" s="345" t="s">
        <v>224</v>
      </c>
    </row>
    <row r="2411" spans="1:19" x14ac:dyDescent="0.25">
      <c r="A2411" s="311"/>
      <c r="B2411" s="312"/>
      <c r="C2411" s="312"/>
      <c r="D2411" s="312"/>
      <c r="E2411" s="312"/>
      <c r="F2411" s="312"/>
      <c r="G2411" s="328"/>
      <c r="H2411" s="337"/>
      <c r="I2411" s="334"/>
      <c r="J2411" s="314"/>
      <c r="K2411" s="449"/>
      <c r="M2411" s="349" t="str">
        <f>N2411&amp;AS[[#This Row],[Insurer Code]]&amp;"; "&amp;O2411&amp;AS[[#This Row],[Reporting Year]]&amp;"; "&amp;P2411&amp;AS[[#This Row],[Insurance Category Code]]&amp;"; "&amp;Q2411&amp;AS[[#This Row],[Large Provider Entity Code]]&amp;"; "&amp;R2411&amp;AS[[#This Row],[Age Band Code]]&amp;"; "&amp;S2411&amp;AS[[#This Row],[Sex Code]]</f>
        <v xml:space="preserve">Insurer Code ; Reporting Year ; Insurance Category Code ; Large Provider Entity Code ; Age Band Code ; Sex Code </v>
      </c>
      <c r="N2411" s="345" t="s">
        <v>207</v>
      </c>
      <c r="O2411" s="345" t="s">
        <v>208</v>
      </c>
      <c r="P2411" s="345" t="s">
        <v>209</v>
      </c>
      <c r="Q2411" s="345" t="s">
        <v>210</v>
      </c>
      <c r="R2411" s="345" t="s">
        <v>223</v>
      </c>
      <c r="S2411" s="345" t="s">
        <v>224</v>
      </c>
    </row>
    <row r="2412" spans="1:19" x14ac:dyDescent="0.25">
      <c r="A2412" s="311"/>
      <c r="B2412" s="312"/>
      <c r="C2412" s="312"/>
      <c r="D2412" s="312"/>
      <c r="E2412" s="312"/>
      <c r="F2412" s="312"/>
      <c r="G2412" s="328"/>
      <c r="H2412" s="337"/>
      <c r="I2412" s="334"/>
      <c r="J2412" s="314"/>
      <c r="K2412" s="449"/>
      <c r="M2412" s="349" t="str">
        <f>N2412&amp;AS[[#This Row],[Insurer Code]]&amp;"; "&amp;O2412&amp;AS[[#This Row],[Reporting Year]]&amp;"; "&amp;P2412&amp;AS[[#This Row],[Insurance Category Code]]&amp;"; "&amp;Q2412&amp;AS[[#This Row],[Large Provider Entity Code]]&amp;"; "&amp;R2412&amp;AS[[#This Row],[Age Band Code]]&amp;"; "&amp;S2412&amp;AS[[#This Row],[Sex Code]]</f>
        <v xml:space="preserve">Insurer Code ; Reporting Year ; Insurance Category Code ; Large Provider Entity Code ; Age Band Code ; Sex Code </v>
      </c>
      <c r="N2412" s="345" t="s">
        <v>207</v>
      </c>
      <c r="O2412" s="345" t="s">
        <v>208</v>
      </c>
      <c r="P2412" s="345" t="s">
        <v>209</v>
      </c>
      <c r="Q2412" s="345" t="s">
        <v>210</v>
      </c>
      <c r="R2412" s="345" t="s">
        <v>223</v>
      </c>
      <c r="S2412" s="345" t="s">
        <v>224</v>
      </c>
    </row>
    <row r="2413" spans="1:19" x14ac:dyDescent="0.25">
      <c r="A2413" s="311"/>
      <c r="B2413" s="312"/>
      <c r="C2413" s="312"/>
      <c r="D2413" s="312"/>
      <c r="E2413" s="312"/>
      <c r="F2413" s="312"/>
      <c r="G2413" s="328"/>
      <c r="H2413" s="337"/>
      <c r="I2413" s="334"/>
      <c r="J2413" s="314"/>
      <c r="K2413" s="449"/>
      <c r="M2413" s="349" t="str">
        <f>N2413&amp;AS[[#This Row],[Insurer Code]]&amp;"; "&amp;O2413&amp;AS[[#This Row],[Reporting Year]]&amp;"; "&amp;P2413&amp;AS[[#This Row],[Insurance Category Code]]&amp;"; "&amp;Q2413&amp;AS[[#This Row],[Large Provider Entity Code]]&amp;"; "&amp;R2413&amp;AS[[#This Row],[Age Band Code]]&amp;"; "&amp;S2413&amp;AS[[#This Row],[Sex Code]]</f>
        <v xml:space="preserve">Insurer Code ; Reporting Year ; Insurance Category Code ; Large Provider Entity Code ; Age Band Code ; Sex Code </v>
      </c>
      <c r="N2413" s="345" t="s">
        <v>207</v>
      </c>
      <c r="O2413" s="345" t="s">
        <v>208</v>
      </c>
      <c r="P2413" s="345" t="s">
        <v>209</v>
      </c>
      <c r="Q2413" s="345" t="s">
        <v>210</v>
      </c>
      <c r="R2413" s="345" t="s">
        <v>223</v>
      </c>
      <c r="S2413" s="345" t="s">
        <v>224</v>
      </c>
    </row>
    <row r="2414" spans="1:19" x14ac:dyDescent="0.25">
      <c r="A2414" s="311"/>
      <c r="B2414" s="312"/>
      <c r="C2414" s="312"/>
      <c r="D2414" s="312"/>
      <c r="E2414" s="312"/>
      <c r="F2414" s="312"/>
      <c r="G2414" s="328"/>
      <c r="H2414" s="337"/>
      <c r="I2414" s="334"/>
      <c r="J2414" s="314"/>
      <c r="K2414" s="449"/>
      <c r="M2414" s="349" t="str">
        <f>N2414&amp;AS[[#This Row],[Insurer Code]]&amp;"; "&amp;O2414&amp;AS[[#This Row],[Reporting Year]]&amp;"; "&amp;P2414&amp;AS[[#This Row],[Insurance Category Code]]&amp;"; "&amp;Q2414&amp;AS[[#This Row],[Large Provider Entity Code]]&amp;"; "&amp;R2414&amp;AS[[#This Row],[Age Band Code]]&amp;"; "&amp;S2414&amp;AS[[#This Row],[Sex Code]]</f>
        <v xml:space="preserve">Insurer Code ; Reporting Year ; Insurance Category Code ; Large Provider Entity Code ; Age Band Code ; Sex Code </v>
      </c>
      <c r="N2414" s="345" t="s">
        <v>207</v>
      </c>
      <c r="O2414" s="345" t="s">
        <v>208</v>
      </c>
      <c r="P2414" s="345" t="s">
        <v>209</v>
      </c>
      <c r="Q2414" s="345" t="s">
        <v>210</v>
      </c>
      <c r="R2414" s="345" t="s">
        <v>223</v>
      </c>
      <c r="S2414" s="345" t="s">
        <v>224</v>
      </c>
    </row>
    <row r="2415" spans="1:19" x14ac:dyDescent="0.25">
      <c r="A2415" s="311"/>
      <c r="B2415" s="312"/>
      <c r="C2415" s="312"/>
      <c r="D2415" s="312"/>
      <c r="E2415" s="312"/>
      <c r="F2415" s="312"/>
      <c r="G2415" s="328"/>
      <c r="H2415" s="337"/>
      <c r="I2415" s="334"/>
      <c r="J2415" s="314"/>
      <c r="K2415" s="449"/>
      <c r="M2415" s="349" t="str">
        <f>N2415&amp;AS[[#This Row],[Insurer Code]]&amp;"; "&amp;O2415&amp;AS[[#This Row],[Reporting Year]]&amp;"; "&amp;P2415&amp;AS[[#This Row],[Insurance Category Code]]&amp;"; "&amp;Q2415&amp;AS[[#This Row],[Large Provider Entity Code]]&amp;"; "&amp;R2415&amp;AS[[#This Row],[Age Band Code]]&amp;"; "&amp;S2415&amp;AS[[#This Row],[Sex Code]]</f>
        <v xml:space="preserve">Insurer Code ; Reporting Year ; Insurance Category Code ; Large Provider Entity Code ; Age Band Code ; Sex Code </v>
      </c>
      <c r="N2415" s="345" t="s">
        <v>207</v>
      </c>
      <c r="O2415" s="345" t="s">
        <v>208</v>
      </c>
      <c r="P2415" s="345" t="s">
        <v>209</v>
      </c>
      <c r="Q2415" s="345" t="s">
        <v>210</v>
      </c>
      <c r="R2415" s="345" t="s">
        <v>223</v>
      </c>
      <c r="S2415" s="345" t="s">
        <v>224</v>
      </c>
    </row>
    <row r="2416" spans="1:19" x14ac:dyDescent="0.25">
      <c r="A2416" s="311"/>
      <c r="B2416" s="312"/>
      <c r="C2416" s="312"/>
      <c r="D2416" s="312"/>
      <c r="E2416" s="312"/>
      <c r="F2416" s="312"/>
      <c r="G2416" s="328"/>
      <c r="H2416" s="337"/>
      <c r="I2416" s="334"/>
      <c r="J2416" s="314"/>
      <c r="K2416" s="449"/>
      <c r="M2416" s="349" t="str">
        <f>N2416&amp;AS[[#This Row],[Insurer Code]]&amp;"; "&amp;O2416&amp;AS[[#This Row],[Reporting Year]]&amp;"; "&amp;P2416&amp;AS[[#This Row],[Insurance Category Code]]&amp;"; "&amp;Q2416&amp;AS[[#This Row],[Large Provider Entity Code]]&amp;"; "&amp;R2416&amp;AS[[#This Row],[Age Band Code]]&amp;"; "&amp;S2416&amp;AS[[#This Row],[Sex Code]]</f>
        <v xml:space="preserve">Insurer Code ; Reporting Year ; Insurance Category Code ; Large Provider Entity Code ; Age Band Code ; Sex Code </v>
      </c>
      <c r="N2416" s="345" t="s">
        <v>207</v>
      </c>
      <c r="O2416" s="345" t="s">
        <v>208</v>
      </c>
      <c r="P2416" s="345" t="s">
        <v>209</v>
      </c>
      <c r="Q2416" s="345" t="s">
        <v>210</v>
      </c>
      <c r="R2416" s="345" t="s">
        <v>223</v>
      </c>
      <c r="S2416" s="345" t="s">
        <v>224</v>
      </c>
    </row>
    <row r="2417" spans="1:19" x14ac:dyDescent="0.25">
      <c r="A2417" s="311"/>
      <c r="B2417" s="312"/>
      <c r="C2417" s="312"/>
      <c r="D2417" s="312"/>
      <c r="E2417" s="312"/>
      <c r="F2417" s="312"/>
      <c r="G2417" s="328"/>
      <c r="H2417" s="337"/>
      <c r="I2417" s="334"/>
      <c r="J2417" s="314"/>
      <c r="K2417" s="449"/>
      <c r="M2417" s="349" t="str">
        <f>N2417&amp;AS[[#This Row],[Insurer Code]]&amp;"; "&amp;O2417&amp;AS[[#This Row],[Reporting Year]]&amp;"; "&amp;P2417&amp;AS[[#This Row],[Insurance Category Code]]&amp;"; "&amp;Q2417&amp;AS[[#This Row],[Large Provider Entity Code]]&amp;"; "&amp;R2417&amp;AS[[#This Row],[Age Band Code]]&amp;"; "&amp;S2417&amp;AS[[#This Row],[Sex Code]]</f>
        <v xml:space="preserve">Insurer Code ; Reporting Year ; Insurance Category Code ; Large Provider Entity Code ; Age Band Code ; Sex Code </v>
      </c>
      <c r="N2417" s="345" t="s">
        <v>207</v>
      </c>
      <c r="O2417" s="345" t="s">
        <v>208</v>
      </c>
      <c r="P2417" s="345" t="s">
        <v>209</v>
      </c>
      <c r="Q2417" s="345" t="s">
        <v>210</v>
      </c>
      <c r="R2417" s="345" t="s">
        <v>223</v>
      </c>
      <c r="S2417" s="345" t="s">
        <v>224</v>
      </c>
    </row>
    <row r="2418" spans="1:19" x14ac:dyDescent="0.25">
      <c r="A2418" s="311"/>
      <c r="B2418" s="312"/>
      <c r="C2418" s="312"/>
      <c r="D2418" s="312"/>
      <c r="E2418" s="312"/>
      <c r="F2418" s="312"/>
      <c r="G2418" s="328"/>
      <c r="H2418" s="337"/>
      <c r="I2418" s="334"/>
      <c r="J2418" s="314"/>
      <c r="K2418" s="449"/>
      <c r="M2418" s="349" t="str">
        <f>N2418&amp;AS[[#This Row],[Insurer Code]]&amp;"; "&amp;O2418&amp;AS[[#This Row],[Reporting Year]]&amp;"; "&amp;P2418&amp;AS[[#This Row],[Insurance Category Code]]&amp;"; "&amp;Q2418&amp;AS[[#This Row],[Large Provider Entity Code]]&amp;"; "&amp;R2418&amp;AS[[#This Row],[Age Band Code]]&amp;"; "&amp;S2418&amp;AS[[#This Row],[Sex Code]]</f>
        <v xml:space="preserve">Insurer Code ; Reporting Year ; Insurance Category Code ; Large Provider Entity Code ; Age Band Code ; Sex Code </v>
      </c>
      <c r="N2418" s="345" t="s">
        <v>207</v>
      </c>
      <c r="O2418" s="345" t="s">
        <v>208</v>
      </c>
      <c r="P2418" s="345" t="s">
        <v>209</v>
      </c>
      <c r="Q2418" s="345" t="s">
        <v>210</v>
      </c>
      <c r="R2418" s="345" t="s">
        <v>223</v>
      </c>
      <c r="S2418" s="345" t="s">
        <v>224</v>
      </c>
    </row>
    <row r="2419" spans="1:19" x14ac:dyDescent="0.25">
      <c r="A2419" s="311"/>
      <c r="B2419" s="312"/>
      <c r="C2419" s="312"/>
      <c r="D2419" s="312"/>
      <c r="E2419" s="312"/>
      <c r="F2419" s="312"/>
      <c r="G2419" s="328"/>
      <c r="H2419" s="337"/>
      <c r="I2419" s="334"/>
      <c r="J2419" s="314"/>
      <c r="K2419" s="449"/>
      <c r="M2419" s="349" t="str">
        <f>N2419&amp;AS[[#This Row],[Insurer Code]]&amp;"; "&amp;O2419&amp;AS[[#This Row],[Reporting Year]]&amp;"; "&amp;P2419&amp;AS[[#This Row],[Insurance Category Code]]&amp;"; "&amp;Q2419&amp;AS[[#This Row],[Large Provider Entity Code]]&amp;"; "&amp;R2419&amp;AS[[#This Row],[Age Band Code]]&amp;"; "&amp;S2419&amp;AS[[#This Row],[Sex Code]]</f>
        <v xml:space="preserve">Insurer Code ; Reporting Year ; Insurance Category Code ; Large Provider Entity Code ; Age Band Code ; Sex Code </v>
      </c>
      <c r="N2419" s="345" t="s">
        <v>207</v>
      </c>
      <c r="O2419" s="345" t="s">
        <v>208</v>
      </c>
      <c r="P2419" s="345" t="s">
        <v>209</v>
      </c>
      <c r="Q2419" s="345" t="s">
        <v>210</v>
      </c>
      <c r="R2419" s="345" t="s">
        <v>223</v>
      </c>
      <c r="S2419" s="345" t="s">
        <v>224</v>
      </c>
    </row>
    <row r="2420" spans="1:19" x14ac:dyDescent="0.25">
      <c r="A2420" s="311"/>
      <c r="B2420" s="312"/>
      <c r="C2420" s="312"/>
      <c r="D2420" s="312"/>
      <c r="E2420" s="312"/>
      <c r="F2420" s="312"/>
      <c r="G2420" s="328"/>
      <c r="H2420" s="337"/>
      <c r="I2420" s="334"/>
      <c r="J2420" s="314"/>
      <c r="K2420" s="449"/>
      <c r="M2420" s="349" t="str">
        <f>N2420&amp;AS[[#This Row],[Insurer Code]]&amp;"; "&amp;O2420&amp;AS[[#This Row],[Reporting Year]]&amp;"; "&amp;P2420&amp;AS[[#This Row],[Insurance Category Code]]&amp;"; "&amp;Q2420&amp;AS[[#This Row],[Large Provider Entity Code]]&amp;"; "&amp;R2420&amp;AS[[#This Row],[Age Band Code]]&amp;"; "&amp;S2420&amp;AS[[#This Row],[Sex Code]]</f>
        <v xml:space="preserve">Insurer Code ; Reporting Year ; Insurance Category Code ; Large Provider Entity Code ; Age Band Code ; Sex Code </v>
      </c>
      <c r="N2420" s="345" t="s">
        <v>207</v>
      </c>
      <c r="O2420" s="345" t="s">
        <v>208</v>
      </c>
      <c r="P2420" s="345" t="s">
        <v>209</v>
      </c>
      <c r="Q2420" s="345" t="s">
        <v>210</v>
      </c>
      <c r="R2420" s="345" t="s">
        <v>223</v>
      </c>
      <c r="S2420" s="345" t="s">
        <v>224</v>
      </c>
    </row>
    <row r="2421" spans="1:19" x14ac:dyDescent="0.25">
      <c r="A2421" s="311"/>
      <c r="B2421" s="312"/>
      <c r="C2421" s="312"/>
      <c r="D2421" s="312"/>
      <c r="E2421" s="312"/>
      <c r="F2421" s="312"/>
      <c r="G2421" s="328"/>
      <c r="H2421" s="337"/>
      <c r="I2421" s="334"/>
      <c r="J2421" s="314"/>
      <c r="K2421" s="449"/>
      <c r="M2421" s="349" t="str">
        <f>N2421&amp;AS[[#This Row],[Insurer Code]]&amp;"; "&amp;O2421&amp;AS[[#This Row],[Reporting Year]]&amp;"; "&amp;P2421&amp;AS[[#This Row],[Insurance Category Code]]&amp;"; "&amp;Q2421&amp;AS[[#This Row],[Large Provider Entity Code]]&amp;"; "&amp;R2421&amp;AS[[#This Row],[Age Band Code]]&amp;"; "&amp;S2421&amp;AS[[#This Row],[Sex Code]]</f>
        <v xml:space="preserve">Insurer Code ; Reporting Year ; Insurance Category Code ; Large Provider Entity Code ; Age Band Code ; Sex Code </v>
      </c>
      <c r="N2421" s="345" t="s">
        <v>207</v>
      </c>
      <c r="O2421" s="345" t="s">
        <v>208</v>
      </c>
      <c r="P2421" s="345" t="s">
        <v>209</v>
      </c>
      <c r="Q2421" s="345" t="s">
        <v>210</v>
      </c>
      <c r="R2421" s="345" t="s">
        <v>223</v>
      </c>
      <c r="S2421" s="345" t="s">
        <v>224</v>
      </c>
    </row>
    <row r="2422" spans="1:19" x14ac:dyDescent="0.25">
      <c r="A2422" s="311"/>
      <c r="B2422" s="312"/>
      <c r="C2422" s="312"/>
      <c r="D2422" s="312"/>
      <c r="E2422" s="312"/>
      <c r="F2422" s="312"/>
      <c r="G2422" s="328"/>
      <c r="H2422" s="337"/>
      <c r="I2422" s="334"/>
      <c r="J2422" s="314"/>
      <c r="K2422" s="449"/>
      <c r="M2422" s="349" t="str">
        <f>N2422&amp;AS[[#This Row],[Insurer Code]]&amp;"; "&amp;O2422&amp;AS[[#This Row],[Reporting Year]]&amp;"; "&amp;P2422&amp;AS[[#This Row],[Insurance Category Code]]&amp;"; "&amp;Q2422&amp;AS[[#This Row],[Large Provider Entity Code]]&amp;"; "&amp;R2422&amp;AS[[#This Row],[Age Band Code]]&amp;"; "&amp;S2422&amp;AS[[#This Row],[Sex Code]]</f>
        <v xml:space="preserve">Insurer Code ; Reporting Year ; Insurance Category Code ; Large Provider Entity Code ; Age Band Code ; Sex Code </v>
      </c>
      <c r="N2422" s="345" t="s">
        <v>207</v>
      </c>
      <c r="O2422" s="345" t="s">
        <v>208</v>
      </c>
      <c r="P2422" s="345" t="s">
        <v>209</v>
      </c>
      <c r="Q2422" s="345" t="s">
        <v>210</v>
      </c>
      <c r="R2422" s="345" t="s">
        <v>223</v>
      </c>
      <c r="S2422" s="345" t="s">
        <v>224</v>
      </c>
    </row>
    <row r="2423" spans="1:19" x14ac:dyDescent="0.25">
      <c r="A2423" s="311"/>
      <c r="B2423" s="312"/>
      <c r="C2423" s="312"/>
      <c r="D2423" s="312"/>
      <c r="E2423" s="312"/>
      <c r="F2423" s="312"/>
      <c r="G2423" s="328"/>
      <c r="H2423" s="337"/>
      <c r="I2423" s="334"/>
      <c r="J2423" s="314"/>
      <c r="K2423" s="449"/>
      <c r="M2423" s="349" t="str">
        <f>N2423&amp;AS[[#This Row],[Insurer Code]]&amp;"; "&amp;O2423&amp;AS[[#This Row],[Reporting Year]]&amp;"; "&amp;P2423&amp;AS[[#This Row],[Insurance Category Code]]&amp;"; "&amp;Q2423&amp;AS[[#This Row],[Large Provider Entity Code]]&amp;"; "&amp;R2423&amp;AS[[#This Row],[Age Band Code]]&amp;"; "&amp;S2423&amp;AS[[#This Row],[Sex Code]]</f>
        <v xml:space="preserve">Insurer Code ; Reporting Year ; Insurance Category Code ; Large Provider Entity Code ; Age Band Code ; Sex Code </v>
      </c>
      <c r="N2423" s="345" t="s">
        <v>207</v>
      </c>
      <c r="O2423" s="345" t="s">
        <v>208</v>
      </c>
      <c r="P2423" s="345" t="s">
        <v>209</v>
      </c>
      <c r="Q2423" s="345" t="s">
        <v>210</v>
      </c>
      <c r="R2423" s="345" t="s">
        <v>223</v>
      </c>
      <c r="S2423" s="345" t="s">
        <v>224</v>
      </c>
    </row>
    <row r="2424" spans="1:19" x14ac:dyDescent="0.25">
      <c r="A2424" s="311"/>
      <c r="B2424" s="312"/>
      <c r="C2424" s="312"/>
      <c r="D2424" s="312"/>
      <c r="E2424" s="312"/>
      <c r="F2424" s="312"/>
      <c r="G2424" s="328"/>
      <c r="H2424" s="337"/>
      <c r="I2424" s="334"/>
      <c r="J2424" s="314"/>
      <c r="K2424" s="449"/>
      <c r="M2424" s="349" t="str">
        <f>N2424&amp;AS[[#This Row],[Insurer Code]]&amp;"; "&amp;O2424&amp;AS[[#This Row],[Reporting Year]]&amp;"; "&amp;P2424&amp;AS[[#This Row],[Insurance Category Code]]&amp;"; "&amp;Q2424&amp;AS[[#This Row],[Large Provider Entity Code]]&amp;"; "&amp;R2424&amp;AS[[#This Row],[Age Band Code]]&amp;"; "&amp;S2424&amp;AS[[#This Row],[Sex Code]]</f>
        <v xml:space="preserve">Insurer Code ; Reporting Year ; Insurance Category Code ; Large Provider Entity Code ; Age Band Code ; Sex Code </v>
      </c>
      <c r="N2424" s="345" t="s">
        <v>207</v>
      </c>
      <c r="O2424" s="345" t="s">
        <v>208</v>
      </c>
      <c r="P2424" s="345" t="s">
        <v>209</v>
      </c>
      <c r="Q2424" s="345" t="s">
        <v>210</v>
      </c>
      <c r="R2424" s="345" t="s">
        <v>223</v>
      </c>
      <c r="S2424" s="345" t="s">
        <v>224</v>
      </c>
    </row>
    <row r="2425" spans="1:19" x14ac:dyDescent="0.25">
      <c r="A2425" s="311"/>
      <c r="B2425" s="312"/>
      <c r="C2425" s="312"/>
      <c r="D2425" s="312"/>
      <c r="E2425" s="312"/>
      <c r="F2425" s="312"/>
      <c r="G2425" s="328"/>
      <c r="H2425" s="337"/>
      <c r="I2425" s="334"/>
      <c r="J2425" s="314"/>
      <c r="K2425" s="449"/>
      <c r="M2425" s="349" t="str">
        <f>N2425&amp;AS[[#This Row],[Insurer Code]]&amp;"; "&amp;O2425&amp;AS[[#This Row],[Reporting Year]]&amp;"; "&amp;P2425&amp;AS[[#This Row],[Insurance Category Code]]&amp;"; "&amp;Q2425&amp;AS[[#This Row],[Large Provider Entity Code]]&amp;"; "&amp;R2425&amp;AS[[#This Row],[Age Band Code]]&amp;"; "&amp;S2425&amp;AS[[#This Row],[Sex Code]]</f>
        <v xml:space="preserve">Insurer Code ; Reporting Year ; Insurance Category Code ; Large Provider Entity Code ; Age Band Code ; Sex Code </v>
      </c>
      <c r="N2425" s="345" t="s">
        <v>207</v>
      </c>
      <c r="O2425" s="345" t="s">
        <v>208</v>
      </c>
      <c r="P2425" s="345" t="s">
        <v>209</v>
      </c>
      <c r="Q2425" s="345" t="s">
        <v>210</v>
      </c>
      <c r="R2425" s="345" t="s">
        <v>223</v>
      </c>
      <c r="S2425" s="345" t="s">
        <v>224</v>
      </c>
    </row>
    <row r="2426" spans="1:19" x14ac:dyDescent="0.25">
      <c r="A2426" s="311"/>
      <c r="B2426" s="312"/>
      <c r="C2426" s="312"/>
      <c r="D2426" s="312"/>
      <c r="E2426" s="312"/>
      <c r="F2426" s="312"/>
      <c r="G2426" s="328"/>
      <c r="H2426" s="337"/>
      <c r="I2426" s="334"/>
      <c r="J2426" s="314"/>
      <c r="K2426" s="449"/>
      <c r="M2426" s="349" t="str">
        <f>N2426&amp;AS[[#This Row],[Insurer Code]]&amp;"; "&amp;O2426&amp;AS[[#This Row],[Reporting Year]]&amp;"; "&amp;P2426&amp;AS[[#This Row],[Insurance Category Code]]&amp;"; "&amp;Q2426&amp;AS[[#This Row],[Large Provider Entity Code]]&amp;"; "&amp;R2426&amp;AS[[#This Row],[Age Band Code]]&amp;"; "&amp;S2426&amp;AS[[#This Row],[Sex Code]]</f>
        <v xml:space="preserve">Insurer Code ; Reporting Year ; Insurance Category Code ; Large Provider Entity Code ; Age Band Code ; Sex Code </v>
      </c>
      <c r="N2426" s="345" t="s">
        <v>207</v>
      </c>
      <c r="O2426" s="345" t="s">
        <v>208</v>
      </c>
      <c r="P2426" s="345" t="s">
        <v>209</v>
      </c>
      <c r="Q2426" s="345" t="s">
        <v>210</v>
      </c>
      <c r="R2426" s="345" t="s">
        <v>223</v>
      </c>
      <c r="S2426" s="345" t="s">
        <v>224</v>
      </c>
    </row>
    <row r="2427" spans="1:19" x14ac:dyDescent="0.25">
      <c r="A2427" s="311"/>
      <c r="B2427" s="312"/>
      <c r="C2427" s="312"/>
      <c r="D2427" s="312"/>
      <c r="E2427" s="312"/>
      <c r="F2427" s="312"/>
      <c r="G2427" s="328"/>
      <c r="H2427" s="337"/>
      <c r="I2427" s="334"/>
      <c r="J2427" s="314"/>
      <c r="K2427" s="449"/>
      <c r="M2427" s="349" t="str">
        <f>N2427&amp;AS[[#This Row],[Insurer Code]]&amp;"; "&amp;O2427&amp;AS[[#This Row],[Reporting Year]]&amp;"; "&amp;P2427&amp;AS[[#This Row],[Insurance Category Code]]&amp;"; "&amp;Q2427&amp;AS[[#This Row],[Large Provider Entity Code]]&amp;"; "&amp;R2427&amp;AS[[#This Row],[Age Band Code]]&amp;"; "&amp;S2427&amp;AS[[#This Row],[Sex Code]]</f>
        <v xml:space="preserve">Insurer Code ; Reporting Year ; Insurance Category Code ; Large Provider Entity Code ; Age Band Code ; Sex Code </v>
      </c>
      <c r="N2427" s="345" t="s">
        <v>207</v>
      </c>
      <c r="O2427" s="345" t="s">
        <v>208</v>
      </c>
      <c r="P2427" s="345" t="s">
        <v>209</v>
      </c>
      <c r="Q2427" s="345" t="s">
        <v>210</v>
      </c>
      <c r="R2427" s="345" t="s">
        <v>223</v>
      </c>
      <c r="S2427" s="345" t="s">
        <v>224</v>
      </c>
    </row>
    <row r="2428" spans="1:19" x14ac:dyDescent="0.25">
      <c r="A2428" s="311"/>
      <c r="B2428" s="312"/>
      <c r="C2428" s="312"/>
      <c r="D2428" s="312"/>
      <c r="E2428" s="312"/>
      <c r="F2428" s="312"/>
      <c r="G2428" s="328"/>
      <c r="H2428" s="337"/>
      <c r="I2428" s="334"/>
      <c r="J2428" s="314"/>
      <c r="K2428" s="449"/>
      <c r="M2428" s="349" t="str">
        <f>N2428&amp;AS[[#This Row],[Insurer Code]]&amp;"; "&amp;O2428&amp;AS[[#This Row],[Reporting Year]]&amp;"; "&amp;P2428&amp;AS[[#This Row],[Insurance Category Code]]&amp;"; "&amp;Q2428&amp;AS[[#This Row],[Large Provider Entity Code]]&amp;"; "&amp;R2428&amp;AS[[#This Row],[Age Band Code]]&amp;"; "&amp;S2428&amp;AS[[#This Row],[Sex Code]]</f>
        <v xml:space="preserve">Insurer Code ; Reporting Year ; Insurance Category Code ; Large Provider Entity Code ; Age Band Code ; Sex Code </v>
      </c>
      <c r="N2428" s="345" t="s">
        <v>207</v>
      </c>
      <c r="O2428" s="345" t="s">
        <v>208</v>
      </c>
      <c r="P2428" s="345" t="s">
        <v>209</v>
      </c>
      <c r="Q2428" s="345" t="s">
        <v>210</v>
      </c>
      <c r="R2428" s="345" t="s">
        <v>223</v>
      </c>
      <c r="S2428" s="345" t="s">
        <v>224</v>
      </c>
    </row>
    <row r="2429" spans="1:19" x14ac:dyDescent="0.25">
      <c r="A2429" s="311"/>
      <c r="B2429" s="312"/>
      <c r="C2429" s="312"/>
      <c r="D2429" s="312"/>
      <c r="E2429" s="312"/>
      <c r="F2429" s="312"/>
      <c r="G2429" s="328"/>
      <c r="H2429" s="337"/>
      <c r="I2429" s="334"/>
      <c r="J2429" s="314"/>
      <c r="K2429" s="449"/>
      <c r="M2429" s="349" t="str">
        <f>N2429&amp;AS[[#This Row],[Insurer Code]]&amp;"; "&amp;O2429&amp;AS[[#This Row],[Reporting Year]]&amp;"; "&amp;P2429&amp;AS[[#This Row],[Insurance Category Code]]&amp;"; "&amp;Q2429&amp;AS[[#This Row],[Large Provider Entity Code]]&amp;"; "&amp;R2429&amp;AS[[#This Row],[Age Band Code]]&amp;"; "&amp;S2429&amp;AS[[#This Row],[Sex Code]]</f>
        <v xml:space="preserve">Insurer Code ; Reporting Year ; Insurance Category Code ; Large Provider Entity Code ; Age Band Code ; Sex Code </v>
      </c>
      <c r="N2429" s="345" t="s">
        <v>207</v>
      </c>
      <c r="O2429" s="345" t="s">
        <v>208</v>
      </c>
      <c r="P2429" s="345" t="s">
        <v>209</v>
      </c>
      <c r="Q2429" s="345" t="s">
        <v>210</v>
      </c>
      <c r="R2429" s="345" t="s">
        <v>223</v>
      </c>
      <c r="S2429" s="345" t="s">
        <v>224</v>
      </c>
    </row>
    <row r="2430" spans="1:19" x14ac:dyDescent="0.25">
      <c r="A2430" s="311"/>
      <c r="B2430" s="312"/>
      <c r="C2430" s="312"/>
      <c r="D2430" s="312"/>
      <c r="E2430" s="312"/>
      <c r="F2430" s="312"/>
      <c r="G2430" s="328"/>
      <c r="H2430" s="337"/>
      <c r="I2430" s="334"/>
      <c r="J2430" s="314"/>
      <c r="K2430" s="449"/>
      <c r="M2430" s="349" t="str">
        <f>N2430&amp;AS[[#This Row],[Insurer Code]]&amp;"; "&amp;O2430&amp;AS[[#This Row],[Reporting Year]]&amp;"; "&amp;P2430&amp;AS[[#This Row],[Insurance Category Code]]&amp;"; "&amp;Q2430&amp;AS[[#This Row],[Large Provider Entity Code]]&amp;"; "&amp;R2430&amp;AS[[#This Row],[Age Band Code]]&amp;"; "&amp;S2430&amp;AS[[#This Row],[Sex Code]]</f>
        <v xml:space="preserve">Insurer Code ; Reporting Year ; Insurance Category Code ; Large Provider Entity Code ; Age Band Code ; Sex Code </v>
      </c>
      <c r="N2430" s="345" t="s">
        <v>207</v>
      </c>
      <c r="O2430" s="345" t="s">
        <v>208</v>
      </c>
      <c r="P2430" s="345" t="s">
        <v>209</v>
      </c>
      <c r="Q2430" s="345" t="s">
        <v>210</v>
      </c>
      <c r="R2430" s="345" t="s">
        <v>223</v>
      </c>
      <c r="S2430" s="345" t="s">
        <v>224</v>
      </c>
    </row>
    <row r="2431" spans="1:19" x14ac:dyDescent="0.25">
      <c r="A2431" s="311"/>
      <c r="B2431" s="312"/>
      <c r="C2431" s="312"/>
      <c r="D2431" s="312"/>
      <c r="E2431" s="312"/>
      <c r="F2431" s="312"/>
      <c r="G2431" s="328"/>
      <c r="H2431" s="337"/>
      <c r="I2431" s="334"/>
      <c r="J2431" s="314"/>
      <c r="K2431" s="449"/>
      <c r="M2431" s="349" t="str">
        <f>N2431&amp;AS[[#This Row],[Insurer Code]]&amp;"; "&amp;O2431&amp;AS[[#This Row],[Reporting Year]]&amp;"; "&amp;P2431&amp;AS[[#This Row],[Insurance Category Code]]&amp;"; "&amp;Q2431&amp;AS[[#This Row],[Large Provider Entity Code]]&amp;"; "&amp;R2431&amp;AS[[#This Row],[Age Band Code]]&amp;"; "&amp;S2431&amp;AS[[#This Row],[Sex Code]]</f>
        <v xml:space="preserve">Insurer Code ; Reporting Year ; Insurance Category Code ; Large Provider Entity Code ; Age Band Code ; Sex Code </v>
      </c>
      <c r="N2431" s="345" t="s">
        <v>207</v>
      </c>
      <c r="O2431" s="345" t="s">
        <v>208</v>
      </c>
      <c r="P2431" s="345" t="s">
        <v>209</v>
      </c>
      <c r="Q2431" s="345" t="s">
        <v>210</v>
      </c>
      <c r="R2431" s="345" t="s">
        <v>223</v>
      </c>
      <c r="S2431" s="345" t="s">
        <v>224</v>
      </c>
    </row>
    <row r="2432" spans="1:19" x14ac:dyDescent="0.25">
      <c r="A2432" s="311"/>
      <c r="B2432" s="312"/>
      <c r="C2432" s="312"/>
      <c r="D2432" s="312"/>
      <c r="E2432" s="312"/>
      <c r="F2432" s="312"/>
      <c r="G2432" s="328"/>
      <c r="H2432" s="337"/>
      <c r="I2432" s="334"/>
      <c r="J2432" s="314"/>
      <c r="K2432" s="449"/>
      <c r="M2432" s="349" t="str">
        <f>N2432&amp;AS[[#This Row],[Insurer Code]]&amp;"; "&amp;O2432&amp;AS[[#This Row],[Reporting Year]]&amp;"; "&amp;P2432&amp;AS[[#This Row],[Insurance Category Code]]&amp;"; "&amp;Q2432&amp;AS[[#This Row],[Large Provider Entity Code]]&amp;"; "&amp;R2432&amp;AS[[#This Row],[Age Band Code]]&amp;"; "&amp;S2432&amp;AS[[#This Row],[Sex Code]]</f>
        <v xml:space="preserve">Insurer Code ; Reporting Year ; Insurance Category Code ; Large Provider Entity Code ; Age Band Code ; Sex Code </v>
      </c>
      <c r="N2432" s="345" t="s">
        <v>207</v>
      </c>
      <c r="O2432" s="345" t="s">
        <v>208</v>
      </c>
      <c r="P2432" s="345" t="s">
        <v>209</v>
      </c>
      <c r="Q2432" s="345" t="s">
        <v>210</v>
      </c>
      <c r="R2432" s="345" t="s">
        <v>223</v>
      </c>
      <c r="S2432" s="345" t="s">
        <v>224</v>
      </c>
    </row>
    <row r="2433" spans="1:19" x14ac:dyDescent="0.25">
      <c r="A2433" s="311"/>
      <c r="B2433" s="312"/>
      <c r="C2433" s="312"/>
      <c r="D2433" s="312"/>
      <c r="E2433" s="312"/>
      <c r="F2433" s="312"/>
      <c r="G2433" s="328"/>
      <c r="H2433" s="337"/>
      <c r="I2433" s="334"/>
      <c r="J2433" s="314"/>
      <c r="K2433" s="449"/>
      <c r="M2433" s="349" t="str">
        <f>N2433&amp;AS[[#This Row],[Insurer Code]]&amp;"; "&amp;O2433&amp;AS[[#This Row],[Reporting Year]]&amp;"; "&amp;P2433&amp;AS[[#This Row],[Insurance Category Code]]&amp;"; "&amp;Q2433&amp;AS[[#This Row],[Large Provider Entity Code]]&amp;"; "&amp;R2433&amp;AS[[#This Row],[Age Band Code]]&amp;"; "&amp;S2433&amp;AS[[#This Row],[Sex Code]]</f>
        <v xml:space="preserve">Insurer Code ; Reporting Year ; Insurance Category Code ; Large Provider Entity Code ; Age Band Code ; Sex Code </v>
      </c>
      <c r="N2433" s="345" t="s">
        <v>207</v>
      </c>
      <c r="O2433" s="345" t="s">
        <v>208</v>
      </c>
      <c r="P2433" s="345" t="s">
        <v>209</v>
      </c>
      <c r="Q2433" s="345" t="s">
        <v>210</v>
      </c>
      <c r="R2433" s="345" t="s">
        <v>223</v>
      </c>
      <c r="S2433" s="345" t="s">
        <v>224</v>
      </c>
    </row>
    <row r="2434" spans="1:19" x14ac:dyDescent="0.25">
      <c r="A2434" s="311"/>
      <c r="B2434" s="312"/>
      <c r="C2434" s="312"/>
      <c r="D2434" s="312"/>
      <c r="E2434" s="312"/>
      <c r="F2434" s="312"/>
      <c r="G2434" s="328"/>
      <c r="H2434" s="337"/>
      <c r="I2434" s="334"/>
      <c r="J2434" s="314"/>
      <c r="K2434" s="449"/>
      <c r="M2434" s="349" t="str">
        <f>N2434&amp;AS[[#This Row],[Insurer Code]]&amp;"; "&amp;O2434&amp;AS[[#This Row],[Reporting Year]]&amp;"; "&amp;P2434&amp;AS[[#This Row],[Insurance Category Code]]&amp;"; "&amp;Q2434&amp;AS[[#This Row],[Large Provider Entity Code]]&amp;"; "&amp;R2434&amp;AS[[#This Row],[Age Band Code]]&amp;"; "&amp;S2434&amp;AS[[#This Row],[Sex Code]]</f>
        <v xml:space="preserve">Insurer Code ; Reporting Year ; Insurance Category Code ; Large Provider Entity Code ; Age Band Code ; Sex Code </v>
      </c>
      <c r="N2434" s="345" t="s">
        <v>207</v>
      </c>
      <c r="O2434" s="345" t="s">
        <v>208</v>
      </c>
      <c r="P2434" s="345" t="s">
        <v>209</v>
      </c>
      <c r="Q2434" s="345" t="s">
        <v>210</v>
      </c>
      <c r="R2434" s="345" t="s">
        <v>223</v>
      </c>
      <c r="S2434" s="345" t="s">
        <v>224</v>
      </c>
    </row>
    <row r="2435" spans="1:19" x14ac:dyDescent="0.25">
      <c r="A2435" s="311"/>
      <c r="B2435" s="312"/>
      <c r="C2435" s="312"/>
      <c r="D2435" s="312"/>
      <c r="E2435" s="312"/>
      <c r="F2435" s="312"/>
      <c r="G2435" s="328"/>
      <c r="H2435" s="337"/>
      <c r="I2435" s="334"/>
      <c r="J2435" s="314"/>
      <c r="K2435" s="449"/>
      <c r="M2435" s="349" t="str">
        <f>N2435&amp;AS[[#This Row],[Insurer Code]]&amp;"; "&amp;O2435&amp;AS[[#This Row],[Reporting Year]]&amp;"; "&amp;P2435&amp;AS[[#This Row],[Insurance Category Code]]&amp;"; "&amp;Q2435&amp;AS[[#This Row],[Large Provider Entity Code]]&amp;"; "&amp;R2435&amp;AS[[#This Row],[Age Band Code]]&amp;"; "&amp;S2435&amp;AS[[#This Row],[Sex Code]]</f>
        <v xml:space="preserve">Insurer Code ; Reporting Year ; Insurance Category Code ; Large Provider Entity Code ; Age Band Code ; Sex Code </v>
      </c>
      <c r="N2435" s="345" t="s">
        <v>207</v>
      </c>
      <c r="O2435" s="345" t="s">
        <v>208</v>
      </c>
      <c r="P2435" s="345" t="s">
        <v>209</v>
      </c>
      <c r="Q2435" s="345" t="s">
        <v>210</v>
      </c>
      <c r="R2435" s="345" t="s">
        <v>223</v>
      </c>
      <c r="S2435" s="345" t="s">
        <v>224</v>
      </c>
    </row>
    <row r="2436" spans="1:19" x14ac:dyDescent="0.25">
      <c r="A2436" s="311"/>
      <c r="B2436" s="312"/>
      <c r="C2436" s="312"/>
      <c r="D2436" s="312"/>
      <c r="E2436" s="312"/>
      <c r="F2436" s="312"/>
      <c r="G2436" s="328"/>
      <c r="H2436" s="337"/>
      <c r="I2436" s="334"/>
      <c r="J2436" s="314"/>
      <c r="K2436" s="449"/>
      <c r="M2436" s="349" t="str">
        <f>N2436&amp;AS[[#This Row],[Insurer Code]]&amp;"; "&amp;O2436&amp;AS[[#This Row],[Reporting Year]]&amp;"; "&amp;P2436&amp;AS[[#This Row],[Insurance Category Code]]&amp;"; "&amp;Q2436&amp;AS[[#This Row],[Large Provider Entity Code]]&amp;"; "&amp;R2436&amp;AS[[#This Row],[Age Band Code]]&amp;"; "&amp;S2436&amp;AS[[#This Row],[Sex Code]]</f>
        <v xml:space="preserve">Insurer Code ; Reporting Year ; Insurance Category Code ; Large Provider Entity Code ; Age Band Code ; Sex Code </v>
      </c>
      <c r="N2436" s="345" t="s">
        <v>207</v>
      </c>
      <c r="O2436" s="345" t="s">
        <v>208</v>
      </c>
      <c r="P2436" s="345" t="s">
        <v>209</v>
      </c>
      <c r="Q2436" s="345" t="s">
        <v>210</v>
      </c>
      <c r="R2436" s="345" t="s">
        <v>223</v>
      </c>
      <c r="S2436" s="345" t="s">
        <v>224</v>
      </c>
    </row>
    <row r="2437" spans="1:19" x14ac:dyDescent="0.25">
      <c r="A2437" s="311"/>
      <c r="B2437" s="312"/>
      <c r="C2437" s="312"/>
      <c r="D2437" s="312"/>
      <c r="E2437" s="312"/>
      <c r="F2437" s="312"/>
      <c r="G2437" s="328"/>
      <c r="H2437" s="337"/>
      <c r="I2437" s="334"/>
      <c r="J2437" s="314"/>
      <c r="K2437" s="449"/>
      <c r="M2437" s="349" t="str">
        <f>N2437&amp;AS[[#This Row],[Insurer Code]]&amp;"; "&amp;O2437&amp;AS[[#This Row],[Reporting Year]]&amp;"; "&amp;P2437&amp;AS[[#This Row],[Insurance Category Code]]&amp;"; "&amp;Q2437&amp;AS[[#This Row],[Large Provider Entity Code]]&amp;"; "&amp;R2437&amp;AS[[#This Row],[Age Band Code]]&amp;"; "&amp;S2437&amp;AS[[#This Row],[Sex Code]]</f>
        <v xml:space="preserve">Insurer Code ; Reporting Year ; Insurance Category Code ; Large Provider Entity Code ; Age Band Code ; Sex Code </v>
      </c>
      <c r="N2437" s="345" t="s">
        <v>207</v>
      </c>
      <c r="O2437" s="345" t="s">
        <v>208</v>
      </c>
      <c r="P2437" s="345" t="s">
        <v>209</v>
      </c>
      <c r="Q2437" s="345" t="s">
        <v>210</v>
      </c>
      <c r="R2437" s="345" t="s">
        <v>223</v>
      </c>
      <c r="S2437" s="345" t="s">
        <v>224</v>
      </c>
    </row>
    <row r="2438" spans="1:19" x14ac:dyDescent="0.25">
      <c r="A2438" s="311"/>
      <c r="B2438" s="312"/>
      <c r="C2438" s="312"/>
      <c r="D2438" s="312"/>
      <c r="E2438" s="312"/>
      <c r="F2438" s="312"/>
      <c r="G2438" s="328"/>
      <c r="H2438" s="337"/>
      <c r="I2438" s="334"/>
      <c r="J2438" s="314"/>
      <c r="K2438" s="449"/>
      <c r="M2438" s="349" t="str">
        <f>N2438&amp;AS[[#This Row],[Insurer Code]]&amp;"; "&amp;O2438&amp;AS[[#This Row],[Reporting Year]]&amp;"; "&amp;P2438&amp;AS[[#This Row],[Insurance Category Code]]&amp;"; "&amp;Q2438&amp;AS[[#This Row],[Large Provider Entity Code]]&amp;"; "&amp;R2438&amp;AS[[#This Row],[Age Band Code]]&amp;"; "&amp;S2438&amp;AS[[#This Row],[Sex Code]]</f>
        <v xml:space="preserve">Insurer Code ; Reporting Year ; Insurance Category Code ; Large Provider Entity Code ; Age Band Code ; Sex Code </v>
      </c>
      <c r="N2438" s="345" t="s">
        <v>207</v>
      </c>
      <c r="O2438" s="345" t="s">
        <v>208</v>
      </c>
      <c r="P2438" s="345" t="s">
        <v>209</v>
      </c>
      <c r="Q2438" s="345" t="s">
        <v>210</v>
      </c>
      <c r="R2438" s="345" t="s">
        <v>223</v>
      </c>
      <c r="S2438" s="345" t="s">
        <v>224</v>
      </c>
    </row>
    <row r="2439" spans="1:19" x14ac:dyDescent="0.25">
      <c r="A2439" s="311"/>
      <c r="B2439" s="312"/>
      <c r="C2439" s="312"/>
      <c r="D2439" s="312"/>
      <c r="E2439" s="312"/>
      <c r="F2439" s="312"/>
      <c r="G2439" s="328"/>
      <c r="H2439" s="337"/>
      <c r="I2439" s="334"/>
      <c r="J2439" s="314"/>
      <c r="K2439" s="449"/>
      <c r="M2439" s="349" t="str">
        <f>N2439&amp;AS[[#This Row],[Insurer Code]]&amp;"; "&amp;O2439&amp;AS[[#This Row],[Reporting Year]]&amp;"; "&amp;P2439&amp;AS[[#This Row],[Insurance Category Code]]&amp;"; "&amp;Q2439&amp;AS[[#This Row],[Large Provider Entity Code]]&amp;"; "&amp;R2439&amp;AS[[#This Row],[Age Band Code]]&amp;"; "&amp;S2439&amp;AS[[#This Row],[Sex Code]]</f>
        <v xml:space="preserve">Insurer Code ; Reporting Year ; Insurance Category Code ; Large Provider Entity Code ; Age Band Code ; Sex Code </v>
      </c>
      <c r="N2439" s="345" t="s">
        <v>207</v>
      </c>
      <c r="O2439" s="345" t="s">
        <v>208</v>
      </c>
      <c r="P2439" s="345" t="s">
        <v>209</v>
      </c>
      <c r="Q2439" s="345" t="s">
        <v>210</v>
      </c>
      <c r="R2439" s="345" t="s">
        <v>223</v>
      </c>
      <c r="S2439" s="345" t="s">
        <v>224</v>
      </c>
    </row>
    <row r="2440" spans="1:19" x14ac:dyDescent="0.25">
      <c r="A2440" s="311"/>
      <c r="B2440" s="312"/>
      <c r="C2440" s="312"/>
      <c r="D2440" s="312"/>
      <c r="E2440" s="312"/>
      <c r="F2440" s="312"/>
      <c r="G2440" s="328"/>
      <c r="H2440" s="337"/>
      <c r="I2440" s="334"/>
      <c r="J2440" s="314"/>
      <c r="K2440" s="449"/>
      <c r="M2440" s="349" t="str">
        <f>N2440&amp;AS[[#This Row],[Insurer Code]]&amp;"; "&amp;O2440&amp;AS[[#This Row],[Reporting Year]]&amp;"; "&amp;P2440&amp;AS[[#This Row],[Insurance Category Code]]&amp;"; "&amp;Q2440&amp;AS[[#This Row],[Large Provider Entity Code]]&amp;"; "&amp;R2440&amp;AS[[#This Row],[Age Band Code]]&amp;"; "&amp;S2440&amp;AS[[#This Row],[Sex Code]]</f>
        <v xml:space="preserve">Insurer Code ; Reporting Year ; Insurance Category Code ; Large Provider Entity Code ; Age Band Code ; Sex Code </v>
      </c>
      <c r="N2440" s="345" t="s">
        <v>207</v>
      </c>
      <c r="O2440" s="345" t="s">
        <v>208</v>
      </c>
      <c r="P2440" s="345" t="s">
        <v>209</v>
      </c>
      <c r="Q2440" s="345" t="s">
        <v>210</v>
      </c>
      <c r="R2440" s="345" t="s">
        <v>223</v>
      </c>
      <c r="S2440" s="345" t="s">
        <v>224</v>
      </c>
    </row>
    <row r="2441" spans="1:19" x14ac:dyDescent="0.25">
      <c r="A2441" s="311"/>
      <c r="B2441" s="312"/>
      <c r="C2441" s="312"/>
      <c r="D2441" s="312"/>
      <c r="E2441" s="312"/>
      <c r="F2441" s="312"/>
      <c r="G2441" s="328"/>
      <c r="H2441" s="337"/>
      <c r="I2441" s="334"/>
      <c r="J2441" s="314"/>
      <c r="K2441" s="449"/>
      <c r="M2441" s="349" t="str">
        <f>N2441&amp;AS[[#This Row],[Insurer Code]]&amp;"; "&amp;O2441&amp;AS[[#This Row],[Reporting Year]]&amp;"; "&amp;P2441&amp;AS[[#This Row],[Insurance Category Code]]&amp;"; "&amp;Q2441&amp;AS[[#This Row],[Large Provider Entity Code]]&amp;"; "&amp;R2441&amp;AS[[#This Row],[Age Band Code]]&amp;"; "&amp;S2441&amp;AS[[#This Row],[Sex Code]]</f>
        <v xml:space="preserve">Insurer Code ; Reporting Year ; Insurance Category Code ; Large Provider Entity Code ; Age Band Code ; Sex Code </v>
      </c>
      <c r="N2441" s="345" t="s">
        <v>207</v>
      </c>
      <c r="O2441" s="345" t="s">
        <v>208</v>
      </c>
      <c r="P2441" s="345" t="s">
        <v>209</v>
      </c>
      <c r="Q2441" s="345" t="s">
        <v>210</v>
      </c>
      <c r="R2441" s="345" t="s">
        <v>223</v>
      </c>
      <c r="S2441" s="345" t="s">
        <v>224</v>
      </c>
    </row>
    <row r="2442" spans="1:19" x14ac:dyDescent="0.25">
      <c r="A2442" s="311"/>
      <c r="B2442" s="312"/>
      <c r="C2442" s="312"/>
      <c r="D2442" s="312"/>
      <c r="E2442" s="312"/>
      <c r="F2442" s="312"/>
      <c r="G2442" s="328"/>
      <c r="H2442" s="337"/>
      <c r="I2442" s="334"/>
      <c r="J2442" s="314"/>
      <c r="K2442" s="449"/>
      <c r="M2442" s="349" t="str">
        <f>N2442&amp;AS[[#This Row],[Insurer Code]]&amp;"; "&amp;O2442&amp;AS[[#This Row],[Reporting Year]]&amp;"; "&amp;P2442&amp;AS[[#This Row],[Insurance Category Code]]&amp;"; "&amp;Q2442&amp;AS[[#This Row],[Large Provider Entity Code]]&amp;"; "&amp;R2442&amp;AS[[#This Row],[Age Band Code]]&amp;"; "&amp;S2442&amp;AS[[#This Row],[Sex Code]]</f>
        <v xml:space="preserve">Insurer Code ; Reporting Year ; Insurance Category Code ; Large Provider Entity Code ; Age Band Code ; Sex Code </v>
      </c>
      <c r="N2442" s="345" t="s">
        <v>207</v>
      </c>
      <c r="O2442" s="345" t="s">
        <v>208</v>
      </c>
      <c r="P2442" s="345" t="s">
        <v>209</v>
      </c>
      <c r="Q2442" s="345" t="s">
        <v>210</v>
      </c>
      <c r="R2442" s="345" t="s">
        <v>223</v>
      </c>
      <c r="S2442" s="345" t="s">
        <v>224</v>
      </c>
    </row>
    <row r="2443" spans="1:19" x14ac:dyDescent="0.25">
      <c r="A2443" s="311"/>
      <c r="B2443" s="312"/>
      <c r="C2443" s="312"/>
      <c r="D2443" s="312"/>
      <c r="E2443" s="312"/>
      <c r="F2443" s="312"/>
      <c r="G2443" s="328"/>
      <c r="H2443" s="337"/>
      <c r="I2443" s="334"/>
      <c r="J2443" s="314"/>
      <c r="K2443" s="449"/>
      <c r="M2443" s="349" t="str">
        <f>N2443&amp;AS[[#This Row],[Insurer Code]]&amp;"; "&amp;O2443&amp;AS[[#This Row],[Reporting Year]]&amp;"; "&amp;P2443&amp;AS[[#This Row],[Insurance Category Code]]&amp;"; "&amp;Q2443&amp;AS[[#This Row],[Large Provider Entity Code]]&amp;"; "&amp;R2443&amp;AS[[#This Row],[Age Band Code]]&amp;"; "&amp;S2443&amp;AS[[#This Row],[Sex Code]]</f>
        <v xml:space="preserve">Insurer Code ; Reporting Year ; Insurance Category Code ; Large Provider Entity Code ; Age Band Code ; Sex Code </v>
      </c>
      <c r="N2443" s="345" t="s">
        <v>207</v>
      </c>
      <c r="O2443" s="345" t="s">
        <v>208</v>
      </c>
      <c r="P2443" s="345" t="s">
        <v>209</v>
      </c>
      <c r="Q2443" s="345" t="s">
        <v>210</v>
      </c>
      <c r="R2443" s="345" t="s">
        <v>223</v>
      </c>
      <c r="S2443" s="345" t="s">
        <v>224</v>
      </c>
    </row>
    <row r="2444" spans="1:19" x14ac:dyDescent="0.25">
      <c r="A2444" s="311"/>
      <c r="B2444" s="312"/>
      <c r="C2444" s="312"/>
      <c r="D2444" s="312"/>
      <c r="E2444" s="312"/>
      <c r="F2444" s="312"/>
      <c r="G2444" s="328"/>
      <c r="H2444" s="337"/>
      <c r="I2444" s="334"/>
      <c r="J2444" s="314"/>
      <c r="K2444" s="449"/>
      <c r="M2444" s="349" t="str">
        <f>N2444&amp;AS[[#This Row],[Insurer Code]]&amp;"; "&amp;O2444&amp;AS[[#This Row],[Reporting Year]]&amp;"; "&amp;P2444&amp;AS[[#This Row],[Insurance Category Code]]&amp;"; "&amp;Q2444&amp;AS[[#This Row],[Large Provider Entity Code]]&amp;"; "&amp;R2444&amp;AS[[#This Row],[Age Band Code]]&amp;"; "&amp;S2444&amp;AS[[#This Row],[Sex Code]]</f>
        <v xml:space="preserve">Insurer Code ; Reporting Year ; Insurance Category Code ; Large Provider Entity Code ; Age Band Code ; Sex Code </v>
      </c>
      <c r="N2444" s="345" t="s">
        <v>207</v>
      </c>
      <c r="O2444" s="345" t="s">
        <v>208</v>
      </c>
      <c r="P2444" s="345" t="s">
        <v>209</v>
      </c>
      <c r="Q2444" s="345" t="s">
        <v>210</v>
      </c>
      <c r="R2444" s="345" t="s">
        <v>223</v>
      </c>
      <c r="S2444" s="345" t="s">
        <v>224</v>
      </c>
    </row>
    <row r="2445" spans="1:19" x14ac:dyDescent="0.25">
      <c r="A2445" s="311"/>
      <c r="B2445" s="312"/>
      <c r="C2445" s="312"/>
      <c r="D2445" s="312"/>
      <c r="E2445" s="312"/>
      <c r="F2445" s="312"/>
      <c r="G2445" s="328"/>
      <c r="H2445" s="337"/>
      <c r="I2445" s="334"/>
      <c r="J2445" s="314"/>
      <c r="K2445" s="449"/>
      <c r="M2445" s="349" t="str">
        <f>N2445&amp;AS[[#This Row],[Insurer Code]]&amp;"; "&amp;O2445&amp;AS[[#This Row],[Reporting Year]]&amp;"; "&amp;P2445&amp;AS[[#This Row],[Insurance Category Code]]&amp;"; "&amp;Q2445&amp;AS[[#This Row],[Large Provider Entity Code]]&amp;"; "&amp;R2445&amp;AS[[#This Row],[Age Band Code]]&amp;"; "&amp;S2445&amp;AS[[#This Row],[Sex Code]]</f>
        <v xml:space="preserve">Insurer Code ; Reporting Year ; Insurance Category Code ; Large Provider Entity Code ; Age Band Code ; Sex Code </v>
      </c>
      <c r="N2445" s="345" t="s">
        <v>207</v>
      </c>
      <c r="O2445" s="345" t="s">
        <v>208</v>
      </c>
      <c r="P2445" s="345" t="s">
        <v>209</v>
      </c>
      <c r="Q2445" s="345" t="s">
        <v>210</v>
      </c>
      <c r="R2445" s="345" t="s">
        <v>223</v>
      </c>
      <c r="S2445" s="345" t="s">
        <v>224</v>
      </c>
    </row>
    <row r="2446" spans="1:19" x14ac:dyDescent="0.25">
      <c r="A2446" s="311"/>
      <c r="B2446" s="312"/>
      <c r="C2446" s="312"/>
      <c r="D2446" s="312"/>
      <c r="E2446" s="312"/>
      <c r="F2446" s="312"/>
      <c r="G2446" s="328"/>
      <c r="H2446" s="337"/>
      <c r="I2446" s="334"/>
      <c r="J2446" s="314"/>
      <c r="K2446" s="449"/>
      <c r="M2446" s="349" t="str">
        <f>N2446&amp;AS[[#This Row],[Insurer Code]]&amp;"; "&amp;O2446&amp;AS[[#This Row],[Reporting Year]]&amp;"; "&amp;P2446&amp;AS[[#This Row],[Insurance Category Code]]&amp;"; "&amp;Q2446&amp;AS[[#This Row],[Large Provider Entity Code]]&amp;"; "&amp;R2446&amp;AS[[#This Row],[Age Band Code]]&amp;"; "&amp;S2446&amp;AS[[#This Row],[Sex Code]]</f>
        <v xml:space="preserve">Insurer Code ; Reporting Year ; Insurance Category Code ; Large Provider Entity Code ; Age Band Code ; Sex Code </v>
      </c>
      <c r="N2446" s="345" t="s">
        <v>207</v>
      </c>
      <c r="O2446" s="345" t="s">
        <v>208</v>
      </c>
      <c r="P2446" s="345" t="s">
        <v>209</v>
      </c>
      <c r="Q2446" s="345" t="s">
        <v>210</v>
      </c>
      <c r="R2446" s="345" t="s">
        <v>223</v>
      </c>
      <c r="S2446" s="345" t="s">
        <v>224</v>
      </c>
    </row>
    <row r="2447" spans="1:19" x14ac:dyDescent="0.25">
      <c r="A2447" s="311"/>
      <c r="B2447" s="312"/>
      <c r="C2447" s="312"/>
      <c r="D2447" s="312"/>
      <c r="E2447" s="312"/>
      <c r="F2447" s="312"/>
      <c r="G2447" s="328"/>
      <c r="H2447" s="337"/>
      <c r="I2447" s="334"/>
      <c r="J2447" s="314"/>
      <c r="K2447" s="449"/>
      <c r="M2447" s="349" t="str">
        <f>N2447&amp;AS[[#This Row],[Insurer Code]]&amp;"; "&amp;O2447&amp;AS[[#This Row],[Reporting Year]]&amp;"; "&amp;P2447&amp;AS[[#This Row],[Insurance Category Code]]&amp;"; "&amp;Q2447&amp;AS[[#This Row],[Large Provider Entity Code]]&amp;"; "&amp;R2447&amp;AS[[#This Row],[Age Band Code]]&amp;"; "&amp;S2447&amp;AS[[#This Row],[Sex Code]]</f>
        <v xml:space="preserve">Insurer Code ; Reporting Year ; Insurance Category Code ; Large Provider Entity Code ; Age Band Code ; Sex Code </v>
      </c>
      <c r="N2447" s="345" t="s">
        <v>207</v>
      </c>
      <c r="O2447" s="345" t="s">
        <v>208</v>
      </c>
      <c r="P2447" s="345" t="s">
        <v>209</v>
      </c>
      <c r="Q2447" s="345" t="s">
        <v>210</v>
      </c>
      <c r="R2447" s="345" t="s">
        <v>223</v>
      </c>
      <c r="S2447" s="345" t="s">
        <v>224</v>
      </c>
    </row>
    <row r="2448" spans="1:19" x14ac:dyDescent="0.25">
      <c r="A2448" s="311"/>
      <c r="B2448" s="312"/>
      <c r="C2448" s="312"/>
      <c r="D2448" s="312"/>
      <c r="E2448" s="312"/>
      <c r="F2448" s="312"/>
      <c r="G2448" s="328"/>
      <c r="H2448" s="337"/>
      <c r="I2448" s="334"/>
      <c r="J2448" s="314"/>
      <c r="K2448" s="449"/>
      <c r="M2448" s="349" t="str">
        <f>N2448&amp;AS[[#This Row],[Insurer Code]]&amp;"; "&amp;O2448&amp;AS[[#This Row],[Reporting Year]]&amp;"; "&amp;P2448&amp;AS[[#This Row],[Insurance Category Code]]&amp;"; "&amp;Q2448&amp;AS[[#This Row],[Large Provider Entity Code]]&amp;"; "&amp;R2448&amp;AS[[#This Row],[Age Band Code]]&amp;"; "&amp;S2448&amp;AS[[#This Row],[Sex Code]]</f>
        <v xml:space="preserve">Insurer Code ; Reporting Year ; Insurance Category Code ; Large Provider Entity Code ; Age Band Code ; Sex Code </v>
      </c>
      <c r="N2448" s="345" t="s">
        <v>207</v>
      </c>
      <c r="O2448" s="345" t="s">
        <v>208</v>
      </c>
      <c r="P2448" s="345" t="s">
        <v>209</v>
      </c>
      <c r="Q2448" s="345" t="s">
        <v>210</v>
      </c>
      <c r="R2448" s="345" t="s">
        <v>223</v>
      </c>
      <c r="S2448" s="345" t="s">
        <v>224</v>
      </c>
    </row>
    <row r="2449" spans="1:19" x14ac:dyDescent="0.25">
      <c r="A2449" s="311"/>
      <c r="B2449" s="312"/>
      <c r="C2449" s="312"/>
      <c r="D2449" s="312"/>
      <c r="E2449" s="312"/>
      <c r="F2449" s="312"/>
      <c r="G2449" s="328"/>
      <c r="H2449" s="337"/>
      <c r="I2449" s="334"/>
      <c r="J2449" s="314"/>
      <c r="K2449" s="449"/>
      <c r="M2449" s="349" t="str">
        <f>N2449&amp;AS[[#This Row],[Insurer Code]]&amp;"; "&amp;O2449&amp;AS[[#This Row],[Reporting Year]]&amp;"; "&amp;P2449&amp;AS[[#This Row],[Insurance Category Code]]&amp;"; "&amp;Q2449&amp;AS[[#This Row],[Large Provider Entity Code]]&amp;"; "&amp;R2449&amp;AS[[#This Row],[Age Band Code]]&amp;"; "&amp;S2449&amp;AS[[#This Row],[Sex Code]]</f>
        <v xml:space="preserve">Insurer Code ; Reporting Year ; Insurance Category Code ; Large Provider Entity Code ; Age Band Code ; Sex Code </v>
      </c>
      <c r="N2449" s="345" t="s">
        <v>207</v>
      </c>
      <c r="O2449" s="345" t="s">
        <v>208</v>
      </c>
      <c r="P2449" s="345" t="s">
        <v>209</v>
      </c>
      <c r="Q2449" s="345" t="s">
        <v>210</v>
      </c>
      <c r="R2449" s="345" t="s">
        <v>223</v>
      </c>
      <c r="S2449" s="345" t="s">
        <v>224</v>
      </c>
    </row>
    <row r="2450" spans="1:19" x14ac:dyDescent="0.25">
      <c r="A2450" s="311"/>
      <c r="B2450" s="312"/>
      <c r="C2450" s="312"/>
      <c r="D2450" s="312"/>
      <c r="E2450" s="312"/>
      <c r="F2450" s="312"/>
      <c r="G2450" s="328"/>
      <c r="H2450" s="337"/>
      <c r="I2450" s="334"/>
      <c r="J2450" s="314"/>
      <c r="K2450" s="449"/>
      <c r="M2450" s="349" t="str">
        <f>N2450&amp;AS[[#This Row],[Insurer Code]]&amp;"; "&amp;O2450&amp;AS[[#This Row],[Reporting Year]]&amp;"; "&amp;P2450&amp;AS[[#This Row],[Insurance Category Code]]&amp;"; "&amp;Q2450&amp;AS[[#This Row],[Large Provider Entity Code]]&amp;"; "&amp;R2450&amp;AS[[#This Row],[Age Band Code]]&amp;"; "&amp;S2450&amp;AS[[#This Row],[Sex Code]]</f>
        <v xml:space="preserve">Insurer Code ; Reporting Year ; Insurance Category Code ; Large Provider Entity Code ; Age Band Code ; Sex Code </v>
      </c>
      <c r="N2450" s="345" t="s">
        <v>207</v>
      </c>
      <c r="O2450" s="345" t="s">
        <v>208</v>
      </c>
      <c r="P2450" s="345" t="s">
        <v>209</v>
      </c>
      <c r="Q2450" s="345" t="s">
        <v>210</v>
      </c>
      <c r="R2450" s="345" t="s">
        <v>223</v>
      </c>
      <c r="S2450" s="345" t="s">
        <v>224</v>
      </c>
    </row>
    <row r="2451" spans="1:19" x14ac:dyDescent="0.25">
      <c r="A2451" s="311"/>
      <c r="B2451" s="312"/>
      <c r="C2451" s="312"/>
      <c r="D2451" s="312"/>
      <c r="E2451" s="312"/>
      <c r="F2451" s="312"/>
      <c r="G2451" s="328"/>
      <c r="H2451" s="337"/>
      <c r="I2451" s="334"/>
      <c r="J2451" s="314"/>
      <c r="K2451" s="449"/>
      <c r="M2451" s="349" t="str">
        <f>N2451&amp;AS[[#This Row],[Insurer Code]]&amp;"; "&amp;O2451&amp;AS[[#This Row],[Reporting Year]]&amp;"; "&amp;P2451&amp;AS[[#This Row],[Insurance Category Code]]&amp;"; "&amp;Q2451&amp;AS[[#This Row],[Large Provider Entity Code]]&amp;"; "&amp;R2451&amp;AS[[#This Row],[Age Band Code]]&amp;"; "&amp;S2451&amp;AS[[#This Row],[Sex Code]]</f>
        <v xml:space="preserve">Insurer Code ; Reporting Year ; Insurance Category Code ; Large Provider Entity Code ; Age Band Code ; Sex Code </v>
      </c>
      <c r="N2451" s="345" t="s">
        <v>207</v>
      </c>
      <c r="O2451" s="345" t="s">
        <v>208</v>
      </c>
      <c r="P2451" s="345" t="s">
        <v>209</v>
      </c>
      <c r="Q2451" s="345" t="s">
        <v>210</v>
      </c>
      <c r="R2451" s="345" t="s">
        <v>223</v>
      </c>
      <c r="S2451" s="345" t="s">
        <v>224</v>
      </c>
    </row>
    <row r="2452" spans="1:19" x14ac:dyDescent="0.25">
      <c r="A2452" s="311"/>
      <c r="B2452" s="312"/>
      <c r="C2452" s="312"/>
      <c r="D2452" s="312"/>
      <c r="E2452" s="312"/>
      <c r="F2452" s="312"/>
      <c r="G2452" s="328"/>
      <c r="H2452" s="337"/>
      <c r="I2452" s="334"/>
      <c r="J2452" s="314"/>
      <c r="K2452" s="449"/>
      <c r="M2452" s="349" t="str">
        <f>N2452&amp;AS[[#This Row],[Insurer Code]]&amp;"; "&amp;O2452&amp;AS[[#This Row],[Reporting Year]]&amp;"; "&amp;P2452&amp;AS[[#This Row],[Insurance Category Code]]&amp;"; "&amp;Q2452&amp;AS[[#This Row],[Large Provider Entity Code]]&amp;"; "&amp;R2452&amp;AS[[#This Row],[Age Band Code]]&amp;"; "&amp;S2452&amp;AS[[#This Row],[Sex Code]]</f>
        <v xml:space="preserve">Insurer Code ; Reporting Year ; Insurance Category Code ; Large Provider Entity Code ; Age Band Code ; Sex Code </v>
      </c>
      <c r="N2452" s="345" t="s">
        <v>207</v>
      </c>
      <c r="O2452" s="345" t="s">
        <v>208</v>
      </c>
      <c r="P2452" s="345" t="s">
        <v>209</v>
      </c>
      <c r="Q2452" s="345" t="s">
        <v>210</v>
      </c>
      <c r="R2452" s="345" t="s">
        <v>223</v>
      </c>
      <c r="S2452" s="345" t="s">
        <v>224</v>
      </c>
    </row>
    <row r="2453" spans="1:19" x14ac:dyDescent="0.25">
      <c r="A2453" s="311"/>
      <c r="B2453" s="312"/>
      <c r="C2453" s="312"/>
      <c r="D2453" s="312"/>
      <c r="E2453" s="312"/>
      <c r="F2453" s="312"/>
      <c r="G2453" s="328"/>
      <c r="H2453" s="337"/>
      <c r="I2453" s="334"/>
      <c r="J2453" s="314"/>
      <c r="K2453" s="449"/>
      <c r="M2453" s="349" t="str">
        <f>N2453&amp;AS[[#This Row],[Insurer Code]]&amp;"; "&amp;O2453&amp;AS[[#This Row],[Reporting Year]]&amp;"; "&amp;P2453&amp;AS[[#This Row],[Insurance Category Code]]&amp;"; "&amp;Q2453&amp;AS[[#This Row],[Large Provider Entity Code]]&amp;"; "&amp;R2453&amp;AS[[#This Row],[Age Band Code]]&amp;"; "&amp;S2453&amp;AS[[#This Row],[Sex Code]]</f>
        <v xml:space="preserve">Insurer Code ; Reporting Year ; Insurance Category Code ; Large Provider Entity Code ; Age Band Code ; Sex Code </v>
      </c>
      <c r="N2453" s="345" t="s">
        <v>207</v>
      </c>
      <c r="O2453" s="345" t="s">
        <v>208</v>
      </c>
      <c r="P2453" s="345" t="s">
        <v>209</v>
      </c>
      <c r="Q2453" s="345" t="s">
        <v>210</v>
      </c>
      <c r="R2453" s="345" t="s">
        <v>223</v>
      </c>
      <c r="S2453" s="345" t="s">
        <v>224</v>
      </c>
    </row>
    <row r="2454" spans="1:19" x14ac:dyDescent="0.25">
      <c r="A2454" s="311"/>
      <c r="B2454" s="312"/>
      <c r="C2454" s="312"/>
      <c r="D2454" s="312"/>
      <c r="E2454" s="312"/>
      <c r="F2454" s="312"/>
      <c r="G2454" s="328"/>
      <c r="H2454" s="337"/>
      <c r="I2454" s="334"/>
      <c r="J2454" s="314"/>
      <c r="K2454" s="449"/>
      <c r="M2454" s="349" t="str">
        <f>N2454&amp;AS[[#This Row],[Insurer Code]]&amp;"; "&amp;O2454&amp;AS[[#This Row],[Reporting Year]]&amp;"; "&amp;P2454&amp;AS[[#This Row],[Insurance Category Code]]&amp;"; "&amp;Q2454&amp;AS[[#This Row],[Large Provider Entity Code]]&amp;"; "&amp;R2454&amp;AS[[#This Row],[Age Band Code]]&amp;"; "&amp;S2454&amp;AS[[#This Row],[Sex Code]]</f>
        <v xml:space="preserve">Insurer Code ; Reporting Year ; Insurance Category Code ; Large Provider Entity Code ; Age Band Code ; Sex Code </v>
      </c>
      <c r="N2454" s="345" t="s">
        <v>207</v>
      </c>
      <c r="O2454" s="345" t="s">
        <v>208</v>
      </c>
      <c r="P2454" s="345" t="s">
        <v>209</v>
      </c>
      <c r="Q2454" s="345" t="s">
        <v>210</v>
      </c>
      <c r="R2454" s="345" t="s">
        <v>223</v>
      </c>
      <c r="S2454" s="345" t="s">
        <v>224</v>
      </c>
    </row>
    <row r="2455" spans="1:19" x14ac:dyDescent="0.25">
      <c r="A2455" s="311"/>
      <c r="B2455" s="312"/>
      <c r="C2455" s="312"/>
      <c r="D2455" s="312"/>
      <c r="E2455" s="312"/>
      <c r="F2455" s="312"/>
      <c r="G2455" s="328"/>
      <c r="H2455" s="337"/>
      <c r="I2455" s="334"/>
      <c r="J2455" s="314"/>
      <c r="K2455" s="449"/>
      <c r="M2455" s="349" t="str">
        <f>N2455&amp;AS[[#This Row],[Insurer Code]]&amp;"; "&amp;O2455&amp;AS[[#This Row],[Reporting Year]]&amp;"; "&amp;P2455&amp;AS[[#This Row],[Insurance Category Code]]&amp;"; "&amp;Q2455&amp;AS[[#This Row],[Large Provider Entity Code]]&amp;"; "&amp;R2455&amp;AS[[#This Row],[Age Band Code]]&amp;"; "&amp;S2455&amp;AS[[#This Row],[Sex Code]]</f>
        <v xml:space="preserve">Insurer Code ; Reporting Year ; Insurance Category Code ; Large Provider Entity Code ; Age Band Code ; Sex Code </v>
      </c>
      <c r="N2455" s="345" t="s">
        <v>207</v>
      </c>
      <c r="O2455" s="345" t="s">
        <v>208</v>
      </c>
      <c r="P2455" s="345" t="s">
        <v>209</v>
      </c>
      <c r="Q2455" s="345" t="s">
        <v>210</v>
      </c>
      <c r="R2455" s="345" t="s">
        <v>223</v>
      </c>
      <c r="S2455" s="345" t="s">
        <v>224</v>
      </c>
    </row>
    <row r="2456" spans="1:19" x14ac:dyDescent="0.25">
      <c r="A2456" s="311"/>
      <c r="B2456" s="312"/>
      <c r="C2456" s="312"/>
      <c r="D2456" s="312"/>
      <c r="E2456" s="312"/>
      <c r="F2456" s="312"/>
      <c r="G2456" s="328"/>
      <c r="H2456" s="337"/>
      <c r="I2456" s="334"/>
      <c r="J2456" s="314"/>
      <c r="K2456" s="449"/>
      <c r="M2456" s="349" t="str">
        <f>N2456&amp;AS[[#This Row],[Insurer Code]]&amp;"; "&amp;O2456&amp;AS[[#This Row],[Reporting Year]]&amp;"; "&amp;P2456&amp;AS[[#This Row],[Insurance Category Code]]&amp;"; "&amp;Q2456&amp;AS[[#This Row],[Large Provider Entity Code]]&amp;"; "&amp;R2456&amp;AS[[#This Row],[Age Band Code]]&amp;"; "&amp;S2456&amp;AS[[#This Row],[Sex Code]]</f>
        <v xml:space="preserve">Insurer Code ; Reporting Year ; Insurance Category Code ; Large Provider Entity Code ; Age Band Code ; Sex Code </v>
      </c>
      <c r="N2456" s="345" t="s">
        <v>207</v>
      </c>
      <c r="O2456" s="345" t="s">
        <v>208</v>
      </c>
      <c r="P2456" s="345" t="s">
        <v>209</v>
      </c>
      <c r="Q2456" s="345" t="s">
        <v>210</v>
      </c>
      <c r="R2456" s="345" t="s">
        <v>223</v>
      </c>
      <c r="S2456" s="345" t="s">
        <v>224</v>
      </c>
    </row>
    <row r="2457" spans="1:19" x14ac:dyDescent="0.25">
      <c r="A2457" s="311"/>
      <c r="B2457" s="312"/>
      <c r="C2457" s="312"/>
      <c r="D2457" s="312"/>
      <c r="E2457" s="312"/>
      <c r="F2457" s="312"/>
      <c r="G2457" s="328"/>
      <c r="H2457" s="337"/>
      <c r="I2457" s="334"/>
      <c r="J2457" s="314"/>
      <c r="K2457" s="449"/>
      <c r="M2457" s="349" t="str">
        <f>N2457&amp;AS[[#This Row],[Insurer Code]]&amp;"; "&amp;O2457&amp;AS[[#This Row],[Reporting Year]]&amp;"; "&amp;P2457&amp;AS[[#This Row],[Insurance Category Code]]&amp;"; "&amp;Q2457&amp;AS[[#This Row],[Large Provider Entity Code]]&amp;"; "&amp;R2457&amp;AS[[#This Row],[Age Band Code]]&amp;"; "&amp;S2457&amp;AS[[#This Row],[Sex Code]]</f>
        <v xml:space="preserve">Insurer Code ; Reporting Year ; Insurance Category Code ; Large Provider Entity Code ; Age Band Code ; Sex Code </v>
      </c>
      <c r="N2457" s="345" t="s">
        <v>207</v>
      </c>
      <c r="O2457" s="345" t="s">
        <v>208</v>
      </c>
      <c r="P2457" s="345" t="s">
        <v>209</v>
      </c>
      <c r="Q2457" s="345" t="s">
        <v>210</v>
      </c>
      <c r="R2457" s="345" t="s">
        <v>223</v>
      </c>
      <c r="S2457" s="345" t="s">
        <v>224</v>
      </c>
    </row>
    <row r="2458" spans="1:19" x14ac:dyDescent="0.25">
      <c r="A2458" s="311"/>
      <c r="B2458" s="312"/>
      <c r="C2458" s="312"/>
      <c r="D2458" s="312"/>
      <c r="E2458" s="312"/>
      <c r="F2458" s="312"/>
      <c r="G2458" s="328"/>
      <c r="H2458" s="337"/>
      <c r="I2458" s="334"/>
      <c r="J2458" s="314"/>
      <c r="K2458" s="449"/>
      <c r="M2458" s="349" t="str">
        <f>N2458&amp;AS[[#This Row],[Insurer Code]]&amp;"; "&amp;O2458&amp;AS[[#This Row],[Reporting Year]]&amp;"; "&amp;P2458&amp;AS[[#This Row],[Insurance Category Code]]&amp;"; "&amp;Q2458&amp;AS[[#This Row],[Large Provider Entity Code]]&amp;"; "&amp;R2458&amp;AS[[#This Row],[Age Band Code]]&amp;"; "&amp;S2458&amp;AS[[#This Row],[Sex Code]]</f>
        <v xml:space="preserve">Insurer Code ; Reporting Year ; Insurance Category Code ; Large Provider Entity Code ; Age Band Code ; Sex Code </v>
      </c>
      <c r="N2458" s="345" t="s">
        <v>207</v>
      </c>
      <c r="O2458" s="345" t="s">
        <v>208</v>
      </c>
      <c r="P2458" s="345" t="s">
        <v>209</v>
      </c>
      <c r="Q2458" s="345" t="s">
        <v>210</v>
      </c>
      <c r="R2458" s="345" t="s">
        <v>223</v>
      </c>
      <c r="S2458" s="345" t="s">
        <v>224</v>
      </c>
    </row>
    <row r="2459" spans="1:19" x14ac:dyDescent="0.25">
      <c r="A2459" s="311"/>
      <c r="B2459" s="312"/>
      <c r="C2459" s="312"/>
      <c r="D2459" s="312"/>
      <c r="E2459" s="312"/>
      <c r="F2459" s="312"/>
      <c r="G2459" s="328"/>
      <c r="H2459" s="337"/>
      <c r="I2459" s="334"/>
      <c r="J2459" s="314"/>
      <c r="K2459" s="449"/>
      <c r="M2459" s="349" t="str">
        <f>N2459&amp;AS[[#This Row],[Insurer Code]]&amp;"; "&amp;O2459&amp;AS[[#This Row],[Reporting Year]]&amp;"; "&amp;P2459&amp;AS[[#This Row],[Insurance Category Code]]&amp;"; "&amp;Q2459&amp;AS[[#This Row],[Large Provider Entity Code]]&amp;"; "&amp;R2459&amp;AS[[#This Row],[Age Band Code]]&amp;"; "&amp;S2459&amp;AS[[#This Row],[Sex Code]]</f>
        <v xml:space="preserve">Insurer Code ; Reporting Year ; Insurance Category Code ; Large Provider Entity Code ; Age Band Code ; Sex Code </v>
      </c>
      <c r="N2459" s="345" t="s">
        <v>207</v>
      </c>
      <c r="O2459" s="345" t="s">
        <v>208</v>
      </c>
      <c r="P2459" s="345" t="s">
        <v>209</v>
      </c>
      <c r="Q2459" s="345" t="s">
        <v>210</v>
      </c>
      <c r="R2459" s="345" t="s">
        <v>223</v>
      </c>
      <c r="S2459" s="345" t="s">
        <v>224</v>
      </c>
    </row>
    <row r="2460" spans="1:19" x14ac:dyDescent="0.25">
      <c r="A2460" s="311"/>
      <c r="B2460" s="312"/>
      <c r="C2460" s="312"/>
      <c r="D2460" s="312"/>
      <c r="E2460" s="312"/>
      <c r="F2460" s="312"/>
      <c r="G2460" s="328"/>
      <c r="H2460" s="337"/>
      <c r="I2460" s="334"/>
      <c r="J2460" s="314"/>
      <c r="K2460" s="449"/>
      <c r="M2460" s="349" t="str">
        <f>N2460&amp;AS[[#This Row],[Insurer Code]]&amp;"; "&amp;O2460&amp;AS[[#This Row],[Reporting Year]]&amp;"; "&amp;P2460&amp;AS[[#This Row],[Insurance Category Code]]&amp;"; "&amp;Q2460&amp;AS[[#This Row],[Large Provider Entity Code]]&amp;"; "&amp;R2460&amp;AS[[#This Row],[Age Band Code]]&amp;"; "&amp;S2460&amp;AS[[#This Row],[Sex Code]]</f>
        <v xml:space="preserve">Insurer Code ; Reporting Year ; Insurance Category Code ; Large Provider Entity Code ; Age Band Code ; Sex Code </v>
      </c>
      <c r="N2460" s="345" t="s">
        <v>207</v>
      </c>
      <c r="O2460" s="345" t="s">
        <v>208</v>
      </c>
      <c r="P2460" s="345" t="s">
        <v>209</v>
      </c>
      <c r="Q2460" s="345" t="s">
        <v>210</v>
      </c>
      <c r="R2460" s="345" t="s">
        <v>223</v>
      </c>
      <c r="S2460" s="345" t="s">
        <v>224</v>
      </c>
    </row>
    <row r="2461" spans="1:19" x14ac:dyDescent="0.25">
      <c r="A2461" s="311"/>
      <c r="B2461" s="312"/>
      <c r="C2461" s="312"/>
      <c r="D2461" s="312"/>
      <c r="E2461" s="312"/>
      <c r="F2461" s="312"/>
      <c r="G2461" s="328"/>
      <c r="H2461" s="337"/>
      <c r="I2461" s="334"/>
      <c r="J2461" s="314"/>
      <c r="K2461" s="449"/>
      <c r="M2461" s="349" t="str">
        <f>N2461&amp;AS[[#This Row],[Insurer Code]]&amp;"; "&amp;O2461&amp;AS[[#This Row],[Reporting Year]]&amp;"; "&amp;P2461&amp;AS[[#This Row],[Insurance Category Code]]&amp;"; "&amp;Q2461&amp;AS[[#This Row],[Large Provider Entity Code]]&amp;"; "&amp;R2461&amp;AS[[#This Row],[Age Band Code]]&amp;"; "&amp;S2461&amp;AS[[#This Row],[Sex Code]]</f>
        <v xml:space="preserve">Insurer Code ; Reporting Year ; Insurance Category Code ; Large Provider Entity Code ; Age Band Code ; Sex Code </v>
      </c>
      <c r="N2461" s="345" t="s">
        <v>207</v>
      </c>
      <c r="O2461" s="345" t="s">
        <v>208</v>
      </c>
      <c r="P2461" s="345" t="s">
        <v>209</v>
      </c>
      <c r="Q2461" s="345" t="s">
        <v>210</v>
      </c>
      <c r="R2461" s="345" t="s">
        <v>223</v>
      </c>
      <c r="S2461" s="345" t="s">
        <v>224</v>
      </c>
    </row>
    <row r="2462" spans="1:19" x14ac:dyDescent="0.25">
      <c r="A2462" s="311"/>
      <c r="B2462" s="312"/>
      <c r="C2462" s="312"/>
      <c r="D2462" s="312"/>
      <c r="E2462" s="312"/>
      <c r="F2462" s="312"/>
      <c r="G2462" s="328"/>
      <c r="H2462" s="337"/>
      <c r="I2462" s="334"/>
      <c r="J2462" s="314"/>
      <c r="K2462" s="449"/>
      <c r="M2462" s="349" t="str">
        <f>N2462&amp;AS[[#This Row],[Insurer Code]]&amp;"; "&amp;O2462&amp;AS[[#This Row],[Reporting Year]]&amp;"; "&amp;P2462&amp;AS[[#This Row],[Insurance Category Code]]&amp;"; "&amp;Q2462&amp;AS[[#This Row],[Large Provider Entity Code]]&amp;"; "&amp;R2462&amp;AS[[#This Row],[Age Band Code]]&amp;"; "&amp;S2462&amp;AS[[#This Row],[Sex Code]]</f>
        <v xml:space="preserve">Insurer Code ; Reporting Year ; Insurance Category Code ; Large Provider Entity Code ; Age Band Code ; Sex Code </v>
      </c>
      <c r="N2462" s="345" t="s">
        <v>207</v>
      </c>
      <c r="O2462" s="345" t="s">
        <v>208</v>
      </c>
      <c r="P2462" s="345" t="s">
        <v>209</v>
      </c>
      <c r="Q2462" s="345" t="s">
        <v>210</v>
      </c>
      <c r="R2462" s="345" t="s">
        <v>223</v>
      </c>
      <c r="S2462" s="345" t="s">
        <v>224</v>
      </c>
    </row>
    <row r="2463" spans="1:19" x14ac:dyDescent="0.25">
      <c r="A2463" s="311"/>
      <c r="B2463" s="312"/>
      <c r="C2463" s="312"/>
      <c r="D2463" s="312"/>
      <c r="E2463" s="312"/>
      <c r="F2463" s="312"/>
      <c r="G2463" s="328"/>
      <c r="H2463" s="337"/>
      <c r="I2463" s="334"/>
      <c r="J2463" s="314"/>
      <c r="K2463" s="449"/>
      <c r="M2463" s="349" t="str">
        <f>N2463&amp;AS[[#This Row],[Insurer Code]]&amp;"; "&amp;O2463&amp;AS[[#This Row],[Reporting Year]]&amp;"; "&amp;P2463&amp;AS[[#This Row],[Insurance Category Code]]&amp;"; "&amp;Q2463&amp;AS[[#This Row],[Large Provider Entity Code]]&amp;"; "&amp;R2463&amp;AS[[#This Row],[Age Band Code]]&amp;"; "&amp;S2463&amp;AS[[#This Row],[Sex Code]]</f>
        <v xml:space="preserve">Insurer Code ; Reporting Year ; Insurance Category Code ; Large Provider Entity Code ; Age Band Code ; Sex Code </v>
      </c>
      <c r="N2463" s="345" t="s">
        <v>207</v>
      </c>
      <c r="O2463" s="345" t="s">
        <v>208</v>
      </c>
      <c r="P2463" s="345" t="s">
        <v>209</v>
      </c>
      <c r="Q2463" s="345" t="s">
        <v>210</v>
      </c>
      <c r="R2463" s="345" t="s">
        <v>223</v>
      </c>
      <c r="S2463" s="345" t="s">
        <v>224</v>
      </c>
    </row>
    <row r="2464" spans="1:19" x14ac:dyDescent="0.25">
      <c r="A2464" s="311"/>
      <c r="B2464" s="312"/>
      <c r="C2464" s="312"/>
      <c r="D2464" s="312"/>
      <c r="E2464" s="312"/>
      <c r="F2464" s="312"/>
      <c r="G2464" s="328"/>
      <c r="H2464" s="337"/>
      <c r="I2464" s="334"/>
      <c r="J2464" s="314"/>
      <c r="K2464" s="449"/>
      <c r="M2464" s="349" t="str">
        <f>N2464&amp;AS[[#This Row],[Insurer Code]]&amp;"; "&amp;O2464&amp;AS[[#This Row],[Reporting Year]]&amp;"; "&amp;P2464&amp;AS[[#This Row],[Insurance Category Code]]&amp;"; "&amp;Q2464&amp;AS[[#This Row],[Large Provider Entity Code]]&amp;"; "&amp;R2464&amp;AS[[#This Row],[Age Band Code]]&amp;"; "&amp;S2464&amp;AS[[#This Row],[Sex Code]]</f>
        <v xml:space="preserve">Insurer Code ; Reporting Year ; Insurance Category Code ; Large Provider Entity Code ; Age Band Code ; Sex Code </v>
      </c>
      <c r="N2464" s="345" t="s">
        <v>207</v>
      </c>
      <c r="O2464" s="345" t="s">
        <v>208</v>
      </c>
      <c r="P2464" s="345" t="s">
        <v>209</v>
      </c>
      <c r="Q2464" s="345" t="s">
        <v>210</v>
      </c>
      <c r="R2464" s="345" t="s">
        <v>223</v>
      </c>
      <c r="S2464" s="345" t="s">
        <v>224</v>
      </c>
    </row>
    <row r="2465" spans="1:19" x14ac:dyDescent="0.25">
      <c r="A2465" s="311"/>
      <c r="B2465" s="312"/>
      <c r="C2465" s="312"/>
      <c r="D2465" s="312"/>
      <c r="E2465" s="312"/>
      <c r="F2465" s="312"/>
      <c r="G2465" s="328"/>
      <c r="H2465" s="337"/>
      <c r="I2465" s="334"/>
      <c r="J2465" s="314"/>
      <c r="K2465" s="449"/>
      <c r="M2465" s="349" t="str">
        <f>N2465&amp;AS[[#This Row],[Insurer Code]]&amp;"; "&amp;O2465&amp;AS[[#This Row],[Reporting Year]]&amp;"; "&amp;P2465&amp;AS[[#This Row],[Insurance Category Code]]&amp;"; "&amp;Q2465&amp;AS[[#This Row],[Large Provider Entity Code]]&amp;"; "&amp;R2465&amp;AS[[#This Row],[Age Band Code]]&amp;"; "&amp;S2465&amp;AS[[#This Row],[Sex Code]]</f>
        <v xml:space="preserve">Insurer Code ; Reporting Year ; Insurance Category Code ; Large Provider Entity Code ; Age Band Code ; Sex Code </v>
      </c>
      <c r="N2465" s="345" t="s">
        <v>207</v>
      </c>
      <c r="O2465" s="345" t="s">
        <v>208</v>
      </c>
      <c r="P2465" s="345" t="s">
        <v>209</v>
      </c>
      <c r="Q2465" s="345" t="s">
        <v>210</v>
      </c>
      <c r="R2465" s="345" t="s">
        <v>223</v>
      </c>
      <c r="S2465" s="345" t="s">
        <v>224</v>
      </c>
    </row>
    <row r="2466" spans="1:19" x14ac:dyDescent="0.25">
      <c r="A2466" s="311"/>
      <c r="B2466" s="312"/>
      <c r="C2466" s="312"/>
      <c r="D2466" s="312"/>
      <c r="E2466" s="312"/>
      <c r="F2466" s="312"/>
      <c r="G2466" s="328"/>
      <c r="H2466" s="337"/>
      <c r="I2466" s="334"/>
      <c r="J2466" s="314"/>
      <c r="K2466" s="449"/>
      <c r="M2466" s="349" t="str">
        <f>N2466&amp;AS[[#This Row],[Insurer Code]]&amp;"; "&amp;O2466&amp;AS[[#This Row],[Reporting Year]]&amp;"; "&amp;P2466&amp;AS[[#This Row],[Insurance Category Code]]&amp;"; "&amp;Q2466&amp;AS[[#This Row],[Large Provider Entity Code]]&amp;"; "&amp;R2466&amp;AS[[#This Row],[Age Band Code]]&amp;"; "&amp;S2466&amp;AS[[#This Row],[Sex Code]]</f>
        <v xml:space="preserve">Insurer Code ; Reporting Year ; Insurance Category Code ; Large Provider Entity Code ; Age Band Code ; Sex Code </v>
      </c>
      <c r="N2466" s="345" t="s">
        <v>207</v>
      </c>
      <c r="O2466" s="345" t="s">
        <v>208</v>
      </c>
      <c r="P2466" s="345" t="s">
        <v>209</v>
      </c>
      <c r="Q2466" s="345" t="s">
        <v>210</v>
      </c>
      <c r="R2466" s="345" t="s">
        <v>223</v>
      </c>
      <c r="S2466" s="345" t="s">
        <v>224</v>
      </c>
    </row>
    <row r="2467" spans="1:19" x14ac:dyDescent="0.25">
      <c r="A2467" s="311"/>
      <c r="B2467" s="312"/>
      <c r="C2467" s="312"/>
      <c r="D2467" s="312"/>
      <c r="E2467" s="312"/>
      <c r="F2467" s="312"/>
      <c r="G2467" s="328"/>
      <c r="H2467" s="337"/>
      <c r="I2467" s="334"/>
      <c r="J2467" s="314"/>
      <c r="K2467" s="449"/>
      <c r="M2467" s="349" t="str">
        <f>N2467&amp;AS[[#This Row],[Insurer Code]]&amp;"; "&amp;O2467&amp;AS[[#This Row],[Reporting Year]]&amp;"; "&amp;P2467&amp;AS[[#This Row],[Insurance Category Code]]&amp;"; "&amp;Q2467&amp;AS[[#This Row],[Large Provider Entity Code]]&amp;"; "&amp;R2467&amp;AS[[#This Row],[Age Band Code]]&amp;"; "&amp;S2467&amp;AS[[#This Row],[Sex Code]]</f>
        <v xml:space="preserve">Insurer Code ; Reporting Year ; Insurance Category Code ; Large Provider Entity Code ; Age Band Code ; Sex Code </v>
      </c>
      <c r="N2467" s="345" t="s">
        <v>207</v>
      </c>
      <c r="O2467" s="345" t="s">
        <v>208</v>
      </c>
      <c r="P2467" s="345" t="s">
        <v>209</v>
      </c>
      <c r="Q2467" s="345" t="s">
        <v>210</v>
      </c>
      <c r="R2467" s="345" t="s">
        <v>223</v>
      </c>
      <c r="S2467" s="345" t="s">
        <v>224</v>
      </c>
    </row>
    <row r="2468" spans="1:19" x14ac:dyDescent="0.25">
      <c r="A2468" s="311"/>
      <c r="B2468" s="312"/>
      <c r="C2468" s="312"/>
      <c r="D2468" s="312"/>
      <c r="E2468" s="312"/>
      <c r="F2468" s="312"/>
      <c r="G2468" s="328"/>
      <c r="H2468" s="337"/>
      <c r="I2468" s="334"/>
      <c r="J2468" s="314"/>
      <c r="K2468" s="449"/>
      <c r="M2468" s="349" t="str">
        <f>N2468&amp;AS[[#This Row],[Insurer Code]]&amp;"; "&amp;O2468&amp;AS[[#This Row],[Reporting Year]]&amp;"; "&amp;P2468&amp;AS[[#This Row],[Insurance Category Code]]&amp;"; "&amp;Q2468&amp;AS[[#This Row],[Large Provider Entity Code]]&amp;"; "&amp;R2468&amp;AS[[#This Row],[Age Band Code]]&amp;"; "&amp;S2468&amp;AS[[#This Row],[Sex Code]]</f>
        <v xml:space="preserve">Insurer Code ; Reporting Year ; Insurance Category Code ; Large Provider Entity Code ; Age Band Code ; Sex Code </v>
      </c>
      <c r="N2468" s="345" t="s">
        <v>207</v>
      </c>
      <c r="O2468" s="345" t="s">
        <v>208</v>
      </c>
      <c r="P2468" s="345" t="s">
        <v>209</v>
      </c>
      <c r="Q2468" s="345" t="s">
        <v>210</v>
      </c>
      <c r="R2468" s="345" t="s">
        <v>223</v>
      </c>
      <c r="S2468" s="345" t="s">
        <v>224</v>
      </c>
    </row>
    <row r="2469" spans="1:19" x14ac:dyDescent="0.25">
      <c r="A2469" s="311"/>
      <c r="B2469" s="312"/>
      <c r="C2469" s="312"/>
      <c r="D2469" s="312"/>
      <c r="E2469" s="312"/>
      <c r="F2469" s="312"/>
      <c r="G2469" s="328"/>
      <c r="H2469" s="337"/>
      <c r="I2469" s="334"/>
      <c r="J2469" s="314"/>
      <c r="K2469" s="449"/>
      <c r="M2469" s="349" t="str">
        <f>N2469&amp;AS[[#This Row],[Insurer Code]]&amp;"; "&amp;O2469&amp;AS[[#This Row],[Reporting Year]]&amp;"; "&amp;P2469&amp;AS[[#This Row],[Insurance Category Code]]&amp;"; "&amp;Q2469&amp;AS[[#This Row],[Large Provider Entity Code]]&amp;"; "&amp;R2469&amp;AS[[#This Row],[Age Band Code]]&amp;"; "&amp;S2469&amp;AS[[#This Row],[Sex Code]]</f>
        <v xml:space="preserve">Insurer Code ; Reporting Year ; Insurance Category Code ; Large Provider Entity Code ; Age Band Code ; Sex Code </v>
      </c>
      <c r="N2469" s="345" t="s">
        <v>207</v>
      </c>
      <c r="O2469" s="345" t="s">
        <v>208</v>
      </c>
      <c r="P2469" s="345" t="s">
        <v>209</v>
      </c>
      <c r="Q2469" s="345" t="s">
        <v>210</v>
      </c>
      <c r="R2469" s="345" t="s">
        <v>223</v>
      </c>
      <c r="S2469" s="345" t="s">
        <v>224</v>
      </c>
    </row>
    <row r="2470" spans="1:19" x14ac:dyDescent="0.25">
      <c r="A2470" s="311"/>
      <c r="B2470" s="312"/>
      <c r="C2470" s="312"/>
      <c r="D2470" s="312"/>
      <c r="E2470" s="312"/>
      <c r="F2470" s="312"/>
      <c r="G2470" s="328"/>
      <c r="H2470" s="337"/>
      <c r="I2470" s="334"/>
      <c r="J2470" s="314"/>
      <c r="K2470" s="449"/>
      <c r="M2470" s="349" t="str">
        <f>N2470&amp;AS[[#This Row],[Insurer Code]]&amp;"; "&amp;O2470&amp;AS[[#This Row],[Reporting Year]]&amp;"; "&amp;P2470&amp;AS[[#This Row],[Insurance Category Code]]&amp;"; "&amp;Q2470&amp;AS[[#This Row],[Large Provider Entity Code]]&amp;"; "&amp;R2470&amp;AS[[#This Row],[Age Band Code]]&amp;"; "&amp;S2470&amp;AS[[#This Row],[Sex Code]]</f>
        <v xml:space="preserve">Insurer Code ; Reporting Year ; Insurance Category Code ; Large Provider Entity Code ; Age Band Code ; Sex Code </v>
      </c>
      <c r="N2470" s="345" t="s">
        <v>207</v>
      </c>
      <c r="O2470" s="345" t="s">
        <v>208</v>
      </c>
      <c r="P2470" s="345" t="s">
        <v>209</v>
      </c>
      <c r="Q2470" s="345" t="s">
        <v>210</v>
      </c>
      <c r="R2470" s="345" t="s">
        <v>223</v>
      </c>
      <c r="S2470" s="345" t="s">
        <v>224</v>
      </c>
    </row>
    <row r="2471" spans="1:19" x14ac:dyDescent="0.25">
      <c r="A2471" s="311"/>
      <c r="B2471" s="312"/>
      <c r="C2471" s="312"/>
      <c r="D2471" s="312"/>
      <c r="E2471" s="312"/>
      <c r="F2471" s="312"/>
      <c r="G2471" s="328"/>
      <c r="H2471" s="337"/>
      <c r="I2471" s="334"/>
      <c r="J2471" s="314"/>
      <c r="K2471" s="449"/>
      <c r="M2471" s="349" t="str">
        <f>N2471&amp;AS[[#This Row],[Insurer Code]]&amp;"; "&amp;O2471&amp;AS[[#This Row],[Reporting Year]]&amp;"; "&amp;P2471&amp;AS[[#This Row],[Insurance Category Code]]&amp;"; "&amp;Q2471&amp;AS[[#This Row],[Large Provider Entity Code]]&amp;"; "&amp;R2471&amp;AS[[#This Row],[Age Band Code]]&amp;"; "&amp;S2471&amp;AS[[#This Row],[Sex Code]]</f>
        <v xml:space="preserve">Insurer Code ; Reporting Year ; Insurance Category Code ; Large Provider Entity Code ; Age Band Code ; Sex Code </v>
      </c>
      <c r="N2471" s="345" t="s">
        <v>207</v>
      </c>
      <c r="O2471" s="345" t="s">
        <v>208</v>
      </c>
      <c r="P2471" s="345" t="s">
        <v>209</v>
      </c>
      <c r="Q2471" s="345" t="s">
        <v>210</v>
      </c>
      <c r="R2471" s="345" t="s">
        <v>223</v>
      </c>
      <c r="S2471" s="345" t="s">
        <v>224</v>
      </c>
    </row>
    <row r="2472" spans="1:19" x14ac:dyDescent="0.25">
      <c r="A2472" s="311"/>
      <c r="B2472" s="312"/>
      <c r="C2472" s="312"/>
      <c r="D2472" s="312"/>
      <c r="E2472" s="312"/>
      <c r="F2472" s="312"/>
      <c r="G2472" s="328"/>
      <c r="H2472" s="337"/>
      <c r="I2472" s="334"/>
      <c r="J2472" s="314"/>
      <c r="K2472" s="449"/>
      <c r="M2472" s="349" t="str">
        <f>N2472&amp;AS[[#This Row],[Insurer Code]]&amp;"; "&amp;O2472&amp;AS[[#This Row],[Reporting Year]]&amp;"; "&amp;P2472&amp;AS[[#This Row],[Insurance Category Code]]&amp;"; "&amp;Q2472&amp;AS[[#This Row],[Large Provider Entity Code]]&amp;"; "&amp;R2472&amp;AS[[#This Row],[Age Band Code]]&amp;"; "&amp;S2472&amp;AS[[#This Row],[Sex Code]]</f>
        <v xml:space="preserve">Insurer Code ; Reporting Year ; Insurance Category Code ; Large Provider Entity Code ; Age Band Code ; Sex Code </v>
      </c>
      <c r="N2472" s="345" t="s">
        <v>207</v>
      </c>
      <c r="O2472" s="345" t="s">
        <v>208</v>
      </c>
      <c r="P2472" s="345" t="s">
        <v>209</v>
      </c>
      <c r="Q2472" s="345" t="s">
        <v>210</v>
      </c>
      <c r="R2472" s="345" t="s">
        <v>223</v>
      </c>
      <c r="S2472" s="345" t="s">
        <v>224</v>
      </c>
    </row>
    <row r="2473" spans="1:19" x14ac:dyDescent="0.25">
      <c r="A2473" s="311"/>
      <c r="B2473" s="312"/>
      <c r="C2473" s="312"/>
      <c r="D2473" s="312"/>
      <c r="E2473" s="312"/>
      <c r="F2473" s="312"/>
      <c r="G2473" s="328"/>
      <c r="H2473" s="337"/>
      <c r="I2473" s="334"/>
      <c r="J2473" s="314"/>
      <c r="K2473" s="449"/>
      <c r="M2473" s="349" t="str">
        <f>N2473&amp;AS[[#This Row],[Insurer Code]]&amp;"; "&amp;O2473&amp;AS[[#This Row],[Reporting Year]]&amp;"; "&amp;P2473&amp;AS[[#This Row],[Insurance Category Code]]&amp;"; "&amp;Q2473&amp;AS[[#This Row],[Large Provider Entity Code]]&amp;"; "&amp;R2473&amp;AS[[#This Row],[Age Band Code]]&amp;"; "&amp;S2473&amp;AS[[#This Row],[Sex Code]]</f>
        <v xml:space="preserve">Insurer Code ; Reporting Year ; Insurance Category Code ; Large Provider Entity Code ; Age Band Code ; Sex Code </v>
      </c>
      <c r="N2473" s="345" t="s">
        <v>207</v>
      </c>
      <c r="O2473" s="345" t="s">
        <v>208</v>
      </c>
      <c r="P2473" s="345" t="s">
        <v>209</v>
      </c>
      <c r="Q2473" s="345" t="s">
        <v>210</v>
      </c>
      <c r="R2473" s="345" t="s">
        <v>223</v>
      </c>
      <c r="S2473" s="345" t="s">
        <v>224</v>
      </c>
    </row>
    <row r="2474" spans="1:19" x14ac:dyDescent="0.25">
      <c r="A2474" s="311"/>
      <c r="B2474" s="312"/>
      <c r="C2474" s="312"/>
      <c r="D2474" s="312"/>
      <c r="E2474" s="312"/>
      <c r="F2474" s="312"/>
      <c r="G2474" s="328"/>
      <c r="H2474" s="337"/>
      <c r="I2474" s="334"/>
      <c r="J2474" s="314"/>
      <c r="K2474" s="449"/>
      <c r="M2474" s="349" t="str">
        <f>N2474&amp;AS[[#This Row],[Insurer Code]]&amp;"; "&amp;O2474&amp;AS[[#This Row],[Reporting Year]]&amp;"; "&amp;P2474&amp;AS[[#This Row],[Insurance Category Code]]&amp;"; "&amp;Q2474&amp;AS[[#This Row],[Large Provider Entity Code]]&amp;"; "&amp;R2474&amp;AS[[#This Row],[Age Band Code]]&amp;"; "&amp;S2474&amp;AS[[#This Row],[Sex Code]]</f>
        <v xml:space="preserve">Insurer Code ; Reporting Year ; Insurance Category Code ; Large Provider Entity Code ; Age Band Code ; Sex Code </v>
      </c>
      <c r="N2474" s="345" t="s">
        <v>207</v>
      </c>
      <c r="O2474" s="345" t="s">
        <v>208</v>
      </c>
      <c r="P2474" s="345" t="s">
        <v>209</v>
      </c>
      <c r="Q2474" s="345" t="s">
        <v>210</v>
      </c>
      <c r="R2474" s="345" t="s">
        <v>223</v>
      </c>
      <c r="S2474" s="345" t="s">
        <v>224</v>
      </c>
    </row>
    <row r="2475" spans="1:19" x14ac:dyDescent="0.25">
      <c r="A2475" s="311"/>
      <c r="B2475" s="312"/>
      <c r="C2475" s="312"/>
      <c r="D2475" s="312"/>
      <c r="E2475" s="312"/>
      <c r="F2475" s="312"/>
      <c r="G2475" s="328"/>
      <c r="H2475" s="337"/>
      <c r="I2475" s="334"/>
      <c r="J2475" s="314"/>
      <c r="K2475" s="449"/>
      <c r="M2475" s="349" t="str">
        <f>N2475&amp;AS[[#This Row],[Insurer Code]]&amp;"; "&amp;O2475&amp;AS[[#This Row],[Reporting Year]]&amp;"; "&amp;P2475&amp;AS[[#This Row],[Insurance Category Code]]&amp;"; "&amp;Q2475&amp;AS[[#This Row],[Large Provider Entity Code]]&amp;"; "&amp;R2475&amp;AS[[#This Row],[Age Band Code]]&amp;"; "&amp;S2475&amp;AS[[#This Row],[Sex Code]]</f>
        <v xml:space="preserve">Insurer Code ; Reporting Year ; Insurance Category Code ; Large Provider Entity Code ; Age Band Code ; Sex Code </v>
      </c>
      <c r="N2475" s="345" t="s">
        <v>207</v>
      </c>
      <c r="O2475" s="345" t="s">
        <v>208</v>
      </c>
      <c r="P2475" s="345" t="s">
        <v>209</v>
      </c>
      <c r="Q2475" s="345" t="s">
        <v>210</v>
      </c>
      <c r="R2475" s="345" t="s">
        <v>223</v>
      </c>
      <c r="S2475" s="345" t="s">
        <v>224</v>
      </c>
    </row>
    <row r="2476" spans="1:19" x14ac:dyDescent="0.25">
      <c r="A2476" s="311"/>
      <c r="B2476" s="312"/>
      <c r="C2476" s="312"/>
      <c r="D2476" s="312"/>
      <c r="E2476" s="312"/>
      <c r="F2476" s="312"/>
      <c r="G2476" s="328"/>
      <c r="H2476" s="337"/>
      <c r="I2476" s="334"/>
      <c r="J2476" s="314"/>
      <c r="K2476" s="449"/>
      <c r="M2476" s="349" t="str">
        <f>N2476&amp;AS[[#This Row],[Insurer Code]]&amp;"; "&amp;O2476&amp;AS[[#This Row],[Reporting Year]]&amp;"; "&amp;P2476&amp;AS[[#This Row],[Insurance Category Code]]&amp;"; "&amp;Q2476&amp;AS[[#This Row],[Large Provider Entity Code]]&amp;"; "&amp;R2476&amp;AS[[#This Row],[Age Band Code]]&amp;"; "&amp;S2476&amp;AS[[#This Row],[Sex Code]]</f>
        <v xml:space="preserve">Insurer Code ; Reporting Year ; Insurance Category Code ; Large Provider Entity Code ; Age Band Code ; Sex Code </v>
      </c>
      <c r="N2476" s="345" t="s">
        <v>207</v>
      </c>
      <c r="O2476" s="345" t="s">
        <v>208</v>
      </c>
      <c r="P2476" s="345" t="s">
        <v>209</v>
      </c>
      <c r="Q2476" s="345" t="s">
        <v>210</v>
      </c>
      <c r="R2476" s="345" t="s">
        <v>223</v>
      </c>
      <c r="S2476" s="345" t="s">
        <v>224</v>
      </c>
    </row>
    <row r="2477" spans="1:19" x14ac:dyDescent="0.25">
      <c r="A2477" s="311"/>
      <c r="B2477" s="312"/>
      <c r="C2477" s="312"/>
      <c r="D2477" s="312"/>
      <c r="E2477" s="312"/>
      <c r="F2477" s="312"/>
      <c r="G2477" s="328"/>
      <c r="H2477" s="337"/>
      <c r="I2477" s="334"/>
      <c r="J2477" s="314"/>
      <c r="K2477" s="449"/>
      <c r="M2477" s="349" t="str">
        <f>N2477&amp;AS[[#This Row],[Insurer Code]]&amp;"; "&amp;O2477&amp;AS[[#This Row],[Reporting Year]]&amp;"; "&amp;P2477&amp;AS[[#This Row],[Insurance Category Code]]&amp;"; "&amp;Q2477&amp;AS[[#This Row],[Large Provider Entity Code]]&amp;"; "&amp;R2477&amp;AS[[#This Row],[Age Band Code]]&amp;"; "&amp;S2477&amp;AS[[#This Row],[Sex Code]]</f>
        <v xml:space="preserve">Insurer Code ; Reporting Year ; Insurance Category Code ; Large Provider Entity Code ; Age Band Code ; Sex Code </v>
      </c>
      <c r="N2477" s="345" t="s">
        <v>207</v>
      </c>
      <c r="O2477" s="345" t="s">
        <v>208</v>
      </c>
      <c r="P2477" s="345" t="s">
        <v>209</v>
      </c>
      <c r="Q2477" s="345" t="s">
        <v>210</v>
      </c>
      <c r="R2477" s="345" t="s">
        <v>223</v>
      </c>
      <c r="S2477" s="345" t="s">
        <v>224</v>
      </c>
    </row>
    <row r="2478" spans="1:19" x14ac:dyDescent="0.25">
      <c r="A2478" s="311"/>
      <c r="B2478" s="312"/>
      <c r="C2478" s="312"/>
      <c r="D2478" s="312"/>
      <c r="E2478" s="312"/>
      <c r="F2478" s="312"/>
      <c r="G2478" s="328"/>
      <c r="H2478" s="337"/>
      <c r="I2478" s="334"/>
      <c r="J2478" s="314"/>
      <c r="K2478" s="449"/>
      <c r="M2478" s="349" t="str">
        <f>N2478&amp;AS[[#This Row],[Insurer Code]]&amp;"; "&amp;O2478&amp;AS[[#This Row],[Reporting Year]]&amp;"; "&amp;P2478&amp;AS[[#This Row],[Insurance Category Code]]&amp;"; "&amp;Q2478&amp;AS[[#This Row],[Large Provider Entity Code]]&amp;"; "&amp;R2478&amp;AS[[#This Row],[Age Band Code]]&amp;"; "&amp;S2478&amp;AS[[#This Row],[Sex Code]]</f>
        <v xml:space="preserve">Insurer Code ; Reporting Year ; Insurance Category Code ; Large Provider Entity Code ; Age Band Code ; Sex Code </v>
      </c>
      <c r="N2478" s="345" t="s">
        <v>207</v>
      </c>
      <c r="O2478" s="345" t="s">
        <v>208</v>
      </c>
      <c r="P2478" s="345" t="s">
        <v>209</v>
      </c>
      <c r="Q2478" s="345" t="s">
        <v>210</v>
      </c>
      <c r="R2478" s="345" t="s">
        <v>223</v>
      </c>
      <c r="S2478" s="345" t="s">
        <v>224</v>
      </c>
    </row>
    <row r="2479" spans="1:19" x14ac:dyDescent="0.25">
      <c r="A2479" s="311"/>
      <c r="B2479" s="312"/>
      <c r="C2479" s="312"/>
      <c r="D2479" s="312"/>
      <c r="E2479" s="312"/>
      <c r="F2479" s="312"/>
      <c r="G2479" s="328"/>
      <c r="H2479" s="337"/>
      <c r="I2479" s="334"/>
      <c r="J2479" s="314"/>
      <c r="K2479" s="449"/>
      <c r="M2479" s="349" t="str">
        <f>N2479&amp;AS[[#This Row],[Insurer Code]]&amp;"; "&amp;O2479&amp;AS[[#This Row],[Reporting Year]]&amp;"; "&amp;P2479&amp;AS[[#This Row],[Insurance Category Code]]&amp;"; "&amp;Q2479&amp;AS[[#This Row],[Large Provider Entity Code]]&amp;"; "&amp;R2479&amp;AS[[#This Row],[Age Band Code]]&amp;"; "&amp;S2479&amp;AS[[#This Row],[Sex Code]]</f>
        <v xml:space="preserve">Insurer Code ; Reporting Year ; Insurance Category Code ; Large Provider Entity Code ; Age Band Code ; Sex Code </v>
      </c>
      <c r="N2479" s="345" t="s">
        <v>207</v>
      </c>
      <c r="O2479" s="345" t="s">
        <v>208</v>
      </c>
      <c r="P2479" s="345" t="s">
        <v>209</v>
      </c>
      <c r="Q2479" s="345" t="s">
        <v>210</v>
      </c>
      <c r="R2479" s="345" t="s">
        <v>223</v>
      </c>
      <c r="S2479" s="345" t="s">
        <v>224</v>
      </c>
    </row>
    <row r="2480" spans="1:19" x14ac:dyDescent="0.25">
      <c r="A2480" s="311"/>
      <c r="B2480" s="312"/>
      <c r="C2480" s="312"/>
      <c r="D2480" s="312"/>
      <c r="E2480" s="312"/>
      <c r="F2480" s="312"/>
      <c r="G2480" s="328"/>
      <c r="H2480" s="337"/>
      <c r="I2480" s="334"/>
      <c r="J2480" s="314"/>
      <c r="K2480" s="449"/>
      <c r="M2480" s="349" t="str">
        <f>N2480&amp;AS[[#This Row],[Insurer Code]]&amp;"; "&amp;O2480&amp;AS[[#This Row],[Reporting Year]]&amp;"; "&amp;P2480&amp;AS[[#This Row],[Insurance Category Code]]&amp;"; "&amp;Q2480&amp;AS[[#This Row],[Large Provider Entity Code]]&amp;"; "&amp;R2480&amp;AS[[#This Row],[Age Band Code]]&amp;"; "&amp;S2480&amp;AS[[#This Row],[Sex Code]]</f>
        <v xml:space="preserve">Insurer Code ; Reporting Year ; Insurance Category Code ; Large Provider Entity Code ; Age Band Code ; Sex Code </v>
      </c>
      <c r="N2480" s="345" t="s">
        <v>207</v>
      </c>
      <c r="O2480" s="345" t="s">
        <v>208</v>
      </c>
      <c r="P2480" s="345" t="s">
        <v>209</v>
      </c>
      <c r="Q2480" s="345" t="s">
        <v>210</v>
      </c>
      <c r="R2480" s="345" t="s">
        <v>223</v>
      </c>
      <c r="S2480" s="345" t="s">
        <v>224</v>
      </c>
    </row>
    <row r="2481" spans="1:19" x14ac:dyDescent="0.25">
      <c r="A2481" s="311"/>
      <c r="B2481" s="312"/>
      <c r="C2481" s="312"/>
      <c r="D2481" s="312"/>
      <c r="E2481" s="312"/>
      <c r="F2481" s="312"/>
      <c r="G2481" s="328"/>
      <c r="H2481" s="337"/>
      <c r="I2481" s="334"/>
      <c r="J2481" s="314"/>
      <c r="K2481" s="449"/>
      <c r="M2481" s="349" t="str">
        <f>N2481&amp;AS[[#This Row],[Insurer Code]]&amp;"; "&amp;O2481&amp;AS[[#This Row],[Reporting Year]]&amp;"; "&amp;P2481&amp;AS[[#This Row],[Insurance Category Code]]&amp;"; "&amp;Q2481&amp;AS[[#This Row],[Large Provider Entity Code]]&amp;"; "&amp;R2481&amp;AS[[#This Row],[Age Band Code]]&amp;"; "&amp;S2481&amp;AS[[#This Row],[Sex Code]]</f>
        <v xml:space="preserve">Insurer Code ; Reporting Year ; Insurance Category Code ; Large Provider Entity Code ; Age Band Code ; Sex Code </v>
      </c>
      <c r="N2481" s="345" t="s">
        <v>207</v>
      </c>
      <c r="O2481" s="345" t="s">
        <v>208</v>
      </c>
      <c r="P2481" s="345" t="s">
        <v>209</v>
      </c>
      <c r="Q2481" s="345" t="s">
        <v>210</v>
      </c>
      <c r="R2481" s="345" t="s">
        <v>223</v>
      </c>
      <c r="S2481" s="345" t="s">
        <v>224</v>
      </c>
    </row>
    <row r="2482" spans="1:19" x14ac:dyDescent="0.25">
      <c r="A2482" s="311"/>
      <c r="B2482" s="312"/>
      <c r="C2482" s="312"/>
      <c r="D2482" s="312"/>
      <c r="E2482" s="312"/>
      <c r="F2482" s="312"/>
      <c r="G2482" s="328"/>
      <c r="H2482" s="337"/>
      <c r="I2482" s="334"/>
      <c r="J2482" s="314"/>
      <c r="K2482" s="449"/>
      <c r="M2482" s="349" t="str">
        <f>N2482&amp;AS[[#This Row],[Insurer Code]]&amp;"; "&amp;O2482&amp;AS[[#This Row],[Reporting Year]]&amp;"; "&amp;P2482&amp;AS[[#This Row],[Insurance Category Code]]&amp;"; "&amp;Q2482&amp;AS[[#This Row],[Large Provider Entity Code]]&amp;"; "&amp;R2482&amp;AS[[#This Row],[Age Band Code]]&amp;"; "&amp;S2482&amp;AS[[#This Row],[Sex Code]]</f>
        <v xml:space="preserve">Insurer Code ; Reporting Year ; Insurance Category Code ; Large Provider Entity Code ; Age Band Code ; Sex Code </v>
      </c>
      <c r="N2482" s="345" t="s">
        <v>207</v>
      </c>
      <c r="O2482" s="345" t="s">
        <v>208</v>
      </c>
      <c r="P2482" s="345" t="s">
        <v>209</v>
      </c>
      <c r="Q2482" s="345" t="s">
        <v>210</v>
      </c>
      <c r="R2482" s="345" t="s">
        <v>223</v>
      </c>
      <c r="S2482" s="345" t="s">
        <v>224</v>
      </c>
    </row>
    <row r="2483" spans="1:19" x14ac:dyDescent="0.25">
      <c r="A2483" s="311"/>
      <c r="B2483" s="312"/>
      <c r="C2483" s="312"/>
      <c r="D2483" s="312"/>
      <c r="E2483" s="312"/>
      <c r="F2483" s="312"/>
      <c r="G2483" s="328"/>
      <c r="H2483" s="337"/>
      <c r="I2483" s="334"/>
      <c r="J2483" s="314"/>
      <c r="K2483" s="449"/>
      <c r="M2483" s="349" t="str">
        <f>N2483&amp;AS[[#This Row],[Insurer Code]]&amp;"; "&amp;O2483&amp;AS[[#This Row],[Reporting Year]]&amp;"; "&amp;P2483&amp;AS[[#This Row],[Insurance Category Code]]&amp;"; "&amp;Q2483&amp;AS[[#This Row],[Large Provider Entity Code]]&amp;"; "&amp;R2483&amp;AS[[#This Row],[Age Band Code]]&amp;"; "&amp;S2483&amp;AS[[#This Row],[Sex Code]]</f>
        <v xml:space="preserve">Insurer Code ; Reporting Year ; Insurance Category Code ; Large Provider Entity Code ; Age Band Code ; Sex Code </v>
      </c>
      <c r="N2483" s="345" t="s">
        <v>207</v>
      </c>
      <c r="O2483" s="345" t="s">
        <v>208</v>
      </c>
      <c r="P2483" s="345" t="s">
        <v>209</v>
      </c>
      <c r="Q2483" s="345" t="s">
        <v>210</v>
      </c>
      <c r="R2483" s="345" t="s">
        <v>223</v>
      </c>
      <c r="S2483" s="345" t="s">
        <v>224</v>
      </c>
    </row>
    <row r="2484" spans="1:19" x14ac:dyDescent="0.25">
      <c r="A2484" s="311"/>
      <c r="B2484" s="312"/>
      <c r="C2484" s="312"/>
      <c r="D2484" s="312"/>
      <c r="E2484" s="312"/>
      <c r="F2484" s="312"/>
      <c r="G2484" s="328"/>
      <c r="H2484" s="337"/>
      <c r="I2484" s="334"/>
      <c r="J2484" s="314"/>
      <c r="K2484" s="449"/>
      <c r="M2484" s="349" t="str">
        <f>N2484&amp;AS[[#This Row],[Insurer Code]]&amp;"; "&amp;O2484&amp;AS[[#This Row],[Reporting Year]]&amp;"; "&amp;P2484&amp;AS[[#This Row],[Insurance Category Code]]&amp;"; "&amp;Q2484&amp;AS[[#This Row],[Large Provider Entity Code]]&amp;"; "&amp;R2484&amp;AS[[#This Row],[Age Band Code]]&amp;"; "&amp;S2484&amp;AS[[#This Row],[Sex Code]]</f>
        <v xml:space="preserve">Insurer Code ; Reporting Year ; Insurance Category Code ; Large Provider Entity Code ; Age Band Code ; Sex Code </v>
      </c>
      <c r="N2484" s="345" t="s">
        <v>207</v>
      </c>
      <c r="O2484" s="345" t="s">
        <v>208</v>
      </c>
      <c r="P2484" s="345" t="s">
        <v>209</v>
      </c>
      <c r="Q2484" s="345" t="s">
        <v>210</v>
      </c>
      <c r="R2484" s="345" t="s">
        <v>223</v>
      </c>
      <c r="S2484" s="345" t="s">
        <v>224</v>
      </c>
    </row>
    <row r="2485" spans="1:19" x14ac:dyDescent="0.25">
      <c r="A2485" s="311"/>
      <c r="B2485" s="312"/>
      <c r="C2485" s="312"/>
      <c r="D2485" s="312"/>
      <c r="E2485" s="312"/>
      <c r="F2485" s="312"/>
      <c r="G2485" s="328"/>
      <c r="H2485" s="337"/>
      <c r="I2485" s="334"/>
      <c r="J2485" s="314"/>
      <c r="K2485" s="449"/>
      <c r="M2485" s="349" t="str">
        <f>N2485&amp;AS[[#This Row],[Insurer Code]]&amp;"; "&amp;O2485&amp;AS[[#This Row],[Reporting Year]]&amp;"; "&amp;P2485&amp;AS[[#This Row],[Insurance Category Code]]&amp;"; "&amp;Q2485&amp;AS[[#This Row],[Large Provider Entity Code]]&amp;"; "&amp;R2485&amp;AS[[#This Row],[Age Band Code]]&amp;"; "&amp;S2485&amp;AS[[#This Row],[Sex Code]]</f>
        <v xml:space="preserve">Insurer Code ; Reporting Year ; Insurance Category Code ; Large Provider Entity Code ; Age Band Code ; Sex Code </v>
      </c>
      <c r="N2485" s="345" t="s">
        <v>207</v>
      </c>
      <c r="O2485" s="345" t="s">
        <v>208</v>
      </c>
      <c r="P2485" s="345" t="s">
        <v>209</v>
      </c>
      <c r="Q2485" s="345" t="s">
        <v>210</v>
      </c>
      <c r="R2485" s="345" t="s">
        <v>223</v>
      </c>
      <c r="S2485" s="345" t="s">
        <v>224</v>
      </c>
    </row>
    <row r="2486" spans="1:19" x14ac:dyDescent="0.25">
      <c r="A2486" s="311"/>
      <c r="B2486" s="312"/>
      <c r="C2486" s="312"/>
      <c r="D2486" s="312"/>
      <c r="E2486" s="312"/>
      <c r="F2486" s="312"/>
      <c r="G2486" s="328"/>
      <c r="H2486" s="337"/>
      <c r="I2486" s="334"/>
      <c r="J2486" s="314"/>
      <c r="K2486" s="449"/>
      <c r="M2486" s="349" t="str">
        <f>N2486&amp;AS[[#This Row],[Insurer Code]]&amp;"; "&amp;O2486&amp;AS[[#This Row],[Reporting Year]]&amp;"; "&amp;P2486&amp;AS[[#This Row],[Insurance Category Code]]&amp;"; "&amp;Q2486&amp;AS[[#This Row],[Large Provider Entity Code]]&amp;"; "&amp;R2486&amp;AS[[#This Row],[Age Band Code]]&amp;"; "&amp;S2486&amp;AS[[#This Row],[Sex Code]]</f>
        <v xml:space="preserve">Insurer Code ; Reporting Year ; Insurance Category Code ; Large Provider Entity Code ; Age Band Code ; Sex Code </v>
      </c>
      <c r="N2486" s="345" t="s">
        <v>207</v>
      </c>
      <c r="O2486" s="345" t="s">
        <v>208</v>
      </c>
      <c r="P2486" s="345" t="s">
        <v>209</v>
      </c>
      <c r="Q2486" s="345" t="s">
        <v>210</v>
      </c>
      <c r="R2486" s="345" t="s">
        <v>223</v>
      </c>
      <c r="S2486" s="345" t="s">
        <v>224</v>
      </c>
    </row>
    <row r="2487" spans="1:19" x14ac:dyDescent="0.25">
      <c r="A2487" s="311"/>
      <c r="B2487" s="312"/>
      <c r="C2487" s="312"/>
      <c r="D2487" s="312"/>
      <c r="E2487" s="312"/>
      <c r="F2487" s="312"/>
      <c r="G2487" s="328"/>
      <c r="H2487" s="337"/>
      <c r="I2487" s="334"/>
      <c r="J2487" s="314"/>
      <c r="K2487" s="449"/>
      <c r="M2487" s="349" t="str">
        <f>N2487&amp;AS[[#This Row],[Insurer Code]]&amp;"; "&amp;O2487&amp;AS[[#This Row],[Reporting Year]]&amp;"; "&amp;P2487&amp;AS[[#This Row],[Insurance Category Code]]&amp;"; "&amp;Q2487&amp;AS[[#This Row],[Large Provider Entity Code]]&amp;"; "&amp;R2487&amp;AS[[#This Row],[Age Band Code]]&amp;"; "&amp;S2487&amp;AS[[#This Row],[Sex Code]]</f>
        <v xml:space="preserve">Insurer Code ; Reporting Year ; Insurance Category Code ; Large Provider Entity Code ; Age Band Code ; Sex Code </v>
      </c>
      <c r="N2487" s="345" t="s">
        <v>207</v>
      </c>
      <c r="O2487" s="345" t="s">
        <v>208</v>
      </c>
      <c r="P2487" s="345" t="s">
        <v>209</v>
      </c>
      <c r="Q2487" s="345" t="s">
        <v>210</v>
      </c>
      <c r="R2487" s="345" t="s">
        <v>223</v>
      </c>
      <c r="S2487" s="345" t="s">
        <v>224</v>
      </c>
    </row>
    <row r="2488" spans="1:19" x14ac:dyDescent="0.25">
      <c r="A2488" s="311"/>
      <c r="B2488" s="312"/>
      <c r="C2488" s="312"/>
      <c r="D2488" s="312"/>
      <c r="E2488" s="312"/>
      <c r="F2488" s="312"/>
      <c r="G2488" s="328"/>
      <c r="H2488" s="337"/>
      <c r="I2488" s="334"/>
      <c r="J2488" s="314"/>
      <c r="K2488" s="449"/>
      <c r="M2488" s="349" t="str">
        <f>N2488&amp;AS[[#This Row],[Insurer Code]]&amp;"; "&amp;O2488&amp;AS[[#This Row],[Reporting Year]]&amp;"; "&amp;P2488&amp;AS[[#This Row],[Insurance Category Code]]&amp;"; "&amp;Q2488&amp;AS[[#This Row],[Large Provider Entity Code]]&amp;"; "&amp;R2488&amp;AS[[#This Row],[Age Band Code]]&amp;"; "&amp;S2488&amp;AS[[#This Row],[Sex Code]]</f>
        <v xml:space="preserve">Insurer Code ; Reporting Year ; Insurance Category Code ; Large Provider Entity Code ; Age Band Code ; Sex Code </v>
      </c>
      <c r="N2488" s="345" t="s">
        <v>207</v>
      </c>
      <c r="O2488" s="345" t="s">
        <v>208</v>
      </c>
      <c r="P2488" s="345" t="s">
        <v>209</v>
      </c>
      <c r="Q2488" s="345" t="s">
        <v>210</v>
      </c>
      <c r="R2488" s="345" t="s">
        <v>223</v>
      </c>
      <c r="S2488" s="345" t="s">
        <v>224</v>
      </c>
    </row>
    <row r="2489" spans="1:19" x14ac:dyDescent="0.25">
      <c r="A2489" s="311"/>
      <c r="B2489" s="312"/>
      <c r="C2489" s="312"/>
      <c r="D2489" s="312"/>
      <c r="E2489" s="312"/>
      <c r="F2489" s="312"/>
      <c r="G2489" s="328"/>
      <c r="H2489" s="337"/>
      <c r="I2489" s="334"/>
      <c r="J2489" s="314"/>
      <c r="K2489" s="449"/>
      <c r="M2489" s="349" t="str">
        <f>N2489&amp;AS[[#This Row],[Insurer Code]]&amp;"; "&amp;O2489&amp;AS[[#This Row],[Reporting Year]]&amp;"; "&amp;P2489&amp;AS[[#This Row],[Insurance Category Code]]&amp;"; "&amp;Q2489&amp;AS[[#This Row],[Large Provider Entity Code]]&amp;"; "&amp;R2489&amp;AS[[#This Row],[Age Band Code]]&amp;"; "&amp;S2489&amp;AS[[#This Row],[Sex Code]]</f>
        <v xml:space="preserve">Insurer Code ; Reporting Year ; Insurance Category Code ; Large Provider Entity Code ; Age Band Code ; Sex Code </v>
      </c>
      <c r="N2489" s="345" t="s">
        <v>207</v>
      </c>
      <c r="O2489" s="345" t="s">
        <v>208</v>
      </c>
      <c r="P2489" s="345" t="s">
        <v>209</v>
      </c>
      <c r="Q2489" s="345" t="s">
        <v>210</v>
      </c>
      <c r="R2489" s="345" t="s">
        <v>223</v>
      </c>
      <c r="S2489" s="345" t="s">
        <v>224</v>
      </c>
    </row>
    <row r="2490" spans="1:19" x14ac:dyDescent="0.25">
      <c r="A2490" s="311"/>
      <c r="B2490" s="312"/>
      <c r="C2490" s="312"/>
      <c r="D2490" s="312"/>
      <c r="E2490" s="312"/>
      <c r="F2490" s="312"/>
      <c r="G2490" s="328"/>
      <c r="H2490" s="337"/>
      <c r="I2490" s="334"/>
      <c r="J2490" s="314"/>
      <c r="K2490" s="449"/>
      <c r="M2490" s="349" t="str">
        <f>N2490&amp;AS[[#This Row],[Insurer Code]]&amp;"; "&amp;O2490&amp;AS[[#This Row],[Reporting Year]]&amp;"; "&amp;P2490&amp;AS[[#This Row],[Insurance Category Code]]&amp;"; "&amp;Q2490&amp;AS[[#This Row],[Large Provider Entity Code]]&amp;"; "&amp;R2490&amp;AS[[#This Row],[Age Band Code]]&amp;"; "&amp;S2490&amp;AS[[#This Row],[Sex Code]]</f>
        <v xml:space="preserve">Insurer Code ; Reporting Year ; Insurance Category Code ; Large Provider Entity Code ; Age Band Code ; Sex Code </v>
      </c>
      <c r="N2490" s="345" t="s">
        <v>207</v>
      </c>
      <c r="O2490" s="345" t="s">
        <v>208</v>
      </c>
      <c r="P2490" s="345" t="s">
        <v>209</v>
      </c>
      <c r="Q2490" s="345" t="s">
        <v>210</v>
      </c>
      <c r="R2490" s="345" t="s">
        <v>223</v>
      </c>
      <c r="S2490" s="345" t="s">
        <v>224</v>
      </c>
    </row>
    <row r="2491" spans="1:19" x14ac:dyDescent="0.25">
      <c r="A2491" s="311"/>
      <c r="B2491" s="312"/>
      <c r="C2491" s="312"/>
      <c r="D2491" s="312"/>
      <c r="E2491" s="312"/>
      <c r="F2491" s="312"/>
      <c r="G2491" s="328"/>
      <c r="H2491" s="337"/>
      <c r="I2491" s="334"/>
      <c r="J2491" s="314"/>
      <c r="K2491" s="449"/>
      <c r="M2491" s="349" t="str">
        <f>N2491&amp;AS[[#This Row],[Insurer Code]]&amp;"; "&amp;O2491&amp;AS[[#This Row],[Reporting Year]]&amp;"; "&amp;P2491&amp;AS[[#This Row],[Insurance Category Code]]&amp;"; "&amp;Q2491&amp;AS[[#This Row],[Large Provider Entity Code]]&amp;"; "&amp;R2491&amp;AS[[#This Row],[Age Band Code]]&amp;"; "&amp;S2491&amp;AS[[#This Row],[Sex Code]]</f>
        <v xml:space="preserve">Insurer Code ; Reporting Year ; Insurance Category Code ; Large Provider Entity Code ; Age Band Code ; Sex Code </v>
      </c>
      <c r="N2491" s="345" t="s">
        <v>207</v>
      </c>
      <c r="O2491" s="345" t="s">
        <v>208</v>
      </c>
      <c r="P2491" s="345" t="s">
        <v>209</v>
      </c>
      <c r="Q2491" s="345" t="s">
        <v>210</v>
      </c>
      <c r="R2491" s="345" t="s">
        <v>223</v>
      </c>
      <c r="S2491" s="345" t="s">
        <v>224</v>
      </c>
    </row>
    <row r="2492" spans="1:19" x14ac:dyDescent="0.25">
      <c r="A2492" s="311"/>
      <c r="B2492" s="312"/>
      <c r="C2492" s="312"/>
      <c r="D2492" s="312"/>
      <c r="E2492" s="312"/>
      <c r="F2492" s="312"/>
      <c r="G2492" s="328"/>
      <c r="H2492" s="337"/>
      <c r="I2492" s="334"/>
      <c r="J2492" s="314"/>
      <c r="K2492" s="449"/>
      <c r="M2492" s="349" t="str">
        <f>N2492&amp;AS[[#This Row],[Insurer Code]]&amp;"; "&amp;O2492&amp;AS[[#This Row],[Reporting Year]]&amp;"; "&amp;P2492&amp;AS[[#This Row],[Insurance Category Code]]&amp;"; "&amp;Q2492&amp;AS[[#This Row],[Large Provider Entity Code]]&amp;"; "&amp;R2492&amp;AS[[#This Row],[Age Band Code]]&amp;"; "&amp;S2492&amp;AS[[#This Row],[Sex Code]]</f>
        <v xml:space="preserve">Insurer Code ; Reporting Year ; Insurance Category Code ; Large Provider Entity Code ; Age Band Code ; Sex Code </v>
      </c>
      <c r="N2492" s="345" t="s">
        <v>207</v>
      </c>
      <c r="O2492" s="345" t="s">
        <v>208</v>
      </c>
      <c r="P2492" s="345" t="s">
        <v>209</v>
      </c>
      <c r="Q2492" s="345" t="s">
        <v>210</v>
      </c>
      <c r="R2492" s="345" t="s">
        <v>223</v>
      </c>
      <c r="S2492" s="345" t="s">
        <v>224</v>
      </c>
    </row>
    <row r="2493" spans="1:19" x14ac:dyDescent="0.25">
      <c r="A2493" s="311"/>
      <c r="B2493" s="312"/>
      <c r="C2493" s="312"/>
      <c r="D2493" s="312"/>
      <c r="E2493" s="312"/>
      <c r="F2493" s="312"/>
      <c r="G2493" s="328"/>
      <c r="H2493" s="337"/>
      <c r="I2493" s="334"/>
      <c r="J2493" s="314"/>
      <c r="K2493" s="449"/>
      <c r="M2493" s="349" t="str">
        <f>N2493&amp;AS[[#This Row],[Insurer Code]]&amp;"; "&amp;O2493&amp;AS[[#This Row],[Reporting Year]]&amp;"; "&amp;P2493&amp;AS[[#This Row],[Insurance Category Code]]&amp;"; "&amp;Q2493&amp;AS[[#This Row],[Large Provider Entity Code]]&amp;"; "&amp;R2493&amp;AS[[#This Row],[Age Band Code]]&amp;"; "&amp;S2493&amp;AS[[#This Row],[Sex Code]]</f>
        <v xml:space="preserve">Insurer Code ; Reporting Year ; Insurance Category Code ; Large Provider Entity Code ; Age Band Code ; Sex Code </v>
      </c>
      <c r="N2493" s="345" t="s">
        <v>207</v>
      </c>
      <c r="O2493" s="345" t="s">
        <v>208</v>
      </c>
      <c r="P2493" s="345" t="s">
        <v>209</v>
      </c>
      <c r="Q2493" s="345" t="s">
        <v>210</v>
      </c>
      <c r="R2493" s="345" t="s">
        <v>223</v>
      </c>
      <c r="S2493" s="345" t="s">
        <v>224</v>
      </c>
    </row>
    <row r="2494" spans="1:19" x14ac:dyDescent="0.25">
      <c r="A2494" s="311"/>
      <c r="B2494" s="312"/>
      <c r="C2494" s="312"/>
      <c r="D2494" s="312"/>
      <c r="E2494" s="312"/>
      <c r="F2494" s="312"/>
      <c r="G2494" s="328"/>
      <c r="H2494" s="337"/>
      <c r="I2494" s="334"/>
      <c r="J2494" s="314"/>
      <c r="K2494" s="449"/>
      <c r="M2494" s="349" t="str">
        <f>N2494&amp;AS[[#This Row],[Insurer Code]]&amp;"; "&amp;O2494&amp;AS[[#This Row],[Reporting Year]]&amp;"; "&amp;P2494&amp;AS[[#This Row],[Insurance Category Code]]&amp;"; "&amp;Q2494&amp;AS[[#This Row],[Large Provider Entity Code]]&amp;"; "&amp;R2494&amp;AS[[#This Row],[Age Band Code]]&amp;"; "&amp;S2494&amp;AS[[#This Row],[Sex Code]]</f>
        <v xml:space="preserve">Insurer Code ; Reporting Year ; Insurance Category Code ; Large Provider Entity Code ; Age Band Code ; Sex Code </v>
      </c>
      <c r="N2494" s="345" t="s">
        <v>207</v>
      </c>
      <c r="O2494" s="345" t="s">
        <v>208</v>
      </c>
      <c r="P2494" s="345" t="s">
        <v>209</v>
      </c>
      <c r="Q2494" s="345" t="s">
        <v>210</v>
      </c>
      <c r="R2494" s="345" t="s">
        <v>223</v>
      </c>
      <c r="S2494" s="345" t="s">
        <v>224</v>
      </c>
    </row>
    <row r="2495" spans="1:19" x14ac:dyDescent="0.25">
      <c r="A2495" s="311"/>
      <c r="B2495" s="312"/>
      <c r="C2495" s="312"/>
      <c r="D2495" s="312"/>
      <c r="E2495" s="312"/>
      <c r="F2495" s="312"/>
      <c r="G2495" s="328"/>
      <c r="H2495" s="337"/>
      <c r="I2495" s="334"/>
      <c r="J2495" s="314"/>
      <c r="K2495" s="449"/>
      <c r="M2495" s="349" t="str">
        <f>N2495&amp;AS[[#This Row],[Insurer Code]]&amp;"; "&amp;O2495&amp;AS[[#This Row],[Reporting Year]]&amp;"; "&amp;P2495&amp;AS[[#This Row],[Insurance Category Code]]&amp;"; "&amp;Q2495&amp;AS[[#This Row],[Large Provider Entity Code]]&amp;"; "&amp;R2495&amp;AS[[#This Row],[Age Band Code]]&amp;"; "&amp;S2495&amp;AS[[#This Row],[Sex Code]]</f>
        <v xml:space="preserve">Insurer Code ; Reporting Year ; Insurance Category Code ; Large Provider Entity Code ; Age Band Code ; Sex Code </v>
      </c>
      <c r="N2495" s="345" t="s">
        <v>207</v>
      </c>
      <c r="O2495" s="345" t="s">
        <v>208</v>
      </c>
      <c r="P2495" s="345" t="s">
        <v>209</v>
      </c>
      <c r="Q2495" s="345" t="s">
        <v>210</v>
      </c>
      <c r="R2495" s="345" t="s">
        <v>223</v>
      </c>
      <c r="S2495" s="345" t="s">
        <v>224</v>
      </c>
    </row>
    <row r="2496" spans="1:19" x14ac:dyDescent="0.25">
      <c r="A2496" s="311"/>
      <c r="B2496" s="312"/>
      <c r="C2496" s="312"/>
      <c r="D2496" s="312"/>
      <c r="E2496" s="312"/>
      <c r="F2496" s="312"/>
      <c r="G2496" s="328"/>
      <c r="H2496" s="337"/>
      <c r="I2496" s="334"/>
      <c r="J2496" s="314"/>
      <c r="K2496" s="449"/>
      <c r="M2496" s="349" t="str">
        <f>N2496&amp;AS[[#This Row],[Insurer Code]]&amp;"; "&amp;O2496&amp;AS[[#This Row],[Reporting Year]]&amp;"; "&amp;P2496&amp;AS[[#This Row],[Insurance Category Code]]&amp;"; "&amp;Q2496&amp;AS[[#This Row],[Large Provider Entity Code]]&amp;"; "&amp;R2496&amp;AS[[#This Row],[Age Band Code]]&amp;"; "&amp;S2496&amp;AS[[#This Row],[Sex Code]]</f>
        <v xml:space="preserve">Insurer Code ; Reporting Year ; Insurance Category Code ; Large Provider Entity Code ; Age Band Code ; Sex Code </v>
      </c>
      <c r="N2496" s="345" t="s">
        <v>207</v>
      </c>
      <c r="O2496" s="345" t="s">
        <v>208</v>
      </c>
      <c r="P2496" s="345" t="s">
        <v>209</v>
      </c>
      <c r="Q2496" s="345" t="s">
        <v>210</v>
      </c>
      <c r="R2496" s="345" t="s">
        <v>223</v>
      </c>
      <c r="S2496" s="345" t="s">
        <v>224</v>
      </c>
    </row>
    <row r="2497" spans="1:19" x14ac:dyDescent="0.25">
      <c r="A2497" s="311"/>
      <c r="B2497" s="312"/>
      <c r="C2497" s="312"/>
      <c r="D2497" s="312"/>
      <c r="E2497" s="312"/>
      <c r="F2497" s="312"/>
      <c r="G2497" s="328"/>
      <c r="H2497" s="337"/>
      <c r="I2497" s="334"/>
      <c r="J2497" s="314"/>
      <c r="K2497" s="449"/>
      <c r="M2497" s="349" t="str">
        <f>N2497&amp;AS[[#This Row],[Insurer Code]]&amp;"; "&amp;O2497&amp;AS[[#This Row],[Reporting Year]]&amp;"; "&amp;P2497&amp;AS[[#This Row],[Insurance Category Code]]&amp;"; "&amp;Q2497&amp;AS[[#This Row],[Large Provider Entity Code]]&amp;"; "&amp;R2497&amp;AS[[#This Row],[Age Band Code]]&amp;"; "&amp;S2497&amp;AS[[#This Row],[Sex Code]]</f>
        <v xml:space="preserve">Insurer Code ; Reporting Year ; Insurance Category Code ; Large Provider Entity Code ; Age Band Code ; Sex Code </v>
      </c>
      <c r="N2497" s="345" t="s">
        <v>207</v>
      </c>
      <c r="O2497" s="345" t="s">
        <v>208</v>
      </c>
      <c r="P2497" s="345" t="s">
        <v>209</v>
      </c>
      <c r="Q2497" s="345" t="s">
        <v>210</v>
      </c>
      <c r="R2497" s="345" t="s">
        <v>223</v>
      </c>
      <c r="S2497" s="345" t="s">
        <v>224</v>
      </c>
    </row>
    <row r="2498" spans="1:19" x14ac:dyDescent="0.25">
      <c r="A2498" s="311"/>
      <c r="B2498" s="312"/>
      <c r="C2498" s="312"/>
      <c r="D2498" s="312"/>
      <c r="E2498" s="312"/>
      <c r="F2498" s="312"/>
      <c r="G2498" s="328"/>
      <c r="H2498" s="337"/>
      <c r="I2498" s="334"/>
      <c r="J2498" s="314"/>
      <c r="K2498" s="449"/>
      <c r="M2498" s="349" t="str">
        <f>N2498&amp;AS[[#This Row],[Insurer Code]]&amp;"; "&amp;O2498&amp;AS[[#This Row],[Reporting Year]]&amp;"; "&amp;P2498&amp;AS[[#This Row],[Insurance Category Code]]&amp;"; "&amp;Q2498&amp;AS[[#This Row],[Large Provider Entity Code]]&amp;"; "&amp;R2498&amp;AS[[#This Row],[Age Band Code]]&amp;"; "&amp;S2498&amp;AS[[#This Row],[Sex Code]]</f>
        <v xml:space="preserve">Insurer Code ; Reporting Year ; Insurance Category Code ; Large Provider Entity Code ; Age Band Code ; Sex Code </v>
      </c>
      <c r="N2498" s="345" t="s">
        <v>207</v>
      </c>
      <c r="O2498" s="345" t="s">
        <v>208</v>
      </c>
      <c r="P2498" s="345" t="s">
        <v>209</v>
      </c>
      <c r="Q2498" s="345" t="s">
        <v>210</v>
      </c>
      <c r="R2498" s="345" t="s">
        <v>223</v>
      </c>
      <c r="S2498" s="345" t="s">
        <v>224</v>
      </c>
    </row>
    <row r="2499" spans="1:19" x14ac:dyDescent="0.25">
      <c r="A2499" s="311"/>
      <c r="B2499" s="312"/>
      <c r="C2499" s="312"/>
      <c r="D2499" s="312"/>
      <c r="E2499" s="312"/>
      <c r="F2499" s="312"/>
      <c r="G2499" s="328"/>
      <c r="H2499" s="337"/>
      <c r="I2499" s="334"/>
      <c r="J2499" s="314"/>
      <c r="K2499" s="449"/>
      <c r="M2499" s="349" t="str">
        <f>N2499&amp;AS[[#This Row],[Insurer Code]]&amp;"; "&amp;O2499&amp;AS[[#This Row],[Reporting Year]]&amp;"; "&amp;P2499&amp;AS[[#This Row],[Insurance Category Code]]&amp;"; "&amp;Q2499&amp;AS[[#This Row],[Large Provider Entity Code]]&amp;"; "&amp;R2499&amp;AS[[#This Row],[Age Band Code]]&amp;"; "&amp;S2499&amp;AS[[#This Row],[Sex Code]]</f>
        <v xml:space="preserve">Insurer Code ; Reporting Year ; Insurance Category Code ; Large Provider Entity Code ; Age Band Code ; Sex Code </v>
      </c>
      <c r="N2499" s="345" t="s">
        <v>207</v>
      </c>
      <c r="O2499" s="345" t="s">
        <v>208</v>
      </c>
      <c r="P2499" s="345" t="s">
        <v>209</v>
      </c>
      <c r="Q2499" s="345" t="s">
        <v>210</v>
      </c>
      <c r="R2499" s="345" t="s">
        <v>223</v>
      </c>
      <c r="S2499" s="345" t="s">
        <v>224</v>
      </c>
    </row>
    <row r="2500" spans="1:19" x14ac:dyDescent="0.25">
      <c r="A2500" s="311"/>
      <c r="B2500" s="312"/>
      <c r="C2500" s="312"/>
      <c r="D2500" s="312"/>
      <c r="E2500" s="312"/>
      <c r="F2500" s="312"/>
      <c r="G2500" s="328"/>
      <c r="H2500" s="337"/>
      <c r="I2500" s="334"/>
      <c r="J2500" s="314"/>
      <c r="K2500" s="449"/>
      <c r="M2500" s="349" t="str">
        <f>N2500&amp;AS[[#This Row],[Insurer Code]]&amp;"; "&amp;O2500&amp;AS[[#This Row],[Reporting Year]]&amp;"; "&amp;P2500&amp;AS[[#This Row],[Insurance Category Code]]&amp;"; "&amp;Q2500&amp;AS[[#This Row],[Large Provider Entity Code]]&amp;"; "&amp;R2500&amp;AS[[#This Row],[Age Band Code]]&amp;"; "&amp;S2500&amp;AS[[#This Row],[Sex Code]]</f>
        <v xml:space="preserve">Insurer Code ; Reporting Year ; Insurance Category Code ; Large Provider Entity Code ; Age Band Code ; Sex Code </v>
      </c>
      <c r="N2500" s="345" t="s">
        <v>207</v>
      </c>
      <c r="O2500" s="345" t="s">
        <v>208</v>
      </c>
      <c r="P2500" s="345" t="s">
        <v>209</v>
      </c>
      <c r="Q2500" s="345" t="s">
        <v>210</v>
      </c>
      <c r="R2500" s="345" t="s">
        <v>223</v>
      </c>
      <c r="S2500" s="345" t="s">
        <v>224</v>
      </c>
    </row>
    <row r="2501" spans="1:19" x14ac:dyDescent="0.25">
      <c r="A2501" s="311"/>
      <c r="B2501" s="312"/>
      <c r="C2501" s="312"/>
      <c r="D2501" s="312"/>
      <c r="E2501" s="312"/>
      <c r="F2501" s="312"/>
      <c r="G2501" s="328"/>
      <c r="H2501" s="337"/>
      <c r="I2501" s="334"/>
      <c r="J2501" s="314"/>
      <c r="K2501" s="449"/>
      <c r="M2501" s="349" t="str">
        <f>N2501&amp;AS[[#This Row],[Insurer Code]]&amp;"; "&amp;O2501&amp;AS[[#This Row],[Reporting Year]]&amp;"; "&amp;P2501&amp;AS[[#This Row],[Insurance Category Code]]&amp;"; "&amp;Q2501&amp;AS[[#This Row],[Large Provider Entity Code]]&amp;"; "&amp;R2501&amp;AS[[#This Row],[Age Band Code]]&amp;"; "&amp;S2501&amp;AS[[#This Row],[Sex Code]]</f>
        <v xml:space="preserve">Insurer Code ; Reporting Year ; Insurance Category Code ; Large Provider Entity Code ; Age Band Code ; Sex Code </v>
      </c>
      <c r="N2501" s="345" t="s">
        <v>207</v>
      </c>
      <c r="O2501" s="345" t="s">
        <v>208</v>
      </c>
      <c r="P2501" s="345" t="s">
        <v>209</v>
      </c>
      <c r="Q2501" s="345" t="s">
        <v>210</v>
      </c>
      <c r="R2501" s="345" t="s">
        <v>223</v>
      </c>
      <c r="S2501" s="345" t="s">
        <v>224</v>
      </c>
    </row>
    <row r="2502" spans="1:19" x14ac:dyDescent="0.25">
      <c r="A2502" s="311"/>
      <c r="B2502" s="312"/>
      <c r="C2502" s="312"/>
      <c r="D2502" s="312"/>
      <c r="E2502" s="312"/>
      <c r="F2502" s="312"/>
      <c r="G2502" s="328"/>
      <c r="H2502" s="337"/>
      <c r="I2502" s="334"/>
      <c r="J2502" s="314"/>
      <c r="K2502" s="449"/>
      <c r="M2502" s="349" t="str">
        <f>N2502&amp;AS[[#This Row],[Insurer Code]]&amp;"; "&amp;O2502&amp;AS[[#This Row],[Reporting Year]]&amp;"; "&amp;P2502&amp;AS[[#This Row],[Insurance Category Code]]&amp;"; "&amp;Q2502&amp;AS[[#This Row],[Large Provider Entity Code]]&amp;"; "&amp;R2502&amp;AS[[#This Row],[Age Band Code]]&amp;"; "&amp;S2502&amp;AS[[#This Row],[Sex Code]]</f>
        <v xml:space="preserve">Insurer Code ; Reporting Year ; Insurance Category Code ; Large Provider Entity Code ; Age Band Code ; Sex Code </v>
      </c>
      <c r="N2502" s="345" t="s">
        <v>207</v>
      </c>
      <c r="O2502" s="345" t="s">
        <v>208</v>
      </c>
      <c r="P2502" s="345" t="s">
        <v>209</v>
      </c>
      <c r="Q2502" s="345" t="s">
        <v>210</v>
      </c>
      <c r="R2502" s="345" t="s">
        <v>223</v>
      </c>
      <c r="S2502" s="345" t="s">
        <v>224</v>
      </c>
    </row>
    <row r="2503" spans="1:19" x14ac:dyDescent="0.25">
      <c r="A2503" s="311"/>
      <c r="B2503" s="312"/>
      <c r="C2503" s="312"/>
      <c r="D2503" s="312"/>
      <c r="E2503" s="312"/>
      <c r="F2503" s="312"/>
      <c r="G2503" s="328"/>
      <c r="H2503" s="337"/>
      <c r="I2503" s="334"/>
      <c r="J2503" s="314"/>
      <c r="K2503" s="449"/>
      <c r="M2503" s="349" t="str">
        <f>N2503&amp;AS[[#This Row],[Insurer Code]]&amp;"; "&amp;O2503&amp;AS[[#This Row],[Reporting Year]]&amp;"; "&amp;P2503&amp;AS[[#This Row],[Insurance Category Code]]&amp;"; "&amp;Q2503&amp;AS[[#This Row],[Large Provider Entity Code]]&amp;"; "&amp;R2503&amp;AS[[#This Row],[Age Band Code]]&amp;"; "&amp;S2503&amp;AS[[#This Row],[Sex Code]]</f>
        <v xml:space="preserve">Insurer Code ; Reporting Year ; Insurance Category Code ; Large Provider Entity Code ; Age Band Code ; Sex Code </v>
      </c>
      <c r="N2503" s="345" t="s">
        <v>207</v>
      </c>
      <c r="O2503" s="345" t="s">
        <v>208</v>
      </c>
      <c r="P2503" s="345" t="s">
        <v>209</v>
      </c>
      <c r="Q2503" s="345" t="s">
        <v>210</v>
      </c>
      <c r="R2503" s="345" t="s">
        <v>223</v>
      </c>
      <c r="S2503" s="345" t="s">
        <v>224</v>
      </c>
    </row>
    <row r="2504" spans="1:19" x14ac:dyDescent="0.25">
      <c r="A2504" s="311"/>
      <c r="B2504" s="312"/>
      <c r="C2504" s="312"/>
      <c r="D2504" s="312"/>
      <c r="E2504" s="312"/>
      <c r="F2504" s="312"/>
      <c r="G2504" s="328"/>
      <c r="H2504" s="337"/>
      <c r="I2504" s="334"/>
      <c r="J2504" s="314"/>
      <c r="K2504" s="449"/>
      <c r="M2504" s="349" t="str">
        <f>N2504&amp;AS[[#This Row],[Insurer Code]]&amp;"; "&amp;O2504&amp;AS[[#This Row],[Reporting Year]]&amp;"; "&amp;P2504&amp;AS[[#This Row],[Insurance Category Code]]&amp;"; "&amp;Q2504&amp;AS[[#This Row],[Large Provider Entity Code]]&amp;"; "&amp;R2504&amp;AS[[#This Row],[Age Band Code]]&amp;"; "&amp;S2504&amp;AS[[#This Row],[Sex Code]]</f>
        <v xml:space="preserve">Insurer Code ; Reporting Year ; Insurance Category Code ; Large Provider Entity Code ; Age Band Code ; Sex Code </v>
      </c>
      <c r="N2504" s="345" t="s">
        <v>207</v>
      </c>
      <c r="O2504" s="345" t="s">
        <v>208</v>
      </c>
      <c r="P2504" s="345" t="s">
        <v>209</v>
      </c>
      <c r="Q2504" s="345" t="s">
        <v>210</v>
      </c>
      <c r="R2504" s="345" t="s">
        <v>223</v>
      </c>
      <c r="S2504" s="345" t="s">
        <v>224</v>
      </c>
    </row>
    <row r="2505" spans="1:19" x14ac:dyDescent="0.25">
      <c r="A2505" s="311"/>
      <c r="B2505" s="312"/>
      <c r="C2505" s="312"/>
      <c r="D2505" s="312"/>
      <c r="E2505" s="312"/>
      <c r="F2505" s="312"/>
      <c r="G2505" s="328"/>
      <c r="H2505" s="337"/>
      <c r="I2505" s="334"/>
      <c r="J2505" s="314"/>
      <c r="K2505" s="449"/>
      <c r="M2505" s="349" t="str">
        <f>N2505&amp;AS[[#This Row],[Insurer Code]]&amp;"; "&amp;O2505&amp;AS[[#This Row],[Reporting Year]]&amp;"; "&amp;P2505&amp;AS[[#This Row],[Insurance Category Code]]&amp;"; "&amp;Q2505&amp;AS[[#This Row],[Large Provider Entity Code]]&amp;"; "&amp;R2505&amp;AS[[#This Row],[Age Band Code]]&amp;"; "&amp;S2505&amp;AS[[#This Row],[Sex Code]]</f>
        <v xml:space="preserve">Insurer Code ; Reporting Year ; Insurance Category Code ; Large Provider Entity Code ; Age Band Code ; Sex Code </v>
      </c>
      <c r="N2505" s="345" t="s">
        <v>207</v>
      </c>
      <c r="O2505" s="345" t="s">
        <v>208</v>
      </c>
      <c r="P2505" s="345" t="s">
        <v>209</v>
      </c>
      <c r="Q2505" s="345" t="s">
        <v>210</v>
      </c>
      <c r="R2505" s="345" t="s">
        <v>223</v>
      </c>
      <c r="S2505" s="345" t="s">
        <v>224</v>
      </c>
    </row>
    <row r="2506" spans="1:19" x14ac:dyDescent="0.25">
      <c r="A2506" s="311"/>
      <c r="B2506" s="312"/>
      <c r="C2506" s="312"/>
      <c r="D2506" s="312"/>
      <c r="E2506" s="312"/>
      <c r="F2506" s="312"/>
      <c r="G2506" s="328"/>
      <c r="H2506" s="337"/>
      <c r="I2506" s="334"/>
      <c r="J2506" s="314"/>
      <c r="K2506" s="449"/>
      <c r="M2506" s="349" t="str">
        <f>N2506&amp;AS[[#This Row],[Insurer Code]]&amp;"; "&amp;O2506&amp;AS[[#This Row],[Reporting Year]]&amp;"; "&amp;P2506&amp;AS[[#This Row],[Insurance Category Code]]&amp;"; "&amp;Q2506&amp;AS[[#This Row],[Large Provider Entity Code]]&amp;"; "&amp;R2506&amp;AS[[#This Row],[Age Band Code]]&amp;"; "&amp;S2506&amp;AS[[#This Row],[Sex Code]]</f>
        <v xml:space="preserve">Insurer Code ; Reporting Year ; Insurance Category Code ; Large Provider Entity Code ; Age Band Code ; Sex Code </v>
      </c>
      <c r="N2506" s="345" t="s">
        <v>207</v>
      </c>
      <c r="O2506" s="345" t="s">
        <v>208</v>
      </c>
      <c r="P2506" s="345" t="s">
        <v>209</v>
      </c>
      <c r="Q2506" s="345" t="s">
        <v>210</v>
      </c>
      <c r="R2506" s="345" t="s">
        <v>223</v>
      </c>
      <c r="S2506" s="345" t="s">
        <v>224</v>
      </c>
    </row>
    <row r="2507" spans="1:19" x14ac:dyDescent="0.25">
      <c r="A2507" s="311"/>
      <c r="B2507" s="312"/>
      <c r="C2507" s="312"/>
      <c r="D2507" s="312"/>
      <c r="E2507" s="312"/>
      <c r="F2507" s="312"/>
      <c r="G2507" s="328"/>
      <c r="H2507" s="337"/>
      <c r="I2507" s="334"/>
      <c r="J2507" s="314"/>
      <c r="K2507" s="449"/>
      <c r="M2507" s="349" t="str">
        <f>N2507&amp;AS[[#This Row],[Insurer Code]]&amp;"; "&amp;O2507&amp;AS[[#This Row],[Reporting Year]]&amp;"; "&amp;P2507&amp;AS[[#This Row],[Insurance Category Code]]&amp;"; "&amp;Q2507&amp;AS[[#This Row],[Large Provider Entity Code]]&amp;"; "&amp;R2507&amp;AS[[#This Row],[Age Band Code]]&amp;"; "&amp;S2507&amp;AS[[#This Row],[Sex Code]]</f>
        <v xml:space="preserve">Insurer Code ; Reporting Year ; Insurance Category Code ; Large Provider Entity Code ; Age Band Code ; Sex Code </v>
      </c>
      <c r="N2507" s="345" t="s">
        <v>207</v>
      </c>
      <c r="O2507" s="345" t="s">
        <v>208</v>
      </c>
      <c r="P2507" s="345" t="s">
        <v>209</v>
      </c>
      <c r="Q2507" s="345" t="s">
        <v>210</v>
      </c>
      <c r="R2507" s="345" t="s">
        <v>223</v>
      </c>
      <c r="S2507" s="345" t="s">
        <v>224</v>
      </c>
    </row>
    <row r="2508" spans="1:19" x14ac:dyDescent="0.25">
      <c r="A2508" s="311"/>
      <c r="B2508" s="312"/>
      <c r="C2508" s="312"/>
      <c r="D2508" s="312"/>
      <c r="E2508" s="312"/>
      <c r="F2508" s="312"/>
      <c r="G2508" s="328"/>
      <c r="H2508" s="337"/>
      <c r="I2508" s="334"/>
      <c r="J2508" s="314"/>
      <c r="K2508" s="449"/>
      <c r="M2508" s="349" t="str">
        <f>N2508&amp;AS[[#This Row],[Insurer Code]]&amp;"; "&amp;O2508&amp;AS[[#This Row],[Reporting Year]]&amp;"; "&amp;P2508&amp;AS[[#This Row],[Insurance Category Code]]&amp;"; "&amp;Q2508&amp;AS[[#This Row],[Large Provider Entity Code]]&amp;"; "&amp;R2508&amp;AS[[#This Row],[Age Band Code]]&amp;"; "&amp;S2508&amp;AS[[#This Row],[Sex Code]]</f>
        <v xml:space="preserve">Insurer Code ; Reporting Year ; Insurance Category Code ; Large Provider Entity Code ; Age Band Code ; Sex Code </v>
      </c>
      <c r="N2508" s="345" t="s">
        <v>207</v>
      </c>
      <c r="O2508" s="345" t="s">
        <v>208</v>
      </c>
      <c r="P2508" s="345" t="s">
        <v>209</v>
      </c>
      <c r="Q2508" s="345" t="s">
        <v>210</v>
      </c>
      <c r="R2508" s="345" t="s">
        <v>223</v>
      </c>
      <c r="S2508" s="345" t="s">
        <v>224</v>
      </c>
    </row>
    <row r="2509" spans="1:19" x14ac:dyDescent="0.25">
      <c r="A2509" s="311"/>
      <c r="B2509" s="312"/>
      <c r="C2509" s="312"/>
      <c r="D2509" s="312"/>
      <c r="E2509" s="312"/>
      <c r="F2509" s="312"/>
      <c r="G2509" s="328"/>
      <c r="H2509" s="337"/>
      <c r="I2509" s="334"/>
      <c r="J2509" s="314"/>
      <c r="K2509" s="449"/>
      <c r="M2509" s="349" t="str">
        <f>N2509&amp;AS[[#This Row],[Insurer Code]]&amp;"; "&amp;O2509&amp;AS[[#This Row],[Reporting Year]]&amp;"; "&amp;P2509&amp;AS[[#This Row],[Insurance Category Code]]&amp;"; "&amp;Q2509&amp;AS[[#This Row],[Large Provider Entity Code]]&amp;"; "&amp;R2509&amp;AS[[#This Row],[Age Band Code]]&amp;"; "&amp;S2509&amp;AS[[#This Row],[Sex Code]]</f>
        <v xml:space="preserve">Insurer Code ; Reporting Year ; Insurance Category Code ; Large Provider Entity Code ; Age Band Code ; Sex Code </v>
      </c>
      <c r="N2509" s="345" t="s">
        <v>207</v>
      </c>
      <c r="O2509" s="345" t="s">
        <v>208</v>
      </c>
      <c r="P2509" s="345" t="s">
        <v>209</v>
      </c>
      <c r="Q2509" s="345" t="s">
        <v>210</v>
      </c>
      <c r="R2509" s="345" t="s">
        <v>223</v>
      </c>
      <c r="S2509" s="345" t="s">
        <v>224</v>
      </c>
    </row>
    <row r="2510" spans="1:19" x14ac:dyDescent="0.25">
      <c r="A2510" s="311"/>
      <c r="B2510" s="312"/>
      <c r="C2510" s="312"/>
      <c r="D2510" s="312"/>
      <c r="E2510" s="312"/>
      <c r="F2510" s="312"/>
      <c r="G2510" s="328"/>
      <c r="H2510" s="337"/>
      <c r="I2510" s="334"/>
      <c r="J2510" s="314"/>
      <c r="K2510" s="449"/>
      <c r="M2510" s="349" t="str">
        <f>N2510&amp;AS[[#This Row],[Insurer Code]]&amp;"; "&amp;O2510&amp;AS[[#This Row],[Reporting Year]]&amp;"; "&amp;P2510&amp;AS[[#This Row],[Insurance Category Code]]&amp;"; "&amp;Q2510&amp;AS[[#This Row],[Large Provider Entity Code]]&amp;"; "&amp;R2510&amp;AS[[#This Row],[Age Band Code]]&amp;"; "&amp;S2510&amp;AS[[#This Row],[Sex Code]]</f>
        <v xml:space="preserve">Insurer Code ; Reporting Year ; Insurance Category Code ; Large Provider Entity Code ; Age Band Code ; Sex Code </v>
      </c>
      <c r="N2510" s="345" t="s">
        <v>207</v>
      </c>
      <c r="O2510" s="345" t="s">
        <v>208</v>
      </c>
      <c r="P2510" s="345" t="s">
        <v>209</v>
      </c>
      <c r="Q2510" s="345" t="s">
        <v>210</v>
      </c>
      <c r="R2510" s="345" t="s">
        <v>223</v>
      </c>
      <c r="S2510" s="345" t="s">
        <v>224</v>
      </c>
    </row>
    <row r="2511" spans="1:19" x14ac:dyDescent="0.25">
      <c r="A2511" s="311"/>
      <c r="B2511" s="312"/>
      <c r="C2511" s="312"/>
      <c r="D2511" s="312"/>
      <c r="E2511" s="312"/>
      <c r="F2511" s="312"/>
      <c r="G2511" s="328"/>
      <c r="H2511" s="337"/>
      <c r="I2511" s="334"/>
      <c r="J2511" s="314"/>
      <c r="K2511" s="449"/>
      <c r="M2511" s="349" t="str">
        <f>N2511&amp;AS[[#This Row],[Insurer Code]]&amp;"; "&amp;O2511&amp;AS[[#This Row],[Reporting Year]]&amp;"; "&amp;P2511&amp;AS[[#This Row],[Insurance Category Code]]&amp;"; "&amp;Q2511&amp;AS[[#This Row],[Large Provider Entity Code]]&amp;"; "&amp;R2511&amp;AS[[#This Row],[Age Band Code]]&amp;"; "&amp;S2511&amp;AS[[#This Row],[Sex Code]]</f>
        <v xml:space="preserve">Insurer Code ; Reporting Year ; Insurance Category Code ; Large Provider Entity Code ; Age Band Code ; Sex Code </v>
      </c>
      <c r="N2511" s="345" t="s">
        <v>207</v>
      </c>
      <c r="O2511" s="345" t="s">
        <v>208</v>
      </c>
      <c r="P2511" s="345" t="s">
        <v>209</v>
      </c>
      <c r="Q2511" s="345" t="s">
        <v>210</v>
      </c>
      <c r="R2511" s="345" t="s">
        <v>223</v>
      </c>
      <c r="S2511" s="345" t="s">
        <v>224</v>
      </c>
    </row>
    <row r="2512" spans="1:19" x14ac:dyDescent="0.25">
      <c r="A2512" s="311"/>
      <c r="B2512" s="312"/>
      <c r="C2512" s="312"/>
      <c r="D2512" s="312"/>
      <c r="E2512" s="312"/>
      <c r="F2512" s="312"/>
      <c r="G2512" s="328"/>
      <c r="H2512" s="337"/>
      <c r="I2512" s="334"/>
      <c r="J2512" s="314"/>
      <c r="K2512" s="449"/>
      <c r="M2512" s="349" t="str">
        <f>N2512&amp;AS[[#This Row],[Insurer Code]]&amp;"; "&amp;O2512&amp;AS[[#This Row],[Reporting Year]]&amp;"; "&amp;P2512&amp;AS[[#This Row],[Insurance Category Code]]&amp;"; "&amp;Q2512&amp;AS[[#This Row],[Large Provider Entity Code]]&amp;"; "&amp;R2512&amp;AS[[#This Row],[Age Band Code]]&amp;"; "&amp;S2512&amp;AS[[#This Row],[Sex Code]]</f>
        <v xml:space="preserve">Insurer Code ; Reporting Year ; Insurance Category Code ; Large Provider Entity Code ; Age Band Code ; Sex Code </v>
      </c>
      <c r="N2512" s="345" t="s">
        <v>207</v>
      </c>
      <c r="O2512" s="345" t="s">
        <v>208</v>
      </c>
      <c r="P2512" s="345" t="s">
        <v>209</v>
      </c>
      <c r="Q2512" s="345" t="s">
        <v>210</v>
      </c>
      <c r="R2512" s="345" t="s">
        <v>223</v>
      </c>
      <c r="S2512" s="345" t="s">
        <v>224</v>
      </c>
    </row>
    <row r="2513" spans="1:19" x14ac:dyDescent="0.25">
      <c r="A2513" s="311"/>
      <c r="B2513" s="312"/>
      <c r="C2513" s="312"/>
      <c r="D2513" s="312"/>
      <c r="E2513" s="312"/>
      <c r="F2513" s="312"/>
      <c r="G2513" s="328"/>
      <c r="H2513" s="337"/>
      <c r="I2513" s="334"/>
      <c r="J2513" s="314"/>
      <c r="K2513" s="449"/>
      <c r="M2513" s="349" t="str">
        <f>N2513&amp;AS[[#This Row],[Insurer Code]]&amp;"; "&amp;O2513&amp;AS[[#This Row],[Reporting Year]]&amp;"; "&amp;P2513&amp;AS[[#This Row],[Insurance Category Code]]&amp;"; "&amp;Q2513&amp;AS[[#This Row],[Large Provider Entity Code]]&amp;"; "&amp;R2513&amp;AS[[#This Row],[Age Band Code]]&amp;"; "&amp;S2513&amp;AS[[#This Row],[Sex Code]]</f>
        <v xml:space="preserve">Insurer Code ; Reporting Year ; Insurance Category Code ; Large Provider Entity Code ; Age Band Code ; Sex Code </v>
      </c>
      <c r="N2513" s="345" t="s">
        <v>207</v>
      </c>
      <c r="O2513" s="345" t="s">
        <v>208</v>
      </c>
      <c r="P2513" s="345" t="s">
        <v>209</v>
      </c>
      <c r="Q2513" s="345" t="s">
        <v>210</v>
      </c>
      <c r="R2513" s="345" t="s">
        <v>223</v>
      </c>
      <c r="S2513" s="345" t="s">
        <v>224</v>
      </c>
    </row>
    <row r="2514" spans="1:19" x14ac:dyDescent="0.25">
      <c r="A2514" s="311"/>
      <c r="B2514" s="312"/>
      <c r="C2514" s="312"/>
      <c r="D2514" s="312"/>
      <c r="E2514" s="312"/>
      <c r="F2514" s="312"/>
      <c r="G2514" s="328"/>
      <c r="H2514" s="337"/>
      <c r="I2514" s="334"/>
      <c r="J2514" s="314"/>
      <c r="K2514" s="449"/>
      <c r="M2514" s="349" t="str">
        <f>N2514&amp;AS[[#This Row],[Insurer Code]]&amp;"; "&amp;O2514&amp;AS[[#This Row],[Reporting Year]]&amp;"; "&amp;P2514&amp;AS[[#This Row],[Insurance Category Code]]&amp;"; "&amp;Q2514&amp;AS[[#This Row],[Large Provider Entity Code]]&amp;"; "&amp;R2514&amp;AS[[#This Row],[Age Band Code]]&amp;"; "&amp;S2514&amp;AS[[#This Row],[Sex Code]]</f>
        <v xml:space="preserve">Insurer Code ; Reporting Year ; Insurance Category Code ; Large Provider Entity Code ; Age Band Code ; Sex Code </v>
      </c>
      <c r="N2514" s="345" t="s">
        <v>207</v>
      </c>
      <c r="O2514" s="345" t="s">
        <v>208</v>
      </c>
      <c r="P2514" s="345" t="s">
        <v>209</v>
      </c>
      <c r="Q2514" s="345" t="s">
        <v>210</v>
      </c>
      <c r="R2514" s="345" t="s">
        <v>223</v>
      </c>
      <c r="S2514" s="345" t="s">
        <v>224</v>
      </c>
    </row>
    <row r="2515" spans="1:19" x14ac:dyDescent="0.25">
      <c r="A2515" s="311"/>
      <c r="B2515" s="312"/>
      <c r="C2515" s="312"/>
      <c r="D2515" s="312"/>
      <c r="E2515" s="312"/>
      <c r="F2515" s="312"/>
      <c r="G2515" s="328"/>
      <c r="H2515" s="337"/>
      <c r="I2515" s="334"/>
      <c r="J2515" s="314"/>
      <c r="K2515" s="449"/>
      <c r="M2515" s="349" t="str">
        <f>N2515&amp;AS[[#This Row],[Insurer Code]]&amp;"; "&amp;O2515&amp;AS[[#This Row],[Reporting Year]]&amp;"; "&amp;P2515&amp;AS[[#This Row],[Insurance Category Code]]&amp;"; "&amp;Q2515&amp;AS[[#This Row],[Large Provider Entity Code]]&amp;"; "&amp;R2515&amp;AS[[#This Row],[Age Band Code]]&amp;"; "&amp;S2515&amp;AS[[#This Row],[Sex Code]]</f>
        <v xml:space="preserve">Insurer Code ; Reporting Year ; Insurance Category Code ; Large Provider Entity Code ; Age Band Code ; Sex Code </v>
      </c>
      <c r="N2515" s="345" t="s">
        <v>207</v>
      </c>
      <c r="O2515" s="345" t="s">
        <v>208</v>
      </c>
      <c r="P2515" s="345" t="s">
        <v>209</v>
      </c>
      <c r="Q2515" s="345" t="s">
        <v>210</v>
      </c>
      <c r="R2515" s="345" t="s">
        <v>223</v>
      </c>
      <c r="S2515" s="345" t="s">
        <v>224</v>
      </c>
    </row>
    <row r="2516" spans="1:19" x14ac:dyDescent="0.25">
      <c r="A2516" s="311"/>
      <c r="B2516" s="312"/>
      <c r="C2516" s="312"/>
      <c r="D2516" s="312"/>
      <c r="E2516" s="312"/>
      <c r="F2516" s="312"/>
      <c r="G2516" s="328"/>
      <c r="H2516" s="337"/>
      <c r="I2516" s="334"/>
      <c r="J2516" s="314"/>
      <c r="K2516" s="449"/>
      <c r="M2516" s="349" t="str">
        <f>N2516&amp;AS[[#This Row],[Insurer Code]]&amp;"; "&amp;O2516&amp;AS[[#This Row],[Reporting Year]]&amp;"; "&amp;P2516&amp;AS[[#This Row],[Insurance Category Code]]&amp;"; "&amp;Q2516&amp;AS[[#This Row],[Large Provider Entity Code]]&amp;"; "&amp;R2516&amp;AS[[#This Row],[Age Band Code]]&amp;"; "&amp;S2516&amp;AS[[#This Row],[Sex Code]]</f>
        <v xml:space="preserve">Insurer Code ; Reporting Year ; Insurance Category Code ; Large Provider Entity Code ; Age Band Code ; Sex Code </v>
      </c>
      <c r="N2516" s="345" t="s">
        <v>207</v>
      </c>
      <c r="O2516" s="345" t="s">
        <v>208</v>
      </c>
      <c r="P2516" s="345" t="s">
        <v>209</v>
      </c>
      <c r="Q2516" s="345" t="s">
        <v>210</v>
      </c>
      <c r="R2516" s="345" t="s">
        <v>223</v>
      </c>
      <c r="S2516" s="345" t="s">
        <v>224</v>
      </c>
    </row>
    <row r="2517" spans="1:19" x14ac:dyDescent="0.25">
      <c r="A2517" s="311"/>
      <c r="B2517" s="312"/>
      <c r="C2517" s="312"/>
      <c r="D2517" s="312"/>
      <c r="E2517" s="312"/>
      <c r="F2517" s="312"/>
      <c r="G2517" s="328"/>
      <c r="H2517" s="337"/>
      <c r="I2517" s="334"/>
      <c r="J2517" s="314"/>
      <c r="K2517" s="449"/>
      <c r="M2517" s="349" t="str">
        <f>N2517&amp;AS[[#This Row],[Insurer Code]]&amp;"; "&amp;O2517&amp;AS[[#This Row],[Reporting Year]]&amp;"; "&amp;P2517&amp;AS[[#This Row],[Insurance Category Code]]&amp;"; "&amp;Q2517&amp;AS[[#This Row],[Large Provider Entity Code]]&amp;"; "&amp;R2517&amp;AS[[#This Row],[Age Band Code]]&amp;"; "&amp;S2517&amp;AS[[#This Row],[Sex Code]]</f>
        <v xml:space="preserve">Insurer Code ; Reporting Year ; Insurance Category Code ; Large Provider Entity Code ; Age Band Code ; Sex Code </v>
      </c>
      <c r="N2517" s="345" t="s">
        <v>207</v>
      </c>
      <c r="O2517" s="345" t="s">
        <v>208</v>
      </c>
      <c r="P2517" s="345" t="s">
        <v>209</v>
      </c>
      <c r="Q2517" s="345" t="s">
        <v>210</v>
      </c>
      <c r="R2517" s="345" t="s">
        <v>223</v>
      </c>
      <c r="S2517" s="345" t="s">
        <v>224</v>
      </c>
    </row>
    <row r="2518" spans="1:19" x14ac:dyDescent="0.25">
      <c r="A2518" s="311"/>
      <c r="B2518" s="312"/>
      <c r="C2518" s="312"/>
      <c r="D2518" s="312"/>
      <c r="E2518" s="312"/>
      <c r="F2518" s="312"/>
      <c r="G2518" s="328"/>
      <c r="H2518" s="337"/>
      <c r="I2518" s="334"/>
      <c r="J2518" s="314"/>
      <c r="K2518" s="449"/>
      <c r="M2518" s="349" t="str">
        <f>N2518&amp;AS[[#This Row],[Insurer Code]]&amp;"; "&amp;O2518&amp;AS[[#This Row],[Reporting Year]]&amp;"; "&amp;P2518&amp;AS[[#This Row],[Insurance Category Code]]&amp;"; "&amp;Q2518&amp;AS[[#This Row],[Large Provider Entity Code]]&amp;"; "&amp;R2518&amp;AS[[#This Row],[Age Band Code]]&amp;"; "&amp;S2518&amp;AS[[#This Row],[Sex Code]]</f>
        <v xml:space="preserve">Insurer Code ; Reporting Year ; Insurance Category Code ; Large Provider Entity Code ; Age Band Code ; Sex Code </v>
      </c>
      <c r="N2518" s="345" t="s">
        <v>207</v>
      </c>
      <c r="O2518" s="345" t="s">
        <v>208</v>
      </c>
      <c r="P2518" s="345" t="s">
        <v>209</v>
      </c>
      <c r="Q2518" s="345" t="s">
        <v>210</v>
      </c>
      <c r="R2518" s="345" t="s">
        <v>223</v>
      </c>
      <c r="S2518" s="345" t="s">
        <v>224</v>
      </c>
    </row>
    <row r="2519" spans="1:19" x14ac:dyDescent="0.25">
      <c r="A2519" s="311"/>
      <c r="B2519" s="312"/>
      <c r="C2519" s="312"/>
      <c r="D2519" s="312"/>
      <c r="E2519" s="312"/>
      <c r="F2519" s="312"/>
      <c r="G2519" s="328"/>
      <c r="H2519" s="337"/>
      <c r="I2519" s="334"/>
      <c r="J2519" s="314"/>
      <c r="K2519" s="449"/>
      <c r="M2519" s="349" t="str">
        <f>N2519&amp;AS[[#This Row],[Insurer Code]]&amp;"; "&amp;O2519&amp;AS[[#This Row],[Reporting Year]]&amp;"; "&amp;P2519&amp;AS[[#This Row],[Insurance Category Code]]&amp;"; "&amp;Q2519&amp;AS[[#This Row],[Large Provider Entity Code]]&amp;"; "&amp;R2519&amp;AS[[#This Row],[Age Band Code]]&amp;"; "&amp;S2519&amp;AS[[#This Row],[Sex Code]]</f>
        <v xml:space="preserve">Insurer Code ; Reporting Year ; Insurance Category Code ; Large Provider Entity Code ; Age Band Code ; Sex Code </v>
      </c>
      <c r="N2519" s="345" t="s">
        <v>207</v>
      </c>
      <c r="O2519" s="345" t="s">
        <v>208</v>
      </c>
      <c r="P2519" s="345" t="s">
        <v>209</v>
      </c>
      <c r="Q2519" s="345" t="s">
        <v>210</v>
      </c>
      <c r="R2519" s="345" t="s">
        <v>223</v>
      </c>
      <c r="S2519" s="345" t="s">
        <v>224</v>
      </c>
    </row>
    <row r="2520" spans="1:19" x14ac:dyDescent="0.25">
      <c r="A2520" s="311"/>
      <c r="B2520" s="312"/>
      <c r="C2520" s="312"/>
      <c r="D2520" s="312"/>
      <c r="E2520" s="312"/>
      <c r="F2520" s="312"/>
      <c r="G2520" s="328"/>
      <c r="H2520" s="337"/>
      <c r="I2520" s="334"/>
      <c r="J2520" s="314"/>
      <c r="K2520" s="449"/>
      <c r="M2520" s="349" t="str">
        <f>N2520&amp;AS[[#This Row],[Insurer Code]]&amp;"; "&amp;O2520&amp;AS[[#This Row],[Reporting Year]]&amp;"; "&amp;P2520&amp;AS[[#This Row],[Insurance Category Code]]&amp;"; "&amp;Q2520&amp;AS[[#This Row],[Large Provider Entity Code]]&amp;"; "&amp;R2520&amp;AS[[#This Row],[Age Band Code]]&amp;"; "&amp;S2520&amp;AS[[#This Row],[Sex Code]]</f>
        <v xml:space="preserve">Insurer Code ; Reporting Year ; Insurance Category Code ; Large Provider Entity Code ; Age Band Code ; Sex Code </v>
      </c>
      <c r="N2520" s="345" t="s">
        <v>207</v>
      </c>
      <c r="O2520" s="345" t="s">
        <v>208</v>
      </c>
      <c r="P2520" s="345" t="s">
        <v>209</v>
      </c>
      <c r="Q2520" s="345" t="s">
        <v>210</v>
      </c>
      <c r="R2520" s="345" t="s">
        <v>223</v>
      </c>
      <c r="S2520" s="345" t="s">
        <v>224</v>
      </c>
    </row>
    <row r="2521" spans="1:19" x14ac:dyDescent="0.25">
      <c r="A2521" s="311"/>
      <c r="B2521" s="312"/>
      <c r="C2521" s="312"/>
      <c r="D2521" s="312"/>
      <c r="E2521" s="312"/>
      <c r="F2521" s="312"/>
      <c r="G2521" s="328"/>
      <c r="H2521" s="337"/>
      <c r="I2521" s="334"/>
      <c r="J2521" s="314"/>
      <c r="K2521" s="449"/>
      <c r="M2521" s="349" t="str">
        <f>N2521&amp;AS[[#This Row],[Insurer Code]]&amp;"; "&amp;O2521&amp;AS[[#This Row],[Reporting Year]]&amp;"; "&amp;P2521&amp;AS[[#This Row],[Insurance Category Code]]&amp;"; "&amp;Q2521&amp;AS[[#This Row],[Large Provider Entity Code]]&amp;"; "&amp;R2521&amp;AS[[#This Row],[Age Band Code]]&amp;"; "&amp;S2521&amp;AS[[#This Row],[Sex Code]]</f>
        <v xml:space="preserve">Insurer Code ; Reporting Year ; Insurance Category Code ; Large Provider Entity Code ; Age Band Code ; Sex Code </v>
      </c>
      <c r="N2521" s="345" t="s">
        <v>207</v>
      </c>
      <c r="O2521" s="345" t="s">
        <v>208</v>
      </c>
      <c r="P2521" s="345" t="s">
        <v>209</v>
      </c>
      <c r="Q2521" s="345" t="s">
        <v>210</v>
      </c>
      <c r="R2521" s="345" t="s">
        <v>223</v>
      </c>
      <c r="S2521" s="345" t="s">
        <v>224</v>
      </c>
    </row>
    <row r="2522" spans="1:19" x14ac:dyDescent="0.25">
      <c r="A2522" s="311"/>
      <c r="B2522" s="312"/>
      <c r="C2522" s="312"/>
      <c r="D2522" s="312"/>
      <c r="E2522" s="312"/>
      <c r="F2522" s="312"/>
      <c r="G2522" s="328"/>
      <c r="H2522" s="337"/>
      <c r="I2522" s="334"/>
      <c r="J2522" s="314"/>
      <c r="K2522" s="449"/>
      <c r="M2522" s="349" t="str">
        <f>N2522&amp;AS[[#This Row],[Insurer Code]]&amp;"; "&amp;O2522&amp;AS[[#This Row],[Reporting Year]]&amp;"; "&amp;P2522&amp;AS[[#This Row],[Insurance Category Code]]&amp;"; "&amp;Q2522&amp;AS[[#This Row],[Large Provider Entity Code]]&amp;"; "&amp;R2522&amp;AS[[#This Row],[Age Band Code]]&amp;"; "&amp;S2522&amp;AS[[#This Row],[Sex Code]]</f>
        <v xml:space="preserve">Insurer Code ; Reporting Year ; Insurance Category Code ; Large Provider Entity Code ; Age Band Code ; Sex Code </v>
      </c>
      <c r="N2522" s="345" t="s">
        <v>207</v>
      </c>
      <c r="O2522" s="345" t="s">
        <v>208</v>
      </c>
      <c r="P2522" s="345" t="s">
        <v>209</v>
      </c>
      <c r="Q2522" s="345" t="s">
        <v>210</v>
      </c>
      <c r="R2522" s="345" t="s">
        <v>223</v>
      </c>
      <c r="S2522" s="345" t="s">
        <v>224</v>
      </c>
    </row>
    <row r="2523" spans="1:19" x14ac:dyDescent="0.25">
      <c r="A2523" s="311"/>
      <c r="B2523" s="312"/>
      <c r="C2523" s="312"/>
      <c r="D2523" s="312"/>
      <c r="E2523" s="312"/>
      <c r="F2523" s="312"/>
      <c r="G2523" s="328"/>
      <c r="H2523" s="337"/>
      <c r="I2523" s="334"/>
      <c r="J2523" s="314"/>
      <c r="K2523" s="449"/>
      <c r="M2523" s="349" t="str">
        <f>N2523&amp;AS[[#This Row],[Insurer Code]]&amp;"; "&amp;O2523&amp;AS[[#This Row],[Reporting Year]]&amp;"; "&amp;P2523&amp;AS[[#This Row],[Insurance Category Code]]&amp;"; "&amp;Q2523&amp;AS[[#This Row],[Large Provider Entity Code]]&amp;"; "&amp;R2523&amp;AS[[#This Row],[Age Band Code]]&amp;"; "&amp;S2523&amp;AS[[#This Row],[Sex Code]]</f>
        <v xml:space="preserve">Insurer Code ; Reporting Year ; Insurance Category Code ; Large Provider Entity Code ; Age Band Code ; Sex Code </v>
      </c>
      <c r="N2523" s="345" t="s">
        <v>207</v>
      </c>
      <c r="O2523" s="345" t="s">
        <v>208</v>
      </c>
      <c r="P2523" s="345" t="s">
        <v>209</v>
      </c>
      <c r="Q2523" s="345" t="s">
        <v>210</v>
      </c>
      <c r="R2523" s="345" t="s">
        <v>223</v>
      </c>
      <c r="S2523" s="345" t="s">
        <v>224</v>
      </c>
    </row>
    <row r="2524" spans="1:19" x14ac:dyDescent="0.25">
      <c r="A2524" s="311"/>
      <c r="B2524" s="312"/>
      <c r="C2524" s="312"/>
      <c r="D2524" s="312"/>
      <c r="E2524" s="312"/>
      <c r="F2524" s="312"/>
      <c r="G2524" s="328"/>
      <c r="H2524" s="337"/>
      <c r="I2524" s="334"/>
      <c r="J2524" s="314"/>
      <c r="K2524" s="449"/>
      <c r="M2524" s="349" t="str">
        <f>N2524&amp;AS[[#This Row],[Insurer Code]]&amp;"; "&amp;O2524&amp;AS[[#This Row],[Reporting Year]]&amp;"; "&amp;P2524&amp;AS[[#This Row],[Insurance Category Code]]&amp;"; "&amp;Q2524&amp;AS[[#This Row],[Large Provider Entity Code]]&amp;"; "&amp;R2524&amp;AS[[#This Row],[Age Band Code]]&amp;"; "&amp;S2524&amp;AS[[#This Row],[Sex Code]]</f>
        <v xml:space="preserve">Insurer Code ; Reporting Year ; Insurance Category Code ; Large Provider Entity Code ; Age Band Code ; Sex Code </v>
      </c>
      <c r="N2524" s="345" t="s">
        <v>207</v>
      </c>
      <c r="O2524" s="345" t="s">
        <v>208</v>
      </c>
      <c r="P2524" s="345" t="s">
        <v>209</v>
      </c>
      <c r="Q2524" s="345" t="s">
        <v>210</v>
      </c>
      <c r="R2524" s="345" t="s">
        <v>223</v>
      </c>
      <c r="S2524" s="345" t="s">
        <v>224</v>
      </c>
    </row>
    <row r="2525" spans="1:19" x14ac:dyDescent="0.25">
      <c r="A2525" s="311"/>
      <c r="B2525" s="312"/>
      <c r="C2525" s="312"/>
      <c r="D2525" s="312"/>
      <c r="E2525" s="312"/>
      <c r="F2525" s="312"/>
      <c r="G2525" s="328"/>
      <c r="H2525" s="337"/>
      <c r="I2525" s="334"/>
      <c r="J2525" s="314"/>
      <c r="K2525" s="449"/>
      <c r="M2525" s="349" t="str">
        <f>N2525&amp;AS[[#This Row],[Insurer Code]]&amp;"; "&amp;O2525&amp;AS[[#This Row],[Reporting Year]]&amp;"; "&amp;P2525&amp;AS[[#This Row],[Insurance Category Code]]&amp;"; "&amp;Q2525&amp;AS[[#This Row],[Large Provider Entity Code]]&amp;"; "&amp;R2525&amp;AS[[#This Row],[Age Band Code]]&amp;"; "&amp;S2525&amp;AS[[#This Row],[Sex Code]]</f>
        <v xml:space="preserve">Insurer Code ; Reporting Year ; Insurance Category Code ; Large Provider Entity Code ; Age Band Code ; Sex Code </v>
      </c>
      <c r="N2525" s="345" t="s">
        <v>207</v>
      </c>
      <c r="O2525" s="345" t="s">
        <v>208</v>
      </c>
      <c r="P2525" s="345" t="s">
        <v>209</v>
      </c>
      <c r="Q2525" s="345" t="s">
        <v>210</v>
      </c>
      <c r="R2525" s="345" t="s">
        <v>223</v>
      </c>
      <c r="S2525" s="345" t="s">
        <v>224</v>
      </c>
    </row>
    <row r="2526" spans="1:19" x14ac:dyDescent="0.25">
      <c r="A2526" s="311"/>
      <c r="B2526" s="312"/>
      <c r="C2526" s="312"/>
      <c r="D2526" s="312"/>
      <c r="E2526" s="312"/>
      <c r="F2526" s="312"/>
      <c r="G2526" s="328"/>
      <c r="H2526" s="337"/>
      <c r="I2526" s="334"/>
      <c r="J2526" s="314"/>
      <c r="K2526" s="449"/>
      <c r="M2526" s="349" t="str">
        <f>N2526&amp;AS[[#This Row],[Insurer Code]]&amp;"; "&amp;O2526&amp;AS[[#This Row],[Reporting Year]]&amp;"; "&amp;P2526&amp;AS[[#This Row],[Insurance Category Code]]&amp;"; "&amp;Q2526&amp;AS[[#This Row],[Large Provider Entity Code]]&amp;"; "&amp;R2526&amp;AS[[#This Row],[Age Band Code]]&amp;"; "&amp;S2526&amp;AS[[#This Row],[Sex Code]]</f>
        <v xml:space="preserve">Insurer Code ; Reporting Year ; Insurance Category Code ; Large Provider Entity Code ; Age Band Code ; Sex Code </v>
      </c>
      <c r="N2526" s="345" t="s">
        <v>207</v>
      </c>
      <c r="O2526" s="345" t="s">
        <v>208</v>
      </c>
      <c r="P2526" s="345" t="s">
        <v>209</v>
      </c>
      <c r="Q2526" s="345" t="s">
        <v>210</v>
      </c>
      <c r="R2526" s="345" t="s">
        <v>223</v>
      </c>
      <c r="S2526" s="345" t="s">
        <v>224</v>
      </c>
    </row>
    <row r="2527" spans="1:19" x14ac:dyDescent="0.25">
      <c r="A2527" s="311"/>
      <c r="B2527" s="312"/>
      <c r="C2527" s="312"/>
      <c r="D2527" s="312"/>
      <c r="E2527" s="312"/>
      <c r="F2527" s="312"/>
      <c r="G2527" s="328"/>
      <c r="H2527" s="337"/>
      <c r="I2527" s="334"/>
      <c r="J2527" s="314"/>
      <c r="K2527" s="449"/>
      <c r="M2527" s="349" t="str">
        <f>N2527&amp;AS[[#This Row],[Insurer Code]]&amp;"; "&amp;O2527&amp;AS[[#This Row],[Reporting Year]]&amp;"; "&amp;P2527&amp;AS[[#This Row],[Insurance Category Code]]&amp;"; "&amp;Q2527&amp;AS[[#This Row],[Large Provider Entity Code]]&amp;"; "&amp;R2527&amp;AS[[#This Row],[Age Band Code]]&amp;"; "&amp;S2527&amp;AS[[#This Row],[Sex Code]]</f>
        <v xml:space="preserve">Insurer Code ; Reporting Year ; Insurance Category Code ; Large Provider Entity Code ; Age Band Code ; Sex Code </v>
      </c>
      <c r="N2527" s="345" t="s">
        <v>207</v>
      </c>
      <c r="O2527" s="345" t="s">
        <v>208</v>
      </c>
      <c r="P2527" s="345" t="s">
        <v>209</v>
      </c>
      <c r="Q2527" s="345" t="s">
        <v>210</v>
      </c>
      <c r="R2527" s="345" t="s">
        <v>223</v>
      </c>
      <c r="S2527" s="345" t="s">
        <v>224</v>
      </c>
    </row>
    <row r="2528" spans="1:19" x14ac:dyDescent="0.25">
      <c r="A2528" s="311"/>
      <c r="B2528" s="312"/>
      <c r="C2528" s="312"/>
      <c r="D2528" s="312"/>
      <c r="E2528" s="312"/>
      <c r="F2528" s="312"/>
      <c r="G2528" s="328"/>
      <c r="H2528" s="337"/>
      <c r="I2528" s="334"/>
      <c r="J2528" s="314"/>
      <c r="K2528" s="449"/>
      <c r="M2528" s="349" t="str">
        <f>N2528&amp;AS[[#This Row],[Insurer Code]]&amp;"; "&amp;O2528&amp;AS[[#This Row],[Reporting Year]]&amp;"; "&amp;P2528&amp;AS[[#This Row],[Insurance Category Code]]&amp;"; "&amp;Q2528&amp;AS[[#This Row],[Large Provider Entity Code]]&amp;"; "&amp;R2528&amp;AS[[#This Row],[Age Band Code]]&amp;"; "&amp;S2528&amp;AS[[#This Row],[Sex Code]]</f>
        <v xml:space="preserve">Insurer Code ; Reporting Year ; Insurance Category Code ; Large Provider Entity Code ; Age Band Code ; Sex Code </v>
      </c>
      <c r="N2528" s="345" t="s">
        <v>207</v>
      </c>
      <c r="O2528" s="345" t="s">
        <v>208</v>
      </c>
      <c r="P2528" s="345" t="s">
        <v>209</v>
      </c>
      <c r="Q2528" s="345" t="s">
        <v>210</v>
      </c>
      <c r="R2528" s="345" t="s">
        <v>223</v>
      </c>
      <c r="S2528" s="345" t="s">
        <v>224</v>
      </c>
    </row>
    <row r="2529" spans="1:19" x14ac:dyDescent="0.25">
      <c r="A2529" s="311"/>
      <c r="B2529" s="312"/>
      <c r="C2529" s="312"/>
      <c r="D2529" s="312"/>
      <c r="E2529" s="312"/>
      <c r="F2529" s="312"/>
      <c r="G2529" s="328"/>
      <c r="H2529" s="337"/>
      <c r="I2529" s="334"/>
      <c r="J2529" s="314"/>
      <c r="K2529" s="449"/>
      <c r="M2529" s="349" t="str">
        <f>N2529&amp;AS[[#This Row],[Insurer Code]]&amp;"; "&amp;O2529&amp;AS[[#This Row],[Reporting Year]]&amp;"; "&amp;P2529&amp;AS[[#This Row],[Insurance Category Code]]&amp;"; "&amp;Q2529&amp;AS[[#This Row],[Large Provider Entity Code]]&amp;"; "&amp;R2529&amp;AS[[#This Row],[Age Band Code]]&amp;"; "&amp;S2529&amp;AS[[#This Row],[Sex Code]]</f>
        <v xml:space="preserve">Insurer Code ; Reporting Year ; Insurance Category Code ; Large Provider Entity Code ; Age Band Code ; Sex Code </v>
      </c>
      <c r="N2529" s="345" t="s">
        <v>207</v>
      </c>
      <c r="O2529" s="345" t="s">
        <v>208</v>
      </c>
      <c r="P2529" s="345" t="s">
        <v>209</v>
      </c>
      <c r="Q2529" s="345" t="s">
        <v>210</v>
      </c>
      <c r="R2529" s="345" t="s">
        <v>223</v>
      </c>
      <c r="S2529" s="345" t="s">
        <v>224</v>
      </c>
    </row>
    <row r="2530" spans="1:19" x14ac:dyDescent="0.25">
      <c r="A2530" s="311"/>
      <c r="B2530" s="312"/>
      <c r="C2530" s="312"/>
      <c r="D2530" s="312"/>
      <c r="E2530" s="312"/>
      <c r="F2530" s="312"/>
      <c r="G2530" s="328"/>
      <c r="H2530" s="337"/>
      <c r="I2530" s="334"/>
      <c r="J2530" s="314"/>
      <c r="K2530" s="449"/>
      <c r="M2530" s="349" t="str">
        <f>N2530&amp;AS[[#This Row],[Insurer Code]]&amp;"; "&amp;O2530&amp;AS[[#This Row],[Reporting Year]]&amp;"; "&amp;P2530&amp;AS[[#This Row],[Insurance Category Code]]&amp;"; "&amp;Q2530&amp;AS[[#This Row],[Large Provider Entity Code]]&amp;"; "&amp;R2530&amp;AS[[#This Row],[Age Band Code]]&amp;"; "&amp;S2530&amp;AS[[#This Row],[Sex Code]]</f>
        <v xml:space="preserve">Insurer Code ; Reporting Year ; Insurance Category Code ; Large Provider Entity Code ; Age Band Code ; Sex Code </v>
      </c>
      <c r="N2530" s="345" t="s">
        <v>207</v>
      </c>
      <c r="O2530" s="345" t="s">
        <v>208</v>
      </c>
      <c r="P2530" s="345" t="s">
        <v>209</v>
      </c>
      <c r="Q2530" s="345" t="s">
        <v>210</v>
      </c>
      <c r="R2530" s="345" t="s">
        <v>223</v>
      </c>
      <c r="S2530" s="345" t="s">
        <v>224</v>
      </c>
    </row>
    <row r="2531" spans="1:19" x14ac:dyDescent="0.25">
      <c r="A2531" s="311"/>
      <c r="B2531" s="312"/>
      <c r="C2531" s="312"/>
      <c r="D2531" s="312"/>
      <c r="E2531" s="312"/>
      <c r="F2531" s="312"/>
      <c r="G2531" s="328"/>
      <c r="H2531" s="337"/>
      <c r="I2531" s="334"/>
      <c r="J2531" s="314"/>
      <c r="K2531" s="449"/>
      <c r="M2531" s="349" t="str">
        <f>N2531&amp;AS[[#This Row],[Insurer Code]]&amp;"; "&amp;O2531&amp;AS[[#This Row],[Reporting Year]]&amp;"; "&amp;P2531&amp;AS[[#This Row],[Insurance Category Code]]&amp;"; "&amp;Q2531&amp;AS[[#This Row],[Large Provider Entity Code]]&amp;"; "&amp;R2531&amp;AS[[#This Row],[Age Band Code]]&amp;"; "&amp;S2531&amp;AS[[#This Row],[Sex Code]]</f>
        <v xml:space="preserve">Insurer Code ; Reporting Year ; Insurance Category Code ; Large Provider Entity Code ; Age Band Code ; Sex Code </v>
      </c>
      <c r="N2531" s="345" t="s">
        <v>207</v>
      </c>
      <c r="O2531" s="345" t="s">
        <v>208</v>
      </c>
      <c r="P2531" s="345" t="s">
        <v>209</v>
      </c>
      <c r="Q2531" s="345" t="s">
        <v>210</v>
      </c>
      <c r="R2531" s="345" t="s">
        <v>223</v>
      </c>
      <c r="S2531" s="345" t="s">
        <v>224</v>
      </c>
    </row>
    <row r="2532" spans="1:19" x14ac:dyDescent="0.25">
      <c r="A2532" s="311"/>
      <c r="B2532" s="312"/>
      <c r="C2532" s="312"/>
      <c r="D2532" s="312"/>
      <c r="E2532" s="312"/>
      <c r="F2532" s="312"/>
      <c r="G2532" s="328"/>
      <c r="H2532" s="337"/>
      <c r="I2532" s="334"/>
      <c r="J2532" s="314"/>
      <c r="K2532" s="449"/>
      <c r="M2532" s="349" t="str">
        <f>N2532&amp;AS[[#This Row],[Insurer Code]]&amp;"; "&amp;O2532&amp;AS[[#This Row],[Reporting Year]]&amp;"; "&amp;P2532&amp;AS[[#This Row],[Insurance Category Code]]&amp;"; "&amp;Q2532&amp;AS[[#This Row],[Large Provider Entity Code]]&amp;"; "&amp;R2532&amp;AS[[#This Row],[Age Band Code]]&amp;"; "&amp;S2532&amp;AS[[#This Row],[Sex Code]]</f>
        <v xml:space="preserve">Insurer Code ; Reporting Year ; Insurance Category Code ; Large Provider Entity Code ; Age Band Code ; Sex Code </v>
      </c>
      <c r="N2532" s="345" t="s">
        <v>207</v>
      </c>
      <c r="O2532" s="345" t="s">
        <v>208</v>
      </c>
      <c r="P2532" s="345" t="s">
        <v>209</v>
      </c>
      <c r="Q2532" s="345" t="s">
        <v>210</v>
      </c>
      <c r="R2532" s="345" t="s">
        <v>223</v>
      </c>
      <c r="S2532" s="345" t="s">
        <v>224</v>
      </c>
    </row>
    <row r="2533" spans="1:19" x14ac:dyDescent="0.25">
      <c r="A2533" s="311"/>
      <c r="B2533" s="312"/>
      <c r="C2533" s="312"/>
      <c r="D2533" s="312"/>
      <c r="E2533" s="312"/>
      <c r="F2533" s="312"/>
      <c r="G2533" s="328"/>
      <c r="H2533" s="337"/>
      <c r="I2533" s="334"/>
      <c r="J2533" s="314"/>
      <c r="K2533" s="449"/>
      <c r="M2533" s="349" t="str">
        <f>N2533&amp;AS[[#This Row],[Insurer Code]]&amp;"; "&amp;O2533&amp;AS[[#This Row],[Reporting Year]]&amp;"; "&amp;P2533&amp;AS[[#This Row],[Insurance Category Code]]&amp;"; "&amp;Q2533&amp;AS[[#This Row],[Large Provider Entity Code]]&amp;"; "&amp;R2533&amp;AS[[#This Row],[Age Band Code]]&amp;"; "&amp;S2533&amp;AS[[#This Row],[Sex Code]]</f>
        <v xml:space="preserve">Insurer Code ; Reporting Year ; Insurance Category Code ; Large Provider Entity Code ; Age Band Code ; Sex Code </v>
      </c>
      <c r="N2533" s="345" t="s">
        <v>207</v>
      </c>
      <c r="O2533" s="345" t="s">
        <v>208</v>
      </c>
      <c r="P2533" s="345" t="s">
        <v>209</v>
      </c>
      <c r="Q2533" s="345" t="s">
        <v>210</v>
      </c>
      <c r="R2533" s="345" t="s">
        <v>223</v>
      </c>
      <c r="S2533" s="345" t="s">
        <v>224</v>
      </c>
    </row>
    <row r="2534" spans="1:19" x14ac:dyDescent="0.25">
      <c r="A2534" s="311"/>
      <c r="B2534" s="312"/>
      <c r="C2534" s="312"/>
      <c r="D2534" s="312"/>
      <c r="E2534" s="312"/>
      <c r="F2534" s="312"/>
      <c r="G2534" s="328"/>
      <c r="H2534" s="337"/>
      <c r="I2534" s="334"/>
      <c r="J2534" s="314"/>
      <c r="K2534" s="449"/>
      <c r="M2534" s="349" t="str">
        <f>N2534&amp;AS[[#This Row],[Insurer Code]]&amp;"; "&amp;O2534&amp;AS[[#This Row],[Reporting Year]]&amp;"; "&amp;P2534&amp;AS[[#This Row],[Insurance Category Code]]&amp;"; "&amp;Q2534&amp;AS[[#This Row],[Large Provider Entity Code]]&amp;"; "&amp;R2534&amp;AS[[#This Row],[Age Band Code]]&amp;"; "&amp;S2534&amp;AS[[#This Row],[Sex Code]]</f>
        <v xml:space="preserve">Insurer Code ; Reporting Year ; Insurance Category Code ; Large Provider Entity Code ; Age Band Code ; Sex Code </v>
      </c>
      <c r="N2534" s="345" t="s">
        <v>207</v>
      </c>
      <c r="O2534" s="345" t="s">
        <v>208</v>
      </c>
      <c r="P2534" s="345" t="s">
        <v>209</v>
      </c>
      <c r="Q2534" s="345" t="s">
        <v>210</v>
      </c>
      <c r="R2534" s="345" t="s">
        <v>223</v>
      </c>
      <c r="S2534" s="345" t="s">
        <v>224</v>
      </c>
    </row>
    <row r="2535" spans="1:19" x14ac:dyDescent="0.25">
      <c r="A2535" s="311"/>
      <c r="B2535" s="312"/>
      <c r="C2535" s="312"/>
      <c r="D2535" s="312"/>
      <c r="E2535" s="312"/>
      <c r="F2535" s="312"/>
      <c r="G2535" s="328"/>
      <c r="H2535" s="337"/>
      <c r="I2535" s="334"/>
      <c r="J2535" s="314"/>
      <c r="K2535" s="449"/>
      <c r="M2535" s="349" t="str">
        <f>N2535&amp;AS[[#This Row],[Insurer Code]]&amp;"; "&amp;O2535&amp;AS[[#This Row],[Reporting Year]]&amp;"; "&amp;P2535&amp;AS[[#This Row],[Insurance Category Code]]&amp;"; "&amp;Q2535&amp;AS[[#This Row],[Large Provider Entity Code]]&amp;"; "&amp;R2535&amp;AS[[#This Row],[Age Band Code]]&amp;"; "&amp;S2535&amp;AS[[#This Row],[Sex Code]]</f>
        <v xml:space="preserve">Insurer Code ; Reporting Year ; Insurance Category Code ; Large Provider Entity Code ; Age Band Code ; Sex Code </v>
      </c>
      <c r="N2535" s="345" t="s">
        <v>207</v>
      </c>
      <c r="O2535" s="345" t="s">
        <v>208</v>
      </c>
      <c r="P2535" s="345" t="s">
        <v>209</v>
      </c>
      <c r="Q2535" s="345" t="s">
        <v>210</v>
      </c>
      <c r="R2535" s="345" t="s">
        <v>223</v>
      </c>
      <c r="S2535" s="345" t="s">
        <v>224</v>
      </c>
    </row>
    <row r="2536" spans="1:19" x14ac:dyDescent="0.25">
      <c r="A2536" s="311"/>
      <c r="B2536" s="312"/>
      <c r="C2536" s="312"/>
      <c r="D2536" s="312"/>
      <c r="E2536" s="312"/>
      <c r="F2536" s="312"/>
      <c r="G2536" s="328"/>
      <c r="H2536" s="337"/>
      <c r="I2536" s="334"/>
      <c r="J2536" s="314"/>
      <c r="K2536" s="449"/>
      <c r="M2536" s="349" t="str">
        <f>N2536&amp;AS[[#This Row],[Insurer Code]]&amp;"; "&amp;O2536&amp;AS[[#This Row],[Reporting Year]]&amp;"; "&amp;P2536&amp;AS[[#This Row],[Insurance Category Code]]&amp;"; "&amp;Q2536&amp;AS[[#This Row],[Large Provider Entity Code]]&amp;"; "&amp;R2536&amp;AS[[#This Row],[Age Band Code]]&amp;"; "&amp;S2536&amp;AS[[#This Row],[Sex Code]]</f>
        <v xml:space="preserve">Insurer Code ; Reporting Year ; Insurance Category Code ; Large Provider Entity Code ; Age Band Code ; Sex Code </v>
      </c>
      <c r="N2536" s="345" t="s">
        <v>207</v>
      </c>
      <c r="O2536" s="345" t="s">
        <v>208</v>
      </c>
      <c r="P2536" s="345" t="s">
        <v>209</v>
      </c>
      <c r="Q2536" s="345" t="s">
        <v>210</v>
      </c>
      <c r="R2536" s="345" t="s">
        <v>223</v>
      </c>
      <c r="S2536" s="345" t="s">
        <v>224</v>
      </c>
    </row>
    <row r="2537" spans="1:19" x14ac:dyDescent="0.25">
      <c r="A2537" s="311"/>
      <c r="B2537" s="312"/>
      <c r="C2537" s="312"/>
      <c r="D2537" s="312"/>
      <c r="E2537" s="312"/>
      <c r="F2537" s="312"/>
      <c r="G2537" s="328"/>
      <c r="H2537" s="337"/>
      <c r="I2537" s="334"/>
      <c r="J2537" s="314"/>
      <c r="K2537" s="449"/>
      <c r="M2537" s="349" t="str">
        <f>N2537&amp;AS[[#This Row],[Insurer Code]]&amp;"; "&amp;O2537&amp;AS[[#This Row],[Reporting Year]]&amp;"; "&amp;P2537&amp;AS[[#This Row],[Insurance Category Code]]&amp;"; "&amp;Q2537&amp;AS[[#This Row],[Large Provider Entity Code]]&amp;"; "&amp;R2537&amp;AS[[#This Row],[Age Band Code]]&amp;"; "&amp;S2537&amp;AS[[#This Row],[Sex Code]]</f>
        <v xml:space="preserve">Insurer Code ; Reporting Year ; Insurance Category Code ; Large Provider Entity Code ; Age Band Code ; Sex Code </v>
      </c>
      <c r="N2537" s="345" t="s">
        <v>207</v>
      </c>
      <c r="O2537" s="345" t="s">
        <v>208</v>
      </c>
      <c r="P2537" s="345" t="s">
        <v>209</v>
      </c>
      <c r="Q2537" s="345" t="s">
        <v>210</v>
      </c>
      <c r="R2537" s="345" t="s">
        <v>223</v>
      </c>
      <c r="S2537" s="345" t="s">
        <v>224</v>
      </c>
    </row>
    <row r="2538" spans="1:19" x14ac:dyDescent="0.25">
      <c r="A2538" s="311"/>
      <c r="B2538" s="312"/>
      <c r="C2538" s="312"/>
      <c r="D2538" s="312"/>
      <c r="E2538" s="312"/>
      <c r="F2538" s="312"/>
      <c r="G2538" s="328"/>
      <c r="H2538" s="337"/>
      <c r="I2538" s="334"/>
      <c r="J2538" s="314"/>
      <c r="K2538" s="449"/>
      <c r="M2538" s="349" t="str">
        <f>N2538&amp;AS[[#This Row],[Insurer Code]]&amp;"; "&amp;O2538&amp;AS[[#This Row],[Reporting Year]]&amp;"; "&amp;P2538&amp;AS[[#This Row],[Insurance Category Code]]&amp;"; "&amp;Q2538&amp;AS[[#This Row],[Large Provider Entity Code]]&amp;"; "&amp;R2538&amp;AS[[#This Row],[Age Band Code]]&amp;"; "&amp;S2538&amp;AS[[#This Row],[Sex Code]]</f>
        <v xml:space="preserve">Insurer Code ; Reporting Year ; Insurance Category Code ; Large Provider Entity Code ; Age Band Code ; Sex Code </v>
      </c>
      <c r="N2538" s="345" t="s">
        <v>207</v>
      </c>
      <c r="O2538" s="345" t="s">
        <v>208</v>
      </c>
      <c r="P2538" s="345" t="s">
        <v>209</v>
      </c>
      <c r="Q2538" s="345" t="s">
        <v>210</v>
      </c>
      <c r="R2538" s="345" t="s">
        <v>223</v>
      </c>
      <c r="S2538" s="345" t="s">
        <v>224</v>
      </c>
    </row>
    <row r="2539" spans="1:19" x14ac:dyDescent="0.25">
      <c r="A2539" s="311"/>
      <c r="B2539" s="312"/>
      <c r="C2539" s="312"/>
      <c r="D2539" s="312"/>
      <c r="E2539" s="312"/>
      <c r="F2539" s="312"/>
      <c r="G2539" s="328"/>
      <c r="H2539" s="337"/>
      <c r="I2539" s="334"/>
      <c r="J2539" s="314"/>
      <c r="K2539" s="449"/>
      <c r="M2539" s="349" t="str">
        <f>N2539&amp;AS[[#This Row],[Insurer Code]]&amp;"; "&amp;O2539&amp;AS[[#This Row],[Reporting Year]]&amp;"; "&amp;P2539&amp;AS[[#This Row],[Insurance Category Code]]&amp;"; "&amp;Q2539&amp;AS[[#This Row],[Large Provider Entity Code]]&amp;"; "&amp;R2539&amp;AS[[#This Row],[Age Band Code]]&amp;"; "&amp;S2539&amp;AS[[#This Row],[Sex Code]]</f>
        <v xml:space="preserve">Insurer Code ; Reporting Year ; Insurance Category Code ; Large Provider Entity Code ; Age Band Code ; Sex Code </v>
      </c>
      <c r="N2539" s="345" t="s">
        <v>207</v>
      </c>
      <c r="O2539" s="345" t="s">
        <v>208</v>
      </c>
      <c r="P2539" s="345" t="s">
        <v>209</v>
      </c>
      <c r="Q2539" s="345" t="s">
        <v>210</v>
      </c>
      <c r="R2539" s="345" t="s">
        <v>223</v>
      </c>
      <c r="S2539" s="345" t="s">
        <v>224</v>
      </c>
    </row>
    <row r="2540" spans="1:19" x14ac:dyDescent="0.25">
      <c r="A2540" s="311"/>
      <c r="B2540" s="312"/>
      <c r="C2540" s="312"/>
      <c r="D2540" s="312"/>
      <c r="E2540" s="312"/>
      <c r="F2540" s="312"/>
      <c r="G2540" s="328"/>
      <c r="H2540" s="337"/>
      <c r="I2540" s="334"/>
      <c r="J2540" s="314"/>
      <c r="K2540" s="449"/>
      <c r="M2540" s="349" t="str">
        <f>N2540&amp;AS[[#This Row],[Insurer Code]]&amp;"; "&amp;O2540&amp;AS[[#This Row],[Reporting Year]]&amp;"; "&amp;P2540&amp;AS[[#This Row],[Insurance Category Code]]&amp;"; "&amp;Q2540&amp;AS[[#This Row],[Large Provider Entity Code]]&amp;"; "&amp;R2540&amp;AS[[#This Row],[Age Band Code]]&amp;"; "&amp;S2540&amp;AS[[#This Row],[Sex Code]]</f>
        <v xml:space="preserve">Insurer Code ; Reporting Year ; Insurance Category Code ; Large Provider Entity Code ; Age Band Code ; Sex Code </v>
      </c>
      <c r="N2540" s="345" t="s">
        <v>207</v>
      </c>
      <c r="O2540" s="345" t="s">
        <v>208</v>
      </c>
      <c r="P2540" s="345" t="s">
        <v>209</v>
      </c>
      <c r="Q2540" s="345" t="s">
        <v>210</v>
      </c>
      <c r="R2540" s="345" t="s">
        <v>223</v>
      </c>
      <c r="S2540" s="345" t="s">
        <v>224</v>
      </c>
    </row>
    <row r="2541" spans="1:19" x14ac:dyDescent="0.25">
      <c r="A2541" s="311"/>
      <c r="B2541" s="312"/>
      <c r="C2541" s="312"/>
      <c r="D2541" s="312"/>
      <c r="E2541" s="312"/>
      <c r="F2541" s="312"/>
      <c r="G2541" s="328"/>
      <c r="H2541" s="337"/>
      <c r="I2541" s="334"/>
      <c r="J2541" s="314"/>
      <c r="K2541" s="449"/>
      <c r="M2541" s="349" t="str">
        <f>N2541&amp;AS[[#This Row],[Insurer Code]]&amp;"; "&amp;O2541&amp;AS[[#This Row],[Reporting Year]]&amp;"; "&amp;P2541&amp;AS[[#This Row],[Insurance Category Code]]&amp;"; "&amp;Q2541&amp;AS[[#This Row],[Large Provider Entity Code]]&amp;"; "&amp;R2541&amp;AS[[#This Row],[Age Band Code]]&amp;"; "&amp;S2541&amp;AS[[#This Row],[Sex Code]]</f>
        <v xml:space="preserve">Insurer Code ; Reporting Year ; Insurance Category Code ; Large Provider Entity Code ; Age Band Code ; Sex Code </v>
      </c>
      <c r="N2541" s="345" t="s">
        <v>207</v>
      </c>
      <c r="O2541" s="345" t="s">
        <v>208</v>
      </c>
      <c r="P2541" s="345" t="s">
        <v>209</v>
      </c>
      <c r="Q2541" s="345" t="s">
        <v>210</v>
      </c>
      <c r="R2541" s="345" t="s">
        <v>223</v>
      </c>
      <c r="S2541" s="345" t="s">
        <v>224</v>
      </c>
    </row>
    <row r="2542" spans="1:19" x14ac:dyDescent="0.25">
      <c r="A2542" s="311"/>
      <c r="B2542" s="312"/>
      <c r="C2542" s="312"/>
      <c r="D2542" s="312"/>
      <c r="E2542" s="312"/>
      <c r="F2542" s="312"/>
      <c r="G2542" s="328"/>
      <c r="H2542" s="337"/>
      <c r="I2542" s="334"/>
      <c r="J2542" s="314"/>
      <c r="K2542" s="449"/>
      <c r="M2542" s="349" t="str">
        <f>N2542&amp;AS[[#This Row],[Insurer Code]]&amp;"; "&amp;O2542&amp;AS[[#This Row],[Reporting Year]]&amp;"; "&amp;P2542&amp;AS[[#This Row],[Insurance Category Code]]&amp;"; "&amp;Q2542&amp;AS[[#This Row],[Large Provider Entity Code]]&amp;"; "&amp;R2542&amp;AS[[#This Row],[Age Band Code]]&amp;"; "&amp;S2542&amp;AS[[#This Row],[Sex Code]]</f>
        <v xml:space="preserve">Insurer Code ; Reporting Year ; Insurance Category Code ; Large Provider Entity Code ; Age Band Code ; Sex Code </v>
      </c>
      <c r="N2542" s="345" t="s">
        <v>207</v>
      </c>
      <c r="O2542" s="345" t="s">
        <v>208</v>
      </c>
      <c r="P2542" s="345" t="s">
        <v>209</v>
      </c>
      <c r="Q2542" s="345" t="s">
        <v>210</v>
      </c>
      <c r="R2542" s="345" t="s">
        <v>223</v>
      </c>
      <c r="S2542" s="345" t="s">
        <v>224</v>
      </c>
    </row>
    <row r="2543" spans="1:19" x14ac:dyDescent="0.25">
      <c r="A2543" s="311"/>
      <c r="B2543" s="312"/>
      <c r="C2543" s="312"/>
      <c r="D2543" s="312"/>
      <c r="E2543" s="312"/>
      <c r="F2543" s="312"/>
      <c r="G2543" s="328"/>
      <c r="H2543" s="337"/>
      <c r="I2543" s="334"/>
      <c r="J2543" s="314"/>
      <c r="K2543" s="449"/>
      <c r="M2543" s="349" t="str">
        <f>N2543&amp;AS[[#This Row],[Insurer Code]]&amp;"; "&amp;O2543&amp;AS[[#This Row],[Reporting Year]]&amp;"; "&amp;P2543&amp;AS[[#This Row],[Insurance Category Code]]&amp;"; "&amp;Q2543&amp;AS[[#This Row],[Large Provider Entity Code]]&amp;"; "&amp;R2543&amp;AS[[#This Row],[Age Band Code]]&amp;"; "&amp;S2543&amp;AS[[#This Row],[Sex Code]]</f>
        <v xml:space="preserve">Insurer Code ; Reporting Year ; Insurance Category Code ; Large Provider Entity Code ; Age Band Code ; Sex Code </v>
      </c>
      <c r="N2543" s="345" t="s">
        <v>207</v>
      </c>
      <c r="O2543" s="345" t="s">
        <v>208</v>
      </c>
      <c r="P2543" s="345" t="s">
        <v>209</v>
      </c>
      <c r="Q2543" s="345" t="s">
        <v>210</v>
      </c>
      <c r="R2543" s="345" t="s">
        <v>223</v>
      </c>
      <c r="S2543" s="345" t="s">
        <v>224</v>
      </c>
    </row>
    <row r="2544" spans="1:19" x14ac:dyDescent="0.25">
      <c r="A2544" s="311"/>
      <c r="B2544" s="312"/>
      <c r="C2544" s="312"/>
      <c r="D2544" s="312"/>
      <c r="E2544" s="312"/>
      <c r="F2544" s="312"/>
      <c r="G2544" s="328"/>
      <c r="H2544" s="337"/>
      <c r="I2544" s="334"/>
      <c r="J2544" s="314"/>
      <c r="K2544" s="449"/>
      <c r="M2544" s="349" t="str">
        <f>N2544&amp;AS[[#This Row],[Insurer Code]]&amp;"; "&amp;O2544&amp;AS[[#This Row],[Reporting Year]]&amp;"; "&amp;P2544&amp;AS[[#This Row],[Insurance Category Code]]&amp;"; "&amp;Q2544&amp;AS[[#This Row],[Large Provider Entity Code]]&amp;"; "&amp;R2544&amp;AS[[#This Row],[Age Band Code]]&amp;"; "&amp;S2544&amp;AS[[#This Row],[Sex Code]]</f>
        <v xml:space="preserve">Insurer Code ; Reporting Year ; Insurance Category Code ; Large Provider Entity Code ; Age Band Code ; Sex Code </v>
      </c>
      <c r="N2544" s="345" t="s">
        <v>207</v>
      </c>
      <c r="O2544" s="345" t="s">
        <v>208</v>
      </c>
      <c r="P2544" s="345" t="s">
        <v>209</v>
      </c>
      <c r="Q2544" s="345" t="s">
        <v>210</v>
      </c>
      <c r="R2544" s="345" t="s">
        <v>223</v>
      </c>
      <c r="S2544" s="345" t="s">
        <v>224</v>
      </c>
    </row>
    <row r="2545" spans="1:19" x14ac:dyDescent="0.25">
      <c r="A2545" s="311"/>
      <c r="B2545" s="312"/>
      <c r="C2545" s="312"/>
      <c r="D2545" s="312"/>
      <c r="E2545" s="312"/>
      <c r="F2545" s="312"/>
      <c r="G2545" s="328"/>
      <c r="H2545" s="337"/>
      <c r="I2545" s="334"/>
      <c r="J2545" s="314"/>
      <c r="K2545" s="449"/>
      <c r="M2545" s="349" t="str">
        <f>N2545&amp;AS[[#This Row],[Insurer Code]]&amp;"; "&amp;O2545&amp;AS[[#This Row],[Reporting Year]]&amp;"; "&amp;P2545&amp;AS[[#This Row],[Insurance Category Code]]&amp;"; "&amp;Q2545&amp;AS[[#This Row],[Large Provider Entity Code]]&amp;"; "&amp;R2545&amp;AS[[#This Row],[Age Band Code]]&amp;"; "&amp;S2545&amp;AS[[#This Row],[Sex Code]]</f>
        <v xml:space="preserve">Insurer Code ; Reporting Year ; Insurance Category Code ; Large Provider Entity Code ; Age Band Code ; Sex Code </v>
      </c>
      <c r="N2545" s="345" t="s">
        <v>207</v>
      </c>
      <c r="O2545" s="345" t="s">
        <v>208</v>
      </c>
      <c r="P2545" s="345" t="s">
        <v>209</v>
      </c>
      <c r="Q2545" s="345" t="s">
        <v>210</v>
      </c>
      <c r="R2545" s="345" t="s">
        <v>223</v>
      </c>
      <c r="S2545" s="345" t="s">
        <v>224</v>
      </c>
    </row>
    <row r="2546" spans="1:19" x14ac:dyDescent="0.25">
      <c r="A2546" s="311"/>
      <c r="B2546" s="312"/>
      <c r="C2546" s="312"/>
      <c r="D2546" s="312"/>
      <c r="E2546" s="312"/>
      <c r="F2546" s="312"/>
      <c r="G2546" s="328"/>
      <c r="H2546" s="337"/>
      <c r="I2546" s="334"/>
      <c r="J2546" s="314"/>
      <c r="K2546" s="449"/>
      <c r="M2546" s="349" t="str">
        <f>N2546&amp;AS[[#This Row],[Insurer Code]]&amp;"; "&amp;O2546&amp;AS[[#This Row],[Reporting Year]]&amp;"; "&amp;P2546&amp;AS[[#This Row],[Insurance Category Code]]&amp;"; "&amp;Q2546&amp;AS[[#This Row],[Large Provider Entity Code]]&amp;"; "&amp;R2546&amp;AS[[#This Row],[Age Band Code]]&amp;"; "&amp;S2546&amp;AS[[#This Row],[Sex Code]]</f>
        <v xml:space="preserve">Insurer Code ; Reporting Year ; Insurance Category Code ; Large Provider Entity Code ; Age Band Code ; Sex Code </v>
      </c>
      <c r="N2546" s="345" t="s">
        <v>207</v>
      </c>
      <c r="O2546" s="345" t="s">
        <v>208</v>
      </c>
      <c r="P2546" s="345" t="s">
        <v>209</v>
      </c>
      <c r="Q2546" s="345" t="s">
        <v>210</v>
      </c>
      <c r="R2546" s="345" t="s">
        <v>223</v>
      </c>
      <c r="S2546" s="345" t="s">
        <v>224</v>
      </c>
    </row>
    <row r="2547" spans="1:19" x14ac:dyDescent="0.25">
      <c r="A2547" s="311"/>
      <c r="B2547" s="312"/>
      <c r="C2547" s="312"/>
      <c r="D2547" s="312"/>
      <c r="E2547" s="312"/>
      <c r="F2547" s="312"/>
      <c r="G2547" s="328"/>
      <c r="H2547" s="337"/>
      <c r="I2547" s="334"/>
      <c r="J2547" s="314"/>
      <c r="K2547" s="449"/>
      <c r="M2547" s="349" t="str">
        <f>N2547&amp;AS[[#This Row],[Insurer Code]]&amp;"; "&amp;O2547&amp;AS[[#This Row],[Reporting Year]]&amp;"; "&amp;P2547&amp;AS[[#This Row],[Insurance Category Code]]&amp;"; "&amp;Q2547&amp;AS[[#This Row],[Large Provider Entity Code]]&amp;"; "&amp;R2547&amp;AS[[#This Row],[Age Band Code]]&amp;"; "&amp;S2547&amp;AS[[#This Row],[Sex Code]]</f>
        <v xml:space="preserve">Insurer Code ; Reporting Year ; Insurance Category Code ; Large Provider Entity Code ; Age Band Code ; Sex Code </v>
      </c>
      <c r="N2547" s="345" t="s">
        <v>207</v>
      </c>
      <c r="O2547" s="345" t="s">
        <v>208</v>
      </c>
      <c r="P2547" s="345" t="s">
        <v>209</v>
      </c>
      <c r="Q2547" s="345" t="s">
        <v>210</v>
      </c>
      <c r="R2547" s="345" t="s">
        <v>223</v>
      </c>
      <c r="S2547" s="345" t="s">
        <v>224</v>
      </c>
    </row>
    <row r="2548" spans="1:19" x14ac:dyDescent="0.25">
      <c r="A2548" s="311"/>
      <c r="B2548" s="312"/>
      <c r="C2548" s="312"/>
      <c r="D2548" s="312"/>
      <c r="E2548" s="312"/>
      <c r="F2548" s="312"/>
      <c r="G2548" s="328"/>
      <c r="H2548" s="337"/>
      <c r="I2548" s="334"/>
      <c r="J2548" s="314"/>
      <c r="K2548" s="449"/>
      <c r="M2548" s="349" t="str">
        <f>N2548&amp;AS[[#This Row],[Insurer Code]]&amp;"; "&amp;O2548&amp;AS[[#This Row],[Reporting Year]]&amp;"; "&amp;P2548&amp;AS[[#This Row],[Insurance Category Code]]&amp;"; "&amp;Q2548&amp;AS[[#This Row],[Large Provider Entity Code]]&amp;"; "&amp;R2548&amp;AS[[#This Row],[Age Band Code]]&amp;"; "&amp;S2548&amp;AS[[#This Row],[Sex Code]]</f>
        <v xml:space="preserve">Insurer Code ; Reporting Year ; Insurance Category Code ; Large Provider Entity Code ; Age Band Code ; Sex Code </v>
      </c>
      <c r="N2548" s="345" t="s">
        <v>207</v>
      </c>
      <c r="O2548" s="345" t="s">
        <v>208</v>
      </c>
      <c r="P2548" s="345" t="s">
        <v>209</v>
      </c>
      <c r="Q2548" s="345" t="s">
        <v>210</v>
      </c>
      <c r="R2548" s="345" t="s">
        <v>223</v>
      </c>
      <c r="S2548" s="345" t="s">
        <v>224</v>
      </c>
    </row>
    <row r="2549" spans="1:19" x14ac:dyDescent="0.25">
      <c r="A2549" s="311"/>
      <c r="B2549" s="312"/>
      <c r="C2549" s="312"/>
      <c r="D2549" s="312"/>
      <c r="E2549" s="312"/>
      <c r="F2549" s="312"/>
      <c r="G2549" s="328"/>
      <c r="H2549" s="337"/>
      <c r="I2549" s="334"/>
      <c r="J2549" s="314"/>
      <c r="K2549" s="449"/>
      <c r="M2549" s="349" t="str">
        <f>N2549&amp;AS[[#This Row],[Insurer Code]]&amp;"; "&amp;O2549&amp;AS[[#This Row],[Reporting Year]]&amp;"; "&amp;P2549&amp;AS[[#This Row],[Insurance Category Code]]&amp;"; "&amp;Q2549&amp;AS[[#This Row],[Large Provider Entity Code]]&amp;"; "&amp;R2549&amp;AS[[#This Row],[Age Band Code]]&amp;"; "&amp;S2549&amp;AS[[#This Row],[Sex Code]]</f>
        <v xml:space="preserve">Insurer Code ; Reporting Year ; Insurance Category Code ; Large Provider Entity Code ; Age Band Code ; Sex Code </v>
      </c>
      <c r="N2549" s="345" t="s">
        <v>207</v>
      </c>
      <c r="O2549" s="345" t="s">
        <v>208</v>
      </c>
      <c r="P2549" s="345" t="s">
        <v>209</v>
      </c>
      <c r="Q2549" s="345" t="s">
        <v>210</v>
      </c>
      <c r="R2549" s="345" t="s">
        <v>223</v>
      </c>
      <c r="S2549" s="345" t="s">
        <v>224</v>
      </c>
    </row>
    <row r="2550" spans="1:19" x14ac:dyDescent="0.25">
      <c r="A2550" s="311"/>
      <c r="B2550" s="312"/>
      <c r="C2550" s="312"/>
      <c r="D2550" s="312"/>
      <c r="E2550" s="312"/>
      <c r="F2550" s="312"/>
      <c r="G2550" s="328"/>
      <c r="H2550" s="337"/>
      <c r="I2550" s="334"/>
      <c r="J2550" s="314"/>
      <c r="K2550" s="449"/>
      <c r="M2550" s="349" t="str">
        <f>N2550&amp;AS[[#This Row],[Insurer Code]]&amp;"; "&amp;O2550&amp;AS[[#This Row],[Reporting Year]]&amp;"; "&amp;P2550&amp;AS[[#This Row],[Insurance Category Code]]&amp;"; "&amp;Q2550&amp;AS[[#This Row],[Large Provider Entity Code]]&amp;"; "&amp;R2550&amp;AS[[#This Row],[Age Band Code]]&amp;"; "&amp;S2550&amp;AS[[#This Row],[Sex Code]]</f>
        <v xml:space="preserve">Insurer Code ; Reporting Year ; Insurance Category Code ; Large Provider Entity Code ; Age Band Code ; Sex Code </v>
      </c>
      <c r="N2550" s="345" t="s">
        <v>207</v>
      </c>
      <c r="O2550" s="345" t="s">
        <v>208</v>
      </c>
      <c r="P2550" s="345" t="s">
        <v>209</v>
      </c>
      <c r="Q2550" s="345" t="s">
        <v>210</v>
      </c>
      <c r="R2550" s="345" t="s">
        <v>223</v>
      </c>
      <c r="S2550" s="345" t="s">
        <v>224</v>
      </c>
    </row>
    <row r="2551" spans="1:19" x14ac:dyDescent="0.25">
      <c r="A2551" s="311"/>
      <c r="B2551" s="312"/>
      <c r="C2551" s="312"/>
      <c r="D2551" s="312"/>
      <c r="E2551" s="312"/>
      <c r="F2551" s="312"/>
      <c r="G2551" s="328"/>
      <c r="H2551" s="337"/>
      <c r="I2551" s="334"/>
      <c r="J2551" s="314"/>
      <c r="K2551" s="449"/>
      <c r="M2551" s="349" t="str">
        <f>N2551&amp;AS[[#This Row],[Insurer Code]]&amp;"; "&amp;O2551&amp;AS[[#This Row],[Reporting Year]]&amp;"; "&amp;P2551&amp;AS[[#This Row],[Insurance Category Code]]&amp;"; "&amp;Q2551&amp;AS[[#This Row],[Large Provider Entity Code]]&amp;"; "&amp;R2551&amp;AS[[#This Row],[Age Band Code]]&amp;"; "&amp;S2551&amp;AS[[#This Row],[Sex Code]]</f>
        <v xml:space="preserve">Insurer Code ; Reporting Year ; Insurance Category Code ; Large Provider Entity Code ; Age Band Code ; Sex Code </v>
      </c>
      <c r="N2551" s="345" t="s">
        <v>207</v>
      </c>
      <c r="O2551" s="345" t="s">
        <v>208</v>
      </c>
      <c r="P2551" s="345" t="s">
        <v>209</v>
      </c>
      <c r="Q2551" s="345" t="s">
        <v>210</v>
      </c>
      <c r="R2551" s="345" t="s">
        <v>223</v>
      </c>
      <c r="S2551" s="345" t="s">
        <v>224</v>
      </c>
    </row>
    <row r="2552" spans="1:19" x14ac:dyDescent="0.25">
      <c r="A2552" s="311"/>
      <c r="B2552" s="312"/>
      <c r="C2552" s="312"/>
      <c r="D2552" s="312"/>
      <c r="E2552" s="312"/>
      <c r="F2552" s="312"/>
      <c r="G2552" s="328"/>
      <c r="H2552" s="337"/>
      <c r="I2552" s="334"/>
      <c r="J2552" s="314"/>
      <c r="K2552" s="449"/>
      <c r="M2552" s="349" t="str">
        <f>N2552&amp;AS[[#This Row],[Insurer Code]]&amp;"; "&amp;O2552&amp;AS[[#This Row],[Reporting Year]]&amp;"; "&amp;P2552&amp;AS[[#This Row],[Insurance Category Code]]&amp;"; "&amp;Q2552&amp;AS[[#This Row],[Large Provider Entity Code]]&amp;"; "&amp;R2552&amp;AS[[#This Row],[Age Band Code]]&amp;"; "&amp;S2552&amp;AS[[#This Row],[Sex Code]]</f>
        <v xml:space="preserve">Insurer Code ; Reporting Year ; Insurance Category Code ; Large Provider Entity Code ; Age Band Code ; Sex Code </v>
      </c>
      <c r="N2552" s="345" t="s">
        <v>207</v>
      </c>
      <c r="O2552" s="345" t="s">
        <v>208</v>
      </c>
      <c r="P2552" s="345" t="s">
        <v>209</v>
      </c>
      <c r="Q2552" s="345" t="s">
        <v>210</v>
      </c>
      <c r="R2552" s="345" t="s">
        <v>223</v>
      </c>
      <c r="S2552" s="345" t="s">
        <v>224</v>
      </c>
    </row>
    <row r="2553" spans="1:19" x14ac:dyDescent="0.25">
      <c r="A2553" s="311"/>
      <c r="B2553" s="312"/>
      <c r="C2553" s="312"/>
      <c r="D2553" s="312"/>
      <c r="E2553" s="312"/>
      <c r="F2553" s="312"/>
      <c r="G2553" s="328"/>
      <c r="H2553" s="337"/>
      <c r="I2553" s="334"/>
      <c r="J2553" s="314"/>
      <c r="K2553" s="449"/>
      <c r="M2553" s="349" t="str">
        <f>N2553&amp;AS[[#This Row],[Insurer Code]]&amp;"; "&amp;O2553&amp;AS[[#This Row],[Reporting Year]]&amp;"; "&amp;P2553&amp;AS[[#This Row],[Insurance Category Code]]&amp;"; "&amp;Q2553&amp;AS[[#This Row],[Large Provider Entity Code]]&amp;"; "&amp;R2553&amp;AS[[#This Row],[Age Band Code]]&amp;"; "&amp;S2553&amp;AS[[#This Row],[Sex Code]]</f>
        <v xml:space="preserve">Insurer Code ; Reporting Year ; Insurance Category Code ; Large Provider Entity Code ; Age Band Code ; Sex Code </v>
      </c>
      <c r="N2553" s="345" t="s">
        <v>207</v>
      </c>
      <c r="O2553" s="345" t="s">
        <v>208</v>
      </c>
      <c r="P2553" s="345" t="s">
        <v>209</v>
      </c>
      <c r="Q2553" s="345" t="s">
        <v>210</v>
      </c>
      <c r="R2553" s="345" t="s">
        <v>223</v>
      </c>
      <c r="S2553" s="345" t="s">
        <v>224</v>
      </c>
    </row>
    <row r="2554" spans="1:19" x14ac:dyDescent="0.25">
      <c r="A2554" s="311"/>
      <c r="B2554" s="312"/>
      <c r="C2554" s="312"/>
      <c r="D2554" s="312"/>
      <c r="E2554" s="312"/>
      <c r="F2554" s="312"/>
      <c r="G2554" s="328"/>
      <c r="H2554" s="337"/>
      <c r="I2554" s="334"/>
      <c r="J2554" s="314"/>
      <c r="K2554" s="449"/>
      <c r="M2554" s="349" t="str">
        <f>N2554&amp;AS[[#This Row],[Insurer Code]]&amp;"; "&amp;O2554&amp;AS[[#This Row],[Reporting Year]]&amp;"; "&amp;P2554&amp;AS[[#This Row],[Insurance Category Code]]&amp;"; "&amp;Q2554&amp;AS[[#This Row],[Large Provider Entity Code]]&amp;"; "&amp;R2554&amp;AS[[#This Row],[Age Band Code]]&amp;"; "&amp;S2554&amp;AS[[#This Row],[Sex Code]]</f>
        <v xml:space="preserve">Insurer Code ; Reporting Year ; Insurance Category Code ; Large Provider Entity Code ; Age Band Code ; Sex Code </v>
      </c>
      <c r="N2554" s="345" t="s">
        <v>207</v>
      </c>
      <c r="O2554" s="345" t="s">
        <v>208</v>
      </c>
      <c r="P2554" s="345" t="s">
        <v>209</v>
      </c>
      <c r="Q2554" s="345" t="s">
        <v>210</v>
      </c>
      <c r="R2554" s="345" t="s">
        <v>223</v>
      </c>
      <c r="S2554" s="345" t="s">
        <v>224</v>
      </c>
    </row>
    <row r="2555" spans="1:19" x14ac:dyDescent="0.25">
      <c r="A2555" s="311"/>
      <c r="B2555" s="312"/>
      <c r="C2555" s="312"/>
      <c r="D2555" s="312"/>
      <c r="E2555" s="312"/>
      <c r="F2555" s="312"/>
      <c r="G2555" s="328"/>
      <c r="H2555" s="337"/>
      <c r="I2555" s="334"/>
      <c r="J2555" s="314"/>
      <c r="K2555" s="449"/>
      <c r="M2555" s="349" t="str">
        <f>N2555&amp;AS[[#This Row],[Insurer Code]]&amp;"; "&amp;O2555&amp;AS[[#This Row],[Reporting Year]]&amp;"; "&amp;P2555&amp;AS[[#This Row],[Insurance Category Code]]&amp;"; "&amp;Q2555&amp;AS[[#This Row],[Large Provider Entity Code]]&amp;"; "&amp;R2555&amp;AS[[#This Row],[Age Band Code]]&amp;"; "&amp;S2555&amp;AS[[#This Row],[Sex Code]]</f>
        <v xml:space="preserve">Insurer Code ; Reporting Year ; Insurance Category Code ; Large Provider Entity Code ; Age Band Code ; Sex Code </v>
      </c>
      <c r="N2555" s="345" t="s">
        <v>207</v>
      </c>
      <c r="O2555" s="345" t="s">
        <v>208</v>
      </c>
      <c r="P2555" s="345" t="s">
        <v>209</v>
      </c>
      <c r="Q2555" s="345" t="s">
        <v>210</v>
      </c>
      <c r="R2555" s="345" t="s">
        <v>223</v>
      </c>
      <c r="S2555" s="345" t="s">
        <v>224</v>
      </c>
    </row>
    <row r="2556" spans="1:19" x14ac:dyDescent="0.25">
      <c r="A2556" s="311"/>
      <c r="B2556" s="312"/>
      <c r="C2556" s="312"/>
      <c r="D2556" s="312"/>
      <c r="E2556" s="312"/>
      <c r="F2556" s="312"/>
      <c r="G2556" s="328"/>
      <c r="H2556" s="337"/>
      <c r="I2556" s="334"/>
      <c r="J2556" s="314"/>
      <c r="K2556" s="449"/>
      <c r="M2556" s="349" t="str">
        <f>N2556&amp;AS[[#This Row],[Insurer Code]]&amp;"; "&amp;O2556&amp;AS[[#This Row],[Reporting Year]]&amp;"; "&amp;P2556&amp;AS[[#This Row],[Insurance Category Code]]&amp;"; "&amp;Q2556&amp;AS[[#This Row],[Large Provider Entity Code]]&amp;"; "&amp;R2556&amp;AS[[#This Row],[Age Band Code]]&amp;"; "&amp;S2556&amp;AS[[#This Row],[Sex Code]]</f>
        <v xml:space="preserve">Insurer Code ; Reporting Year ; Insurance Category Code ; Large Provider Entity Code ; Age Band Code ; Sex Code </v>
      </c>
      <c r="N2556" s="345" t="s">
        <v>207</v>
      </c>
      <c r="O2556" s="345" t="s">
        <v>208</v>
      </c>
      <c r="P2556" s="345" t="s">
        <v>209</v>
      </c>
      <c r="Q2556" s="345" t="s">
        <v>210</v>
      </c>
      <c r="R2556" s="345" t="s">
        <v>223</v>
      </c>
      <c r="S2556" s="345" t="s">
        <v>224</v>
      </c>
    </row>
    <row r="2557" spans="1:19" x14ac:dyDescent="0.25">
      <c r="A2557" s="311"/>
      <c r="B2557" s="312"/>
      <c r="C2557" s="312"/>
      <c r="D2557" s="312"/>
      <c r="E2557" s="312"/>
      <c r="F2557" s="312"/>
      <c r="G2557" s="328"/>
      <c r="H2557" s="337"/>
      <c r="I2557" s="334"/>
      <c r="J2557" s="314"/>
      <c r="K2557" s="449"/>
      <c r="M2557" s="349" t="str">
        <f>N2557&amp;AS[[#This Row],[Insurer Code]]&amp;"; "&amp;O2557&amp;AS[[#This Row],[Reporting Year]]&amp;"; "&amp;P2557&amp;AS[[#This Row],[Insurance Category Code]]&amp;"; "&amp;Q2557&amp;AS[[#This Row],[Large Provider Entity Code]]&amp;"; "&amp;R2557&amp;AS[[#This Row],[Age Band Code]]&amp;"; "&amp;S2557&amp;AS[[#This Row],[Sex Code]]</f>
        <v xml:space="preserve">Insurer Code ; Reporting Year ; Insurance Category Code ; Large Provider Entity Code ; Age Band Code ; Sex Code </v>
      </c>
      <c r="N2557" s="345" t="s">
        <v>207</v>
      </c>
      <c r="O2557" s="345" t="s">
        <v>208</v>
      </c>
      <c r="P2557" s="345" t="s">
        <v>209</v>
      </c>
      <c r="Q2557" s="345" t="s">
        <v>210</v>
      </c>
      <c r="R2557" s="345" t="s">
        <v>223</v>
      </c>
      <c r="S2557" s="345" t="s">
        <v>224</v>
      </c>
    </row>
    <row r="2558" spans="1:19" x14ac:dyDescent="0.25">
      <c r="A2558" s="311"/>
      <c r="B2558" s="312"/>
      <c r="C2558" s="312"/>
      <c r="D2558" s="312"/>
      <c r="E2558" s="312"/>
      <c r="F2558" s="312"/>
      <c r="G2558" s="328"/>
      <c r="H2558" s="337"/>
      <c r="I2558" s="334"/>
      <c r="J2558" s="314"/>
      <c r="K2558" s="449"/>
      <c r="M2558" s="349" t="str">
        <f>N2558&amp;AS[[#This Row],[Insurer Code]]&amp;"; "&amp;O2558&amp;AS[[#This Row],[Reporting Year]]&amp;"; "&amp;P2558&amp;AS[[#This Row],[Insurance Category Code]]&amp;"; "&amp;Q2558&amp;AS[[#This Row],[Large Provider Entity Code]]&amp;"; "&amp;R2558&amp;AS[[#This Row],[Age Band Code]]&amp;"; "&amp;S2558&amp;AS[[#This Row],[Sex Code]]</f>
        <v xml:space="preserve">Insurer Code ; Reporting Year ; Insurance Category Code ; Large Provider Entity Code ; Age Band Code ; Sex Code </v>
      </c>
      <c r="N2558" s="345" t="s">
        <v>207</v>
      </c>
      <c r="O2558" s="345" t="s">
        <v>208</v>
      </c>
      <c r="P2558" s="345" t="s">
        <v>209</v>
      </c>
      <c r="Q2558" s="345" t="s">
        <v>210</v>
      </c>
      <c r="R2558" s="345" t="s">
        <v>223</v>
      </c>
      <c r="S2558" s="345" t="s">
        <v>224</v>
      </c>
    </row>
    <row r="2559" spans="1:19" x14ac:dyDescent="0.25">
      <c r="A2559" s="311"/>
      <c r="B2559" s="312"/>
      <c r="C2559" s="312"/>
      <c r="D2559" s="312"/>
      <c r="E2559" s="312"/>
      <c r="F2559" s="312"/>
      <c r="G2559" s="328"/>
      <c r="H2559" s="337"/>
      <c r="I2559" s="334"/>
      <c r="J2559" s="314"/>
      <c r="K2559" s="449"/>
      <c r="M2559" s="349" t="str">
        <f>N2559&amp;AS[[#This Row],[Insurer Code]]&amp;"; "&amp;O2559&amp;AS[[#This Row],[Reporting Year]]&amp;"; "&amp;P2559&amp;AS[[#This Row],[Insurance Category Code]]&amp;"; "&amp;Q2559&amp;AS[[#This Row],[Large Provider Entity Code]]&amp;"; "&amp;R2559&amp;AS[[#This Row],[Age Band Code]]&amp;"; "&amp;S2559&amp;AS[[#This Row],[Sex Code]]</f>
        <v xml:space="preserve">Insurer Code ; Reporting Year ; Insurance Category Code ; Large Provider Entity Code ; Age Band Code ; Sex Code </v>
      </c>
      <c r="N2559" s="345" t="s">
        <v>207</v>
      </c>
      <c r="O2559" s="345" t="s">
        <v>208</v>
      </c>
      <c r="P2559" s="345" t="s">
        <v>209</v>
      </c>
      <c r="Q2559" s="345" t="s">
        <v>210</v>
      </c>
      <c r="R2559" s="345" t="s">
        <v>223</v>
      </c>
      <c r="S2559" s="345" t="s">
        <v>224</v>
      </c>
    </row>
    <row r="2560" spans="1:19" x14ac:dyDescent="0.25">
      <c r="A2560" s="311"/>
      <c r="B2560" s="312"/>
      <c r="C2560" s="312"/>
      <c r="D2560" s="312"/>
      <c r="E2560" s="312"/>
      <c r="F2560" s="312"/>
      <c r="G2560" s="328"/>
      <c r="H2560" s="337"/>
      <c r="I2560" s="334"/>
      <c r="J2560" s="314"/>
      <c r="K2560" s="449"/>
      <c r="M2560" s="349" t="str">
        <f>N2560&amp;AS[[#This Row],[Insurer Code]]&amp;"; "&amp;O2560&amp;AS[[#This Row],[Reporting Year]]&amp;"; "&amp;P2560&amp;AS[[#This Row],[Insurance Category Code]]&amp;"; "&amp;Q2560&amp;AS[[#This Row],[Large Provider Entity Code]]&amp;"; "&amp;R2560&amp;AS[[#This Row],[Age Band Code]]&amp;"; "&amp;S2560&amp;AS[[#This Row],[Sex Code]]</f>
        <v xml:space="preserve">Insurer Code ; Reporting Year ; Insurance Category Code ; Large Provider Entity Code ; Age Band Code ; Sex Code </v>
      </c>
      <c r="N2560" s="345" t="s">
        <v>207</v>
      </c>
      <c r="O2560" s="345" t="s">
        <v>208</v>
      </c>
      <c r="P2560" s="345" t="s">
        <v>209</v>
      </c>
      <c r="Q2560" s="345" t="s">
        <v>210</v>
      </c>
      <c r="R2560" s="345" t="s">
        <v>223</v>
      </c>
      <c r="S2560" s="345" t="s">
        <v>224</v>
      </c>
    </row>
    <row r="2561" spans="1:19" x14ac:dyDescent="0.25">
      <c r="A2561" s="311"/>
      <c r="B2561" s="312"/>
      <c r="C2561" s="312"/>
      <c r="D2561" s="312"/>
      <c r="E2561" s="312"/>
      <c r="F2561" s="312"/>
      <c r="G2561" s="328"/>
      <c r="H2561" s="337"/>
      <c r="I2561" s="334"/>
      <c r="J2561" s="314"/>
      <c r="K2561" s="449"/>
      <c r="M2561" s="349" t="str">
        <f>N2561&amp;AS[[#This Row],[Insurer Code]]&amp;"; "&amp;O2561&amp;AS[[#This Row],[Reporting Year]]&amp;"; "&amp;P2561&amp;AS[[#This Row],[Insurance Category Code]]&amp;"; "&amp;Q2561&amp;AS[[#This Row],[Large Provider Entity Code]]&amp;"; "&amp;R2561&amp;AS[[#This Row],[Age Band Code]]&amp;"; "&amp;S2561&amp;AS[[#This Row],[Sex Code]]</f>
        <v xml:space="preserve">Insurer Code ; Reporting Year ; Insurance Category Code ; Large Provider Entity Code ; Age Band Code ; Sex Code </v>
      </c>
      <c r="N2561" s="345" t="s">
        <v>207</v>
      </c>
      <c r="O2561" s="345" t="s">
        <v>208</v>
      </c>
      <c r="P2561" s="345" t="s">
        <v>209</v>
      </c>
      <c r="Q2561" s="345" t="s">
        <v>210</v>
      </c>
      <c r="R2561" s="345" t="s">
        <v>223</v>
      </c>
      <c r="S2561" s="345" t="s">
        <v>224</v>
      </c>
    </row>
    <row r="2562" spans="1:19" x14ac:dyDescent="0.25">
      <c r="A2562" s="311"/>
      <c r="B2562" s="312"/>
      <c r="C2562" s="312"/>
      <c r="D2562" s="312"/>
      <c r="E2562" s="312"/>
      <c r="F2562" s="312"/>
      <c r="G2562" s="328"/>
      <c r="H2562" s="337"/>
      <c r="I2562" s="334"/>
      <c r="J2562" s="314"/>
      <c r="K2562" s="449"/>
      <c r="M2562" s="349" t="str">
        <f>N2562&amp;AS[[#This Row],[Insurer Code]]&amp;"; "&amp;O2562&amp;AS[[#This Row],[Reporting Year]]&amp;"; "&amp;P2562&amp;AS[[#This Row],[Insurance Category Code]]&amp;"; "&amp;Q2562&amp;AS[[#This Row],[Large Provider Entity Code]]&amp;"; "&amp;R2562&amp;AS[[#This Row],[Age Band Code]]&amp;"; "&amp;S2562&amp;AS[[#This Row],[Sex Code]]</f>
        <v xml:space="preserve">Insurer Code ; Reporting Year ; Insurance Category Code ; Large Provider Entity Code ; Age Band Code ; Sex Code </v>
      </c>
      <c r="N2562" s="345" t="s">
        <v>207</v>
      </c>
      <c r="O2562" s="345" t="s">
        <v>208</v>
      </c>
      <c r="P2562" s="345" t="s">
        <v>209</v>
      </c>
      <c r="Q2562" s="345" t="s">
        <v>210</v>
      </c>
      <c r="R2562" s="345" t="s">
        <v>223</v>
      </c>
      <c r="S2562" s="345" t="s">
        <v>224</v>
      </c>
    </row>
    <row r="2563" spans="1:19" x14ac:dyDescent="0.25">
      <c r="A2563" s="311"/>
      <c r="B2563" s="312"/>
      <c r="C2563" s="312"/>
      <c r="D2563" s="312"/>
      <c r="E2563" s="312"/>
      <c r="F2563" s="312"/>
      <c r="G2563" s="328"/>
      <c r="H2563" s="337"/>
      <c r="I2563" s="334"/>
      <c r="J2563" s="314"/>
      <c r="K2563" s="449"/>
      <c r="M2563" s="349" t="str">
        <f>N2563&amp;AS[[#This Row],[Insurer Code]]&amp;"; "&amp;O2563&amp;AS[[#This Row],[Reporting Year]]&amp;"; "&amp;P2563&amp;AS[[#This Row],[Insurance Category Code]]&amp;"; "&amp;Q2563&amp;AS[[#This Row],[Large Provider Entity Code]]&amp;"; "&amp;R2563&amp;AS[[#This Row],[Age Band Code]]&amp;"; "&amp;S2563&amp;AS[[#This Row],[Sex Code]]</f>
        <v xml:space="preserve">Insurer Code ; Reporting Year ; Insurance Category Code ; Large Provider Entity Code ; Age Band Code ; Sex Code </v>
      </c>
      <c r="N2563" s="345" t="s">
        <v>207</v>
      </c>
      <c r="O2563" s="345" t="s">
        <v>208</v>
      </c>
      <c r="P2563" s="345" t="s">
        <v>209</v>
      </c>
      <c r="Q2563" s="345" t="s">
        <v>210</v>
      </c>
      <c r="R2563" s="345" t="s">
        <v>223</v>
      </c>
      <c r="S2563" s="345" t="s">
        <v>224</v>
      </c>
    </row>
    <row r="2564" spans="1:19" x14ac:dyDescent="0.25">
      <c r="A2564" s="311"/>
      <c r="B2564" s="312"/>
      <c r="C2564" s="312"/>
      <c r="D2564" s="312"/>
      <c r="E2564" s="312"/>
      <c r="F2564" s="312"/>
      <c r="G2564" s="328"/>
      <c r="H2564" s="337"/>
      <c r="I2564" s="334"/>
      <c r="J2564" s="314"/>
      <c r="K2564" s="449"/>
      <c r="M2564" s="349" t="str">
        <f>N2564&amp;AS[[#This Row],[Insurer Code]]&amp;"; "&amp;O2564&amp;AS[[#This Row],[Reporting Year]]&amp;"; "&amp;P2564&amp;AS[[#This Row],[Insurance Category Code]]&amp;"; "&amp;Q2564&amp;AS[[#This Row],[Large Provider Entity Code]]&amp;"; "&amp;R2564&amp;AS[[#This Row],[Age Band Code]]&amp;"; "&amp;S2564&amp;AS[[#This Row],[Sex Code]]</f>
        <v xml:space="preserve">Insurer Code ; Reporting Year ; Insurance Category Code ; Large Provider Entity Code ; Age Band Code ; Sex Code </v>
      </c>
      <c r="N2564" s="345" t="s">
        <v>207</v>
      </c>
      <c r="O2564" s="345" t="s">
        <v>208</v>
      </c>
      <c r="P2564" s="345" t="s">
        <v>209</v>
      </c>
      <c r="Q2564" s="345" t="s">
        <v>210</v>
      </c>
      <c r="R2564" s="345" t="s">
        <v>223</v>
      </c>
      <c r="S2564" s="345" t="s">
        <v>224</v>
      </c>
    </row>
    <row r="2565" spans="1:19" x14ac:dyDescent="0.25">
      <c r="A2565" s="311"/>
      <c r="B2565" s="312"/>
      <c r="C2565" s="312"/>
      <c r="D2565" s="312"/>
      <c r="E2565" s="312"/>
      <c r="F2565" s="312"/>
      <c r="G2565" s="328"/>
      <c r="H2565" s="337"/>
      <c r="I2565" s="334"/>
      <c r="J2565" s="314"/>
      <c r="K2565" s="449"/>
      <c r="M2565" s="349" t="str">
        <f>N2565&amp;AS[[#This Row],[Insurer Code]]&amp;"; "&amp;O2565&amp;AS[[#This Row],[Reporting Year]]&amp;"; "&amp;P2565&amp;AS[[#This Row],[Insurance Category Code]]&amp;"; "&amp;Q2565&amp;AS[[#This Row],[Large Provider Entity Code]]&amp;"; "&amp;R2565&amp;AS[[#This Row],[Age Band Code]]&amp;"; "&amp;S2565&amp;AS[[#This Row],[Sex Code]]</f>
        <v xml:space="preserve">Insurer Code ; Reporting Year ; Insurance Category Code ; Large Provider Entity Code ; Age Band Code ; Sex Code </v>
      </c>
      <c r="N2565" s="345" t="s">
        <v>207</v>
      </c>
      <c r="O2565" s="345" t="s">
        <v>208</v>
      </c>
      <c r="P2565" s="345" t="s">
        <v>209</v>
      </c>
      <c r="Q2565" s="345" t="s">
        <v>210</v>
      </c>
      <c r="R2565" s="345" t="s">
        <v>223</v>
      </c>
      <c r="S2565" s="345" t="s">
        <v>224</v>
      </c>
    </row>
    <row r="2566" spans="1:19" x14ac:dyDescent="0.25">
      <c r="A2566" s="311"/>
      <c r="B2566" s="312"/>
      <c r="C2566" s="312"/>
      <c r="D2566" s="312"/>
      <c r="E2566" s="312"/>
      <c r="F2566" s="312"/>
      <c r="G2566" s="328"/>
      <c r="H2566" s="337"/>
      <c r="I2566" s="334"/>
      <c r="J2566" s="314"/>
      <c r="K2566" s="449"/>
      <c r="M2566" s="349" t="str">
        <f>N2566&amp;AS[[#This Row],[Insurer Code]]&amp;"; "&amp;O2566&amp;AS[[#This Row],[Reporting Year]]&amp;"; "&amp;P2566&amp;AS[[#This Row],[Insurance Category Code]]&amp;"; "&amp;Q2566&amp;AS[[#This Row],[Large Provider Entity Code]]&amp;"; "&amp;R2566&amp;AS[[#This Row],[Age Band Code]]&amp;"; "&amp;S2566&amp;AS[[#This Row],[Sex Code]]</f>
        <v xml:space="preserve">Insurer Code ; Reporting Year ; Insurance Category Code ; Large Provider Entity Code ; Age Band Code ; Sex Code </v>
      </c>
      <c r="N2566" s="345" t="s">
        <v>207</v>
      </c>
      <c r="O2566" s="345" t="s">
        <v>208</v>
      </c>
      <c r="P2566" s="345" t="s">
        <v>209</v>
      </c>
      <c r="Q2566" s="345" t="s">
        <v>210</v>
      </c>
      <c r="R2566" s="345" t="s">
        <v>223</v>
      </c>
      <c r="S2566" s="345" t="s">
        <v>224</v>
      </c>
    </row>
    <row r="2567" spans="1:19" x14ac:dyDescent="0.25">
      <c r="A2567" s="311"/>
      <c r="B2567" s="312"/>
      <c r="C2567" s="312"/>
      <c r="D2567" s="312"/>
      <c r="E2567" s="312"/>
      <c r="F2567" s="312"/>
      <c r="G2567" s="328"/>
      <c r="H2567" s="337"/>
      <c r="I2567" s="334"/>
      <c r="J2567" s="314"/>
      <c r="K2567" s="449"/>
      <c r="M2567" s="349" t="str">
        <f>N2567&amp;AS[[#This Row],[Insurer Code]]&amp;"; "&amp;O2567&amp;AS[[#This Row],[Reporting Year]]&amp;"; "&amp;P2567&amp;AS[[#This Row],[Insurance Category Code]]&amp;"; "&amp;Q2567&amp;AS[[#This Row],[Large Provider Entity Code]]&amp;"; "&amp;R2567&amp;AS[[#This Row],[Age Band Code]]&amp;"; "&amp;S2567&amp;AS[[#This Row],[Sex Code]]</f>
        <v xml:space="preserve">Insurer Code ; Reporting Year ; Insurance Category Code ; Large Provider Entity Code ; Age Band Code ; Sex Code </v>
      </c>
      <c r="N2567" s="345" t="s">
        <v>207</v>
      </c>
      <c r="O2567" s="345" t="s">
        <v>208</v>
      </c>
      <c r="P2567" s="345" t="s">
        <v>209</v>
      </c>
      <c r="Q2567" s="345" t="s">
        <v>210</v>
      </c>
      <c r="R2567" s="345" t="s">
        <v>223</v>
      </c>
      <c r="S2567" s="345" t="s">
        <v>224</v>
      </c>
    </row>
    <row r="2568" spans="1:19" x14ac:dyDescent="0.25">
      <c r="A2568" s="311"/>
      <c r="B2568" s="312"/>
      <c r="C2568" s="312"/>
      <c r="D2568" s="312"/>
      <c r="E2568" s="312"/>
      <c r="F2568" s="312"/>
      <c r="G2568" s="328"/>
      <c r="H2568" s="337"/>
      <c r="I2568" s="334"/>
      <c r="J2568" s="314"/>
      <c r="K2568" s="449"/>
      <c r="M2568" s="349" t="str">
        <f>N2568&amp;AS[[#This Row],[Insurer Code]]&amp;"; "&amp;O2568&amp;AS[[#This Row],[Reporting Year]]&amp;"; "&amp;P2568&amp;AS[[#This Row],[Insurance Category Code]]&amp;"; "&amp;Q2568&amp;AS[[#This Row],[Large Provider Entity Code]]&amp;"; "&amp;R2568&amp;AS[[#This Row],[Age Band Code]]&amp;"; "&amp;S2568&amp;AS[[#This Row],[Sex Code]]</f>
        <v xml:space="preserve">Insurer Code ; Reporting Year ; Insurance Category Code ; Large Provider Entity Code ; Age Band Code ; Sex Code </v>
      </c>
      <c r="N2568" s="345" t="s">
        <v>207</v>
      </c>
      <c r="O2568" s="345" t="s">
        <v>208</v>
      </c>
      <c r="P2568" s="345" t="s">
        <v>209</v>
      </c>
      <c r="Q2568" s="345" t="s">
        <v>210</v>
      </c>
      <c r="R2568" s="345" t="s">
        <v>223</v>
      </c>
      <c r="S2568" s="345" t="s">
        <v>224</v>
      </c>
    </row>
    <row r="2569" spans="1:19" x14ac:dyDescent="0.25">
      <c r="A2569" s="311"/>
      <c r="B2569" s="312"/>
      <c r="C2569" s="312"/>
      <c r="D2569" s="312"/>
      <c r="E2569" s="312"/>
      <c r="F2569" s="312"/>
      <c r="G2569" s="328"/>
      <c r="H2569" s="337"/>
      <c r="I2569" s="334"/>
      <c r="J2569" s="314"/>
      <c r="K2569" s="449"/>
      <c r="M2569" s="349" t="str">
        <f>N2569&amp;AS[[#This Row],[Insurer Code]]&amp;"; "&amp;O2569&amp;AS[[#This Row],[Reporting Year]]&amp;"; "&amp;P2569&amp;AS[[#This Row],[Insurance Category Code]]&amp;"; "&amp;Q2569&amp;AS[[#This Row],[Large Provider Entity Code]]&amp;"; "&amp;R2569&amp;AS[[#This Row],[Age Band Code]]&amp;"; "&amp;S2569&amp;AS[[#This Row],[Sex Code]]</f>
        <v xml:space="preserve">Insurer Code ; Reporting Year ; Insurance Category Code ; Large Provider Entity Code ; Age Band Code ; Sex Code </v>
      </c>
      <c r="N2569" s="345" t="s">
        <v>207</v>
      </c>
      <c r="O2569" s="345" t="s">
        <v>208</v>
      </c>
      <c r="P2569" s="345" t="s">
        <v>209</v>
      </c>
      <c r="Q2569" s="345" t="s">
        <v>210</v>
      </c>
      <c r="R2569" s="345" t="s">
        <v>223</v>
      </c>
      <c r="S2569" s="345" t="s">
        <v>224</v>
      </c>
    </row>
    <row r="2570" spans="1:19" x14ac:dyDescent="0.25">
      <c r="A2570" s="311"/>
      <c r="B2570" s="312"/>
      <c r="C2570" s="312"/>
      <c r="D2570" s="312"/>
      <c r="E2570" s="312"/>
      <c r="F2570" s="312"/>
      <c r="G2570" s="328"/>
      <c r="H2570" s="337"/>
      <c r="I2570" s="334"/>
      <c r="J2570" s="314"/>
      <c r="K2570" s="449"/>
      <c r="M2570" s="349" t="str">
        <f>N2570&amp;AS[[#This Row],[Insurer Code]]&amp;"; "&amp;O2570&amp;AS[[#This Row],[Reporting Year]]&amp;"; "&amp;P2570&amp;AS[[#This Row],[Insurance Category Code]]&amp;"; "&amp;Q2570&amp;AS[[#This Row],[Large Provider Entity Code]]&amp;"; "&amp;R2570&amp;AS[[#This Row],[Age Band Code]]&amp;"; "&amp;S2570&amp;AS[[#This Row],[Sex Code]]</f>
        <v xml:space="preserve">Insurer Code ; Reporting Year ; Insurance Category Code ; Large Provider Entity Code ; Age Band Code ; Sex Code </v>
      </c>
      <c r="N2570" s="345" t="s">
        <v>207</v>
      </c>
      <c r="O2570" s="345" t="s">
        <v>208</v>
      </c>
      <c r="P2570" s="345" t="s">
        <v>209</v>
      </c>
      <c r="Q2570" s="345" t="s">
        <v>210</v>
      </c>
      <c r="R2570" s="345" t="s">
        <v>223</v>
      </c>
      <c r="S2570" s="345" t="s">
        <v>224</v>
      </c>
    </row>
    <row r="2571" spans="1:19" x14ac:dyDescent="0.25">
      <c r="A2571" s="311"/>
      <c r="B2571" s="312"/>
      <c r="C2571" s="312"/>
      <c r="D2571" s="312"/>
      <c r="E2571" s="312"/>
      <c r="F2571" s="312"/>
      <c r="G2571" s="328"/>
      <c r="H2571" s="337"/>
      <c r="I2571" s="334"/>
      <c r="J2571" s="314"/>
      <c r="K2571" s="449"/>
      <c r="M2571" s="349" t="str">
        <f>N2571&amp;AS[[#This Row],[Insurer Code]]&amp;"; "&amp;O2571&amp;AS[[#This Row],[Reporting Year]]&amp;"; "&amp;P2571&amp;AS[[#This Row],[Insurance Category Code]]&amp;"; "&amp;Q2571&amp;AS[[#This Row],[Large Provider Entity Code]]&amp;"; "&amp;R2571&amp;AS[[#This Row],[Age Band Code]]&amp;"; "&amp;S2571&amp;AS[[#This Row],[Sex Code]]</f>
        <v xml:space="preserve">Insurer Code ; Reporting Year ; Insurance Category Code ; Large Provider Entity Code ; Age Band Code ; Sex Code </v>
      </c>
      <c r="N2571" s="345" t="s">
        <v>207</v>
      </c>
      <c r="O2571" s="345" t="s">
        <v>208</v>
      </c>
      <c r="P2571" s="345" t="s">
        <v>209</v>
      </c>
      <c r="Q2571" s="345" t="s">
        <v>210</v>
      </c>
      <c r="R2571" s="345" t="s">
        <v>223</v>
      </c>
      <c r="S2571" s="345" t="s">
        <v>224</v>
      </c>
    </row>
    <row r="2572" spans="1:19" x14ac:dyDescent="0.25">
      <c r="A2572" s="311"/>
      <c r="B2572" s="312"/>
      <c r="C2572" s="312"/>
      <c r="D2572" s="312"/>
      <c r="E2572" s="312"/>
      <c r="F2572" s="312"/>
      <c r="G2572" s="328"/>
      <c r="H2572" s="337"/>
      <c r="I2572" s="334"/>
      <c r="J2572" s="314"/>
      <c r="K2572" s="449"/>
      <c r="M2572" s="349" t="str">
        <f>N2572&amp;AS[[#This Row],[Insurer Code]]&amp;"; "&amp;O2572&amp;AS[[#This Row],[Reporting Year]]&amp;"; "&amp;P2572&amp;AS[[#This Row],[Insurance Category Code]]&amp;"; "&amp;Q2572&amp;AS[[#This Row],[Large Provider Entity Code]]&amp;"; "&amp;R2572&amp;AS[[#This Row],[Age Band Code]]&amp;"; "&amp;S2572&amp;AS[[#This Row],[Sex Code]]</f>
        <v xml:space="preserve">Insurer Code ; Reporting Year ; Insurance Category Code ; Large Provider Entity Code ; Age Band Code ; Sex Code </v>
      </c>
      <c r="N2572" s="345" t="s">
        <v>207</v>
      </c>
      <c r="O2572" s="345" t="s">
        <v>208</v>
      </c>
      <c r="P2572" s="345" t="s">
        <v>209</v>
      </c>
      <c r="Q2572" s="345" t="s">
        <v>210</v>
      </c>
      <c r="R2572" s="345" t="s">
        <v>223</v>
      </c>
      <c r="S2572" s="345" t="s">
        <v>224</v>
      </c>
    </row>
    <row r="2573" spans="1:19" x14ac:dyDescent="0.25">
      <c r="A2573" s="311"/>
      <c r="B2573" s="312"/>
      <c r="C2573" s="312"/>
      <c r="D2573" s="312"/>
      <c r="E2573" s="312"/>
      <c r="F2573" s="312"/>
      <c r="G2573" s="328"/>
      <c r="H2573" s="337"/>
      <c r="I2573" s="334"/>
      <c r="J2573" s="314"/>
      <c r="K2573" s="449"/>
      <c r="M2573" s="349" t="str">
        <f>N2573&amp;AS[[#This Row],[Insurer Code]]&amp;"; "&amp;O2573&amp;AS[[#This Row],[Reporting Year]]&amp;"; "&amp;P2573&amp;AS[[#This Row],[Insurance Category Code]]&amp;"; "&amp;Q2573&amp;AS[[#This Row],[Large Provider Entity Code]]&amp;"; "&amp;R2573&amp;AS[[#This Row],[Age Band Code]]&amp;"; "&amp;S2573&amp;AS[[#This Row],[Sex Code]]</f>
        <v xml:space="preserve">Insurer Code ; Reporting Year ; Insurance Category Code ; Large Provider Entity Code ; Age Band Code ; Sex Code </v>
      </c>
      <c r="N2573" s="345" t="s">
        <v>207</v>
      </c>
      <c r="O2573" s="345" t="s">
        <v>208</v>
      </c>
      <c r="P2573" s="345" t="s">
        <v>209</v>
      </c>
      <c r="Q2573" s="345" t="s">
        <v>210</v>
      </c>
      <c r="R2573" s="345" t="s">
        <v>223</v>
      </c>
      <c r="S2573" s="345" t="s">
        <v>224</v>
      </c>
    </row>
    <row r="2574" spans="1:19" x14ac:dyDescent="0.25">
      <c r="A2574" s="311"/>
      <c r="B2574" s="312"/>
      <c r="C2574" s="312"/>
      <c r="D2574" s="312"/>
      <c r="E2574" s="312"/>
      <c r="F2574" s="312"/>
      <c r="G2574" s="328"/>
      <c r="H2574" s="337"/>
      <c r="I2574" s="334"/>
      <c r="J2574" s="314"/>
      <c r="K2574" s="449"/>
      <c r="M2574" s="349" t="str">
        <f>N2574&amp;AS[[#This Row],[Insurer Code]]&amp;"; "&amp;O2574&amp;AS[[#This Row],[Reporting Year]]&amp;"; "&amp;P2574&amp;AS[[#This Row],[Insurance Category Code]]&amp;"; "&amp;Q2574&amp;AS[[#This Row],[Large Provider Entity Code]]&amp;"; "&amp;R2574&amp;AS[[#This Row],[Age Band Code]]&amp;"; "&amp;S2574&amp;AS[[#This Row],[Sex Code]]</f>
        <v xml:space="preserve">Insurer Code ; Reporting Year ; Insurance Category Code ; Large Provider Entity Code ; Age Band Code ; Sex Code </v>
      </c>
      <c r="N2574" s="345" t="s">
        <v>207</v>
      </c>
      <c r="O2574" s="345" t="s">
        <v>208</v>
      </c>
      <c r="P2574" s="345" t="s">
        <v>209</v>
      </c>
      <c r="Q2574" s="345" t="s">
        <v>210</v>
      </c>
      <c r="R2574" s="345" t="s">
        <v>223</v>
      </c>
      <c r="S2574" s="345" t="s">
        <v>224</v>
      </c>
    </row>
    <row r="2575" spans="1:19" x14ac:dyDescent="0.25">
      <c r="A2575" s="311"/>
      <c r="B2575" s="312"/>
      <c r="C2575" s="312"/>
      <c r="D2575" s="312"/>
      <c r="E2575" s="312"/>
      <c r="F2575" s="312"/>
      <c r="G2575" s="328"/>
      <c r="H2575" s="337"/>
      <c r="I2575" s="334"/>
      <c r="J2575" s="314"/>
      <c r="K2575" s="449"/>
      <c r="M2575" s="349" t="str">
        <f>N2575&amp;AS[[#This Row],[Insurer Code]]&amp;"; "&amp;O2575&amp;AS[[#This Row],[Reporting Year]]&amp;"; "&amp;P2575&amp;AS[[#This Row],[Insurance Category Code]]&amp;"; "&amp;Q2575&amp;AS[[#This Row],[Large Provider Entity Code]]&amp;"; "&amp;R2575&amp;AS[[#This Row],[Age Band Code]]&amp;"; "&amp;S2575&amp;AS[[#This Row],[Sex Code]]</f>
        <v xml:space="preserve">Insurer Code ; Reporting Year ; Insurance Category Code ; Large Provider Entity Code ; Age Band Code ; Sex Code </v>
      </c>
      <c r="N2575" s="345" t="s">
        <v>207</v>
      </c>
      <c r="O2575" s="345" t="s">
        <v>208</v>
      </c>
      <c r="P2575" s="345" t="s">
        <v>209</v>
      </c>
      <c r="Q2575" s="345" t="s">
        <v>210</v>
      </c>
      <c r="R2575" s="345" t="s">
        <v>223</v>
      </c>
      <c r="S2575" s="345" t="s">
        <v>224</v>
      </c>
    </row>
    <row r="2576" spans="1:19" x14ac:dyDescent="0.25">
      <c r="A2576" s="311"/>
      <c r="B2576" s="312"/>
      <c r="C2576" s="312"/>
      <c r="D2576" s="312"/>
      <c r="E2576" s="312"/>
      <c r="F2576" s="312"/>
      <c r="G2576" s="328"/>
      <c r="H2576" s="337"/>
      <c r="I2576" s="334"/>
      <c r="J2576" s="314"/>
      <c r="K2576" s="449"/>
      <c r="M2576" s="349" t="str">
        <f>N2576&amp;AS[[#This Row],[Insurer Code]]&amp;"; "&amp;O2576&amp;AS[[#This Row],[Reporting Year]]&amp;"; "&amp;P2576&amp;AS[[#This Row],[Insurance Category Code]]&amp;"; "&amp;Q2576&amp;AS[[#This Row],[Large Provider Entity Code]]&amp;"; "&amp;R2576&amp;AS[[#This Row],[Age Band Code]]&amp;"; "&amp;S2576&amp;AS[[#This Row],[Sex Code]]</f>
        <v xml:space="preserve">Insurer Code ; Reporting Year ; Insurance Category Code ; Large Provider Entity Code ; Age Band Code ; Sex Code </v>
      </c>
      <c r="N2576" s="345" t="s">
        <v>207</v>
      </c>
      <c r="O2576" s="345" t="s">
        <v>208</v>
      </c>
      <c r="P2576" s="345" t="s">
        <v>209</v>
      </c>
      <c r="Q2576" s="345" t="s">
        <v>210</v>
      </c>
      <c r="R2576" s="345" t="s">
        <v>223</v>
      </c>
      <c r="S2576" s="345" t="s">
        <v>224</v>
      </c>
    </row>
    <row r="2577" spans="1:19" x14ac:dyDescent="0.25">
      <c r="A2577" s="311"/>
      <c r="B2577" s="312"/>
      <c r="C2577" s="312"/>
      <c r="D2577" s="312"/>
      <c r="E2577" s="312"/>
      <c r="F2577" s="312"/>
      <c r="G2577" s="328"/>
      <c r="H2577" s="337"/>
      <c r="I2577" s="334"/>
      <c r="J2577" s="314"/>
      <c r="K2577" s="449"/>
      <c r="M2577" s="349" t="str">
        <f>N2577&amp;AS[[#This Row],[Insurer Code]]&amp;"; "&amp;O2577&amp;AS[[#This Row],[Reporting Year]]&amp;"; "&amp;P2577&amp;AS[[#This Row],[Insurance Category Code]]&amp;"; "&amp;Q2577&amp;AS[[#This Row],[Large Provider Entity Code]]&amp;"; "&amp;R2577&amp;AS[[#This Row],[Age Band Code]]&amp;"; "&amp;S2577&amp;AS[[#This Row],[Sex Code]]</f>
        <v xml:space="preserve">Insurer Code ; Reporting Year ; Insurance Category Code ; Large Provider Entity Code ; Age Band Code ; Sex Code </v>
      </c>
      <c r="N2577" s="345" t="s">
        <v>207</v>
      </c>
      <c r="O2577" s="345" t="s">
        <v>208</v>
      </c>
      <c r="P2577" s="345" t="s">
        <v>209</v>
      </c>
      <c r="Q2577" s="345" t="s">
        <v>210</v>
      </c>
      <c r="R2577" s="345" t="s">
        <v>223</v>
      </c>
      <c r="S2577" s="345" t="s">
        <v>224</v>
      </c>
    </row>
    <row r="2578" spans="1:19" x14ac:dyDescent="0.25">
      <c r="A2578" s="311"/>
      <c r="B2578" s="312"/>
      <c r="C2578" s="312"/>
      <c r="D2578" s="312"/>
      <c r="E2578" s="312"/>
      <c r="F2578" s="312"/>
      <c r="G2578" s="328"/>
      <c r="H2578" s="453"/>
      <c r="I2578" s="334"/>
      <c r="J2578" s="314"/>
      <c r="K2578" s="454"/>
      <c r="M2578" s="349" t="str">
        <f>N2578&amp;AS[[#This Row],[Insurer Code]]&amp;"; "&amp;O2578&amp;AS[[#This Row],[Reporting Year]]&amp;"; "&amp;P2578&amp;AS[[#This Row],[Insurance Category Code]]&amp;"; "&amp;Q2578&amp;AS[[#This Row],[Large Provider Entity Code]]&amp;"; "&amp;R2578&amp;AS[[#This Row],[Age Band Code]]&amp;"; "&amp;S2578&amp;AS[[#This Row],[Sex Code]]</f>
        <v xml:space="preserve">Insurer Code ; Reporting Year ; Insurance Category Code ; Large Provider Entity Code ; Age Band Code ; Sex Code </v>
      </c>
      <c r="N2578" s="345" t="s">
        <v>207</v>
      </c>
      <c r="O2578" s="345" t="s">
        <v>208</v>
      </c>
      <c r="P2578" s="345" t="s">
        <v>209</v>
      </c>
      <c r="Q2578" s="345" t="s">
        <v>210</v>
      </c>
      <c r="R2578" s="345" t="s">
        <v>223</v>
      </c>
      <c r="S2578" s="345" t="s">
        <v>224</v>
      </c>
    </row>
    <row r="2579" spans="1:19" x14ac:dyDescent="0.25">
      <c r="A2579" s="311"/>
      <c r="B2579" s="312"/>
      <c r="C2579" s="312"/>
      <c r="D2579" s="312"/>
      <c r="E2579" s="312"/>
      <c r="F2579" s="312"/>
      <c r="G2579" s="328"/>
      <c r="H2579" s="453"/>
      <c r="I2579" s="334"/>
      <c r="J2579" s="314"/>
      <c r="K2579" s="454"/>
      <c r="M2579" s="349" t="str">
        <f>N2579&amp;AS[[#This Row],[Insurer Code]]&amp;"; "&amp;O2579&amp;AS[[#This Row],[Reporting Year]]&amp;"; "&amp;P2579&amp;AS[[#This Row],[Insurance Category Code]]&amp;"; "&amp;Q2579&amp;AS[[#This Row],[Large Provider Entity Code]]&amp;"; "&amp;R2579&amp;AS[[#This Row],[Age Band Code]]&amp;"; "&amp;S2579&amp;AS[[#This Row],[Sex Code]]</f>
        <v xml:space="preserve">Insurer Code ; Reporting Year ; Insurance Category Code ; Large Provider Entity Code ; Age Band Code ; Sex Code </v>
      </c>
      <c r="N2579" s="345" t="s">
        <v>207</v>
      </c>
      <c r="O2579" s="345" t="s">
        <v>208</v>
      </c>
      <c r="P2579" s="345" t="s">
        <v>209</v>
      </c>
      <c r="Q2579" s="345" t="s">
        <v>210</v>
      </c>
      <c r="R2579" s="345" t="s">
        <v>223</v>
      </c>
      <c r="S2579" s="345" t="s">
        <v>224</v>
      </c>
    </row>
    <row r="2580" spans="1:19" x14ac:dyDescent="0.25">
      <c r="A2580" s="311"/>
      <c r="B2580" s="312"/>
      <c r="C2580" s="312"/>
      <c r="D2580" s="312"/>
      <c r="E2580" s="312"/>
      <c r="F2580" s="312"/>
      <c r="G2580" s="328"/>
      <c r="H2580" s="453"/>
      <c r="I2580" s="334"/>
      <c r="J2580" s="314"/>
      <c r="K2580" s="454"/>
      <c r="M2580" s="349" t="str">
        <f>N2580&amp;AS[[#This Row],[Insurer Code]]&amp;"; "&amp;O2580&amp;AS[[#This Row],[Reporting Year]]&amp;"; "&amp;P2580&amp;AS[[#This Row],[Insurance Category Code]]&amp;"; "&amp;Q2580&amp;AS[[#This Row],[Large Provider Entity Code]]&amp;"; "&amp;R2580&amp;AS[[#This Row],[Age Band Code]]&amp;"; "&amp;S2580&amp;AS[[#This Row],[Sex Code]]</f>
        <v xml:space="preserve">Insurer Code ; Reporting Year ; Insurance Category Code ; Large Provider Entity Code ; Age Band Code ; Sex Code </v>
      </c>
      <c r="N2580" s="345" t="s">
        <v>207</v>
      </c>
      <c r="O2580" s="345" t="s">
        <v>208</v>
      </c>
      <c r="P2580" s="345" t="s">
        <v>209</v>
      </c>
      <c r="Q2580" s="345" t="s">
        <v>210</v>
      </c>
      <c r="R2580" s="345" t="s">
        <v>223</v>
      </c>
      <c r="S2580" s="345" t="s">
        <v>224</v>
      </c>
    </row>
    <row r="2581" spans="1:19" x14ac:dyDescent="0.25">
      <c r="A2581" s="311"/>
      <c r="B2581" s="312"/>
      <c r="C2581" s="312"/>
      <c r="D2581" s="312"/>
      <c r="E2581" s="312"/>
      <c r="F2581" s="312"/>
      <c r="G2581" s="328"/>
      <c r="H2581" s="453"/>
      <c r="I2581" s="334"/>
      <c r="J2581" s="314"/>
      <c r="K2581" s="454"/>
      <c r="M2581" s="349" t="str">
        <f>N2581&amp;AS[[#This Row],[Insurer Code]]&amp;"; "&amp;O2581&amp;AS[[#This Row],[Reporting Year]]&amp;"; "&amp;P2581&amp;AS[[#This Row],[Insurance Category Code]]&amp;"; "&amp;Q2581&amp;AS[[#This Row],[Large Provider Entity Code]]&amp;"; "&amp;R2581&amp;AS[[#This Row],[Age Band Code]]&amp;"; "&amp;S2581&amp;AS[[#This Row],[Sex Code]]</f>
        <v xml:space="preserve">Insurer Code ; Reporting Year ; Insurance Category Code ; Large Provider Entity Code ; Age Band Code ; Sex Code </v>
      </c>
      <c r="N2581" s="345" t="s">
        <v>207</v>
      </c>
      <c r="O2581" s="345" t="s">
        <v>208</v>
      </c>
      <c r="P2581" s="345" t="s">
        <v>209</v>
      </c>
      <c r="Q2581" s="345" t="s">
        <v>210</v>
      </c>
      <c r="R2581" s="345" t="s">
        <v>223</v>
      </c>
      <c r="S2581" s="345" t="s">
        <v>224</v>
      </c>
    </row>
    <row r="2582" spans="1:19" x14ac:dyDescent="0.25">
      <c r="A2582" s="311"/>
      <c r="B2582" s="312"/>
      <c r="C2582" s="312"/>
      <c r="D2582" s="312"/>
      <c r="E2582" s="312"/>
      <c r="F2582" s="312"/>
      <c r="G2582" s="328"/>
      <c r="H2582" s="453"/>
      <c r="I2582" s="334"/>
      <c r="J2582" s="314"/>
      <c r="K2582" s="454"/>
      <c r="M2582" s="349" t="str">
        <f>N2582&amp;AS[[#This Row],[Insurer Code]]&amp;"; "&amp;O2582&amp;AS[[#This Row],[Reporting Year]]&amp;"; "&amp;P2582&amp;AS[[#This Row],[Insurance Category Code]]&amp;"; "&amp;Q2582&amp;AS[[#This Row],[Large Provider Entity Code]]&amp;"; "&amp;R2582&amp;AS[[#This Row],[Age Band Code]]&amp;"; "&amp;S2582&amp;AS[[#This Row],[Sex Code]]</f>
        <v xml:space="preserve">Insurer Code ; Reporting Year ; Insurance Category Code ; Large Provider Entity Code ; Age Band Code ; Sex Code </v>
      </c>
      <c r="N2582" s="345" t="s">
        <v>207</v>
      </c>
      <c r="O2582" s="345" t="s">
        <v>208</v>
      </c>
      <c r="P2582" s="345" t="s">
        <v>209</v>
      </c>
      <c r="Q2582" s="345" t="s">
        <v>210</v>
      </c>
      <c r="R2582" s="345" t="s">
        <v>223</v>
      </c>
      <c r="S2582" s="345" t="s">
        <v>224</v>
      </c>
    </row>
    <row r="2583" spans="1:19" x14ac:dyDescent="0.25">
      <c r="A2583" s="311"/>
      <c r="B2583" s="312"/>
      <c r="C2583" s="312"/>
      <c r="D2583" s="312"/>
      <c r="E2583" s="312"/>
      <c r="F2583" s="312"/>
      <c r="G2583" s="328"/>
      <c r="H2583" s="453"/>
      <c r="I2583" s="334"/>
      <c r="J2583" s="314"/>
      <c r="K2583" s="454"/>
      <c r="M2583" s="349" t="str">
        <f>N2583&amp;AS[[#This Row],[Insurer Code]]&amp;"; "&amp;O2583&amp;AS[[#This Row],[Reporting Year]]&amp;"; "&amp;P2583&amp;AS[[#This Row],[Insurance Category Code]]&amp;"; "&amp;Q2583&amp;AS[[#This Row],[Large Provider Entity Code]]&amp;"; "&amp;R2583&amp;AS[[#This Row],[Age Band Code]]&amp;"; "&amp;S2583&amp;AS[[#This Row],[Sex Code]]</f>
        <v xml:space="preserve">Insurer Code ; Reporting Year ; Insurance Category Code ; Large Provider Entity Code ; Age Band Code ; Sex Code </v>
      </c>
      <c r="N2583" s="345" t="s">
        <v>207</v>
      </c>
      <c r="O2583" s="345" t="s">
        <v>208</v>
      </c>
      <c r="P2583" s="345" t="s">
        <v>209</v>
      </c>
      <c r="Q2583" s="345" t="s">
        <v>210</v>
      </c>
      <c r="R2583" s="345" t="s">
        <v>223</v>
      </c>
      <c r="S2583" s="345" t="s">
        <v>224</v>
      </c>
    </row>
    <row r="2584" spans="1:19" x14ac:dyDescent="0.25">
      <c r="A2584" s="311"/>
      <c r="B2584" s="312"/>
      <c r="C2584" s="312"/>
      <c r="D2584" s="312"/>
      <c r="E2584" s="312"/>
      <c r="F2584" s="312"/>
      <c r="G2584" s="328"/>
      <c r="H2584" s="453"/>
      <c r="I2584" s="334"/>
      <c r="J2584" s="314"/>
      <c r="K2584" s="454"/>
      <c r="M2584" s="349" t="str">
        <f>N2584&amp;AS[[#This Row],[Insurer Code]]&amp;"; "&amp;O2584&amp;AS[[#This Row],[Reporting Year]]&amp;"; "&amp;P2584&amp;AS[[#This Row],[Insurance Category Code]]&amp;"; "&amp;Q2584&amp;AS[[#This Row],[Large Provider Entity Code]]&amp;"; "&amp;R2584&amp;AS[[#This Row],[Age Band Code]]&amp;"; "&amp;S2584&amp;AS[[#This Row],[Sex Code]]</f>
        <v xml:space="preserve">Insurer Code ; Reporting Year ; Insurance Category Code ; Large Provider Entity Code ; Age Band Code ; Sex Code </v>
      </c>
      <c r="N2584" s="345" t="s">
        <v>207</v>
      </c>
      <c r="O2584" s="345" t="s">
        <v>208</v>
      </c>
      <c r="P2584" s="345" t="s">
        <v>209</v>
      </c>
      <c r="Q2584" s="345" t="s">
        <v>210</v>
      </c>
      <c r="R2584" s="345" t="s">
        <v>223</v>
      </c>
      <c r="S2584" s="345" t="s">
        <v>224</v>
      </c>
    </row>
    <row r="2585" spans="1:19" x14ac:dyDescent="0.25">
      <c r="A2585" s="311"/>
      <c r="B2585" s="312"/>
      <c r="C2585" s="312"/>
      <c r="D2585" s="312"/>
      <c r="E2585" s="312"/>
      <c r="F2585" s="312"/>
      <c r="G2585" s="328"/>
      <c r="H2585" s="453"/>
      <c r="I2585" s="334"/>
      <c r="J2585" s="314"/>
      <c r="K2585" s="454"/>
      <c r="M2585" s="349" t="str">
        <f>N2585&amp;AS[[#This Row],[Insurer Code]]&amp;"; "&amp;O2585&amp;AS[[#This Row],[Reporting Year]]&amp;"; "&amp;P2585&amp;AS[[#This Row],[Insurance Category Code]]&amp;"; "&amp;Q2585&amp;AS[[#This Row],[Large Provider Entity Code]]&amp;"; "&amp;R2585&amp;AS[[#This Row],[Age Band Code]]&amp;"; "&amp;S2585&amp;AS[[#This Row],[Sex Code]]</f>
        <v xml:space="preserve">Insurer Code ; Reporting Year ; Insurance Category Code ; Large Provider Entity Code ; Age Band Code ; Sex Code </v>
      </c>
      <c r="N2585" s="345" t="s">
        <v>207</v>
      </c>
      <c r="O2585" s="345" t="s">
        <v>208</v>
      </c>
      <c r="P2585" s="345" t="s">
        <v>209</v>
      </c>
      <c r="Q2585" s="345" t="s">
        <v>210</v>
      </c>
      <c r="R2585" s="345" t="s">
        <v>223</v>
      </c>
      <c r="S2585" s="345" t="s">
        <v>224</v>
      </c>
    </row>
    <row r="2586" spans="1:19" x14ac:dyDescent="0.25">
      <c r="A2586" s="311"/>
      <c r="B2586" s="312"/>
      <c r="C2586" s="312"/>
      <c r="D2586" s="312"/>
      <c r="E2586" s="312"/>
      <c r="F2586" s="312"/>
      <c r="G2586" s="328"/>
      <c r="H2586" s="453"/>
      <c r="I2586" s="334"/>
      <c r="J2586" s="314"/>
      <c r="K2586" s="454"/>
      <c r="M2586" s="349" t="str">
        <f>N2586&amp;AS[[#This Row],[Insurer Code]]&amp;"; "&amp;O2586&amp;AS[[#This Row],[Reporting Year]]&amp;"; "&amp;P2586&amp;AS[[#This Row],[Insurance Category Code]]&amp;"; "&amp;Q2586&amp;AS[[#This Row],[Large Provider Entity Code]]&amp;"; "&amp;R2586&amp;AS[[#This Row],[Age Band Code]]&amp;"; "&amp;S2586&amp;AS[[#This Row],[Sex Code]]</f>
        <v xml:space="preserve">Insurer Code ; Reporting Year ; Insurance Category Code ; Large Provider Entity Code ; Age Band Code ; Sex Code </v>
      </c>
      <c r="N2586" s="345" t="s">
        <v>207</v>
      </c>
      <c r="O2586" s="345" t="s">
        <v>208</v>
      </c>
      <c r="P2586" s="345" t="s">
        <v>209</v>
      </c>
      <c r="Q2586" s="345" t="s">
        <v>210</v>
      </c>
      <c r="R2586" s="345" t="s">
        <v>223</v>
      </c>
      <c r="S2586" s="345" t="s">
        <v>224</v>
      </c>
    </row>
    <row r="2587" spans="1:19" x14ac:dyDescent="0.25">
      <c r="A2587" s="311"/>
      <c r="B2587" s="312"/>
      <c r="C2587" s="312"/>
      <c r="D2587" s="312"/>
      <c r="E2587" s="312"/>
      <c r="F2587" s="312"/>
      <c r="G2587" s="328"/>
      <c r="H2587" s="453"/>
      <c r="I2587" s="334"/>
      <c r="J2587" s="314"/>
      <c r="K2587" s="454"/>
      <c r="M2587" s="349" t="str">
        <f>N2587&amp;AS[[#This Row],[Insurer Code]]&amp;"; "&amp;O2587&amp;AS[[#This Row],[Reporting Year]]&amp;"; "&amp;P2587&amp;AS[[#This Row],[Insurance Category Code]]&amp;"; "&amp;Q2587&amp;AS[[#This Row],[Large Provider Entity Code]]&amp;"; "&amp;R2587&amp;AS[[#This Row],[Age Band Code]]&amp;"; "&amp;S2587&amp;AS[[#This Row],[Sex Code]]</f>
        <v xml:space="preserve">Insurer Code ; Reporting Year ; Insurance Category Code ; Large Provider Entity Code ; Age Band Code ; Sex Code </v>
      </c>
      <c r="N2587" s="345" t="s">
        <v>207</v>
      </c>
      <c r="O2587" s="345" t="s">
        <v>208</v>
      </c>
      <c r="P2587" s="345" t="s">
        <v>209</v>
      </c>
      <c r="Q2587" s="345" t="s">
        <v>210</v>
      </c>
      <c r="R2587" s="345" t="s">
        <v>223</v>
      </c>
      <c r="S2587" s="345" t="s">
        <v>224</v>
      </c>
    </row>
    <row r="2588" spans="1:19" x14ac:dyDescent="0.25">
      <c r="A2588" s="311"/>
      <c r="B2588" s="312"/>
      <c r="C2588" s="312"/>
      <c r="D2588" s="312"/>
      <c r="E2588" s="333"/>
      <c r="F2588" s="333"/>
      <c r="G2588" s="313"/>
      <c r="H2588" s="314"/>
      <c r="I2588" s="334"/>
      <c r="J2588" s="314"/>
      <c r="K2588" s="449"/>
      <c r="M2588" s="349" t="str">
        <f>N2588&amp;AS[[#This Row],[Insurer Code]]&amp;"; "&amp;O2588&amp;AS[[#This Row],[Reporting Year]]&amp;"; "&amp;P2588&amp;AS[[#This Row],[Insurance Category Code]]&amp;"; "&amp;Q2588&amp;AS[[#This Row],[Large Provider Entity Code]]&amp;"; "&amp;R2588&amp;AS[[#This Row],[Age Band Code]]&amp;"; "&amp;S2588&amp;AS[[#This Row],[Sex Code]]</f>
        <v xml:space="preserve">Insurer Code ; Reporting Year ; Insurance Category Code ; Large Provider Entity Code ; Age Band Code ; Sex Code </v>
      </c>
      <c r="N2588" s="345" t="s">
        <v>207</v>
      </c>
      <c r="O2588" s="345" t="s">
        <v>208</v>
      </c>
      <c r="P2588" s="345" t="s">
        <v>209</v>
      </c>
      <c r="Q2588" s="345" t="s">
        <v>210</v>
      </c>
      <c r="R2588" s="345" t="s">
        <v>223</v>
      </c>
      <c r="S2588" s="345" t="s">
        <v>224</v>
      </c>
    </row>
    <row r="2589" spans="1:19" x14ac:dyDescent="0.25">
      <c r="A2589" s="311"/>
      <c r="B2589" s="312"/>
      <c r="C2589" s="312"/>
      <c r="D2589" s="312"/>
      <c r="E2589" s="333"/>
      <c r="F2589" s="333"/>
      <c r="G2589" s="313"/>
      <c r="H2589" s="314"/>
      <c r="I2589" s="334"/>
      <c r="J2589" s="314"/>
      <c r="K2589" s="449"/>
      <c r="M2589" s="349" t="str">
        <f>N2589&amp;AS[[#This Row],[Insurer Code]]&amp;"; "&amp;O2589&amp;AS[[#This Row],[Reporting Year]]&amp;"; "&amp;P2589&amp;AS[[#This Row],[Insurance Category Code]]&amp;"; "&amp;Q2589&amp;AS[[#This Row],[Large Provider Entity Code]]&amp;"; "&amp;R2589&amp;AS[[#This Row],[Age Band Code]]&amp;"; "&amp;S2589&amp;AS[[#This Row],[Sex Code]]</f>
        <v xml:space="preserve">Insurer Code ; Reporting Year ; Insurance Category Code ; Large Provider Entity Code ; Age Band Code ; Sex Code </v>
      </c>
      <c r="N2589" s="345" t="s">
        <v>207</v>
      </c>
      <c r="O2589" s="345" t="s">
        <v>208</v>
      </c>
      <c r="P2589" s="345" t="s">
        <v>209</v>
      </c>
      <c r="Q2589" s="345" t="s">
        <v>210</v>
      </c>
      <c r="R2589" s="345" t="s">
        <v>223</v>
      </c>
      <c r="S2589" s="345" t="s">
        <v>224</v>
      </c>
    </row>
    <row r="2590" spans="1:19" x14ac:dyDescent="0.25">
      <c r="A2590" s="311"/>
      <c r="B2590" s="312"/>
      <c r="C2590" s="312"/>
      <c r="D2590" s="312"/>
      <c r="E2590" s="333"/>
      <c r="F2590" s="333"/>
      <c r="G2590" s="313"/>
      <c r="H2590" s="314"/>
      <c r="I2590" s="334"/>
      <c r="J2590" s="314"/>
      <c r="K2590" s="449"/>
      <c r="M2590" s="349" t="str">
        <f>N2590&amp;AS[[#This Row],[Insurer Code]]&amp;"; "&amp;O2590&amp;AS[[#This Row],[Reporting Year]]&amp;"; "&amp;P2590&amp;AS[[#This Row],[Insurance Category Code]]&amp;"; "&amp;Q2590&amp;AS[[#This Row],[Large Provider Entity Code]]&amp;"; "&amp;R2590&amp;AS[[#This Row],[Age Band Code]]&amp;"; "&amp;S2590&amp;AS[[#This Row],[Sex Code]]</f>
        <v xml:space="preserve">Insurer Code ; Reporting Year ; Insurance Category Code ; Large Provider Entity Code ; Age Band Code ; Sex Code </v>
      </c>
      <c r="N2590" s="345" t="s">
        <v>207</v>
      </c>
      <c r="O2590" s="345" t="s">
        <v>208</v>
      </c>
      <c r="P2590" s="345" t="s">
        <v>209</v>
      </c>
      <c r="Q2590" s="345" t="s">
        <v>210</v>
      </c>
      <c r="R2590" s="345" t="s">
        <v>223</v>
      </c>
      <c r="S2590" s="345" t="s">
        <v>224</v>
      </c>
    </row>
    <row r="2591" spans="1:19" x14ac:dyDescent="0.25">
      <c r="A2591" s="311"/>
      <c r="B2591" s="312"/>
      <c r="C2591" s="312"/>
      <c r="D2591" s="312"/>
      <c r="E2591" s="333"/>
      <c r="F2591" s="333"/>
      <c r="G2591" s="313"/>
      <c r="H2591" s="314"/>
      <c r="I2591" s="334"/>
      <c r="J2591" s="314"/>
      <c r="K2591" s="449"/>
      <c r="M2591" s="349" t="str">
        <f>N2591&amp;AS[[#This Row],[Insurer Code]]&amp;"; "&amp;O2591&amp;AS[[#This Row],[Reporting Year]]&amp;"; "&amp;P2591&amp;AS[[#This Row],[Insurance Category Code]]&amp;"; "&amp;Q2591&amp;AS[[#This Row],[Large Provider Entity Code]]&amp;"; "&amp;R2591&amp;AS[[#This Row],[Age Band Code]]&amp;"; "&amp;S2591&amp;AS[[#This Row],[Sex Code]]</f>
        <v xml:space="preserve">Insurer Code ; Reporting Year ; Insurance Category Code ; Large Provider Entity Code ; Age Band Code ; Sex Code </v>
      </c>
      <c r="N2591" s="345" t="s">
        <v>207</v>
      </c>
      <c r="O2591" s="345" t="s">
        <v>208</v>
      </c>
      <c r="P2591" s="345" t="s">
        <v>209</v>
      </c>
      <c r="Q2591" s="345" t="s">
        <v>210</v>
      </c>
      <c r="R2591" s="345" t="s">
        <v>223</v>
      </c>
      <c r="S2591" s="345" t="s">
        <v>224</v>
      </c>
    </row>
    <row r="2592" spans="1:19" x14ac:dyDescent="0.25">
      <c r="A2592" s="311"/>
      <c r="B2592" s="312"/>
      <c r="C2592" s="312"/>
      <c r="D2592" s="312"/>
      <c r="E2592" s="333"/>
      <c r="F2592" s="333"/>
      <c r="G2592" s="313"/>
      <c r="H2592" s="314"/>
      <c r="I2592" s="334"/>
      <c r="J2592" s="314"/>
      <c r="K2592" s="449"/>
      <c r="M2592" s="349" t="str">
        <f>N2592&amp;AS[[#This Row],[Insurer Code]]&amp;"; "&amp;O2592&amp;AS[[#This Row],[Reporting Year]]&amp;"; "&amp;P2592&amp;AS[[#This Row],[Insurance Category Code]]&amp;"; "&amp;Q2592&amp;AS[[#This Row],[Large Provider Entity Code]]&amp;"; "&amp;R2592&amp;AS[[#This Row],[Age Band Code]]&amp;"; "&amp;S2592&amp;AS[[#This Row],[Sex Code]]</f>
        <v xml:space="preserve">Insurer Code ; Reporting Year ; Insurance Category Code ; Large Provider Entity Code ; Age Band Code ; Sex Code </v>
      </c>
      <c r="N2592" s="345" t="s">
        <v>207</v>
      </c>
      <c r="O2592" s="345" t="s">
        <v>208</v>
      </c>
      <c r="P2592" s="345" t="s">
        <v>209</v>
      </c>
      <c r="Q2592" s="345" t="s">
        <v>210</v>
      </c>
      <c r="R2592" s="345" t="s">
        <v>223</v>
      </c>
      <c r="S2592" s="345" t="s">
        <v>224</v>
      </c>
    </row>
    <row r="2593" spans="1:19" x14ac:dyDescent="0.25">
      <c r="A2593" s="311"/>
      <c r="B2593" s="312"/>
      <c r="C2593" s="312"/>
      <c r="D2593" s="312"/>
      <c r="E2593" s="333"/>
      <c r="F2593" s="333"/>
      <c r="G2593" s="313"/>
      <c r="H2593" s="314"/>
      <c r="I2593" s="334"/>
      <c r="J2593" s="314"/>
      <c r="K2593" s="449"/>
      <c r="M2593" s="349" t="str">
        <f>N2593&amp;AS[[#This Row],[Insurer Code]]&amp;"; "&amp;O2593&amp;AS[[#This Row],[Reporting Year]]&amp;"; "&amp;P2593&amp;AS[[#This Row],[Insurance Category Code]]&amp;"; "&amp;Q2593&amp;AS[[#This Row],[Large Provider Entity Code]]&amp;"; "&amp;R2593&amp;AS[[#This Row],[Age Band Code]]&amp;"; "&amp;S2593&amp;AS[[#This Row],[Sex Code]]</f>
        <v xml:space="preserve">Insurer Code ; Reporting Year ; Insurance Category Code ; Large Provider Entity Code ; Age Band Code ; Sex Code </v>
      </c>
      <c r="N2593" s="345" t="s">
        <v>207</v>
      </c>
      <c r="O2593" s="345" t="s">
        <v>208</v>
      </c>
      <c r="P2593" s="345" t="s">
        <v>209</v>
      </c>
      <c r="Q2593" s="345" t="s">
        <v>210</v>
      </c>
      <c r="R2593" s="345" t="s">
        <v>223</v>
      </c>
      <c r="S2593" s="345" t="s">
        <v>224</v>
      </c>
    </row>
    <row r="2594" spans="1:19" x14ac:dyDescent="0.25">
      <c r="A2594" s="311"/>
      <c r="B2594" s="312"/>
      <c r="C2594" s="312"/>
      <c r="D2594" s="312"/>
      <c r="E2594" s="333"/>
      <c r="F2594" s="333"/>
      <c r="G2594" s="313"/>
      <c r="H2594" s="314"/>
      <c r="I2594" s="334"/>
      <c r="J2594" s="314"/>
      <c r="K2594" s="449"/>
      <c r="M2594" s="349" t="str">
        <f>N2594&amp;AS[[#This Row],[Insurer Code]]&amp;"; "&amp;O2594&amp;AS[[#This Row],[Reporting Year]]&amp;"; "&amp;P2594&amp;AS[[#This Row],[Insurance Category Code]]&amp;"; "&amp;Q2594&amp;AS[[#This Row],[Large Provider Entity Code]]&amp;"; "&amp;R2594&amp;AS[[#This Row],[Age Band Code]]&amp;"; "&amp;S2594&amp;AS[[#This Row],[Sex Code]]</f>
        <v xml:space="preserve">Insurer Code ; Reporting Year ; Insurance Category Code ; Large Provider Entity Code ; Age Band Code ; Sex Code </v>
      </c>
      <c r="N2594" s="345" t="s">
        <v>207</v>
      </c>
      <c r="O2594" s="345" t="s">
        <v>208</v>
      </c>
      <c r="P2594" s="345" t="s">
        <v>209</v>
      </c>
      <c r="Q2594" s="345" t="s">
        <v>210</v>
      </c>
      <c r="R2594" s="345" t="s">
        <v>223</v>
      </c>
      <c r="S2594" s="345" t="s">
        <v>224</v>
      </c>
    </row>
    <row r="2595" spans="1:19" x14ac:dyDescent="0.25">
      <c r="A2595" s="311"/>
      <c r="B2595" s="312"/>
      <c r="C2595" s="312"/>
      <c r="D2595" s="312"/>
      <c r="E2595" s="312"/>
      <c r="F2595" s="312"/>
      <c r="G2595" s="313"/>
      <c r="H2595" s="336"/>
      <c r="I2595" s="334"/>
      <c r="J2595" s="332"/>
      <c r="K2595" s="449"/>
      <c r="M2595" s="349" t="str">
        <f>N2595&amp;AS[[#This Row],[Insurer Code]]&amp;"; "&amp;O2595&amp;AS[[#This Row],[Reporting Year]]&amp;"; "&amp;P2595&amp;AS[[#This Row],[Insurance Category Code]]&amp;"; "&amp;Q2595&amp;AS[[#This Row],[Large Provider Entity Code]]&amp;"; "&amp;R2595&amp;AS[[#This Row],[Age Band Code]]&amp;"; "&amp;S2595&amp;AS[[#This Row],[Sex Code]]</f>
        <v xml:space="preserve">Insurer Code ; Reporting Year ; Insurance Category Code ; Large Provider Entity Code ; Age Band Code ; Sex Code </v>
      </c>
      <c r="N2595" s="345" t="s">
        <v>207</v>
      </c>
      <c r="O2595" s="345" t="s">
        <v>208</v>
      </c>
      <c r="P2595" s="345" t="s">
        <v>209</v>
      </c>
      <c r="Q2595" s="345" t="s">
        <v>210</v>
      </c>
      <c r="R2595" s="345" t="s">
        <v>223</v>
      </c>
      <c r="S2595" s="345" t="s">
        <v>224</v>
      </c>
    </row>
    <row r="2596" spans="1:19" x14ac:dyDescent="0.25">
      <c r="A2596" s="311"/>
      <c r="B2596" s="312"/>
      <c r="C2596" s="312"/>
      <c r="D2596" s="312"/>
      <c r="E2596" s="312"/>
      <c r="F2596" s="312"/>
      <c r="G2596" s="335"/>
      <c r="H2596" s="336"/>
      <c r="I2596" s="334"/>
      <c r="J2596" s="332"/>
      <c r="K2596" s="449"/>
      <c r="M2596" s="349" t="str">
        <f>N2596&amp;AS[[#This Row],[Insurer Code]]&amp;"; "&amp;O2596&amp;AS[[#This Row],[Reporting Year]]&amp;"; "&amp;P2596&amp;AS[[#This Row],[Insurance Category Code]]&amp;"; "&amp;Q2596&amp;AS[[#This Row],[Large Provider Entity Code]]&amp;"; "&amp;R2596&amp;AS[[#This Row],[Age Band Code]]&amp;"; "&amp;S2596&amp;AS[[#This Row],[Sex Code]]</f>
        <v xml:space="preserve">Insurer Code ; Reporting Year ; Insurance Category Code ; Large Provider Entity Code ; Age Band Code ; Sex Code </v>
      </c>
      <c r="N2596" s="345" t="s">
        <v>207</v>
      </c>
      <c r="O2596" s="345" t="s">
        <v>208</v>
      </c>
      <c r="P2596" s="345" t="s">
        <v>209</v>
      </c>
      <c r="Q2596" s="345" t="s">
        <v>210</v>
      </c>
      <c r="R2596" s="345" t="s">
        <v>223</v>
      </c>
      <c r="S2596" s="345" t="s">
        <v>224</v>
      </c>
    </row>
    <row r="2597" spans="1:19" x14ac:dyDescent="0.25">
      <c r="A2597" s="311"/>
      <c r="B2597" s="312"/>
      <c r="C2597" s="312"/>
      <c r="D2597" s="312"/>
      <c r="E2597" s="312"/>
      <c r="F2597" s="312"/>
      <c r="G2597" s="335"/>
      <c r="H2597" s="336"/>
      <c r="I2597" s="334"/>
      <c r="J2597" s="332"/>
      <c r="K2597" s="449"/>
      <c r="M2597" s="349" t="str">
        <f>N2597&amp;AS[[#This Row],[Insurer Code]]&amp;"; "&amp;O2597&amp;AS[[#This Row],[Reporting Year]]&amp;"; "&amp;P2597&amp;AS[[#This Row],[Insurance Category Code]]&amp;"; "&amp;Q2597&amp;AS[[#This Row],[Large Provider Entity Code]]&amp;"; "&amp;R2597&amp;AS[[#This Row],[Age Band Code]]&amp;"; "&amp;S2597&amp;AS[[#This Row],[Sex Code]]</f>
        <v xml:space="preserve">Insurer Code ; Reporting Year ; Insurance Category Code ; Large Provider Entity Code ; Age Band Code ; Sex Code </v>
      </c>
      <c r="N2597" s="345" t="s">
        <v>207</v>
      </c>
      <c r="O2597" s="345" t="s">
        <v>208</v>
      </c>
      <c r="P2597" s="345" t="s">
        <v>209</v>
      </c>
      <c r="Q2597" s="345" t="s">
        <v>210</v>
      </c>
      <c r="R2597" s="345" t="s">
        <v>223</v>
      </c>
      <c r="S2597" s="345" t="s">
        <v>224</v>
      </c>
    </row>
    <row r="2598" spans="1:19" x14ac:dyDescent="0.25">
      <c r="A2598" s="311"/>
      <c r="B2598" s="312"/>
      <c r="C2598" s="312"/>
      <c r="D2598" s="312"/>
      <c r="E2598" s="312"/>
      <c r="F2598" s="312"/>
      <c r="G2598" s="313"/>
      <c r="H2598" s="336"/>
      <c r="I2598" s="334"/>
      <c r="J2598" s="332"/>
      <c r="K2598" s="449"/>
      <c r="M2598" s="349" t="str">
        <f>N2598&amp;AS[[#This Row],[Insurer Code]]&amp;"; "&amp;O2598&amp;AS[[#This Row],[Reporting Year]]&amp;"; "&amp;P2598&amp;AS[[#This Row],[Insurance Category Code]]&amp;"; "&amp;Q2598&amp;AS[[#This Row],[Large Provider Entity Code]]&amp;"; "&amp;R2598&amp;AS[[#This Row],[Age Band Code]]&amp;"; "&amp;S2598&amp;AS[[#This Row],[Sex Code]]</f>
        <v xml:space="preserve">Insurer Code ; Reporting Year ; Insurance Category Code ; Large Provider Entity Code ; Age Band Code ; Sex Code </v>
      </c>
      <c r="N2598" s="345" t="s">
        <v>207</v>
      </c>
      <c r="O2598" s="345" t="s">
        <v>208</v>
      </c>
      <c r="P2598" s="345" t="s">
        <v>209</v>
      </c>
      <c r="Q2598" s="345" t="s">
        <v>210</v>
      </c>
      <c r="R2598" s="345" t="s">
        <v>223</v>
      </c>
      <c r="S2598" s="345" t="s">
        <v>224</v>
      </c>
    </row>
    <row r="2599" spans="1:19" x14ac:dyDescent="0.25">
      <c r="A2599" s="311"/>
      <c r="B2599" s="312"/>
      <c r="C2599" s="312"/>
      <c r="D2599" s="312"/>
      <c r="E2599" s="312"/>
      <c r="F2599" s="312"/>
      <c r="G2599" s="335"/>
      <c r="H2599" s="336"/>
      <c r="I2599" s="334"/>
      <c r="J2599" s="332"/>
      <c r="K2599" s="449"/>
      <c r="M2599" s="349" t="str">
        <f>N2599&amp;AS[[#This Row],[Insurer Code]]&amp;"; "&amp;O2599&amp;AS[[#This Row],[Reporting Year]]&amp;"; "&amp;P2599&amp;AS[[#This Row],[Insurance Category Code]]&amp;"; "&amp;Q2599&amp;AS[[#This Row],[Large Provider Entity Code]]&amp;"; "&amp;R2599&amp;AS[[#This Row],[Age Band Code]]&amp;"; "&amp;S2599&amp;AS[[#This Row],[Sex Code]]</f>
        <v xml:space="preserve">Insurer Code ; Reporting Year ; Insurance Category Code ; Large Provider Entity Code ; Age Band Code ; Sex Code </v>
      </c>
      <c r="N2599" s="345" t="s">
        <v>207</v>
      </c>
      <c r="O2599" s="345" t="s">
        <v>208</v>
      </c>
      <c r="P2599" s="345" t="s">
        <v>209</v>
      </c>
      <c r="Q2599" s="345" t="s">
        <v>210</v>
      </c>
      <c r="R2599" s="345" t="s">
        <v>223</v>
      </c>
      <c r="S2599" s="345" t="s">
        <v>224</v>
      </c>
    </row>
    <row r="2600" spans="1:19" x14ac:dyDescent="0.25">
      <c r="A2600" s="311"/>
      <c r="B2600" s="312"/>
      <c r="C2600" s="312"/>
      <c r="D2600" s="312"/>
      <c r="E2600" s="312"/>
      <c r="F2600" s="312"/>
      <c r="G2600" s="328"/>
      <c r="H2600" s="337"/>
      <c r="I2600" s="334"/>
      <c r="J2600" s="314"/>
      <c r="K2600" s="449"/>
      <c r="M2600" s="349" t="str">
        <f>N2600&amp;AS[[#This Row],[Insurer Code]]&amp;"; "&amp;O2600&amp;AS[[#This Row],[Reporting Year]]&amp;"; "&amp;P2600&amp;AS[[#This Row],[Insurance Category Code]]&amp;"; "&amp;Q2600&amp;AS[[#This Row],[Large Provider Entity Code]]&amp;"; "&amp;R2600&amp;AS[[#This Row],[Age Band Code]]&amp;"; "&amp;S2600&amp;AS[[#This Row],[Sex Code]]</f>
        <v xml:space="preserve">Insurer Code ; Reporting Year ; Insurance Category Code ; Large Provider Entity Code ; Age Band Code ; Sex Code </v>
      </c>
      <c r="N2600" s="345" t="s">
        <v>207</v>
      </c>
      <c r="O2600" s="345" t="s">
        <v>208</v>
      </c>
      <c r="P2600" s="345" t="s">
        <v>209</v>
      </c>
      <c r="Q2600" s="345" t="s">
        <v>210</v>
      </c>
      <c r="R2600" s="345" t="s">
        <v>223</v>
      </c>
      <c r="S2600" s="345" t="s">
        <v>224</v>
      </c>
    </row>
    <row r="2601" spans="1:19" x14ac:dyDescent="0.25">
      <c r="A2601" s="311"/>
      <c r="B2601" s="312"/>
      <c r="C2601" s="312"/>
      <c r="D2601" s="312"/>
      <c r="E2601" s="312"/>
      <c r="F2601" s="312"/>
      <c r="G2601" s="328"/>
      <c r="H2601" s="337"/>
      <c r="I2601" s="334"/>
      <c r="J2601" s="314"/>
      <c r="K2601" s="449"/>
      <c r="M2601" s="349" t="str">
        <f>N2601&amp;AS[[#This Row],[Insurer Code]]&amp;"; "&amp;O2601&amp;AS[[#This Row],[Reporting Year]]&amp;"; "&amp;P2601&amp;AS[[#This Row],[Insurance Category Code]]&amp;"; "&amp;Q2601&amp;AS[[#This Row],[Large Provider Entity Code]]&amp;"; "&amp;R2601&amp;AS[[#This Row],[Age Band Code]]&amp;"; "&amp;S2601&amp;AS[[#This Row],[Sex Code]]</f>
        <v xml:space="preserve">Insurer Code ; Reporting Year ; Insurance Category Code ; Large Provider Entity Code ; Age Band Code ; Sex Code </v>
      </c>
      <c r="N2601" s="345" t="s">
        <v>207</v>
      </c>
      <c r="O2601" s="345" t="s">
        <v>208</v>
      </c>
      <c r="P2601" s="345" t="s">
        <v>209</v>
      </c>
      <c r="Q2601" s="345" t="s">
        <v>210</v>
      </c>
      <c r="R2601" s="345" t="s">
        <v>223</v>
      </c>
      <c r="S2601" s="345" t="s">
        <v>224</v>
      </c>
    </row>
    <row r="2602" spans="1:19" x14ac:dyDescent="0.25">
      <c r="A2602" s="311"/>
      <c r="B2602" s="312"/>
      <c r="C2602" s="312"/>
      <c r="D2602" s="312"/>
      <c r="E2602" s="312"/>
      <c r="F2602" s="312"/>
      <c r="G2602" s="328"/>
      <c r="H2602" s="337"/>
      <c r="I2602" s="334"/>
      <c r="J2602" s="314"/>
      <c r="K2602" s="449"/>
      <c r="M2602" s="349" t="str">
        <f>N2602&amp;AS[[#This Row],[Insurer Code]]&amp;"; "&amp;O2602&amp;AS[[#This Row],[Reporting Year]]&amp;"; "&amp;P2602&amp;AS[[#This Row],[Insurance Category Code]]&amp;"; "&amp;Q2602&amp;AS[[#This Row],[Large Provider Entity Code]]&amp;"; "&amp;R2602&amp;AS[[#This Row],[Age Band Code]]&amp;"; "&amp;S2602&amp;AS[[#This Row],[Sex Code]]</f>
        <v xml:space="preserve">Insurer Code ; Reporting Year ; Insurance Category Code ; Large Provider Entity Code ; Age Band Code ; Sex Code </v>
      </c>
      <c r="N2602" s="345" t="s">
        <v>207</v>
      </c>
      <c r="O2602" s="345" t="s">
        <v>208</v>
      </c>
      <c r="P2602" s="345" t="s">
        <v>209</v>
      </c>
      <c r="Q2602" s="345" t="s">
        <v>210</v>
      </c>
      <c r="R2602" s="345" t="s">
        <v>223</v>
      </c>
      <c r="S2602" s="345" t="s">
        <v>224</v>
      </c>
    </row>
    <row r="2603" spans="1:19" x14ac:dyDescent="0.25">
      <c r="A2603" s="311"/>
      <c r="B2603" s="312"/>
      <c r="C2603" s="312"/>
      <c r="D2603" s="312"/>
      <c r="E2603" s="312"/>
      <c r="F2603" s="312"/>
      <c r="G2603" s="328"/>
      <c r="H2603" s="337"/>
      <c r="I2603" s="334"/>
      <c r="J2603" s="314"/>
      <c r="K2603" s="449"/>
      <c r="M2603" s="349" t="str">
        <f>N2603&amp;AS[[#This Row],[Insurer Code]]&amp;"; "&amp;O2603&amp;AS[[#This Row],[Reporting Year]]&amp;"; "&amp;P2603&amp;AS[[#This Row],[Insurance Category Code]]&amp;"; "&amp;Q2603&amp;AS[[#This Row],[Large Provider Entity Code]]&amp;"; "&amp;R2603&amp;AS[[#This Row],[Age Band Code]]&amp;"; "&amp;S2603&amp;AS[[#This Row],[Sex Code]]</f>
        <v xml:space="preserve">Insurer Code ; Reporting Year ; Insurance Category Code ; Large Provider Entity Code ; Age Band Code ; Sex Code </v>
      </c>
      <c r="N2603" s="345" t="s">
        <v>207</v>
      </c>
      <c r="O2603" s="345" t="s">
        <v>208</v>
      </c>
      <c r="P2603" s="345" t="s">
        <v>209</v>
      </c>
      <c r="Q2603" s="345" t="s">
        <v>210</v>
      </c>
      <c r="R2603" s="345" t="s">
        <v>223</v>
      </c>
      <c r="S2603" s="345" t="s">
        <v>224</v>
      </c>
    </row>
    <row r="2604" spans="1:19" x14ac:dyDescent="0.25">
      <c r="A2604" s="311"/>
      <c r="B2604" s="312"/>
      <c r="C2604" s="312"/>
      <c r="D2604" s="312"/>
      <c r="E2604" s="312"/>
      <c r="F2604" s="312"/>
      <c r="G2604" s="328"/>
      <c r="H2604" s="337"/>
      <c r="I2604" s="334"/>
      <c r="J2604" s="314"/>
      <c r="K2604" s="449"/>
      <c r="M2604" s="349" t="str">
        <f>N2604&amp;AS[[#This Row],[Insurer Code]]&amp;"; "&amp;O2604&amp;AS[[#This Row],[Reporting Year]]&amp;"; "&amp;P2604&amp;AS[[#This Row],[Insurance Category Code]]&amp;"; "&amp;Q2604&amp;AS[[#This Row],[Large Provider Entity Code]]&amp;"; "&amp;R2604&amp;AS[[#This Row],[Age Band Code]]&amp;"; "&amp;S2604&amp;AS[[#This Row],[Sex Code]]</f>
        <v xml:space="preserve">Insurer Code ; Reporting Year ; Insurance Category Code ; Large Provider Entity Code ; Age Band Code ; Sex Code </v>
      </c>
      <c r="N2604" s="345" t="s">
        <v>207</v>
      </c>
      <c r="O2604" s="345" t="s">
        <v>208</v>
      </c>
      <c r="P2604" s="345" t="s">
        <v>209</v>
      </c>
      <c r="Q2604" s="345" t="s">
        <v>210</v>
      </c>
      <c r="R2604" s="345" t="s">
        <v>223</v>
      </c>
      <c r="S2604" s="345" t="s">
        <v>224</v>
      </c>
    </row>
    <row r="2605" spans="1:19" x14ac:dyDescent="0.25">
      <c r="A2605" s="311"/>
      <c r="B2605" s="312"/>
      <c r="C2605" s="312"/>
      <c r="D2605" s="312"/>
      <c r="E2605" s="312"/>
      <c r="F2605" s="312"/>
      <c r="G2605" s="328"/>
      <c r="H2605" s="337"/>
      <c r="I2605" s="334"/>
      <c r="J2605" s="314"/>
      <c r="K2605" s="449"/>
      <c r="M2605" s="349" t="str">
        <f>N2605&amp;AS[[#This Row],[Insurer Code]]&amp;"; "&amp;O2605&amp;AS[[#This Row],[Reporting Year]]&amp;"; "&amp;P2605&amp;AS[[#This Row],[Insurance Category Code]]&amp;"; "&amp;Q2605&amp;AS[[#This Row],[Large Provider Entity Code]]&amp;"; "&amp;R2605&amp;AS[[#This Row],[Age Band Code]]&amp;"; "&amp;S2605&amp;AS[[#This Row],[Sex Code]]</f>
        <v xml:space="preserve">Insurer Code ; Reporting Year ; Insurance Category Code ; Large Provider Entity Code ; Age Band Code ; Sex Code </v>
      </c>
      <c r="N2605" s="345" t="s">
        <v>207</v>
      </c>
      <c r="O2605" s="345" t="s">
        <v>208</v>
      </c>
      <c r="P2605" s="345" t="s">
        <v>209</v>
      </c>
      <c r="Q2605" s="345" t="s">
        <v>210</v>
      </c>
      <c r="R2605" s="345" t="s">
        <v>223</v>
      </c>
      <c r="S2605" s="345" t="s">
        <v>224</v>
      </c>
    </row>
    <row r="2606" spans="1:19" x14ac:dyDescent="0.25">
      <c r="A2606" s="311"/>
      <c r="B2606" s="312"/>
      <c r="C2606" s="312"/>
      <c r="D2606" s="312"/>
      <c r="E2606" s="312"/>
      <c r="F2606" s="312"/>
      <c r="G2606" s="328"/>
      <c r="H2606" s="337"/>
      <c r="I2606" s="334"/>
      <c r="J2606" s="314"/>
      <c r="K2606" s="449"/>
      <c r="M2606" s="349" t="str">
        <f>N2606&amp;AS[[#This Row],[Insurer Code]]&amp;"; "&amp;O2606&amp;AS[[#This Row],[Reporting Year]]&amp;"; "&amp;P2606&amp;AS[[#This Row],[Insurance Category Code]]&amp;"; "&amp;Q2606&amp;AS[[#This Row],[Large Provider Entity Code]]&amp;"; "&amp;R2606&amp;AS[[#This Row],[Age Band Code]]&amp;"; "&amp;S2606&amp;AS[[#This Row],[Sex Code]]</f>
        <v xml:space="preserve">Insurer Code ; Reporting Year ; Insurance Category Code ; Large Provider Entity Code ; Age Band Code ; Sex Code </v>
      </c>
      <c r="N2606" s="345" t="s">
        <v>207</v>
      </c>
      <c r="O2606" s="345" t="s">
        <v>208</v>
      </c>
      <c r="P2606" s="345" t="s">
        <v>209</v>
      </c>
      <c r="Q2606" s="345" t="s">
        <v>210</v>
      </c>
      <c r="R2606" s="345" t="s">
        <v>223</v>
      </c>
      <c r="S2606" s="345" t="s">
        <v>224</v>
      </c>
    </row>
    <row r="2607" spans="1:19" x14ac:dyDescent="0.25">
      <c r="A2607" s="311"/>
      <c r="B2607" s="312"/>
      <c r="C2607" s="312"/>
      <c r="D2607" s="312"/>
      <c r="E2607" s="312"/>
      <c r="F2607" s="312"/>
      <c r="G2607" s="328"/>
      <c r="H2607" s="337"/>
      <c r="I2607" s="334"/>
      <c r="J2607" s="314"/>
      <c r="K2607" s="449"/>
      <c r="M2607" s="349" t="str">
        <f>N2607&amp;AS[[#This Row],[Insurer Code]]&amp;"; "&amp;O2607&amp;AS[[#This Row],[Reporting Year]]&amp;"; "&amp;P2607&amp;AS[[#This Row],[Insurance Category Code]]&amp;"; "&amp;Q2607&amp;AS[[#This Row],[Large Provider Entity Code]]&amp;"; "&amp;R2607&amp;AS[[#This Row],[Age Band Code]]&amp;"; "&amp;S2607&amp;AS[[#This Row],[Sex Code]]</f>
        <v xml:space="preserve">Insurer Code ; Reporting Year ; Insurance Category Code ; Large Provider Entity Code ; Age Band Code ; Sex Code </v>
      </c>
      <c r="N2607" s="345" t="s">
        <v>207</v>
      </c>
      <c r="O2607" s="345" t="s">
        <v>208</v>
      </c>
      <c r="P2607" s="345" t="s">
        <v>209</v>
      </c>
      <c r="Q2607" s="345" t="s">
        <v>210</v>
      </c>
      <c r="R2607" s="345" t="s">
        <v>223</v>
      </c>
      <c r="S2607" s="345" t="s">
        <v>224</v>
      </c>
    </row>
    <row r="2608" spans="1:19" x14ac:dyDescent="0.25">
      <c r="A2608" s="311"/>
      <c r="B2608" s="312"/>
      <c r="C2608" s="312"/>
      <c r="D2608" s="312"/>
      <c r="E2608" s="312"/>
      <c r="F2608" s="312"/>
      <c r="G2608" s="328"/>
      <c r="H2608" s="337"/>
      <c r="I2608" s="334"/>
      <c r="J2608" s="314"/>
      <c r="K2608" s="449"/>
      <c r="M2608" s="349" t="str">
        <f>N2608&amp;AS[[#This Row],[Insurer Code]]&amp;"; "&amp;O2608&amp;AS[[#This Row],[Reporting Year]]&amp;"; "&amp;P2608&amp;AS[[#This Row],[Insurance Category Code]]&amp;"; "&amp;Q2608&amp;AS[[#This Row],[Large Provider Entity Code]]&amp;"; "&amp;R2608&amp;AS[[#This Row],[Age Band Code]]&amp;"; "&amp;S2608&amp;AS[[#This Row],[Sex Code]]</f>
        <v xml:space="preserve">Insurer Code ; Reporting Year ; Insurance Category Code ; Large Provider Entity Code ; Age Band Code ; Sex Code </v>
      </c>
      <c r="N2608" s="345" t="s">
        <v>207</v>
      </c>
      <c r="O2608" s="345" t="s">
        <v>208</v>
      </c>
      <c r="P2608" s="345" t="s">
        <v>209</v>
      </c>
      <c r="Q2608" s="345" t="s">
        <v>210</v>
      </c>
      <c r="R2608" s="345" t="s">
        <v>223</v>
      </c>
      <c r="S2608" s="345" t="s">
        <v>224</v>
      </c>
    </row>
    <row r="2609" spans="1:19" x14ac:dyDescent="0.25">
      <c r="A2609" s="311"/>
      <c r="B2609" s="312"/>
      <c r="C2609" s="312"/>
      <c r="D2609" s="312"/>
      <c r="E2609" s="312"/>
      <c r="F2609" s="312"/>
      <c r="G2609" s="328"/>
      <c r="H2609" s="337"/>
      <c r="I2609" s="334"/>
      <c r="J2609" s="314"/>
      <c r="K2609" s="449"/>
      <c r="M2609" s="349" t="str">
        <f>N2609&amp;AS[[#This Row],[Insurer Code]]&amp;"; "&amp;O2609&amp;AS[[#This Row],[Reporting Year]]&amp;"; "&amp;P2609&amp;AS[[#This Row],[Insurance Category Code]]&amp;"; "&amp;Q2609&amp;AS[[#This Row],[Large Provider Entity Code]]&amp;"; "&amp;R2609&amp;AS[[#This Row],[Age Band Code]]&amp;"; "&amp;S2609&amp;AS[[#This Row],[Sex Code]]</f>
        <v xml:space="preserve">Insurer Code ; Reporting Year ; Insurance Category Code ; Large Provider Entity Code ; Age Band Code ; Sex Code </v>
      </c>
      <c r="N2609" s="345" t="s">
        <v>207</v>
      </c>
      <c r="O2609" s="345" t="s">
        <v>208</v>
      </c>
      <c r="P2609" s="345" t="s">
        <v>209</v>
      </c>
      <c r="Q2609" s="345" t="s">
        <v>210</v>
      </c>
      <c r="R2609" s="345" t="s">
        <v>223</v>
      </c>
      <c r="S2609" s="345" t="s">
        <v>224</v>
      </c>
    </row>
    <row r="2610" spans="1:19" x14ac:dyDescent="0.25">
      <c r="A2610" s="311"/>
      <c r="B2610" s="312"/>
      <c r="C2610" s="312"/>
      <c r="D2610" s="312"/>
      <c r="E2610" s="312"/>
      <c r="F2610" s="312"/>
      <c r="G2610" s="328"/>
      <c r="H2610" s="337"/>
      <c r="I2610" s="334"/>
      <c r="J2610" s="314"/>
      <c r="K2610" s="449"/>
      <c r="M2610" s="349" t="str">
        <f>N2610&amp;AS[[#This Row],[Insurer Code]]&amp;"; "&amp;O2610&amp;AS[[#This Row],[Reporting Year]]&amp;"; "&amp;P2610&amp;AS[[#This Row],[Insurance Category Code]]&amp;"; "&amp;Q2610&amp;AS[[#This Row],[Large Provider Entity Code]]&amp;"; "&amp;R2610&amp;AS[[#This Row],[Age Band Code]]&amp;"; "&amp;S2610&amp;AS[[#This Row],[Sex Code]]</f>
        <v xml:space="preserve">Insurer Code ; Reporting Year ; Insurance Category Code ; Large Provider Entity Code ; Age Band Code ; Sex Code </v>
      </c>
      <c r="N2610" s="345" t="s">
        <v>207</v>
      </c>
      <c r="O2610" s="345" t="s">
        <v>208</v>
      </c>
      <c r="P2610" s="345" t="s">
        <v>209</v>
      </c>
      <c r="Q2610" s="345" t="s">
        <v>210</v>
      </c>
      <c r="R2610" s="345" t="s">
        <v>223</v>
      </c>
      <c r="S2610" s="345" t="s">
        <v>224</v>
      </c>
    </row>
    <row r="2611" spans="1:19" x14ac:dyDescent="0.25">
      <c r="A2611" s="311"/>
      <c r="B2611" s="312"/>
      <c r="C2611" s="312"/>
      <c r="D2611" s="312"/>
      <c r="E2611" s="312"/>
      <c r="F2611" s="312"/>
      <c r="G2611" s="328"/>
      <c r="H2611" s="337"/>
      <c r="I2611" s="334"/>
      <c r="J2611" s="314"/>
      <c r="K2611" s="449"/>
      <c r="M2611" s="349" t="str">
        <f>N2611&amp;AS[[#This Row],[Insurer Code]]&amp;"; "&amp;O2611&amp;AS[[#This Row],[Reporting Year]]&amp;"; "&amp;P2611&amp;AS[[#This Row],[Insurance Category Code]]&amp;"; "&amp;Q2611&amp;AS[[#This Row],[Large Provider Entity Code]]&amp;"; "&amp;R2611&amp;AS[[#This Row],[Age Band Code]]&amp;"; "&amp;S2611&amp;AS[[#This Row],[Sex Code]]</f>
        <v xml:space="preserve">Insurer Code ; Reporting Year ; Insurance Category Code ; Large Provider Entity Code ; Age Band Code ; Sex Code </v>
      </c>
      <c r="N2611" s="345" t="s">
        <v>207</v>
      </c>
      <c r="O2611" s="345" t="s">
        <v>208</v>
      </c>
      <c r="P2611" s="345" t="s">
        <v>209</v>
      </c>
      <c r="Q2611" s="345" t="s">
        <v>210</v>
      </c>
      <c r="R2611" s="345" t="s">
        <v>223</v>
      </c>
      <c r="S2611" s="345" t="s">
        <v>224</v>
      </c>
    </row>
    <row r="2612" spans="1:19" x14ac:dyDescent="0.25">
      <c r="A2612" s="311"/>
      <c r="B2612" s="312"/>
      <c r="C2612" s="312"/>
      <c r="D2612" s="312"/>
      <c r="E2612" s="312"/>
      <c r="F2612" s="312"/>
      <c r="G2612" s="328"/>
      <c r="H2612" s="337"/>
      <c r="I2612" s="334"/>
      <c r="J2612" s="314"/>
      <c r="K2612" s="449"/>
      <c r="M2612" s="349" t="str">
        <f>N2612&amp;AS[[#This Row],[Insurer Code]]&amp;"; "&amp;O2612&amp;AS[[#This Row],[Reporting Year]]&amp;"; "&amp;P2612&amp;AS[[#This Row],[Insurance Category Code]]&amp;"; "&amp;Q2612&amp;AS[[#This Row],[Large Provider Entity Code]]&amp;"; "&amp;R2612&amp;AS[[#This Row],[Age Band Code]]&amp;"; "&amp;S2612&amp;AS[[#This Row],[Sex Code]]</f>
        <v xml:space="preserve">Insurer Code ; Reporting Year ; Insurance Category Code ; Large Provider Entity Code ; Age Band Code ; Sex Code </v>
      </c>
      <c r="N2612" s="345" t="s">
        <v>207</v>
      </c>
      <c r="O2612" s="345" t="s">
        <v>208</v>
      </c>
      <c r="P2612" s="345" t="s">
        <v>209</v>
      </c>
      <c r="Q2612" s="345" t="s">
        <v>210</v>
      </c>
      <c r="R2612" s="345" t="s">
        <v>223</v>
      </c>
      <c r="S2612" s="345" t="s">
        <v>224</v>
      </c>
    </row>
    <row r="2613" spans="1:19" x14ac:dyDescent="0.25">
      <c r="A2613" s="311"/>
      <c r="B2613" s="312"/>
      <c r="C2613" s="312"/>
      <c r="D2613" s="312"/>
      <c r="E2613" s="312"/>
      <c r="F2613" s="312"/>
      <c r="G2613" s="328"/>
      <c r="H2613" s="337"/>
      <c r="I2613" s="334"/>
      <c r="J2613" s="314"/>
      <c r="K2613" s="449"/>
      <c r="M2613" s="349" t="str">
        <f>N2613&amp;AS[[#This Row],[Insurer Code]]&amp;"; "&amp;O2613&amp;AS[[#This Row],[Reporting Year]]&amp;"; "&amp;P2613&amp;AS[[#This Row],[Insurance Category Code]]&amp;"; "&amp;Q2613&amp;AS[[#This Row],[Large Provider Entity Code]]&amp;"; "&amp;R2613&amp;AS[[#This Row],[Age Band Code]]&amp;"; "&amp;S2613&amp;AS[[#This Row],[Sex Code]]</f>
        <v xml:space="preserve">Insurer Code ; Reporting Year ; Insurance Category Code ; Large Provider Entity Code ; Age Band Code ; Sex Code </v>
      </c>
      <c r="N2613" s="345" t="s">
        <v>207</v>
      </c>
      <c r="O2613" s="345" t="s">
        <v>208</v>
      </c>
      <c r="P2613" s="345" t="s">
        <v>209</v>
      </c>
      <c r="Q2613" s="345" t="s">
        <v>210</v>
      </c>
      <c r="R2613" s="345" t="s">
        <v>223</v>
      </c>
      <c r="S2613" s="345" t="s">
        <v>224</v>
      </c>
    </row>
    <row r="2614" spans="1:19" x14ac:dyDescent="0.25">
      <c r="A2614" s="311"/>
      <c r="B2614" s="312"/>
      <c r="C2614" s="312"/>
      <c r="D2614" s="312"/>
      <c r="E2614" s="312"/>
      <c r="F2614" s="312"/>
      <c r="G2614" s="328"/>
      <c r="H2614" s="337"/>
      <c r="I2614" s="334"/>
      <c r="J2614" s="314"/>
      <c r="K2614" s="449"/>
      <c r="M2614" s="349" t="str">
        <f>N2614&amp;AS[[#This Row],[Insurer Code]]&amp;"; "&amp;O2614&amp;AS[[#This Row],[Reporting Year]]&amp;"; "&amp;P2614&amp;AS[[#This Row],[Insurance Category Code]]&amp;"; "&amp;Q2614&amp;AS[[#This Row],[Large Provider Entity Code]]&amp;"; "&amp;R2614&amp;AS[[#This Row],[Age Band Code]]&amp;"; "&amp;S2614&amp;AS[[#This Row],[Sex Code]]</f>
        <v xml:space="preserve">Insurer Code ; Reporting Year ; Insurance Category Code ; Large Provider Entity Code ; Age Band Code ; Sex Code </v>
      </c>
      <c r="N2614" s="345" t="s">
        <v>207</v>
      </c>
      <c r="O2614" s="345" t="s">
        <v>208</v>
      </c>
      <c r="P2614" s="345" t="s">
        <v>209</v>
      </c>
      <c r="Q2614" s="345" t="s">
        <v>210</v>
      </c>
      <c r="R2614" s="345" t="s">
        <v>223</v>
      </c>
      <c r="S2614" s="345" t="s">
        <v>224</v>
      </c>
    </row>
    <row r="2615" spans="1:19" x14ac:dyDescent="0.25">
      <c r="A2615" s="311"/>
      <c r="B2615" s="312"/>
      <c r="C2615" s="312"/>
      <c r="D2615" s="312"/>
      <c r="E2615" s="312"/>
      <c r="F2615" s="312"/>
      <c r="G2615" s="328"/>
      <c r="H2615" s="337"/>
      <c r="I2615" s="334"/>
      <c r="J2615" s="314"/>
      <c r="K2615" s="449"/>
      <c r="M2615" s="349" t="str">
        <f>N2615&amp;AS[[#This Row],[Insurer Code]]&amp;"; "&amp;O2615&amp;AS[[#This Row],[Reporting Year]]&amp;"; "&amp;P2615&amp;AS[[#This Row],[Insurance Category Code]]&amp;"; "&amp;Q2615&amp;AS[[#This Row],[Large Provider Entity Code]]&amp;"; "&amp;R2615&amp;AS[[#This Row],[Age Band Code]]&amp;"; "&amp;S2615&amp;AS[[#This Row],[Sex Code]]</f>
        <v xml:space="preserve">Insurer Code ; Reporting Year ; Insurance Category Code ; Large Provider Entity Code ; Age Band Code ; Sex Code </v>
      </c>
      <c r="N2615" s="345" t="s">
        <v>207</v>
      </c>
      <c r="O2615" s="345" t="s">
        <v>208</v>
      </c>
      <c r="P2615" s="345" t="s">
        <v>209</v>
      </c>
      <c r="Q2615" s="345" t="s">
        <v>210</v>
      </c>
      <c r="R2615" s="345" t="s">
        <v>223</v>
      </c>
      <c r="S2615" s="345" t="s">
        <v>224</v>
      </c>
    </row>
    <row r="2616" spans="1:19" x14ac:dyDescent="0.25">
      <c r="A2616" s="311"/>
      <c r="B2616" s="312"/>
      <c r="C2616" s="312"/>
      <c r="D2616" s="312"/>
      <c r="E2616" s="312"/>
      <c r="F2616" s="312"/>
      <c r="G2616" s="328"/>
      <c r="H2616" s="337"/>
      <c r="I2616" s="334"/>
      <c r="J2616" s="314"/>
      <c r="K2616" s="449"/>
      <c r="M2616" s="349" t="str">
        <f>N2616&amp;AS[[#This Row],[Insurer Code]]&amp;"; "&amp;O2616&amp;AS[[#This Row],[Reporting Year]]&amp;"; "&amp;P2616&amp;AS[[#This Row],[Insurance Category Code]]&amp;"; "&amp;Q2616&amp;AS[[#This Row],[Large Provider Entity Code]]&amp;"; "&amp;R2616&amp;AS[[#This Row],[Age Band Code]]&amp;"; "&amp;S2616&amp;AS[[#This Row],[Sex Code]]</f>
        <v xml:space="preserve">Insurer Code ; Reporting Year ; Insurance Category Code ; Large Provider Entity Code ; Age Band Code ; Sex Code </v>
      </c>
      <c r="N2616" s="345" t="s">
        <v>207</v>
      </c>
      <c r="O2616" s="345" t="s">
        <v>208</v>
      </c>
      <c r="P2616" s="345" t="s">
        <v>209</v>
      </c>
      <c r="Q2616" s="345" t="s">
        <v>210</v>
      </c>
      <c r="R2616" s="345" t="s">
        <v>223</v>
      </c>
      <c r="S2616" s="345" t="s">
        <v>224</v>
      </c>
    </row>
    <row r="2617" spans="1:19" x14ac:dyDescent="0.25">
      <c r="A2617" s="311"/>
      <c r="B2617" s="312"/>
      <c r="C2617" s="312"/>
      <c r="D2617" s="312"/>
      <c r="E2617" s="312"/>
      <c r="F2617" s="312"/>
      <c r="G2617" s="328"/>
      <c r="H2617" s="337"/>
      <c r="I2617" s="334"/>
      <c r="J2617" s="314"/>
      <c r="K2617" s="449"/>
      <c r="M2617" s="349" t="str">
        <f>N2617&amp;AS[[#This Row],[Insurer Code]]&amp;"; "&amp;O2617&amp;AS[[#This Row],[Reporting Year]]&amp;"; "&amp;P2617&amp;AS[[#This Row],[Insurance Category Code]]&amp;"; "&amp;Q2617&amp;AS[[#This Row],[Large Provider Entity Code]]&amp;"; "&amp;R2617&amp;AS[[#This Row],[Age Band Code]]&amp;"; "&amp;S2617&amp;AS[[#This Row],[Sex Code]]</f>
        <v xml:space="preserve">Insurer Code ; Reporting Year ; Insurance Category Code ; Large Provider Entity Code ; Age Band Code ; Sex Code </v>
      </c>
      <c r="N2617" s="345" t="s">
        <v>207</v>
      </c>
      <c r="O2617" s="345" t="s">
        <v>208</v>
      </c>
      <c r="P2617" s="345" t="s">
        <v>209</v>
      </c>
      <c r="Q2617" s="345" t="s">
        <v>210</v>
      </c>
      <c r="R2617" s="345" t="s">
        <v>223</v>
      </c>
      <c r="S2617" s="345" t="s">
        <v>224</v>
      </c>
    </row>
    <row r="2618" spans="1:19" x14ac:dyDescent="0.25">
      <c r="A2618" s="311"/>
      <c r="B2618" s="312"/>
      <c r="C2618" s="312"/>
      <c r="D2618" s="312"/>
      <c r="E2618" s="312"/>
      <c r="F2618" s="312"/>
      <c r="G2618" s="328"/>
      <c r="H2618" s="337"/>
      <c r="I2618" s="334"/>
      <c r="J2618" s="314"/>
      <c r="K2618" s="449"/>
      <c r="M2618" s="349" t="str">
        <f>N2618&amp;AS[[#This Row],[Insurer Code]]&amp;"; "&amp;O2618&amp;AS[[#This Row],[Reporting Year]]&amp;"; "&amp;P2618&amp;AS[[#This Row],[Insurance Category Code]]&amp;"; "&amp;Q2618&amp;AS[[#This Row],[Large Provider Entity Code]]&amp;"; "&amp;R2618&amp;AS[[#This Row],[Age Band Code]]&amp;"; "&amp;S2618&amp;AS[[#This Row],[Sex Code]]</f>
        <v xml:space="preserve">Insurer Code ; Reporting Year ; Insurance Category Code ; Large Provider Entity Code ; Age Band Code ; Sex Code </v>
      </c>
      <c r="N2618" s="345" t="s">
        <v>207</v>
      </c>
      <c r="O2618" s="345" t="s">
        <v>208</v>
      </c>
      <c r="P2618" s="345" t="s">
        <v>209</v>
      </c>
      <c r="Q2618" s="345" t="s">
        <v>210</v>
      </c>
      <c r="R2618" s="345" t="s">
        <v>223</v>
      </c>
      <c r="S2618" s="345" t="s">
        <v>224</v>
      </c>
    </row>
    <row r="2619" spans="1:19" x14ac:dyDescent="0.25">
      <c r="A2619" s="311"/>
      <c r="B2619" s="312"/>
      <c r="C2619" s="312"/>
      <c r="D2619" s="312"/>
      <c r="E2619" s="312"/>
      <c r="F2619" s="312"/>
      <c r="G2619" s="328"/>
      <c r="H2619" s="337"/>
      <c r="I2619" s="334"/>
      <c r="J2619" s="314"/>
      <c r="K2619" s="449"/>
      <c r="M2619" s="349" t="str">
        <f>N2619&amp;AS[[#This Row],[Insurer Code]]&amp;"; "&amp;O2619&amp;AS[[#This Row],[Reporting Year]]&amp;"; "&amp;P2619&amp;AS[[#This Row],[Insurance Category Code]]&amp;"; "&amp;Q2619&amp;AS[[#This Row],[Large Provider Entity Code]]&amp;"; "&amp;R2619&amp;AS[[#This Row],[Age Band Code]]&amp;"; "&amp;S2619&amp;AS[[#This Row],[Sex Code]]</f>
        <v xml:space="preserve">Insurer Code ; Reporting Year ; Insurance Category Code ; Large Provider Entity Code ; Age Band Code ; Sex Code </v>
      </c>
      <c r="N2619" s="345" t="s">
        <v>207</v>
      </c>
      <c r="O2619" s="345" t="s">
        <v>208</v>
      </c>
      <c r="P2619" s="345" t="s">
        <v>209</v>
      </c>
      <c r="Q2619" s="345" t="s">
        <v>210</v>
      </c>
      <c r="R2619" s="345" t="s">
        <v>223</v>
      </c>
      <c r="S2619" s="345" t="s">
        <v>224</v>
      </c>
    </row>
    <row r="2620" spans="1:19" x14ac:dyDescent="0.25">
      <c r="A2620" s="311"/>
      <c r="B2620" s="312"/>
      <c r="C2620" s="312"/>
      <c r="D2620" s="312"/>
      <c r="E2620" s="312"/>
      <c r="F2620" s="312"/>
      <c r="G2620" s="328"/>
      <c r="H2620" s="337"/>
      <c r="I2620" s="334"/>
      <c r="J2620" s="314"/>
      <c r="K2620" s="449"/>
      <c r="M2620" s="349" t="str">
        <f>N2620&amp;AS[[#This Row],[Insurer Code]]&amp;"; "&amp;O2620&amp;AS[[#This Row],[Reporting Year]]&amp;"; "&amp;P2620&amp;AS[[#This Row],[Insurance Category Code]]&amp;"; "&amp;Q2620&amp;AS[[#This Row],[Large Provider Entity Code]]&amp;"; "&amp;R2620&amp;AS[[#This Row],[Age Band Code]]&amp;"; "&amp;S2620&amp;AS[[#This Row],[Sex Code]]</f>
        <v xml:space="preserve">Insurer Code ; Reporting Year ; Insurance Category Code ; Large Provider Entity Code ; Age Band Code ; Sex Code </v>
      </c>
      <c r="N2620" s="345" t="s">
        <v>207</v>
      </c>
      <c r="O2620" s="345" t="s">
        <v>208</v>
      </c>
      <c r="P2620" s="345" t="s">
        <v>209</v>
      </c>
      <c r="Q2620" s="345" t="s">
        <v>210</v>
      </c>
      <c r="R2620" s="345" t="s">
        <v>223</v>
      </c>
      <c r="S2620" s="345" t="s">
        <v>224</v>
      </c>
    </row>
    <row r="2621" spans="1:19" x14ac:dyDescent="0.25">
      <c r="A2621" s="311"/>
      <c r="B2621" s="312"/>
      <c r="C2621" s="312"/>
      <c r="D2621" s="312"/>
      <c r="E2621" s="312"/>
      <c r="F2621" s="312"/>
      <c r="G2621" s="328"/>
      <c r="H2621" s="337"/>
      <c r="I2621" s="334"/>
      <c r="J2621" s="314"/>
      <c r="K2621" s="449"/>
      <c r="M2621" s="349" t="str">
        <f>N2621&amp;AS[[#This Row],[Insurer Code]]&amp;"; "&amp;O2621&amp;AS[[#This Row],[Reporting Year]]&amp;"; "&amp;P2621&amp;AS[[#This Row],[Insurance Category Code]]&amp;"; "&amp;Q2621&amp;AS[[#This Row],[Large Provider Entity Code]]&amp;"; "&amp;R2621&amp;AS[[#This Row],[Age Band Code]]&amp;"; "&amp;S2621&amp;AS[[#This Row],[Sex Code]]</f>
        <v xml:space="preserve">Insurer Code ; Reporting Year ; Insurance Category Code ; Large Provider Entity Code ; Age Band Code ; Sex Code </v>
      </c>
      <c r="N2621" s="345" t="s">
        <v>207</v>
      </c>
      <c r="O2621" s="345" t="s">
        <v>208</v>
      </c>
      <c r="P2621" s="345" t="s">
        <v>209</v>
      </c>
      <c r="Q2621" s="345" t="s">
        <v>210</v>
      </c>
      <c r="R2621" s="345" t="s">
        <v>223</v>
      </c>
      <c r="S2621" s="345" t="s">
        <v>224</v>
      </c>
    </row>
    <row r="2622" spans="1:19" x14ac:dyDescent="0.25">
      <c r="A2622" s="311"/>
      <c r="B2622" s="312"/>
      <c r="C2622" s="312"/>
      <c r="D2622" s="312"/>
      <c r="E2622" s="312"/>
      <c r="F2622" s="312"/>
      <c r="G2622" s="328"/>
      <c r="H2622" s="337"/>
      <c r="I2622" s="334"/>
      <c r="J2622" s="314"/>
      <c r="K2622" s="449"/>
      <c r="M2622" s="349" t="str">
        <f>N2622&amp;AS[[#This Row],[Insurer Code]]&amp;"; "&amp;O2622&amp;AS[[#This Row],[Reporting Year]]&amp;"; "&amp;P2622&amp;AS[[#This Row],[Insurance Category Code]]&amp;"; "&amp;Q2622&amp;AS[[#This Row],[Large Provider Entity Code]]&amp;"; "&amp;R2622&amp;AS[[#This Row],[Age Band Code]]&amp;"; "&amp;S2622&amp;AS[[#This Row],[Sex Code]]</f>
        <v xml:space="preserve">Insurer Code ; Reporting Year ; Insurance Category Code ; Large Provider Entity Code ; Age Band Code ; Sex Code </v>
      </c>
      <c r="N2622" s="345" t="s">
        <v>207</v>
      </c>
      <c r="O2622" s="345" t="s">
        <v>208</v>
      </c>
      <c r="P2622" s="345" t="s">
        <v>209</v>
      </c>
      <c r="Q2622" s="345" t="s">
        <v>210</v>
      </c>
      <c r="R2622" s="345" t="s">
        <v>223</v>
      </c>
      <c r="S2622" s="345" t="s">
        <v>224</v>
      </c>
    </row>
    <row r="2623" spans="1:19" x14ac:dyDescent="0.25">
      <c r="A2623" s="311"/>
      <c r="B2623" s="312"/>
      <c r="C2623" s="312"/>
      <c r="D2623" s="312"/>
      <c r="E2623" s="312"/>
      <c r="F2623" s="312"/>
      <c r="G2623" s="328"/>
      <c r="H2623" s="337"/>
      <c r="I2623" s="334"/>
      <c r="J2623" s="314"/>
      <c r="K2623" s="449"/>
      <c r="M2623" s="349" t="str">
        <f>N2623&amp;AS[[#This Row],[Insurer Code]]&amp;"; "&amp;O2623&amp;AS[[#This Row],[Reporting Year]]&amp;"; "&amp;P2623&amp;AS[[#This Row],[Insurance Category Code]]&amp;"; "&amp;Q2623&amp;AS[[#This Row],[Large Provider Entity Code]]&amp;"; "&amp;R2623&amp;AS[[#This Row],[Age Band Code]]&amp;"; "&amp;S2623&amp;AS[[#This Row],[Sex Code]]</f>
        <v xml:space="preserve">Insurer Code ; Reporting Year ; Insurance Category Code ; Large Provider Entity Code ; Age Band Code ; Sex Code </v>
      </c>
      <c r="N2623" s="345" t="s">
        <v>207</v>
      </c>
      <c r="O2623" s="345" t="s">
        <v>208</v>
      </c>
      <c r="P2623" s="345" t="s">
        <v>209</v>
      </c>
      <c r="Q2623" s="345" t="s">
        <v>210</v>
      </c>
      <c r="R2623" s="345" t="s">
        <v>223</v>
      </c>
      <c r="S2623" s="345" t="s">
        <v>224</v>
      </c>
    </row>
    <row r="2624" spans="1:19" x14ac:dyDescent="0.25">
      <c r="A2624" s="311"/>
      <c r="B2624" s="312"/>
      <c r="C2624" s="312"/>
      <c r="D2624" s="312"/>
      <c r="E2624" s="312"/>
      <c r="F2624" s="312"/>
      <c r="G2624" s="328"/>
      <c r="H2624" s="337"/>
      <c r="I2624" s="334"/>
      <c r="J2624" s="314"/>
      <c r="K2624" s="449"/>
      <c r="M2624" s="349" t="str">
        <f>N2624&amp;AS[[#This Row],[Insurer Code]]&amp;"; "&amp;O2624&amp;AS[[#This Row],[Reporting Year]]&amp;"; "&amp;P2624&amp;AS[[#This Row],[Insurance Category Code]]&amp;"; "&amp;Q2624&amp;AS[[#This Row],[Large Provider Entity Code]]&amp;"; "&amp;R2624&amp;AS[[#This Row],[Age Band Code]]&amp;"; "&amp;S2624&amp;AS[[#This Row],[Sex Code]]</f>
        <v xml:space="preserve">Insurer Code ; Reporting Year ; Insurance Category Code ; Large Provider Entity Code ; Age Band Code ; Sex Code </v>
      </c>
      <c r="N2624" s="345" t="s">
        <v>207</v>
      </c>
      <c r="O2624" s="345" t="s">
        <v>208</v>
      </c>
      <c r="P2624" s="345" t="s">
        <v>209</v>
      </c>
      <c r="Q2624" s="345" t="s">
        <v>210</v>
      </c>
      <c r="R2624" s="345" t="s">
        <v>223</v>
      </c>
      <c r="S2624" s="345" t="s">
        <v>224</v>
      </c>
    </row>
    <row r="2625" spans="1:19" x14ac:dyDescent="0.25">
      <c r="A2625" s="311"/>
      <c r="B2625" s="312"/>
      <c r="C2625" s="312"/>
      <c r="D2625" s="312"/>
      <c r="E2625" s="312"/>
      <c r="F2625" s="312"/>
      <c r="G2625" s="328"/>
      <c r="H2625" s="337"/>
      <c r="I2625" s="334"/>
      <c r="J2625" s="314"/>
      <c r="K2625" s="449"/>
      <c r="M2625" s="349" t="str">
        <f>N2625&amp;AS[[#This Row],[Insurer Code]]&amp;"; "&amp;O2625&amp;AS[[#This Row],[Reporting Year]]&amp;"; "&amp;P2625&amp;AS[[#This Row],[Insurance Category Code]]&amp;"; "&amp;Q2625&amp;AS[[#This Row],[Large Provider Entity Code]]&amp;"; "&amp;R2625&amp;AS[[#This Row],[Age Band Code]]&amp;"; "&amp;S2625&amp;AS[[#This Row],[Sex Code]]</f>
        <v xml:space="preserve">Insurer Code ; Reporting Year ; Insurance Category Code ; Large Provider Entity Code ; Age Band Code ; Sex Code </v>
      </c>
      <c r="N2625" s="345" t="s">
        <v>207</v>
      </c>
      <c r="O2625" s="345" t="s">
        <v>208</v>
      </c>
      <c r="P2625" s="345" t="s">
        <v>209</v>
      </c>
      <c r="Q2625" s="345" t="s">
        <v>210</v>
      </c>
      <c r="R2625" s="345" t="s">
        <v>223</v>
      </c>
      <c r="S2625" s="345" t="s">
        <v>224</v>
      </c>
    </row>
    <row r="2626" spans="1:19" x14ac:dyDescent="0.25">
      <c r="A2626" s="311"/>
      <c r="B2626" s="312"/>
      <c r="C2626" s="312"/>
      <c r="D2626" s="312"/>
      <c r="E2626" s="312"/>
      <c r="F2626" s="312"/>
      <c r="G2626" s="328"/>
      <c r="H2626" s="337"/>
      <c r="I2626" s="334"/>
      <c r="J2626" s="314"/>
      <c r="K2626" s="449"/>
      <c r="M2626" s="349" t="str">
        <f>N2626&amp;AS[[#This Row],[Insurer Code]]&amp;"; "&amp;O2626&amp;AS[[#This Row],[Reporting Year]]&amp;"; "&amp;P2626&amp;AS[[#This Row],[Insurance Category Code]]&amp;"; "&amp;Q2626&amp;AS[[#This Row],[Large Provider Entity Code]]&amp;"; "&amp;R2626&amp;AS[[#This Row],[Age Band Code]]&amp;"; "&amp;S2626&amp;AS[[#This Row],[Sex Code]]</f>
        <v xml:space="preserve">Insurer Code ; Reporting Year ; Insurance Category Code ; Large Provider Entity Code ; Age Band Code ; Sex Code </v>
      </c>
      <c r="N2626" s="345" t="s">
        <v>207</v>
      </c>
      <c r="O2626" s="345" t="s">
        <v>208</v>
      </c>
      <c r="P2626" s="345" t="s">
        <v>209</v>
      </c>
      <c r="Q2626" s="345" t="s">
        <v>210</v>
      </c>
      <c r="R2626" s="345" t="s">
        <v>223</v>
      </c>
      <c r="S2626" s="345" t="s">
        <v>224</v>
      </c>
    </row>
    <row r="2627" spans="1:19" x14ac:dyDescent="0.25">
      <c r="A2627" s="311"/>
      <c r="B2627" s="312"/>
      <c r="C2627" s="312"/>
      <c r="D2627" s="312"/>
      <c r="E2627" s="312"/>
      <c r="F2627" s="312"/>
      <c r="G2627" s="328"/>
      <c r="H2627" s="337"/>
      <c r="I2627" s="334"/>
      <c r="J2627" s="314"/>
      <c r="K2627" s="449"/>
      <c r="M2627" s="349" t="str">
        <f>N2627&amp;AS[[#This Row],[Insurer Code]]&amp;"; "&amp;O2627&amp;AS[[#This Row],[Reporting Year]]&amp;"; "&amp;P2627&amp;AS[[#This Row],[Insurance Category Code]]&amp;"; "&amp;Q2627&amp;AS[[#This Row],[Large Provider Entity Code]]&amp;"; "&amp;R2627&amp;AS[[#This Row],[Age Band Code]]&amp;"; "&amp;S2627&amp;AS[[#This Row],[Sex Code]]</f>
        <v xml:space="preserve">Insurer Code ; Reporting Year ; Insurance Category Code ; Large Provider Entity Code ; Age Band Code ; Sex Code </v>
      </c>
      <c r="N2627" s="345" t="s">
        <v>207</v>
      </c>
      <c r="O2627" s="345" t="s">
        <v>208</v>
      </c>
      <c r="P2627" s="345" t="s">
        <v>209</v>
      </c>
      <c r="Q2627" s="345" t="s">
        <v>210</v>
      </c>
      <c r="R2627" s="345" t="s">
        <v>223</v>
      </c>
      <c r="S2627" s="345" t="s">
        <v>224</v>
      </c>
    </row>
    <row r="2628" spans="1:19" x14ac:dyDescent="0.25">
      <c r="A2628" s="311"/>
      <c r="B2628" s="312"/>
      <c r="C2628" s="312"/>
      <c r="D2628" s="312"/>
      <c r="E2628" s="312"/>
      <c r="F2628" s="312"/>
      <c r="G2628" s="328"/>
      <c r="H2628" s="337"/>
      <c r="I2628" s="334"/>
      <c r="J2628" s="314"/>
      <c r="K2628" s="449"/>
      <c r="M2628" s="349" t="str">
        <f>N2628&amp;AS[[#This Row],[Insurer Code]]&amp;"; "&amp;O2628&amp;AS[[#This Row],[Reporting Year]]&amp;"; "&amp;P2628&amp;AS[[#This Row],[Insurance Category Code]]&amp;"; "&amp;Q2628&amp;AS[[#This Row],[Large Provider Entity Code]]&amp;"; "&amp;R2628&amp;AS[[#This Row],[Age Band Code]]&amp;"; "&amp;S2628&amp;AS[[#This Row],[Sex Code]]</f>
        <v xml:space="preserve">Insurer Code ; Reporting Year ; Insurance Category Code ; Large Provider Entity Code ; Age Band Code ; Sex Code </v>
      </c>
      <c r="N2628" s="345" t="s">
        <v>207</v>
      </c>
      <c r="O2628" s="345" t="s">
        <v>208</v>
      </c>
      <c r="P2628" s="345" t="s">
        <v>209</v>
      </c>
      <c r="Q2628" s="345" t="s">
        <v>210</v>
      </c>
      <c r="R2628" s="345" t="s">
        <v>223</v>
      </c>
      <c r="S2628" s="345" t="s">
        <v>224</v>
      </c>
    </row>
    <row r="2629" spans="1:19" x14ac:dyDescent="0.25">
      <c r="A2629" s="311"/>
      <c r="B2629" s="312"/>
      <c r="C2629" s="312"/>
      <c r="D2629" s="312"/>
      <c r="E2629" s="312"/>
      <c r="F2629" s="312"/>
      <c r="G2629" s="328"/>
      <c r="H2629" s="337"/>
      <c r="I2629" s="334"/>
      <c r="J2629" s="314"/>
      <c r="K2629" s="449"/>
      <c r="M2629" s="349" t="str">
        <f>N2629&amp;AS[[#This Row],[Insurer Code]]&amp;"; "&amp;O2629&amp;AS[[#This Row],[Reporting Year]]&amp;"; "&amp;P2629&amp;AS[[#This Row],[Insurance Category Code]]&amp;"; "&amp;Q2629&amp;AS[[#This Row],[Large Provider Entity Code]]&amp;"; "&amp;R2629&amp;AS[[#This Row],[Age Band Code]]&amp;"; "&amp;S2629&amp;AS[[#This Row],[Sex Code]]</f>
        <v xml:space="preserve">Insurer Code ; Reporting Year ; Insurance Category Code ; Large Provider Entity Code ; Age Band Code ; Sex Code </v>
      </c>
      <c r="N2629" s="345" t="s">
        <v>207</v>
      </c>
      <c r="O2629" s="345" t="s">
        <v>208</v>
      </c>
      <c r="P2629" s="345" t="s">
        <v>209</v>
      </c>
      <c r="Q2629" s="345" t="s">
        <v>210</v>
      </c>
      <c r="R2629" s="345" t="s">
        <v>223</v>
      </c>
      <c r="S2629" s="345" t="s">
        <v>224</v>
      </c>
    </row>
    <row r="2630" spans="1:19" x14ac:dyDescent="0.25">
      <c r="A2630" s="311"/>
      <c r="B2630" s="312"/>
      <c r="C2630" s="312"/>
      <c r="D2630" s="312"/>
      <c r="E2630" s="312"/>
      <c r="F2630" s="312"/>
      <c r="G2630" s="328"/>
      <c r="H2630" s="337"/>
      <c r="I2630" s="334"/>
      <c r="J2630" s="314"/>
      <c r="K2630" s="449"/>
      <c r="M2630" s="349" t="str">
        <f>N2630&amp;AS[[#This Row],[Insurer Code]]&amp;"; "&amp;O2630&amp;AS[[#This Row],[Reporting Year]]&amp;"; "&amp;P2630&amp;AS[[#This Row],[Insurance Category Code]]&amp;"; "&amp;Q2630&amp;AS[[#This Row],[Large Provider Entity Code]]&amp;"; "&amp;R2630&amp;AS[[#This Row],[Age Band Code]]&amp;"; "&amp;S2630&amp;AS[[#This Row],[Sex Code]]</f>
        <v xml:space="preserve">Insurer Code ; Reporting Year ; Insurance Category Code ; Large Provider Entity Code ; Age Band Code ; Sex Code </v>
      </c>
      <c r="N2630" s="345" t="s">
        <v>207</v>
      </c>
      <c r="O2630" s="345" t="s">
        <v>208</v>
      </c>
      <c r="P2630" s="345" t="s">
        <v>209</v>
      </c>
      <c r="Q2630" s="345" t="s">
        <v>210</v>
      </c>
      <c r="R2630" s="345" t="s">
        <v>223</v>
      </c>
      <c r="S2630" s="345" t="s">
        <v>224</v>
      </c>
    </row>
    <row r="2631" spans="1:19" x14ac:dyDescent="0.25">
      <c r="A2631" s="311"/>
      <c r="B2631" s="312"/>
      <c r="C2631" s="312"/>
      <c r="D2631" s="312"/>
      <c r="E2631" s="312"/>
      <c r="F2631" s="312"/>
      <c r="G2631" s="328"/>
      <c r="H2631" s="337"/>
      <c r="I2631" s="334"/>
      <c r="J2631" s="314"/>
      <c r="K2631" s="449"/>
      <c r="M2631" s="349" t="str">
        <f>N2631&amp;AS[[#This Row],[Insurer Code]]&amp;"; "&amp;O2631&amp;AS[[#This Row],[Reporting Year]]&amp;"; "&amp;P2631&amp;AS[[#This Row],[Insurance Category Code]]&amp;"; "&amp;Q2631&amp;AS[[#This Row],[Large Provider Entity Code]]&amp;"; "&amp;R2631&amp;AS[[#This Row],[Age Band Code]]&amp;"; "&amp;S2631&amp;AS[[#This Row],[Sex Code]]</f>
        <v xml:space="preserve">Insurer Code ; Reporting Year ; Insurance Category Code ; Large Provider Entity Code ; Age Band Code ; Sex Code </v>
      </c>
      <c r="N2631" s="345" t="s">
        <v>207</v>
      </c>
      <c r="O2631" s="345" t="s">
        <v>208</v>
      </c>
      <c r="P2631" s="345" t="s">
        <v>209</v>
      </c>
      <c r="Q2631" s="345" t="s">
        <v>210</v>
      </c>
      <c r="R2631" s="345" t="s">
        <v>223</v>
      </c>
      <c r="S2631" s="345" t="s">
        <v>224</v>
      </c>
    </row>
    <row r="2632" spans="1:19" x14ac:dyDescent="0.25">
      <c r="A2632" s="311"/>
      <c r="B2632" s="312"/>
      <c r="C2632" s="312"/>
      <c r="D2632" s="312"/>
      <c r="E2632" s="312"/>
      <c r="F2632" s="312"/>
      <c r="G2632" s="328"/>
      <c r="H2632" s="337"/>
      <c r="I2632" s="334"/>
      <c r="J2632" s="314"/>
      <c r="K2632" s="449"/>
      <c r="M2632" s="349" t="str">
        <f>N2632&amp;AS[[#This Row],[Insurer Code]]&amp;"; "&amp;O2632&amp;AS[[#This Row],[Reporting Year]]&amp;"; "&amp;P2632&amp;AS[[#This Row],[Insurance Category Code]]&amp;"; "&amp;Q2632&amp;AS[[#This Row],[Large Provider Entity Code]]&amp;"; "&amp;R2632&amp;AS[[#This Row],[Age Band Code]]&amp;"; "&amp;S2632&amp;AS[[#This Row],[Sex Code]]</f>
        <v xml:space="preserve">Insurer Code ; Reporting Year ; Insurance Category Code ; Large Provider Entity Code ; Age Band Code ; Sex Code </v>
      </c>
      <c r="N2632" s="345" t="s">
        <v>207</v>
      </c>
      <c r="O2632" s="345" t="s">
        <v>208</v>
      </c>
      <c r="P2632" s="345" t="s">
        <v>209</v>
      </c>
      <c r="Q2632" s="345" t="s">
        <v>210</v>
      </c>
      <c r="R2632" s="345" t="s">
        <v>223</v>
      </c>
      <c r="S2632" s="345" t="s">
        <v>224</v>
      </c>
    </row>
    <row r="2633" spans="1:19" x14ac:dyDescent="0.25">
      <c r="A2633" s="311"/>
      <c r="B2633" s="312"/>
      <c r="C2633" s="312"/>
      <c r="D2633" s="312"/>
      <c r="E2633" s="312"/>
      <c r="F2633" s="312"/>
      <c r="G2633" s="328"/>
      <c r="H2633" s="337"/>
      <c r="I2633" s="334"/>
      <c r="J2633" s="314"/>
      <c r="K2633" s="449"/>
      <c r="M2633" s="349" t="str">
        <f>N2633&amp;AS[[#This Row],[Insurer Code]]&amp;"; "&amp;O2633&amp;AS[[#This Row],[Reporting Year]]&amp;"; "&amp;P2633&amp;AS[[#This Row],[Insurance Category Code]]&amp;"; "&amp;Q2633&amp;AS[[#This Row],[Large Provider Entity Code]]&amp;"; "&amp;R2633&amp;AS[[#This Row],[Age Band Code]]&amp;"; "&amp;S2633&amp;AS[[#This Row],[Sex Code]]</f>
        <v xml:space="preserve">Insurer Code ; Reporting Year ; Insurance Category Code ; Large Provider Entity Code ; Age Band Code ; Sex Code </v>
      </c>
      <c r="N2633" s="345" t="s">
        <v>207</v>
      </c>
      <c r="O2633" s="345" t="s">
        <v>208</v>
      </c>
      <c r="P2633" s="345" t="s">
        <v>209</v>
      </c>
      <c r="Q2633" s="345" t="s">
        <v>210</v>
      </c>
      <c r="R2633" s="345" t="s">
        <v>223</v>
      </c>
      <c r="S2633" s="345" t="s">
        <v>224</v>
      </c>
    </row>
    <row r="2634" spans="1:19" x14ac:dyDescent="0.25">
      <c r="A2634" s="311"/>
      <c r="B2634" s="312"/>
      <c r="C2634" s="312"/>
      <c r="D2634" s="312"/>
      <c r="E2634" s="312"/>
      <c r="F2634" s="312"/>
      <c r="G2634" s="328"/>
      <c r="H2634" s="337"/>
      <c r="I2634" s="334"/>
      <c r="J2634" s="314"/>
      <c r="K2634" s="449"/>
      <c r="M2634" s="349" t="str">
        <f>N2634&amp;AS[[#This Row],[Insurer Code]]&amp;"; "&amp;O2634&amp;AS[[#This Row],[Reporting Year]]&amp;"; "&amp;P2634&amp;AS[[#This Row],[Insurance Category Code]]&amp;"; "&amp;Q2634&amp;AS[[#This Row],[Large Provider Entity Code]]&amp;"; "&amp;R2634&amp;AS[[#This Row],[Age Band Code]]&amp;"; "&amp;S2634&amp;AS[[#This Row],[Sex Code]]</f>
        <v xml:space="preserve">Insurer Code ; Reporting Year ; Insurance Category Code ; Large Provider Entity Code ; Age Band Code ; Sex Code </v>
      </c>
      <c r="N2634" s="345" t="s">
        <v>207</v>
      </c>
      <c r="O2634" s="345" t="s">
        <v>208</v>
      </c>
      <c r="P2634" s="345" t="s">
        <v>209</v>
      </c>
      <c r="Q2634" s="345" t="s">
        <v>210</v>
      </c>
      <c r="R2634" s="345" t="s">
        <v>223</v>
      </c>
      <c r="S2634" s="345" t="s">
        <v>224</v>
      </c>
    </row>
    <row r="2635" spans="1:19" x14ac:dyDescent="0.25">
      <c r="A2635" s="311"/>
      <c r="B2635" s="312"/>
      <c r="C2635" s="312"/>
      <c r="D2635" s="312"/>
      <c r="E2635" s="312"/>
      <c r="F2635" s="312"/>
      <c r="G2635" s="328"/>
      <c r="H2635" s="337"/>
      <c r="I2635" s="334"/>
      <c r="J2635" s="314"/>
      <c r="K2635" s="449"/>
      <c r="M2635" s="349" t="str">
        <f>N2635&amp;AS[[#This Row],[Insurer Code]]&amp;"; "&amp;O2635&amp;AS[[#This Row],[Reporting Year]]&amp;"; "&amp;P2635&amp;AS[[#This Row],[Insurance Category Code]]&amp;"; "&amp;Q2635&amp;AS[[#This Row],[Large Provider Entity Code]]&amp;"; "&amp;R2635&amp;AS[[#This Row],[Age Band Code]]&amp;"; "&amp;S2635&amp;AS[[#This Row],[Sex Code]]</f>
        <v xml:space="preserve">Insurer Code ; Reporting Year ; Insurance Category Code ; Large Provider Entity Code ; Age Band Code ; Sex Code </v>
      </c>
      <c r="N2635" s="345" t="s">
        <v>207</v>
      </c>
      <c r="O2635" s="345" t="s">
        <v>208</v>
      </c>
      <c r="P2635" s="345" t="s">
        <v>209</v>
      </c>
      <c r="Q2635" s="345" t="s">
        <v>210</v>
      </c>
      <c r="R2635" s="345" t="s">
        <v>223</v>
      </c>
      <c r="S2635" s="345" t="s">
        <v>224</v>
      </c>
    </row>
    <row r="2636" spans="1:19" x14ac:dyDescent="0.25">
      <c r="A2636" s="311"/>
      <c r="B2636" s="312"/>
      <c r="C2636" s="312"/>
      <c r="D2636" s="312"/>
      <c r="E2636" s="312"/>
      <c r="F2636" s="312"/>
      <c r="G2636" s="328"/>
      <c r="H2636" s="337"/>
      <c r="I2636" s="334"/>
      <c r="J2636" s="314"/>
      <c r="K2636" s="449"/>
      <c r="M2636" s="349" t="str">
        <f>N2636&amp;AS[[#This Row],[Insurer Code]]&amp;"; "&amp;O2636&amp;AS[[#This Row],[Reporting Year]]&amp;"; "&amp;P2636&amp;AS[[#This Row],[Insurance Category Code]]&amp;"; "&amp;Q2636&amp;AS[[#This Row],[Large Provider Entity Code]]&amp;"; "&amp;R2636&amp;AS[[#This Row],[Age Band Code]]&amp;"; "&amp;S2636&amp;AS[[#This Row],[Sex Code]]</f>
        <v xml:space="preserve">Insurer Code ; Reporting Year ; Insurance Category Code ; Large Provider Entity Code ; Age Band Code ; Sex Code </v>
      </c>
      <c r="N2636" s="345" t="s">
        <v>207</v>
      </c>
      <c r="O2636" s="345" t="s">
        <v>208</v>
      </c>
      <c r="P2636" s="345" t="s">
        <v>209</v>
      </c>
      <c r="Q2636" s="345" t="s">
        <v>210</v>
      </c>
      <c r="R2636" s="345" t="s">
        <v>223</v>
      </c>
      <c r="S2636" s="345" t="s">
        <v>224</v>
      </c>
    </row>
    <row r="2637" spans="1:19" x14ac:dyDescent="0.25">
      <c r="A2637" s="311"/>
      <c r="B2637" s="312"/>
      <c r="C2637" s="312"/>
      <c r="D2637" s="312"/>
      <c r="E2637" s="312"/>
      <c r="F2637" s="312"/>
      <c r="G2637" s="328"/>
      <c r="H2637" s="337"/>
      <c r="I2637" s="334"/>
      <c r="J2637" s="314"/>
      <c r="K2637" s="449"/>
      <c r="M2637" s="349" t="str">
        <f>N2637&amp;AS[[#This Row],[Insurer Code]]&amp;"; "&amp;O2637&amp;AS[[#This Row],[Reporting Year]]&amp;"; "&amp;P2637&amp;AS[[#This Row],[Insurance Category Code]]&amp;"; "&amp;Q2637&amp;AS[[#This Row],[Large Provider Entity Code]]&amp;"; "&amp;R2637&amp;AS[[#This Row],[Age Band Code]]&amp;"; "&amp;S2637&amp;AS[[#This Row],[Sex Code]]</f>
        <v xml:space="preserve">Insurer Code ; Reporting Year ; Insurance Category Code ; Large Provider Entity Code ; Age Band Code ; Sex Code </v>
      </c>
      <c r="N2637" s="345" t="s">
        <v>207</v>
      </c>
      <c r="O2637" s="345" t="s">
        <v>208</v>
      </c>
      <c r="P2637" s="345" t="s">
        <v>209</v>
      </c>
      <c r="Q2637" s="345" t="s">
        <v>210</v>
      </c>
      <c r="R2637" s="345" t="s">
        <v>223</v>
      </c>
      <c r="S2637" s="345" t="s">
        <v>224</v>
      </c>
    </row>
    <row r="2638" spans="1:19" x14ac:dyDescent="0.25">
      <c r="A2638" s="311"/>
      <c r="B2638" s="312"/>
      <c r="C2638" s="312"/>
      <c r="D2638" s="312"/>
      <c r="E2638" s="312"/>
      <c r="F2638" s="312"/>
      <c r="G2638" s="328"/>
      <c r="H2638" s="337"/>
      <c r="I2638" s="334"/>
      <c r="J2638" s="314"/>
      <c r="K2638" s="449"/>
      <c r="M2638" s="349" t="str">
        <f>N2638&amp;AS[[#This Row],[Insurer Code]]&amp;"; "&amp;O2638&amp;AS[[#This Row],[Reporting Year]]&amp;"; "&amp;P2638&amp;AS[[#This Row],[Insurance Category Code]]&amp;"; "&amp;Q2638&amp;AS[[#This Row],[Large Provider Entity Code]]&amp;"; "&amp;R2638&amp;AS[[#This Row],[Age Band Code]]&amp;"; "&amp;S2638&amp;AS[[#This Row],[Sex Code]]</f>
        <v xml:space="preserve">Insurer Code ; Reporting Year ; Insurance Category Code ; Large Provider Entity Code ; Age Band Code ; Sex Code </v>
      </c>
      <c r="N2638" s="345" t="s">
        <v>207</v>
      </c>
      <c r="O2638" s="345" t="s">
        <v>208</v>
      </c>
      <c r="P2638" s="345" t="s">
        <v>209</v>
      </c>
      <c r="Q2638" s="345" t="s">
        <v>210</v>
      </c>
      <c r="R2638" s="345" t="s">
        <v>223</v>
      </c>
      <c r="S2638" s="345" t="s">
        <v>224</v>
      </c>
    </row>
    <row r="2639" spans="1:19" x14ac:dyDescent="0.25">
      <c r="A2639" s="311"/>
      <c r="B2639" s="312"/>
      <c r="C2639" s="312"/>
      <c r="D2639" s="312"/>
      <c r="E2639" s="312"/>
      <c r="F2639" s="312"/>
      <c r="G2639" s="328"/>
      <c r="H2639" s="337"/>
      <c r="I2639" s="334"/>
      <c r="J2639" s="314"/>
      <c r="K2639" s="449"/>
      <c r="M2639" s="349" t="str">
        <f>N2639&amp;AS[[#This Row],[Insurer Code]]&amp;"; "&amp;O2639&amp;AS[[#This Row],[Reporting Year]]&amp;"; "&amp;P2639&amp;AS[[#This Row],[Insurance Category Code]]&amp;"; "&amp;Q2639&amp;AS[[#This Row],[Large Provider Entity Code]]&amp;"; "&amp;R2639&amp;AS[[#This Row],[Age Band Code]]&amp;"; "&amp;S2639&amp;AS[[#This Row],[Sex Code]]</f>
        <v xml:space="preserve">Insurer Code ; Reporting Year ; Insurance Category Code ; Large Provider Entity Code ; Age Band Code ; Sex Code </v>
      </c>
      <c r="N2639" s="345" t="s">
        <v>207</v>
      </c>
      <c r="O2639" s="345" t="s">
        <v>208</v>
      </c>
      <c r="P2639" s="345" t="s">
        <v>209</v>
      </c>
      <c r="Q2639" s="345" t="s">
        <v>210</v>
      </c>
      <c r="R2639" s="345" t="s">
        <v>223</v>
      </c>
      <c r="S2639" s="345" t="s">
        <v>224</v>
      </c>
    </row>
    <row r="2640" spans="1:19" x14ac:dyDescent="0.25">
      <c r="A2640" s="311"/>
      <c r="B2640" s="312"/>
      <c r="C2640" s="312"/>
      <c r="D2640" s="312"/>
      <c r="E2640" s="312"/>
      <c r="F2640" s="312"/>
      <c r="G2640" s="328"/>
      <c r="H2640" s="337"/>
      <c r="I2640" s="334"/>
      <c r="J2640" s="314"/>
      <c r="K2640" s="449"/>
      <c r="M2640" s="349" t="str">
        <f>N2640&amp;AS[[#This Row],[Insurer Code]]&amp;"; "&amp;O2640&amp;AS[[#This Row],[Reporting Year]]&amp;"; "&amp;P2640&amp;AS[[#This Row],[Insurance Category Code]]&amp;"; "&amp;Q2640&amp;AS[[#This Row],[Large Provider Entity Code]]&amp;"; "&amp;R2640&amp;AS[[#This Row],[Age Band Code]]&amp;"; "&amp;S2640&amp;AS[[#This Row],[Sex Code]]</f>
        <v xml:space="preserve">Insurer Code ; Reporting Year ; Insurance Category Code ; Large Provider Entity Code ; Age Band Code ; Sex Code </v>
      </c>
      <c r="N2640" s="345" t="s">
        <v>207</v>
      </c>
      <c r="O2640" s="345" t="s">
        <v>208</v>
      </c>
      <c r="P2640" s="345" t="s">
        <v>209</v>
      </c>
      <c r="Q2640" s="345" t="s">
        <v>210</v>
      </c>
      <c r="R2640" s="345" t="s">
        <v>223</v>
      </c>
      <c r="S2640" s="345" t="s">
        <v>224</v>
      </c>
    </row>
    <row r="2641" spans="1:19" x14ac:dyDescent="0.25">
      <c r="A2641" s="311"/>
      <c r="B2641" s="312"/>
      <c r="C2641" s="312"/>
      <c r="D2641" s="312"/>
      <c r="E2641" s="312"/>
      <c r="F2641" s="312"/>
      <c r="G2641" s="328"/>
      <c r="H2641" s="337"/>
      <c r="I2641" s="334"/>
      <c r="J2641" s="314"/>
      <c r="K2641" s="449"/>
      <c r="M2641" s="349" t="str">
        <f>N2641&amp;AS[[#This Row],[Insurer Code]]&amp;"; "&amp;O2641&amp;AS[[#This Row],[Reporting Year]]&amp;"; "&amp;P2641&amp;AS[[#This Row],[Insurance Category Code]]&amp;"; "&amp;Q2641&amp;AS[[#This Row],[Large Provider Entity Code]]&amp;"; "&amp;R2641&amp;AS[[#This Row],[Age Band Code]]&amp;"; "&amp;S2641&amp;AS[[#This Row],[Sex Code]]</f>
        <v xml:space="preserve">Insurer Code ; Reporting Year ; Insurance Category Code ; Large Provider Entity Code ; Age Band Code ; Sex Code </v>
      </c>
      <c r="N2641" s="345" t="s">
        <v>207</v>
      </c>
      <c r="O2641" s="345" t="s">
        <v>208</v>
      </c>
      <c r="P2641" s="345" t="s">
        <v>209</v>
      </c>
      <c r="Q2641" s="345" t="s">
        <v>210</v>
      </c>
      <c r="R2641" s="345" t="s">
        <v>223</v>
      </c>
      <c r="S2641" s="345" t="s">
        <v>224</v>
      </c>
    </row>
    <row r="2642" spans="1:19" x14ac:dyDescent="0.25">
      <c r="A2642" s="311"/>
      <c r="B2642" s="312"/>
      <c r="C2642" s="312"/>
      <c r="D2642" s="312"/>
      <c r="E2642" s="312"/>
      <c r="F2642" s="312"/>
      <c r="G2642" s="328"/>
      <c r="H2642" s="337"/>
      <c r="I2642" s="334"/>
      <c r="J2642" s="314"/>
      <c r="K2642" s="449"/>
      <c r="M2642" s="349" t="str">
        <f>N2642&amp;AS[[#This Row],[Insurer Code]]&amp;"; "&amp;O2642&amp;AS[[#This Row],[Reporting Year]]&amp;"; "&amp;P2642&amp;AS[[#This Row],[Insurance Category Code]]&amp;"; "&amp;Q2642&amp;AS[[#This Row],[Large Provider Entity Code]]&amp;"; "&amp;R2642&amp;AS[[#This Row],[Age Band Code]]&amp;"; "&amp;S2642&amp;AS[[#This Row],[Sex Code]]</f>
        <v xml:space="preserve">Insurer Code ; Reporting Year ; Insurance Category Code ; Large Provider Entity Code ; Age Band Code ; Sex Code </v>
      </c>
      <c r="N2642" s="345" t="s">
        <v>207</v>
      </c>
      <c r="O2642" s="345" t="s">
        <v>208</v>
      </c>
      <c r="P2642" s="345" t="s">
        <v>209</v>
      </c>
      <c r="Q2642" s="345" t="s">
        <v>210</v>
      </c>
      <c r="R2642" s="345" t="s">
        <v>223</v>
      </c>
      <c r="S2642" s="345" t="s">
        <v>224</v>
      </c>
    </row>
    <row r="2643" spans="1:19" x14ac:dyDescent="0.25">
      <c r="A2643" s="311"/>
      <c r="B2643" s="312"/>
      <c r="C2643" s="312"/>
      <c r="D2643" s="312"/>
      <c r="E2643" s="312"/>
      <c r="F2643" s="312"/>
      <c r="G2643" s="328"/>
      <c r="H2643" s="337"/>
      <c r="I2643" s="334"/>
      <c r="J2643" s="314"/>
      <c r="K2643" s="449"/>
      <c r="M2643" s="349" t="str">
        <f>N2643&amp;AS[[#This Row],[Insurer Code]]&amp;"; "&amp;O2643&amp;AS[[#This Row],[Reporting Year]]&amp;"; "&amp;P2643&amp;AS[[#This Row],[Insurance Category Code]]&amp;"; "&amp;Q2643&amp;AS[[#This Row],[Large Provider Entity Code]]&amp;"; "&amp;R2643&amp;AS[[#This Row],[Age Band Code]]&amp;"; "&amp;S2643&amp;AS[[#This Row],[Sex Code]]</f>
        <v xml:space="preserve">Insurer Code ; Reporting Year ; Insurance Category Code ; Large Provider Entity Code ; Age Band Code ; Sex Code </v>
      </c>
      <c r="N2643" s="345" t="s">
        <v>207</v>
      </c>
      <c r="O2643" s="345" t="s">
        <v>208</v>
      </c>
      <c r="P2643" s="345" t="s">
        <v>209</v>
      </c>
      <c r="Q2643" s="345" t="s">
        <v>210</v>
      </c>
      <c r="R2643" s="345" t="s">
        <v>223</v>
      </c>
      <c r="S2643" s="345" t="s">
        <v>224</v>
      </c>
    </row>
    <row r="2644" spans="1:19" x14ac:dyDescent="0.25">
      <c r="A2644" s="311"/>
      <c r="B2644" s="312"/>
      <c r="C2644" s="312"/>
      <c r="D2644" s="312"/>
      <c r="E2644" s="312"/>
      <c r="F2644" s="312"/>
      <c r="G2644" s="328"/>
      <c r="H2644" s="337"/>
      <c r="I2644" s="334"/>
      <c r="J2644" s="314"/>
      <c r="K2644" s="449"/>
      <c r="M2644" s="349" t="str">
        <f>N2644&amp;AS[[#This Row],[Insurer Code]]&amp;"; "&amp;O2644&amp;AS[[#This Row],[Reporting Year]]&amp;"; "&amp;P2644&amp;AS[[#This Row],[Insurance Category Code]]&amp;"; "&amp;Q2644&amp;AS[[#This Row],[Large Provider Entity Code]]&amp;"; "&amp;R2644&amp;AS[[#This Row],[Age Band Code]]&amp;"; "&amp;S2644&amp;AS[[#This Row],[Sex Code]]</f>
        <v xml:space="preserve">Insurer Code ; Reporting Year ; Insurance Category Code ; Large Provider Entity Code ; Age Band Code ; Sex Code </v>
      </c>
      <c r="N2644" s="345" t="s">
        <v>207</v>
      </c>
      <c r="O2644" s="345" t="s">
        <v>208</v>
      </c>
      <c r="P2644" s="345" t="s">
        <v>209</v>
      </c>
      <c r="Q2644" s="345" t="s">
        <v>210</v>
      </c>
      <c r="R2644" s="345" t="s">
        <v>223</v>
      </c>
      <c r="S2644" s="345" t="s">
        <v>224</v>
      </c>
    </row>
    <row r="2645" spans="1:19" x14ac:dyDescent="0.25">
      <c r="A2645" s="311"/>
      <c r="B2645" s="312"/>
      <c r="C2645" s="312"/>
      <c r="D2645" s="312"/>
      <c r="E2645" s="312"/>
      <c r="F2645" s="312"/>
      <c r="G2645" s="328"/>
      <c r="H2645" s="337"/>
      <c r="I2645" s="334"/>
      <c r="J2645" s="314"/>
      <c r="K2645" s="449"/>
      <c r="M2645" s="349" t="str">
        <f>N2645&amp;AS[[#This Row],[Insurer Code]]&amp;"; "&amp;O2645&amp;AS[[#This Row],[Reporting Year]]&amp;"; "&amp;P2645&amp;AS[[#This Row],[Insurance Category Code]]&amp;"; "&amp;Q2645&amp;AS[[#This Row],[Large Provider Entity Code]]&amp;"; "&amp;R2645&amp;AS[[#This Row],[Age Band Code]]&amp;"; "&amp;S2645&amp;AS[[#This Row],[Sex Code]]</f>
        <v xml:space="preserve">Insurer Code ; Reporting Year ; Insurance Category Code ; Large Provider Entity Code ; Age Band Code ; Sex Code </v>
      </c>
      <c r="N2645" s="345" t="s">
        <v>207</v>
      </c>
      <c r="O2645" s="345" t="s">
        <v>208</v>
      </c>
      <c r="P2645" s="345" t="s">
        <v>209</v>
      </c>
      <c r="Q2645" s="345" t="s">
        <v>210</v>
      </c>
      <c r="R2645" s="345" t="s">
        <v>223</v>
      </c>
      <c r="S2645" s="345" t="s">
        <v>224</v>
      </c>
    </row>
    <row r="2646" spans="1:19" x14ac:dyDescent="0.25">
      <c r="A2646" s="311"/>
      <c r="B2646" s="312"/>
      <c r="C2646" s="312"/>
      <c r="D2646" s="312"/>
      <c r="E2646" s="312"/>
      <c r="F2646" s="312"/>
      <c r="G2646" s="328"/>
      <c r="H2646" s="337"/>
      <c r="I2646" s="334"/>
      <c r="J2646" s="314"/>
      <c r="K2646" s="449"/>
      <c r="M2646" s="349" t="str">
        <f>N2646&amp;AS[[#This Row],[Insurer Code]]&amp;"; "&amp;O2646&amp;AS[[#This Row],[Reporting Year]]&amp;"; "&amp;P2646&amp;AS[[#This Row],[Insurance Category Code]]&amp;"; "&amp;Q2646&amp;AS[[#This Row],[Large Provider Entity Code]]&amp;"; "&amp;R2646&amp;AS[[#This Row],[Age Band Code]]&amp;"; "&amp;S2646&amp;AS[[#This Row],[Sex Code]]</f>
        <v xml:space="preserve">Insurer Code ; Reporting Year ; Insurance Category Code ; Large Provider Entity Code ; Age Band Code ; Sex Code </v>
      </c>
      <c r="N2646" s="345" t="s">
        <v>207</v>
      </c>
      <c r="O2646" s="345" t="s">
        <v>208</v>
      </c>
      <c r="P2646" s="345" t="s">
        <v>209</v>
      </c>
      <c r="Q2646" s="345" t="s">
        <v>210</v>
      </c>
      <c r="R2646" s="345" t="s">
        <v>223</v>
      </c>
      <c r="S2646" s="345" t="s">
        <v>224</v>
      </c>
    </row>
    <row r="2647" spans="1:19" x14ac:dyDescent="0.25">
      <c r="A2647" s="311"/>
      <c r="B2647" s="312"/>
      <c r="C2647" s="312"/>
      <c r="D2647" s="312"/>
      <c r="E2647" s="312"/>
      <c r="F2647" s="312"/>
      <c r="G2647" s="328"/>
      <c r="H2647" s="337"/>
      <c r="I2647" s="334"/>
      <c r="J2647" s="314"/>
      <c r="K2647" s="449"/>
      <c r="M2647" s="349" t="str">
        <f>N2647&amp;AS[[#This Row],[Insurer Code]]&amp;"; "&amp;O2647&amp;AS[[#This Row],[Reporting Year]]&amp;"; "&amp;P2647&amp;AS[[#This Row],[Insurance Category Code]]&amp;"; "&amp;Q2647&amp;AS[[#This Row],[Large Provider Entity Code]]&amp;"; "&amp;R2647&amp;AS[[#This Row],[Age Band Code]]&amp;"; "&amp;S2647&amp;AS[[#This Row],[Sex Code]]</f>
        <v xml:space="preserve">Insurer Code ; Reporting Year ; Insurance Category Code ; Large Provider Entity Code ; Age Band Code ; Sex Code </v>
      </c>
      <c r="N2647" s="345" t="s">
        <v>207</v>
      </c>
      <c r="O2647" s="345" t="s">
        <v>208</v>
      </c>
      <c r="P2647" s="345" t="s">
        <v>209</v>
      </c>
      <c r="Q2647" s="345" t="s">
        <v>210</v>
      </c>
      <c r="R2647" s="345" t="s">
        <v>223</v>
      </c>
      <c r="S2647" s="345" t="s">
        <v>224</v>
      </c>
    </row>
    <row r="2648" spans="1:19" x14ac:dyDescent="0.25">
      <c r="A2648" s="311"/>
      <c r="B2648" s="312"/>
      <c r="C2648" s="312"/>
      <c r="D2648" s="312"/>
      <c r="E2648" s="312"/>
      <c r="F2648" s="312"/>
      <c r="G2648" s="328"/>
      <c r="H2648" s="337"/>
      <c r="I2648" s="334"/>
      <c r="J2648" s="314"/>
      <c r="K2648" s="449"/>
      <c r="M2648" s="349" t="str">
        <f>N2648&amp;AS[[#This Row],[Insurer Code]]&amp;"; "&amp;O2648&amp;AS[[#This Row],[Reporting Year]]&amp;"; "&amp;P2648&amp;AS[[#This Row],[Insurance Category Code]]&amp;"; "&amp;Q2648&amp;AS[[#This Row],[Large Provider Entity Code]]&amp;"; "&amp;R2648&amp;AS[[#This Row],[Age Band Code]]&amp;"; "&amp;S2648&amp;AS[[#This Row],[Sex Code]]</f>
        <v xml:space="preserve">Insurer Code ; Reporting Year ; Insurance Category Code ; Large Provider Entity Code ; Age Band Code ; Sex Code </v>
      </c>
      <c r="N2648" s="345" t="s">
        <v>207</v>
      </c>
      <c r="O2648" s="345" t="s">
        <v>208</v>
      </c>
      <c r="P2648" s="345" t="s">
        <v>209</v>
      </c>
      <c r="Q2648" s="345" t="s">
        <v>210</v>
      </c>
      <c r="R2648" s="345" t="s">
        <v>223</v>
      </c>
      <c r="S2648" s="345" t="s">
        <v>224</v>
      </c>
    </row>
    <row r="2649" spans="1:19" x14ac:dyDescent="0.25">
      <c r="A2649" s="311"/>
      <c r="B2649" s="312"/>
      <c r="C2649" s="312"/>
      <c r="D2649" s="312"/>
      <c r="E2649" s="312"/>
      <c r="F2649" s="312"/>
      <c r="G2649" s="328"/>
      <c r="H2649" s="337"/>
      <c r="I2649" s="334"/>
      <c r="J2649" s="314"/>
      <c r="K2649" s="449"/>
      <c r="M2649" s="349" t="str">
        <f>N2649&amp;AS[[#This Row],[Insurer Code]]&amp;"; "&amp;O2649&amp;AS[[#This Row],[Reporting Year]]&amp;"; "&amp;P2649&amp;AS[[#This Row],[Insurance Category Code]]&amp;"; "&amp;Q2649&amp;AS[[#This Row],[Large Provider Entity Code]]&amp;"; "&amp;R2649&amp;AS[[#This Row],[Age Band Code]]&amp;"; "&amp;S2649&amp;AS[[#This Row],[Sex Code]]</f>
        <v xml:space="preserve">Insurer Code ; Reporting Year ; Insurance Category Code ; Large Provider Entity Code ; Age Band Code ; Sex Code </v>
      </c>
      <c r="N2649" s="345" t="s">
        <v>207</v>
      </c>
      <c r="O2649" s="345" t="s">
        <v>208</v>
      </c>
      <c r="P2649" s="345" t="s">
        <v>209</v>
      </c>
      <c r="Q2649" s="345" t="s">
        <v>210</v>
      </c>
      <c r="R2649" s="345" t="s">
        <v>223</v>
      </c>
      <c r="S2649" s="345" t="s">
        <v>224</v>
      </c>
    </row>
    <row r="2650" spans="1:19" x14ac:dyDescent="0.25">
      <c r="A2650" s="311"/>
      <c r="B2650" s="312"/>
      <c r="C2650" s="312"/>
      <c r="D2650" s="312"/>
      <c r="E2650" s="312"/>
      <c r="F2650" s="312"/>
      <c r="G2650" s="328"/>
      <c r="H2650" s="337"/>
      <c r="I2650" s="334"/>
      <c r="J2650" s="314"/>
      <c r="K2650" s="449"/>
      <c r="M2650" s="349" t="str">
        <f>N2650&amp;AS[[#This Row],[Insurer Code]]&amp;"; "&amp;O2650&amp;AS[[#This Row],[Reporting Year]]&amp;"; "&amp;P2650&amp;AS[[#This Row],[Insurance Category Code]]&amp;"; "&amp;Q2650&amp;AS[[#This Row],[Large Provider Entity Code]]&amp;"; "&amp;R2650&amp;AS[[#This Row],[Age Band Code]]&amp;"; "&amp;S2650&amp;AS[[#This Row],[Sex Code]]</f>
        <v xml:space="preserve">Insurer Code ; Reporting Year ; Insurance Category Code ; Large Provider Entity Code ; Age Band Code ; Sex Code </v>
      </c>
      <c r="N2650" s="345" t="s">
        <v>207</v>
      </c>
      <c r="O2650" s="345" t="s">
        <v>208</v>
      </c>
      <c r="P2650" s="345" t="s">
        <v>209</v>
      </c>
      <c r="Q2650" s="345" t="s">
        <v>210</v>
      </c>
      <c r="R2650" s="345" t="s">
        <v>223</v>
      </c>
      <c r="S2650" s="345" t="s">
        <v>224</v>
      </c>
    </row>
    <row r="2651" spans="1:19" x14ac:dyDescent="0.25">
      <c r="A2651" s="311"/>
      <c r="B2651" s="312"/>
      <c r="C2651" s="312"/>
      <c r="D2651" s="312"/>
      <c r="E2651" s="312"/>
      <c r="F2651" s="312"/>
      <c r="G2651" s="328"/>
      <c r="H2651" s="337"/>
      <c r="I2651" s="334"/>
      <c r="J2651" s="314"/>
      <c r="K2651" s="449"/>
      <c r="M2651" s="349" t="str">
        <f>N2651&amp;AS[[#This Row],[Insurer Code]]&amp;"; "&amp;O2651&amp;AS[[#This Row],[Reporting Year]]&amp;"; "&amp;P2651&amp;AS[[#This Row],[Insurance Category Code]]&amp;"; "&amp;Q2651&amp;AS[[#This Row],[Large Provider Entity Code]]&amp;"; "&amp;R2651&amp;AS[[#This Row],[Age Band Code]]&amp;"; "&amp;S2651&amp;AS[[#This Row],[Sex Code]]</f>
        <v xml:space="preserve">Insurer Code ; Reporting Year ; Insurance Category Code ; Large Provider Entity Code ; Age Band Code ; Sex Code </v>
      </c>
      <c r="N2651" s="345" t="s">
        <v>207</v>
      </c>
      <c r="O2651" s="345" t="s">
        <v>208</v>
      </c>
      <c r="P2651" s="345" t="s">
        <v>209</v>
      </c>
      <c r="Q2651" s="345" t="s">
        <v>210</v>
      </c>
      <c r="R2651" s="345" t="s">
        <v>223</v>
      </c>
      <c r="S2651" s="345" t="s">
        <v>224</v>
      </c>
    </row>
    <row r="2652" spans="1:19" x14ac:dyDescent="0.25">
      <c r="A2652" s="311"/>
      <c r="B2652" s="312"/>
      <c r="C2652" s="312"/>
      <c r="D2652" s="312"/>
      <c r="E2652" s="312"/>
      <c r="F2652" s="312"/>
      <c r="G2652" s="328"/>
      <c r="H2652" s="337"/>
      <c r="I2652" s="334"/>
      <c r="J2652" s="314"/>
      <c r="K2652" s="449"/>
      <c r="M2652" s="349" t="str">
        <f>N2652&amp;AS[[#This Row],[Insurer Code]]&amp;"; "&amp;O2652&amp;AS[[#This Row],[Reporting Year]]&amp;"; "&amp;P2652&amp;AS[[#This Row],[Insurance Category Code]]&amp;"; "&amp;Q2652&amp;AS[[#This Row],[Large Provider Entity Code]]&amp;"; "&amp;R2652&amp;AS[[#This Row],[Age Band Code]]&amp;"; "&amp;S2652&amp;AS[[#This Row],[Sex Code]]</f>
        <v xml:space="preserve">Insurer Code ; Reporting Year ; Insurance Category Code ; Large Provider Entity Code ; Age Band Code ; Sex Code </v>
      </c>
      <c r="N2652" s="345" t="s">
        <v>207</v>
      </c>
      <c r="O2652" s="345" t="s">
        <v>208</v>
      </c>
      <c r="P2652" s="345" t="s">
        <v>209</v>
      </c>
      <c r="Q2652" s="345" t="s">
        <v>210</v>
      </c>
      <c r="R2652" s="345" t="s">
        <v>223</v>
      </c>
      <c r="S2652" s="345" t="s">
        <v>224</v>
      </c>
    </row>
    <row r="2653" spans="1:19" x14ac:dyDescent="0.25">
      <c r="A2653" s="311"/>
      <c r="B2653" s="312"/>
      <c r="C2653" s="312"/>
      <c r="D2653" s="312"/>
      <c r="E2653" s="312"/>
      <c r="F2653" s="312"/>
      <c r="G2653" s="328"/>
      <c r="H2653" s="337"/>
      <c r="I2653" s="334"/>
      <c r="J2653" s="314"/>
      <c r="K2653" s="449"/>
      <c r="M2653" s="349" t="str">
        <f>N2653&amp;AS[[#This Row],[Insurer Code]]&amp;"; "&amp;O2653&amp;AS[[#This Row],[Reporting Year]]&amp;"; "&amp;P2653&amp;AS[[#This Row],[Insurance Category Code]]&amp;"; "&amp;Q2653&amp;AS[[#This Row],[Large Provider Entity Code]]&amp;"; "&amp;R2653&amp;AS[[#This Row],[Age Band Code]]&amp;"; "&amp;S2653&amp;AS[[#This Row],[Sex Code]]</f>
        <v xml:space="preserve">Insurer Code ; Reporting Year ; Insurance Category Code ; Large Provider Entity Code ; Age Band Code ; Sex Code </v>
      </c>
      <c r="N2653" s="345" t="s">
        <v>207</v>
      </c>
      <c r="O2653" s="345" t="s">
        <v>208</v>
      </c>
      <c r="P2653" s="345" t="s">
        <v>209</v>
      </c>
      <c r="Q2653" s="345" t="s">
        <v>210</v>
      </c>
      <c r="R2653" s="345" t="s">
        <v>223</v>
      </c>
      <c r="S2653" s="345" t="s">
        <v>224</v>
      </c>
    </row>
    <row r="2654" spans="1:19" x14ac:dyDescent="0.25">
      <c r="A2654" s="311"/>
      <c r="B2654" s="312"/>
      <c r="C2654" s="312"/>
      <c r="D2654" s="312"/>
      <c r="E2654" s="312"/>
      <c r="F2654" s="312"/>
      <c r="G2654" s="328"/>
      <c r="H2654" s="337"/>
      <c r="I2654" s="334"/>
      <c r="J2654" s="314"/>
      <c r="K2654" s="449"/>
      <c r="M2654" s="349" t="str">
        <f>N2654&amp;AS[[#This Row],[Insurer Code]]&amp;"; "&amp;O2654&amp;AS[[#This Row],[Reporting Year]]&amp;"; "&amp;P2654&amp;AS[[#This Row],[Insurance Category Code]]&amp;"; "&amp;Q2654&amp;AS[[#This Row],[Large Provider Entity Code]]&amp;"; "&amp;R2654&amp;AS[[#This Row],[Age Band Code]]&amp;"; "&amp;S2654&amp;AS[[#This Row],[Sex Code]]</f>
        <v xml:space="preserve">Insurer Code ; Reporting Year ; Insurance Category Code ; Large Provider Entity Code ; Age Band Code ; Sex Code </v>
      </c>
      <c r="N2654" s="345" t="s">
        <v>207</v>
      </c>
      <c r="O2654" s="345" t="s">
        <v>208</v>
      </c>
      <c r="P2654" s="345" t="s">
        <v>209</v>
      </c>
      <c r="Q2654" s="345" t="s">
        <v>210</v>
      </c>
      <c r="R2654" s="345" t="s">
        <v>223</v>
      </c>
      <c r="S2654" s="345" t="s">
        <v>224</v>
      </c>
    </row>
    <row r="2655" spans="1:19" x14ac:dyDescent="0.25">
      <c r="A2655" s="311"/>
      <c r="B2655" s="312"/>
      <c r="C2655" s="312"/>
      <c r="D2655" s="312"/>
      <c r="E2655" s="312"/>
      <c r="F2655" s="312"/>
      <c r="G2655" s="328"/>
      <c r="H2655" s="337"/>
      <c r="I2655" s="334"/>
      <c r="J2655" s="314"/>
      <c r="K2655" s="449"/>
      <c r="M2655" s="349" t="str">
        <f>N2655&amp;AS[[#This Row],[Insurer Code]]&amp;"; "&amp;O2655&amp;AS[[#This Row],[Reporting Year]]&amp;"; "&amp;P2655&amp;AS[[#This Row],[Insurance Category Code]]&amp;"; "&amp;Q2655&amp;AS[[#This Row],[Large Provider Entity Code]]&amp;"; "&amp;R2655&amp;AS[[#This Row],[Age Band Code]]&amp;"; "&amp;S2655&amp;AS[[#This Row],[Sex Code]]</f>
        <v xml:space="preserve">Insurer Code ; Reporting Year ; Insurance Category Code ; Large Provider Entity Code ; Age Band Code ; Sex Code </v>
      </c>
      <c r="N2655" s="345" t="s">
        <v>207</v>
      </c>
      <c r="O2655" s="345" t="s">
        <v>208</v>
      </c>
      <c r="P2655" s="345" t="s">
        <v>209</v>
      </c>
      <c r="Q2655" s="345" t="s">
        <v>210</v>
      </c>
      <c r="R2655" s="345" t="s">
        <v>223</v>
      </c>
      <c r="S2655" s="345" t="s">
        <v>224</v>
      </c>
    </row>
    <row r="2656" spans="1:19" x14ac:dyDescent="0.25">
      <c r="A2656" s="311"/>
      <c r="B2656" s="312"/>
      <c r="C2656" s="312"/>
      <c r="D2656" s="312"/>
      <c r="E2656" s="312"/>
      <c r="F2656" s="312"/>
      <c r="G2656" s="328"/>
      <c r="H2656" s="337"/>
      <c r="I2656" s="334"/>
      <c r="J2656" s="314"/>
      <c r="K2656" s="449"/>
      <c r="M2656" s="349" t="str">
        <f>N2656&amp;AS[[#This Row],[Insurer Code]]&amp;"; "&amp;O2656&amp;AS[[#This Row],[Reporting Year]]&amp;"; "&amp;P2656&amp;AS[[#This Row],[Insurance Category Code]]&amp;"; "&amp;Q2656&amp;AS[[#This Row],[Large Provider Entity Code]]&amp;"; "&amp;R2656&amp;AS[[#This Row],[Age Band Code]]&amp;"; "&amp;S2656&amp;AS[[#This Row],[Sex Code]]</f>
        <v xml:space="preserve">Insurer Code ; Reporting Year ; Insurance Category Code ; Large Provider Entity Code ; Age Band Code ; Sex Code </v>
      </c>
      <c r="N2656" s="345" t="s">
        <v>207</v>
      </c>
      <c r="O2656" s="345" t="s">
        <v>208</v>
      </c>
      <c r="P2656" s="345" t="s">
        <v>209</v>
      </c>
      <c r="Q2656" s="345" t="s">
        <v>210</v>
      </c>
      <c r="R2656" s="345" t="s">
        <v>223</v>
      </c>
      <c r="S2656" s="345" t="s">
        <v>224</v>
      </c>
    </row>
    <row r="2657" spans="1:19" x14ac:dyDescent="0.25">
      <c r="A2657" s="311"/>
      <c r="B2657" s="312"/>
      <c r="C2657" s="312"/>
      <c r="D2657" s="312"/>
      <c r="E2657" s="312"/>
      <c r="F2657" s="312"/>
      <c r="G2657" s="328"/>
      <c r="H2657" s="337"/>
      <c r="I2657" s="334"/>
      <c r="J2657" s="314"/>
      <c r="K2657" s="449"/>
      <c r="M2657" s="349" t="str">
        <f>N2657&amp;AS[[#This Row],[Insurer Code]]&amp;"; "&amp;O2657&amp;AS[[#This Row],[Reporting Year]]&amp;"; "&amp;P2657&amp;AS[[#This Row],[Insurance Category Code]]&amp;"; "&amp;Q2657&amp;AS[[#This Row],[Large Provider Entity Code]]&amp;"; "&amp;R2657&amp;AS[[#This Row],[Age Band Code]]&amp;"; "&amp;S2657&amp;AS[[#This Row],[Sex Code]]</f>
        <v xml:space="preserve">Insurer Code ; Reporting Year ; Insurance Category Code ; Large Provider Entity Code ; Age Band Code ; Sex Code </v>
      </c>
      <c r="N2657" s="345" t="s">
        <v>207</v>
      </c>
      <c r="O2657" s="345" t="s">
        <v>208</v>
      </c>
      <c r="P2657" s="345" t="s">
        <v>209</v>
      </c>
      <c r="Q2657" s="345" t="s">
        <v>210</v>
      </c>
      <c r="R2657" s="345" t="s">
        <v>223</v>
      </c>
      <c r="S2657" s="345" t="s">
        <v>224</v>
      </c>
    </row>
    <row r="2658" spans="1:19" x14ac:dyDescent="0.25">
      <c r="A2658" s="311"/>
      <c r="B2658" s="312"/>
      <c r="C2658" s="312"/>
      <c r="D2658" s="312"/>
      <c r="E2658" s="312"/>
      <c r="F2658" s="312"/>
      <c r="G2658" s="328"/>
      <c r="H2658" s="337"/>
      <c r="I2658" s="334"/>
      <c r="J2658" s="314"/>
      <c r="K2658" s="449"/>
      <c r="M2658" s="349" t="str">
        <f>N2658&amp;AS[[#This Row],[Insurer Code]]&amp;"; "&amp;O2658&amp;AS[[#This Row],[Reporting Year]]&amp;"; "&amp;P2658&amp;AS[[#This Row],[Insurance Category Code]]&amp;"; "&amp;Q2658&amp;AS[[#This Row],[Large Provider Entity Code]]&amp;"; "&amp;R2658&amp;AS[[#This Row],[Age Band Code]]&amp;"; "&amp;S2658&amp;AS[[#This Row],[Sex Code]]</f>
        <v xml:space="preserve">Insurer Code ; Reporting Year ; Insurance Category Code ; Large Provider Entity Code ; Age Band Code ; Sex Code </v>
      </c>
      <c r="N2658" s="345" t="s">
        <v>207</v>
      </c>
      <c r="O2658" s="345" t="s">
        <v>208</v>
      </c>
      <c r="P2658" s="345" t="s">
        <v>209</v>
      </c>
      <c r="Q2658" s="345" t="s">
        <v>210</v>
      </c>
      <c r="R2658" s="345" t="s">
        <v>223</v>
      </c>
      <c r="S2658" s="345" t="s">
        <v>224</v>
      </c>
    </row>
    <row r="2659" spans="1:19" x14ac:dyDescent="0.25">
      <c r="A2659" s="311"/>
      <c r="B2659" s="312"/>
      <c r="C2659" s="312"/>
      <c r="D2659" s="312"/>
      <c r="E2659" s="312"/>
      <c r="F2659" s="312"/>
      <c r="G2659" s="328"/>
      <c r="H2659" s="337"/>
      <c r="I2659" s="334"/>
      <c r="J2659" s="314"/>
      <c r="K2659" s="449"/>
      <c r="M2659" s="349" t="str">
        <f>N2659&amp;AS[[#This Row],[Insurer Code]]&amp;"; "&amp;O2659&amp;AS[[#This Row],[Reporting Year]]&amp;"; "&amp;P2659&amp;AS[[#This Row],[Insurance Category Code]]&amp;"; "&amp;Q2659&amp;AS[[#This Row],[Large Provider Entity Code]]&amp;"; "&amp;R2659&amp;AS[[#This Row],[Age Band Code]]&amp;"; "&amp;S2659&amp;AS[[#This Row],[Sex Code]]</f>
        <v xml:space="preserve">Insurer Code ; Reporting Year ; Insurance Category Code ; Large Provider Entity Code ; Age Band Code ; Sex Code </v>
      </c>
      <c r="N2659" s="345" t="s">
        <v>207</v>
      </c>
      <c r="O2659" s="345" t="s">
        <v>208</v>
      </c>
      <c r="P2659" s="345" t="s">
        <v>209</v>
      </c>
      <c r="Q2659" s="345" t="s">
        <v>210</v>
      </c>
      <c r="R2659" s="345" t="s">
        <v>223</v>
      </c>
      <c r="S2659" s="345" t="s">
        <v>224</v>
      </c>
    </row>
    <row r="2660" spans="1:19" x14ac:dyDescent="0.25">
      <c r="A2660" s="311"/>
      <c r="B2660" s="312"/>
      <c r="C2660" s="312"/>
      <c r="D2660" s="312"/>
      <c r="E2660" s="312"/>
      <c r="F2660" s="312"/>
      <c r="G2660" s="328"/>
      <c r="H2660" s="337"/>
      <c r="I2660" s="334"/>
      <c r="J2660" s="314"/>
      <c r="K2660" s="449"/>
      <c r="M2660" s="349" t="str">
        <f>N2660&amp;AS[[#This Row],[Insurer Code]]&amp;"; "&amp;O2660&amp;AS[[#This Row],[Reporting Year]]&amp;"; "&amp;P2660&amp;AS[[#This Row],[Insurance Category Code]]&amp;"; "&amp;Q2660&amp;AS[[#This Row],[Large Provider Entity Code]]&amp;"; "&amp;R2660&amp;AS[[#This Row],[Age Band Code]]&amp;"; "&amp;S2660&amp;AS[[#This Row],[Sex Code]]</f>
        <v xml:space="preserve">Insurer Code ; Reporting Year ; Insurance Category Code ; Large Provider Entity Code ; Age Band Code ; Sex Code </v>
      </c>
      <c r="N2660" s="345" t="s">
        <v>207</v>
      </c>
      <c r="O2660" s="345" t="s">
        <v>208</v>
      </c>
      <c r="P2660" s="345" t="s">
        <v>209</v>
      </c>
      <c r="Q2660" s="345" t="s">
        <v>210</v>
      </c>
      <c r="R2660" s="345" t="s">
        <v>223</v>
      </c>
      <c r="S2660" s="345" t="s">
        <v>224</v>
      </c>
    </row>
    <row r="2661" spans="1:19" x14ac:dyDescent="0.25">
      <c r="A2661" s="311"/>
      <c r="B2661" s="312"/>
      <c r="C2661" s="312"/>
      <c r="D2661" s="312"/>
      <c r="E2661" s="312"/>
      <c r="F2661" s="312"/>
      <c r="G2661" s="328"/>
      <c r="H2661" s="337"/>
      <c r="I2661" s="334"/>
      <c r="J2661" s="314"/>
      <c r="K2661" s="449"/>
      <c r="M2661" s="349" t="str">
        <f>N2661&amp;AS[[#This Row],[Insurer Code]]&amp;"; "&amp;O2661&amp;AS[[#This Row],[Reporting Year]]&amp;"; "&amp;P2661&amp;AS[[#This Row],[Insurance Category Code]]&amp;"; "&amp;Q2661&amp;AS[[#This Row],[Large Provider Entity Code]]&amp;"; "&amp;R2661&amp;AS[[#This Row],[Age Band Code]]&amp;"; "&amp;S2661&amp;AS[[#This Row],[Sex Code]]</f>
        <v xml:space="preserve">Insurer Code ; Reporting Year ; Insurance Category Code ; Large Provider Entity Code ; Age Band Code ; Sex Code </v>
      </c>
      <c r="N2661" s="345" t="s">
        <v>207</v>
      </c>
      <c r="O2661" s="345" t="s">
        <v>208</v>
      </c>
      <c r="P2661" s="345" t="s">
        <v>209</v>
      </c>
      <c r="Q2661" s="345" t="s">
        <v>210</v>
      </c>
      <c r="R2661" s="345" t="s">
        <v>223</v>
      </c>
      <c r="S2661" s="345" t="s">
        <v>224</v>
      </c>
    </row>
    <row r="2662" spans="1:19" x14ac:dyDescent="0.25">
      <c r="A2662" s="311"/>
      <c r="B2662" s="312"/>
      <c r="C2662" s="312"/>
      <c r="D2662" s="312"/>
      <c r="E2662" s="312"/>
      <c r="F2662" s="312"/>
      <c r="G2662" s="328"/>
      <c r="H2662" s="337"/>
      <c r="I2662" s="334"/>
      <c r="J2662" s="314"/>
      <c r="K2662" s="449"/>
      <c r="M2662" s="349" t="str">
        <f>N2662&amp;AS[[#This Row],[Insurer Code]]&amp;"; "&amp;O2662&amp;AS[[#This Row],[Reporting Year]]&amp;"; "&amp;P2662&amp;AS[[#This Row],[Insurance Category Code]]&amp;"; "&amp;Q2662&amp;AS[[#This Row],[Large Provider Entity Code]]&amp;"; "&amp;R2662&amp;AS[[#This Row],[Age Band Code]]&amp;"; "&amp;S2662&amp;AS[[#This Row],[Sex Code]]</f>
        <v xml:space="preserve">Insurer Code ; Reporting Year ; Insurance Category Code ; Large Provider Entity Code ; Age Band Code ; Sex Code </v>
      </c>
      <c r="N2662" s="345" t="s">
        <v>207</v>
      </c>
      <c r="O2662" s="345" t="s">
        <v>208</v>
      </c>
      <c r="P2662" s="345" t="s">
        <v>209</v>
      </c>
      <c r="Q2662" s="345" t="s">
        <v>210</v>
      </c>
      <c r="R2662" s="345" t="s">
        <v>223</v>
      </c>
      <c r="S2662" s="345" t="s">
        <v>224</v>
      </c>
    </row>
    <row r="2663" spans="1:19" x14ac:dyDescent="0.25">
      <c r="A2663" s="311"/>
      <c r="B2663" s="312"/>
      <c r="C2663" s="312"/>
      <c r="D2663" s="312"/>
      <c r="E2663" s="312"/>
      <c r="F2663" s="312"/>
      <c r="G2663" s="328"/>
      <c r="H2663" s="337"/>
      <c r="I2663" s="334"/>
      <c r="J2663" s="314"/>
      <c r="K2663" s="449"/>
      <c r="M2663" s="349" t="str">
        <f>N2663&amp;AS[[#This Row],[Insurer Code]]&amp;"; "&amp;O2663&amp;AS[[#This Row],[Reporting Year]]&amp;"; "&amp;P2663&amp;AS[[#This Row],[Insurance Category Code]]&amp;"; "&amp;Q2663&amp;AS[[#This Row],[Large Provider Entity Code]]&amp;"; "&amp;R2663&amp;AS[[#This Row],[Age Band Code]]&amp;"; "&amp;S2663&amp;AS[[#This Row],[Sex Code]]</f>
        <v xml:space="preserve">Insurer Code ; Reporting Year ; Insurance Category Code ; Large Provider Entity Code ; Age Band Code ; Sex Code </v>
      </c>
      <c r="N2663" s="345" t="s">
        <v>207</v>
      </c>
      <c r="O2663" s="345" t="s">
        <v>208</v>
      </c>
      <c r="P2663" s="345" t="s">
        <v>209</v>
      </c>
      <c r="Q2663" s="345" t="s">
        <v>210</v>
      </c>
      <c r="R2663" s="345" t="s">
        <v>223</v>
      </c>
      <c r="S2663" s="345" t="s">
        <v>224</v>
      </c>
    </row>
    <row r="2664" spans="1:19" x14ac:dyDescent="0.25">
      <c r="A2664" s="311"/>
      <c r="B2664" s="312"/>
      <c r="C2664" s="312"/>
      <c r="D2664" s="312"/>
      <c r="E2664" s="312"/>
      <c r="F2664" s="312"/>
      <c r="G2664" s="328"/>
      <c r="H2664" s="337"/>
      <c r="I2664" s="334"/>
      <c r="J2664" s="314"/>
      <c r="K2664" s="449"/>
      <c r="M2664" s="349" t="str">
        <f>N2664&amp;AS[[#This Row],[Insurer Code]]&amp;"; "&amp;O2664&amp;AS[[#This Row],[Reporting Year]]&amp;"; "&amp;P2664&amp;AS[[#This Row],[Insurance Category Code]]&amp;"; "&amp;Q2664&amp;AS[[#This Row],[Large Provider Entity Code]]&amp;"; "&amp;R2664&amp;AS[[#This Row],[Age Band Code]]&amp;"; "&amp;S2664&amp;AS[[#This Row],[Sex Code]]</f>
        <v xml:space="preserve">Insurer Code ; Reporting Year ; Insurance Category Code ; Large Provider Entity Code ; Age Band Code ; Sex Code </v>
      </c>
      <c r="N2664" s="345" t="s">
        <v>207</v>
      </c>
      <c r="O2664" s="345" t="s">
        <v>208</v>
      </c>
      <c r="P2664" s="345" t="s">
        <v>209</v>
      </c>
      <c r="Q2664" s="345" t="s">
        <v>210</v>
      </c>
      <c r="R2664" s="345" t="s">
        <v>223</v>
      </c>
      <c r="S2664" s="345" t="s">
        <v>224</v>
      </c>
    </row>
    <row r="2665" spans="1:19" x14ac:dyDescent="0.25">
      <c r="A2665" s="311"/>
      <c r="B2665" s="312"/>
      <c r="C2665" s="312"/>
      <c r="D2665" s="312"/>
      <c r="E2665" s="312"/>
      <c r="F2665" s="312"/>
      <c r="G2665" s="328"/>
      <c r="H2665" s="337"/>
      <c r="I2665" s="334"/>
      <c r="J2665" s="314"/>
      <c r="K2665" s="449"/>
      <c r="M2665" s="349" t="str">
        <f>N2665&amp;AS[[#This Row],[Insurer Code]]&amp;"; "&amp;O2665&amp;AS[[#This Row],[Reporting Year]]&amp;"; "&amp;P2665&amp;AS[[#This Row],[Insurance Category Code]]&amp;"; "&amp;Q2665&amp;AS[[#This Row],[Large Provider Entity Code]]&amp;"; "&amp;R2665&amp;AS[[#This Row],[Age Band Code]]&amp;"; "&amp;S2665&amp;AS[[#This Row],[Sex Code]]</f>
        <v xml:space="preserve">Insurer Code ; Reporting Year ; Insurance Category Code ; Large Provider Entity Code ; Age Band Code ; Sex Code </v>
      </c>
      <c r="N2665" s="345" t="s">
        <v>207</v>
      </c>
      <c r="O2665" s="345" t="s">
        <v>208</v>
      </c>
      <c r="P2665" s="345" t="s">
        <v>209</v>
      </c>
      <c r="Q2665" s="345" t="s">
        <v>210</v>
      </c>
      <c r="R2665" s="345" t="s">
        <v>223</v>
      </c>
      <c r="S2665" s="345" t="s">
        <v>224</v>
      </c>
    </row>
    <row r="2666" spans="1:19" x14ac:dyDescent="0.25">
      <c r="A2666" s="311"/>
      <c r="B2666" s="312"/>
      <c r="C2666" s="312"/>
      <c r="D2666" s="312"/>
      <c r="E2666" s="312"/>
      <c r="F2666" s="312"/>
      <c r="G2666" s="328"/>
      <c r="H2666" s="337"/>
      <c r="I2666" s="334"/>
      <c r="J2666" s="314"/>
      <c r="K2666" s="449"/>
      <c r="M2666" s="349" t="str">
        <f>N2666&amp;AS[[#This Row],[Insurer Code]]&amp;"; "&amp;O2666&amp;AS[[#This Row],[Reporting Year]]&amp;"; "&amp;P2666&amp;AS[[#This Row],[Insurance Category Code]]&amp;"; "&amp;Q2666&amp;AS[[#This Row],[Large Provider Entity Code]]&amp;"; "&amp;R2666&amp;AS[[#This Row],[Age Band Code]]&amp;"; "&amp;S2666&amp;AS[[#This Row],[Sex Code]]</f>
        <v xml:space="preserve">Insurer Code ; Reporting Year ; Insurance Category Code ; Large Provider Entity Code ; Age Band Code ; Sex Code </v>
      </c>
      <c r="N2666" s="345" t="s">
        <v>207</v>
      </c>
      <c r="O2666" s="345" t="s">
        <v>208</v>
      </c>
      <c r="P2666" s="345" t="s">
        <v>209</v>
      </c>
      <c r="Q2666" s="345" t="s">
        <v>210</v>
      </c>
      <c r="R2666" s="345" t="s">
        <v>223</v>
      </c>
      <c r="S2666" s="345" t="s">
        <v>224</v>
      </c>
    </row>
    <row r="2667" spans="1:19" x14ac:dyDescent="0.25">
      <c r="A2667" s="311"/>
      <c r="B2667" s="312"/>
      <c r="C2667" s="312"/>
      <c r="D2667" s="312"/>
      <c r="E2667" s="312"/>
      <c r="F2667" s="312"/>
      <c r="G2667" s="328"/>
      <c r="H2667" s="337"/>
      <c r="I2667" s="334"/>
      <c r="J2667" s="314"/>
      <c r="K2667" s="449"/>
      <c r="M2667" s="349" t="str">
        <f>N2667&amp;AS[[#This Row],[Insurer Code]]&amp;"; "&amp;O2667&amp;AS[[#This Row],[Reporting Year]]&amp;"; "&amp;P2667&amp;AS[[#This Row],[Insurance Category Code]]&amp;"; "&amp;Q2667&amp;AS[[#This Row],[Large Provider Entity Code]]&amp;"; "&amp;R2667&amp;AS[[#This Row],[Age Band Code]]&amp;"; "&amp;S2667&amp;AS[[#This Row],[Sex Code]]</f>
        <v xml:space="preserve">Insurer Code ; Reporting Year ; Insurance Category Code ; Large Provider Entity Code ; Age Band Code ; Sex Code </v>
      </c>
      <c r="N2667" s="345" t="s">
        <v>207</v>
      </c>
      <c r="O2667" s="345" t="s">
        <v>208</v>
      </c>
      <c r="P2667" s="345" t="s">
        <v>209</v>
      </c>
      <c r="Q2667" s="345" t="s">
        <v>210</v>
      </c>
      <c r="R2667" s="345" t="s">
        <v>223</v>
      </c>
      <c r="S2667" s="345" t="s">
        <v>224</v>
      </c>
    </row>
    <row r="2668" spans="1:19" x14ac:dyDescent="0.25">
      <c r="A2668" s="311"/>
      <c r="B2668" s="312"/>
      <c r="C2668" s="312"/>
      <c r="D2668" s="312"/>
      <c r="E2668" s="312"/>
      <c r="F2668" s="312"/>
      <c r="G2668" s="328"/>
      <c r="H2668" s="337"/>
      <c r="I2668" s="334"/>
      <c r="J2668" s="314"/>
      <c r="K2668" s="449"/>
      <c r="M2668" s="349" t="str">
        <f>N2668&amp;AS[[#This Row],[Insurer Code]]&amp;"; "&amp;O2668&amp;AS[[#This Row],[Reporting Year]]&amp;"; "&amp;P2668&amp;AS[[#This Row],[Insurance Category Code]]&amp;"; "&amp;Q2668&amp;AS[[#This Row],[Large Provider Entity Code]]&amp;"; "&amp;R2668&amp;AS[[#This Row],[Age Band Code]]&amp;"; "&amp;S2668&amp;AS[[#This Row],[Sex Code]]</f>
        <v xml:space="preserve">Insurer Code ; Reporting Year ; Insurance Category Code ; Large Provider Entity Code ; Age Band Code ; Sex Code </v>
      </c>
      <c r="N2668" s="345" t="s">
        <v>207</v>
      </c>
      <c r="O2668" s="345" t="s">
        <v>208</v>
      </c>
      <c r="P2668" s="345" t="s">
        <v>209</v>
      </c>
      <c r="Q2668" s="345" t="s">
        <v>210</v>
      </c>
      <c r="R2668" s="345" t="s">
        <v>223</v>
      </c>
      <c r="S2668" s="345" t="s">
        <v>224</v>
      </c>
    </row>
    <row r="2669" spans="1:19" x14ac:dyDescent="0.25">
      <c r="A2669" s="311"/>
      <c r="B2669" s="312"/>
      <c r="C2669" s="312"/>
      <c r="D2669" s="312"/>
      <c r="E2669" s="312"/>
      <c r="F2669" s="312"/>
      <c r="G2669" s="328"/>
      <c r="H2669" s="337"/>
      <c r="I2669" s="334"/>
      <c r="J2669" s="314"/>
      <c r="K2669" s="449"/>
      <c r="M2669" s="349" t="str">
        <f>N2669&amp;AS[[#This Row],[Insurer Code]]&amp;"; "&amp;O2669&amp;AS[[#This Row],[Reporting Year]]&amp;"; "&amp;P2669&amp;AS[[#This Row],[Insurance Category Code]]&amp;"; "&amp;Q2669&amp;AS[[#This Row],[Large Provider Entity Code]]&amp;"; "&amp;R2669&amp;AS[[#This Row],[Age Band Code]]&amp;"; "&amp;S2669&amp;AS[[#This Row],[Sex Code]]</f>
        <v xml:space="preserve">Insurer Code ; Reporting Year ; Insurance Category Code ; Large Provider Entity Code ; Age Band Code ; Sex Code </v>
      </c>
      <c r="N2669" s="345" t="s">
        <v>207</v>
      </c>
      <c r="O2669" s="345" t="s">
        <v>208</v>
      </c>
      <c r="P2669" s="345" t="s">
        <v>209</v>
      </c>
      <c r="Q2669" s="345" t="s">
        <v>210</v>
      </c>
      <c r="R2669" s="345" t="s">
        <v>223</v>
      </c>
      <c r="S2669" s="345" t="s">
        <v>224</v>
      </c>
    </row>
    <row r="2670" spans="1:19" x14ac:dyDescent="0.25">
      <c r="A2670" s="311"/>
      <c r="B2670" s="312"/>
      <c r="C2670" s="312"/>
      <c r="D2670" s="312"/>
      <c r="E2670" s="312"/>
      <c r="F2670" s="312"/>
      <c r="G2670" s="328"/>
      <c r="H2670" s="337"/>
      <c r="I2670" s="334"/>
      <c r="J2670" s="314"/>
      <c r="K2670" s="449"/>
      <c r="M2670" s="349" t="str">
        <f>N2670&amp;AS[[#This Row],[Insurer Code]]&amp;"; "&amp;O2670&amp;AS[[#This Row],[Reporting Year]]&amp;"; "&amp;P2670&amp;AS[[#This Row],[Insurance Category Code]]&amp;"; "&amp;Q2670&amp;AS[[#This Row],[Large Provider Entity Code]]&amp;"; "&amp;R2670&amp;AS[[#This Row],[Age Band Code]]&amp;"; "&amp;S2670&amp;AS[[#This Row],[Sex Code]]</f>
        <v xml:space="preserve">Insurer Code ; Reporting Year ; Insurance Category Code ; Large Provider Entity Code ; Age Band Code ; Sex Code </v>
      </c>
      <c r="N2670" s="345" t="s">
        <v>207</v>
      </c>
      <c r="O2670" s="345" t="s">
        <v>208</v>
      </c>
      <c r="P2670" s="345" t="s">
        <v>209</v>
      </c>
      <c r="Q2670" s="345" t="s">
        <v>210</v>
      </c>
      <c r="R2670" s="345" t="s">
        <v>223</v>
      </c>
      <c r="S2670" s="345" t="s">
        <v>224</v>
      </c>
    </row>
    <row r="2671" spans="1:19" x14ac:dyDescent="0.25">
      <c r="A2671" s="311"/>
      <c r="B2671" s="312"/>
      <c r="C2671" s="312"/>
      <c r="D2671" s="312"/>
      <c r="E2671" s="312"/>
      <c r="F2671" s="312"/>
      <c r="G2671" s="328"/>
      <c r="H2671" s="337"/>
      <c r="I2671" s="334"/>
      <c r="J2671" s="314"/>
      <c r="K2671" s="449"/>
      <c r="M2671" s="349" t="str">
        <f>N2671&amp;AS[[#This Row],[Insurer Code]]&amp;"; "&amp;O2671&amp;AS[[#This Row],[Reporting Year]]&amp;"; "&amp;P2671&amp;AS[[#This Row],[Insurance Category Code]]&amp;"; "&amp;Q2671&amp;AS[[#This Row],[Large Provider Entity Code]]&amp;"; "&amp;R2671&amp;AS[[#This Row],[Age Band Code]]&amp;"; "&amp;S2671&amp;AS[[#This Row],[Sex Code]]</f>
        <v xml:space="preserve">Insurer Code ; Reporting Year ; Insurance Category Code ; Large Provider Entity Code ; Age Band Code ; Sex Code </v>
      </c>
      <c r="N2671" s="345" t="s">
        <v>207</v>
      </c>
      <c r="O2671" s="345" t="s">
        <v>208</v>
      </c>
      <c r="P2671" s="345" t="s">
        <v>209</v>
      </c>
      <c r="Q2671" s="345" t="s">
        <v>210</v>
      </c>
      <c r="R2671" s="345" t="s">
        <v>223</v>
      </c>
      <c r="S2671" s="345" t="s">
        <v>224</v>
      </c>
    </row>
    <row r="2672" spans="1:19" x14ac:dyDescent="0.25">
      <c r="A2672" s="311"/>
      <c r="B2672" s="312"/>
      <c r="C2672" s="312"/>
      <c r="D2672" s="312"/>
      <c r="E2672" s="312"/>
      <c r="F2672" s="312"/>
      <c r="G2672" s="328"/>
      <c r="H2672" s="337"/>
      <c r="I2672" s="334"/>
      <c r="J2672" s="314"/>
      <c r="K2672" s="449"/>
      <c r="M2672" s="349" t="str">
        <f>N2672&amp;AS[[#This Row],[Insurer Code]]&amp;"; "&amp;O2672&amp;AS[[#This Row],[Reporting Year]]&amp;"; "&amp;P2672&amp;AS[[#This Row],[Insurance Category Code]]&amp;"; "&amp;Q2672&amp;AS[[#This Row],[Large Provider Entity Code]]&amp;"; "&amp;R2672&amp;AS[[#This Row],[Age Band Code]]&amp;"; "&amp;S2672&amp;AS[[#This Row],[Sex Code]]</f>
        <v xml:space="preserve">Insurer Code ; Reporting Year ; Insurance Category Code ; Large Provider Entity Code ; Age Band Code ; Sex Code </v>
      </c>
      <c r="N2672" s="345" t="s">
        <v>207</v>
      </c>
      <c r="O2672" s="345" t="s">
        <v>208</v>
      </c>
      <c r="P2672" s="345" t="s">
        <v>209</v>
      </c>
      <c r="Q2672" s="345" t="s">
        <v>210</v>
      </c>
      <c r="R2672" s="345" t="s">
        <v>223</v>
      </c>
      <c r="S2672" s="345" t="s">
        <v>224</v>
      </c>
    </row>
    <row r="2673" spans="1:19" x14ac:dyDescent="0.25">
      <c r="A2673" s="311"/>
      <c r="B2673" s="312"/>
      <c r="C2673" s="312"/>
      <c r="D2673" s="312"/>
      <c r="E2673" s="312"/>
      <c r="F2673" s="312"/>
      <c r="G2673" s="328"/>
      <c r="H2673" s="337"/>
      <c r="I2673" s="334"/>
      <c r="J2673" s="314"/>
      <c r="K2673" s="449"/>
      <c r="M2673" s="349" t="str">
        <f>N2673&amp;AS[[#This Row],[Insurer Code]]&amp;"; "&amp;O2673&amp;AS[[#This Row],[Reporting Year]]&amp;"; "&amp;P2673&amp;AS[[#This Row],[Insurance Category Code]]&amp;"; "&amp;Q2673&amp;AS[[#This Row],[Large Provider Entity Code]]&amp;"; "&amp;R2673&amp;AS[[#This Row],[Age Band Code]]&amp;"; "&amp;S2673&amp;AS[[#This Row],[Sex Code]]</f>
        <v xml:space="preserve">Insurer Code ; Reporting Year ; Insurance Category Code ; Large Provider Entity Code ; Age Band Code ; Sex Code </v>
      </c>
      <c r="N2673" s="345" t="s">
        <v>207</v>
      </c>
      <c r="O2673" s="345" t="s">
        <v>208</v>
      </c>
      <c r="P2673" s="345" t="s">
        <v>209</v>
      </c>
      <c r="Q2673" s="345" t="s">
        <v>210</v>
      </c>
      <c r="R2673" s="345" t="s">
        <v>223</v>
      </c>
      <c r="S2673" s="345" t="s">
        <v>224</v>
      </c>
    </row>
    <row r="2674" spans="1:19" x14ac:dyDescent="0.25">
      <c r="A2674" s="311"/>
      <c r="B2674" s="312"/>
      <c r="C2674" s="312"/>
      <c r="D2674" s="312"/>
      <c r="E2674" s="312"/>
      <c r="F2674" s="312"/>
      <c r="G2674" s="328"/>
      <c r="H2674" s="337"/>
      <c r="I2674" s="334"/>
      <c r="J2674" s="314"/>
      <c r="K2674" s="449"/>
      <c r="M2674" s="349" t="str">
        <f>N2674&amp;AS[[#This Row],[Insurer Code]]&amp;"; "&amp;O2674&amp;AS[[#This Row],[Reporting Year]]&amp;"; "&amp;P2674&amp;AS[[#This Row],[Insurance Category Code]]&amp;"; "&amp;Q2674&amp;AS[[#This Row],[Large Provider Entity Code]]&amp;"; "&amp;R2674&amp;AS[[#This Row],[Age Band Code]]&amp;"; "&amp;S2674&amp;AS[[#This Row],[Sex Code]]</f>
        <v xml:space="preserve">Insurer Code ; Reporting Year ; Insurance Category Code ; Large Provider Entity Code ; Age Band Code ; Sex Code </v>
      </c>
      <c r="N2674" s="345" t="s">
        <v>207</v>
      </c>
      <c r="O2674" s="345" t="s">
        <v>208</v>
      </c>
      <c r="P2674" s="345" t="s">
        <v>209</v>
      </c>
      <c r="Q2674" s="345" t="s">
        <v>210</v>
      </c>
      <c r="R2674" s="345" t="s">
        <v>223</v>
      </c>
      <c r="S2674" s="345" t="s">
        <v>224</v>
      </c>
    </row>
    <row r="2675" spans="1:19" x14ac:dyDescent="0.25">
      <c r="A2675" s="311"/>
      <c r="B2675" s="312"/>
      <c r="C2675" s="312"/>
      <c r="D2675" s="312"/>
      <c r="E2675" s="312"/>
      <c r="F2675" s="312"/>
      <c r="G2675" s="328"/>
      <c r="H2675" s="337"/>
      <c r="I2675" s="334"/>
      <c r="J2675" s="314"/>
      <c r="K2675" s="449"/>
      <c r="M2675" s="349" t="str">
        <f>N2675&amp;AS[[#This Row],[Insurer Code]]&amp;"; "&amp;O2675&amp;AS[[#This Row],[Reporting Year]]&amp;"; "&amp;P2675&amp;AS[[#This Row],[Insurance Category Code]]&amp;"; "&amp;Q2675&amp;AS[[#This Row],[Large Provider Entity Code]]&amp;"; "&amp;R2675&amp;AS[[#This Row],[Age Band Code]]&amp;"; "&amp;S2675&amp;AS[[#This Row],[Sex Code]]</f>
        <v xml:space="preserve">Insurer Code ; Reporting Year ; Insurance Category Code ; Large Provider Entity Code ; Age Band Code ; Sex Code </v>
      </c>
      <c r="N2675" s="345" t="s">
        <v>207</v>
      </c>
      <c r="O2675" s="345" t="s">
        <v>208</v>
      </c>
      <c r="P2675" s="345" t="s">
        <v>209</v>
      </c>
      <c r="Q2675" s="345" t="s">
        <v>210</v>
      </c>
      <c r="R2675" s="345" t="s">
        <v>223</v>
      </c>
      <c r="S2675" s="345" t="s">
        <v>224</v>
      </c>
    </row>
    <row r="2676" spans="1:19" x14ac:dyDescent="0.25">
      <c r="A2676" s="311"/>
      <c r="B2676" s="312"/>
      <c r="C2676" s="312"/>
      <c r="D2676" s="312"/>
      <c r="E2676" s="312"/>
      <c r="F2676" s="312"/>
      <c r="G2676" s="328"/>
      <c r="H2676" s="337"/>
      <c r="I2676" s="334"/>
      <c r="J2676" s="314"/>
      <c r="K2676" s="449"/>
      <c r="M2676" s="349" t="str">
        <f>N2676&amp;AS[[#This Row],[Insurer Code]]&amp;"; "&amp;O2676&amp;AS[[#This Row],[Reporting Year]]&amp;"; "&amp;P2676&amp;AS[[#This Row],[Insurance Category Code]]&amp;"; "&amp;Q2676&amp;AS[[#This Row],[Large Provider Entity Code]]&amp;"; "&amp;R2676&amp;AS[[#This Row],[Age Band Code]]&amp;"; "&amp;S2676&amp;AS[[#This Row],[Sex Code]]</f>
        <v xml:space="preserve">Insurer Code ; Reporting Year ; Insurance Category Code ; Large Provider Entity Code ; Age Band Code ; Sex Code </v>
      </c>
      <c r="N2676" s="345" t="s">
        <v>207</v>
      </c>
      <c r="O2676" s="345" t="s">
        <v>208</v>
      </c>
      <c r="P2676" s="345" t="s">
        <v>209</v>
      </c>
      <c r="Q2676" s="345" t="s">
        <v>210</v>
      </c>
      <c r="R2676" s="345" t="s">
        <v>223</v>
      </c>
      <c r="S2676" s="345" t="s">
        <v>224</v>
      </c>
    </row>
    <row r="2677" spans="1:19" x14ac:dyDescent="0.25">
      <c r="A2677" s="311"/>
      <c r="B2677" s="312"/>
      <c r="C2677" s="312"/>
      <c r="D2677" s="312"/>
      <c r="E2677" s="312"/>
      <c r="F2677" s="312"/>
      <c r="G2677" s="328"/>
      <c r="H2677" s="337"/>
      <c r="I2677" s="334"/>
      <c r="J2677" s="314"/>
      <c r="K2677" s="449"/>
      <c r="M2677" s="349" t="str">
        <f>N2677&amp;AS[[#This Row],[Insurer Code]]&amp;"; "&amp;O2677&amp;AS[[#This Row],[Reporting Year]]&amp;"; "&amp;P2677&amp;AS[[#This Row],[Insurance Category Code]]&amp;"; "&amp;Q2677&amp;AS[[#This Row],[Large Provider Entity Code]]&amp;"; "&amp;R2677&amp;AS[[#This Row],[Age Band Code]]&amp;"; "&amp;S2677&amp;AS[[#This Row],[Sex Code]]</f>
        <v xml:space="preserve">Insurer Code ; Reporting Year ; Insurance Category Code ; Large Provider Entity Code ; Age Band Code ; Sex Code </v>
      </c>
      <c r="N2677" s="345" t="s">
        <v>207</v>
      </c>
      <c r="O2677" s="345" t="s">
        <v>208</v>
      </c>
      <c r="P2677" s="345" t="s">
        <v>209</v>
      </c>
      <c r="Q2677" s="345" t="s">
        <v>210</v>
      </c>
      <c r="R2677" s="345" t="s">
        <v>223</v>
      </c>
      <c r="S2677" s="345" t="s">
        <v>224</v>
      </c>
    </row>
    <row r="2678" spans="1:19" x14ac:dyDescent="0.25">
      <c r="A2678" s="311"/>
      <c r="B2678" s="312"/>
      <c r="C2678" s="312"/>
      <c r="D2678" s="312"/>
      <c r="E2678" s="312"/>
      <c r="F2678" s="312"/>
      <c r="G2678" s="328"/>
      <c r="H2678" s="337"/>
      <c r="I2678" s="334"/>
      <c r="J2678" s="314"/>
      <c r="K2678" s="449"/>
      <c r="M2678" s="349" t="str">
        <f>N2678&amp;AS[[#This Row],[Insurer Code]]&amp;"; "&amp;O2678&amp;AS[[#This Row],[Reporting Year]]&amp;"; "&amp;P2678&amp;AS[[#This Row],[Insurance Category Code]]&amp;"; "&amp;Q2678&amp;AS[[#This Row],[Large Provider Entity Code]]&amp;"; "&amp;R2678&amp;AS[[#This Row],[Age Band Code]]&amp;"; "&amp;S2678&amp;AS[[#This Row],[Sex Code]]</f>
        <v xml:space="preserve">Insurer Code ; Reporting Year ; Insurance Category Code ; Large Provider Entity Code ; Age Band Code ; Sex Code </v>
      </c>
      <c r="N2678" s="345" t="s">
        <v>207</v>
      </c>
      <c r="O2678" s="345" t="s">
        <v>208</v>
      </c>
      <c r="P2678" s="345" t="s">
        <v>209</v>
      </c>
      <c r="Q2678" s="345" t="s">
        <v>210</v>
      </c>
      <c r="R2678" s="345" t="s">
        <v>223</v>
      </c>
      <c r="S2678" s="345" t="s">
        <v>224</v>
      </c>
    </row>
    <row r="2679" spans="1:19" x14ac:dyDescent="0.25">
      <c r="A2679" s="311"/>
      <c r="B2679" s="312"/>
      <c r="C2679" s="312"/>
      <c r="D2679" s="312"/>
      <c r="E2679" s="312"/>
      <c r="F2679" s="312"/>
      <c r="G2679" s="328"/>
      <c r="H2679" s="337"/>
      <c r="I2679" s="334"/>
      <c r="J2679" s="314"/>
      <c r="K2679" s="449"/>
      <c r="M2679" s="349" t="str">
        <f>N2679&amp;AS[[#This Row],[Insurer Code]]&amp;"; "&amp;O2679&amp;AS[[#This Row],[Reporting Year]]&amp;"; "&amp;P2679&amp;AS[[#This Row],[Insurance Category Code]]&amp;"; "&amp;Q2679&amp;AS[[#This Row],[Large Provider Entity Code]]&amp;"; "&amp;R2679&amp;AS[[#This Row],[Age Band Code]]&amp;"; "&amp;S2679&amp;AS[[#This Row],[Sex Code]]</f>
        <v xml:space="preserve">Insurer Code ; Reporting Year ; Insurance Category Code ; Large Provider Entity Code ; Age Band Code ; Sex Code </v>
      </c>
      <c r="N2679" s="345" t="s">
        <v>207</v>
      </c>
      <c r="O2679" s="345" t="s">
        <v>208</v>
      </c>
      <c r="P2679" s="345" t="s">
        <v>209</v>
      </c>
      <c r="Q2679" s="345" t="s">
        <v>210</v>
      </c>
      <c r="R2679" s="345" t="s">
        <v>223</v>
      </c>
      <c r="S2679" s="345" t="s">
        <v>224</v>
      </c>
    </row>
    <row r="2680" spans="1:19" x14ac:dyDescent="0.25">
      <c r="A2680" s="311"/>
      <c r="B2680" s="312"/>
      <c r="C2680" s="312"/>
      <c r="D2680" s="312"/>
      <c r="E2680" s="312"/>
      <c r="F2680" s="312"/>
      <c r="G2680" s="328"/>
      <c r="H2680" s="337"/>
      <c r="I2680" s="334"/>
      <c r="J2680" s="314"/>
      <c r="K2680" s="449"/>
      <c r="M2680" s="349" t="str">
        <f>N2680&amp;AS[[#This Row],[Insurer Code]]&amp;"; "&amp;O2680&amp;AS[[#This Row],[Reporting Year]]&amp;"; "&amp;P2680&amp;AS[[#This Row],[Insurance Category Code]]&amp;"; "&amp;Q2680&amp;AS[[#This Row],[Large Provider Entity Code]]&amp;"; "&amp;R2680&amp;AS[[#This Row],[Age Band Code]]&amp;"; "&amp;S2680&amp;AS[[#This Row],[Sex Code]]</f>
        <v xml:space="preserve">Insurer Code ; Reporting Year ; Insurance Category Code ; Large Provider Entity Code ; Age Band Code ; Sex Code </v>
      </c>
      <c r="N2680" s="345" t="s">
        <v>207</v>
      </c>
      <c r="O2680" s="345" t="s">
        <v>208</v>
      </c>
      <c r="P2680" s="345" t="s">
        <v>209</v>
      </c>
      <c r="Q2680" s="345" t="s">
        <v>210</v>
      </c>
      <c r="R2680" s="345" t="s">
        <v>223</v>
      </c>
      <c r="S2680" s="345" t="s">
        <v>224</v>
      </c>
    </row>
    <row r="2681" spans="1:19" x14ac:dyDescent="0.25">
      <c r="A2681" s="311"/>
      <c r="B2681" s="312"/>
      <c r="C2681" s="312"/>
      <c r="D2681" s="312"/>
      <c r="E2681" s="312"/>
      <c r="F2681" s="312"/>
      <c r="G2681" s="328"/>
      <c r="H2681" s="337"/>
      <c r="I2681" s="334"/>
      <c r="J2681" s="314"/>
      <c r="K2681" s="449"/>
      <c r="M2681" s="349" t="str">
        <f>N2681&amp;AS[[#This Row],[Insurer Code]]&amp;"; "&amp;O2681&amp;AS[[#This Row],[Reporting Year]]&amp;"; "&amp;P2681&amp;AS[[#This Row],[Insurance Category Code]]&amp;"; "&amp;Q2681&amp;AS[[#This Row],[Large Provider Entity Code]]&amp;"; "&amp;R2681&amp;AS[[#This Row],[Age Band Code]]&amp;"; "&amp;S2681&amp;AS[[#This Row],[Sex Code]]</f>
        <v xml:space="preserve">Insurer Code ; Reporting Year ; Insurance Category Code ; Large Provider Entity Code ; Age Band Code ; Sex Code </v>
      </c>
      <c r="N2681" s="345" t="s">
        <v>207</v>
      </c>
      <c r="O2681" s="345" t="s">
        <v>208</v>
      </c>
      <c r="P2681" s="345" t="s">
        <v>209</v>
      </c>
      <c r="Q2681" s="345" t="s">
        <v>210</v>
      </c>
      <c r="R2681" s="345" t="s">
        <v>223</v>
      </c>
      <c r="S2681" s="345" t="s">
        <v>224</v>
      </c>
    </row>
    <row r="2682" spans="1:19" x14ac:dyDescent="0.25">
      <c r="A2682" s="311"/>
      <c r="B2682" s="312"/>
      <c r="C2682" s="312"/>
      <c r="D2682" s="312"/>
      <c r="E2682" s="312"/>
      <c r="F2682" s="312"/>
      <c r="G2682" s="328"/>
      <c r="H2682" s="337"/>
      <c r="I2682" s="334"/>
      <c r="J2682" s="314"/>
      <c r="K2682" s="449"/>
      <c r="M2682" s="349" t="str">
        <f>N2682&amp;AS[[#This Row],[Insurer Code]]&amp;"; "&amp;O2682&amp;AS[[#This Row],[Reporting Year]]&amp;"; "&amp;P2682&amp;AS[[#This Row],[Insurance Category Code]]&amp;"; "&amp;Q2682&amp;AS[[#This Row],[Large Provider Entity Code]]&amp;"; "&amp;R2682&amp;AS[[#This Row],[Age Band Code]]&amp;"; "&amp;S2682&amp;AS[[#This Row],[Sex Code]]</f>
        <v xml:space="preserve">Insurer Code ; Reporting Year ; Insurance Category Code ; Large Provider Entity Code ; Age Band Code ; Sex Code </v>
      </c>
      <c r="N2682" s="345" t="s">
        <v>207</v>
      </c>
      <c r="O2682" s="345" t="s">
        <v>208</v>
      </c>
      <c r="P2682" s="345" t="s">
        <v>209</v>
      </c>
      <c r="Q2682" s="345" t="s">
        <v>210</v>
      </c>
      <c r="R2682" s="345" t="s">
        <v>223</v>
      </c>
      <c r="S2682" s="345" t="s">
        <v>224</v>
      </c>
    </row>
    <row r="2683" spans="1:19" x14ac:dyDescent="0.25">
      <c r="A2683" s="311"/>
      <c r="B2683" s="312"/>
      <c r="C2683" s="312"/>
      <c r="D2683" s="312"/>
      <c r="E2683" s="312"/>
      <c r="F2683" s="312"/>
      <c r="G2683" s="328"/>
      <c r="H2683" s="337"/>
      <c r="I2683" s="334"/>
      <c r="J2683" s="314"/>
      <c r="K2683" s="449"/>
      <c r="M2683" s="349" t="str">
        <f>N2683&amp;AS[[#This Row],[Insurer Code]]&amp;"; "&amp;O2683&amp;AS[[#This Row],[Reporting Year]]&amp;"; "&amp;P2683&amp;AS[[#This Row],[Insurance Category Code]]&amp;"; "&amp;Q2683&amp;AS[[#This Row],[Large Provider Entity Code]]&amp;"; "&amp;R2683&amp;AS[[#This Row],[Age Band Code]]&amp;"; "&amp;S2683&amp;AS[[#This Row],[Sex Code]]</f>
        <v xml:space="preserve">Insurer Code ; Reporting Year ; Insurance Category Code ; Large Provider Entity Code ; Age Band Code ; Sex Code </v>
      </c>
      <c r="N2683" s="345" t="s">
        <v>207</v>
      </c>
      <c r="O2683" s="345" t="s">
        <v>208</v>
      </c>
      <c r="P2683" s="345" t="s">
        <v>209</v>
      </c>
      <c r="Q2683" s="345" t="s">
        <v>210</v>
      </c>
      <c r="R2683" s="345" t="s">
        <v>223</v>
      </c>
      <c r="S2683" s="345" t="s">
        <v>224</v>
      </c>
    </row>
    <row r="2684" spans="1:19" x14ac:dyDescent="0.25">
      <c r="A2684" s="311"/>
      <c r="B2684" s="312"/>
      <c r="C2684" s="312"/>
      <c r="D2684" s="312"/>
      <c r="E2684" s="312"/>
      <c r="F2684" s="312"/>
      <c r="G2684" s="328"/>
      <c r="H2684" s="337"/>
      <c r="I2684" s="334"/>
      <c r="J2684" s="314"/>
      <c r="K2684" s="449"/>
      <c r="M2684" s="349" t="str">
        <f>N2684&amp;AS[[#This Row],[Insurer Code]]&amp;"; "&amp;O2684&amp;AS[[#This Row],[Reporting Year]]&amp;"; "&amp;P2684&amp;AS[[#This Row],[Insurance Category Code]]&amp;"; "&amp;Q2684&amp;AS[[#This Row],[Large Provider Entity Code]]&amp;"; "&amp;R2684&amp;AS[[#This Row],[Age Band Code]]&amp;"; "&amp;S2684&amp;AS[[#This Row],[Sex Code]]</f>
        <v xml:space="preserve">Insurer Code ; Reporting Year ; Insurance Category Code ; Large Provider Entity Code ; Age Band Code ; Sex Code </v>
      </c>
      <c r="N2684" s="345" t="s">
        <v>207</v>
      </c>
      <c r="O2684" s="345" t="s">
        <v>208</v>
      </c>
      <c r="P2684" s="345" t="s">
        <v>209</v>
      </c>
      <c r="Q2684" s="345" t="s">
        <v>210</v>
      </c>
      <c r="R2684" s="345" t="s">
        <v>223</v>
      </c>
      <c r="S2684" s="345" t="s">
        <v>224</v>
      </c>
    </row>
    <row r="2685" spans="1:19" x14ac:dyDescent="0.25">
      <c r="A2685" s="311"/>
      <c r="B2685" s="312"/>
      <c r="C2685" s="312"/>
      <c r="D2685" s="312"/>
      <c r="E2685" s="312"/>
      <c r="F2685" s="312"/>
      <c r="G2685" s="328"/>
      <c r="H2685" s="337"/>
      <c r="I2685" s="334"/>
      <c r="J2685" s="314"/>
      <c r="K2685" s="449"/>
      <c r="M2685" s="349" t="str">
        <f>N2685&amp;AS[[#This Row],[Insurer Code]]&amp;"; "&amp;O2685&amp;AS[[#This Row],[Reporting Year]]&amp;"; "&amp;P2685&amp;AS[[#This Row],[Insurance Category Code]]&amp;"; "&amp;Q2685&amp;AS[[#This Row],[Large Provider Entity Code]]&amp;"; "&amp;R2685&amp;AS[[#This Row],[Age Band Code]]&amp;"; "&amp;S2685&amp;AS[[#This Row],[Sex Code]]</f>
        <v xml:space="preserve">Insurer Code ; Reporting Year ; Insurance Category Code ; Large Provider Entity Code ; Age Band Code ; Sex Code </v>
      </c>
      <c r="N2685" s="345" t="s">
        <v>207</v>
      </c>
      <c r="O2685" s="345" t="s">
        <v>208</v>
      </c>
      <c r="P2685" s="345" t="s">
        <v>209</v>
      </c>
      <c r="Q2685" s="345" t="s">
        <v>210</v>
      </c>
      <c r="R2685" s="345" t="s">
        <v>223</v>
      </c>
      <c r="S2685" s="345" t="s">
        <v>224</v>
      </c>
    </row>
    <row r="2686" spans="1:19" x14ac:dyDescent="0.25">
      <c r="A2686" s="311"/>
      <c r="B2686" s="312"/>
      <c r="C2686" s="312"/>
      <c r="D2686" s="312"/>
      <c r="E2686" s="312"/>
      <c r="F2686" s="312"/>
      <c r="G2686" s="328"/>
      <c r="H2686" s="337"/>
      <c r="I2686" s="334"/>
      <c r="J2686" s="314"/>
      <c r="K2686" s="449"/>
      <c r="M2686" s="349" t="str">
        <f>N2686&amp;AS[[#This Row],[Insurer Code]]&amp;"; "&amp;O2686&amp;AS[[#This Row],[Reporting Year]]&amp;"; "&amp;P2686&amp;AS[[#This Row],[Insurance Category Code]]&amp;"; "&amp;Q2686&amp;AS[[#This Row],[Large Provider Entity Code]]&amp;"; "&amp;R2686&amp;AS[[#This Row],[Age Band Code]]&amp;"; "&amp;S2686&amp;AS[[#This Row],[Sex Code]]</f>
        <v xml:space="preserve">Insurer Code ; Reporting Year ; Insurance Category Code ; Large Provider Entity Code ; Age Band Code ; Sex Code </v>
      </c>
      <c r="N2686" s="345" t="s">
        <v>207</v>
      </c>
      <c r="O2686" s="345" t="s">
        <v>208</v>
      </c>
      <c r="P2686" s="345" t="s">
        <v>209</v>
      </c>
      <c r="Q2686" s="345" t="s">
        <v>210</v>
      </c>
      <c r="R2686" s="345" t="s">
        <v>223</v>
      </c>
      <c r="S2686" s="345" t="s">
        <v>224</v>
      </c>
    </row>
    <row r="2687" spans="1:19" x14ac:dyDescent="0.25">
      <c r="A2687" s="311"/>
      <c r="B2687" s="312"/>
      <c r="C2687" s="312"/>
      <c r="D2687" s="312"/>
      <c r="E2687" s="312"/>
      <c r="F2687" s="312"/>
      <c r="G2687" s="328"/>
      <c r="H2687" s="337"/>
      <c r="I2687" s="334"/>
      <c r="J2687" s="314"/>
      <c r="K2687" s="449"/>
      <c r="M2687" s="349" t="str">
        <f>N2687&amp;AS[[#This Row],[Insurer Code]]&amp;"; "&amp;O2687&amp;AS[[#This Row],[Reporting Year]]&amp;"; "&amp;P2687&amp;AS[[#This Row],[Insurance Category Code]]&amp;"; "&amp;Q2687&amp;AS[[#This Row],[Large Provider Entity Code]]&amp;"; "&amp;R2687&amp;AS[[#This Row],[Age Band Code]]&amp;"; "&amp;S2687&amp;AS[[#This Row],[Sex Code]]</f>
        <v xml:space="preserve">Insurer Code ; Reporting Year ; Insurance Category Code ; Large Provider Entity Code ; Age Band Code ; Sex Code </v>
      </c>
      <c r="N2687" s="345" t="s">
        <v>207</v>
      </c>
      <c r="O2687" s="345" t="s">
        <v>208</v>
      </c>
      <c r="P2687" s="345" t="s">
        <v>209</v>
      </c>
      <c r="Q2687" s="345" t="s">
        <v>210</v>
      </c>
      <c r="R2687" s="345" t="s">
        <v>223</v>
      </c>
      <c r="S2687" s="345" t="s">
        <v>224</v>
      </c>
    </row>
    <row r="2688" spans="1:19" x14ac:dyDescent="0.25">
      <c r="A2688" s="311"/>
      <c r="B2688" s="312"/>
      <c r="C2688" s="312"/>
      <c r="D2688" s="312"/>
      <c r="E2688" s="312"/>
      <c r="F2688" s="312"/>
      <c r="G2688" s="328"/>
      <c r="H2688" s="337"/>
      <c r="I2688" s="334"/>
      <c r="J2688" s="314"/>
      <c r="K2688" s="449"/>
      <c r="M2688" s="349" t="str">
        <f>N2688&amp;AS[[#This Row],[Insurer Code]]&amp;"; "&amp;O2688&amp;AS[[#This Row],[Reporting Year]]&amp;"; "&amp;P2688&amp;AS[[#This Row],[Insurance Category Code]]&amp;"; "&amp;Q2688&amp;AS[[#This Row],[Large Provider Entity Code]]&amp;"; "&amp;R2688&amp;AS[[#This Row],[Age Band Code]]&amp;"; "&amp;S2688&amp;AS[[#This Row],[Sex Code]]</f>
        <v xml:space="preserve">Insurer Code ; Reporting Year ; Insurance Category Code ; Large Provider Entity Code ; Age Band Code ; Sex Code </v>
      </c>
      <c r="N2688" s="345" t="s">
        <v>207</v>
      </c>
      <c r="O2688" s="345" t="s">
        <v>208</v>
      </c>
      <c r="P2688" s="345" t="s">
        <v>209</v>
      </c>
      <c r="Q2688" s="345" t="s">
        <v>210</v>
      </c>
      <c r="R2688" s="345" t="s">
        <v>223</v>
      </c>
      <c r="S2688" s="345" t="s">
        <v>224</v>
      </c>
    </row>
    <row r="2689" spans="1:19" x14ac:dyDescent="0.25">
      <c r="A2689" s="311"/>
      <c r="B2689" s="312"/>
      <c r="C2689" s="312"/>
      <c r="D2689" s="312"/>
      <c r="E2689" s="312"/>
      <c r="F2689" s="312"/>
      <c r="G2689" s="328"/>
      <c r="H2689" s="337"/>
      <c r="I2689" s="334"/>
      <c r="J2689" s="314"/>
      <c r="K2689" s="449"/>
      <c r="M2689" s="349" t="str">
        <f>N2689&amp;AS[[#This Row],[Insurer Code]]&amp;"; "&amp;O2689&amp;AS[[#This Row],[Reporting Year]]&amp;"; "&amp;P2689&amp;AS[[#This Row],[Insurance Category Code]]&amp;"; "&amp;Q2689&amp;AS[[#This Row],[Large Provider Entity Code]]&amp;"; "&amp;R2689&amp;AS[[#This Row],[Age Band Code]]&amp;"; "&amp;S2689&amp;AS[[#This Row],[Sex Code]]</f>
        <v xml:space="preserve">Insurer Code ; Reporting Year ; Insurance Category Code ; Large Provider Entity Code ; Age Band Code ; Sex Code </v>
      </c>
      <c r="N2689" s="345" t="s">
        <v>207</v>
      </c>
      <c r="O2689" s="345" t="s">
        <v>208</v>
      </c>
      <c r="P2689" s="345" t="s">
        <v>209</v>
      </c>
      <c r="Q2689" s="345" t="s">
        <v>210</v>
      </c>
      <c r="R2689" s="345" t="s">
        <v>223</v>
      </c>
      <c r="S2689" s="345" t="s">
        <v>224</v>
      </c>
    </row>
    <row r="2690" spans="1:19" x14ac:dyDescent="0.25">
      <c r="A2690" s="311"/>
      <c r="B2690" s="312"/>
      <c r="C2690" s="312"/>
      <c r="D2690" s="312"/>
      <c r="E2690" s="312"/>
      <c r="F2690" s="312"/>
      <c r="G2690" s="328"/>
      <c r="H2690" s="337"/>
      <c r="I2690" s="334"/>
      <c r="J2690" s="314"/>
      <c r="K2690" s="449"/>
      <c r="M2690" s="349" t="str">
        <f>N2690&amp;AS[[#This Row],[Insurer Code]]&amp;"; "&amp;O2690&amp;AS[[#This Row],[Reporting Year]]&amp;"; "&amp;P2690&amp;AS[[#This Row],[Insurance Category Code]]&amp;"; "&amp;Q2690&amp;AS[[#This Row],[Large Provider Entity Code]]&amp;"; "&amp;R2690&amp;AS[[#This Row],[Age Band Code]]&amp;"; "&amp;S2690&amp;AS[[#This Row],[Sex Code]]</f>
        <v xml:space="preserve">Insurer Code ; Reporting Year ; Insurance Category Code ; Large Provider Entity Code ; Age Band Code ; Sex Code </v>
      </c>
      <c r="N2690" s="345" t="s">
        <v>207</v>
      </c>
      <c r="O2690" s="345" t="s">
        <v>208</v>
      </c>
      <c r="P2690" s="345" t="s">
        <v>209</v>
      </c>
      <c r="Q2690" s="345" t="s">
        <v>210</v>
      </c>
      <c r="R2690" s="345" t="s">
        <v>223</v>
      </c>
      <c r="S2690" s="345" t="s">
        <v>224</v>
      </c>
    </row>
    <row r="2691" spans="1:19" x14ac:dyDescent="0.25">
      <c r="A2691" s="311"/>
      <c r="B2691" s="312"/>
      <c r="C2691" s="312"/>
      <c r="D2691" s="312"/>
      <c r="E2691" s="312"/>
      <c r="F2691" s="312"/>
      <c r="G2691" s="328"/>
      <c r="H2691" s="337"/>
      <c r="I2691" s="334"/>
      <c r="J2691" s="314"/>
      <c r="K2691" s="449"/>
      <c r="M2691" s="349" t="str">
        <f>N2691&amp;AS[[#This Row],[Insurer Code]]&amp;"; "&amp;O2691&amp;AS[[#This Row],[Reporting Year]]&amp;"; "&amp;P2691&amp;AS[[#This Row],[Insurance Category Code]]&amp;"; "&amp;Q2691&amp;AS[[#This Row],[Large Provider Entity Code]]&amp;"; "&amp;R2691&amp;AS[[#This Row],[Age Band Code]]&amp;"; "&amp;S2691&amp;AS[[#This Row],[Sex Code]]</f>
        <v xml:space="preserve">Insurer Code ; Reporting Year ; Insurance Category Code ; Large Provider Entity Code ; Age Band Code ; Sex Code </v>
      </c>
      <c r="N2691" s="345" t="s">
        <v>207</v>
      </c>
      <c r="O2691" s="345" t="s">
        <v>208</v>
      </c>
      <c r="P2691" s="345" t="s">
        <v>209</v>
      </c>
      <c r="Q2691" s="345" t="s">
        <v>210</v>
      </c>
      <c r="R2691" s="345" t="s">
        <v>223</v>
      </c>
      <c r="S2691" s="345" t="s">
        <v>224</v>
      </c>
    </row>
    <row r="2692" spans="1:19" x14ac:dyDescent="0.25">
      <c r="A2692" s="311"/>
      <c r="B2692" s="312"/>
      <c r="C2692" s="312"/>
      <c r="D2692" s="312"/>
      <c r="E2692" s="312"/>
      <c r="F2692" s="312"/>
      <c r="G2692" s="328"/>
      <c r="H2692" s="337"/>
      <c r="I2692" s="334"/>
      <c r="J2692" s="314"/>
      <c r="K2692" s="449"/>
      <c r="M2692" s="349" t="str">
        <f>N2692&amp;AS[[#This Row],[Insurer Code]]&amp;"; "&amp;O2692&amp;AS[[#This Row],[Reporting Year]]&amp;"; "&amp;P2692&amp;AS[[#This Row],[Insurance Category Code]]&amp;"; "&amp;Q2692&amp;AS[[#This Row],[Large Provider Entity Code]]&amp;"; "&amp;R2692&amp;AS[[#This Row],[Age Band Code]]&amp;"; "&amp;S2692&amp;AS[[#This Row],[Sex Code]]</f>
        <v xml:space="preserve">Insurer Code ; Reporting Year ; Insurance Category Code ; Large Provider Entity Code ; Age Band Code ; Sex Code </v>
      </c>
      <c r="N2692" s="345" t="s">
        <v>207</v>
      </c>
      <c r="O2692" s="345" t="s">
        <v>208</v>
      </c>
      <c r="P2692" s="345" t="s">
        <v>209</v>
      </c>
      <c r="Q2692" s="345" t="s">
        <v>210</v>
      </c>
      <c r="R2692" s="345" t="s">
        <v>223</v>
      </c>
      <c r="S2692" s="345" t="s">
        <v>224</v>
      </c>
    </row>
    <row r="2693" spans="1:19" x14ac:dyDescent="0.25">
      <c r="A2693" s="311"/>
      <c r="B2693" s="312"/>
      <c r="C2693" s="312"/>
      <c r="D2693" s="312"/>
      <c r="E2693" s="312"/>
      <c r="F2693" s="312"/>
      <c r="G2693" s="328"/>
      <c r="H2693" s="337"/>
      <c r="I2693" s="334"/>
      <c r="J2693" s="314"/>
      <c r="K2693" s="449"/>
      <c r="M2693" s="349" t="str">
        <f>N2693&amp;AS[[#This Row],[Insurer Code]]&amp;"; "&amp;O2693&amp;AS[[#This Row],[Reporting Year]]&amp;"; "&amp;P2693&amp;AS[[#This Row],[Insurance Category Code]]&amp;"; "&amp;Q2693&amp;AS[[#This Row],[Large Provider Entity Code]]&amp;"; "&amp;R2693&amp;AS[[#This Row],[Age Band Code]]&amp;"; "&amp;S2693&amp;AS[[#This Row],[Sex Code]]</f>
        <v xml:space="preserve">Insurer Code ; Reporting Year ; Insurance Category Code ; Large Provider Entity Code ; Age Band Code ; Sex Code </v>
      </c>
      <c r="N2693" s="345" t="s">
        <v>207</v>
      </c>
      <c r="O2693" s="345" t="s">
        <v>208</v>
      </c>
      <c r="P2693" s="345" t="s">
        <v>209</v>
      </c>
      <c r="Q2693" s="345" t="s">
        <v>210</v>
      </c>
      <c r="R2693" s="345" t="s">
        <v>223</v>
      </c>
      <c r="S2693" s="345" t="s">
        <v>224</v>
      </c>
    </row>
    <row r="2694" spans="1:19" x14ac:dyDescent="0.25">
      <c r="A2694" s="311"/>
      <c r="B2694" s="312"/>
      <c r="C2694" s="312"/>
      <c r="D2694" s="312"/>
      <c r="E2694" s="312"/>
      <c r="F2694" s="312"/>
      <c r="G2694" s="328"/>
      <c r="H2694" s="337"/>
      <c r="I2694" s="334"/>
      <c r="J2694" s="314"/>
      <c r="K2694" s="449"/>
      <c r="M2694" s="349" t="str">
        <f>N2694&amp;AS[[#This Row],[Insurer Code]]&amp;"; "&amp;O2694&amp;AS[[#This Row],[Reporting Year]]&amp;"; "&amp;P2694&amp;AS[[#This Row],[Insurance Category Code]]&amp;"; "&amp;Q2694&amp;AS[[#This Row],[Large Provider Entity Code]]&amp;"; "&amp;R2694&amp;AS[[#This Row],[Age Band Code]]&amp;"; "&amp;S2694&amp;AS[[#This Row],[Sex Code]]</f>
        <v xml:space="preserve">Insurer Code ; Reporting Year ; Insurance Category Code ; Large Provider Entity Code ; Age Band Code ; Sex Code </v>
      </c>
      <c r="N2694" s="345" t="s">
        <v>207</v>
      </c>
      <c r="O2694" s="345" t="s">
        <v>208</v>
      </c>
      <c r="P2694" s="345" t="s">
        <v>209</v>
      </c>
      <c r="Q2694" s="345" t="s">
        <v>210</v>
      </c>
      <c r="R2694" s="345" t="s">
        <v>223</v>
      </c>
      <c r="S2694" s="345" t="s">
        <v>224</v>
      </c>
    </row>
    <row r="2695" spans="1:19" x14ac:dyDescent="0.25">
      <c r="A2695" s="311"/>
      <c r="B2695" s="312"/>
      <c r="C2695" s="312"/>
      <c r="D2695" s="312"/>
      <c r="E2695" s="312"/>
      <c r="F2695" s="312"/>
      <c r="G2695" s="328"/>
      <c r="H2695" s="337"/>
      <c r="I2695" s="334"/>
      <c r="J2695" s="314"/>
      <c r="K2695" s="449"/>
      <c r="M2695" s="349" t="str">
        <f>N2695&amp;AS[[#This Row],[Insurer Code]]&amp;"; "&amp;O2695&amp;AS[[#This Row],[Reporting Year]]&amp;"; "&amp;P2695&amp;AS[[#This Row],[Insurance Category Code]]&amp;"; "&amp;Q2695&amp;AS[[#This Row],[Large Provider Entity Code]]&amp;"; "&amp;R2695&amp;AS[[#This Row],[Age Band Code]]&amp;"; "&amp;S2695&amp;AS[[#This Row],[Sex Code]]</f>
        <v xml:space="preserve">Insurer Code ; Reporting Year ; Insurance Category Code ; Large Provider Entity Code ; Age Band Code ; Sex Code </v>
      </c>
      <c r="N2695" s="345" t="s">
        <v>207</v>
      </c>
      <c r="O2695" s="345" t="s">
        <v>208</v>
      </c>
      <c r="P2695" s="345" t="s">
        <v>209</v>
      </c>
      <c r="Q2695" s="345" t="s">
        <v>210</v>
      </c>
      <c r="R2695" s="345" t="s">
        <v>223</v>
      </c>
      <c r="S2695" s="345" t="s">
        <v>224</v>
      </c>
    </row>
    <row r="2696" spans="1:19" x14ac:dyDescent="0.25">
      <c r="A2696" s="311"/>
      <c r="B2696" s="312"/>
      <c r="C2696" s="312"/>
      <c r="D2696" s="312"/>
      <c r="E2696" s="312"/>
      <c r="F2696" s="312"/>
      <c r="G2696" s="328"/>
      <c r="H2696" s="337"/>
      <c r="I2696" s="334"/>
      <c r="J2696" s="314"/>
      <c r="K2696" s="449"/>
      <c r="M2696" s="349" t="str">
        <f>N2696&amp;AS[[#This Row],[Insurer Code]]&amp;"; "&amp;O2696&amp;AS[[#This Row],[Reporting Year]]&amp;"; "&amp;P2696&amp;AS[[#This Row],[Insurance Category Code]]&amp;"; "&amp;Q2696&amp;AS[[#This Row],[Large Provider Entity Code]]&amp;"; "&amp;R2696&amp;AS[[#This Row],[Age Band Code]]&amp;"; "&amp;S2696&amp;AS[[#This Row],[Sex Code]]</f>
        <v xml:space="preserve">Insurer Code ; Reporting Year ; Insurance Category Code ; Large Provider Entity Code ; Age Band Code ; Sex Code </v>
      </c>
      <c r="N2696" s="345" t="s">
        <v>207</v>
      </c>
      <c r="O2696" s="345" t="s">
        <v>208</v>
      </c>
      <c r="P2696" s="345" t="s">
        <v>209</v>
      </c>
      <c r="Q2696" s="345" t="s">
        <v>210</v>
      </c>
      <c r="R2696" s="345" t="s">
        <v>223</v>
      </c>
      <c r="S2696" s="345" t="s">
        <v>224</v>
      </c>
    </row>
    <row r="2697" spans="1:19" x14ac:dyDescent="0.25">
      <c r="A2697" s="311"/>
      <c r="B2697" s="312"/>
      <c r="C2697" s="312"/>
      <c r="D2697" s="312"/>
      <c r="E2697" s="312"/>
      <c r="F2697" s="312"/>
      <c r="G2697" s="328"/>
      <c r="H2697" s="337"/>
      <c r="I2697" s="334"/>
      <c r="J2697" s="314"/>
      <c r="K2697" s="449"/>
      <c r="M2697" s="349" t="str">
        <f>N2697&amp;AS[[#This Row],[Insurer Code]]&amp;"; "&amp;O2697&amp;AS[[#This Row],[Reporting Year]]&amp;"; "&amp;P2697&amp;AS[[#This Row],[Insurance Category Code]]&amp;"; "&amp;Q2697&amp;AS[[#This Row],[Large Provider Entity Code]]&amp;"; "&amp;R2697&amp;AS[[#This Row],[Age Band Code]]&amp;"; "&amp;S2697&amp;AS[[#This Row],[Sex Code]]</f>
        <v xml:space="preserve">Insurer Code ; Reporting Year ; Insurance Category Code ; Large Provider Entity Code ; Age Band Code ; Sex Code </v>
      </c>
      <c r="N2697" s="345" t="s">
        <v>207</v>
      </c>
      <c r="O2697" s="345" t="s">
        <v>208</v>
      </c>
      <c r="P2697" s="345" t="s">
        <v>209</v>
      </c>
      <c r="Q2697" s="345" t="s">
        <v>210</v>
      </c>
      <c r="R2697" s="345" t="s">
        <v>223</v>
      </c>
      <c r="S2697" s="345" t="s">
        <v>224</v>
      </c>
    </row>
    <row r="2698" spans="1:19" x14ac:dyDescent="0.25">
      <c r="A2698" s="311"/>
      <c r="B2698" s="312"/>
      <c r="C2698" s="312"/>
      <c r="D2698" s="312"/>
      <c r="E2698" s="312"/>
      <c r="F2698" s="312"/>
      <c r="G2698" s="328"/>
      <c r="H2698" s="337"/>
      <c r="I2698" s="334"/>
      <c r="J2698" s="314"/>
      <c r="K2698" s="449"/>
      <c r="M2698" s="349" t="str">
        <f>N2698&amp;AS[[#This Row],[Insurer Code]]&amp;"; "&amp;O2698&amp;AS[[#This Row],[Reporting Year]]&amp;"; "&amp;P2698&amp;AS[[#This Row],[Insurance Category Code]]&amp;"; "&amp;Q2698&amp;AS[[#This Row],[Large Provider Entity Code]]&amp;"; "&amp;R2698&amp;AS[[#This Row],[Age Band Code]]&amp;"; "&amp;S2698&amp;AS[[#This Row],[Sex Code]]</f>
        <v xml:space="preserve">Insurer Code ; Reporting Year ; Insurance Category Code ; Large Provider Entity Code ; Age Band Code ; Sex Code </v>
      </c>
      <c r="N2698" s="345" t="s">
        <v>207</v>
      </c>
      <c r="O2698" s="345" t="s">
        <v>208</v>
      </c>
      <c r="P2698" s="345" t="s">
        <v>209</v>
      </c>
      <c r="Q2698" s="345" t="s">
        <v>210</v>
      </c>
      <c r="R2698" s="345" t="s">
        <v>223</v>
      </c>
      <c r="S2698" s="345" t="s">
        <v>224</v>
      </c>
    </row>
    <row r="2699" spans="1:19" x14ac:dyDescent="0.25">
      <c r="A2699" s="311"/>
      <c r="B2699" s="312"/>
      <c r="C2699" s="312"/>
      <c r="D2699" s="312"/>
      <c r="E2699" s="312"/>
      <c r="F2699" s="312"/>
      <c r="G2699" s="328"/>
      <c r="H2699" s="337"/>
      <c r="I2699" s="334"/>
      <c r="J2699" s="314"/>
      <c r="K2699" s="449"/>
      <c r="M2699" s="349" t="str">
        <f>N2699&amp;AS[[#This Row],[Insurer Code]]&amp;"; "&amp;O2699&amp;AS[[#This Row],[Reporting Year]]&amp;"; "&amp;P2699&amp;AS[[#This Row],[Insurance Category Code]]&amp;"; "&amp;Q2699&amp;AS[[#This Row],[Large Provider Entity Code]]&amp;"; "&amp;R2699&amp;AS[[#This Row],[Age Band Code]]&amp;"; "&amp;S2699&amp;AS[[#This Row],[Sex Code]]</f>
        <v xml:space="preserve">Insurer Code ; Reporting Year ; Insurance Category Code ; Large Provider Entity Code ; Age Band Code ; Sex Code </v>
      </c>
      <c r="N2699" s="345" t="s">
        <v>207</v>
      </c>
      <c r="O2699" s="345" t="s">
        <v>208</v>
      </c>
      <c r="P2699" s="345" t="s">
        <v>209</v>
      </c>
      <c r="Q2699" s="345" t="s">
        <v>210</v>
      </c>
      <c r="R2699" s="345" t="s">
        <v>223</v>
      </c>
      <c r="S2699" s="345" t="s">
        <v>224</v>
      </c>
    </row>
    <row r="2700" spans="1:19" x14ac:dyDescent="0.25">
      <c r="A2700" s="311"/>
      <c r="B2700" s="312"/>
      <c r="C2700" s="312"/>
      <c r="D2700" s="312"/>
      <c r="E2700" s="312"/>
      <c r="F2700" s="312"/>
      <c r="G2700" s="328"/>
      <c r="H2700" s="337"/>
      <c r="I2700" s="334"/>
      <c r="J2700" s="314"/>
      <c r="K2700" s="449"/>
      <c r="M2700" s="349" t="str">
        <f>N2700&amp;AS[[#This Row],[Insurer Code]]&amp;"; "&amp;O2700&amp;AS[[#This Row],[Reporting Year]]&amp;"; "&amp;P2700&amp;AS[[#This Row],[Insurance Category Code]]&amp;"; "&amp;Q2700&amp;AS[[#This Row],[Large Provider Entity Code]]&amp;"; "&amp;R2700&amp;AS[[#This Row],[Age Band Code]]&amp;"; "&amp;S2700&amp;AS[[#This Row],[Sex Code]]</f>
        <v xml:space="preserve">Insurer Code ; Reporting Year ; Insurance Category Code ; Large Provider Entity Code ; Age Band Code ; Sex Code </v>
      </c>
      <c r="N2700" s="345" t="s">
        <v>207</v>
      </c>
      <c r="O2700" s="345" t="s">
        <v>208</v>
      </c>
      <c r="P2700" s="345" t="s">
        <v>209</v>
      </c>
      <c r="Q2700" s="345" t="s">
        <v>210</v>
      </c>
      <c r="R2700" s="345" t="s">
        <v>223</v>
      </c>
      <c r="S2700" s="345" t="s">
        <v>224</v>
      </c>
    </row>
    <row r="2701" spans="1:19" x14ac:dyDescent="0.25">
      <c r="A2701" s="311"/>
      <c r="B2701" s="312"/>
      <c r="C2701" s="312"/>
      <c r="D2701" s="312"/>
      <c r="E2701" s="312"/>
      <c r="F2701" s="312"/>
      <c r="G2701" s="328"/>
      <c r="H2701" s="337"/>
      <c r="I2701" s="334"/>
      <c r="J2701" s="314"/>
      <c r="K2701" s="449"/>
      <c r="M2701" s="349" t="str">
        <f>N2701&amp;AS[[#This Row],[Insurer Code]]&amp;"; "&amp;O2701&amp;AS[[#This Row],[Reporting Year]]&amp;"; "&amp;P2701&amp;AS[[#This Row],[Insurance Category Code]]&amp;"; "&amp;Q2701&amp;AS[[#This Row],[Large Provider Entity Code]]&amp;"; "&amp;R2701&amp;AS[[#This Row],[Age Band Code]]&amp;"; "&amp;S2701&amp;AS[[#This Row],[Sex Code]]</f>
        <v xml:space="preserve">Insurer Code ; Reporting Year ; Insurance Category Code ; Large Provider Entity Code ; Age Band Code ; Sex Code </v>
      </c>
      <c r="N2701" s="345" t="s">
        <v>207</v>
      </c>
      <c r="O2701" s="345" t="s">
        <v>208</v>
      </c>
      <c r="P2701" s="345" t="s">
        <v>209</v>
      </c>
      <c r="Q2701" s="345" t="s">
        <v>210</v>
      </c>
      <c r="R2701" s="345" t="s">
        <v>223</v>
      </c>
      <c r="S2701" s="345" t="s">
        <v>224</v>
      </c>
    </row>
    <row r="2702" spans="1:19" x14ac:dyDescent="0.25">
      <c r="A2702" s="311"/>
      <c r="B2702" s="312"/>
      <c r="C2702" s="312"/>
      <c r="D2702" s="312"/>
      <c r="E2702" s="312"/>
      <c r="F2702" s="312"/>
      <c r="G2702" s="328"/>
      <c r="H2702" s="337"/>
      <c r="I2702" s="334"/>
      <c r="J2702" s="314"/>
      <c r="K2702" s="449"/>
      <c r="M2702" s="349" t="str">
        <f>N2702&amp;AS[[#This Row],[Insurer Code]]&amp;"; "&amp;O2702&amp;AS[[#This Row],[Reporting Year]]&amp;"; "&amp;P2702&amp;AS[[#This Row],[Insurance Category Code]]&amp;"; "&amp;Q2702&amp;AS[[#This Row],[Large Provider Entity Code]]&amp;"; "&amp;R2702&amp;AS[[#This Row],[Age Band Code]]&amp;"; "&amp;S2702&amp;AS[[#This Row],[Sex Code]]</f>
        <v xml:space="preserve">Insurer Code ; Reporting Year ; Insurance Category Code ; Large Provider Entity Code ; Age Band Code ; Sex Code </v>
      </c>
      <c r="N2702" s="345" t="s">
        <v>207</v>
      </c>
      <c r="O2702" s="345" t="s">
        <v>208</v>
      </c>
      <c r="P2702" s="345" t="s">
        <v>209</v>
      </c>
      <c r="Q2702" s="345" t="s">
        <v>210</v>
      </c>
      <c r="R2702" s="345" t="s">
        <v>223</v>
      </c>
      <c r="S2702" s="345" t="s">
        <v>224</v>
      </c>
    </row>
    <row r="2703" spans="1:19" x14ac:dyDescent="0.25">
      <c r="A2703" s="311"/>
      <c r="B2703" s="312"/>
      <c r="C2703" s="312"/>
      <c r="D2703" s="312"/>
      <c r="E2703" s="312"/>
      <c r="F2703" s="312"/>
      <c r="G2703" s="328"/>
      <c r="H2703" s="337"/>
      <c r="I2703" s="334"/>
      <c r="J2703" s="314"/>
      <c r="K2703" s="449"/>
      <c r="M2703" s="349" t="str">
        <f>N2703&amp;AS[[#This Row],[Insurer Code]]&amp;"; "&amp;O2703&amp;AS[[#This Row],[Reporting Year]]&amp;"; "&amp;P2703&amp;AS[[#This Row],[Insurance Category Code]]&amp;"; "&amp;Q2703&amp;AS[[#This Row],[Large Provider Entity Code]]&amp;"; "&amp;R2703&amp;AS[[#This Row],[Age Band Code]]&amp;"; "&amp;S2703&amp;AS[[#This Row],[Sex Code]]</f>
        <v xml:space="preserve">Insurer Code ; Reporting Year ; Insurance Category Code ; Large Provider Entity Code ; Age Band Code ; Sex Code </v>
      </c>
      <c r="N2703" s="345" t="s">
        <v>207</v>
      </c>
      <c r="O2703" s="345" t="s">
        <v>208</v>
      </c>
      <c r="P2703" s="345" t="s">
        <v>209</v>
      </c>
      <c r="Q2703" s="345" t="s">
        <v>210</v>
      </c>
      <c r="R2703" s="345" t="s">
        <v>223</v>
      </c>
      <c r="S2703" s="345" t="s">
        <v>224</v>
      </c>
    </row>
    <row r="2704" spans="1:19" x14ac:dyDescent="0.25">
      <c r="A2704" s="311"/>
      <c r="B2704" s="312"/>
      <c r="C2704" s="312"/>
      <c r="D2704" s="312"/>
      <c r="E2704" s="312"/>
      <c r="F2704" s="312"/>
      <c r="G2704" s="328"/>
      <c r="H2704" s="337"/>
      <c r="I2704" s="334"/>
      <c r="J2704" s="314"/>
      <c r="K2704" s="449"/>
      <c r="M2704" s="349" t="str">
        <f>N2704&amp;AS[[#This Row],[Insurer Code]]&amp;"; "&amp;O2704&amp;AS[[#This Row],[Reporting Year]]&amp;"; "&amp;P2704&amp;AS[[#This Row],[Insurance Category Code]]&amp;"; "&amp;Q2704&amp;AS[[#This Row],[Large Provider Entity Code]]&amp;"; "&amp;R2704&amp;AS[[#This Row],[Age Band Code]]&amp;"; "&amp;S2704&amp;AS[[#This Row],[Sex Code]]</f>
        <v xml:space="preserve">Insurer Code ; Reporting Year ; Insurance Category Code ; Large Provider Entity Code ; Age Band Code ; Sex Code </v>
      </c>
      <c r="N2704" s="345" t="s">
        <v>207</v>
      </c>
      <c r="O2704" s="345" t="s">
        <v>208</v>
      </c>
      <c r="P2704" s="345" t="s">
        <v>209</v>
      </c>
      <c r="Q2704" s="345" t="s">
        <v>210</v>
      </c>
      <c r="R2704" s="345" t="s">
        <v>223</v>
      </c>
      <c r="S2704" s="345" t="s">
        <v>224</v>
      </c>
    </row>
    <row r="2705" spans="1:19" x14ac:dyDescent="0.25">
      <c r="A2705" s="311"/>
      <c r="B2705" s="312"/>
      <c r="C2705" s="312"/>
      <c r="D2705" s="312"/>
      <c r="E2705" s="312"/>
      <c r="F2705" s="312"/>
      <c r="G2705" s="328"/>
      <c r="H2705" s="337"/>
      <c r="I2705" s="334"/>
      <c r="J2705" s="314"/>
      <c r="K2705" s="449"/>
      <c r="M2705" s="349" t="str">
        <f>N2705&amp;AS[[#This Row],[Insurer Code]]&amp;"; "&amp;O2705&amp;AS[[#This Row],[Reporting Year]]&amp;"; "&amp;P2705&amp;AS[[#This Row],[Insurance Category Code]]&amp;"; "&amp;Q2705&amp;AS[[#This Row],[Large Provider Entity Code]]&amp;"; "&amp;R2705&amp;AS[[#This Row],[Age Band Code]]&amp;"; "&amp;S2705&amp;AS[[#This Row],[Sex Code]]</f>
        <v xml:space="preserve">Insurer Code ; Reporting Year ; Insurance Category Code ; Large Provider Entity Code ; Age Band Code ; Sex Code </v>
      </c>
      <c r="N2705" s="345" t="s">
        <v>207</v>
      </c>
      <c r="O2705" s="345" t="s">
        <v>208</v>
      </c>
      <c r="P2705" s="345" t="s">
        <v>209</v>
      </c>
      <c r="Q2705" s="345" t="s">
        <v>210</v>
      </c>
      <c r="R2705" s="345" t="s">
        <v>223</v>
      </c>
      <c r="S2705" s="345" t="s">
        <v>224</v>
      </c>
    </row>
    <row r="2706" spans="1:19" x14ac:dyDescent="0.25">
      <c r="A2706" s="311"/>
      <c r="B2706" s="312"/>
      <c r="C2706" s="312"/>
      <c r="D2706" s="312"/>
      <c r="E2706" s="312"/>
      <c r="F2706" s="312"/>
      <c r="G2706" s="328"/>
      <c r="H2706" s="337"/>
      <c r="I2706" s="334"/>
      <c r="J2706" s="314"/>
      <c r="K2706" s="449"/>
      <c r="M2706" s="349" t="str">
        <f>N2706&amp;AS[[#This Row],[Insurer Code]]&amp;"; "&amp;O2706&amp;AS[[#This Row],[Reporting Year]]&amp;"; "&amp;P2706&amp;AS[[#This Row],[Insurance Category Code]]&amp;"; "&amp;Q2706&amp;AS[[#This Row],[Large Provider Entity Code]]&amp;"; "&amp;R2706&amp;AS[[#This Row],[Age Band Code]]&amp;"; "&amp;S2706&amp;AS[[#This Row],[Sex Code]]</f>
        <v xml:space="preserve">Insurer Code ; Reporting Year ; Insurance Category Code ; Large Provider Entity Code ; Age Band Code ; Sex Code </v>
      </c>
      <c r="N2706" s="345" t="s">
        <v>207</v>
      </c>
      <c r="O2706" s="345" t="s">
        <v>208</v>
      </c>
      <c r="P2706" s="345" t="s">
        <v>209</v>
      </c>
      <c r="Q2706" s="345" t="s">
        <v>210</v>
      </c>
      <c r="R2706" s="345" t="s">
        <v>223</v>
      </c>
      <c r="S2706" s="345" t="s">
        <v>224</v>
      </c>
    </row>
    <row r="2707" spans="1:19" x14ac:dyDescent="0.25">
      <c r="A2707" s="311"/>
      <c r="B2707" s="312"/>
      <c r="C2707" s="312"/>
      <c r="D2707" s="312"/>
      <c r="E2707" s="312"/>
      <c r="F2707" s="312"/>
      <c r="G2707" s="328"/>
      <c r="H2707" s="337"/>
      <c r="I2707" s="334"/>
      <c r="J2707" s="314"/>
      <c r="K2707" s="449"/>
      <c r="M2707" s="349" t="str">
        <f>N2707&amp;AS[[#This Row],[Insurer Code]]&amp;"; "&amp;O2707&amp;AS[[#This Row],[Reporting Year]]&amp;"; "&amp;P2707&amp;AS[[#This Row],[Insurance Category Code]]&amp;"; "&amp;Q2707&amp;AS[[#This Row],[Large Provider Entity Code]]&amp;"; "&amp;R2707&amp;AS[[#This Row],[Age Band Code]]&amp;"; "&amp;S2707&amp;AS[[#This Row],[Sex Code]]</f>
        <v xml:space="preserve">Insurer Code ; Reporting Year ; Insurance Category Code ; Large Provider Entity Code ; Age Band Code ; Sex Code </v>
      </c>
      <c r="N2707" s="345" t="s">
        <v>207</v>
      </c>
      <c r="O2707" s="345" t="s">
        <v>208</v>
      </c>
      <c r="P2707" s="345" t="s">
        <v>209</v>
      </c>
      <c r="Q2707" s="345" t="s">
        <v>210</v>
      </c>
      <c r="R2707" s="345" t="s">
        <v>223</v>
      </c>
      <c r="S2707" s="345" t="s">
        <v>224</v>
      </c>
    </row>
    <row r="2708" spans="1:19" x14ac:dyDescent="0.25">
      <c r="A2708" s="311"/>
      <c r="B2708" s="312"/>
      <c r="C2708" s="312"/>
      <c r="D2708" s="312"/>
      <c r="E2708" s="312"/>
      <c r="F2708" s="312"/>
      <c r="G2708" s="328"/>
      <c r="H2708" s="337"/>
      <c r="I2708" s="334"/>
      <c r="J2708" s="314"/>
      <c r="K2708" s="449"/>
      <c r="M2708" s="349" t="str">
        <f>N2708&amp;AS[[#This Row],[Insurer Code]]&amp;"; "&amp;O2708&amp;AS[[#This Row],[Reporting Year]]&amp;"; "&amp;P2708&amp;AS[[#This Row],[Insurance Category Code]]&amp;"; "&amp;Q2708&amp;AS[[#This Row],[Large Provider Entity Code]]&amp;"; "&amp;R2708&amp;AS[[#This Row],[Age Band Code]]&amp;"; "&amp;S2708&amp;AS[[#This Row],[Sex Code]]</f>
        <v xml:space="preserve">Insurer Code ; Reporting Year ; Insurance Category Code ; Large Provider Entity Code ; Age Band Code ; Sex Code </v>
      </c>
      <c r="N2708" s="345" t="s">
        <v>207</v>
      </c>
      <c r="O2708" s="345" t="s">
        <v>208</v>
      </c>
      <c r="P2708" s="345" t="s">
        <v>209</v>
      </c>
      <c r="Q2708" s="345" t="s">
        <v>210</v>
      </c>
      <c r="R2708" s="345" t="s">
        <v>223</v>
      </c>
      <c r="S2708" s="345" t="s">
        <v>224</v>
      </c>
    </row>
    <row r="2709" spans="1:19" x14ac:dyDescent="0.25">
      <c r="A2709" s="311"/>
      <c r="B2709" s="312"/>
      <c r="C2709" s="312"/>
      <c r="D2709" s="312"/>
      <c r="E2709" s="312"/>
      <c r="F2709" s="312"/>
      <c r="G2709" s="328"/>
      <c r="H2709" s="337"/>
      <c r="I2709" s="334"/>
      <c r="J2709" s="314"/>
      <c r="K2709" s="449"/>
      <c r="M2709" s="349" t="str">
        <f>N2709&amp;AS[[#This Row],[Insurer Code]]&amp;"; "&amp;O2709&amp;AS[[#This Row],[Reporting Year]]&amp;"; "&amp;P2709&amp;AS[[#This Row],[Insurance Category Code]]&amp;"; "&amp;Q2709&amp;AS[[#This Row],[Large Provider Entity Code]]&amp;"; "&amp;R2709&amp;AS[[#This Row],[Age Band Code]]&amp;"; "&amp;S2709&amp;AS[[#This Row],[Sex Code]]</f>
        <v xml:space="preserve">Insurer Code ; Reporting Year ; Insurance Category Code ; Large Provider Entity Code ; Age Band Code ; Sex Code </v>
      </c>
      <c r="N2709" s="345" t="s">
        <v>207</v>
      </c>
      <c r="O2709" s="345" t="s">
        <v>208</v>
      </c>
      <c r="P2709" s="345" t="s">
        <v>209</v>
      </c>
      <c r="Q2709" s="345" t="s">
        <v>210</v>
      </c>
      <c r="R2709" s="345" t="s">
        <v>223</v>
      </c>
      <c r="S2709" s="345" t="s">
        <v>224</v>
      </c>
    </row>
    <row r="2710" spans="1:19" x14ac:dyDescent="0.25">
      <c r="A2710" s="311"/>
      <c r="B2710" s="312"/>
      <c r="C2710" s="312"/>
      <c r="D2710" s="312"/>
      <c r="E2710" s="312"/>
      <c r="F2710" s="312"/>
      <c r="G2710" s="328"/>
      <c r="H2710" s="337"/>
      <c r="I2710" s="334"/>
      <c r="J2710" s="314"/>
      <c r="K2710" s="449"/>
      <c r="M2710" s="349" t="str">
        <f>N2710&amp;AS[[#This Row],[Insurer Code]]&amp;"; "&amp;O2710&amp;AS[[#This Row],[Reporting Year]]&amp;"; "&amp;P2710&amp;AS[[#This Row],[Insurance Category Code]]&amp;"; "&amp;Q2710&amp;AS[[#This Row],[Large Provider Entity Code]]&amp;"; "&amp;R2710&amp;AS[[#This Row],[Age Band Code]]&amp;"; "&amp;S2710&amp;AS[[#This Row],[Sex Code]]</f>
        <v xml:space="preserve">Insurer Code ; Reporting Year ; Insurance Category Code ; Large Provider Entity Code ; Age Band Code ; Sex Code </v>
      </c>
      <c r="N2710" s="345" t="s">
        <v>207</v>
      </c>
      <c r="O2710" s="345" t="s">
        <v>208</v>
      </c>
      <c r="P2710" s="345" t="s">
        <v>209</v>
      </c>
      <c r="Q2710" s="345" t="s">
        <v>210</v>
      </c>
      <c r="R2710" s="345" t="s">
        <v>223</v>
      </c>
      <c r="S2710" s="345" t="s">
        <v>224</v>
      </c>
    </row>
    <row r="2711" spans="1:19" x14ac:dyDescent="0.25">
      <c r="A2711" s="311"/>
      <c r="B2711" s="312"/>
      <c r="C2711" s="312"/>
      <c r="D2711" s="312"/>
      <c r="E2711" s="312"/>
      <c r="F2711" s="312"/>
      <c r="G2711" s="328"/>
      <c r="H2711" s="337"/>
      <c r="I2711" s="334"/>
      <c r="J2711" s="314"/>
      <c r="K2711" s="449"/>
      <c r="M2711" s="349" t="str">
        <f>N2711&amp;AS[[#This Row],[Insurer Code]]&amp;"; "&amp;O2711&amp;AS[[#This Row],[Reporting Year]]&amp;"; "&amp;P2711&amp;AS[[#This Row],[Insurance Category Code]]&amp;"; "&amp;Q2711&amp;AS[[#This Row],[Large Provider Entity Code]]&amp;"; "&amp;R2711&amp;AS[[#This Row],[Age Band Code]]&amp;"; "&amp;S2711&amp;AS[[#This Row],[Sex Code]]</f>
        <v xml:space="preserve">Insurer Code ; Reporting Year ; Insurance Category Code ; Large Provider Entity Code ; Age Band Code ; Sex Code </v>
      </c>
      <c r="N2711" s="345" t="s">
        <v>207</v>
      </c>
      <c r="O2711" s="345" t="s">
        <v>208</v>
      </c>
      <c r="P2711" s="345" t="s">
        <v>209</v>
      </c>
      <c r="Q2711" s="345" t="s">
        <v>210</v>
      </c>
      <c r="R2711" s="345" t="s">
        <v>223</v>
      </c>
      <c r="S2711" s="345" t="s">
        <v>224</v>
      </c>
    </row>
    <row r="2712" spans="1:19" x14ac:dyDescent="0.25">
      <c r="A2712" s="311"/>
      <c r="B2712" s="312"/>
      <c r="C2712" s="312"/>
      <c r="D2712" s="312"/>
      <c r="E2712" s="312"/>
      <c r="F2712" s="312"/>
      <c r="G2712" s="328"/>
      <c r="H2712" s="337"/>
      <c r="I2712" s="334"/>
      <c r="J2712" s="314"/>
      <c r="K2712" s="449"/>
      <c r="M2712" s="349" t="str">
        <f>N2712&amp;AS[[#This Row],[Insurer Code]]&amp;"; "&amp;O2712&amp;AS[[#This Row],[Reporting Year]]&amp;"; "&amp;P2712&amp;AS[[#This Row],[Insurance Category Code]]&amp;"; "&amp;Q2712&amp;AS[[#This Row],[Large Provider Entity Code]]&amp;"; "&amp;R2712&amp;AS[[#This Row],[Age Band Code]]&amp;"; "&amp;S2712&amp;AS[[#This Row],[Sex Code]]</f>
        <v xml:space="preserve">Insurer Code ; Reporting Year ; Insurance Category Code ; Large Provider Entity Code ; Age Band Code ; Sex Code </v>
      </c>
      <c r="N2712" s="345" t="s">
        <v>207</v>
      </c>
      <c r="O2712" s="345" t="s">
        <v>208</v>
      </c>
      <c r="P2712" s="345" t="s">
        <v>209</v>
      </c>
      <c r="Q2712" s="345" t="s">
        <v>210</v>
      </c>
      <c r="R2712" s="345" t="s">
        <v>223</v>
      </c>
      <c r="S2712" s="345" t="s">
        <v>224</v>
      </c>
    </row>
    <row r="2713" spans="1:19" x14ac:dyDescent="0.25">
      <c r="A2713" s="311"/>
      <c r="B2713" s="312"/>
      <c r="C2713" s="312"/>
      <c r="D2713" s="312"/>
      <c r="E2713" s="312"/>
      <c r="F2713" s="312"/>
      <c r="G2713" s="328"/>
      <c r="H2713" s="337"/>
      <c r="I2713" s="334"/>
      <c r="J2713" s="314"/>
      <c r="K2713" s="449"/>
      <c r="M2713" s="349" t="str">
        <f>N2713&amp;AS[[#This Row],[Insurer Code]]&amp;"; "&amp;O2713&amp;AS[[#This Row],[Reporting Year]]&amp;"; "&amp;P2713&amp;AS[[#This Row],[Insurance Category Code]]&amp;"; "&amp;Q2713&amp;AS[[#This Row],[Large Provider Entity Code]]&amp;"; "&amp;R2713&amp;AS[[#This Row],[Age Band Code]]&amp;"; "&amp;S2713&amp;AS[[#This Row],[Sex Code]]</f>
        <v xml:space="preserve">Insurer Code ; Reporting Year ; Insurance Category Code ; Large Provider Entity Code ; Age Band Code ; Sex Code </v>
      </c>
      <c r="N2713" s="345" t="s">
        <v>207</v>
      </c>
      <c r="O2713" s="345" t="s">
        <v>208</v>
      </c>
      <c r="P2713" s="345" t="s">
        <v>209</v>
      </c>
      <c r="Q2713" s="345" t="s">
        <v>210</v>
      </c>
      <c r="R2713" s="345" t="s">
        <v>223</v>
      </c>
      <c r="S2713" s="345" t="s">
        <v>224</v>
      </c>
    </row>
    <row r="2714" spans="1:19" x14ac:dyDescent="0.25">
      <c r="A2714" s="311"/>
      <c r="B2714" s="312"/>
      <c r="C2714" s="312"/>
      <c r="D2714" s="312"/>
      <c r="E2714" s="312"/>
      <c r="F2714" s="312"/>
      <c r="G2714" s="328"/>
      <c r="H2714" s="337"/>
      <c r="I2714" s="334"/>
      <c r="J2714" s="314"/>
      <c r="K2714" s="449"/>
      <c r="M2714" s="349" t="str">
        <f>N2714&amp;AS[[#This Row],[Insurer Code]]&amp;"; "&amp;O2714&amp;AS[[#This Row],[Reporting Year]]&amp;"; "&amp;P2714&amp;AS[[#This Row],[Insurance Category Code]]&amp;"; "&amp;Q2714&amp;AS[[#This Row],[Large Provider Entity Code]]&amp;"; "&amp;R2714&amp;AS[[#This Row],[Age Band Code]]&amp;"; "&amp;S2714&amp;AS[[#This Row],[Sex Code]]</f>
        <v xml:space="preserve">Insurer Code ; Reporting Year ; Insurance Category Code ; Large Provider Entity Code ; Age Band Code ; Sex Code </v>
      </c>
      <c r="N2714" s="345" t="s">
        <v>207</v>
      </c>
      <c r="O2714" s="345" t="s">
        <v>208</v>
      </c>
      <c r="P2714" s="345" t="s">
        <v>209</v>
      </c>
      <c r="Q2714" s="345" t="s">
        <v>210</v>
      </c>
      <c r="R2714" s="345" t="s">
        <v>223</v>
      </c>
      <c r="S2714" s="345" t="s">
        <v>224</v>
      </c>
    </row>
    <row r="2715" spans="1:19" x14ac:dyDescent="0.25">
      <c r="A2715" s="311"/>
      <c r="B2715" s="312"/>
      <c r="C2715" s="312"/>
      <c r="D2715" s="312"/>
      <c r="E2715" s="312"/>
      <c r="F2715" s="312"/>
      <c r="G2715" s="328"/>
      <c r="H2715" s="337"/>
      <c r="I2715" s="334"/>
      <c r="J2715" s="314"/>
      <c r="K2715" s="449"/>
      <c r="M2715" s="349" t="str">
        <f>N2715&amp;AS[[#This Row],[Insurer Code]]&amp;"; "&amp;O2715&amp;AS[[#This Row],[Reporting Year]]&amp;"; "&amp;P2715&amp;AS[[#This Row],[Insurance Category Code]]&amp;"; "&amp;Q2715&amp;AS[[#This Row],[Large Provider Entity Code]]&amp;"; "&amp;R2715&amp;AS[[#This Row],[Age Band Code]]&amp;"; "&amp;S2715&amp;AS[[#This Row],[Sex Code]]</f>
        <v xml:space="preserve">Insurer Code ; Reporting Year ; Insurance Category Code ; Large Provider Entity Code ; Age Band Code ; Sex Code </v>
      </c>
      <c r="N2715" s="345" t="s">
        <v>207</v>
      </c>
      <c r="O2715" s="345" t="s">
        <v>208</v>
      </c>
      <c r="P2715" s="345" t="s">
        <v>209</v>
      </c>
      <c r="Q2715" s="345" t="s">
        <v>210</v>
      </c>
      <c r="R2715" s="345" t="s">
        <v>223</v>
      </c>
      <c r="S2715" s="345" t="s">
        <v>224</v>
      </c>
    </row>
    <row r="2716" spans="1:19" x14ac:dyDescent="0.25">
      <c r="A2716" s="311"/>
      <c r="B2716" s="312"/>
      <c r="C2716" s="312"/>
      <c r="D2716" s="312"/>
      <c r="E2716" s="312"/>
      <c r="F2716" s="312"/>
      <c r="G2716" s="328"/>
      <c r="H2716" s="337"/>
      <c r="I2716" s="334"/>
      <c r="J2716" s="314"/>
      <c r="K2716" s="449"/>
      <c r="M2716" s="349" t="str">
        <f>N2716&amp;AS[[#This Row],[Insurer Code]]&amp;"; "&amp;O2716&amp;AS[[#This Row],[Reporting Year]]&amp;"; "&amp;P2716&amp;AS[[#This Row],[Insurance Category Code]]&amp;"; "&amp;Q2716&amp;AS[[#This Row],[Large Provider Entity Code]]&amp;"; "&amp;R2716&amp;AS[[#This Row],[Age Band Code]]&amp;"; "&amp;S2716&amp;AS[[#This Row],[Sex Code]]</f>
        <v xml:space="preserve">Insurer Code ; Reporting Year ; Insurance Category Code ; Large Provider Entity Code ; Age Band Code ; Sex Code </v>
      </c>
      <c r="N2716" s="345" t="s">
        <v>207</v>
      </c>
      <c r="O2716" s="345" t="s">
        <v>208</v>
      </c>
      <c r="P2716" s="345" t="s">
        <v>209</v>
      </c>
      <c r="Q2716" s="345" t="s">
        <v>210</v>
      </c>
      <c r="R2716" s="345" t="s">
        <v>223</v>
      </c>
      <c r="S2716" s="345" t="s">
        <v>224</v>
      </c>
    </row>
    <row r="2717" spans="1:19" x14ac:dyDescent="0.25">
      <c r="A2717" s="311"/>
      <c r="B2717" s="312"/>
      <c r="C2717" s="312"/>
      <c r="D2717" s="312"/>
      <c r="E2717" s="312"/>
      <c r="F2717" s="312"/>
      <c r="G2717" s="328"/>
      <c r="H2717" s="337"/>
      <c r="I2717" s="334"/>
      <c r="J2717" s="314"/>
      <c r="K2717" s="449"/>
      <c r="M2717" s="349" t="str">
        <f>N2717&amp;AS[[#This Row],[Insurer Code]]&amp;"; "&amp;O2717&amp;AS[[#This Row],[Reporting Year]]&amp;"; "&amp;P2717&amp;AS[[#This Row],[Insurance Category Code]]&amp;"; "&amp;Q2717&amp;AS[[#This Row],[Large Provider Entity Code]]&amp;"; "&amp;R2717&amp;AS[[#This Row],[Age Band Code]]&amp;"; "&amp;S2717&amp;AS[[#This Row],[Sex Code]]</f>
        <v xml:space="preserve">Insurer Code ; Reporting Year ; Insurance Category Code ; Large Provider Entity Code ; Age Band Code ; Sex Code </v>
      </c>
      <c r="N2717" s="345" t="s">
        <v>207</v>
      </c>
      <c r="O2717" s="345" t="s">
        <v>208</v>
      </c>
      <c r="P2717" s="345" t="s">
        <v>209</v>
      </c>
      <c r="Q2717" s="345" t="s">
        <v>210</v>
      </c>
      <c r="R2717" s="345" t="s">
        <v>223</v>
      </c>
      <c r="S2717" s="345" t="s">
        <v>224</v>
      </c>
    </row>
    <row r="2718" spans="1:19" x14ac:dyDescent="0.25">
      <c r="A2718" s="311"/>
      <c r="B2718" s="312"/>
      <c r="C2718" s="312"/>
      <c r="D2718" s="312"/>
      <c r="E2718" s="312"/>
      <c r="F2718" s="312"/>
      <c r="G2718" s="328"/>
      <c r="H2718" s="337"/>
      <c r="I2718" s="334"/>
      <c r="J2718" s="314"/>
      <c r="K2718" s="449"/>
      <c r="M2718" s="349" t="str">
        <f>N2718&amp;AS[[#This Row],[Insurer Code]]&amp;"; "&amp;O2718&amp;AS[[#This Row],[Reporting Year]]&amp;"; "&amp;P2718&amp;AS[[#This Row],[Insurance Category Code]]&amp;"; "&amp;Q2718&amp;AS[[#This Row],[Large Provider Entity Code]]&amp;"; "&amp;R2718&amp;AS[[#This Row],[Age Band Code]]&amp;"; "&amp;S2718&amp;AS[[#This Row],[Sex Code]]</f>
        <v xml:space="preserve">Insurer Code ; Reporting Year ; Insurance Category Code ; Large Provider Entity Code ; Age Band Code ; Sex Code </v>
      </c>
      <c r="N2718" s="345" t="s">
        <v>207</v>
      </c>
      <c r="O2718" s="345" t="s">
        <v>208</v>
      </c>
      <c r="P2718" s="345" t="s">
        <v>209</v>
      </c>
      <c r="Q2718" s="345" t="s">
        <v>210</v>
      </c>
      <c r="R2718" s="345" t="s">
        <v>223</v>
      </c>
      <c r="S2718" s="345" t="s">
        <v>224</v>
      </c>
    </row>
    <row r="2719" spans="1:19" x14ac:dyDescent="0.25">
      <c r="A2719" s="311"/>
      <c r="B2719" s="312"/>
      <c r="C2719" s="312"/>
      <c r="D2719" s="312"/>
      <c r="E2719" s="312"/>
      <c r="F2719" s="312"/>
      <c r="G2719" s="328"/>
      <c r="H2719" s="337"/>
      <c r="I2719" s="334"/>
      <c r="J2719" s="314"/>
      <c r="K2719" s="449"/>
      <c r="M2719" s="349" t="str">
        <f>N2719&amp;AS[[#This Row],[Insurer Code]]&amp;"; "&amp;O2719&amp;AS[[#This Row],[Reporting Year]]&amp;"; "&amp;P2719&amp;AS[[#This Row],[Insurance Category Code]]&amp;"; "&amp;Q2719&amp;AS[[#This Row],[Large Provider Entity Code]]&amp;"; "&amp;R2719&amp;AS[[#This Row],[Age Band Code]]&amp;"; "&amp;S2719&amp;AS[[#This Row],[Sex Code]]</f>
        <v xml:space="preserve">Insurer Code ; Reporting Year ; Insurance Category Code ; Large Provider Entity Code ; Age Band Code ; Sex Code </v>
      </c>
      <c r="N2719" s="345" t="s">
        <v>207</v>
      </c>
      <c r="O2719" s="345" t="s">
        <v>208</v>
      </c>
      <c r="P2719" s="345" t="s">
        <v>209</v>
      </c>
      <c r="Q2719" s="345" t="s">
        <v>210</v>
      </c>
      <c r="R2719" s="345" t="s">
        <v>223</v>
      </c>
      <c r="S2719" s="345" t="s">
        <v>224</v>
      </c>
    </row>
    <row r="2720" spans="1:19" x14ac:dyDescent="0.25">
      <c r="A2720" s="311"/>
      <c r="B2720" s="312"/>
      <c r="C2720" s="312"/>
      <c r="D2720" s="312"/>
      <c r="E2720" s="312"/>
      <c r="F2720" s="312"/>
      <c r="G2720" s="328"/>
      <c r="H2720" s="337"/>
      <c r="I2720" s="334"/>
      <c r="J2720" s="314"/>
      <c r="K2720" s="449"/>
      <c r="M2720" s="349" t="str">
        <f>N2720&amp;AS[[#This Row],[Insurer Code]]&amp;"; "&amp;O2720&amp;AS[[#This Row],[Reporting Year]]&amp;"; "&amp;P2720&amp;AS[[#This Row],[Insurance Category Code]]&amp;"; "&amp;Q2720&amp;AS[[#This Row],[Large Provider Entity Code]]&amp;"; "&amp;R2720&amp;AS[[#This Row],[Age Band Code]]&amp;"; "&amp;S2720&amp;AS[[#This Row],[Sex Code]]</f>
        <v xml:space="preserve">Insurer Code ; Reporting Year ; Insurance Category Code ; Large Provider Entity Code ; Age Band Code ; Sex Code </v>
      </c>
      <c r="N2720" s="345" t="s">
        <v>207</v>
      </c>
      <c r="O2720" s="345" t="s">
        <v>208</v>
      </c>
      <c r="P2720" s="345" t="s">
        <v>209</v>
      </c>
      <c r="Q2720" s="345" t="s">
        <v>210</v>
      </c>
      <c r="R2720" s="345" t="s">
        <v>223</v>
      </c>
      <c r="S2720" s="345" t="s">
        <v>224</v>
      </c>
    </row>
    <row r="2721" spans="1:19" x14ac:dyDescent="0.25">
      <c r="A2721" s="311"/>
      <c r="B2721" s="312"/>
      <c r="C2721" s="312"/>
      <c r="D2721" s="312"/>
      <c r="E2721" s="312"/>
      <c r="F2721" s="312"/>
      <c r="G2721" s="328"/>
      <c r="H2721" s="337"/>
      <c r="I2721" s="334"/>
      <c r="J2721" s="314"/>
      <c r="K2721" s="449"/>
      <c r="M2721" s="349" t="str">
        <f>N2721&amp;AS[[#This Row],[Insurer Code]]&amp;"; "&amp;O2721&amp;AS[[#This Row],[Reporting Year]]&amp;"; "&amp;P2721&amp;AS[[#This Row],[Insurance Category Code]]&amp;"; "&amp;Q2721&amp;AS[[#This Row],[Large Provider Entity Code]]&amp;"; "&amp;R2721&amp;AS[[#This Row],[Age Band Code]]&amp;"; "&amp;S2721&amp;AS[[#This Row],[Sex Code]]</f>
        <v xml:space="preserve">Insurer Code ; Reporting Year ; Insurance Category Code ; Large Provider Entity Code ; Age Band Code ; Sex Code </v>
      </c>
      <c r="N2721" s="345" t="s">
        <v>207</v>
      </c>
      <c r="O2721" s="345" t="s">
        <v>208</v>
      </c>
      <c r="P2721" s="345" t="s">
        <v>209</v>
      </c>
      <c r="Q2721" s="345" t="s">
        <v>210</v>
      </c>
      <c r="R2721" s="345" t="s">
        <v>223</v>
      </c>
      <c r="S2721" s="345" t="s">
        <v>224</v>
      </c>
    </row>
    <row r="2722" spans="1:19" x14ac:dyDescent="0.25">
      <c r="A2722" s="311"/>
      <c r="B2722" s="312"/>
      <c r="C2722" s="312"/>
      <c r="D2722" s="312"/>
      <c r="E2722" s="312"/>
      <c r="F2722" s="312"/>
      <c r="G2722" s="328"/>
      <c r="H2722" s="337"/>
      <c r="I2722" s="334"/>
      <c r="J2722" s="314"/>
      <c r="K2722" s="449"/>
      <c r="M2722" s="349" t="str">
        <f>N2722&amp;AS[[#This Row],[Insurer Code]]&amp;"; "&amp;O2722&amp;AS[[#This Row],[Reporting Year]]&amp;"; "&amp;P2722&amp;AS[[#This Row],[Insurance Category Code]]&amp;"; "&amp;Q2722&amp;AS[[#This Row],[Large Provider Entity Code]]&amp;"; "&amp;R2722&amp;AS[[#This Row],[Age Band Code]]&amp;"; "&amp;S2722&amp;AS[[#This Row],[Sex Code]]</f>
        <v xml:space="preserve">Insurer Code ; Reporting Year ; Insurance Category Code ; Large Provider Entity Code ; Age Band Code ; Sex Code </v>
      </c>
      <c r="N2722" s="345" t="s">
        <v>207</v>
      </c>
      <c r="O2722" s="345" t="s">
        <v>208</v>
      </c>
      <c r="P2722" s="345" t="s">
        <v>209</v>
      </c>
      <c r="Q2722" s="345" t="s">
        <v>210</v>
      </c>
      <c r="R2722" s="345" t="s">
        <v>223</v>
      </c>
      <c r="S2722" s="345" t="s">
        <v>224</v>
      </c>
    </row>
    <row r="2723" spans="1:19" x14ac:dyDescent="0.25">
      <c r="A2723" s="311"/>
      <c r="B2723" s="312"/>
      <c r="C2723" s="312"/>
      <c r="D2723" s="312"/>
      <c r="E2723" s="312"/>
      <c r="F2723" s="312"/>
      <c r="G2723" s="328"/>
      <c r="H2723" s="337"/>
      <c r="I2723" s="334"/>
      <c r="J2723" s="314"/>
      <c r="K2723" s="449"/>
      <c r="M2723" s="349" t="str">
        <f>N2723&amp;AS[[#This Row],[Insurer Code]]&amp;"; "&amp;O2723&amp;AS[[#This Row],[Reporting Year]]&amp;"; "&amp;P2723&amp;AS[[#This Row],[Insurance Category Code]]&amp;"; "&amp;Q2723&amp;AS[[#This Row],[Large Provider Entity Code]]&amp;"; "&amp;R2723&amp;AS[[#This Row],[Age Band Code]]&amp;"; "&amp;S2723&amp;AS[[#This Row],[Sex Code]]</f>
        <v xml:space="preserve">Insurer Code ; Reporting Year ; Insurance Category Code ; Large Provider Entity Code ; Age Band Code ; Sex Code </v>
      </c>
      <c r="N2723" s="345" t="s">
        <v>207</v>
      </c>
      <c r="O2723" s="345" t="s">
        <v>208</v>
      </c>
      <c r="P2723" s="345" t="s">
        <v>209</v>
      </c>
      <c r="Q2723" s="345" t="s">
        <v>210</v>
      </c>
      <c r="R2723" s="345" t="s">
        <v>223</v>
      </c>
      <c r="S2723" s="345" t="s">
        <v>224</v>
      </c>
    </row>
    <row r="2724" spans="1:19" x14ac:dyDescent="0.25">
      <c r="A2724" s="311"/>
      <c r="B2724" s="312"/>
      <c r="C2724" s="312"/>
      <c r="D2724" s="312"/>
      <c r="E2724" s="312"/>
      <c r="F2724" s="312"/>
      <c r="G2724" s="328"/>
      <c r="H2724" s="337"/>
      <c r="I2724" s="334"/>
      <c r="J2724" s="314"/>
      <c r="K2724" s="449"/>
      <c r="M2724" s="349" t="str">
        <f>N2724&amp;AS[[#This Row],[Insurer Code]]&amp;"; "&amp;O2724&amp;AS[[#This Row],[Reporting Year]]&amp;"; "&amp;P2724&amp;AS[[#This Row],[Insurance Category Code]]&amp;"; "&amp;Q2724&amp;AS[[#This Row],[Large Provider Entity Code]]&amp;"; "&amp;R2724&amp;AS[[#This Row],[Age Band Code]]&amp;"; "&amp;S2724&amp;AS[[#This Row],[Sex Code]]</f>
        <v xml:space="preserve">Insurer Code ; Reporting Year ; Insurance Category Code ; Large Provider Entity Code ; Age Band Code ; Sex Code </v>
      </c>
      <c r="N2724" s="345" t="s">
        <v>207</v>
      </c>
      <c r="O2724" s="345" t="s">
        <v>208</v>
      </c>
      <c r="P2724" s="345" t="s">
        <v>209</v>
      </c>
      <c r="Q2724" s="345" t="s">
        <v>210</v>
      </c>
      <c r="R2724" s="345" t="s">
        <v>223</v>
      </c>
      <c r="S2724" s="345" t="s">
        <v>224</v>
      </c>
    </row>
    <row r="2725" spans="1:19" x14ac:dyDescent="0.25">
      <c r="A2725" s="311"/>
      <c r="B2725" s="312"/>
      <c r="C2725" s="312"/>
      <c r="D2725" s="312"/>
      <c r="E2725" s="312"/>
      <c r="F2725" s="312"/>
      <c r="G2725" s="328"/>
      <c r="H2725" s="337"/>
      <c r="I2725" s="334"/>
      <c r="J2725" s="314"/>
      <c r="K2725" s="449"/>
      <c r="M2725" s="349" t="str">
        <f>N2725&amp;AS[[#This Row],[Insurer Code]]&amp;"; "&amp;O2725&amp;AS[[#This Row],[Reporting Year]]&amp;"; "&amp;P2725&amp;AS[[#This Row],[Insurance Category Code]]&amp;"; "&amp;Q2725&amp;AS[[#This Row],[Large Provider Entity Code]]&amp;"; "&amp;R2725&amp;AS[[#This Row],[Age Band Code]]&amp;"; "&amp;S2725&amp;AS[[#This Row],[Sex Code]]</f>
        <v xml:space="preserve">Insurer Code ; Reporting Year ; Insurance Category Code ; Large Provider Entity Code ; Age Band Code ; Sex Code </v>
      </c>
      <c r="N2725" s="345" t="s">
        <v>207</v>
      </c>
      <c r="O2725" s="345" t="s">
        <v>208</v>
      </c>
      <c r="P2725" s="345" t="s">
        <v>209</v>
      </c>
      <c r="Q2725" s="345" t="s">
        <v>210</v>
      </c>
      <c r="R2725" s="345" t="s">
        <v>223</v>
      </c>
      <c r="S2725" s="345" t="s">
        <v>224</v>
      </c>
    </row>
    <row r="2726" spans="1:19" x14ac:dyDescent="0.25">
      <c r="A2726" s="311"/>
      <c r="B2726" s="312"/>
      <c r="C2726" s="312"/>
      <c r="D2726" s="312"/>
      <c r="E2726" s="312"/>
      <c r="F2726" s="312"/>
      <c r="G2726" s="328"/>
      <c r="H2726" s="337"/>
      <c r="I2726" s="334"/>
      <c r="J2726" s="314"/>
      <c r="K2726" s="449"/>
      <c r="M2726" s="349" t="str">
        <f>N2726&amp;AS[[#This Row],[Insurer Code]]&amp;"; "&amp;O2726&amp;AS[[#This Row],[Reporting Year]]&amp;"; "&amp;P2726&amp;AS[[#This Row],[Insurance Category Code]]&amp;"; "&amp;Q2726&amp;AS[[#This Row],[Large Provider Entity Code]]&amp;"; "&amp;R2726&amp;AS[[#This Row],[Age Band Code]]&amp;"; "&amp;S2726&amp;AS[[#This Row],[Sex Code]]</f>
        <v xml:space="preserve">Insurer Code ; Reporting Year ; Insurance Category Code ; Large Provider Entity Code ; Age Band Code ; Sex Code </v>
      </c>
      <c r="N2726" s="345" t="s">
        <v>207</v>
      </c>
      <c r="O2726" s="345" t="s">
        <v>208</v>
      </c>
      <c r="P2726" s="345" t="s">
        <v>209</v>
      </c>
      <c r="Q2726" s="345" t="s">
        <v>210</v>
      </c>
      <c r="R2726" s="345" t="s">
        <v>223</v>
      </c>
      <c r="S2726" s="345" t="s">
        <v>224</v>
      </c>
    </row>
    <row r="2727" spans="1:19" x14ac:dyDescent="0.25">
      <c r="A2727" s="311"/>
      <c r="B2727" s="312"/>
      <c r="C2727" s="312"/>
      <c r="D2727" s="312"/>
      <c r="E2727" s="312"/>
      <c r="F2727" s="312"/>
      <c r="G2727" s="328"/>
      <c r="H2727" s="337"/>
      <c r="I2727" s="334"/>
      <c r="J2727" s="314"/>
      <c r="K2727" s="449"/>
      <c r="M2727" s="349" t="str">
        <f>N2727&amp;AS[[#This Row],[Insurer Code]]&amp;"; "&amp;O2727&amp;AS[[#This Row],[Reporting Year]]&amp;"; "&amp;P2727&amp;AS[[#This Row],[Insurance Category Code]]&amp;"; "&amp;Q2727&amp;AS[[#This Row],[Large Provider Entity Code]]&amp;"; "&amp;R2727&amp;AS[[#This Row],[Age Band Code]]&amp;"; "&amp;S2727&amp;AS[[#This Row],[Sex Code]]</f>
        <v xml:space="preserve">Insurer Code ; Reporting Year ; Insurance Category Code ; Large Provider Entity Code ; Age Band Code ; Sex Code </v>
      </c>
      <c r="N2727" s="345" t="s">
        <v>207</v>
      </c>
      <c r="O2727" s="345" t="s">
        <v>208</v>
      </c>
      <c r="P2727" s="345" t="s">
        <v>209</v>
      </c>
      <c r="Q2727" s="345" t="s">
        <v>210</v>
      </c>
      <c r="R2727" s="345" t="s">
        <v>223</v>
      </c>
      <c r="S2727" s="345" t="s">
        <v>224</v>
      </c>
    </row>
    <row r="2728" spans="1:19" x14ac:dyDescent="0.25">
      <c r="A2728" s="311"/>
      <c r="B2728" s="312"/>
      <c r="C2728" s="312"/>
      <c r="D2728" s="312"/>
      <c r="E2728" s="312"/>
      <c r="F2728" s="312"/>
      <c r="G2728" s="328"/>
      <c r="H2728" s="337"/>
      <c r="I2728" s="334"/>
      <c r="J2728" s="314"/>
      <c r="K2728" s="449"/>
      <c r="M2728" s="349" t="str">
        <f>N2728&amp;AS[[#This Row],[Insurer Code]]&amp;"; "&amp;O2728&amp;AS[[#This Row],[Reporting Year]]&amp;"; "&amp;P2728&amp;AS[[#This Row],[Insurance Category Code]]&amp;"; "&amp;Q2728&amp;AS[[#This Row],[Large Provider Entity Code]]&amp;"; "&amp;R2728&amp;AS[[#This Row],[Age Band Code]]&amp;"; "&amp;S2728&amp;AS[[#This Row],[Sex Code]]</f>
        <v xml:space="preserve">Insurer Code ; Reporting Year ; Insurance Category Code ; Large Provider Entity Code ; Age Band Code ; Sex Code </v>
      </c>
      <c r="N2728" s="345" t="s">
        <v>207</v>
      </c>
      <c r="O2728" s="345" t="s">
        <v>208</v>
      </c>
      <c r="P2728" s="345" t="s">
        <v>209</v>
      </c>
      <c r="Q2728" s="345" t="s">
        <v>210</v>
      </c>
      <c r="R2728" s="345" t="s">
        <v>223</v>
      </c>
      <c r="S2728" s="345" t="s">
        <v>224</v>
      </c>
    </row>
    <row r="2729" spans="1:19" x14ac:dyDescent="0.25">
      <c r="A2729" s="311"/>
      <c r="B2729" s="312"/>
      <c r="C2729" s="312"/>
      <c r="D2729" s="312"/>
      <c r="E2729" s="312"/>
      <c r="F2729" s="312"/>
      <c r="G2729" s="328"/>
      <c r="H2729" s="337"/>
      <c r="I2729" s="334"/>
      <c r="J2729" s="314"/>
      <c r="K2729" s="449"/>
      <c r="M2729" s="349" t="str">
        <f>N2729&amp;AS[[#This Row],[Insurer Code]]&amp;"; "&amp;O2729&amp;AS[[#This Row],[Reporting Year]]&amp;"; "&amp;P2729&amp;AS[[#This Row],[Insurance Category Code]]&amp;"; "&amp;Q2729&amp;AS[[#This Row],[Large Provider Entity Code]]&amp;"; "&amp;R2729&amp;AS[[#This Row],[Age Band Code]]&amp;"; "&amp;S2729&amp;AS[[#This Row],[Sex Code]]</f>
        <v xml:space="preserve">Insurer Code ; Reporting Year ; Insurance Category Code ; Large Provider Entity Code ; Age Band Code ; Sex Code </v>
      </c>
      <c r="N2729" s="345" t="s">
        <v>207</v>
      </c>
      <c r="O2729" s="345" t="s">
        <v>208</v>
      </c>
      <c r="P2729" s="345" t="s">
        <v>209</v>
      </c>
      <c r="Q2729" s="345" t="s">
        <v>210</v>
      </c>
      <c r="R2729" s="345" t="s">
        <v>223</v>
      </c>
      <c r="S2729" s="345" t="s">
        <v>224</v>
      </c>
    </row>
    <row r="2730" spans="1:19" x14ac:dyDescent="0.25">
      <c r="A2730" s="311"/>
      <c r="B2730" s="312"/>
      <c r="C2730" s="312"/>
      <c r="D2730" s="312"/>
      <c r="E2730" s="312"/>
      <c r="F2730" s="312"/>
      <c r="G2730" s="328"/>
      <c r="H2730" s="337"/>
      <c r="I2730" s="334"/>
      <c r="J2730" s="314"/>
      <c r="K2730" s="449"/>
      <c r="M2730" s="349" t="str">
        <f>N2730&amp;AS[[#This Row],[Insurer Code]]&amp;"; "&amp;O2730&amp;AS[[#This Row],[Reporting Year]]&amp;"; "&amp;P2730&amp;AS[[#This Row],[Insurance Category Code]]&amp;"; "&amp;Q2730&amp;AS[[#This Row],[Large Provider Entity Code]]&amp;"; "&amp;R2730&amp;AS[[#This Row],[Age Band Code]]&amp;"; "&amp;S2730&amp;AS[[#This Row],[Sex Code]]</f>
        <v xml:space="preserve">Insurer Code ; Reporting Year ; Insurance Category Code ; Large Provider Entity Code ; Age Band Code ; Sex Code </v>
      </c>
      <c r="N2730" s="345" t="s">
        <v>207</v>
      </c>
      <c r="O2730" s="345" t="s">
        <v>208</v>
      </c>
      <c r="P2730" s="345" t="s">
        <v>209</v>
      </c>
      <c r="Q2730" s="345" t="s">
        <v>210</v>
      </c>
      <c r="R2730" s="345" t="s">
        <v>223</v>
      </c>
      <c r="S2730" s="345" t="s">
        <v>224</v>
      </c>
    </row>
    <row r="2731" spans="1:19" x14ac:dyDescent="0.25">
      <c r="A2731" s="311"/>
      <c r="B2731" s="312"/>
      <c r="C2731" s="312"/>
      <c r="D2731" s="312"/>
      <c r="E2731" s="312"/>
      <c r="F2731" s="312"/>
      <c r="G2731" s="328"/>
      <c r="H2731" s="337"/>
      <c r="I2731" s="334"/>
      <c r="J2731" s="314"/>
      <c r="K2731" s="449"/>
      <c r="M2731" s="349" t="str">
        <f>N2731&amp;AS[[#This Row],[Insurer Code]]&amp;"; "&amp;O2731&amp;AS[[#This Row],[Reporting Year]]&amp;"; "&amp;P2731&amp;AS[[#This Row],[Insurance Category Code]]&amp;"; "&amp;Q2731&amp;AS[[#This Row],[Large Provider Entity Code]]&amp;"; "&amp;R2731&amp;AS[[#This Row],[Age Band Code]]&amp;"; "&amp;S2731&amp;AS[[#This Row],[Sex Code]]</f>
        <v xml:space="preserve">Insurer Code ; Reporting Year ; Insurance Category Code ; Large Provider Entity Code ; Age Band Code ; Sex Code </v>
      </c>
      <c r="N2731" s="345" t="s">
        <v>207</v>
      </c>
      <c r="O2731" s="345" t="s">
        <v>208</v>
      </c>
      <c r="P2731" s="345" t="s">
        <v>209</v>
      </c>
      <c r="Q2731" s="345" t="s">
        <v>210</v>
      </c>
      <c r="R2731" s="345" t="s">
        <v>223</v>
      </c>
      <c r="S2731" s="345" t="s">
        <v>224</v>
      </c>
    </row>
    <row r="2732" spans="1:19" x14ac:dyDescent="0.25">
      <c r="A2732" s="311"/>
      <c r="B2732" s="312"/>
      <c r="C2732" s="312"/>
      <c r="D2732" s="312"/>
      <c r="E2732" s="312"/>
      <c r="F2732" s="312"/>
      <c r="G2732" s="328"/>
      <c r="H2732" s="337"/>
      <c r="I2732" s="334"/>
      <c r="J2732" s="314"/>
      <c r="K2732" s="449"/>
      <c r="M2732" s="349" t="str">
        <f>N2732&amp;AS[[#This Row],[Insurer Code]]&amp;"; "&amp;O2732&amp;AS[[#This Row],[Reporting Year]]&amp;"; "&amp;P2732&amp;AS[[#This Row],[Insurance Category Code]]&amp;"; "&amp;Q2732&amp;AS[[#This Row],[Large Provider Entity Code]]&amp;"; "&amp;R2732&amp;AS[[#This Row],[Age Band Code]]&amp;"; "&amp;S2732&amp;AS[[#This Row],[Sex Code]]</f>
        <v xml:space="preserve">Insurer Code ; Reporting Year ; Insurance Category Code ; Large Provider Entity Code ; Age Band Code ; Sex Code </v>
      </c>
      <c r="N2732" s="345" t="s">
        <v>207</v>
      </c>
      <c r="O2732" s="345" t="s">
        <v>208</v>
      </c>
      <c r="P2732" s="345" t="s">
        <v>209</v>
      </c>
      <c r="Q2732" s="345" t="s">
        <v>210</v>
      </c>
      <c r="R2732" s="345" t="s">
        <v>223</v>
      </c>
      <c r="S2732" s="345" t="s">
        <v>224</v>
      </c>
    </row>
    <row r="2733" spans="1:19" x14ac:dyDescent="0.25">
      <c r="A2733" s="311"/>
      <c r="B2733" s="312"/>
      <c r="C2733" s="312"/>
      <c r="D2733" s="312"/>
      <c r="E2733" s="312"/>
      <c r="F2733" s="312"/>
      <c r="G2733" s="328"/>
      <c r="H2733" s="337"/>
      <c r="I2733" s="334"/>
      <c r="J2733" s="314"/>
      <c r="K2733" s="449"/>
      <c r="M2733" s="349" t="str">
        <f>N2733&amp;AS[[#This Row],[Insurer Code]]&amp;"; "&amp;O2733&amp;AS[[#This Row],[Reporting Year]]&amp;"; "&amp;P2733&amp;AS[[#This Row],[Insurance Category Code]]&amp;"; "&amp;Q2733&amp;AS[[#This Row],[Large Provider Entity Code]]&amp;"; "&amp;R2733&amp;AS[[#This Row],[Age Band Code]]&amp;"; "&amp;S2733&amp;AS[[#This Row],[Sex Code]]</f>
        <v xml:space="preserve">Insurer Code ; Reporting Year ; Insurance Category Code ; Large Provider Entity Code ; Age Band Code ; Sex Code </v>
      </c>
      <c r="N2733" s="345" t="s">
        <v>207</v>
      </c>
      <c r="O2733" s="345" t="s">
        <v>208</v>
      </c>
      <c r="P2733" s="345" t="s">
        <v>209</v>
      </c>
      <c r="Q2733" s="345" t="s">
        <v>210</v>
      </c>
      <c r="R2733" s="345" t="s">
        <v>223</v>
      </c>
      <c r="S2733" s="345" t="s">
        <v>224</v>
      </c>
    </row>
    <row r="2734" spans="1:19" x14ac:dyDescent="0.25">
      <c r="A2734" s="311"/>
      <c r="B2734" s="312"/>
      <c r="C2734" s="312"/>
      <c r="D2734" s="312"/>
      <c r="E2734" s="312"/>
      <c r="F2734" s="312"/>
      <c r="G2734" s="328"/>
      <c r="H2734" s="337"/>
      <c r="I2734" s="334"/>
      <c r="J2734" s="314"/>
      <c r="K2734" s="449"/>
      <c r="M2734" s="349" t="str">
        <f>N2734&amp;AS[[#This Row],[Insurer Code]]&amp;"; "&amp;O2734&amp;AS[[#This Row],[Reporting Year]]&amp;"; "&amp;P2734&amp;AS[[#This Row],[Insurance Category Code]]&amp;"; "&amp;Q2734&amp;AS[[#This Row],[Large Provider Entity Code]]&amp;"; "&amp;R2734&amp;AS[[#This Row],[Age Band Code]]&amp;"; "&amp;S2734&amp;AS[[#This Row],[Sex Code]]</f>
        <v xml:space="preserve">Insurer Code ; Reporting Year ; Insurance Category Code ; Large Provider Entity Code ; Age Band Code ; Sex Code </v>
      </c>
      <c r="N2734" s="345" t="s">
        <v>207</v>
      </c>
      <c r="O2734" s="345" t="s">
        <v>208</v>
      </c>
      <c r="P2734" s="345" t="s">
        <v>209</v>
      </c>
      <c r="Q2734" s="345" t="s">
        <v>210</v>
      </c>
      <c r="R2734" s="345" t="s">
        <v>223</v>
      </c>
      <c r="S2734" s="345" t="s">
        <v>224</v>
      </c>
    </row>
    <row r="2735" spans="1:19" x14ac:dyDescent="0.25">
      <c r="A2735" s="311"/>
      <c r="B2735" s="312"/>
      <c r="C2735" s="312"/>
      <c r="D2735" s="312"/>
      <c r="E2735" s="312"/>
      <c r="F2735" s="312"/>
      <c r="G2735" s="328"/>
      <c r="H2735" s="337"/>
      <c r="I2735" s="334"/>
      <c r="J2735" s="314"/>
      <c r="K2735" s="449"/>
      <c r="M2735" s="349" t="str">
        <f>N2735&amp;AS[[#This Row],[Insurer Code]]&amp;"; "&amp;O2735&amp;AS[[#This Row],[Reporting Year]]&amp;"; "&amp;P2735&amp;AS[[#This Row],[Insurance Category Code]]&amp;"; "&amp;Q2735&amp;AS[[#This Row],[Large Provider Entity Code]]&amp;"; "&amp;R2735&amp;AS[[#This Row],[Age Band Code]]&amp;"; "&amp;S2735&amp;AS[[#This Row],[Sex Code]]</f>
        <v xml:space="preserve">Insurer Code ; Reporting Year ; Insurance Category Code ; Large Provider Entity Code ; Age Band Code ; Sex Code </v>
      </c>
      <c r="N2735" s="345" t="s">
        <v>207</v>
      </c>
      <c r="O2735" s="345" t="s">
        <v>208</v>
      </c>
      <c r="P2735" s="345" t="s">
        <v>209</v>
      </c>
      <c r="Q2735" s="345" t="s">
        <v>210</v>
      </c>
      <c r="R2735" s="345" t="s">
        <v>223</v>
      </c>
      <c r="S2735" s="345" t="s">
        <v>224</v>
      </c>
    </row>
    <row r="2736" spans="1:19" x14ac:dyDescent="0.25">
      <c r="A2736" s="311"/>
      <c r="B2736" s="312"/>
      <c r="C2736" s="312"/>
      <c r="D2736" s="312"/>
      <c r="E2736" s="312"/>
      <c r="F2736" s="312"/>
      <c r="G2736" s="328"/>
      <c r="H2736" s="337"/>
      <c r="I2736" s="334"/>
      <c r="J2736" s="314"/>
      <c r="K2736" s="449"/>
      <c r="M2736" s="349" t="str">
        <f>N2736&amp;AS[[#This Row],[Insurer Code]]&amp;"; "&amp;O2736&amp;AS[[#This Row],[Reporting Year]]&amp;"; "&amp;P2736&amp;AS[[#This Row],[Insurance Category Code]]&amp;"; "&amp;Q2736&amp;AS[[#This Row],[Large Provider Entity Code]]&amp;"; "&amp;R2736&amp;AS[[#This Row],[Age Band Code]]&amp;"; "&amp;S2736&amp;AS[[#This Row],[Sex Code]]</f>
        <v xml:space="preserve">Insurer Code ; Reporting Year ; Insurance Category Code ; Large Provider Entity Code ; Age Band Code ; Sex Code </v>
      </c>
      <c r="N2736" s="345" t="s">
        <v>207</v>
      </c>
      <c r="O2736" s="345" t="s">
        <v>208</v>
      </c>
      <c r="P2736" s="345" t="s">
        <v>209</v>
      </c>
      <c r="Q2736" s="345" t="s">
        <v>210</v>
      </c>
      <c r="R2736" s="345" t="s">
        <v>223</v>
      </c>
      <c r="S2736" s="345" t="s">
        <v>224</v>
      </c>
    </row>
    <row r="2737" spans="1:19" x14ac:dyDescent="0.25">
      <c r="A2737" s="311"/>
      <c r="B2737" s="312"/>
      <c r="C2737" s="312"/>
      <c r="D2737" s="312"/>
      <c r="E2737" s="312"/>
      <c r="F2737" s="312"/>
      <c r="G2737" s="328"/>
      <c r="H2737" s="337"/>
      <c r="I2737" s="334"/>
      <c r="J2737" s="314"/>
      <c r="K2737" s="449"/>
      <c r="M2737" s="349" t="str">
        <f>N2737&amp;AS[[#This Row],[Insurer Code]]&amp;"; "&amp;O2737&amp;AS[[#This Row],[Reporting Year]]&amp;"; "&amp;P2737&amp;AS[[#This Row],[Insurance Category Code]]&amp;"; "&amp;Q2737&amp;AS[[#This Row],[Large Provider Entity Code]]&amp;"; "&amp;R2737&amp;AS[[#This Row],[Age Band Code]]&amp;"; "&amp;S2737&amp;AS[[#This Row],[Sex Code]]</f>
        <v xml:space="preserve">Insurer Code ; Reporting Year ; Insurance Category Code ; Large Provider Entity Code ; Age Band Code ; Sex Code </v>
      </c>
      <c r="N2737" s="345" t="s">
        <v>207</v>
      </c>
      <c r="O2737" s="345" t="s">
        <v>208</v>
      </c>
      <c r="P2737" s="345" t="s">
        <v>209</v>
      </c>
      <c r="Q2737" s="345" t="s">
        <v>210</v>
      </c>
      <c r="R2737" s="345" t="s">
        <v>223</v>
      </c>
      <c r="S2737" s="345" t="s">
        <v>224</v>
      </c>
    </row>
    <row r="2738" spans="1:19" x14ac:dyDescent="0.25">
      <c r="A2738" s="311"/>
      <c r="B2738" s="312"/>
      <c r="C2738" s="312"/>
      <c r="D2738" s="312"/>
      <c r="E2738" s="312"/>
      <c r="F2738" s="312"/>
      <c r="G2738" s="328"/>
      <c r="H2738" s="337"/>
      <c r="I2738" s="334"/>
      <c r="J2738" s="314"/>
      <c r="K2738" s="449"/>
      <c r="M2738" s="349" t="str">
        <f>N2738&amp;AS[[#This Row],[Insurer Code]]&amp;"; "&amp;O2738&amp;AS[[#This Row],[Reporting Year]]&amp;"; "&amp;P2738&amp;AS[[#This Row],[Insurance Category Code]]&amp;"; "&amp;Q2738&amp;AS[[#This Row],[Large Provider Entity Code]]&amp;"; "&amp;R2738&amp;AS[[#This Row],[Age Band Code]]&amp;"; "&amp;S2738&amp;AS[[#This Row],[Sex Code]]</f>
        <v xml:space="preserve">Insurer Code ; Reporting Year ; Insurance Category Code ; Large Provider Entity Code ; Age Band Code ; Sex Code </v>
      </c>
      <c r="N2738" s="345" t="s">
        <v>207</v>
      </c>
      <c r="O2738" s="345" t="s">
        <v>208</v>
      </c>
      <c r="P2738" s="345" t="s">
        <v>209</v>
      </c>
      <c r="Q2738" s="345" t="s">
        <v>210</v>
      </c>
      <c r="R2738" s="345" t="s">
        <v>223</v>
      </c>
      <c r="S2738" s="345" t="s">
        <v>224</v>
      </c>
    </row>
    <row r="2739" spans="1:19" x14ac:dyDescent="0.25">
      <c r="A2739" s="311"/>
      <c r="B2739" s="312"/>
      <c r="C2739" s="312"/>
      <c r="D2739" s="312"/>
      <c r="E2739" s="312"/>
      <c r="F2739" s="312"/>
      <c r="G2739" s="328"/>
      <c r="H2739" s="337"/>
      <c r="I2739" s="334"/>
      <c r="J2739" s="314"/>
      <c r="K2739" s="449"/>
      <c r="M2739" s="349" t="str">
        <f>N2739&amp;AS[[#This Row],[Insurer Code]]&amp;"; "&amp;O2739&amp;AS[[#This Row],[Reporting Year]]&amp;"; "&amp;P2739&amp;AS[[#This Row],[Insurance Category Code]]&amp;"; "&amp;Q2739&amp;AS[[#This Row],[Large Provider Entity Code]]&amp;"; "&amp;R2739&amp;AS[[#This Row],[Age Band Code]]&amp;"; "&amp;S2739&amp;AS[[#This Row],[Sex Code]]</f>
        <v xml:space="preserve">Insurer Code ; Reporting Year ; Insurance Category Code ; Large Provider Entity Code ; Age Band Code ; Sex Code </v>
      </c>
      <c r="N2739" s="345" t="s">
        <v>207</v>
      </c>
      <c r="O2739" s="345" t="s">
        <v>208</v>
      </c>
      <c r="P2739" s="345" t="s">
        <v>209</v>
      </c>
      <c r="Q2739" s="345" t="s">
        <v>210</v>
      </c>
      <c r="R2739" s="345" t="s">
        <v>223</v>
      </c>
      <c r="S2739" s="345" t="s">
        <v>224</v>
      </c>
    </row>
    <row r="2740" spans="1:19" x14ac:dyDescent="0.25">
      <c r="A2740" s="311"/>
      <c r="B2740" s="312"/>
      <c r="C2740" s="312"/>
      <c r="D2740" s="312"/>
      <c r="E2740" s="312"/>
      <c r="F2740" s="312"/>
      <c r="G2740" s="328"/>
      <c r="H2740" s="337"/>
      <c r="I2740" s="334"/>
      <c r="J2740" s="314"/>
      <c r="K2740" s="449"/>
      <c r="M2740" s="349" t="str">
        <f>N2740&amp;AS[[#This Row],[Insurer Code]]&amp;"; "&amp;O2740&amp;AS[[#This Row],[Reporting Year]]&amp;"; "&amp;P2740&amp;AS[[#This Row],[Insurance Category Code]]&amp;"; "&amp;Q2740&amp;AS[[#This Row],[Large Provider Entity Code]]&amp;"; "&amp;R2740&amp;AS[[#This Row],[Age Band Code]]&amp;"; "&amp;S2740&amp;AS[[#This Row],[Sex Code]]</f>
        <v xml:space="preserve">Insurer Code ; Reporting Year ; Insurance Category Code ; Large Provider Entity Code ; Age Band Code ; Sex Code </v>
      </c>
      <c r="N2740" s="345" t="s">
        <v>207</v>
      </c>
      <c r="O2740" s="345" t="s">
        <v>208</v>
      </c>
      <c r="P2740" s="345" t="s">
        <v>209</v>
      </c>
      <c r="Q2740" s="345" t="s">
        <v>210</v>
      </c>
      <c r="R2740" s="345" t="s">
        <v>223</v>
      </c>
      <c r="S2740" s="345" t="s">
        <v>224</v>
      </c>
    </row>
    <row r="2741" spans="1:19" x14ac:dyDescent="0.25">
      <c r="A2741" s="311"/>
      <c r="B2741" s="312"/>
      <c r="C2741" s="312"/>
      <c r="D2741" s="312"/>
      <c r="E2741" s="312"/>
      <c r="F2741" s="312"/>
      <c r="G2741" s="328"/>
      <c r="H2741" s="337"/>
      <c r="I2741" s="334"/>
      <c r="J2741" s="314"/>
      <c r="K2741" s="449"/>
      <c r="M2741" s="349" t="str">
        <f>N2741&amp;AS[[#This Row],[Insurer Code]]&amp;"; "&amp;O2741&amp;AS[[#This Row],[Reporting Year]]&amp;"; "&amp;P2741&amp;AS[[#This Row],[Insurance Category Code]]&amp;"; "&amp;Q2741&amp;AS[[#This Row],[Large Provider Entity Code]]&amp;"; "&amp;R2741&amp;AS[[#This Row],[Age Band Code]]&amp;"; "&amp;S2741&amp;AS[[#This Row],[Sex Code]]</f>
        <v xml:space="preserve">Insurer Code ; Reporting Year ; Insurance Category Code ; Large Provider Entity Code ; Age Band Code ; Sex Code </v>
      </c>
      <c r="N2741" s="345" t="s">
        <v>207</v>
      </c>
      <c r="O2741" s="345" t="s">
        <v>208</v>
      </c>
      <c r="P2741" s="345" t="s">
        <v>209</v>
      </c>
      <c r="Q2741" s="345" t="s">
        <v>210</v>
      </c>
      <c r="R2741" s="345" t="s">
        <v>223</v>
      </c>
      <c r="S2741" s="345" t="s">
        <v>224</v>
      </c>
    </row>
    <row r="2742" spans="1:19" x14ac:dyDescent="0.25">
      <c r="A2742" s="311"/>
      <c r="B2742" s="312"/>
      <c r="C2742" s="312"/>
      <c r="D2742" s="312"/>
      <c r="E2742" s="312"/>
      <c r="F2742" s="312"/>
      <c r="G2742" s="328"/>
      <c r="H2742" s="337"/>
      <c r="I2742" s="334"/>
      <c r="J2742" s="314"/>
      <c r="K2742" s="449"/>
      <c r="M2742" s="349" t="str">
        <f>N2742&amp;AS[[#This Row],[Insurer Code]]&amp;"; "&amp;O2742&amp;AS[[#This Row],[Reporting Year]]&amp;"; "&amp;P2742&amp;AS[[#This Row],[Insurance Category Code]]&amp;"; "&amp;Q2742&amp;AS[[#This Row],[Large Provider Entity Code]]&amp;"; "&amp;R2742&amp;AS[[#This Row],[Age Band Code]]&amp;"; "&amp;S2742&amp;AS[[#This Row],[Sex Code]]</f>
        <v xml:space="preserve">Insurer Code ; Reporting Year ; Insurance Category Code ; Large Provider Entity Code ; Age Band Code ; Sex Code </v>
      </c>
      <c r="N2742" s="345" t="s">
        <v>207</v>
      </c>
      <c r="O2742" s="345" t="s">
        <v>208</v>
      </c>
      <c r="P2742" s="345" t="s">
        <v>209</v>
      </c>
      <c r="Q2742" s="345" t="s">
        <v>210</v>
      </c>
      <c r="R2742" s="345" t="s">
        <v>223</v>
      </c>
      <c r="S2742" s="345" t="s">
        <v>224</v>
      </c>
    </row>
    <row r="2743" spans="1:19" x14ac:dyDescent="0.25">
      <c r="A2743" s="311"/>
      <c r="B2743" s="312"/>
      <c r="C2743" s="312"/>
      <c r="D2743" s="312"/>
      <c r="E2743" s="312"/>
      <c r="F2743" s="312"/>
      <c r="G2743" s="328"/>
      <c r="H2743" s="337"/>
      <c r="I2743" s="334"/>
      <c r="J2743" s="314"/>
      <c r="K2743" s="449"/>
      <c r="M2743" s="349" t="str">
        <f>N2743&amp;AS[[#This Row],[Insurer Code]]&amp;"; "&amp;O2743&amp;AS[[#This Row],[Reporting Year]]&amp;"; "&amp;P2743&amp;AS[[#This Row],[Insurance Category Code]]&amp;"; "&amp;Q2743&amp;AS[[#This Row],[Large Provider Entity Code]]&amp;"; "&amp;R2743&amp;AS[[#This Row],[Age Band Code]]&amp;"; "&amp;S2743&amp;AS[[#This Row],[Sex Code]]</f>
        <v xml:space="preserve">Insurer Code ; Reporting Year ; Insurance Category Code ; Large Provider Entity Code ; Age Band Code ; Sex Code </v>
      </c>
      <c r="N2743" s="345" t="s">
        <v>207</v>
      </c>
      <c r="O2743" s="345" t="s">
        <v>208</v>
      </c>
      <c r="P2743" s="345" t="s">
        <v>209</v>
      </c>
      <c r="Q2743" s="345" t="s">
        <v>210</v>
      </c>
      <c r="R2743" s="345" t="s">
        <v>223</v>
      </c>
      <c r="S2743" s="345" t="s">
        <v>224</v>
      </c>
    </row>
    <row r="2744" spans="1:19" x14ac:dyDescent="0.25">
      <c r="A2744" s="311"/>
      <c r="B2744" s="312"/>
      <c r="C2744" s="312"/>
      <c r="D2744" s="312"/>
      <c r="E2744" s="312"/>
      <c r="F2744" s="312"/>
      <c r="G2744" s="328"/>
      <c r="H2744" s="337"/>
      <c r="I2744" s="334"/>
      <c r="J2744" s="314"/>
      <c r="K2744" s="449"/>
      <c r="M2744" s="349" t="str">
        <f>N2744&amp;AS[[#This Row],[Insurer Code]]&amp;"; "&amp;O2744&amp;AS[[#This Row],[Reporting Year]]&amp;"; "&amp;P2744&amp;AS[[#This Row],[Insurance Category Code]]&amp;"; "&amp;Q2744&amp;AS[[#This Row],[Large Provider Entity Code]]&amp;"; "&amp;R2744&amp;AS[[#This Row],[Age Band Code]]&amp;"; "&amp;S2744&amp;AS[[#This Row],[Sex Code]]</f>
        <v xml:space="preserve">Insurer Code ; Reporting Year ; Insurance Category Code ; Large Provider Entity Code ; Age Band Code ; Sex Code </v>
      </c>
      <c r="N2744" s="345" t="s">
        <v>207</v>
      </c>
      <c r="O2744" s="345" t="s">
        <v>208</v>
      </c>
      <c r="P2744" s="345" t="s">
        <v>209</v>
      </c>
      <c r="Q2744" s="345" t="s">
        <v>210</v>
      </c>
      <c r="R2744" s="345" t="s">
        <v>223</v>
      </c>
      <c r="S2744" s="345" t="s">
        <v>224</v>
      </c>
    </row>
    <row r="2745" spans="1:19" x14ac:dyDescent="0.25">
      <c r="A2745" s="311"/>
      <c r="B2745" s="312"/>
      <c r="C2745" s="312"/>
      <c r="D2745" s="312"/>
      <c r="E2745" s="312"/>
      <c r="F2745" s="312"/>
      <c r="G2745" s="328"/>
      <c r="H2745" s="337"/>
      <c r="I2745" s="334"/>
      <c r="J2745" s="314"/>
      <c r="K2745" s="449"/>
      <c r="M2745" s="349" t="str">
        <f>N2745&amp;AS[[#This Row],[Insurer Code]]&amp;"; "&amp;O2745&amp;AS[[#This Row],[Reporting Year]]&amp;"; "&amp;P2745&amp;AS[[#This Row],[Insurance Category Code]]&amp;"; "&amp;Q2745&amp;AS[[#This Row],[Large Provider Entity Code]]&amp;"; "&amp;R2745&amp;AS[[#This Row],[Age Band Code]]&amp;"; "&amp;S2745&amp;AS[[#This Row],[Sex Code]]</f>
        <v xml:space="preserve">Insurer Code ; Reporting Year ; Insurance Category Code ; Large Provider Entity Code ; Age Band Code ; Sex Code </v>
      </c>
      <c r="N2745" s="345" t="s">
        <v>207</v>
      </c>
      <c r="O2745" s="345" t="s">
        <v>208</v>
      </c>
      <c r="P2745" s="345" t="s">
        <v>209</v>
      </c>
      <c r="Q2745" s="345" t="s">
        <v>210</v>
      </c>
      <c r="R2745" s="345" t="s">
        <v>223</v>
      </c>
      <c r="S2745" s="345" t="s">
        <v>224</v>
      </c>
    </row>
    <row r="2746" spans="1:19" x14ac:dyDescent="0.25">
      <c r="A2746" s="311"/>
      <c r="B2746" s="312"/>
      <c r="C2746" s="312"/>
      <c r="D2746" s="312"/>
      <c r="E2746" s="312"/>
      <c r="F2746" s="312"/>
      <c r="G2746" s="328"/>
      <c r="H2746" s="337"/>
      <c r="I2746" s="334"/>
      <c r="J2746" s="314"/>
      <c r="K2746" s="449"/>
      <c r="M2746" s="349" t="str">
        <f>N2746&amp;AS[[#This Row],[Insurer Code]]&amp;"; "&amp;O2746&amp;AS[[#This Row],[Reporting Year]]&amp;"; "&amp;P2746&amp;AS[[#This Row],[Insurance Category Code]]&amp;"; "&amp;Q2746&amp;AS[[#This Row],[Large Provider Entity Code]]&amp;"; "&amp;R2746&amp;AS[[#This Row],[Age Band Code]]&amp;"; "&amp;S2746&amp;AS[[#This Row],[Sex Code]]</f>
        <v xml:space="preserve">Insurer Code ; Reporting Year ; Insurance Category Code ; Large Provider Entity Code ; Age Band Code ; Sex Code </v>
      </c>
      <c r="N2746" s="345" t="s">
        <v>207</v>
      </c>
      <c r="O2746" s="345" t="s">
        <v>208</v>
      </c>
      <c r="P2746" s="345" t="s">
        <v>209</v>
      </c>
      <c r="Q2746" s="345" t="s">
        <v>210</v>
      </c>
      <c r="R2746" s="345" t="s">
        <v>223</v>
      </c>
      <c r="S2746" s="345" t="s">
        <v>224</v>
      </c>
    </row>
    <row r="2747" spans="1:19" x14ac:dyDescent="0.25">
      <c r="A2747" s="311"/>
      <c r="B2747" s="312"/>
      <c r="C2747" s="312"/>
      <c r="D2747" s="312"/>
      <c r="E2747" s="312"/>
      <c r="F2747" s="312"/>
      <c r="G2747" s="328"/>
      <c r="H2747" s="337"/>
      <c r="I2747" s="334"/>
      <c r="J2747" s="314"/>
      <c r="K2747" s="449"/>
      <c r="M2747" s="349" t="str">
        <f>N2747&amp;AS[[#This Row],[Insurer Code]]&amp;"; "&amp;O2747&amp;AS[[#This Row],[Reporting Year]]&amp;"; "&amp;P2747&amp;AS[[#This Row],[Insurance Category Code]]&amp;"; "&amp;Q2747&amp;AS[[#This Row],[Large Provider Entity Code]]&amp;"; "&amp;R2747&amp;AS[[#This Row],[Age Band Code]]&amp;"; "&amp;S2747&amp;AS[[#This Row],[Sex Code]]</f>
        <v xml:space="preserve">Insurer Code ; Reporting Year ; Insurance Category Code ; Large Provider Entity Code ; Age Band Code ; Sex Code </v>
      </c>
      <c r="N2747" s="345" t="s">
        <v>207</v>
      </c>
      <c r="O2747" s="345" t="s">
        <v>208</v>
      </c>
      <c r="P2747" s="345" t="s">
        <v>209</v>
      </c>
      <c r="Q2747" s="345" t="s">
        <v>210</v>
      </c>
      <c r="R2747" s="345" t="s">
        <v>223</v>
      </c>
      <c r="S2747" s="345" t="s">
        <v>224</v>
      </c>
    </row>
    <row r="2748" spans="1:19" x14ac:dyDescent="0.25">
      <c r="A2748" s="311"/>
      <c r="B2748" s="312"/>
      <c r="C2748" s="312"/>
      <c r="D2748" s="312"/>
      <c r="E2748" s="312"/>
      <c r="F2748" s="312"/>
      <c r="G2748" s="328"/>
      <c r="H2748" s="337"/>
      <c r="I2748" s="334"/>
      <c r="J2748" s="314"/>
      <c r="K2748" s="449"/>
      <c r="M2748" s="349" t="str">
        <f>N2748&amp;AS[[#This Row],[Insurer Code]]&amp;"; "&amp;O2748&amp;AS[[#This Row],[Reporting Year]]&amp;"; "&amp;P2748&amp;AS[[#This Row],[Insurance Category Code]]&amp;"; "&amp;Q2748&amp;AS[[#This Row],[Large Provider Entity Code]]&amp;"; "&amp;R2748&amp;AS[[#This Row],[Age Band Code]]&amp;"; "&amp;S2748&amp;AS[[#This Row],[Sex Code]]</f>
        <v xml:space="preserve">Insurer Code ; Reporting Year ; Insurance Category Code ; Large Provider Entity Code ; Age Band Code ; Sex Code </v>
      </c>
      <c r="N2748" s="345" t="s">
        <v>207</v>
      </c>
      <c r="O2748" s="345" t="s">
        <v>208</v>
      </c>
      <c r="P2748" s="345" t="s">
        <v>209</v>
      </c>
      <c r="Q2748" s="345" t="s">
        <v>210</v>
      </c>
      <c r="R2748" s="345" t="s">
        <v>223</v>
      </c>
      <c r="S2748" s="345" t="s">
        <v>224</v>
      </c>
    </row>
    <row r="2749" spans="1:19" x14ac:dyDescent="0.25">
      <c r="A2749" s="311"/>
      <c r="B2749" s="312"/>
      <c r="C2749" s="312"/>
      <c r="D2749" s="312"/>
      <c r="E2749" s="312"/>
      <c r="F2749" s="312"/>
      <c r="G2749" s="328"/>
      <c r="H2749" s="337"/>
      <c r="I2749" s="334"/>
      <c r="J2749" s="314"/>
      <c r="K2749" s="449"/>
      <c r="M2749" s="349" t="str">
        <f>N2749&amp;AS[[#This Row],[Insurer Code]]&amp;"; "&amp;O2749&amp;AS[[#This Row],[Reporting Year]]&amp;"; "&amp;P2749&amp;AS[[#This Row],[Insurance Category Code]]&amp;"; "&amp;Q2749&amp;AS[[#This Row],[Large Provider Entity Code]]&amp;"; "&amp;R2749&amp;AS[[#This Row],[Age Band Code]]&amp;"; "&amp;S2749&amp;AS[[#This Row],[Sex Code]]</f>
        <v xml:space="preserve">Insurer Code ; Reporting Year ; Insurance Category Code ; Large Provider Entity Code ; Age Band Code ; Sex Code </v>
      </c>
      <c r="N2749" s="345" t="s">
        <v>207</v>
      </c>
      <c r="O2749" s="345" t="s">
        <v>208</v>
      </c>
      <c r="P2749" s="345" t="s">
        <v>209</v>
      </c>
      <c r="Q2749" s="345" t="s">
        <v>210</v>
      </c>
      <c r="R2749" s="345" t="s">
        <v>223</v>
      </c>
      <c r="S2749" s="345" t="s">
        <v>224</v>
      </c>
    </row>
    <row r="2750" spans="1:19" x14ac:dyDescent="0.25">
      <c r="A2750" s="311"/>
      <c r="B2750" s="312"/>
      <c r="C2750" s="312"/>
      <c r="D2750" s="312"/>
      <c r="E2750" s="312"/>
      <c r="F2750" s="312"/>
      <c r="G2750" s="328"/>
      <c r="H2750" s="337"/>
      <c r="I2750" s="334"/>
      <c r="J2750" s="314"/>
      <c r="K2750" s="449"/>
      <c r="M2750" s="349" t="str">
        <f>N2750&amp;AS[[#This Row],[Insurer Code]]&amp;"; "&amp;O2750&amp;AS[[#This Row],[Reporting Year]]&amp;"; "&amp;P2750&amp;AS[[#This Row],[Insurance Category Code]]&amp;"; "&amp;Q2750&amp;AS[[#This Row],[Large Provider Entity Code]]&amp;"; "&amp;R2750&amp;AS[[#This Row],[Age Band Code]]&amp;"; "&amp;S2750&amp;AS[[#This Row],[Sex Code]]</f>
        <v xml:space="preserve">Insurer Code ; Reporting Year ; Insurance Category Code ; Large Provider Entity Code ; Age Band Code ; Sex Code </v>
      </c>
      <c r="N2750" s="345" t="s">
        <v>207</v>
      </c>
      <c r="O2750" s="345" t="s">
        <v>208</v>
      </c>
      <c r="P2750" s="345" t="s">
        <v>209</v>
      </c>
      <c r="Q2750" s="345" t="s">
        <v>210</v>
      </c>
      <c r="R2750" s="345" t="s">
        <v>223</v>
      </c>
      <c r="S2750" s="345" t="s">
        <v>224</v>
      </c>
    </row>
    <row r="2751" spans="1:19" x14ac:dyDescent="0.25">
      <c r="A2751" s="311"/>
      <c r="B2751" s="312"/>
      <c r="C2751" s="312"/>
      <c r="D2751" s="312"/>
      <c r="E2751" s="312"/>
      <c r="F2751" s="312"/>
      <c r="G2751" s="328"/>
      <c r="H2751" s="337"/>
      <c r="I2751" s="334"/>
      <c r="J2751" s="314"/>
      <c r="K2751" s="449"/>
      <c r="M2751" s="349" t="str">
        <f>N2751&amp;AS[[#This Row],[Insurer Code]]&amp;"; "&amp;O2751&amp;AS[[#This Row],[Reporting Year]]&amp;"; "&amp;P2751&amp;AS[[#This Row],[Insurance Category Code]]&amp;"; "&amp;Q2751&amp;AS[[#This Row],[Large Provider Entity Code]]&amp;"; "&amp;R2751&amp;AS[[#This Row],[Age Band Code]]&amp;"; "&amp;S2751&amp;AS[[#This Row],[Sex Code]]</f>
        <v xml:space="preserve">Insurer Code ; Reporting Year ; Insurance Category Code ; Large Provider Entity Code ; Age Band Code ; Sex Code </v>
      </c>
      <c r="N2751" s="345" t="s">
        <v>207</v>
      </c>
      <c r="O2751" s="345" t="s">
        <v>208</v>
      </c>
      <c r="P2751" s="345" t="s">
        <v>209</v>
      </c>
      <c r="Q2751" s="345" t="s">
        <v>210</v>
      </c>
      <c r="R2751" s="345" t="s">
        <v>223</v>
      </c>
      <c r="S2751" s="345" t="s">
        <v>224</v>
      </c>
    </row>
    <row r="2752" spans="1:19" x14ac:dyDescent="0.25">
      <c r="A2752" s="311"/>
      <c r="B2752" s="312"/>
      <c r="C2752" s="312"/>
      <c r="D2752" s="312"/>
      <c r="E2752" s="312"/>
      <c r="F2752" s="312"/>
      <c r="G2752" s="328"/>
      <c r="H2752" s="337"/>
      <c r="I2752" s="334"/>
      <c r="J2752" s="314"/>
      <c r="K2752" s="449"/>
      <c r="M2752" s="349" t="str">
        <f>N2752&amp;AS[[#This Row],[Insurer Code]]&amp;"; "&amp;O2752&amp;AS[[#This Row],[Reporting Year]]&amp;"; "&amp;P2752&amp;AS[[#This Row],[Insurance Category Code]]&amp;"; "&amp;Q2752&amp;AS[[#This Row],[Large Provider Entity Code]]&amp;"; "&amp;R2752&amp;AS[[#This Row],[Age Band Code]]&amp;"; "&amp;S2752&amp;AS[[#This Row],[Sex Code]]</f>
        <v xml:space="preserve">Insurer Code ; Reporting Year ; Insurance Category Code ; Large Provider Entity Code ; Age Band Code ; Sex Code </v>
      </c>
      <c r="N2752" s="345" t="s">
        <v>207</v>
      </c>
      <c r="O2752" s="345" t="s">
        <v>208</v>
      </c>
      <c r="P2752" s="345" t="s">
        <v>209</v>
      </c>
      <c r="Q2752" s="345" t="s">
        <v>210</v>
      </c>
      <c r="R2752" s="345" t="s">
        <v>223</v>
      </c>
      <c r="S2752" s="345" t="s">
        <v>224</v>
      </c>
    </row>
    <row r="2753" spans="1:19" x14ac:dyDescent="0.25">
      <c r="A2753" s="311"/>
      <c r="B2753" s="312"/>
      <c r="C2753" s="312"/>
      <c r="D2753" s="312"/>
      <c r="E2753" s="312"/>
      <c r="F2753" s="312"/>
      <c r="G2753" s="328"/>
      <c r="H2753" s="337"/>
      <c r="I2753" s="334"/>
      <c r="J2753" s="314"/>
      <c r="K2753" s="449"/>
      <c r="M2753" s="349" t="str">
        <f>N2753&amp;AS[[#This Row],[Insurer Code]]&amp;"; "&amp;O2753&amp;AS[[#This Row],[Reporting Year]]&amp;"; "&amp;P2753&amp;AS[[#This Row],[Insurance Category Code]]&amp;"; "&amp;Q2753&amp;AS[[#This Row],[Large Provider Entity Code]]&amp;"; "&amp;R2753&amp;AS[[#This Row],[Age Band Code]]&amp;"; "&amp;S2753&amp;AS[[#This Row],[Sex Code]]</f>
        <v xml:space="preserve">Insurer Code ; Reporting Year ; Insurance Category Code ; Large Provider Entity Code ; Age Band Code ; Sex Code </v>
      </c>
      <c r="N2753" s="345" t="s">
        <v>207</v>
      </c>
      <c r="O2753" s="345" t="s">
        <v>208</v>
      </c>
      <c r="P2753" s="345" t="s">
        <v>209</v>
      </c>
      <c r="Q2753" s="345" t="s">
        <v>210</v>
      </c>
      <c r="R2753" s="345" t="s">
        <v>223</v>
      </c>
      <c r="S2753" s="345" t="s">
        <v>224</v>
      </c>
    </row>
    <row r="2754" spans="1:19" x14ac:dyDescent="0.25">
      <c r="A2754" s="311"/>
      <c r="B2754" s="312"/>
      <c r="C2754" s="312"/>
      <c r="D2754" s="312"/>
      <c r="E2754" s="312"/>
      <c r="F2754" s="312"/>
      <c r="G2754" s="328"/>
      <c r="H2754" s="337"/>
      <c r="I2754" s="334"/>
      <c r="J2754" s="314"/>
      <c r="K2754" s="449"/>
      <c r="M2754" s="349" t="str">
        <f>N2754&amp;AS[[#This Row],[Insurer Code]]&amp;"; "&amp;O2754&amp;AS[[#This Row],[Reporting Year]]&amp;"; "&amp;P2754&amp;AS[[#This Row],[Insurance Category Code]]&amp;"; "&amp;Q2754&amp;AS[[#This Row],[Large Provider Entity Code]]&amp;"; "&amp;R2754&amp;AS[[#This Row],[Age Band Code]]&amp;"; "&amp;S2754&amp;AS[[#This Row],[Sex Code]]</f>
        <v xml:space="preserve">Insurer Code ; Reporting Year ; Insurance Category Code ; Large Provider Entity Code ; Age Band Code ; Sex Code </v>
      </c>
      <c r="N2754" s="345" t="s">
        <v>207</v>
      </c>
      <c r="O2754" s="345" t="s">
        <v>208</v>
      </c>
      <c r="P2754" s="345" t="s">
        <v>209</v>
      </c>
      <c r="Q2754" s="345" t="s">
        <v>210</v>
      </c>
      <c r="R2754" s="345" t="s">
        <v>223</v>
      </c>
      <c r="S2754" s="345" t="s">
        <v>224</v>
      </c>
    </row>
    <row r="2755" spans="1:19" x14ac:dyDescent="0.25">
      <c r="A2755" s="311"/>
      <c r="B2755" s="312"/>
      <c r="C2755" s="312"/>
      <c r="D2755" s="312"/>
      <c r="E2755" s="312"/>
      <c r="F2755" s="312"/>
      <c r="G2755" s="328"/>
      <c r="H2755" s="337"/>
      <c r="I2755" s="334"/>
      <c r="J2755" s="314"/>
      <c r="K2755" s="449"/>
      <c r="M2755" s="349" t="str">
        <f>N2755&amp;AS[[#This Row],[Insurer Code]]&amp;"; "&amp;O2755&amp;AS[[#This Row],[Reporting Year]]&amp;"; "&amp;P2755&amp;AS[[#This Row],[Insurance Category Code]]&amp;"; "&amp;Q2755&amp;AS[[#This Row],[Large Provider Entity Code]]&amp;"; "&amp;R2755&amp;AS[[#This Row],[Age Band Code]]&amp;"; "&amp;S2755&amp;AS[[#This Row],[Sex Code]]</f>
        <v xml:space="preserve">Insurer Code ; Reporting Year ; Insurance Category Code ; Large Provider Entity Code ; Age Band Code ; Sex Code </v>
      </c>
      <c r="N2755" s="345" t="s">
        <v>207</v>
      </c>
      <c r="O2755" s="345" t="s">
        <v>208</v>
      </c>
      <c r="P2755" s="345" t="s">
        <v>209</v>
      </c>
      <c r="Q2755" s="345" t="s">
        <v>210</v>
      </c>
      <c r="R2755" s="345" t="s">
        <v>223</v>
      </c>
      <c r="S2755" s="345" t="s">
        <v>224</v>
      </c>
    </row>
    <row r="2756" spans="1:19" x14ac:dyDescent="0.25">
      <c r="A2756" s="311"/>
      <c r="B2756" s="312"/>
      <c r="C2756" s="312"/>
      <c r="D2756" s="312"/>
      <c r="E2756" s="312"/>
      <c r="F2756" s="312"/>
      <c r="G2756" s="328"/>
      <c r="H2756" s="337"/>
      <c r="I2756" s="334"/>
      <c r="J2756" s="314"/>
      <c r="K2756" s="449"/>
      <c r="M2756" s="349" t="str">
        <f>N2756&amp;AS[[#This Row],[Insurer Code]]&amp;"; "&amp;O2756&amp;AS[[#This Row],[Reporting Year]]&amp;"; "&amp;P2756&amp;AS[[#This Row],[Insurance Category Code]]&amp;"; "&amp;Q2756&amp;AS[[#This Row],[Large Provider Entity Code]]&amp;"; "&amp;R2756&amp;AS[[#This Row],[Age Band Code]]&amp;"; "&amp;S2756&amp;AS[[#This Row],[Sex Code]]</f>
        <v xml:space="preserve">Insurer Code ; Reporting Year ; Insurance Category Code ; Large Provider Entity Code ; Age Band Code ; Sex Code </v>
      </c>
      <c r="N2756" s="345" t="s">
        <v>207</v>
      </c>
      <c r="O2756" s="345" t="s">
        <v>208</v>
      </c>
      <c r="P2756" s="345" t="s">
        <v>209</v>
      </c>
      <c r="Q2756" s="345" t="s">
        <v>210</v>
      </c>
      <c r="R2756" s="345" t="s">
        <v>223</v>
      </c>
      <c r="S2756" s="345" t="s">
        <v>224</v>
      </c>
    </row>
    <row r="2757" spans="1:19" x14ac:dyDescent="0.25">
      <c r="A2757" s="311"/>
      <c r="B2757" s="312"/>
      <c r="C2757" s="312"/>
      <c r="D2757" s="312"/>
      <c r="E2757" s="312"/>
      <c r="F2757" s="312"/>
      <c r="G2757" s="328"/>
      <c r="H2757" s="337"/>
      <c r="I2757" s="334"/>
      <c r="J2757" s="314"/>
      <c r="K2757" s="449"/>
      <c r="M2757" s="349" t="str">
        <f>N2757&amp;AS[[#This Row],[Insurer Code]]&amp;"; "&amp;O2757&amp;AS[[#This Row],[Reporting Year]]&amp;"; "&amp;P2757&amp;AS[[#This Row],[Insurance Category Code]]&amp;"; "&amp;Q2757&amp;AS[[#This Row],[Large Provider Entity Code]]&amp;"; "&amp;R2757&amp;AS[[#This Row],[Age Band Code]]&amp;"; "&amp;S2757&amp;AS[[#This Row],[Sex Code]]</f>
        <v xml:space="preserve">Insurer Code ; Reporting Year ; Insurance Category Code ; Large Provider Entity Code ; Age Band Code ; Sex Code </v>
      </c>
      <c r="N2757" s="345" t="s">
        <v>207</v>
      </c>
      <c r="O2757" s="345" t="s">
        <v>208</v>
      </c>
      <c r="P2757" s="345" t="s">
        <v>209</v>
      </c>
      <c r="Q2757" s="345" t="s">
        <v>210</v>
      </c>
      <c r="R2757" s="345" t="s">
        <v>223</v>
      </c>
      <c r="S2757" s="345" t="s">
        <v>224</v>
      </c>
    </row>
    <row r="2758" spans="1:19" x14ac:dyDescent="0.25">
      <c r="A2758" s="311"/>
      <c r="B2758" s="312"/>
      <c r="C2758" s="312"/>
      <c r="D2758" s="312"/>
      <c r="E2758" s="312"/>
      <c r="F2758" s="312"/>
      <c r="G2758" s="328"/>
      <c r="H2758" s="337"/>
      <c r="I2758" s="334"/>
      <c r="J2758" s="314"/>
      <c r="K2758" s="449"/>
      <c r="M2758" s="349" t="str">
        <f>N2758&amp;AS[[#This Row],[Insurer Code]]&amp;"; "&amp;O2758&amp;AS[[#This Row],[Reporting Year]]&amp;"; "&amp;P2758&amp;AS[[#This Row],[Insurance Category Code]]&amp;"; "&amp;Q2758&amp;AS[[#This Row],[Large Provider Entity Code]]&amp;"; "&amp;R2758&amp;AS[[#This Row],[Age Band Code]]&amp;"; "&amp;S2758&amp;AS[[#This Row],[Sex Code]]</f>
        <v xml:space="preserve">Insurer Code ; Reporting Year ; Insurance Category Code ; Large Provider Entity Code ; Age Band Code ; Sex Code </v>
      </c>
      <c r="N2758" s="345" t="s">
        <v>207</v>
      </c>
      <c r="O2758" s="345" t="s">
        <v>208</v>
      </c>
      <c r="P2758" s="345" t="s">
        <v>209</v>
      </c>
      <c r="Q2758" s="345" t="s">
        <v>210</v>
      </c>
      <c r="R2758" s="345" t="s">
        <v>223</v>
      </c>
      <c r="S2758" s="345" t="s">
        <v>224</v>
      </c>
    </row>
    <row r="2759" spans="1:19" x14ac:dyDescent="0.25">
      <c r="A2759" s="311"/>
      <c r="B2759" s="312"/>
      <c r="C2759" s="312"/>
      <c r="D2759" s="312"/>
      <c r="E2759" s="312"/>
      <c r="F2759" s="312"/>
      <c r="G2759" s="328"/>
      <c r="H2759" s="337"/>
      <c r="I2759" s="334"/>
      <c r="J2759" s="314"/>
      <c r="K2759" s="449"/>
      <c r="M2759" s="349" t="str">
        <f>N2759&amp;AS[[#This Row],[Insurer Code]]&amp;"; "&amp;O2759&amp;AS[[#This Row],[Reporting Year]]&amp;"; "&amp;P2759&amp;AS[[#This Row],[Insurance Category Code]]&amp;"; "&amp;Q2759&amp;AS[[#This Row],[Large Provider Entity Code]]&amp;"; "&amp;R2759&amp;AS[[#This Row],[Age Band Code]]&amp;"; "&amp;S2759&amp;AS[[#This Row],[Sex Code]]</f>
        <v xml:space="preserve">Insurer Code ; Reporting Year ; Insurance Category Code ; Large Provider Entity Code ; Age Band Code ; Sex Code </v>
      </c>
      <c r="N2759" s="345" t="s">
        <v>207</v>
      </c>
      <c r="O2759" s="345" t="s">
        <v>208</v>
      </c>
      <c r="P2759" s="345" t="s">
        <v>209</v>
      </c>
      <c r="Q2759" s="345" t="s">
        <v>210</v>
      </c>
      <c r="R2759" s="345" t="s">
        <v>223</v>
      </c>
      <c r="S2759" s="345" t="s">
        <v>224</v>
      </c>
    </row>
    <row r="2760" spans="1:19" x14ac:dyDescent="0.25">
      <c r="A2760" s="311"/>
      <c r="B2760" s="312"/>
      <c r="C2760" s="312"/>
      <c r="D2760" s="312"/>
      <c r="E2760" s="312"/>
      <c r="F2760" s="312"/>
      <c r="G2760" s="328"/>
      <c r="H2760" s="337"/>
      <c r="I2760" s="334"/>
      <c r="J2760" s="314"/>
      <c r="K2760" s="449"/>
      <c r="M2760" s="349" t="str">
        <f>N2760&amp;AS[[#This Row],[Insurer Code]]&amp;"; "&amp;O2760&amp;AS[[#This Row],[Reporting Year]]&amp;"; "&amp;P2760&amp;AS[[#This Row],[Insurance Category Code]]&amp;"; "&amp;Q2760&amp;AS[[#This Row],[Large Provider Entity Code]]&amp;"; "&amp;R2760&amp;AS[[#This Row],[Age Band Code]]&amp;"; "&amp;S2760&amp;AS[[#This Row],[Sex Code]]</f>
        <v xml:space="preserve">Insurer Code ; Reporting Year ; Insurance Category Code ; Large Provider Entity Code ; Age Band Code ; Sex Code </v>
      </c>
      <c r="N2760" s="345" t="s">
        <v>207</v>
      </c>
      <c r="O2760" s="345" t="s">
        <v>208</v>
      </c>
      <c r="P2760" s="345" t="s">
        <v>209</v>
      </c>
      <c r="Q2760" s="345" t="s">
        <v>210</v>
      </c>
      <c r="R2760" s="345" t="s">
        <v>223</v>
      </c>
      <c r="S2760" s="345" t="s">
        <v>224</v>
      </c>
    </row>
    <row r="2761" spans="1:19" x14ac:dyDescent="0.25">
      <c r="A2761" s="311"/>
      <c r="B2761" s="312"/>
      <c r="C2761" s="312"/>
      <c r="D2761" s="312"/>
      <c r="E2761" s="312"/>
      <c r="F2761" s="312"/>
      <c r="G2761" s="328"/>
      <c r="H2761" s="337"/>
      <c r="I2761" s="334"/>
      <c r="J2761" s="314"/>
      <c r="K2761" s="449"/>
      <c r="M2761" s="349" t="str">
        <f>N2761&amp;AS[[#This Row],[Insurer Code]]&amp;"; "&amp;O2761&amp;AS[[#This Row],[Reporting Year]]&amp;"; "&amp;P2761&amp;AS[[#This Row],[Insurance Category Code]]&amp;"; "&amp;Q2761&amp;AS[[#This Row],[Large Provider Entity Code]]&amp;"; "&amp;R2761&amp;AS[[#This Row],[Age Band Code]]&amp;"; "&amp;S2761&amp;AS[[#This Row],[Sex Code]]</f>
        <v xml:space="preserve">Insurer Code ; Reporting Year ; Insurance Category Code ; Large Provider Entity Code ; Age Band Code ; Sex Code </v>
      </c>
      <c r="N2761" s="345" t="s">
        <v>207</v>
      </c>
      <c r="O2761" s="345" t="s">
        <v>208</v>
      </c>
      <c r="P2761" s="345" t="s">
        <v>209</v>
      </c>
      <c r="Q2761" s="345" t="s">
        <v>210</v>
      </c>
      <c r="R2761" s="345" t="s">
        <v>223</v>
      </c>
      <c r="S2761" s="345" t="s">
        <v>224</v>
      </c>
    </row>
    <row r="2762" spans="1:19" x14ac:dyDescent="0.25">
      <c r="A2762" s="311"/>
      <c r="B2762" s="312"/>
      <c r="C2762" s="312"/>
      <c r="D2762" s="312"/>
      <c r="E2762" s="312"/>
      <c r="F2762" s="312"/>
      <c r="G2762" s="328"/>
      <c r="H2762" s="337"/>
      <c r="I2762" s="334"/>
      <c r="J2762" s="314"/>
      <c r="K2762" s="449"/>
      <c r="M2762" s="349" t="str">
        <f>N2762&amp;AS[[#This Row],[Insurer Code]]&amp;"; "&amp;O2762&amp;AS[[#This Row],[Reporting Year]]&amp;"; "&amp;P2762&amp;AS[[#This Row],[Insurance Category Code]]&amp;"; "&amp;Q2762&amp;AS[[#This Row],[Large Provider Entity Code]]&amp;"; "&amp;R2762&amp;AS[[#This Row],[Age Band Code]]&amp;"; "&amp;S2762&amp;AS[[#This Row],[Sex Code]]</f>
        <v xml:space="preserve">Insurer Code ; Reporting Year ; Insurance Category Code ; Large Provider Entity Code ; Age Band Code ; Sex Code </v>
      </c>
      <c r="N2762" s="345" t="s">
        <v>207</v>
      </c>
      <c r="O2762" s="345" t="s">
        <v>208</v>
      </c>
      <c r="P2762" s="345" t="s">
        <v>209</v>
      </c>
      <c r="Q2762" s="345" t="s">
        <v>210</v>
      </c>
      <c r="R2762" s="345" t="s">
        <v>223</v>
      </c>
      <c r="S2762" s="345" t="s">
        <v>224</v>
      </c>
    </row>
    <row r="2763" spans="1:19" x14ac:dyDescent="0.25">
      <c r="A2763" s="311"/>
      <c r="B2763" s="312"/>
      <c r="C2763" s="312"/>
      <c r="D2763" s="312"/>
      <c r="E2763" s="312"/>
      <c r="F2763" s="312"/>
      <c r="G2763" s="328"/>
      <c r="H2763" s="337"/>
      <c r="I2763" s="334"/>
      <c r="J2763" s="314"/>
      <c r="K2763" s="449"/>
      <c r="M2763" s="349" t="str">
        <f>N2763&amp;AS[[#This Row],[Insurer Code]]&amp;"; "&amp;O2763&amp;AS[[#This Row],[Reporting Year]]&amp;"; "&amp;P2763&amp;AS[[#This Row],[Insurance Category Code]]&amp;"; "&amp;Q2763&amp;AS[[#This Row],[Large Provider Entity Code]]&amp;"; "&amp;R2763&amp;AS[[#This Row],[Age Band Code]]&amp;"; "&amp;S2763&amp;AS[[#This Row],[Sex Code]]</f>
        <v xml:space="preserve">Insurer Code ; Reporting Year ; Insurance Category Code ; Large Provider Entity Code ; Age Band Code ; Sex Code </v>
      </c>
      <c r="N2763" s="345" t="s">
        <v>207</v>
      </c>
      <c r="O2763" s="345" t="s">
        <v>208</v>
      </c>
      <c r="P2763" s="345" t="s">
        <v>209</v>
      </c>
      <c r="Q2763" s="345" t="s">
        <v>210</v>
      </c>
      <c r="R2763" s="345" t="s">
        <v>223</v>
      </c>
      <c r="S2763" s="345" t="s">
        <v>224</v>
      </c>
    </row>
    <row r="2764" spans="1:19" x14ac:dyDescent="0.25">
      <c r="A2764" s="311"/>
      <c r="B2764" s="312"/>
      <c r="C2764" s="312"/>
      <c r="D2764" s="312"/>
      <c r="E2764" s="312"/>
      <c r="F2764" s="312"/>
      <c r="G2764" s="328"/>
      <c r="H2764" s="337"/>
      <c r="I2764" s="334"/>
      <c r="J2764" s="314"/>
      <c r="K2764" s="449"/>
      <c r="M2764" s="349" t="str">
        <f>N2764&amp;AS[[#This Row],[Insurer Code]]&amp;"; "&amp;O2764&amp;AS[[#This Row],[Reporting Year]]&amp;"; "&amp;P2764&amp;AS[[#This Row],[Insurance Category Code]]&amp;"; "&amp;Q2764&amp;AS[[#This Row],[Large Provider Entity Code]]&amp;"; "&amp;R2764&amp;AS[[#This Row],[Age Band Code]]&amp;"; "&amp;S2764&amp;AS[[#This Row],[Sex Code]]</f>
        <v xml:space="preserve">Insurer Code ; Reporting Year ; Insurance Category Code ; Large Provider Entity Code ; Age Band Code ; Sex Code </v>
      </c>
      <c r="N2764" s="345" t="s">
        <v>207</v>
      </c>
      <c r="O2764" s="345" t="s">
        <v>208</v>
      </c>
      <c r="P2764" s="345" t="s">
        <v>209</v>
      </c>
      <c r="Q2764" s="345" t="s">
        <v>210</v>
      </c>
      <c r="R2764" s="345" t="s">
        <v>223</v>
      </c>
      <c r="S2764" s="345" t="s">
        <v>224</v>
      </c>
    </row>
    <row r="2765" spans="1:19" x14ac:dyDescent="0.25">
      <c r="A2765" s="311"/>
      <c r="B2765" s="312"/>
      <c r="C2765" s="312"/>
      <c r="D2765" s="312"/>
      <c r="E2765" s="312"/>
      <c r="F2765" s="312"/>
      <c r="G2765" s="328"/>
      <c r="H2765" s="337"/>
      <c r="I2765" s="334"/>
      <c r="J2765" s="314"/>
      <c r="K2765" s="449"/>
      <c r="M2765" s="349" t="str">
        <f>N2765&amp;AS[[#This Row],[Insurer Code]]&amp;"; "&amp;O2765&amp;AS[[#This Row],[Reporting Year]]&amp;"; "&amp;P2765&amp;AS[[#This Row],[Insurance Category Code]]&amp;"; "&amp;Q2765&amp;AS[[#This Row],[Large Provider Entity Code]]&amp;"; "&amp;R2765&amp;AS[[#This Row],[Age Band Code]]&amp;"; "&amp;S2765&amp;AS[[#This Row],[Sex Code]]</f>
        <v xml:space="preserve">Insurer Code ; Reporting Year ; Insurance Category Code ; Large Provider Entity Code ; Age Band Code ; Sex Code </v>
      </c>
      <c r="N2765" s="345" t="s">
        <v>207</v>
      </c>
      <c r="O2765" s="345" t="s">
        <v>208</v>
      </c>
      <c r="P2765" s="345" t="s">
        <v>209</v>
      </c>
      <c r="Q2765" s="345" t="s">
        <v>210</v>
      </c>
      <c r="R2765" s="345" t="s">
        <v>223</v>
      </c>
      <c r="S2765" s="345" t="s">
        <v>224</v>
      </c>
    </row>
    <row r="2766" spans="1:19" x14ac:dyDescent="0.25">
      <c r="A2766" s="311"/>
      <c r="B2766" s="312"/>
      <c r="C2766" s="312"/>
      <c r="D2766" s="312"/>
      <c r="E2766" s="312"/>
      <c r="F2766" s="312"/>
      <c r="G2766" s="328"/>
      <c r="H2766" s="337"/>
      <c r="I2766" s="334"/>
      <c r="J2766" s="314"/>
      <c r="K2766" s="449"/>
      <c r="M2766" s="349" t="str">
        <f>N2766&amp;AS[[#This Row],[Insurer Code]]&amp;"; "&amp;O2766&amp;AS[[#This Row],[Reporting Year]]&amp;"; "&amp;P2766&amp;AS[[#This Row],[Insurance Category Code]]&amp;"; "&amp;Q2766&amp;AS[[#This Row],[Large Provider Entity Code]]&amp;"; "&amp;R2766&amp;AS[[#This Row],[Age Band Code]]&amp;"; "&amp;S2766&amp;AS[[#This Row],[Sex Code]]</f>
        <v xml:space="preserve">Insurer Code ; Reporting Year ; Insurance Category Code ; Large Provider Entity Code ; Age Band Code ; Sex Code </v>
      </c>
      <c r="N2766" s="345" t="s">
        <v>207</v>
      </c>
      <c r="O2766" s="345" t="s">
        <v>208</v>
      </c>
      <c r="P2766" s="345" t="s">
        <v>209</v>
      </c>
      <c r="Q2766" s="345" t="s">
        <v>210</v>
      </c>
      <c r="R2766" s="345" t="s">
        <v>223</v>
      </c>
      <c r="S2766" s="345" t="s">
        <v>224</v>
      </c>
    </row>
    <row r="2767" spans="1:19" x14ac:dyDescent="0.25">
      <c r="A2767" s="311"/>
      <c r="B2767" s="312"/>
      <c r="C2767" s="312"/>
      <c r="D2767" s="312"/>
      <c r="E2767" s="312"/>
      <c r="F2767" s="312"/>
      <c r="G2767" s="328"/>
      <c r="H2767" s="337"/>
      <c r="I2767" s="334"/>
      <c r="J2767" s="314"/>
      <c r="K2767" s="449"/>
      <c r="M2767" s="349" t="str">
        <f>N2767&amp;AS[[#This Row],[Insurer Code]]&amp;"; "&amp;O2767&amp;AS[[#This Row],[Reporting Year]]&amp;"; "&amp;P2767&amp;AS[[#This Row],[Insurance Category Code]]&amp;"; "&amp;Q2767&amp;AS[[#This Row],[Large Provider Entity Code]]&amp;"; "&amp;R2767&amp;AS[[#This Row],[Age Band Code]]&amp;"; "&amp;S2767&amp;AS[[#This Row],[Sex Code]]</f>
        <v xml:space="preserve">Insurer Code ; Reporting Year ; Insurance Category Code ; Large Provider Entity Code ; Age Band Code ; Sex Code </v>
      </c>
      <c r="N2767" s="345" t="s">
        <v>207</v>
      </c>
      <c r="O2767" s="345" t="s">
        <v>208</v>
      </c>
      <c r="P2767" s="345" t="s">
        <v>209</v>
      </c>
      <c r="Q2767" s="345" t="s">
        <v>210</v>
      </c>
      <c r="R2767" s="345" t="s">
        <v>223</v>
      </c>
      <c r="S2767" s="345" t="s">
        <v>224</v>
      </c>
    </row>
    <row r="2768" spans="1:19" x14ac:dyDescent="0.25">
      <c r="A2768" s="311"/>
      <c r="B2768" s="312"/>
      <c r="C2768" s="312"/>
      <c r="D2768" s="312"/>
      <c r="E2768" s="312"/>
      <c r="F2768" s="312"/>
      <c r="G2768" s="328"/>
      <c r="H2768" s="337"/>
      <c r="I2768" s="334"/>
      <c r="J2768" s="314"/>
      <c r="K2768" s="449"/>
      <c r="M2768" s="349" t="str">
        <f>N2768&amp;AS[[#This Row],[Insurer Code]]&amp;"; "&amp;O2768&amp;AS[[#This Row],[Reporting Year]]&amp;"; "&amp;P2768&amp;AS[[#This Row],[Insurance Category Code]]&amp;"; "&amp;Q2768&amp;AS[[#This Row],[Large Provider Entity Code]]&amp;"; "&amp;R2768&amp;AS[[#This Row],[Age Band Code]]&amp;"; "&amp;S2768&amp;AS[[#This Row],[Sex Code]]</f>
        <v xml:space="preserve">Insurer Code ; Reporting Year ; Insurance Category Code ; Large Provider Entity Code ; Age Band Code ; Sex Code </v>
      </c>
      <c r="N2768" s="345" t="s">
        <v>207</v>
      </c>
      <c r="O2768" s="345" t="s">
        <v>208</v>
      </c>
      <c r="P2768" s="345" t="s">
        <v>209</v>
      </c>
      <c r="Q2768" s="345" t="s">
        <v>210</v>
      </c>
      <c r="R2768" s="345" t="s">
        <v>223</v>
      </c>
      <c r="S2768" s="345" t="s">
        <v>224</v>
      </c>
    </row>
    <row r="2769" spans="1:19" x14ac:dyDescent="0.25">
      <c r="A2769" s="311"/>
      <c r="B2769" s="312"/>
      <c r="C2769" s="312"/>
      <c r="D2769" s="312"/>
      <c r="E2769" s="312"/>
      <c r="F2769" s="312"/>
      <c r="G2769" s="328"/>
      <c r="H2769" s="337"/>
      <c r="I2769" s="334"/>
      <c r="J2769" s="314"/>
      <c r="K2769" s="449"/>
      <c r="M2769" s="349" t="str">
        <f>N2769&amp;AS[[#This Row],[Insurer Code]]&amp;"; "&amp;O2769&amp;AS[[#This Row],[Reporting Year]]&amp;"; "&amp;P2769&amp;AS[[#This Row],[Insurance Category Code]]&amp;"; "&amp;Q2769&amp;AS[[#This Row],[Large Provider Entity Code]]&amp;"; "&amp;R2769&amp;AS[[#This Row],[Age Band Code]]&amp;"; "&amp;S2769&amp;AS[[#This Row],[Sex Code]]</f>
        <v xml:space="preserve">Insurer Code ; Reporting Year ; Insurance Category Code ; Large Provider Entity Code ; Age Band Code ; Sex Code </v>
      </c>
      <c r="N2769" s="345" t="s">
        <v>207</v>
      </c>
      <c r="O2769" s="345" t="s">
        <v>208</v>
      </c>
      <c r="P2769" s="345" t="s">
        <v>209</v>
      </c>
      <c r="Q2769" s="345" t="s">
        <v>210</v>
      </c>
      <c r="R2769" s="345" t="s">
        <v>223</v>
      </c>
      <c r="S2769" s="345" t="s">
        <v>224</v>
      </c>
    </row>
    <row r="2770" spans="1:19" x14ac:dyDescent="0.25">
      <c r="A2770" s="311"/>
      <c r="B2770" s="312"/>
      <c r="C2770" s="312"/>
      <c r="D2770" s="312"/>
      <c r="E2770" s="312"/>
      <c r="F2770" s="312"/>
      <c r="G2770" s="328"/>
      <c r="H2770" s="337"/>
      <c r="I2770" s="334"/>
      <c r="J2770" s="314"/>
      <c r="K2770" s="449"/>
      <c r="M2770" s="349" t="str">
        <f>N2770&amp;AS[[#This Row],[Insurer Code]]&amp;"; "&amp;O2770&amp;AS[[#This Row],[Reporting Year]]&amp;"; "&amp;P2770&amp;AS[[#This Row],[Insurance Category Code]]&amp;"; "&amp;Q2770&amp;AS[[#This Row],[Large Provider Entity Code]]&amp;"; "&amp;R2770&amp;AS[[#This Row],[Age Band Code]]&amp;"; "&amp;S2770&amp;AS[[#This Row],[Sex Code]]</f>
        <v xml:space="preserve">Insurer Code ; Reporting Year ; Insurance Category Code ; Large Provider Entity Code ; Age Band Code ; Sex Code </v>
      </c>
      <c r="N2770" s="345" t="s">
        <v>207</v>
      </c>
      <c r="O2770" s="345" t="s">
        <v>208</v>
      </c>
      <c r="P2770" s="345" t="s">
        <v>209</v>
      </c>
      <c r="Q2770" s="345" t="s">
        <v>210</v>
      </c>
      <c r="R2770" s="345" t="s">
        <v>223</v>
      </c>
      <c r="S2770" s="345" t="s">
        <v>224</v>
      </c>
    </row>
    <row r="2771" spans="1:19" x14ac:dyDescent="0.25">
      <c r="A2771" s="311"/>
      <c r="B2771" s="312"/>
      <c r="C2771" s="312"/>
      <c r="D2771" s="312"/>
      <c r="E2771" s="312"/>
      <c r="F2771" s="312"/>
      <c r="G2771" s="328"/>
      <c r="H2771" s="337"/>
      <c r="I2771" s="334"/>
      <c r="J2771" s="314"/>
      <c r="K2771" s="449"/>
      <c r="M2771" s="349" t="str">
        <f>N2771&amp;AS[[#This Row],[Insurer Code]]&amp;"; "&amp;O2771&amp;AS[[#This Row],[Reporting Year]]&amp;"; "&amp;P2771&amp;AS[[#This Row],[Insurance Category Code]]&amp;"; "&amp;Q2771&amp;AS[[#This Row],[Large Provider Entity Code]]&amp;"; "&amp;R2771&amp;AS[[#This Row],[Age Band Code]]&amp;"; "&amp;S2771&amp;AS[[#This Row],[Sex Code]]</f>
        <v xml:space="preserve">Insurer Code ; Reporting Year ; Insurance Category Code ; Large Provider Entity Code ; Age Band Code ; Sex Code </v>
      </c>
      <c r="N2771" s="345" t="s">
        <v>207</v>
      </c>
      <c r="O2771" s="345" t="s">
        <v>208</v>
      </c>
      <c r="P2771" s="345" t="s">
        <v>209</v>
      </c>
      <c r="Q2771" s="345" t="s">
        <v>210</v>
      </c>
      <c r="R2771" s="345" t="s">
        <v>223</v>
      </c>
      <c r="S2771" s="345" t="s">
        <v>224</v>
      </c>
    </row>
    <row r="2772" spans="1:19" x14ac:dyDescent="0.25">
      <c r="A2772" s="311"/>
      <c r="B2772" s="312"/>
      <c r="C2772" s="312"/>
      <c r="D2772" s="312"/>
      <c r="E2772" s="312"/>
      <c r="F2772" s="312"/>
      <c r="G2772" s="328"/>
      <c r="H2772" s="337"/>
      <c r="I2772" s="334"/>
      <c r="J2772" s="314"/>
      <c r="K2772" s="449"/>
      <c r="M2772" s="349" t="str">
        <f>N2772&amp;AS[[#This Row],[Insurer Code]]&amp;"; "&amp;O2772&amp;AS[[#This Row],[Reporting Year]]&amp;"; "&amp;P2772&amp;AS[[#This Row],[Insurance Category Code]]&amp;"; "&amp;Q2772&amp;AS[[#This Row],[Large Provider Entity Code]]&amp;"; "&amp;R2772&amp;AS[[#This Row],[Age Band Code]]&amp;"; "&amp;S2772&amp;AS[[#This Row],[Sex Code]]</f>
        <v xml:space="preserve">Insurer Code ; Reporting Year ; Insurance Category Code ; Large Provider Entity Code ; Age Band Code ; Sex Code </v>
      </c>
      <c r="N2772" s="345" t="s">
        <v>207</v>
      </c>
      <c r="O2772" s="345" t="s">
        <v>208</v>
      </c>
      <c r="P2772" s="345" t="s">
        <v>209</v>
      </c>
      <c r="Q2772" s="345" t="s">
        <v>210</v>
      </c>
      <c r="R2772" s="345" t="s">
        <v>223</v>
      </c>
      <c r="S2772" s="345" t="s">
        <v>224</v>
      </c>
    </row>
    <row r="2773" spans="1:19" x14ac:dyDescent="0.25">
      <c r="A2773" s="311"/>
      <c r="B2773" s="312"/>
      <c r="C2773" s="312"/>
      <c r="D2773" s="312"/>
      <c r="E2773" s="312"/>
      <c r="F2773" s="312"/>
      <c r="G2773" s="328"/>
      <c r="H2773" s="337"/>
      <c r="I2773" s="334"/>
      <c r="J2773" s="314"/>
      <c r="K2773" s="449"/>
      <c r="M2773" s="349" t="str">
        <f>N2773&amp;AS[[#This Row],[Insurer Code]]&amp;"; "&amp;O2773&amp;AS[[#This Row],[Reporting Year]]&amp;"; "&amp;P2773&amp;AS[[#This Row],[Insurance Category Code]]&amp;"; "&amp;Q2773&amp;AS[[#This Row],[Large Provider Entity Code]]&amp;"; "&amp;R2773&amp;AS[[#This Row],[Age Band Code]]&amp;"; "&amp;S2773&amp;AS[[#This Row],[Sex Code]]</f>
        <v xml:space="preserve">Insurer Code ; Reporting Year ; Insurance Category Code ; Large Provider Entity Code ; Age Band Code ; Sex Code </v>
      </c>
      <c r="N2773" s="345" t="s">
        <v>207</v>
      </c>
      <c r="O2773" s="345" t="s">
        <v>208</v>
      </c>
      <c r="P2773" s="345" t="s">
        <v>209</v>
      </c>
      <c r="Q2773" s="345" t="s">
        <v>210</v>
      </c>
      <c r="R2773" s="345" t="s">
        <v>223</v>
      </c>
      <c r="S2773" s="345" t="s">
        <v>224</v>
      </c>
    </row>
    <row r="2774" spans="1:19" x14ac:dyDescent="0.25">
      <c r="A2774" s="311"/>
      <c r="B2774" s="312"/>
      <c r="C2774" s="312"/>
      <c r="D2774" s="312"/>
      <c r="E2774" s="312"/>
      <c r="F2774" s="312"/>
      <c r="G2774" s="328"/>
      <c r="H2774" s="337"/>
      <c r="I2774" s="334"/>
      <c r="J2774" s="314"/>
      <c r="K2774" s="449"/>
      <c r="M2774" s="349" t="str">
        <f>N2774&amp;AS[[#This Row],[Insurer Code]]&amp;"; "&amp;O2774&amp;AS[[#This Row],[Reporting Year]]&amp;"; "&amp;P2774&amp;AS[[#This Row],[Insurance Category Code]]&amp;"; "&amp;Q2774&amp;AS[[#This Row],[Large Provider Entity Code]]&amp;"; "&amp;R2774&amp;AS[[#This Row],[Age Band Code]]&amp;"; "&amp;S2774&amp;AS[[#This Row],[Sex Code]]</f>
        <v xml:space="preserve">Insurer Code ; Reporting Year ; Insurance Category Code ; Large Provider Entity Code ; Age Band Code ; Sex Code </v>
      </c>
      <c r="N2774" s="345" t="s">
        <v>207</v>
      </c>
      <c r="O2774" s="345" t="s">
        <v>208</v>
      </c>
      <c r="P2774" s="345" t="s">
        <v>209</v>
      </c>
      <c r="Q2774" s="345" t="s">
        <v>210</v>
      </c>
      <c r="R2774" s="345" t="s">
        <v>223</v>
      </c>
      <c r="S2774" s="345" t="s">
        <v>224</v>
      </c>
    </row>
    <row r="2775" spans="1:19" x14ac:dyDescent="0.25">
      <c r="A2775" s="311"/>
      <c r="B2775" s="312"/>
      <c r="C2775" s="312"/>
      <c r="D2775" s="312"/>
      <c r="E2775" s="312"/>
      <c r="F2775" s="312"/>
      <c r="G2775" s="328"/>
      <c r="H2775" s="337"/>
      <c r="I2775" s="334"/>
      <c r="J2775" s="314"/>
      <c r="K2775" s="449"/>
      <c r="M2775" s="349" t="str">
        <f>N2775&amp;AS[[#This Row],[Insurer Code]]&amp;"; "&amp;O2775&amp;AS[[#This Row],[Reporting Year]]&amp;"; "&amp;P2775&amp;AS[[#This Row],[Insurance Category Code]]&amp;"; "&amp;Q2775&amp;AS[[#This Row],[Large Provider Entity Code]]&amp;"; "&amp;R2775&amp;AS[[#This Row],[Age Band Code]]&amp;"; "&amp;S2775&amp;AS[[#This Row],[Sex Code]]</f>
        <v xml:space="preserve">Insurer Code ; Reporting Year ; Insurance Category Code ; Large Provider Entity Code ; Age Band Code ; Sex Code </v>
      </c>
      <c r="N2775" s="345" t="s">
        <v>207</v>
      </c>
      <c r="O2775" s="345" t="s">
        <v>208</v>
      </c>
      <c r="P2775" s="345" t="s">
        <v>209</v>
      </c>
      <c r="Q2775" s="345" t="s">
        <v>210</v>
      </c>
      <c r="R2775" s="345" t="s">
        <v>223</v>
      </c>
      <c r="S2775" s="345" t="s">
        <v>224</v>
      </c>
    </row>
    <row r="2776" spans="1:19" x14ac:dyDescent="0.25">
      <c r="A2776" s="311"/>
      <c r="B2776" s="312"/>
      <c r="C2776" s="312"/>
      <c r="D2776" s="312"/>
      <c r="E2776" s="312"/>
      <c r="F2776" s="312"/>
      <c r="G2776" s="328"/>
      <c r="H2776" s="337"/>
      <c r="I2776" s="334"/>
      <c r="J2776" s="314"/>
      <c r="K2776" s="449"/>
      <c r="M2776" s="349" t="str">
        <f>N2776&amp;AS[[#This Row],[Insurer Code]]&amp;"; "&amp;O2776&amp;AS[[#This Row],[Reporting Year]]&amp;"; "&amp;P2776&amp;AS[[#This Row],[Insurance Category Code]]&amp;"; "&amp;Q2776&amp;AS[[#This Row],[Large Provider Entity Code]]&amp;"; "&amp;R2776&amp;AS[[#This Row],[Age Band Code]]&amp;"; "&amp;S2776&amp;AS[[#This Row],[Sex Code]]</f>
        <v xml:space="preserve">Insurer Code ; Reporting Year ; Insurance Category Code ; Large Provider Entity Code ; Age Band Code ; Sex Code </v>
      </c>
      <c r="N2776" s="345" t="s">
        <v>207</v>
      </c>
      <c r="O2776" s="345" t="s">
        <v>208</v>
      </c>
      <c r="P2776" s="345" t="s">
        <v>209</v>
      </c>
      <c r="Q2776" s="345" t="s">
        <v>210</v>
      </c>
      <c r="R2776" s="345" t="s">
        <v>223</v>
      </c>
      <c r="S2776" s="345" t="s">
        <v>224</v>
      </c>
    </row>
    <row r="2777" spans="1:19" x14ac:dyDescent="0.25">
      <c r="A2777" s="311"/>
      <c r="B2777" s="312"/>
      <c r="C2777" s="312"/>
      <c r="D2777" s="312"/>
      <c r="E2777" s="312"/>
      <c r="F2777" s="312"/>
      <c r="G2777" s="328"/>
      <c r="H2777" s="337"/>
      <c r="I2777" s="334"/>
      <c r="J2777" s="314"/>
      <c r="K2777" s="449"/>
      <c r="M2777" s="349" t="str">
        <f>N2777&amp;AS[[#This Row],[Insurer Code]]&amp;"; "&amp;O2777&amp;AS[[#This Row],[Reporting Year]]&amp;"; "&amp;P2777&amp;AS[[#This Row],[Insurance Category Code]]&amp;"; "&amp;Q2777&amp;AS[[#This Row],[Large Provider Entity Code]]&amp;"; "&amp;R2777&amp;AS[[#This Row],[Age Band Code]]&amp;"; "&amp;S2777&amp;AS[[#This Row],[Sex Code]]</f>
        <v xml:space="preserve">Insurer Code ; Reporting Year ; Insurance Category Code ; Large Provider Entity Code ; Age Band Code ; Sex Code </v>
      </c>
      <c r="N2777" s="345" t="s">
        <v>207</v>
      </c>
      <c r="O2777" s="345" t="s">
        <v>208</v>
      </c>
      <c r="P2777" s="345" t="s">
        <v>209</v>
      </c>
      <c r="Q2777" s="345" t="s">
        <v>210</v>
      </c>
      <c r="R2777" s="345" t="s">
        <v>223</v>
      </c>
      <c r="S2777" s="345" t="s">
        <v>224</v>
      </c>
    </row>
    <row r="2778" spans="1:19" x14ac:dyDescent="0.25">
      <c r="A2778" s="311"/>
      <c r="B2778" s="312"/>
      <c r="C2778" s="312"/>
      <c r="D2778" s="312"/>
      <c r="E2778" s="312"/>
      <c r="F2778" s="312"/>
      <c r="G2778" s="328"/>
      <c r="H2778" s="337"/>
      <c r="I2778" s="334"/>
      <c r="J2778" s="314"/>
      <c r="K2778" s="449"/>
      <c r="M2778" s="349" t="str">
        <f>N2778&amp;AS[[#This Row],[Insurer Code]]&amp;"; "&amp;O2778&amp;AS[[#This Row],[Reporting Year]]&amp;"; "&amp;P2778&amp;AS[[#This Row],[Insurance Category Code]]&amp;"; "&amp;Q2778&amp;AS[[#This Row],[Large Provider Entity Code]]&amp;"; "&amp;R2778&amp;AS[[#This Row],[Age Band Code]]&amp;"; "&amp;S2778&amp;AS[[#This Row],[Sex Code]]</f>
        <v xml:space="preserve">Insurer Code ; Reporting Year ; Insurance Category Code ; Large Provider Entity Code ; Age Band Code ; Sex Code </v>
      </c>
      <c r="N2778" s="345" t="s">
        <v>207</v>
      </c>
      <c r="O2778" s="345" t="s">
        <v>208</v>
      </c>
      <c r="P2778" s="345" t="s">
        <v>209</v>
      </c>
      <c r="Q2778" s="345" t="s">
        <v>210</v>
      </c>
      <c r="R2778" s="345" t="s">
        <v>223</v>
      </c>
      <c r="S2778" s="345" t="s">
        <v>224</v>
      </c>
    </row>
    <row r="2779" spans="1:19" x14ac:dyDescent="0.25">
      <c r="A2779" s="311"/>
      <c r="B2779" s="312"/>
      <c r="C2779" s="312"/>
      <c r="D2779" s="312"/>
      <c r="E2779" s="312"/>
      <c r="F2779" s="312"/>
      <c r="G2779" s="328"/>
      <c r="H2779" s="337"/>
      <c r="I2779" s="334"/>
      <c r="J2779" s="314"/>
      <c r="K2779" s="449"/>
      <c r="M2779" s="349" t="str">
        <f>N2779&amp;AS[[#This Row],[Insurer Code]]&amp;"; "&amp;O2779&amp;AS[[#This Row],[Reporting Year]]&amp;"; "&amp;P2779&amp;AS[[#This Row],[Insurance Category Code]]&amp;"; "&amp;Q2779&amp;AS[[#This Row],[Large Provider Entity Code]]&amp;"; "&amp;R2779&amp;AS[[#This Row],[Age Band Code]]&amp;"; "&amp;S2779&amp;AS[[#This Row],[Sex Code]]</f>
        <v xml:space="preserve">Insurer Code ; Reporting Year ; Insurance Category Code ; Large Provider Entity Code ; Age Band Code ; Sex Code </v>
      </c>
      <c r="N2779" s="345" t="s">
        <v>207</v>
      </c>
      <c r="O2779" s="345" t="s">
        <v>208</v>
      </c>
      <c r="P2779" s="345" t="s">
        <v>209</v>
      </c>
      <c r="Q2779" s="345" t="s">
        <v>210</v>
      </c>
      <c r="R2779" s="345" t="s">
        <v>223</v>
      </c>
      <c r="S2779" s="345" t="s">
        <v>224</v>
      </c>
    </row>
    <row r="2780" spans="1:19" x14ac:dyDescent="0.25">
      <c r="A2780" s="311"/>
      <c r="B2780" s="312"/>
      <c r="C2780" s="312"/>
      <c r="D2780" s="312"/>
      <c r="E2780" s="312"/>
      <c r="F2780" s="312"/>
      <c r="G2780" s="328"/>
      <c r="H2780" s="337"/>
      <c r="I2780" s="334"/>
      <c r="J2780" s="314"/>
      <c r="K2780" s="449"/>
      <c r="M2780" s="349" t="str">
        <f>N2780&amp;AS[[#This Row],[Insurer Code]]&amp;"; "&amp;O2780&amp;AS[[#This Row],[Reporting Year]]&amp;"; "&amp;P2780&amp;AS[[#This Row],[Insurance Category Code]]&amp;"; "&amp;Q2780&amp;AS[[#This Row],[Large Provider Entity Code]]&amp;"; "&amp;R2780&amp;AS[[#This Row],[Age Band Code]]&amp;"; "&amp;S2780&amp;AS[[#This Row],[Sex Code]]</f>
        <v xml:space="preserve">Insurer Code ; Reporting Year ; Insurance Category Code ; Large Provider Entity Code ; Age Band Code ; Sex Code </v>
      </c>
      <c r="N2780" s="345" t="s">
        <v>207</v>
      </c>
      <c r="O2780" s="345" t="s">
        <v>208</v>
      </c>
      <c r="P2780" s="345" t="s">
        <v>209</v>
      </c>
      <c r="Q2780" s="345" t="s">
        <v>210</v>
      </c>
      <c r="R2780" s="345" t="s">
        <v>223</v>
      </c>
      <c r="S2780" s="345" t="s">
        <v>224</v>
      </c>
    </row>
    <row r="2781" spans="1:19" x14ac:dyDescent="0.25">
      <c r="A2781" s="311"/>
      <c r="B2781" s="312"/>
      <c r="C2781" s="312"/>
      <c r="D2781" s="312"/>
      <c r="E2781" s="312"/>
      <c r="F2781" s="312"/>
      <c r="G2781" s="328"/>
      <c r="H2781" s="337"/>
      <c r="I2781" s="334"/>
      <c r="J2781" s="314"/>
      <c r="K2781" s="449"/>
      <c r="M2781" s="349" t="str">
        <f>N2781&amp;AS[[#This Row],[Insurer Code]]&amp;"; "&amp;O2781&amp;AS[[#This Row],[Reporting Year]]&amp;"; "&amp;P2781&amp;AS[[#This Row],[Insurance Category Code]]&amp;"; "&amp;Q2781&amp;AS[[#This Row],[Large Provider Entity Code]]&amp;"; "&amp;R2781&amp;AS[[#This Row],[Age Band Code]]&amp;"; "&amp;S2781&amp;AS[[#This Row],[Sex Code]]</f>
        <v xml:space="preserve">Insurer Code ; Reporting Year ; Insurance Category Code ; Large Provider Entity Code ; Age Band Code ; Sex Code </v>
      </c>
      <c r="N2781" s="345" t="s">
        <v>207</v>
      </c>
      <c r="O2781" s="345" t="s">
        <v>208</v>
      </c>
      <c r="P2781" s="345" t="s">
        <v>209</v>
      </c>
      <c r="Q2781" s="345" t="s">
        <v>210</v>
      </c>
      <c r="R2781" s="345" t="s">
        <v>223</v>
      </c>
      <c r="S2781" s="345" t="s">
        <v>224</v>
      </c>
    </row>
    <row r="2782" spans="1:19" x14ac:dyDescent="0.25">
      <c r="A2782" s="311"/>
      <c r="B2782" s="312"/>
      <c r="C2782" s="312"/>
      <c r="D2782" s="312"/>
      <c r="E2782" s="312"/>
      <c r="F2782" s="312"/>
      <c r="G2782" s="328"/>
      <c r="H2782" s="337"/>
      <c r="I2782" s="334"/>
      <c r="J2782" s="314"/>
      <c r="K2782" s="449"/>
      <c r="M2782" s="349" t="str">
        <f>N2782&amp;AS[[#This Row],[Insurer Code]]&amp;"; "&amp;O2782&amp;AS[[#This Row],[Reporting Year]]&amp;"; "&amp;P2782&amp;AS[[#This Row],[Insurance Category Code]]&amp;"; "&amp;Q2782&amp;AS[[#This Row],[Large Provider Entity Code]]&amp;"; "&amp;R2782&amp;AS[[#This Row],[Age Band Code]]&amp;"; "&amp;S2782&amp;AS[[#This Row],[Sex Code]]</f>
        <v xml:space="preserve">Insurer Code ; Reporting Year ; Insurance Category Code ; Large Provider Entity Code ; Age Band Code ; Sex Code </v>
      </c>
      <c r="N2782" s="345" t="s">
        <v>207</v>
      </c>
      <c r="O2782" s="345" t="s">
        <v>208</v>
      </c>
      <c r="P2782" s="345" t="s">
        <v>209</v>
      </c>
      <c r="Q2782" s="345" t="s">
        <v>210</v>
      </c>
      <c r="R2782" s="345" t="s">
        <v>223</v>
      </c>
      <c r="S2782" s="345" t="s">
        <v>224</v>
      </c>
    </row>
    <row r="2783" spans="1:19" x14ac:dyDescent="0.25">
      <c r="A2783" s="311"/>
      <c r="B2783" s="312"/>
      <c r="C2783" s="312"/>
      <c r="D2783" s="312"/>
      <c r="E2783" s="312"/>
      <c r="F2783" s="312"/>
      <c r="G2783" s="328"/>
      <c r="H2783" s="337"/>
      <c r="I2783" s="334"/>
      <c r="J2783" s="314"/>
      <c r="K2783" s="449"/>
      <c r="M2783" s="349" t="str">
        <f>N2783&amp;AS[[#This Row],[Insurer Code]]&amp;"; "&amp;O2783&amp;AS[[#This Row],[Reporting Year]]&amp;"; "&amp;P2783&amp;AS[[#This Row],[Insurance Category Code]]&amp;"; "&amp;Q2783&amp;AS[[#This Row],[Large Provider Entity Code]]&amp;"; "&amp;R2783&amp;AS[[#This Row],[Age Band Code]]&amp;"; "&amp;S2783&amp;AS[[#This Row],[Sex Code]]</f>
        <v xml:space="preserve">Insurer Code ; Reporting Year ; Insurance Category Code ; Large Provider Entity Code ; Age Band Code ; Sex Code </v>
      </c>
      <c r="N2783" s="345" t="s">
        <v>207</v>
      </c>
      <c r="O2783" s="345" t="s">
        <v>208</v>
      </c>
      <c r="P2783" s="345" t="s">
        <v>209</v>
      </c>
      <c r="Q2783" s="345" t="s">
        <v>210</v>
      </c>
      <c r="R2783" s="345" t="s">
        <v>223</v>
      </c>
      <c r="S2783" s="345" t="s">
        <v>224</v>
      </c>
    </row>
    <row r="2784" spans="1:19" x14ac:dyDescent="0.25">
      <c r="A2784" s="311"/>
      <c r="B2784" s="312"/>
      <c r="C2784" s="312"/>
      <c r="D2784" s="312"/>
      <c r="E2784" s="312"/>
      <c r="F2784" s="312"/>
      <c r="G2784" s="328"/>
      <c r="H2784" s="337"/>
      <c r="I2784" s="334"/>
      <c r="J2784" s="314"/>
      <c r="K2784" s="449"/>
      <c r="M2784" s="349" t="str">
        <f>N2784&amp;AS[[#This Row],[Insurer Code]]&amp;"; "&amp;O2784&amp;AS[[#This Row],[Reporting Year]]&amp;"; "&amp;P2784&amp;AS[[#This Row],[Insurance Category Code]]&amp;"; "&amp;Q2784&amp;AS[[#This Row],[Large Provider Entity Code]]&amp;"; "&amp;R2784&amp;AS[[#This Row],[Age Band Code]]&amp;"; "&amp;S2784&amp;AS[[#This Row],[Sex Code]]</f>
        <v xml:space="preserve">Insurer Code ; Reporting Year ; Insurance Category Code ; Large Provider Entity Code ; Age Band Code ; Sex Code </v>
      </c>
      <c r="N2784" s="345" t="s">
        <v>207</v>
      </c>
      <c r="O2784" s="345" t="s">
        <v>208</v>
      </c>
      <c r="P2784" s="345" t="s">
        <v>209</v>
      </c>
      <c r="Q2784" s="345" t="s">
        <v>210</v>
      </c>
      <c r="R2784" s="345" t="s">
        <v>223</v>
      </c>
      <c r="S2784" s="345" t="s">
        <v>224</v>
      </c>
    </row>
    <row r="2785" spans="1:19" x14ac:dyDescent="0.25">
      <c r="A2785" s="311"/>
      <c r="B2785" s="312"/>
      <c r="C2785" s="312"/>
      <c r="D2785" s="312"/>
      <c r="E2785" s="312"/>
      <c r="F2785" s="312"/>
      <c r="G2785" s="328"/>
      <c r="H2785" s="337"/>
      <c r="I2785" s="334"/>
      <c r="J2785" s="314"/>
      <c r="K2785" s="449"/>
      <c r="M2785" s="349" t="str">
        <f>N2785&amp;AS[[#This Row],[Insurer Code]]&amp;"; "&amp;O2785&amp;AS[[#This Row],[Reporting Year]]&amp;"; "&amp;P2785&amp;AS[[#This Row],[Insurance Category Code]]&amp;"; "&amp;Q2785&amp;AS[[#This Row],[Large Provider Entity Code]]&amp;"; "&amp;R2785&amp;AS[[#This Row],[Age Band Code]]&amp;"; "&amp;S2785&amp;AS[[#This Row],[Sex Code]]</f>
        <v xml:space="preserve">Insurer Code ; Reporting Year ; Insurance Category Code ; Large Provider Entity Code ; Age Band Code ; Sex Code </v>
      </c>
      <c r="N2785" s="345" t="s">
        <v>207</v>
      </c>
      <c r="O2785" s="345" t="s">
        <v>208</v>
      </c>
      <c r="P2785" s="345" t="s">
        <v>209</v>
      </c>
      <c r="Q2785" s="345" t="s">
        <v>210</v>
      </c>
      <c r="R2785" s="345" t="s">
        <v>223</v>
      </c>
      <c r="S2785" s="345" t="s">
        <v>224</v>
      </c>
    </row>
    <row r="2786" spans="1:19" x14ac:dyDescent="0.25">
      <c r="A2786" s="311"/>
      <c r="B2786" s="312"/>
      <c r="C2786" s="312"/>
      <c r="D2786" s="312"/>
      <c r="E2786" s="312"/>
      <c r="F2786" s="312"/>
      <c r="G2786" s="328"/>
      <c r="H2786" s="337"/>
      <c r="I2786" s="334"/>
      <c r="J2786" s="314"/>
      <c r="K2786" s="449"/>
      <c r="M2786" s="349" t="str">
        <f>N2786&amp;AS[[#This Row],[Insurer Code]]&amp;"; "&amp;O2786&amp;AS[[#This Row],[Reporting Year]]&amp;"; "&amp;P2786&amp;AS[[#This Row],[Insurance Category Code]]&amp;"; "&amp;Q2786&amp;AS[[#This Row],[Large Provider Entity Code]]&amp;"; "&amp;R2786&amp;AS[[#This Row],[Age Band Code]]&amp;"; "&amp;S2786&amp;AS[[#This Row],[Sex Code]]</f>
        <v xml:space="preserve">Insurer Code ; Reporting Year ; Insurance Category Code ; Large Provider Entity Code ; Age Band Code ; Sex Code </v>
      </c>
      <c r="N2786" s="345" t="s">
        <v>207</v>
      </c>
      <c r="O2786" s="345" t="s">
        <v>208</v>
      </c>
      <c r="P2786" s="345" t="s">
        <v>209</v>
      </c>
      <c r="Q2786" s="345" t="s">
        <v>210</v>
      </c>
      <c r="R2786" s="345" t="s">
        <v>223</v>
      </c>
      <c r="S2786" s="345" t="s">
        <v>224</v>
      </c>
    </row>
    <row r="2787" spans="1:19" x14ac:dyDescent="0.25">
      <c r="A2787" s="311"/>
      <c r="B2787" s="312"/>
      <c r="C2787" s="312"/>
      <c r="D2787" s="312"/>
      <c r="E2787" s="312"/>
      <c r="F2787" s="312"/>
      <c r="G2787" s="328"/>
      <c r="H2787" s="337"/>
      <c r="I2787" s="334"/>
      <c r="J2787" s="314"/>
      <c r="K2787" s="449"/>
      <c r="M2787" s="349" t="str">
        <f>N2787&amp;AS[[#This Row],[Insurer Code]]&amp;"; "&amp;O2787&amp;AS[[#This Row],[Reporting Year]]&amp;"; "&amp;P2787&amp;AS[[#This Row],[Insurance Category Code]]&amp;"; "&amp;Q2787&amp;AS[[#This Row],[Large Provider Entity Code]]&amp;"; "&amp;R2787&amp;AS[[#This Row],[Age Band Code]]&amp;"; "&amp;S2787&amp;AS[[#This Row],[Sex Code]]</f>
        <v xml:space="preserve">Insurer Code ; Reporting Year ; Insurance Category Code ; Large Provider Entity Code ; Age Band Code ; Sex Code </v>
      </c>
      <c r="N2787" s="345" t="s">
        <v>207</v>
      </c>
      <c r="O2787" s="345" t="s">
        <v>208</v>
      </c>
      <c r="P2787" s="345" t="s">
        <v>209</v>
      </c>
      <c r="Q2787" s="345" t="s">
        <v>210</v>
      </c>
      <c r="R2787" s="345" t="s">
        <v>223</v>
      </c>
      <c r="S2787" s="345" t="s">
        <v>224</v>
      </c>
    </row>
    <row r="2788" spans="1:19" x14ac:dyDescent="0.25">
      <c r="A2788" s="311"/>
      <c r="B2788" s="312"/>
      <c r="C2788" s="312"/>
      <c r="D2788" s="312"/>
      <c r="E2788" s="312"/>
      <c r="F2788" s="312"/>
      <c r="G2788" s="328"/>
      <c r="H2788" s="337"/>
      <c r="I2788" s="334"/>
      <c r="J2788" s="314"/>
      <c r="K2788" s="449"/>
      <c r="M2788" s="349" t="str">
        <f>N2788&amp;AS[[#This Row],[Insurer Code]]&amp;"; "&amp;O2788&amp;AS[[#This Row],[Reporting Year]]&amp;"; "&amp;P2788&amp;AS[[#This Row],[Insurance Category Code]]&amp;"; "&amp;Q2788&amp;AS[[#This Row],[Large Provider Entity Code]]&amp;"; "&amp;R2788&amp;AS[[#This Row],[Age Band Code]]&amp;"; "&amp;S2788&amp;AS[[#This Row],[Sex Code]]</f>
        <v xml:space="preserve">Insurer Code ; Reporting Year ; Insurance Category Code ; Large Provider Entity Code ; Age Band Code ; Sex Code </v>
      </c>
      <c r="N2788" s="345" t="s">
        <v>207</v>
      </c>
      <c r="O2788" s="345" t="s">
        <v>208</v>
      </c>
      <c r="P2788" s="345" t="s">
        <v>209</v>
      </c>
      <c r="Q2788" s="345" t="s">
        <v>210</v>
      </c>
      <c r="R2788" s="345" t="s">
        <v>223</v>
      </c>
      <c r="S2788" s="345" t="s">
        <v>224</v>
      </c>
    </row>
    <row r="2789" spans="1:19" x14ac:dyDescent="0.25">
      <c r="A2789" s="311"/>
      <c r="B2789" s="312"/>
      <c r="C2789" s="312"/>
      <c r="D2789" s="312"/>
      <c r="E2789" s="312"/>
      <c r="F2789" s="312"/>
      <c r="G2789" s="328"/>
      <c r="H2789" s="337"/>
      <c r="I2789" s="334"/>
      <c r="J2789" s="314"/>
      <c r="K2789" s="449"/>
      <c r="M2789" s="349" t="str">
        <f>N2789&amp;AS[[#This Row],[Insurer Code]]&amp;"; "&amp;O2789&amp;AS[[#This Row],[Reporting Year]]&amp;"; "&amp;P2789&amp;AS[[#This Row],[Insurance Category Code]]&amp;"; "&amp;Q2789&amp;AS[[#This Row],[Large Provider Entity Code]]&amp;"; "&amp;R2789&amp;AS[[#This Row],[Age Band Code]]&amp;"; "&amp;S2789&amp;AS[[#This Row],[Sex Code]]</f>
        <v xml:space="preserve">Insurer Code ; Reporting Year ; Insurance Category Code ; Large Provider Entity Code ; Age Band Code ; Sex Code </v>
      </c>
      <c r="N2789" s="345" t="s">
        <v>207</v>
      </c>
      <c r="O2789" s="345" t="s">
        <v>208</v>
      </c>
      <c r="P2789" s="345" t="s">
        <v>209</v>
      </c>
      <c r="Q2789" s="345" t="s">
        <v>210</v>
      </c>
      <c r="R2789" s="345" t="s">
        <v>223</v>
      </c>
      <c r="S2789" s="345" t="s">
        <v>224</v>
      </c>
    </row>
    <row r="2790" spans="1:19" x14ac:dyDescent="0.25">
      <c r="A2790" s="311"/>
      <c r="B2790" s="312"/>
      <c r="C2790" s="312"/>
      <c r="D2790" s="312"/>
      <c r="E2790" s="312"/>
      <c r="F2790" s="312"/>
      <c r="G2790" s="328"/>
      <c r="H2790" s="337"/>
      <c r="I2790" s="334"/>
      <c r="J2790" s="314"/>
      <c r="K2790" s="449"/>
      <c r="M2790" s="349" t="str">
        <f>N2790&amp;AS[[#This Row],[Insurer Code]]&amp;"; "&amp;O2790&amp;AS[[#This Row],[Reporting Year]]&amp;"; "&amp;P2790&amp;AS[[#This Row],[Insurance Category Code]]&amp;"; "&amp;Q2790&amp;AS[[#This Row],[Large Provider Entity Code]]&amp;"; "&amp;R2790&amp;AS[[#This Row],[Age Band Code]]&amp;"; "&amp;S2790&amp;AS[[#This Row],[Sex Code]]</f>
        <v xml:space="preserve">Insurer Code ; Reporting Year ; Insurance Category Code ; Large Provider Entity Code ; Age Band Code ; Sex Code </v>
      </c>
      <c r="N2790" s="345" t="s">
        <v>207</v>
      </c>
      <c r="O2790" s="345" t="s">
        <v>208</v>
      </c>
      <c r="P2790" s="345" t="s">
        <v>209</v>
      </c>
      <c r="Q2790" s="345" t="s">
        <v>210</v>
      </c>
      <c r="R2790" s="345" t="s">
        <v>223</v>
      </c>
      <c r="S2790" s="345" t="s">
        <v>224</v>
      </c>
    </row>
    <row r="2791" spans="1:19" x14ac:dyDescent="0.25">
      <c r="A2791" s="311"/>
      <c r="B2791" s="312"/>
      <c r="C2791" s="312"/>
      <c r="D2791" s="312"/>
      <c r="E2791" s="312"/>
      <c r="F2791" s="312"/>
      <c r="G2791" s="328"/>
      <c r="H2791" s="337"/>
      <c r="I2791" s="334"/>
      <c r="J2791" s="314"/>
      <c r="K2791" s="449"/>
      <c r="M2791" s="349" t="str">
        <f>N2791&amp;AS[[#This Row],[Insurer Code]]&amp;"; "&amp;O2791&amp;AS[[#This Row],[Reporting Year]]&amp;"; "&amp;P2791&amp;AS[[#This Row],[Insurance Category Code]]&amp;"; "&amp;Q2791&amp;AS[[#This Row],[Large Provider Entity Code]]&amp;"; "&amp;R2791&amp;AS[[#This Row],[Age Band Code]]&amp;"; "&amp;S2791&amp;AS[[#This Row],[Sex Code]]</f>
        <v xml:space="preserve">Insurer Code ; Reporting Year ; Insurance Category Code ; Large Provider Entity Code ; Age Band Code ; Sex Code </v>
      </c>
      <c r="N2791" s="345" t="s">
        <v>207</v>
      </c>
      <c r="O2791" s="345" t="s">
        <v>208</v>
      </c>
      <c r="P2791" s="345" t="s">
        <v>209</v>
      </c>
      <c r="Q2791" s="345" t="s">
        <v>210</v>
      </c>
      <c r="R2791" s="345" t="s">
        <v>223</v>
      </c>
      <c r="S2791" s="345" t="s">
        <v>224</v>
      </c>
    </row>
    <row r="2792" spans="1:19" x14ac:dyDescent="0.25">
      <c r="A2792" s="311"/>
      <c r="B2792" s="312"/>
      <c r="C2792" s="312"/>
      <c r="D2792" s="312"/>
      <c r="E2792" s="312"/>
      <c r="F2792" s="312"/>
      <c r="G2792" s="328"/>
      <c r="H2792" s="337"/>
      <c r="I2792" s="334"/>
      <c r="J2792" s="314"/>
      <c r="K2792" s="449"/>
      <c r="M2792" s="349" t="str">
        <f>N2792&amp;AS[[#This Row],[Insurer Code]]&amp;"; "&amp;O2792&amp;AS[[#This Row],[Reporting Year]]&amp;"; "&amp;P2792&amp;AS[[#This Row],[Insurance Category Code]]&amp;"; "&amp;Q2792&amp;AS[[#This Row],[Large Provider Entity Code]]&amp;"; "&amp;R2792&amp;AS[[#This Row],[Age Band Code]]&amp;"; "&amp;S2792&amp;AS[[#This Row],[Sex Code]]</f>
        <v xml:space="preserve">Insurer Code ; Reporting Year ; Insurance Category Code ; Large Provider Entity Code ; Age Band Code ; Sex Code </v>
      </c>
      <c r="N2792" s="345" t="s">
        <v>207</v>
      </c>
      <c r="O2792" s="345" t="s">
        <v>208</v>
      </c>
      <c r="P2792" s="345" t="s">
        <v>209</v>
      </c>
      <c r="Q2792" s="345" t="s">
        <v>210</v>
      </c>
      <c r="R2792" s="345" t="s">
        <v>223</v>
      </c>
      <c r="S2792" s="345" t="s">
        <v>224</v>
      </c>
    </row>
    <row r="2793" spans="1:19" x14ac:dyDescent="0.25">
      <c r="A2793" s="311"/>
      <c r="B2793" s="312"/>
      <c r="C2793" s="312"/>
      <c r="D2793" s="312"/>
      <c r="E2793" s="312"/>
      <c r="F2793" s="312"/>
      <c r="G2793" s="328"/>
      <c r="H2793" s="337"/>
      <c r="I2793" s="334"/>
      <c r="J2793" s="314"/>
      <c r="K2793" s="449"/>
      <c r="M2793" s="349" t="str">
        <f>N2793&amp;AS[[#This Row],[Insurer Code]]&amp;"; "&amp;O2793&amp;AS[[#This Row],[Reporting Year]]&amp;"; "&amp;P2793&amp;AS[[#This Row],[Insurance Category Code]]&amp;"; "&amp;Q2793&amp;AS[[#This Row],[Large Provider Entity Code]]&amp;"; "&amp;R2793&amp;AS[[#This Row],[Age Band Code]]&amp;"; "&amp;S2793&amp;AS[[#This Row],[Sex Code]]</f>
        <v xml:space="preserve">Insurer Code ; Reporting Year ; Insurance Category Code ; Large Provider Entity Code ; Age Band Code ; Sex Code </v>
      </c>
      <c r="N2793" s="345" t="s">
        <v>207</v>
      </c>
      <c r="O2793" s="345" t="s">
        <v>208</v>
      </c>
      <c r="P2793" s="345" t="s">
        <v>209</v>
      </c>
      <c r="Q2793" s="345" t="s">
        <v>210</v>
      </c>
      <c r="R2793" s="345" t="s">
        <v>223</v>
      </c>
      <c r="S2793" s="345" t="s">
        <v>224</v>
      </c>
    </row>
    <row r="2794" spans="1:19" x14ac:dyDescent="0.25">
      <c r="A2794" s="311"/>
      <c r="B2794" s="312"/>
      <c r="C2794" s="312"/>
      <c r="D2794" s="312"/>
      <c r="E2794" s="312"/>
      <c r="F2794" s="312"/>
      <c r="G2794" s="328"/>
      <c r="H2794" s="337"/>
      <c r="I2794" s="334"/>
      <c r="J2794" s="314"/>
      <c r="K2794" s="449"/>
      <c r="M2794" s="349" t="str">
        <f>N2794&amp;AS[[#This Row],[Insurer Code]]&amp;"; "&amp;O2794&amp;AS[[#This Row],[Reporting Year]]&amp;"; "&amp;P2794&amp;AS[[#This Row],[Insurance Category Code]]&amp;"; "&amp;Q2794&amp;AS[[#This Row],[Large Provider Entity Code]]&amp;"; "&amp;R2794&amp;AS[[#This Row],[Age Band Code]]&amp;"; "&amp;S2794&amp;AS[[#This Row],[Sex Code]]</f>
        <v xml:space="preserve">Insurer Code ; Reporting Year ; Insurance Category Code ; Large Provider Entity Code ; Age Band Code ; Sex Code </v>
      </c>
      <c r="N2794" s="345" t="s">
        <v>207</v>
      </c>
      <c r="O2794" s="345" t="s">
        <v>208</v>
      </c>
      <c r="P2794" s="345" t="s">
        <v>209</v>
      </c>
      <c r="Q2794" s="345" t="s">
        <v>210</v>
      </c>
      <c r="R2794" s="345" t="s">
        <v>223</v>
      </c>
      <c r="S2794" s="345" t="s">
        <v>224</v>
      </c>
    </row>
    <row r="2795" spans="1:19" x14ac:dyDescent="0.25">
      <c r="A2795" s="311"/>
      <c r="B2795" s="312"/>
      <c r="C2795" s="312"/>
      <c r="D2795" s="312"/>
      <c r="E2795" s="312"/>
      <c r="F2795" s="312"/>
      <c r="G2795" s="328"/>
      <c r="H2795" s="337"/>
      <c r="I2795" s="334"/>
      <c r="J2795" s="314"/>
      <c r="K2795" s="449"/>
      <c r="M2795" s="349" t="str">
        <f>N2795&amp;AS[[#This Row],[Insurer Code]]&amp;"; "&amp;O2795&amp;AS[[#This Row],[Reporting Year]]&amp;"; "&amp;P2795&amp;AS[[#This Row],[Insurance Category Code]]&amp;"; "&amp;Q2795&amp;AS[[#This Row],[Large Provider Entity Code]]&amp;"; "&amp;R2795&amp;AS[[#This Row],[Age Band Code]]&amp;"; "&amp;S2795&amp;AS[[#This Row],[Sex Code]]</f>
        <v xml:space="preserve">Insurer Code ; Reporting Year ; Insurance Category Code ; Large Provider Entity Code ; Age Band Code ; Sex Code </v>
      </c>
      <c r="N2795" s="345" t="s">
        <v>207</v>
      </c>
      <c r="O2795" s="345" t="s">
        <v>208</v>
      </c>
      <c r="P2795" s="345" t="s">
        <v>209</v>
      </c>
      <c r="Q2795" s="345" t="s">
        <v>210</v>
      </c>
      <c r="R2795" s="345" t="s">
        <v>223</v>
      </c>
      <c r="S2795" s="345" t="s">
        <v>224</v>
      </c>
    </row>
    <row r="2796" spans="1:19" x14ac:dyDescent="0.25">
      <c r="A2796" s="311"/>
      <c r="B2796" s="312"/>
      <c r="C2796" s="312"/>
      <c r="D2796" s="312"/>
      <c r="E2796" s="312"/>
      <c r="F2796" s="312"/>
      <c r="G2796" s="328"/>
      <c r="H2796" s="337"/>
      <c r="I2796" s="334"/>
      <c r="J2796" s="314"/>
      <c r="K2796" s="449"/>
      <c r="M2796" s="349" t="str">
        <f>N2796&amp;AS[[#This Row],[Insurer Code]]&amp;"; "&amp;O2796&amp;AS[[#This Row],[Reporting Year]]&amp;"; "&amp;P2796&amp;AS[[#This Row],[Insurance Category Code]]&amp;"; "&amp;Q2796&amp;AS[[#This Row],[Large Provider Entity Code]]&amp;"; "&amp;R2796&amp;AS[[#This Row],[Age Band Code]]&amp;"; "&amp;S2796&amp;AS[[#This Row],[Sex Code]]</f>
        <v xml:space="preserve">Insurer Code ; Reporting Year ; Insurance Category Code ; Large Provider Entity Code ; Age Band Code ; Sex Code </v>
      </c>
      <c r="N2796" s="345" t="s">
        <v>207</v>
      </c>
      <c r="O2796" s="345" t="s">
        <v>208</v>
      </c>
      <c r="P2796" s="345" t="s">
        <v>209</v>
      </c>
      <c r="Q2796" s="345" t="s">
        <v>210</v>
      </c>
      <c r="R2796" s="345" t="s">
        <v>223</v>
      </c>
      <c r="S2796" s="345" t="s">
        <v>224</v>
      </c>
    </row>
    <row r="2797" spans="1:19" x14ac:dyDescent="0.25">
      <c r="A2797" s="311"/>
      <c r="B2797" s="312"/>
      <c r="C2797" s="312"/>
      <c r="D2797" s="312"/>
      <c r="E2797" s="312"/>
      <c r="F2797" s="312"/>
      <c r="G2797" s="328"/>
      <c r="H2797" s="337"/>
      <c r="I2797" s="334"/>
      <c r="J2797" s="314"/>
      <c r="K2797" s="449"/>
      <c r="M2797" s="349" t="str">
        <f>N2797&amp;AS[[#This Row],[Insurer Code]]&amp;"; "&amp;O2797&amp;AS[[#This Row],[Reporting Year]]&amp;"; "&amp;P2797&amp;AS[[#This Row],[Insurance Category Code]]&amp;"; "&amp;Q2797&amp;AS[[#This Row],[Large Provider Entity Code]]&amp;"; "&amp;R2797&amp;AS[[#This Row],[Age Band Code]]&amp;"; "&amp;S2797&amp;AS[[#This Row],[Sex Code]]</f>
        <v xml:space="preserve">Insurer Code ; Reporting Year ; Insurance Category Code ; Large Provider Entity Code ; Age Band Code ; Sex Code </v>
      </c>
      <c r="N2797" s="345" t="s">
        <v>207</v>
      </c>
      <c r="O2797" s="345" t="s">
        <v>208</v>
      </c>
      <c r="P2797" s="345" t="s">
        <v>209</v>
      </c>
      <c r="Q2797" s="345" t="s">
        <v>210</v>
      </c>
      <c r="R2797" s="345" t="s">
        <v>223</v>
      </c>
      <c r="S2797" s="345" t="s">
        <v>224</v>
      </c>
    </row>
    <row r="2798" spans="1:19" x14ac:dyDescent="0.25">
      <c r="A2798" s="311"/>
      <c r="B2798" s="312"/>
      <c r="C2798" s="312"/>
      <c r="D2798" s="312"/>
      <c r="E2798" s="312"/>
      <c r="F2798" s="312"/>
      <c r="G2798" s="328"/>
      <c r="H2798" s="337"/>
      <c r="I2798" s="334"/>
      <c r="J2798" s="314"/>
      <c r="K2798" s="449"/>
      <c r="M2798" s="349" t="str">
        <f>N2798&amp;AS[[#This Row],[Insurer Code]]&amp;"; "&amp;O2798&amp;AS[[#This Row],[Reporting Year]]&amp;"; "&amp;P2798&amp;AS[[#This Row],[Insurance Category Code]]&amp;"; "&amp;Q2798&amp;AS[[#This Row],[Large Provider Entity Code]]&amp;"; "&amp;R2798&amp;AS[[#This Row],[Age Band Code]]&amp;"; "&amp;S2798&amp;AS[[#This Row],[Sex Code]]</f>
        <v xml:space="preserve">Insurer Code ; Reporting Year ; Insurance Category Code ; Large Provider Entity Code ; Age Band Code ; Sex Code </v>
      </c>
      <c r="N2798" s="345" t="s">
        <v>207</v>
      </c>
      <c r="O2798" s="345" t="s">
        <v>208</v>
      </c>
      <c r="P2798" s="345" t="s">
        <v>209</v>
      </c>
      <c r="Q2798" s="345" t="s">
        <v>210</v>
      </c>
      <c r="R2798" s="345" t="s">
        <v>223</v>
      </c>
      <c r="S2798" s="345" t="s">
        <v>224</v>
      </c>
    </row>
    <row r="2799" spans="1:19" x14ac:dyDescent="0.25">
      <c r="A2799" s="311"/>
      <c r="B2799" s="312"/>
      <c r="C2799" s="312"/>
      <c r="D2799" s="312"/>
      <c r="E2799" s="312"/>
      <c r="F2799" s="312"/>
      <c r="G2799" s="328"/>
      <c r="H2799" s="337"/>
      <c r="I2799" s="334"/>
      <c r="J2799" s="314"/>
      <c r="K2799" s="449"/>
      <c r="M2799" s="349" t="str">
        <f>N2799&amp;AS[[#This Row],[Insurer Code]]&amp;"; "&amp;O2799&amp;AS[[#This Row],[Reporting Year]]&amp;"; "&amp;P2799&amp;AS[[#This Row],[Insurance Category Code]]&amp;"; "&amp;Q2799&amp;AS[[#This Row],[Large Provider Entity Code]]&amp;"; "&amp;R2799&amp;AS[[#This Row],[Age Band Code]]&amp;"; "&amp;S2799&amp;AS[[#This Row],[Sex Code]]</f>
        <v xml:space="preserve">Insurer Code ; Reporting Year ; Insurance Category Code ; Large Provider Entity Code ; Age Band Code ; Sex Code </v>
      </c>
      <c r="N2799" s="345" t="s">
        <v>207</v>
      </c>
      <c r="O2799" s="345" t="s">
        <v>208</v>
      </c>
      <c r="P2799" s="345" t="s">
        <v>209</v>
      </c>
      <c r="Q2799" s="345" t="s">
        <v>210</v>
      </c>
      <c r="R2799" s="345" t="s">
        <v>223</v>
      </c>
      <c r="S2799" s="345" t="s">
        <v>224</v>
      </c>
    </row>
    <row r="2800" spans="1:19" x14ac:dyDescent="0.25">
      <c r="A2800" s="311"/>
      <c r="B2800" s="312"/>
      <c r="C2800" s="312"/>
      <c r="D2800" s="312"/>
      <c r="E2800" s="312"/>
      <c r="F2800" s="312"/>
      <c r="G2800" s="328"/>
      <c r="H2800" s="337"/>
      <c r="I2800" s="334"/>
      <c r="J2800" s="314"/>
      <c r="K2800" s="449"/>
      <c r="M2800" s="349" t="str">
        <f>N2800&amp;AS[[#This Row],[Insurer Code]]&amp;"; "&amp;O2800&amp;AS[[#This Row],[Reporting Year]]&amp;"; "&amp;P2800&amp;AS[[#This Row],[Insurance Category Code]]&amp;"; "&amp;Q2800&amp;AS[[#This Row],[Large Provider Entity Code]]&amp;"; "&amp;R2800&amp;AS[[#This Row],[Age Band Code]]&amp;"; "&amp;S2800&amp;AS[[#This Row],[Sex Code]]</f>
        <v xml:space="preserve">Insurer Code ; Reporting Year ; Insurance Category Code ; Large Provider Entity Code ; Age Band Code ; Sex Code </v>
      </c>
      <c r="N2800" s="345" t="s">
        <v>207</v>
      </c>
      <c r="O2800" s="345" t="s">
        <v>208</v>
      </c>
      <c r="P2800" s="345" t="s">
        <v>209</v>
      </c>
      <c r="Q2800" s="345" t="s">
        <v>210</v>
      </c>
      <c r="R2800" s="345" t="s">
        <v>223</v>
      </c>
      <c r="S2800" s="345" t="s">
        <v>224</v>
      </c>
    </row>
    <row r="2801" spans="1:19" x14ac:dyDescent="0.25">
      <c r="A2801" s="311"/>
      <c r="B2801" s="312"/>
      <c r="C2801" s="312"/>
      <c r="D2801" s="312"/>
      <c r="E2801" s="312"/>
      <c r="F2801" s="312"/>
      <c r="G2801" s="328"/>
      <c r="H2801" s="337"/>
      <c r="I2801" s="334"/>
      <c r="J2801" s="314"/>
      <c r="K2801" s="449"/>
      <c r="M2801" s="349" t="str">
        <f>N2801&amp;AS[[#This Row],[Insurer Code]]&amp;"; "&amp;O2801&amp;AS[[#This Row],[Reporting Year]]&amp;"; "&amp;P2801&amp;AS[[#This Row],[Insurance Category Code]]&amp;"; "&amp;Q2801&amp;AS[[#This Row],[Large Provider Entity Code]]&amp;"; "&amp;R2801&amp;AS[[#This Row],[Age Band Code]]&amp;"; "&amp;S2801&amp;AS[[#This Row],[Sex Code]]</f>
        <v xml:space="preserve">Insurer Code ; Reporting Year ; Insurance Category Code ; Large Provider Entity Code ; Age Band Code ; Sex Code </v>
      </c>
      <c r="N2801" s="345" t="s">
        <v>207</v>
      </c>
      <c r="O2801" s="345" t="s">
        <v>208</v>
      </c>
      <c r="P2801" s="345" t="s">
        <v>209</v>
      </c>
      <c r="Q2801" s="345" t="s">
        <v>210</v>
      </c>
      <c r="R2801" s="345" t="s">
        <v>223</v>
      </c>
      <c r="S2801" s="345" t="s">
        <v>224</v>
      </c>
    </row>
    <row r="2802" spans="1:19" x14ac:dyDescent="0.25">
      <c r="A2802" s="311"/>
      <c r="B2802" s="312"/>
      <c r="C2802" s="312"/>
      <c r="D2802" s="312"/>
      <c r="E2802" s="312"/>
      <c r="F2802" s="312"/>
      <c r="G2802" s="328"/>
      <c r="H2802" s="337"/>
      <c r="I2802" s="334"/>
      <c r="J2802" s="314"/>
      <c r="K2802" s="449"/>
      <c r="M2802" s="349" t="str">
        <f>N2802&amp;AS[[#This Row],[Insurer Code]]&amp;"; "&amp;O2802&amp;AS[[#This Row],[Reporting Year]]&amp;"; "&amp;P2802&amp;AS[[#This Row],[Insurance Category Code]]&amp;"; "&amp;Q2802&amp;AS[[#This Row],[Large Provider Entity Code]]&amp;"; "&amp;R2802&amp;AS[[#This Row],[Age Band Code]]&amp;"; "&amp;S2802&amp;AS[[#This Row],[Sex Code]]</f>
        <v xml:space="preserve">Insurer Code ; Reporting Year ; Insurance Category Code ; Large Provider Entity Code ; Age Band Code ; Sex Code </v>
      </c>
      <c r="N2802" s="345" t="s">
        <v>207</v>
      </c>
      <c r="O2802" s="345" t="s">
        <v>208</v>
      </c>
      <c r="P2802" s="345" t="s">
        <v>209</v>
      </c>
      <c r="Q2802" s="345" t="s">
        <v>210</v>
      </c>
      <c r="R2802" s="345" t="s">
        <v>223</v>
      </c>
      <c r="S2802" s="345" t="s">
        <v>224</v>
      </c>
    </row>
    <row r="2803" spans="1:19" x14ac:dyDescent="0.25">
      <c r="A2803" s="311"/>
      <c r="B2803" s="312"/>
      <c r="C2803" s="312"/>
      <c r="D2803" s="312"/>
      <c r="E2803" s="312"/>
      <c r="F2803" s="312"/>
      <c r="G2803" s="328"/>
      <c r="H2803" s="337"/>
      <c r="I2803" s="334"/>
      <c r="J2803" s="314"/>
      <c r="K2803" s="449"/>
      <c r="M2803" s="349" t="str">
        <f>N2803&amp;AS[[#This Row],[Insurer Code]]&amp;"; "&amp;O2803&amp;AS[[#This Row],[Reporting Year]]&amp;"; "&amp;P2803&amp;AS[[#This Row],[Insurance Category Code]]&amp;"; "&amp;Q2803&amp;AS[[#This Row],[Large Provider Entity Code]]&amp;"; "&amp;R2803&amp;AS[[#This Row],[Age Band Code]]&amp;"; "&amp;S2803&amp;AS[[#This Row],[Sex Code]]</f>
        <v xml:space="preserve">Insurer Code ; Reporting Year ; Insurance Category Code ; Large Provider Entity Code ; Age Band Code ; Sex Code </v>
      </c>
      <c r="N2803" s="345" t="s">
        <v>207</v>
      </c>
      <c r="O2803" s="345" t="s">
        <v>208</v>
      </c>
      <c r="P2803" s="345" t="s">
        <v>209</v>
      </c>
      <c r="Q2803" s="345" t="s">
        <v>210</v>
      </c>
      <c r="R2803" s="345" t="s">
        <v>223</v>
      </c>
      <c r="S2803" s="345" t="s">
        <v>224</v>
      </c>
    </row>
    <row r="2804" spans="1:19" x14ac:dyDescent="0.25">
      <c r="A2804" s="311"/>
      <c r="B2804" s="312"/>
      <c r="C2804" s="312"/>
      <c r="D2804" s="312"/>
      <c r="E2804" s="312"/>
      <c r="F2804" s="312"/>
      <c r="G2804" s="328"/>
      <c r="H2804" s="337"/>
      <c r="I2804" s="334"/>
      <c r="J2804" s="314"/>
      <c r="K2804" s="449"/>
      <c r="M2804" s="349" t="str">
        <f>N2804&amp;AS[[#This Row],[Insurer Code]]&amp;"; "&amp;O2804&amp;AS[[#This Row],[Reporting Year]]&amp;"; "&amp;P2804&amp;AS[[#This Row],[Insurance Category Code]]&amp;"; "&amp;Q2804&amp;AS[[#This Row],[Large Provider Entity Code]]&amp;"; "&amp;R2804&amp;AS[[#This Row],[Age Band Code]]&amp;"; "&amp;S2804&amp;AS[[#This Row],[Sex Code]]</f>
        <v xml:space="preserve">Insurer Code ; Reporting Year ; Insurance Category Code ; Large Provider Entity Code ; Age Band Code ; Sex Code </v>
      </c>
      <c r="N2804" s="345" t="s">
        <v>207</v>
      </c>
      <c r="O2804" s="345" t="s">
        <v>208</v>
      </c>
      <c r="P2804" s="345" t="s">
        <v>209</v>
      </c>
      <c r="Q2804" s="345" t="s">
        <v>210</v>
      </c>
      <c r="R2804" s="345" t="s">
        <v>223</v>
      </c>
      <c r="S2804" s="345" t="s">
        <v>224</v>
      </c>
    </row>
    <row r="2805" spans="1:19" x14ac:dyDescent="0.25">
      <c r="A2805" s="311"/>
      <c r="B2805" s="312"/>
      <c r="C2805" s="312"/>
      <c r="D2805" s="312"/>
      <c r="E2805" s="312"/>
      <c r="F2805" s="312"/>
      <c r="G2805" s="328"/>
      <c r="H2805" s="337"/>
      <c r="I2805" s="334"/>
      <c r="J2805" s="314"/>
      <c r="K2805" s="449"/>
      <c r="M2805" s="349" t="str">
        <f>N2805&amp;AS[[#This Row],[Insurer Code]]&amp;"; "&amp;O2805&amp;AS[[#This Row],[Reporting Year]]&amp;"; "&amp;P2805&amp;AS[[#This Row],[Insurance Category Code]]&amp;"; "&amp;Q2805&amp;AS[[#This Row],[Large Provider Entity Code]]&amp;"; "&amp;R2805&amp;AS[[#This Row],[Age Band Code]]&amp;"; "&amp;S2805&amp;AS[[#This Row],[Sex Code]]</f>
        <v xml:space="preserve">Insurer Code ; Reporting Year ; Insurance Category Code ; Large Provider Entity Code ; Age Band Code ; Sex Code </v>
      </c>
      <c r="N2805" s="345" t="s">
        <v>207</v>
      </c>
      <c r="O2805" s="345" t="s">
        <v>208</v>
      </c>
      <c r="P2805" s="345" t="s">
        <v>209</v>
      </c>
      <c r="Q2805" s="345" t="s">
        <v>210</v>
      </c>
      <c r="R2805" s="345" t="s">
        <v>223</v>
      </c>
      <c r="S2805" s="345" t="s">
        <v>224</v>
      </c>
    </row>
    <row r="2806" spans="1:19" x14ac:dyDescent="0.25">
      <c r="A2806" s="311"/>
      <c r="B2806" s="312"/>
      <c r="C2806" s="312"/>
      <c r="D2806" s="312"/>
      <c r="E2806" s="312"/>
      <c r="F2806" s="312"/>
      <c r="G2806" s="328"/>
      <c r="H2806" s="337"/>
      <c r="I2806" s="334"/>
      <c r="J2806" s="314"/>
      <c r="K2806" s="449"/>
      <c r="M2806" s="349" t="str">
        <f>N2806&amp;AS[[#This Row],[Insurer Code]]&amp;"; "&amp;O2806&amp;AS[[#This Row],[Reporting Year]]&amp;"; "&amp;P2806&amp;AS[[#This Row],[Insurance Category Code]]&amp;"; "&amp;Q2806&amp;AS[[#This Row],[Large Provider Entity Code]]&amp;"; "&amp;R2806&amp;AS[[#This Row],[Age Band Code]]&amp;"; "&amp;S2806&amp;AS[[#This Row],[Sex Code]]</f>
        <v xml:space="preserve">Insurer Code ; Reporting Year ; Insurance Category Code ; Large Provider Entity Code ; Age Band Code ; Sex Code </v>
      </c>
      <c r="N2806" s="345" t="s">
        <v>207</v>
      </c>
      <c r="O2806" s="345" t="s">
        <v>208</v>
      </c>
      <c r="P2806" s="345" t="s">
        <v>209</v>
      </c>
      <c r="Q2806" s="345" t="s">
        <v>210</v>
      </c>
      <c r="R2806" s="345" t="s">
        <v>223</v>
      </c>
      <c r="S2806" s="345" t="s">
        <v>224</v>
      </c>
    </row>
    <row r="2807" spans="1:19" x14ac:dyDescent="0.25">
      <c r="A2807" s="311"/>
      <c r="B2807" s="312"/>
      <c r="C2807" s="312"/>
      <c r="D2807" s="312"/>
      <c r="E2807" s="312"/>
      <c r="F2807" s="312"/>
      <c r="G2807" s="328"/>
      <c r="H2807" s="453"/>
      <c r="I2807" s="334"/>
      <c r="J2807" s="314"/>
      <c r="K2807" s="454"/>
      <c r="M2807" s="349" t="str">
        <f>N2807&amp;AS[[#This Row],[Insurer Code]]&amp;"; "&amp;O2807&amp;AS[[#This Row],[Reporting Year]]&amp;"; "&amp;P2807&amp;AS[[#This Row],[Insurance Category Code]]&amp;"; "&amp;Q2807&amp;AS[[#This Row],[Large Provider Entity Code]]&amp;"; "&amp;R2807&amp;AS[[#This Row],[Age Band Code]]&amp;"; "&amp;S2807&amp;AS[[#This Row],[Sex Code]]</f>
        <v xml:space="preserve">Insurer Code ; Reporting Year ; Insurance Category Code ; Large Provider Entity Code ; Age Band Code ; Sex Code </v>
      </c>
      <c r="N2807" s="345" t="s">
        <v>207</v>
      </c>
      <c r="O2807" s="345" t="s">
        <v>208</v>
      </c>
      <c r="P2807" s="345" t="s">
        <v>209</v>
      </c>
      <c r="Q2807" s="345" t="s">
        <v>210</v>
      </c>
      <c r="R2807" s="345" t="s">
        <v>223</v>
      </c>
      <c r="S2807" s="345" t="s">
        <v>224</v>
      </c>
    </row>
    <row r="2808" spans="1:19" x14ac:dyDescent="0.25">
      <c r="A2808" s="311"/>
      <c r="B2808" s="312"/>
      <c r="C2808" s="312"/>
      <c r="D2808" s="312"/>
      <c r="E2808" s="312"/>
      <c r="F2808" s="312"/>
      <c r="G2808" s="328"/>
      <c r="H2808" s="453"/>
      <c r="I2808" s="334"/>
      <c r="J2808" s="314"/>
      <c r="K2808" s="454"/>
      <c r="M2808" s="349" t="str">
        <f>N2808&amp;AS[[#This Row],[Insurer Code]]&amp;"; "&amp;O2808&amp;AS[[#This Row],[Reporting Year]]&amp;"; "&amp;P2808&amp;AS[[#This Row],[Insurance Category Code]]&amp;"; "&amp;Q2808&amp;AS[[#This Row],[Large Provider Entity Code]]&amp;"; "&amp;R2808&amp;AS[[#This Row],[Age Band Code]]&amp;"; "&amp;S2808&amp;AS[[#This Row],[Sex Code]]</f>
        <v xml:space="preserve">Insurer Code ; Reporting Year ; Insurance Category Code ; Large Provider Entity Code ; Age Band Code ; Sex Code </v>
      </c>
      <c r="N2808" s="345" t="s">
        <v>207</v>
      </c>
      <c r="O2808" s="345" t="s">
        <v>208</v>
      </c>
      <c r="P2808" s="345" t="s">
        <v>209</v>
      </c>
      <c r="Q2808" s="345" t="s">
        <v>210</v>
      </c>
      <c r="R2808" s="345" t="s">
        <v>223</v>
      </c>
      <c r="S2808" s="345" t="s">
        <v>224</v>
      </c>
    </row>
    <row r="2809" spans="1:19" x14ac:dyDescent="0.25">
      <c r="A2809" s="311"/>
      <c r="B2809" s="312"/>
      <c r="C2809" s="312"/>
      <c r="D2809" s="312"/>
      <c r="E2809" s="312"/>
      <c r="F2809" s="312"/>
      <c r="G2809" s="328"/>
      <c r="H2809" s="453"/>
      <c r="I2809" s="334"/>
      <c r="J2809" s="314"/>
      <c r="K2809" s="454"/>
      <c r="M2809" s="349" t="str">
        <f>N2809&amp;AS[[#This Row],[Insurer Code]]&amp;"; "&amp;O2809&amp;AS[[#This Row],[Reporting Year]]&amp;"; "&amp;P2809&amp;AS[[#This Row],[Insurance Category Code]]&amp;"; "&amp;Q2809&amp;AS[[#This Row],[Large Provider Entity Code]]&amp;"; "&amp;R2809&amp;AS[[#This Row],[Age Band Code]]&amp;"; "&amp;S2809&amp;AS[[#This Row],[Sex Code]]</f>
        <v xml:space="preserve">Insurer Code ; Reporting Year ; Insurance Category Code ; Large Provider Entity Code ; Age Band Code ; Sex Code </v>
      </c>
      <c r="N2809" s="345" t="s">
        <v>207</v>
      </c>
      <c r="O2809" s="345" t="s">
        <v>208</v>
      </c>
      <c r="P2809" s="345" t="s">
        <v>209</v>
      </c>
      <c r="Q2809" s="345" t="s">
        <v>210</v>
      </c>
      <c r="R2809" s="345" t="s">
        <v>223</v>
      </c>
      <c r="S2809" s="345" t="s">
        <v>224</v>
      </c>
    </row>
    <row r="2810" spans="1:19" x14ac:dyDescent="0.25">
      <c r="A2810" s="311"/>
      <c r="B2810" s="312"/>
      <c r="C2810" s="312"/>
      <c r="D2810" s="312"/>
      <c r="E2810" s="312"/>
      <c r="F2810" s="312"/>
      <c r="G2810" s="328"/>
      <c r="H2810" s="453"/>
      <c r="I2810" s="334"/>
      <c r="J2810" s="314"/>
      <c r="K2810" s="454"/>
      <c r="M2810" s="349" t="str">
        <f>N2810&amp;AS[[#This Row],[Insurer Code]]&amp;"; "&amp;O2810&amp;AS[[#This Row],[Reporting Year]]&amp;"; "&amp;P2810&amp;AS[[#This Row],[Insurance Category Code]]&amp;"; "&amp;Q2810&amp;AS[[#This Row],[Large Provider Entity Code]]&amp;"; "&amp;R2810&amp;AS[[#This Row],[Age Band Code]]&amp;"; "&amp;S2810&amp;AS[[#This Row],[Sex Code]]</f>
        <v xml:space="preserve">Insurer Code ; Reporting Year ; Insurance Category Code ; Large Provider Entity Code ; Age Band Code ; Sex Code </v>
      </c>
      <c r="N2810" s="345" t="s">
        <v>207</v>
      </c>
      <c r="O2810" s="345" t="s">
        <v>208</v>
      </c>
      <c r="P2810" s="345" t="s">
        <v>209</v>
      </c>
      <c r="Q2810" s="345" t="s">
        <v>210</v>
      </c>
      <c r="R2810" s="345" t="s">
        <v>223</v>
      </c>
      <c r="S2810" s="345" t="s">
        <v>224</v>
      </c>
    </row>
    <row r="2811" spans="1:19" x14ac:dyDescent="0.25">
      <c r="A2811" s="311"/>
      <c r="B2811" s="312"/>
      <c r="C2811" s="312"/>
      <c r="D2811" s="312"/>
      <c r="E2811" s="312"/>
      <c r="F2811" s="312"/>
      <c r="G2811" s="328"/>
      <c r="H2811" s="453"/>
      <c r="I2811" s="334"/>
      <c r="J2811" s="314"/>
      <c r="K2811" s="454"/>
      <c r="M2811" s="349" t="str">
        <f>N2811&amp;AS[[#This Row],[Insurer Code]]&amp;"; "&amp;O2811&amp;AS[[#This Row],[Reporting Year]]&amp;"; "&amp;P2811&amp;AS[[#This Row],[Insurance Category Code]]&amp;"; "&amp;Q2811&amp;AS[[#This Row],[Large Provider Entity Code]]&amp;"; "&amp;R2811&amp;AS[[#This Row],[Age Band Code]]&amp;"; "&amp;S2811&amp;AS[[#This Row],[Sex Code]]</f>
        <v xml:space="preserve">Insurer Code ; Reporting Year ; Insurance Category Code ; Large Provider Entity Code ; Age Band Code ; Sex Code </v>
      </c>
      <c r="N2811" s="345" t="s">
        <v>207</v>
      </c>
      <c r="O2811" s="345" t="s">
        <v>208</v>
      </c>
      <c r="P2811" s="345" t="s">
        <v>209</v>
      </c>
      <c r="Q2811" s="345" t="s">
        <v>210</v>
      </c>
      <c r="R2811" s="345" t="s">
        <v>223</v>
      </c>
      <c r="S2811" s="345" t="s">
        <v>224</v>
      </c>
    </row>
    <row r="2812" spans="1:19" x14ac:dyDescent="0.25">
      <c r="A2812" s="311"/>
      <c r="B2812" s="312"/>
      <c r="C2812" s="312"/>
      <c r="D2812" s="312"/>
      <c r="E2812" s="312"/>
      <c r="F2812" s="312"/>
      <c r="G2812" s="328"/>
      <c r="H2812" s="453"/>
      <c r="I2812" s="334"/>
      <c r="J2812" s="314"/>
      <c r="K2812" s="454"/>
      <c r="M2812" s="349" t="str">
        <f>N2812&amp;AS[[#This Row],[Insurer Code]]&amp;"; "&amp;O2812&amp;AS[[#This Row],[Reporting Year]]&amp;"; "&amp;P2812&amp;AS[[#This Row],[Insurance Category Code]]&amp;"; "&amp;Q2812&amp;AS[[#This Row],[Large Provider Entity Code]]&amp;"; "&amp;R2812&amp;AS[[#This Row],[Age Band Code]]&amp;"; "&amp;S2812&amp;AS[[#This Row],[Sex Code]]</f>
        <v xml:space="preserve">Insurer Code ; Reporting Year ; Insurance Category Code ; Large Provider Entity Code ; Age Band Code ; Sex Code </v>
      </c>
      <c r="N2812" s="345" t="s">
        <v>207</v>
      </c>
      <c r="O2812" s="345" t="s">
        <v>208</v>
      </c>
      <c r="P2812" s="345" t="s">
        <v>209</v>
      </c>
      <c r="Q2812" s="345" t="s">
        <v>210</v>
      </c>
      <c r="R2812" s="345" t="s">
        <v>223</v>
      </c>
      <c r="S2812" s="345" t="s">
        <v>224</v>
      </c>
    </row>
    <row r="2813" spans="1:19" x14ac:dyDescent="0.25">
      <c r="A2813" s="311"/>
      <c r="B2813" s="312"/>
      <c r="C2813" s="312"/>
      <c r="D2813" s="312"/>
      <c r="E2813" s="312"/>
      <c r="F2813" s="312"/>
      <c r="G2813" s="328"/>
      <c r="H2813" s="453"/>
      <c r="I2813" s="334"/>
      <c r="J2813" s="314"/>
      <c r="K2813" s="454"/>
      <c r="M2813" s="349" t="str">
        <f>N2813&amp;AS[[#This Row],[Insurer Code]]&amp;"; "&amp;O2813&amp;AS[[#This Row],[Reporting Year]]&amp;"; "&amp;P2813&amp;AS[[#This Row],[Insurance Category Code]]&amp;"; "&amp;Q2813&amp;AS[[#This Row],[Large Provider Entity Code]]&amp;"; "&amp;R2813&amp;AS[[#This Row],[Age Band Code]]&amp;"; "&amp;S2813&amp;AS[[#This Row],[Sex Code]]</f>
        <v xml:space="preserve">Insurer Code ; Reporting Year ; Insurance Category Code ; Large Provider Entity Code ; Age Band Code ; Sex Code </v>
      </c>
      <c r="N2813" s="345" t="s">
        <v>207</v>
      </c>
      <c r="O2813" s="345" t="s">
        <v>208</v>
      </c>
      <c r="P2813" s="345" t="s">
        <v>209</v>
      </c>
      <c r="Q2813" s="345" t="s">
        <v>210</v>
      </c>
      <c r="R2813" s="345" t="s">
        <v>223</v>
      </c>
      <c r="S2813" s="345" t="s">
        <v>224</v>
      </c>
    </row>
    <row r="2814" spans="1:19" x14ac:dyDescent="0.25">
      <c r="A2814" s="311"/>
      <c r="B2814" s="312"/>
      <c r="C2814" s="312"/>
      <c r="D2814" s="312"/>
      <c r="E2814" s="312"/>
      <c r="F2814" s="312"/>
      <c r="G2814" s="328"/>
      <c r="H2814" s="453"/>
      <c r="I2814" s="334"/>
      <c r="J2814" s="314"/>
      <c r="K2814" s="454"/>
      <c r="M2814" s="349" t="str">
        <f>N2814&amp;AS[[#This Row],[Insurer Code]]&amp;"; "&amp;O2814&amp;AS[[#This Row],[Reporting Year]]&amp;"; "&amp;P2814&amp;AS[[#This Row],[Insurance Category Code]]&amp;"; "&amp;Q2814&amp;AS[[#This Row],[Large Provider Entity Code]]&amp;"; "&amp;R2814&amp;AS[[#This Row],[Age Band Code]]&amp;"; "&amp;S2814&amp;AS[[#This Row],[Sex Code]]</f>
        <v xml:space="preserve">Insurer Code ; Reporting Year ; Insurance Category Code ; Large Provider Entity Code ; Age Band Code ; Sex Code </v>
      </c>
      <c r="N2814" s="345" t="s">
        <v>207</v>
      </c>
      <c r="O2814" s="345" t="s">
        <v>208</v>
      </c>
      <c r="P2814" s="345" t="s">
        <v>209</v>
      </c>
      <c r="Q2814" s="345" t="s">
        <v>210</v>
      </c>
      <c r="R2814" s="345" t="s">
        <v>223</v>
      </c>
      <c r="S2814" s="345" t="s">
        <v>224</v>
      </c>
    </row>
    <row r="2815" spans="1:19" x14ac:dyDescent="0.25">
      <c r="A2815" s="311"/>
      <c r="B2815" s="312"/>
      <c r="C2815" s="312"/>
      <c r="D2815" s="312"/>
      <c r="E2815" s="312"/>
      <c r="F2815" s="312"/>
      <c r="G2815" s="328"/>
      <c r="H2815" s="453"/>
      <c r="I2815" s="334"/>
      <c r="J2815" s="314"/>
      <c r="K2815" s="454"/>
      <c r="M2815" s="349" t="str">
        <f>N2815&amp;AS[[#This Row],[Insurer Code]]&amp;"; "&amp;O2815&amp;AS[[#This Row],[Reporting Year]]&amp;"; "&amp;P2815&amp;AS[[#This Row],[Insurance Category Code]]&amp;"; "&amp;Q2815&amp;AS[[#This Row],[Large Provider Entity Code]]&amp;"; "&amp;R2815&amp;AS[[#This Row],[Age Band Code]]&amp;"; "&amp;S2815&amp;AS[[#This Row],[Sex Code]]</f>
        <v xml:space="preserve">Insurer Code ; Reporting Year ; Insurance Category Code ; Large Provider Entity Code ; Age Band Code ; Sex Code </v>
      </c>
      <c r="N2815" s="345" t="s">
        <v>207</v>
      </c>
      <c r="O2815" s="345" t="s">
        <v>208</v>
      </c>
      <c r="P2815" s="345" t="s">
        <v>209</v>
      </c>
      <c r="Q2815" s="345" t="s">
        <v>210</v>
      </c>
      <c r="R2815" s="345" t="s">
        <v>223</v>
      </c>
      <c r="S2815" s="345" t="s">
        <v>224</v>
      </c>
    </row>
    <row r="2816" spans="1:19" x14ac:dyDescent="0.25">
      <c r="A2816" s="311"/>
      <c r="B2816" s="312"/>
      <c r="C2816" s="312"/>
      <c r="D2816" s="312"/>
      <c r="E2816" s="312"/>
      <c r="F2816" s="312"/>
      <c r="G2816" s="328"/>
      <c r="H2816" s="453"/>
      <c r="I2816" s="334"/>
      <c r="J2816" s="314"/>
      <c r="K2816" s="454"/>
      <c r="M2816" s="349" t="str">
        <f>N2816&amp;AS[[#This Row],[Insurer Code]]&amp;"; "&amp;O2816&amp;AS[[#This Row],[Reporting Year]]&amp;"; "&amp;P2816&amp;AS[[#This Row],[Insurance Category Code]]&amp;"; "&amp;Q2816&amp;AS[[#This Row],[Large Provider Entity Code]]&amp;"; "&amp;R2816&amp;AS[[#This Row],[Age Band Code]]&amp;"; "&amp;S2816&amp;AS[[#This Row],[Sex Code]]</f>
        <v xml:space="preserve">Insurer Code ; Reporting Year ; Insurance Category Code ; Large Provider Entity Code ; Age Band Code ; Sex Code </v>
      </c>
      <c r="N2816" s="345" t="s">
        <v>207</v>
      </c>
      <c r="O2816" s="345" t="s">
        <v>208</v>
      </c>
      <c r="P2816" s="345" t="s">
        <v>209</v>
      </c>
      <c r="Q2816" s="345" t="s">
        <v>210</v>
      </c>
      <c r="R2816" s="345" t="s">
        <v>223</v>
      </c>
      <c r="S2816" s="345" t="s">
        <v>224</v>
      </c>
    </row>
    <row r="2817" spans="1:19" x14ac:dyDescent="0.25">
      <c r="A2817" s="311"/>
      <c r="B2817" s="312"/>
      <c r="C2817" s="312"/>
      <c r="D2817" s="312"/>
      <c r="E2817" s="312"/>
      <c r="F2817" s="312"/>
      <c r="G2817" s="313"/>
      <c r="H2817" s="336"/>
      <c r="I2817" s="334"/>
      <c r="J2817" s="332"/>
      <c r="K2817" s="449"/>
      <c r="M2817" s="349" t="str">
        <f>N2817&amp;AS[[#This Row],[Insurer Code]]&amp;"; "&amp;O2817&amp;AS[[#This Row],[Reporting Year]]&amp;"; "&amp;P2817&amp;AS[[#This Row],[Insurance Category Code]]&amp;"; "&amp;Q2817&amp;AS[[#This Row],[Large Provider Entity Code]]&amp;"; "&amp;R2817&amp;AS[[#This Row],[Age Band Code]]&amp;"; "&amp;S2817&amp;AS[[#This Row],[Sex Code]]</f>
        <v xml:space="preserve">Insurer Code ; Reporting Year ; Insurance Category Code ; Large Provider Entity Code ; Age Band Code ; Sex Code </v>
      </c>
      <c r="N2817" s="345" t="s">
        <v>207</v>
      </c>
      <c r="O2817" s="345" t="s">
        <v>208</v>
      </c>
      <c r="P2817" s="345" t="s">
        <v>209</v>
      </c>
      <c r="Q2817" s="345" t="s">
        <v>210</v>
      </c>
      <c r="R2817" s="345" t="s">
        <v>223</v>
      </c>
      <c r="S2817" s="345" t="s">
        <v>224</v>
      </c>
    </row>
    <row r="2818" spans="1:19" x14ac:dyDescent="0.25">
      <c r="A2818" s="311"/>
      <c r="B2818" s="312"/>
      <c r="C2818" s="312"/>
      <c r="D2818" s="312"/>
      <c r="E2818" s="312"/>
      <c r="F2818" s="312"/>
      <c r="G2818" s="335"/>
      <c r="H2818" s="336"/>
      <c r="I2818" s="334"/>
      <c r="J2818" s="332"/>
      <c r="K2818" s="449"/>
      <c r="M2818" s="349" t="str">
        <f>N2818&amp;AS[[#This Row],[Insurer Code]]&amp;"; "&amp;O2818&amp;AS[[#This Row],[Reporting Year]]&amp;"; "&amp;P2818&amp;AS[[#This Row],[Insurance Category Code]]&amp;"; "&amp;Q2818&amp;AS[[#This Row],[Large Provider Entity Code]]&amp;"; "&amp;R2818&amp;AS[[#This Row],[Age Band Code]]&amp;"; "&amp;S2818&amp;AS[[#This Row],[Sex Code]]</f>
        <v xml:space="preserve">Insurer Code ; Reporting Year ; Insurance Category Code ; Large Provider Entity Code ; Age Band Code ; Sex Code </v>
      </c>
      <c r="N2818" s="345" t="s">
        <v>207</v>
      </c>
      <c r="O2818" s="345" t="s">
        <v>208</v>
      </c>
      <c r="P2818" s="345" t="s">
        <v>209</v>
      </c>
      <c r="Q2818" s="345" t="s">
        <v>210</v>
      </c>
      <c r="R2818" s="345" t="s">
        <v>223</v>
      </c>
      <c r="S2818" s="345" t="s">
        <v>224</v>
      </c>
    </row>
    <row r="2819" spans="1:19" x14ac:dyDescent="0.25">
      <c r="A2819" s="311"/>
      <c r="B2819" s="312"/>
      <c r="C2819" s="312"/>
      <c r="D2819" s="312"/>
      <c r="E2819" s="312"/>
      <c r="F2819" s="312"/>
      <c r="G2819" s="335"/>
      <c r="H2819" s="336"/>
      <c r="I2819" s="334"/>
      <c r="J2819" s="332"/>
      <c r="K2819" s="449"/>
      <c r="M2819" s="349" t="str">
        <f>N2819&amp;AS[[#This Row],[Insurer Code]]&amp;"; "&amp;O2819&amp;AS[[#This Row],[Reporting Year]]&amp;"; "&amp;P2819&amp;AS[[#This Row],[Insurance Category Code]]&amp;"; "&amp;Q2819&amp;AS[[#This Row],[Large Provider Entity Code]]&amp;"; "&amp;R2819&amp;AS[[#This Row],[Age Band Code]]&amp;"; "&amp;S2819&amp;AS[[#This Row],[Sex Code]]</f>
        <v xml:space="preserve">Insurer Code ; Reporting Year ; Insurance Category Code ; Large Provider Entity Code ; Age Band Code ; Sex Code </v>
      </c>
      <c r="N2819" s="345" t="s">
        <v>207</v>
      </c>
      <c r="O2819" s="345" t="s">
        <v>208</v>
      </c>
      <c r="P2819" s="345" t="s">
        <v>209</v>
      </c>
      <c r="Q2819" s="345" t="s">
        <v>210</v>
      </c>
      <c r="R2819" s="345" t="s">
        <v>223</v>
      </c>
      <c r="S2819" s="345" t="s">
        <v>224</v>
      </c>
    </row>
    <row r="2820" spans="1:19" x14ac:dyDescent="0.25">
      <c r="A2820" s="311"/>
      <c r="B2820" s="312"/>
      <c r="C2820" s="312"/>
      <c r="D2820" s="312"/>
      <c r="E2820" s="312"/>
      <c r="F2820" s="312"/>
      <c r="G2820" s="313"/>
      <c r="H2820" s="336"/>
      <c r="I2820" s="334"/>
      <c r="J2820" s="332"/>
      <c r="K2820" s="449"/>
      <c r="M2820" s="349" t="str">
        <f>N2820&amp;AS[[#This Row],[Insurer Code]]&amp;"; "&amp;O2820&amp;AS[[#This Row],[Reporting Year]]&amp;"; "&amp;P2820&amp;AS[[#This Row],[Insurance Category Code]]&amp;"; "&amp;Q2820&amp;AS[[#This Row],[Large Provider Entity Code]]&amp;"; "&amp;R2820&amp;AS[[#This Row],[Age Band Code]]&amp;"; "&amp;S2820&amp;AS[[#This Row],[Sex Code]]</f>
        <v xml:space="preserve">Insurer Code ; Reporting Year ; Insurance Category Code ; Large Provider Entity Code ; Age Band Code ; Sex Code </v>
      </c>
      <c r="N2820" s="345" t="s">
        <v>207</v>
      </c>
      <c r="O2820" s="345" t="s">
        <v>208</v>
      </c>
      <c r="P2820" s="345" t="s">
        <v>209</v>
      </c>
      <c r="Q2820" s="345" t="s">
        <v>210</v>
      </c>
      <c r="R2820" s="345" t="s">
        <v>223</v>
      </c>
      <c r="S2820" s="345" t="s">
        <v>224</v>
      </c>
    </row>
    <row r="2821" spans="1:19" x14ac:dyDescent="0.25">
      <c r="A2821" s="311"/>
      <c r="B2821" s="312"/>
      <c r="C2821" s="312"/>
      <c r="D2821" s="312"/>
      <c r="E2821" s="312"/>
      <c r="F2821" s="312"/>
      <c r="G2821" s="335"/>
      <c r="H2821" s="336"/>
      <c r="I2821" s="334"/>
      <c r="J2821" s="332"/>
      <c r="K2821" s="449"/>
      <c r="M2821" s="349" t="str">
        <f>N2821&amp;AS[[#This Row],[Insurer Code]]&amp;"; "&amp;O2821&amp;AS[[#This Row],[Reporting Year]]&amp;"; "&amp;P2821&amp;AS[[#This Row],[Insurance Category Code]]&amp;"; "&amp;Q2821&amp;AS[[#This Row],[Large Provider Entity Code]]&amp;"; "&amp;R2821&amp;AS[[#This Row],[Age Band Code]]&amp;"; "&amp;S2821&amp;AS[[#This Row],[Sex Code]]</f>
        <v xml:space="preserve">Insurer Code ; Reporting Year ; Insurance Category Code ; Large Provider Entity Code ; Age Band Code ; Sex Code </v>
      </c>
      <c r="N2821" s="345" t="s">
        <v>207</v>
      </c>
      <c r="O2821" s="345" t="s">
        <v>208</v>
      </c>
      <c r="P2821" s="345" t="s">
        <v>209</v>
      </c>
      <c r="Q2821" s="345" t="s">
        <v>210</v>
      </c>
      <c r="R2821" s="345" t="s">
        <v>223</v>
      </c>
      <c r="S2821" s="345" t="s">
        <v>224</v>
      </c>
    </row>
    <row r="2822" spans="1:19" x14ac:dyDescent="0.25">
      <c r="A2822" s="311"/>
      <c r="B2822" s="312"/>
      <c r="C2822" s="312"/>
      <c r="D2822" s="312"/>
      <c r="E2822" s="312"/>
      <c r="F2822" s="312"/>
      <c r="G2822" s="313"/>
      <c r="H2822" s="336"/>
      <c r="I2822" s="334"/>
      <c r="J2822" s="332"/>
      <c r="K2822" s="449"/>
      <c r="M2822" s="349" t="str">
        <f>N2822&amp;AS[[#This Row],[Insurer Code]]&amp;"; "&amp;O2822&amp;AS[[#This Row],[Reporting Year]]&amp;"; "&amp;P2822&amp;AS[[#This Row],[Insurance Category Code]]&amp;"; "&amp;Q2822&amp;AS[[#This Row],[Large Provider Entity Code]]&amp;"; "&amp;R2822&amp;AS[[#This Row],[Age Band Code]]&amp;"; "&amp;S2822&amp;AS[[#This Row],[Sex Code]]</f>
        <v xml:space="preserve">Insurer Code ; Reporting Year ; Insurance Category Code ; Large Provider Entity Code ; Age Band Code ; Sex Code </v>
      </c>
      <c r="N2822" s="345" t="s">
        <v>207</v>
      </c>
      <c r="O2822" s="345" t="s">
        <v>208</v>
      </c>
      <c r="P2822" s="345" t="s">
        <v>209</v>
      </c>
      <c r="Q2822" s="345" t="s">
        <v>210</v>
      </c>
      <c r="R2822" s="345" t="s">
        <v>223</v>
      </c>
      <c r="S2822" s="345" t="s">
        <v>224</v>
      </c>
    </row>
    <row r="2823" spans="1:19" x14ac:dyDescent="0.25">
      <c r="A2823" s="311"/>
      <c r="B2823" s="312"/>
      <c r="C2823" s="312"/>
      <c r="D2823" s="312"/>
      <c r="E2823" s="312"/>
      <c r="F2823" s="312"/>
      <c r="G2823" s="335"/>
      <c r="H2823" s="336"/>
      <c r="I2823" s="334"/>
      <c r="J2823" s="332"/>
      <c r="K2823" s="449"/>
      <c r="M2823" s="349" t="str">
        <f>N2823&amp;AS[[#This Row],[Insurer Code]]&amp;"; "&amp;O2823&amp;AS[[#This Row],[Reporting Year]]&amp;"; "&amp;P2823&amp;AS[[#This Row],[Insurance Category Code]]&amp;"; "&amp;Q2823&amp;AS[[#This Row],[Large Provider Entity Code]]&amp;"; "&amp;R2823&amp;AS[[#This Row],[Age Band Code]]&amp;"; "&amp;S2823&amp;AS[[#This Row],[Sex Code]]</f>
        <v xml:space="preserve">Insurer Code ; Reporting Year ; Insurance Category Code ; Large Provider Entity Code ; Age Band Code ; Sex Code </v>
      </c>
      <c r="N2823" s="345" t="s">
        <v>207</v>
      </c>
      <c r="O2823" s="345" t="s">
        <v>208</v>
      </c>
      <c r="P2823" s="345" t="s">
        <v>209</v>
      </c>
      <c r="Q2823" s="345" t="s">
        <v>210</v>
      </c>
      <c r="R2823" s="345" t="s">
        <v>223</v>
      </c>
      <c r="S2823" s="345" t="s">
        <v>224</v>
      </c>
    </row>
    <row r="2824" spans="1:19" x14ac:dyDescent="0.25">
      <c r="A2824" s="311"/>
      <c r="B2824" s="312"/>
      <c r="C2824" s="312"/>
      <c r="D2824" s="312"/>
      <c r="E2824" s="312"/>
      <c r="F2824" s="312"/>
      <c r="G2824" s="313"/>
      <c r="H2824" s="336"/>
      <c r="I2824" s="334"/>
      <c r="J2824" s="332"/>
      <c r="K2824" s="449"/>
      <c r="M2824" s="349" t="str">
        <f>N2824&amp;AS[[#This Row],[Insurer Code]]&amp;"; "&amp;O2824&amp;AS[[#This Row],[Reporting Year]]&amp;"; "&amp;P2824&amp;AS[[#This Row],[Insurance Category Code]]&amp;"; "&amp;Q2824&amp;AS[[#This Row],[Large Provider Entity Code]]&amp;"; "&amp;R2824&amp;AS[[#This Row],[Age Band Code]]&amp;"; "&amp;S2824&amp;AS[[#This Row],[Sex Code]]</f>
        <v xml:space="preserve">Insurer Code ; Reporting Year ; Insurance Category Code ; Large Provider Entity Code ; Age Band Code ; Sex Code </v>
      </c>
      <c r="N2824" s="345" t="s">
        <v>207</v>
      </c>
      <c r="O2824" s="345" t="s">
        <v>208</v>
      </c>
      <c r="P2824" s="345" t="s">
        <v>209</v>
      </c>
      <c r="Q2824" s="345" t="s">
        <v>210</v>
      </c>
      <c r="R2824" s="345" t="s">
        <v>223</v>
      </c>
      <c r="S2824" s="345" t="s">
        <v>224</v>
      </c>
    </row>
    <row r="2825" spans="1:19" x14ac:dyDescent="0.25">
      <c r="A2825" s="311"/>
      <c r="B2825" s="312"/>
      <c r="C2825" s="312"/>
      <c r="D2825" s="312"/>
      <c r="E2825" s="312"/>
      <c r="F2825" s="312"/>
      <c r="G2825" s="335"/>
      <c r="H2825" s="336"/>
      <c r="I2825" s="334"/>
      <c r="J2825" s="332"/>
      <c r="K2825" s="449"/>
      <c r="M2825" s="349" t="str">
        <f>N2825&amp;AS[[#This Row],[Insurer Code]]&amp;"; "&amp;O2825&amp;AS[[#This Row],[Reporting Year]]&amp;"; "&amp;P2825&amp;AS[[#This Row],[Insurance Category Code]]&amp;"; "&amp;Q2825&amp;AS[[#This Row],[Large Provider Entity Code]]&amp;"; "&amp;R2825&amp;AS[[#This Row],[Age Band Code]]&amp;"; "&amp;S2825&amp;AS[[#This Row],[Sex Code]]</f>
        <v xml:space="preserve">Insurer Code ; Reporting Year ; Insurance Category Code ; Large Provider Entity Code ; Age Band Code ; Sex Code </v>
      </c>
      <c r="N2825" s="345" t="s">
        <v>207</v>
      </c>
      <c r="O2825" s="345" t="s">
        <v>208</v>
      </c>
      <c r="P2825" s="345" t="s">
        <v>209</v>
      </c>
      <c r="Q2825" s="345" t="s">
        <v>210</v>
      </c>
      <c r="R2825" s="345" t="s">
        <v>223</v>
      </c>
      <c r="S2825" s="345" t="s">
        <v>224</v>
      </c>
    </row>
    <row r="2826" spans="1:19" x14ac:dyDescent="0.25">
      <c r="A2826" s="311"/>
      <c r="B2826" s="312"/>
      <c r="C2826" s="312"/>
      <c r="D2826" s="312"/>
      <c r="E2826" s="312"/>
      <c r="F2826" s="312"/>
      <c r="G2826" s="313"/>
      <c r="H2826" s="336"/>
      <c r="I2826" s="334"/>
      <c r="J2826" s="332"/>
      <c r="K2826" s="449"/>
      <c r="M2826" s="349" t="str">
        <f>N2826&amp;AS[[#This Row],[Insurer Code]]&amp;"; "&amp;O2826&amp;AS[[#This Row],[Reporting Year]]&amp;"; "&amp;P2826&amp;AS[[#This Row],[Insurance Category Code]]&amp;"; "&amp;Q2826&amp;AS[[#This Row],[Large Provider Entity Code]]&amp;"; "&amp;R2826&amp;AS[[#This Row],[Age Band Code]]&amp;"; "&amp;S2826&amp;AS[[#This Row],[Sex Code]]</f>
        <v xml:space="preserve">Insurer Code ; Reporting Year ; Insurance Category Code ; Large Provider Entity Code ; Age Band Code ; Sex Code </v>
      </c>
      <c r="N2826" s="345" t="s">
        <v>207</v>
      </c>
      <c r="O2826" s="345" t="s">
        <v>208</v>
      </c>
      <c r="P2826" s="345" t="s">
        <v>209</v>
      </c>
      <c r="Q2826" s="345" t="s">
        <v>210</v>
      </c>
      <c r="R2826" s="345" t="s">
        <v>223</v>
      </c>
      <c r="S2826" s="345" t="s">
        <v>224</v>
      </c>
    </row>
    <row r="2827" spans="1:19" x14ac:dyDescent="0.25">
      <c r="A2827" s="311"/>
      <c r="B2827" s="312"/>
      <c r="C2827" s="312"/>
      <c r="D2827" s="312"/>
      <c r="E2827" s="312"/>
      <c r="F2827" s="312"/>
      <c r="G2827" s="335"/>
      <c r="H2827" s="336"/>
      <c r="I2827" s="334"/>
      <c r="J2827" s="332"/>
      <c r="K2827" s="449"/>
      <c r="M2827" s="349" t="str">
        <f>N2827&amp;AS[[#This Row],[Insurer Code]]&amp;"; "&amp;O2827&amp;AS[[#This Row],[Reporting Year]]&amp;"; "&amp;P2827&amp;AS[[#This Row],[Insurance Category Code]]&amp;"; "&amp;Q2827&amp;AS[[#This Row],[Large Provider Entity Code]]&amp;"; "&amp;R2827&amp;AS[[#This Row],[Age Band Code]]&amp;"; "&amp;S2827&amp;AS[[#This Row],[Sex Code]]</f>
        <v xml:space="preserve">Insurer Code ; Reporting Year ; Insurance Category Code ; Large Provider Entity Code ; Age Band Code ; Sex Code </v>
      </c>
      <c r="N2827" s="345" t="s">
        <v>207</v>
      </c>
      <c r="O2827" s="345" t="s">
        <v>208</v>
      </c>
      <c r="P2827" s="345" t="s">
        <v>209</v>
      </c>
      <c r="Q2827" s="345" t="s">
        <v>210</v>
      </c>
      <c r="R2827" s="345" t="s">
        <v>223</v>
      </c>
      <c r="S2827" s="345" t="s">
        <v>224</v>
      </c>
    </row>
    <row r="2828" spans="1:19" x14ac:dyDescent="0.25">
      <c r="A2828" s="311"/>
      <c r="B2828" s="312"/>
      <c r="C2828" s="312"/>
      <c r="D2828" s="312"/>
      <c r="E2828" s="312"/>
      <c r="F2828" s="312"/>
      <c r="G2828" s="313"/>
      <c r="H2828" s="336"/>
      <c r="I2828" s="334"/>
      <c r="J2828" s="332"/>
      <c r="K2828" s="449"/>
      <c r="M2828" s="349" t="str">
        <f>N2828&amp;AS[[#This Row],[Insurer Code]]&amp;"; "&amp;O2828&amp;AS[[#This Row],[Reporting Year]]&amp;"; "&amp;P2828&amp;AS[[#This Row],[Insurance Category Code]]&amp;"; "&amp;Q2828&amp;AS[[#This Row],[Large Provider Entity Code]]&amp;"; "&amp;R2828&amp;AS[[#This Row],[Age Band Code]]&amp;"; "&amp;S2828&amp;AS[[#This Row],[Sex Code]]</f>
        <v xml:space="preserve">Insurer Code ; Reporting Year ; Insurance Category Code ; Large Provider Entity Code ; Age Band Code ; Sex Code </v>
      </c>
      <c r="N2828" s="345" t="s">
        <v>207</v>
      </c>
      <c r="O2828" s="345" t="s">
        <v>208</v>
      </c>
      <c r="P2828" s="345" t="s">
        <v>209</v>
      </c>
      <c r="Q2828" s="345" t="s">
        <v>210</v>
      </c>
      <c r="R2828" s="345" t="s">
        <v>223</v>
      </c>
      <c r="S2828" s="345" t="s">
        <v>224</v>
      </c>
    </row>
    <row r="2829" spans="1:19" x14ac:dyDescent="0.25">
      <c r="A2829" s="311"/>
      <c r="B2829" s="312"/>
      <c r="C2829" s="312"/>
      <c r="D2829" s="312"/>
      <c r="E2829" s="312"/>
      <c r="F2829" s="312"/>
      <c r="G2829" s="328"/>
      <c r="H2829" s="337"/>
      <c r="I2829" s="334"/>
      <c r="J2829" s="314"/>
      <c r="K2829" s="449"/>
      <c r="M2829" s="349" t="str">
        <f>N2829&amp;AS[[#This Row],[Insurer Code]]&amp;"; "&amp;O2829&amp;AS[[#This Row],[Reporting Year]]&amp;"; "&amp;P2829&amp;AS[[#This Row],[Insurance Category Code]]&amp;"; "&amp;Q2829&amp;AS[[#This Row],[Large Provider Entity Code]]&amp;"; "&amp;R2829&amp;AS[[#This Row],[Age Band Code]]&amp;"; "&amp;S2829&amp;AS[[#This Row],[Sex Code]]</f>
        <v xml:space="preserve">Insurer Code ; Reporting Year ; Insurance Category Code ; Large Provider Entity Code ; Age Band Code ; Sex Code </v>
      </c>
      <c r="N2829" s="345" t="s">
        <v>207</v>
      </c>
      <c r="O2829" s="345" t="s">
        <v>208</v>
      </c>
      <c r="P2829" s="345" t="s">
        <v>209</v>
      </c>
      <c r="Q2829" s="345" t="s">
        <v>210</v>
      </c>
      <c r="R2829" s="345" t="s">
        <v>223</v>
      </c>
      <c r="S2829" s="345" t="s">
        <v>224</v>
      </c>
    </row>
    <row r="2830" spans="1:19" x14ac:dyDescent="0.25">
      <c r="A2830" s="311"/>
      <c r="B2830" s="312"/>
      <c r="C2830" s="312"/>
      <c r="D2830" s="312"/>
      <c r="E2830" s="312"/>
      <c r="F2830" s="312"/>
      <c r="G2830" s="328"/>
      <c r="H2830" s="337"/>
      <c r="I2830" s="334"/>
      <c r="J2830" s="314"/>
      <c r="K2830" s="449"/>
      <c r="M2830" s="349" t="str">
        <f>N2830&amp;AS[[#This Row],[Insurer Code]]&amp;"; "&amp;O2830&amp;AS[[#This Row],[Reporting Year]]&amp;"; "&amp;P2830&amp;AS[[#This Row],[Insurance Category Code]]&amp;"; "&amp;Q2830&amp;AS[[#This Row],[Large Provider Entity Code]]&amp;"; "&amp;R2830&amp;AS[[#This Row],[Age Band Code]]&amp;"; "&amp;S2830&amp;AS[[#This Row],[Sex Code]]</f>
        <v xml:space="preserve">Insurer Code ; Reporting Year ; Insurance Category Code ; Large Provider Entity Code ; Age Band Code ; Sex Code </v>
      </c>
      <c r="N2830" s="345" t="s">
        <v>207</v>
      </c>
      <c r="O2830" s="345" t="s">
        <v>208</v>
      </c>
      <c r="P2830" s="345" t="s">
        <v>209</v>
      </c>
      <c r="Q2830" s="345" t="s">
        <v>210</v>
      </c>
      <c r="R2830" s="345" t="s">
        <v>223</v>
      </c>
      <c r="S2830" s="345" t="s">
        <v>224</v>
      </c>
    </row>
    <row r="2831" spans="1:19" x14ac:dyDescent="0.25">
      <c r="A2831" s="311"/>
      <c r="B2831" s="312"/>
      <c r="C2831" s="312"/>
      <c r="D2831" s="312"/>
      <c r="E2831" s="312"/>
      <c r="F2831" s="312"/>
      <c r="G2831" s="328"/>
      <c r="H2831" s="337"/>
      <c r="I2831" s="334"/>
      <c r="J2831" s="314"/>
      <c r="K2831" s="449"/>
      <c r="M2831" s="349" t="str">
        <f>N2831&amp;AS[[#This Row],[Insurer Code]]&amp;"; "&amp;O2831&amp;AS[[#This Row],[Reporting Year]]&amp;"; "&amp;P2831&amp;AS[[#This Row],[Insurance Category Code]]&amp;"; "&amp;Q2831&amp;AS[[#This Row],[Large Provider Entity Code]]&amp;"; "&amp;R2831&amp;AS[[#This Row],[Age Band Code]]&amp;"; "&amp;S2831&amp;AS[[#This Row],[Sex Code]]</f>
        <v xml:space="preserve">Insurer Code ; Reporting Year ; Insurance Category Code ; Large Provider Entity Code ; Age Band Code ; Sex Code </v>
      </c>
      <c r="N2831" s="345" t="s">
        <v>207</v>
      </c>
      <c r="O2831" s="345" t="s">
        <v>208</v>
      </c>
      <c r="P2831" s="345" t="s">
        <v>209</v>
      </c>
      <c r="Q2831" s="345" t="s">
        <v>210</v>
      </c>
      <c r="R2831" s="345" t="s">
        <v>223</v>
      </c>
      <c r="S2831" s="345" t="s">
        <v>224</v>
      </c>
    </row>
    <row r="2832" spans="1:19" x14ac:dyDescent="0.25">
      <c r="A2832" s="311"/>
      <c r="B2832" s="312"/>
      <c r="C2832" s="312"/>
      <c r="D2832" s="312"/>
      <c r="E2832" s="312"/>
      <c r="F2832" s="312"/>
      <c r="G2832" s="328"/>
      <c r="H2832" s="337"/>
      <c r="I2832" s="334"/>
      <c r="J2832" s="314"/>
      <c r="K2832" s="449"/>
      <c r="M2832" s="349" t="str">
        <f>N2832&amp;AS[[#This Row],[Insurer Code]]&amp;"; "&amp;O2832&amp;AS[[#This Row],[Reporting Year]]&amp;"; "&amp;P2832&amp;AS[[#This Row],[Insurance Category Code]]&amp;"; "&amp;Q2832&amp;AS[[#This Row],[Large Provider Entity Code]]&amp;"; "&amp;R2832&amp;AS[[#This Row],[Age Band Code]]&amp;"; "&amp;S2832&amp;AS[[#This Row],[Sex Code]]</f>
        <v xml:space="preserve">Insurer Code ; Reporting Year ; Insurance Category Code ; Large Provider Entity Code ; Age Band Code ; Sex Code </v>
      </c>
      <c r="N2832" s="345" t="s">
        <v>207</v>
      </c>
      <c r="O2832" s="345" t="s">
        <v>208</v>
      </c>
      <c r="P2832" s="345" t="s">
        <v>209</v>
      </c>
      <c r="Q2832" s="345" t="s">
        <v>210</v>
      </c>
      <c r="R2832" s="345" t="s">
        <v>223</v>
      </c>
      <c r="S2832" s="345" t="s">
        <v>224</v>
      </c>
    </row>
    <row r="2833" spans="1:19" x14ac:dyDescent="0.25">
      <c r="A2833" s="311"/>
      <c r="B2833" s="312"/>
      <c r="C2833" s="312"/>
      <c r="D2833" s="312"/>
      <c r="E2833" s="312"/>
      <c r="F2833" s="312"/>
      <c r="G2833" s="328"/>
      <c r="H2833" s="337"/>
      <c r="I2833" s="334"/>
      <c r="J2833" s="314"/>
      <c r="K2833" s="449"/>
      <c r="M2833" s="349" t="str">
        <f>N2833&amp;AS[[#This Row],[Insurer Code]]&amp;"; "&amp;O2833&amp;AS[[#This Row],[Reporting Year]]&amp;"; "&amp;P2833&amp;AS[[#This Row],[Insurance Category Code]]&amp;"; "&amp;Q2833&amp;AS[[#This Row],[Large Provider Entity Code]]&amp;"; "&amp;R2833&amp;AS[[#This Row],[Age Band Code]]&amp;"; "&amp;S2833&amp;AS[[#This Row],[Sex Code]]</f>
        <v xml:space="preserve">Insurer Code ; Reporting Year ; Insurance Category Code ; Large Provider Entity Code ; Age Band Code ; Sex Code </v>
      </c>
      <c r="N2833" s="345" t="s">
        <v>207</v>
      </c>
      <c r="O2833" s="345" t="s">
        <v>208</v>
      </c>
      <c r="P2833" s="345" t="s">
        <v>209</v>
      </c>
      <c r="Q2833" s="345" t="s">
        <v>210</v>
      </c>
      <c r="R2833" s="345" t="s">
        <v>223</v>
      </c>
      <c r="S2833" s="345" t="s">
        <v>224</v>
      </c>
    </row>
    <row r="2834" spans="1:19" x14ac:dyDescent="0.25">
      <c r="A2834" s="311"/>
      <c r="B2834" s="312"/>
      <c r="C2834" s="312"/>
      <c r="D2834" s="312"/>
      <c r="E2834" s="312"/>
      <c r="F2834" s="312"/>
      <c r="G2834" s="328"/>
      <c r="H2834" s="337"/>
      <c r="I2834" s="334"/>
      <c r="J2834" s="314"/>
      <c r="K2834" s="449"/>
      <c r="M2834" s="349" t="str">
        <f>N2834&amp;AS[[#This Row],[Insurer Code]]&amp;"; "&amp;O2834&amp;AS[[#This Row],[Reporting Year]]&amp;"; "&amp;P2834&amp;AS[[#This Row],[Insurance Category Code]]&amp;"; "&amp;Q2834&amp;AS[[#This Row],[Large Provider Entity Code]]&amp;"; "&amp;R2834&amp;AS[[#This Row],[Age Band Code]]&amp;"; "&amp;S2834&amp;AS[[#This Row],[Sex Code]]</f>
        <v xml:space="preserve">Insurer Code ; Reporting Year ; Insurance Category Code ; Large Provider Entity Code ; Age Band Code ; Sex Code </v>
      </c>
      <c r="N2834" s="345" t="s">
        <v>207</v>
      </c>
      <c r="O2834" s="345" t="s">
        <v>208</v>
      </c>
      <c r="P2834" s="345" t="s">
        <v>209</v>
      </c>
      <c r="Q2834" s="345" t="s">
        <v>210</v>
      </c>
      <c r="R2834" s="345" t="s">
        <v>223</v>
      </c>
      <c r="S2834" s="345" t="s">
        <v>224</v>
      </c>
    </row>
    <row r="2835" spans="1:19" x14ac:dyDescent="0.25">
      <c r="A2835" s="311"/>
      <c r="B2835" s="312"/>
      <c r="C2835" s="312"/>
      <c r="D2835" s="312"/>
      <c r="E2835" s="312"/>
      <c r="F2835" s="312"/>
      <c r="G2835" s="328"/>
      <c r="H2835" s="337"/>
      <c r="I2835" s="334"/>
      <c r="J2835" s="314"/>
      <c r="K2835" s="449"/>
      <c r="M2835" s="349" t="str">
        <f>N2835&amp;AS[[#This Row],[Insurer Code]]&amp;"; "&amp;O2835&amp;AS[[#This Row],[Reporting Year]]&amp;"; "&amp;P2835&amp;AS[[#This Row],[Insurance Category Code]]&amp;"; "&amp;Q2835&amp;AS[[#This Row],[Large Provider Entity Code]]&amp;"; "&amp;R2835&amp;AS[[#This Row],[Age Band Code]]&amp;"; "&amp;S2835&amp;AS[[#This Row],[Sex Code]]</f>
        <v xml:space="preserve">Insurer Code ; Reporting Year ; Insurance Category Code ; Large Provider Entity Code ; Age Band Code ; Sex Code </v>
      </c>
      <c r="N2835" s="345" t="s">
        <v>207</v>
      </c>
      <c r="O2835" s="345" t="s">
        <v>208</v>
      </c>
      <c r="P2835" s="345" t="s">
        <v>209</v>
      </c>
      <c r="Q2835" s="345" t="s">
        <v>210</v>
      </c>
      <c r="R2835" s="345" t="s">
        <v>223</v>
      </c>
      <c r="S2835" s="345" t="s">
        <v>224</v>
      </c>
    </row>
    <row r="2836" spans="1:19" x14ac:dyDescent="0.25">
      <c r="A2836" s="311"/>
      <c r="B2836" s="312"/>
      <c r="C2836" s="312"/>
      <c r="D2836" s="312"/>
      <c r="E2836" s="312"/>
      <c r="F2836" s="312"/>
      <c r="G2836" s="328"/>
      <c r="H2836" s="337"/>
      <c r="I2836" s="334"/>
      <c r="J2836" s="314"/>
      <c r="K2836" s="449"/>
      <c r="M2836" s="349" t="str">
        <f>N2836&amp;AS[[#This Row],[Insurer Code]]&amp;"; "&amp;O2836&amp;AS[[#This Row],[Reporting Year]]&amp;"; "&amp;P2836&amp;AS[[#This Row],[Insurance Category Code]]&amp;"; "&amp;Q2836&amp;AS[[#This Row],[Large Provider Entity Code]]&amp;"; "&amp;R2836&amp;AS[[#This Row],[Age Band Code]]&amp;"; "&amp;S2836&amp;AS[[#This Row],[Sex Code]]</f>
        <v xml:space="preserve">Insurer Code ; Reporting Year ; Insurance Category Code ; Large Provider Entity Code ; Age Band Code ; Sex Code </v>
      </c>
      <c r="N2836" s="345" t="s">
        <v>207</v>
      </c>
      <c r="O2836" s="345" t="s">
        <v>208</v>
      </c>
      <c r="P2836" s="345" t="s">
        <v>209</v>
      </c>
      <c r="Q2836" s="345" t="s">
        <v>210</v>
      </c>
      <c r="R2836" s="345" t="s">
        <v>223</v>
      </c>
      <c r="S2836" s="345" t="s">
        <v>224</v>
      </c>
    </row>
    <row r="2837" spans="1:19" x14ac:dyDescent="0.25">
      <c r="A2837" s="311"/>
      <c r="B2837" s="312"/>
      <c r="C2837" s="312"/>
      <c r="D2837" s="312"/>
      <c r="E2837" s="312"/>
      <c r="F2837" s="312"/>
      <c r="G2837" s="328"/>
      <c r="H2837" s="337"/>
      <c r="I2837" s="334"/>
      <c r="J2837" s="314"/>
      <c r="K2837" s="449"/>
      <c r="M2837" s="349" t="str">
        <f>N2837&amp;AS[[#This Row],[Insurer Code]]&amp;"; "&amp;O2837&amp;AS[[#This Row],[Reporting Year]]&amp;"; "&amp;P2837&amp;AS[[#This Row],[Insurance Category Code]]&amp;"; "&amp;Q2837&amp;AS[[#This Row],[Large Provider Entity Code]]&amp;"; "&amp;R2837&amp;AS[[#This Row],[Age Band Code]]&amp;"; "&amp;S2837&amp;AS[[#This Row],[Sex Code]]</f>
        <v xml:space="preserve">Insurer Code ; Reporting Year ; Insurance Category Code ; Large Provider Entity Code ; Age Band Code ; Sex Code </v>
      </c>
      <c r="N2837" s="345" t="s">
        <v>207</v>
      </c>
      <c r="O2837" s="345" t="s">
        <v>208</v>
      </c>
      <c r="P2837" s="345" t="s">
        <v>209</v>
      </c>
      <c r="Q2837" s="345" t="s">
        <v>210</v>
      </c>
      <c r="R2837" s="345" t="s">
        <v>223</v>
      </c>
      <c r="S2837" s="345" t="s">
        <v>224</v>
      </c>
    </row>
    <row r="2838" spans="1:19" x14ac:dyDescent="0.25">
      <c r="A2838" s="311"/>
      <c r="B2838" s="312"/>
      <c r="C2838" s="312"/>
      <c r="D2838" s="312"/>
      <c r="E2838" s="312"/>
      <c r="F2838" s="312"/>
      <c r="G2838" s="328"/>
      <c r="H2838" s="337"/>
      <c r="I2838" s="334"/>
      <c r="J2838" s="314"/>
      <c r="K2838" s="449"/>
      <c r="M2838" s="349" t="str">
        <f>N2838&amp;AS[[#This Row],[Insurer Code]]&amp;"; "&amp;O2838&amp;AS[[#This Row],[Reporting Year]]&amp;"; "&amp;P2838&amp;AS[[#This Row],[Insurance Category Code]]&amp;"; "&amp;Q2838&amp;AS[[#This Row],[Large Provider Entity Code]]&amp;"; "&amp;R2838&amp;AS[[#This Row],[Age Band Code]]&amp;"; "&amp;S2838&amp;AS[[#This Row],[Sex Code]]</f>
        <v xml:space="preserve">Insurer Code ; Reporting Year ; Insurance Category Code ; Large Provider Entity Code ; Age Band Code ; Sex Code </v>
      </c>
      <c r="N2838" s="345" t="s">
        <v>207</v>
      </c>
      <c r="O2838" s="345" t="s">
        <v>208</v>
      </c>
      <c r="P2838" s="345" t="s">
        <v>209</v>
      </c>
      <c r="Q2838" s="345" t="s">
        <v>210</v>
      </c>
      <c r="R2838" s="345" t="s">
        <v>223</v>
      </c>
      <c r="S2838" s="345" t="s">
        <v>224</v>
      </c>
    </row>
    <row r="2839" spans="1:19" x14ac:dyDescent="0.25">
      <c r="A2839" s="311"/>
      <c r="B2839" s="312"/>
      <c r="C2839" s="312"/>
      <c r="D2839" s="312"/>
      <c r="E2839" s="312"/>
      <c r="F2839" s="312"/>
      <c r="G2839" s="328"/>
      <c r="H2839" s="337"/>
      <c r="I2839" s="334"/>
      <c r="J2839" s="314"/>
      <c r="K2839" s="449"/>
      <c r="M2839" s="349" t="str">
        <f>N2839&amp;AS[[#This Row],[Insurer Code]]&amp;"; "&amp;O2839&amp;AS[[#This Row],[Reporting Year]]&amp;"; "&amp;P2839&amp;AS[[#This Row],[Insurance Category Code]]&amp;"; "&amp;Q2839&amp;AS[[#This Row],[Large Provider Entity Code]]&amp;"; "&amp;R2839&amp;AS[[#This Row],[Age Band Code]]&amp;"; "&amp;S2839&amp;AS[[#This Row],[Sex Code]]</f>
        <v xml:space="preserve">Insurer Code ; Reporting Year ; Insurance Category Code ; Large Provider Entity Code ; Age Band Code ; Sex Code </v>
      </c>
      <c r="N2839" s="345" t="s">
        <v>207</v>
      </c>
      <c r="O2839" s="345" t="s">
        <v>208</v>
      </c>
      <c r="P2839" s="345" t="s">
        <v>209</v>
      </c>
      <c r="Q2839" s="345" t="s">
        <v>210</v>
      </c>
      <c r="R2839" s="345" t="s">
        <v>223</v>
      </c>
      <c r="S2839" s="345" t="s">
        <v>224</v>
      </c>
    </row>
    <row r="2840" spans="1:19" x14ac:dyDescent="0.25">
      <c r="A2840" s="311"/>
      <c r="B2840" s="312"/>
      <c r="C2840" s="312"/>
      <c r="D2840" s="312"/>
      <c r="E2840" s="312"/>
      <c r="F2840" s="312"/>
      <c r="G2840" s="328"/>
      <c r="H2840" s="337"/>
      <c r="I2840" s="334"/>
      <c r="J2840" s="314"/>
      <c r="K2840" s="449"/>
      <c r="M2840" s="349" t="str">
        <f>N2840&amp;AS[[#This Row],[Insurer Code]]&amp;"; "&amp;O2840&amp;AS[[#This Row],[Reporting Year]]&amp;"; "&amp;P2840&amp;AS[[#This Row],[Insurance Category Code]]&amp;"; "&amp;Q2840&amp;AS[[#This Row],[Large Provider Entity Code]]&amp;"; "&amp;R2840&amp;AS[[#This Row],[Age Band Code]]&amp;"; "&amp;S2840&amp;AS[[#This Row],[Sex Code]]</f>
        <v xml:space="preserve">Insurer Code ; Reporting Year ; Insurance Category Code ; Large Provider Entity Code ; Age Band Code ; Sex Code </v>
      </c>
      <c r="N2840" s="345" t="s">
        <v>207</v>
      </c>
      <c r="O2840" s="345" t="s">
        <v>208</v>
      </c>
      <c r="P2840" s="345" t="s">
        <v>209</v>
      </c>
      <c r="Q2840" s="345" t="s">
        <v>210</v>
      </c>
      <c r="R2840" s="345" t="s">
        <v>223</v>
      </c>
      <c r="S2840" s="345" t="s">
        <v>224</v>
      </c>
    </row>
    <row r="2841" spans="1:19" x14ac:dyDescent="0.25">
      <c r="A2841" s="311"/>
      <c r="B2841" s="312"/>
      <c r="C2841" s="312"/>
      <c r="D2841" s="312"/>
      <c r="E2841" s="312"/>
      <c r="F2841" s="312"/>
      <c r="G2841" s="328"/>
      <c r="H2841" s="337"/>
      <c r="I2841" s="334"/>
      <c r="J2841" s="314"/>
      <c r="K2841" s="449"/>
      <c r="M2841" s="349" t="str">
        <f>N2841&amp;AS[[#This Row],[Insurer Code]]&amp;"; "&amp;O2841&amp;AS[[#This Row],[Reporting Year]]&amp;"; "&amp;P2841&amp;AS[[#This Row],[Insurance Category Code]]&amp;"; "&amp;Q2841&amp;AS[[#This Row],[Large Provider Entity Code]]&amp;"; "&amp;R2841&amp;AS[[#This Row],[Age Band Code]]&amp;"; "&amp;S2841&amp;AS[[#This Row],[Sex Code]]</f>
        <v xml:space="preserve">Insurer Code ; Reporting Year ; Insurance Category Code ; Large Provider Entity Code ; Age Band Code ; Sex Code </v>
      </c>
      <c r="N2841" s="345" t="s">
        <v>207</v>
      </c>
      <c r="O2841" s="345" t="s">
        <v>208</v>
      </c>
      <c r="P2841" s="345" t="s">
        <v>209</v>
      </c>
      <c r="Q2841" s="345" t="s">
        <v>210</v>
      </c>
      <c r="R2841" s="345" t="s">
        <v>223</v>
      </c>
      <c r="S2841" s="345" t="s">
        <v>224</v>
      </c>
    </row>
    <row r="2842" spans="1:19" x14ac:dyDescent="0.25">
      <c r="A2842" s="311"/>
      <c r="B2842" s="312"/>
      <c r="C2842" s="312"/>
      <c r="D2842" s="312"/>
      <c r="E2842" s="312"/>
      <c r="F2842" s="312"/>
      <c r="G2842" s="328"/>
      <c r="H2842" s="337"/>
      <c r="I2842" s="334"/>
      <c r="J2842" s="314"/>
      <c r="K2842" s="449"/>
      <c r="M2842" s="349" t="str">
        <f>N2842&amp;AS[[#This Row],[Insurer Code]]&amp;"; "&amp;O2842&amp;AS[[#This Row],[Reporting Year]]&amp;"; "&amp;P2842&amp;AS[[#This Row],[Insurance Category Code]]&amp;"; "&amp;Q2842&amp;AS[[#This Row],[Large Provider Entity Code]]&amp;"; "&amp;R2842&amp;AS[[#This Row],[Age Band Code]]&amp;"; "&amp;S2842&amp;AS[[#This Row],[Sex Code]]</f>
        <v xml:space="preserve">Insurer Code ; Reporting Year ; Insurance Category Code ; Large Provider Entity Code ; Age Band Code ; Sex Code </v>
      </c>
      <c r="N2842" s="345" t="s">
        <v>207</v>
      </c>
      <c r="O2842" s="345" t="s">
        <v>208</v>
      </c>
      <c r="P2842" s="345" t="s">
        <v>209</v>
      </c>
      <c r="Q2842" s="345" t="s">
        <v>210</v>
      </c>
      <c r="R2842" s="345" t="s">
        <v>223</v>
      </c>
      <c r="S2842" s="345" t="s">
        <v>224</v>
      </c>
    </row>
    <row r="2843" spans="1:19" x14ac:dyDescent="0.25">
      <c r="A2843" s="311"/>
      <c r="B2843" s="312"/>
      <c r="C2843" s="312"/>
      <c r="D2843" s="312"/>
      <c r="E2843" s="312"/>
      <c r="F2843" s="312"/>
      <c r="G2843" s="328"/>
      <c r="H2843" s="337"/>
      <c r="I2843" s="334"/>
      <c r="J2843" s="314"/>
      <c r="K2843" s="449"/>
      <c r="M2843" s="349" t="str">
        <f>N2843&amp;AS[[#This Row],[Insurer Code]]&amp;"; "&amp;O2843&amp;AS[[#This Row],[Reporting Year]]&amp;"; "&amp;P2843&amp;AS[[#This Row],[Insurance Category Code]]&amp;"; "&amp;Q2843&amp;AS[[#This Row],[Large Provider Entity Code]]&amp;"; "&amp;R2843&amp;AS[[#This Row],[Age Band Code]]&amp;"; "&amp;S2843&amp;AS[[#This Row],[Sex Code]]</f>
        <v xml:space="preserve">Insurer Code ; Reporting Year ; Insurance Category Code ; Large Provider Entity Code ; Age Band Code ; Sex Code </v>
      </c>
      <c r="N2843" s="345" t="s">
        <v>207</v>
      </c>
      <c r="O2843" s="345" t="s">
        <v>208</v>
      </c>
      <c r="P2843" s="345" t="s">
        <v>209</v>
      </c>
      <c r="Q2843" s="345" t="s">
        <v>210</v>
      </c>
      <c r="R2843" s="345" t="s">
        <v>223</v>
      </c>
      <c r="S2843" s="345" t="s">
        <v>224</v>
      </c>
    </row>
    <row r="2844" spans="1:19" x14ac:dyDescent="0.25">
      <c r="A2844" s="311"/>
      <c r="B2844" s="312"/>
      <c r="C2844" s="312"/>
      <c r="D2844" s="312"/>
      <c r="E2844" s="312"/>
      <c r="F2844" s="312"/>
      <c r="G2844" s="328"/>
      <c r="H2844" s="337"/>
      <c r="I2844" s="334"/>
      <c r="J2844" s="314"/>
      <c r="K2844" s="449"/>
      <c r="M2844" s="349" t="str">
        <f>N2844&amp;AS[[#This Row],[Insurer Code]]&amp;"; "&amp;O2844&amp;AS[[#This Row],[Reporting Year]]&amp;"; "&amp;P2844&amp;AS[[#This Row],[Insurance Category Code]]&amp;"; "&amp;Q2844&amp;AS[[#This Row],[Large Provider Entity Code]]&amp;"; "&amp;R2844&amp;AS[[#This Row],[Age Band Code]]&amp;"; "&amp;S2844&amp;AS[[#This Row],[Sex Code]]</f>
        <v xml:space="preserve">Insurer Code ; Reporting Year ; Insurance Category Code ; Large Provider Entity Code ; Age Band Code ; Sex Code </v>
      </c>
      <c r="N2844" s="345" t="s">
        <v>207</v>
      </c>
      <c r="O2844" s="345" t="s">
        <v>208</v>
      </c>
      <c r="P2844" s="345" t="s">
        <v>209</v>
      </c>
      <c r="Q2844" s="345" t="s">
        <v>210</v>
      </c>
      <c r="R2844" s="345" t="s">
        <v>223</v>
      </c>
      <c r="S2844" s="345" t="s">
        <v>224</v>
      </c>
    </row>
    <row r="2845" spans="1:19" x14ac:dyDescent="0.25">
      <c r="A2845" s="311"/>
      <c r="B2845" s="312"/>
      <c r="C2845" s="312"/>
      <c r="D2845" s="312"/>
      <c r="E2845" s="312"/>
      <c r="F2845" s="312"/>
      <c r="G2845" s="328"/>
      <c r="H2845" s="337"/>
      <c r="I2845" s="334"/>
      <c r="J2845" s="314"/>
      <c r="K2845" s="449"/>
      <c r="M2845" s="349" t="str">
        <f>N2845&amp;AS[[#This Row],[Insurer Code]]&amp;"; "&amp;O2845&amp;AS[[#This Row],[Reporting Year]]&amp;"; "&amp;P2845&amp;AS[[#This Row],[Insurance Category Code]]&amp;"; "&amp;Q2845&amp;AS[[#This Row],[Large Provider Entity Code]]&amp;"; "&amp;R2845&amp;AS[[#This Row],[Age Band Code]]&amp;"; "&amp;S2845&amp;AS[[#This Row],[Sex Code]]</f>
        <v xml:space="preserve">Insurer Code ; Reporting Year ; Insurance Category Code ; Large Provider Entity Code ; Age Band Code ; Sex Code </v>
      </c>
      <c r="N2845" s="345" t="s">
        <v>207</v>
      </c>
      <c r="O2845" s="345" t="s">
        <v>208</v>
      </c>
      <c r="P2845" s="345" t="s">
        <v>209</v>
      </c>
      <c r="Q2845" s="345" t="s">
        <v>210</v>
      </c>
      <c r="R2845" s="345" t="s">
        <v>223</v>
      </c>
      <c r="S2845" s="345" t="s">
        <v>224</v>
      </c>
    </row>
    <row r="2846" spans="1:19" x14ac:dyDescent="0.25">
      <c r="A2846" s="311"/>
      <c r="B2846" s="312"/>
      <c r="C2846" s="312"/>
      <c r="D2846" s="312"/>
      <c r="E2846" s="312"/>
      <c r="F2846" s="312"/>
      <c r="G2846" s="328"/>
      <c r="H2846" s="337"/>
      <c r="I2846" s="334"/>
      <c r="J2846" s="314"/>
      <c r="K2846" s="449"/>
      <c r="M2846" s="349" t="str">
        <f>N2846&amp;AS[[#This Row],[Insurer Code]]&amp;"; "&amp;O2846&amp;AS[[#This Row],[Reporting Year]]&amp;"; "&amp;P2846&amp;AS[[#This Row],[Insurance Category Code]]&amp;"; "&amp;Q2846&amp;AS[[#This Row],[Large Provider Entity Code]]&amp;"; "&amp;R2846&amp;AS[[#This Row],[Age Band Code]]&amp;"; "&amp;S2846&amp;AS[[#This Row],[Sex Code]]</f>
        <v xml:space="preserve">Insurer Code ; Reporting Year ; Insurance Category Code ; Large Provider Entity Code ; Age Band Code ; Sex Code </v>
      </c>
      <c r="N2846" s="345" t="s">
        <v>207</v>
      </c>
      <c r="O2846" s="345" t="s">
        <v>208</v>
      </c>
      <c r="P2846" s="345" t="s">
        <v>209</v>
      </c>
      <c r="Q2846" s="345" t="s">
        <v>210</v>
      </c>
      <c r="R2846" s="345" t="s">
        <v>223</v>
      </c>
      <c r="S2846" s="345" t="s">
        <v>224</v>
      </c>
    </row>
    <row r="2847" spans="1:19" x14ac:dyDescent="0.25">
      <c r="A2847" s="311"/>
      <c r="B2847" s="312"/>
      <c r="C2847" s="312"/>
      <c r="D2847" s="312"/>
      <c r="E2847" s="312"/>
      <c r="F2847" s="312"/>
      <c r="G2847" s="328"/>
      <c r="H2847" s="337"/>
      <c r="I2847" s="334"/>
      <c r="J2847" s="314"/>
      <c r="K2847" s="449"/>
      <c r="M2847" s="349" t="str">
        <f>N2847&amp;AS[[#This Row],[Insurer Code]]&amp;"; "&amp;O2847&amp;AS[[#This Row],[Reporting Year]]&amp;"; "&amp;P2847&amp;AS[[#This Row],[Insurance Category Code]]&amp;"; "&amp;Q2847&amp;AS[[#This Row],[Large Provider Entity Code]]&amp;"; "&amp;R2847&amp;AS[[#This Row],[Age Band Code]]&amp;"; "&amp;S2847&amp;AS[[#This Row],[Sex Code]]</f>
        <v xml:space="preserve">Insurer Code ; Reporting Year ; Insurance Category Code ; Large Provider Entity Code ; Age Band Code ; Sex Code </v>
      </c>
      <c r="N2847" s="345" t="s">
        <v>207</v>
      </c>
      <c r="O2847" s="345" t="s">
        <v>208</v>
      </c>
      <c r="P2847" s="345" t="s">
        <v>209</v>
      </c>
      <c r="Q2847" s="345" t="s">
        <v>210</v>
      </c>
      <c r="R2847" s="345" t="s">
        <v>223</v>
      </c>
      <c r="S2847" s="345" t="s">
        <v>224</v>
      </c>
    </row>
    <row r="2848" spans="1:19" x14ac:dyDescent="0.25">
      <c r="A2848" s="311"/>
      <c r="B2848" s="312"/>
      <c r="C2848" s="312"/>
      <c r="D2848" s="312"/>
      <c r="E2848" s="312"/>
      <c r="F2848" s="312"/>
      <c r="G2848" s="328"/>
      <c r="H2848" s="337"/>
      <c r="I2848" s="334"/>
      <c r="J2848" s="314"/>
      <c r="K2848" s="449"/>
      <c r="M2848" s="349" t="str">
        <f>N2848&amp;AS[[#This Row],[Insurer Code]]&amp;"; "&amp;O2848&amp;AS[[#This Row],[Reporting Year]]&amp;"; "&amp;P2848&amp;AS[[#This Row],[Insurance Category Code]]&amp;"; "&amp;Q2848&amp;AS[[#This Row],[Large Provider Entity Code]]&amp;"; "&amp;R2848&amp;AS[[#This Row],[Age Band Code]]&amp;"; "&amp;S2848&amp;AS[[#This Row],[Sex Code]]</f>
        <v xml:space="preserve">Insurer Code ; Reporting Year ; Insurance Category Code ; Large Provider Entity Code ; Age Band Code ; Sex Code </v>
      </c>
      <c r="N2848" s="345" t="s">
        <v>207</v>
      </c>
      <c r="O2848" s="345" t="s">
        <v>208</v>
      </c>
      <c r="P2848" s="345" t="s">
        <v>209</v>
      </c>
      <c r="Q2848" s="345" t="s">
        <v>210</v>
      </c>
      <c r="R2848" s="345" t="s">
        <v>223</v>
      </c>
      <c r="S2848" s="345" t="s">
        <v>224</v>
      </c>
    </row>
    <row r="2849" spans="1:19" x14ac:dyDescent="0.25">
      <c r="A2849" s="311"/>
      <c r="B2849" s="312"/>
      <c r="C2849" s="312"/>
      <c r="D2849" s="312"/>
      <c r="E2849" s="312"/>
      <c r="F2849" s="312"/>
      <c r="G2849" s="328"/>
      <c r="H2849" s="337"/>
      <c r="I2849" s="334"/>
      <c r="J2849" s="314"/>
      <c r="K2849" s="449"/>
      <c r="M2849" s="349" t="str">
        <f>N2849&amp;AS[[#This Row],[Insurer Code]]&amp;"; "&amp;O2849&amp;AS[[#This Row],[Reporting Year]]&amp;"; "&amp;P2849&amp;AS[[#This Row],[Insurance Category Code]]&amp;"; "&amp;Q2849&amp;AS[[#This Row],[Large Provider Entity Code]]&amp;"; "&amp;R2849&amp;AS[[#This Row],[Age Band Code]]&amp;"; "&amp;S2849&amp;AS[[#This Row],[Sex Code]]</f>
        <v xml:space="preserve">Insurer Code ; Reporting Year ; Insurance Category Code ; Large Provider Entity Code ; Age Band Code ; Sex Code </v>
      </c>
      <c r="N2849" s="345" t="s">
        <v>207</v>
      </c>
      <c r="O2849" s="345" t="s">
        <v>208</v>
      </c>
      <c r="P2849" s="345" t="s">
        <v>209</v>
      </c>
      <c r="Q2849" s="345" t="s">
        <v>210</v>
      </c>
      <c r="R2849" s="345" t="s">
        <v>223</v>
      </c>
      <c r="S2849" s="345" t="s">
        <v>224</v>
      </c>
    </row>
    <row r="2850" spans="1:19" x14ac:dyDescent="0.25">
      <c r="A2850" s="311"/>
      <c r="B2850" s="312"/>
      <c r="C2850" s="312"/>
      <c r="D2850" s="312"/>
      <c r="E2850" s="312"/>
      <c r="F2850" s="312"/>
      <c r="G2850" s="328"/>
      <c r="H2850" s="337"/>
      <c r="I2850" s="334"/>
      <c r="J2850" s="314"/>
      <c r="K2850" s="449"/>
      <c r="M2850" s="349" t="str">
        <f>N2850&amp;AS[[#This Row],[Insurer Code]]&amp;"; "&amp;O2850&amp;AS[[#This Row],[Reporting Year]]&amp;"; "&amp;P2850&amp;AS[[#This Row],[Insurance Category Code]]&amp;"; "&amp;Q2850&amp;AS[[#This Row],[Large Provider Entity Code]]&amp;"; "&amp;R2850&amp;AS[[#This Row],[Age Band Code]]&amp;"; "&amp;S2850&amp;AS[[#This Row],[Sex Code]]</f>
        <v xml:space="preserve">Insurer Code ; Reporting Year ; Insurance Category Code ; Large Provider Entity Code ; Age Band Code ; Sex Code </v>
      </c>
      <c r="N2850" s="345" t="s">
        <v>207</v>
      </c>
      <c r="O2850" s="345" t="s">
        <v>208</v>
      </c>
      <c r="P2850" s="345" t="s">
        <v>209</v>
      </c>
      <c r="Q2850" s="345" t="s">
        <v>210</v>
      </c>
      <c r="R2850" s="345" t="s">
        <v>223</v>
      </c>
      <c r="S2850" s="345" t="s">
        <v>224</v>
      </c>
    </row>
    <row r="2851" spans="1:19" x14ac:dyDescent="0.25">
      <c r="A2851" s="311"/>
      <c r="B2851" s="312"/>
      <c r="C2851" s="312"/>
      <c r="D2851" s="312"/>
      <c r="E2851" s="312"/>
      <c r="F2851" s="312"/>
      <c r="G2851" s="328"/>
      <c r="H2851" s="337"/>
      <c r="I2851" s="334"/>
      <c r="J2851" s="314"/>
      <c r="K2851" s="449"/>
      <c r="M2851" s="349" t="str">
        <f>N2851&amp;AS[[#This Row],[Insurer Code]]&amp;"; "&amp;O2851&amp;AS[[#This Row],[Reporting Year]]&amp;"; "&amp;P2851&amp;AS[[#This Row],[Insurance Category Code]]&amp;"; "&amp;Q2851&amp;AS[[#This Row],[Large Provider Entity Code]]&amp;"; "&amp;R2851&amp;AS[[#This Row],[Age Band Code]]&amp;"; "&amp;S2851&amp;AS[[#This Row],[Sex Code]]</f>
        <v xml:space="preserve">Insurer Code ; Reporting Year ; Insurance Category Code ; Large Provider Entity Code ; Age Band Code ; Sex Code </v>
      </c>
      <c r="N2851" s="345" t="s">
        <v>207</v>
      </c>
      <c r="O2851" s="345" t="s">
        <v>208</v>
      </c>
      <c r="P2851" s="345" t="s">
        <v>209</v>
      </c>
      <c r="Q2851" s="345" t="s">
        <v>210</v>
      </c>
      <c r="R2851" s="345" t="s">
        <v>223</v>
      </c>
      <c r="S2851" s="345" t="s">
        <v>224</v>
      </c>
    </row>
    <row r="2852" spans="1:19" x14ac:dyDescent="0.25">
      <c r="A2852" s="311"/>
      <c r="B2852" s="312"/>
      <c r="C2852" s="312"/>
      <c r="D2852" s="312"/>
      <c r="E2852" s="312"/>
      <c r="F2852" s="312"/>
      <c r="G2852" s="328"/>
      <c r="H2852" s="337"/>
      <c r="I2852" s="334"/>
      <c r="J2852" s="314"/>
      <c r="K2852" s="449"/>
      <c r="M2852" s="349" t="str">
        <f>N2852&amp;AS[[#This Row],[Insurer Code]]&amp;"; "&amp;O2852&amp;AS[[#This Row],[Reporting Year]]&amp;"; "&amp;P2852&amp;AS[[#This Row],[Insurance Category Code]]&amp;"; "&amp;Q2852&amp;AS[[#This Row],[Large Provider Entity Code]]&amp;"; "&amp;R2852&amp;AS[[#This Row],[Age Band Code]]&amp;"; "&amp;S2852&amp;AS[[#This Row],[Sex Code]]</f>
        <v xml:space="preserve">Insurer Code ; Reporting Year ; Insurance Category Code ; Large Provider Entity Code ; Age Band Code ; Sex Code </v>
      </c>
      <c r="N2852" s="345" t="s">
        <v>207</v>
      </c>
      <c r="O2852" s="345" t="s">
        <v>208</v>
      </c>
      <c r="P2852" s="345" t="s">
        <v>209</v>
      </c>
      <c r="Q2852" s="345" t="s">
        <v>210</v>
      </c>
      <c r="R2852" s="345" t="s">
        <v>223</v>
      </c>
      <c r="S2852" s="345" t="s">
        <v>224</v>
      </c>
    </row>
    <row r="2853" spans="1:19" x14ac:dyDescent="0.25">
      <c r="A2853" s="311"/>
      <c r="B2853" s="312"/>
      <c r="C2853" s="312"/>
      <c r="D2853" s="312"/>
      <c r="E2853" s="312"/>
      <c r="F2853" s="312"/>
      <c r="G2853" s="328"/>
      <c r="H2853" s="337"/>
      <c r="I2853" s="334"/>
      <c r="J2853" s="314"/>
      <c r="K2853" s="449"/>
      <c r="M2853" s="349" t="str">
        <f>N2853&amp;AS[[#This Row],[Insurer Code]]&amp;"; "&amp;O2853&amp;AS[[#This Row],[Reporting Year]]&amp;"; "&amp;P2853&amp;AS[[#This Row],[Insurance Category Code]]&amp;"; "&amp;Q2853&amp;AS[[#This Row],[Large Provider Entity Code]]&amp;"; "&amp;R2853&amp;AS[[#This Row],[Age Band Code]]&amp;"; "&amp;S2853&amp;AS[[#This Row],[Sex Code]]</f>
        <v xml:space="preserve">Insurer Code ; Reporting Year ; Insurance Category Code ; Large Provider Entity Code ; Age Band Code ; Sex Code </v>
      </c>
      <c r="N2853" s="345" t="s">
        <v>207</v>
      </c>
      <c r="O2853" s="345" t="s">
        <v>208</v>
      </c>
      <c r="P2853" s="345" t="s">
        <v>209</v>
      </c>
      <c r="Q2853" s="345" t="s">
        <v>210</v>
      </c>
      <c r="R2853" s="345" t="s">
        <v>223</v>
      </c>
      <c r="S2853" s="345" t="s">
        <v>224</v>
      </c>
    </row>
    <row r="2854" spans="1:19" x14ac:dyDescent="0.25">
      <c r="A2854" s="311"/>
      <c r="B2854" s="312"/>
      <c r="C2854" s="312"/>
      <c r="D2854" s="312"/>
      <c r="E2854" s="312"/>
      <c r="F2854" s="312"/>
      <c r="G2854" s="328"/>
      <c r="H2854" s="337"/>
      <c r="I2854" s="334"/>
      <c r="J2854" s="314"/>
      <c r="K2854" s="449"/>
      <c r="M2854" s="349" t="str">
        <f>N2854&amp;AS[[#This Row],[Insurer Code]]&amp;"; "&amp;O2854&amp;AS[[#This Row],[Reporting Year]]&amp;"; "&amp;P2854&amp;AS[[#This Row],[Insurance Category Code]]&amp;"; "&amp;Q2854&amp;AS[[#This Row],[Large Provider Entity Code]]&amp;"; "&amp;R2854&amp;AS[[#This Row],[Age Band Code]]&amp;"; "&amp;S2854&amp;AS[[#This Row],[Sex Code]]</f>
        <v xml:space="preserve">Insurer Code ; Reporting Year ; Insurance Category Code ; Large Provider Entity Code ; Age Band Code ; Sex Code </v>
      </c>
      <c r="N2854" s="345" t="s">
        <v>207</v>
      </c>
      <c r="O2854" s="345" t="s">
        <v>208</v>
      </c>
      <c r="P2854" s="345" t="s">
        <v>209</v>
      </c>
      <c r="Q2854" s="345" t="s">
        <v>210</v>
      </c>
      <c r="R2854" s="345" t="s">
        <v>223</v>
      </c>
      <c r="S2854" s="345" t="s">
        <v>224</v>
      </c>
    </row>
    <row r="2855" spans="1:19" x14ac:dyDescent="0.25">
      <c r="A2855" s="311"/>
      <c r="B2855" s="312"/>
      <c r="C2855" s="312"/>
      <c r="D2855" s="312"/>
      <c r="E2855" s="312"/>
      <c r="F2855" s="312"/>
      <c r="G2855" s="328"/>
      <c r="H2855" s="337"/>
      <c r="I2855" s="334"/>
      <c r="J2855" s="314"/>
      <c r="K2855" s="449"/>
      <c r="M2855" s="349" t="str">
        <f>N2855&amp;AS[[#This Row],[Insurer Code]]&amp;"; "&amp;O2855&amp;AS[[#This Row],[Reporting Year]]&amp;"; "&amp;P2855&amp;AS[[#This Row],[Insurance Category Code]]&amp;"; "&amp;Q2855&amp;AS[[#This Row],[Large Provider Entity Code]]&amp;"; "&amp;R2855&amp;AS[[#This Row],[Age Band Code]]&amp;"; "&amp;S2855&amp;AS[[#This Row],[Sex Code]]</f>
        <v xml:space="preserve">Insurer Code ; Reporting Year ; Insurance Category Code ; Large Provider Entity Code ; Age Band Code ; Sex Code </v>
      </c>
      <c r="N2855" s="345" t="s">
        <v>207</v>
      </c>
      <c r="O2855" s="345" t="s">
        <v>208</v>
      </c>
      <c r="P2855" s="345" t="s">
        <v>209</v>
      </c>
      <c r="Q2855" s="345" t="s">
        <v>210</v>
      </c>
      <c r="R2855" s="345" t="s">
        <v>223</v>
      </c>
      <c r="S2855" s="345" t="s">
        <v>224</v>
      </c>
    </row>
    <row r="2856" spans="1:19" x14ac:dyDescent="0.25">
      <c r="A2856" s="311"/>
      <c r="B2856" s="312"/>
      <c r="C2856" s="312"/>
      <c r="D2856" s="312"/>
      <c r="E2856" s="312"/>
      <c r="F2856" s="312"/>
      <c r="G2856" s="328"/>
      <c r="H2856" s="337"/>
      <c r="I2856" s="334"/>
      <c r="J2856" s="314"/>
      <c r="K2856" s="449"/>
      <c r="M2856" s="349" t="str">
        <f>N2856&amp;AS[[#This Row],[Insurer Code]]&amp;"; "&amp;O2856&amp;AS[[#This Row],[Reporting Year]]&amp;"; "&amp;P2856&amp;AS[[#This Row],[Insurance Category Code]]&amp;"; "&amp;Q2856&amp;AS[[#This Row],[Large Provider Entity Code]]&amp;"; "&amp;R2856&amp;AS[[#This Row],[Age Band Code]]&amp;"; "&amp;S2856&amp;AS[[#This Row],[Sex Code]]</f>
        <v xml:space="preserve">Insurer Code ; Reporting Year ; Insurance Category Code ; Large Provider Entity Code ; Age Band Code ; Sex Code </v>
      </c>
      <c r="N2856" s="345" t="s">
        <v>207</v>
      </c>
      <c r="O2856" s="345" t="s">
        <v>208</v>
      </c>
      <c r="P2856" s="345" t="s">
        <v>209</v>
      </c>
      <c r="Q2856" s="345" t="s">
        <v>210</v>
      </c>
      <c r="R2856" s="345" t="s">
        <v>223</v>
      </c>
      <c r="S2856" s="345" t="s">
        <v>224</v>
      </c>
    </row>
    <row r="2857" spans="1:19" x14ac:dyDescent="0.25">
      <c r="A2857" s="311"/>
      <c r="B2857" s="312"/>
      <c r="C2857" s="312"/>
      <c r="D2857" s="312"/>
      <c r="E2857" s="312"/>
      <c r="F2857" s="312"/>
      <c r="G2857" s="328"/>
      <c r="H2857" s="337"/>
      <c r="I2857" s="334"/>
      <c r="J2857" s="314"/>
      <c r="K2857" s="449"/>
      <c r="M2857" s="349" t="str">
        <f>N2857&amp;AS[[#This Row],[Insurer Code]]&amp;"; "&amp;O2857&amp;AS[[#This Row],[Reporting Year]]&amp;"; "&amp;P2857&amp;AS[[#This Row],[Insurance Category Code]]&amp;"; "&amp;Q2857&amp;AS[[#This Row],[Large Provider Entity Code]]&amp;"; "&amp;R2857&amp;AS[[#This Row],[Age Band Code]]&amp;"; "&amp;S2857&amp;AS[[#This Row],[Sex Code]]</f>
        <v xml:space="preserve">Insurer Code ; Reporting Year ; Insurance Category Code ; Large Provider Entity Code ; Age Band Code ; Sex Code </v>
      </c>
      <c r="N2857" s="345" t="s">
        <v>207</v>
      </c>
      <c r="O2857" s="345" t="s">
        <v>208</v>
      </c>
      <c r="P2857" s="345" t="s">
        <v>209</v>
      </c>
      <c r="Q2857" s="345" t="s">
        <v>210</v>
      </c>
      <c r="R2857" s="345" t="s">
        <v>223</v>
      </c>
      <c r="S2857" s="345" t="s">
        <v>224</v>
      </c>
    </row>
    <row r="2858" spans="1:19" x14ac:dyDescent="0.25">
      <c r="A2858" s="311"/>
      <c r="B2858" s="312"/>
      <c r="C2858" s="312"/>
      <c r="D2858" s="312"/>
      <c r="E2858" s="312"/>
      <c r="F2858" s="312"/>
      <c r="G2858" s="328"/>
      <c r="H2858" s="337"/>
      <c r="I2858" s="334"/>
      <c r="J2858" s="314"/>
      <c r="K2858" s="449"/>
      <c r="M2858" s="349" t="str">
        <f>N2858&amp;AS[[#This Row],[Insurer Code]]&amp;"; "&amp;O2858&amp;AS[[#This Row],[Reporting Year]]&amp;"; "&amp;P2858&amp;AS[[#This Row],[Insurance Category Code]]&amp;"; "&amp;Q2858&amp;AS[[#This Row],[Large Provider Entity Code]]&amp;"; "&amp;R2858&amp;AS[[#This Row],[Age Band Code]]&amp;"; "&amp;S2858&amp;AS[[#This Row],[Sex Code]]</f>
        <v xml:space="preserve">Insurer Code ; Reporting Year ; Insurance Category Code ; Large Provider Entity Code ; Age Band Code ; Sex Code </v>
      </c>
      <c r="N2858" s="345" t="s">
        <v>207</v>
      </c>
      <c r="O2858" s="345" t="s">
        <v>208</v>
      </c>
      <c r="P2858" s="345" t="s">
        <v>209</v>
      </c>
      <c r="Q2858" s="345" t="s">
        <v>210</v>
      </c>
      <c r="R2858" s="345" t="s">
        <v>223</v>
      </c>
      <c r="S2858" s="345" t="s">
        <v>224</v>
      </c>
    </row>
    <row r="2859" spans="1:19" x14ac:dyDescent="0.25">
      <c r="A2859" s="311"/>
      <c r="B2859" s="312"/>
      <c r="C2859" s="312"/>
      <c r="D2859" s="312"/>
      <c r="E2859" s="312"/>
      <c r="F2859" s="312"/>
      <c r="G2859" s="328"/>
      <c r="H2859" s="337"/>
      <c r="I2859" s="334"/>
      <c r="J2859" s="314"/>
      <c r="K2859" s="449"/>
      <c r="M2859" s="349" t="str">
        <f>N2859&amp;AS[[#This Row],[Insurer Code]]&amp;"; "&amp;O2859&amp;AS[[#This Row],[Reporting Year]]&amp;"; "&amp;P2859&amp;AS[[#This Row],[Insurance Category Code]]&amp;"; "&amp;Q2859&amp;AS[[#This Row],[Large Provider Entity Code]]&amp;"; "&amp;R2859&amp;AS[[#This Row],[Age Band Code]]&amp;"; "&amp;S2859&amp;AS[[#This Row],[Sex Code]]</f>
        <v xml:space="preserve">Insurer Code ; Reporting Year ; Insurance Category Code ; Large Provider Entity Code ; Age Band Code ; Sex Code </v>
      </c>
      <c r="N2859" s="345" t="s">
        <v>207</v>
      </c>
      <c r="O2859" s="345" t="s">
        <v>208</v>
      </c>
      <c r="P2859" s="345" t="s">
        <v>209</v>
      </c>
      <c r="Q2859" s="345" t="s">
        <v>210</v>
      </c>
      <c r="R2859" s="345" t="s">
        <v>223</v>
      </c>
      <c r="S2859" s="345" t="s">
        <v>224</v>
      </c>
    </row>
    <row r="2860" spans="1:19" x14ac:dyDescent="0.25">
      <c r="A2860" s="311"/>
      <c r="B2860" s="312"/>
      <c r="C2860" s="312"/>
      <c r="D2860" s="312"/>
      <c r="E2860" s="312"/>
      <c r="F2860" s="312"/>
      <c r="G2860" s="328"/>
      <c r="H2860" s="337"/>
      <c r="I2860" s="334"/>
      <c r="J2860" s="314"/>
      <c r="K2860" s="449"/>
      <c r="M2860" s="349" t="str">
        <f>N2860&amp;AS[[#This Row],[Insurer Code]]&amp;"; "&amp;O2860&amp;AS[[#This Row],[Reporting Year]]&amp;"; "&amp;P2860&amp;AS[[#This Row],[Insurance Category Code]]&amp;"; "&amp;Q2860&amp;AS[[#This Row],[Large Provider Entity Code]]&amp;"; "&amp;R2860&amp;AS[[#This Row],[Age Band Code]]&amp;"; "&amp;S2860&amp;AS[[#This Row],[Sex Code]]</f>
        <v xml:space="preserve">Insurer Code ; Reporting Year ; Insurance Category Code ; Large Provider Entity Code ; Age Band Code ; Sex Code </v>
      </c>
      <c r="N2860" s="345" t="s">
        <v>207</v>
      </c>
      <c r="O2860" s="345" t="s">
        <v>208</v>
      </c>
      <c r="P2860" s="345" t="s">
        <v>209</v>
      </c>
      <c r="Q2860" s="345" t="s">
        <v>210</v>
      </c>
      <c r="R2860" s="345" t="s">
        <v>223</v>
      </c>
      <c r="S2860" s="345" t="s">
        <v>224</v>
      </c>
    </row>
    <row r="2861" spans="1:19" x14ac:dyDescent="0.25">
      <c r="A2861" s="311"/>
      <c r="B2861" s="312"/>
      <c r="C2861" s="312"/>
      <c r="D2861" s="312"/>
      <c r="E2861" s="312"/>
      <c r="F2861" s="312"/>
      <c r="G2861" s="328"/>
      <c r="H2861" s="337"/>
      <c r="I2861" s="334"/>
      <c r="J2861" s="314"/>
      <c r="K2861" s="449"/>
      <c r="M2861" s="349" t="str">
        <f>N2861&amp;AS[[#This Row],[Insurer Code]]&amp;"; "&amp;O2861&amp;AS[[#This Row],[Reporting Year]]&amp;"; "&amp;P2861&amp;AS[[#This Row],[Insurance Category Code]]&amp;"; "&amp;Q2861&amp;AS[[#This Row],[Large Provider Entity Code]]&amp;"; "&amp;R2861&amp;AS[[#This Row],[Age Band Code]]&amp;"; "&amp;S2861&amp;AS[[#This Row],[Sex Code]]</f>
        <v xml:space="preserve">Insurer Code ; Reporting Year ; Insurance Category Code ; Large Provider Entity Code ; Age Band Code ; Sex Code </v>
      </c>
      <c r="N2861" s="345" t="s">
        <v>207</v>
      </c>
      <c r="O2861" s="345" t="s">
        <v>208</v>
      </c>
      <c r="P2861" s="345" t="s">
        <v>209</v>
      </c>
      <c r="Q2861" s="345" t="s">
        <v>210</v>
      </c>
      <c r="R2861" s="345" t="s">
        <v>223</v>
      </c>
      <c r="S2861" s="345" t="s">
        <v>224</v>
      </c>
    </row>
    <row r="2862" spans="1:19" x14ac:dyDescent="0.25">
      <c r="A2862" s="311"/>
      <c r="B2862" s="312"/>
      <c r="C2862" s="312"/>
      <c r="D2862" s="312"/>
      <c r="E2862" s="312"/>
      <c r="F2862" s="312"/>
      <c r="G2862" s="328"/>
      <c r="H2862" s="337"/>
      <c r="I2862" s="334"/>
      <c r="J2862" s="314"/>
      <c r="K2862" s="449"/>
      <c r="M2862" s="349" t="str">
        <f>N2862&amp;AS[[#This Row],[Insurer Code]]&amp;"; "&amp;O2862&amp;AS[[#This Row],[Reporting Year]]&amp;"; "&amp;P2862&amp;AS[[#This Row],[Insurance Category Code]]&amp;"; "&amp;Q2862&amp;AS[[#This Row],[Large Provider Entity Code]]&amp;"; "&amp;R2862&amp;AS[[#This Row],[Age Band Code]]&amp;"; "&amp;S2862&amp;AS[[#This Row],[Sex Code]]</f>
        <v xml:space="preserve">Insurer Code ; Reporting Year ; Insurance Category Code ; Large Provider Entity Code ; Age Band Code ; Sex Code </v>
      </c>
      <c r="N2862" s="345" t="s">
        <v>207</v>
      </c>
      <c r="O2862" s="345" t="s">
        <v>208</v>
      </c>
      <c r="P2862" s="345" t="s">
        <v>209</v>
      </c>
      <c r="Q2862" s="345" t="s">
        <v>210</v>
      </c>
      <c r="R2862" s="345" t="s">
        <v>223</v>
      </c>
      <c r="S2862" s="345" t="s">
        <v>224</v>
      </c>
    </row>
    <row r="2863" spans="1:19" x14ac:dyDescent="0.25">
      <c r="A2863" s="311"/>
      <c r="B2863" s="312"/>
      <c r="C2863" s="312"/>
      <c r="D2863" s="312"/>
      <c r="E2863" s="312"/>
      <c r="F2863" s="312"/>
      <c r="G2863" s="328"/>
      <c r="H2863" s="337"/>
      <c r="I2863" s="334"/>
      <c r="J2863" s="314"/>
      <c r="K2863" s="449"/>
      <c r="M2863" s="349" t="str">
        <f>N2863&amp;AS[[#This Row],[Insurer Code]]&amp;"; "&amp;O2863&amp;AS[[#This Row],[Reporting Year]]&amp;"; "&amp;P2863&amp;AS[[#This Row],[Insurance Category Code]]&amp;"; "&amp;Q2863&amp;AS[[#This Row],[Large Provider Entity Code]]&amp;"; "&amp;R2863&amp;AS[[#This Row],[Age Band Code]]&amp;"; "&amp;S2863&amp;AS[[#This Row],[Sex Code]]</f>
        <v xml:space="preserve">Insurer Code ; Reporting Year ; Insurance Category Code ; Large Provider Entity Code ; Age Band Code ; Sex Code </v>
      </c>
      <c r="N2863" s="345" t="s">
        <v>207</v>
      </c>
      <c r="O2863" s="345" t="s">
        <v>208</v>
      </c>
      <c r="P2863" s="345" t="s">
        <v>209</v>
      </c>
      <c r="Q2863" s="345" t="s">
        <v>210</v>
      </c>
      <c r="R2863" s="345" t="s">
        <v>223</v>
      </c>
      <c r="S2863" s="345" t="s">
        <v>224</v>
      </c>
    </row>
    <row r="2864" spans="1:19" x14ac:dyDescent="0.25">
      <c r="A2864" s="311"/>
      <c r="B2864" s="312"/>
      <c r="C2864" s="312"/>
      <c r="D2864" s="312"/>
      <c r="E2864" s="312"/>
      <c r="F2864" s="312"/>
      <c r="G2864" s="328"/>
      <c r="H2864" s="337"/>
      <c r="I2864" s="334"/>
      <c r="J2864" s="314"/>
      <c r="K2864" s="449"/>
      <c r="M2864" s="349" t="str">
        <f>N2864&amp;AS[[#This Row],[Insurer Code]]&amp;"; "&amp;O2864&amp;AS[[#This Row],[Reporting Year]]&amp;"; "&amp;P2864&amp;AS[[#This Row],[Insurance Category Code]]&amp;"; "&amp;Q2864&amp;AS[[#This Row],[Large Provider Entity Code]]&amp;"; "&amp;R2864&amp;AS[[#This Row],[Age Band Code]]&amp;"; "&amp;S2864&amp;AS[[#This Row],[Sex Code]]</f>
        <v xml:space="preserve">Insurer Code ; Reporting Year ; Insurance Category Code ; Large Provider Entity Code ; Age Band Code ; Sex Code </v>
      </c>
      <c r="N2864" s="345" t="s">
        <v>207</v>
      </c>
      <c r="O2864" s="345" t="s">
        <v>208</v>
      </c>
      <c r="P2864" s="345" t="s">
        <v>209</v>
      </c>
      <c r="Q2864" s="345" t="s">
        <v>210</v>
      </c>
      <c r="R2864" s="345" t="s">
        <v>223</v>
      </c>
      <c r="S2864" s="345" t="s">
        <v>224</v>
      </c>
    </row>
    <row r="2865" spans="1:19" x14ac:dyDescent="0.25">
      <c r="A2865" s="311"/>
      <c r="B2865" s="312"/>
      <c r="C2865" s="312"/>
      <c r="D2865" s="312"/>
      <c r="E2865" s="312"/>
      <c r="F2865" s="312"/>
      <c r="G2865" s="328"/>
      <c r="H2865" s="337"/>
      <c r="I2865" s="334"/>
      <c r="J2865" s="314"/>
      <c r="K2865" s="449"/>
      <c r="M2865" s="349" t="str">
        <f>N2865&amp;AS[[#This Row],[Insurer Code]]&amp;"; "&amp;O2865&amp;AS[[#This Row],[Reporting Year]]&amp;"; "&amp;P2865&amp;AS[[#This Row],[Insurance Category Code]]&amp;"; "&amp;Q2865&amp;AS[[#This Row],[Large Provider Entity Code]]&amp;"; "&amp;R2865&amp;AS[[#This Row],[Age Band Code]]&amp;"; "&amp;S2865&amp;AS[[#This Row],[Sex Code]]</f>
        <v xml:space="preserve">Insurer Code ; Reporting Year ; Insurance Category Code ; Large Provider Entity Code ; Age Band Code ; Sex Code </v>
      </c>
      <c r="N2865" s="345" t="s">
        <v>207</v>
      </c>
      <c r="O2865" s="345" t="s">
        <v>208</v>
      </c>
      <c r="P2865" s="345" t="s">
        <v>209</v>
      </c>
      <c r="Q2865" s="345" t="s">
        <v>210</v>
      </c>
      <c r="R2865" s="345" t="s">
        <v>223</v>
      </c>
      <c r="S2865" s="345" t="s">
        <v>224</v>
      </c>
    </row>
    <row r="2866" spans="1:19" x14ac:dyDescent="0.25">
      <c r="A2866" s="311"/>
      <c r="B2866" s="312"/>
      <c r="C2866" s="312"/>
      <c r="D2866" s="312"/>
      <c r="E2866" s="312"/>
      <c r="F2866" s="312"/>
      <c r="G2866" s="328"/>
      <c r="H2866" s="337"/>
      <c r="I2866" s="334"/>
      <c r="J2866" s="314"/>
      <c r="K2866" s="449"/>
      <c r="M2866" s="349" t="str">
        <f>N2866&amp;AS[[#This Row],[Insurer Code]]&amp;"; "&amp;O2866&amp;AS[[#This Row],[Reporting Year]]&amp;"; "&amp;P2866&amp;AS[[#This Row],[Insurance Category Code]]&amp;"; "&amp;Q2866&amp;AS[[#This Row],[Large Provider Entity Code]]&amp;"; "&amp;R2866&amp;AS[[#This Row],[Age Band Code]]&amp;"; "&amp;S2866&amp;AS[[#This Row],[Sex Code]]</f>
        <v xml:space="preserve">Insurer Code ; Reporting Year ; Insurance Category Code ; Large Provider Entity Code ; Age Band Code ; Sex Code </v>
      </c>
      <c r="N2866" s="345" t="s">
        <v>207</v>
      </c>
      <c r="O2866" s="345" t="s">
        <v>208</v>
      </c>
      <c r="P2866" s="345" t="s">
        <v>209</v>
      </c>
      <c r="Q2866" s="345" t="s">
        <v>210</v>
      </c>
      <c r="R2866" s="345" t="s">
        <v>223</v>
      </c>
      <c r="S2866" s="345" t="s">
        <v>224</v>
      </c>
    </row>
    <row r="2867" spans="1:19" x14ac:dyDescent="0.25">
      <c r="A2867" s="311"/>
      <c r="B2867" s="312"/>
      <c r="C2867" s="312"/>
      <c r="D2867" s="312"/>
      <c r="E2867" s="312"/>
      <c r="F2867" s="312"/>
      <c r="G2867" s="328"/>
      <c r="H2867" s="337"/>
      <c r="I2867" s="334"/>
      <c r="J2867" s="314"/>
      <c r="K2867" s="449"/>
      <c r="M2867" s="349" t="str">
        <f>N2867&amp;AS[[#This Row],[Insurer Code]]&amp;"; "&amp;O2867&amp;AS[[#This Row],[Reporting Year]]&amp;"; "&amp;P2867&amp;AS[[#This Row],[Insurance Category Code]]&amp;"; "&amp;Q2867&amp;AS[[#This Row],[Large Provider Entity Code]]&amp;"; "&amp;R2867&amp;AS[[#This Row],[Age Band Code]]&amp;"; "&amp;S2867&amp;AS[[#This Row],[Sex Code]]</f>
        <v xml:space="preserve">Insurer Code ; Reporting Year ; Insurance Category Code ; Large Provider Entity Code ; Age Band Code ; Sex Code </v>
      </c>
      <c r="N2867" s="345" t="s">
        <v>207</v>
      </c>
      <c r="O2867" s="345" t="s">
        <v>208</v>
      </c>
      <c r="P2867" s="345" t="s">
        <v>209</v>
      </c>
      <c r="Q2867" s="345" t="s">
        <v>210</v>
      </c>
      <c r="R2867" s="345" t="s">
        <v>223</v>
      </c>
      <c r="S2867" s="345" t="s">
        <v>224</v>
      </c>
    </row>
    <row r="2868" spans="1:19" x14ac:dyDescent="0.25">
      <c r="A2868" s="311"/>
      <c r="B2868" s="312"/>
      <c r="C2868" s="312"/>
      <c r="D2868" s="312"/>
      <c r="E2868" s="312"/>
      <c r="F2868" s="312"/>
      <c r="G2868" s="328"/>
      <c r="H2868" s="337"/>
      <c r="I2868" s="334"/>
      <c r="J2868" s="314"/>
      <c r="K2868" s="449"/>
      <c r="M2868" s="349" t="str">
        <f>N2868&amp;AS[[#This Row],[Insurer Code]]&amp;"; "&amp;O2868&amp;AS[[#This Row],[Reporting Year]]&amp;"; "&amp;P2868&amp;AS[[#This Row],[Insurance Category Code]]&amp;"; "&amp;Q2868&amp;AS[[#This Row],[Large Provider Entity Code]]&amp;"; "&amp;R2868&amp;AS[[#This Row],[Age Band Code]]&amp;"; "&amp;S2868&amp;AS[[#This Row],[Sex Code]]</f>
        <v xml:space="preserve">Insurer Code ; Reporting Year ; Insurance Category Code ; Large Provider Entity Code ; Age Band Code ; Sex Code </v>
      </c>
      <c r="N2868" s="345" t="s">
        <v>207</v>
      </c>
      <c r="O2868" s="345" t="s">
        <v>208</v>
      </c>
      <c r="P2868" s="345" t="s">
        <v>209</v>
      </c>
      <c r="Q2868" s="345" t="s">
        <v>210</v>
      </c>
      <c r="R2868" s="345" t="s">
        <v>223</v>
      </c>
      <c r="S2868" s="345" t="s">
        <v>224</v>
      </c>
    </row>
    <row r="2869" spans="1:19" x14ac:dyDescent="0.25">
      <c r="A2869" s="311"/>
      <c r="B2869" s="312"/>
      <c r="C2869" s="312"/>
      <c r="D2869" s="312"/>
      <c r="E2869" s="312"/>
      <c r="F2869" s="312"/>
      <c r="G2869" s="328"/>
      <c r="H2869" s="337"/>
      <c r="I2869" s="334"/>
      <c r="J2869" s="314"/>
      <c r="K2869" s="449"/>
      <c r="M2869" s="349" t="str">
        <f>N2869&amp;AS[[#This Row],[Insurer Code]]&amp;"; "&amp;O2869&amp;AS[[#This Row],[Reporting Year]]&amp;"; "&amp;P2869&amp;AS[[#This Row],[Insurance Category Code]]&amp;"; "&amp;Q2869&amp;AS[[#This Row],[Large Provider Entity Code]]&amp;"; "&amp;R2869&amp;AS[[#This Row],[Age Band Code]]&amp;"; "&amp;S2869&amp;AS[[#This Row],[Sex Code]]</f>
        <v xml:space="preserve">Insurer Code ; Reporting Year ; Insurance Category Code ; Large Provider Entity Code ; Age Band Code ; Sex Code </v>
      </c>
      <c r="N2869" s="345" t="s">
        <v>207</v>
      </c>
      <c r="O2869" s="345" t="s">
        <v>208</v>
      </c>
      <c r="P2869" s="345" t="s">
        <v>209</v>
      </c>
      <c r="Q2869" s="345" t="s">
        <v>210</v>
      </c>
      <c r="R2869" s="345" t="s">
        <v>223</v>
      </c>
      <c r="S2869" s="345" t="s">
        <v>224</v>
      </c>
    </row>
    <row r="2870" spans="1:19" x14ac:dyDescent="0.25">
      <c r="A2870" s="311"/>
      <c r="B2870" s="312"/>
      <c r="C2870" s="312"/>
      <c r="D2870" s="312"/>
      <c r="E2870" s="312"/>
      <c r="F2870" s="312"/>
      <c r="G2870" s="328"/>
      <c r="H2870" s="337"/>
      <c r="I2870" s="334"/>
      <c r="J2870" s="314"/>
      <c r="K2870" s="449"/>
      <c r="M2870" s="349" t="str">
        <f>N2870&amp;AS[[#This Row],[Insurer Code]]&amp;"; "&amp;O2870&amp;AS[[#This Row],[Reporting Year]]&amp;"; "&amp;P2870&amp;AS[[#This Row],[Insurance Category Code]]&amp;"; "&amp;Q2870&amp;AS[[#This Row],[Large Provider Entity Code]]&amp;"; "&amp;R2870&amp;AS[[#This Row],[Age Band Code]]&amp;"; "&amp;S2870&amp;AS[[#This Row],[Sex Code]]</f>
        <v xml:space="preserve">Insurer Code ; Reporting Year ; Insurance Category Code ; Large Provider Entity Code ; Age Band Code ; Sex Code </v>
      </c>
      <c r="N2870" s="345" t="s">
        <v>207</v>
      </c>
      <c r="O2870" s="345" t="s">
        <v>208</v>
      </c>
      <c r="P2870" s="345" t="s">
        <v>209</v>
      </c>
      <c r="Q2870" s="345" t="s">
        <v>210</v>
      </c>
      <c r="R2870" s="345" t="s">
        <v>223</v>
      </c>
      <c r="S2870" s="345" t="s">
        <v>224</v>
      </c>
    </row>
    <row r="2871" spans="1:19" x14ac:dyDescent="0.25">
      <c r="A2871" s="311"/>
      <c r="B2871" s="312"/>
      <c r="C2871" s="312"/>
      <c r="D2871" s="312"/>
      <c r="E2871" s="312"/>
      <c r="F2871" s="312"/>
      <c r="G2871" s="328"/>
      <c r="H2871" s="337"/>
      <c r="I2871" s="334"/>
      <c r="J2871" s="314"/>
      <c r="K2871" s="449"/>
      <c r="M2871" s="349" t="str">
        <f>N2871&amp;AS[[#This Row],[Insurer Code]]&amp;"; "&amp;O2871&amp;AS[[#This Row],[Reporting Year]]&amp;"; "&amp;P2871&amp;AS[[#This Row],[Insurance Category Code]]&amp;"; "&amp;Q2871&amp;AS[[#This Row],[Large Provider Entity Code]]&amp;"; "&amp;R2871&amp;AS[[#This Row],[Age Band Code]]&amp;"; "&amp;S2871&amp;AS[[#This Row],[Sex Code]]</f>
        <v xml:space="preserve">Insurer Code ; Reporting Year ; Insurance Category Code ; Large Provider Entity Code ; Age Band Code ; Sex Code </v>
      </c>
      <c r="N2871" s="345" t="s">
        <v>207</v>
      </c>
      <c r="O2871" s="345" t="s">
        <v>208</v>
      </c>
      <c r="P2871" s="345" t="s">
        <v>209</v>
      </c>
      <c r="Q2871" s="345" t="s">
        <v>210</v>
      </c>
      <c r="R2871" s="345" t="s">
        <v>223</v>
      </c>
      <c r="S2871" s="345" t="s">
        <v>224</v>
      </c>
    </row>
    <row r="2872" spans="1:19" x14ac:dyDescent="0.25">
      <c r="A2872" s="311"/>
      <c r="B2872" s="312"/>
      <c r="C2872" s="312"/>
      <c r="D2872" s="312"/>
      <c r="E2872" s="312"/>
      <c r="F2872" s="312"/>
      <c r="G2872" s="328"/>
      <c r="H2872" s="337"/>
      <c r="I2872" s="334"/>
      <c r="J2872" s="314"/>
      <c r="K2872" s="449"/>
      <c r="M2872" s="349" t="str">
        <f>N2872&amp;AS[[#This Row],[Insurer Code]]&amp;"; "&amp;O2872&amp;AS[[#This Row],[Reporting Year]]&amp;"; "&amp;P2872&amp;AS[[#This Row],[Insurance Category Code]]&amp;"; "&amp;Q2872&amp;AS[[#This Row],[Large Provider Entity Code]]&amp;"; "&amp;R2872&amp;AS[[#This Row],[Age Band Code]]&amp;"; "&amp;S2872&amp;AS[[#This Row],[Sex Code]]</f>
        <v xml:space="preserve">Insurer Code ; Reporting Year ; Insurance Category Code ; Large Provider Entity Code ; Age Band Code ; Sex Code </v>
      </c>
      <c r="N2872" s="345" t="s">
        <v>207</v>
      </c>
      <c r="O2872" s="345" t="s">
        <v>208</v>
      </c>
      <c r="P2872" s="345" t="s">
        <v>209</v>
      </c>
      <c r="Q2872" s="345" t="s">
        <v>210</v>
      </c>
      <c r="R2872" s="345" t="s">
        <v>223</v>
      </c>
      <c r="S2872" s="345" t="s">
        <v>224</v>
      </c>
    </row>
    <row r="2873" spans="1:19" x14ac:dyDescent="0.25">
      <c r="A2873" s="311"/>
      <c r="B2873" s="312"/>
      <c r="C2873" s="312"/>
      <c r="D2873" s="312"/>
      <c r="E2873" s="312"/>
      <c r="F2873" s="312"/>
      <c r="G2873" s="328"/>
      <c r="H2873" s="337"/>
      <c r="I2873" s="334"/>
      <c r="J2873" s="314"/>
      <c r="K2873" s="449"/>
      <c r="M2873" s="349" t="str">
        <f>N2873&amp;AS[[#This Row],[Insurer Code]]&amp;"; "&amp;O2873&amp;AS[[#This Row],[Reporting Year]]&amp;"; "&amp;P2873&amp;AS[[#This Row],[Insurance Category Code]]&amp;"; "&amp;Q2873&amp;AS[[#This Row],[Large Provider Entity Code]]&amp;"; "&amp;R2873&amp;AS[[#This Row],[Age Band Code]]&amp;"; "&amp;S2873&amp;AS[[#This Row],[Sex Code]]</f>
        <v xml:space="preserve">Insurer Code ; Reporting Year ; Insurance Category Code ; Large Provider Entity Code ; Age Band Code ; Sex Code </v>
      </c>
      <c r="N2873" s="345" t="s">
        <v>207</v>
      </c>
      <c r="O2873" s="345" t="s">
        <v>208</v>
      </c>
      <c r="P2873" s="345" t="s">
        <v>209</v>
      </c>
      <c r="Q2873" s="345" t="s">
        <v>210</v>
      </c>
      <c r="R2873" s="345" t="s">
        <v>223</v>
      </c>
      <c r="S2873" s="345" t="s">
        <v>224</v>
      </c>
    </row>
    <row r="2874" spans="1:19" x14ac:dyDescent="0.25">
      <c r="A2874" s="311"/>
      <c r="B2874" s="312"/>
      <c r="C2874" s="312"/>
      <c r="D2874" s="312"/>
      <c r="E2874" s="312"/>
      <c r="F2874" s="312"/>
      <c r="G2874" s="328"/>
      <c r="H2874" s="337"/>
      <c r="I2874" s="334"/>
      <c r="J2874" s="314"/>
      <c r="K2874" s="449"/>
      <c r="M2874" s="349" t="str">
        <f>N2874&amp;AS[[#This Row],[Insurer Code]]&amp;"; "&amp;O2874&amp;AS[[#This Row],[Reporting Year]]&amp;"; "&amp;P2874&amp;AS[[#This Row],[Insurance Category Code]]&amp;"; "&amp;Q2874&amp;AS[[#This Row],[Large Provider Entity Code]]&amp;"; "&amp;R2874&amp;AS[[#This Row],[Age Band Code]]&amp;"; "&amp;S2874&amp;AS[[#This Row],[Sex Code]]</f>
        <v xml:space="preserve">Insurer Code ; Reporting Year ; Insurance Category Code ; Large Provider Entity Code ; Age Band Code ; Sex Code </v>
      </c>
      <c r="N2874" s="345" t="s">
        <v>207</v>
      </c>
      <c r="O2874" s="345" t="s">
        <v>208</v>
      </c>
      <c r="P2874" s="345" t="s">
        <v>209</v>
      </c>
      <c r="Q2874" s="345" t="s">
        <v>210</v>
      </c>
      <c r="R2874" s="345" t="s">
        <v>223</v>
      </c>
      <c r="S2874" s="345" t="s">
        <v>224</v>
      </c>
    </row>
    <row r="2875" spans="1:19" x14ac:dyDescent="0.25">
      <c r="A2875" s="311"/>
      <c r="B2875" s="312"/>
      <c r="C2875" s="312"/>
      <c r="D2875" s="312"/>
      <c r="E2875" s="312"/>
      <c r="F2875" s="312"/>
      <c r="G2875" s="328"/>
      <c r="H2875" s="337"/>
      <c r="I2875" s="334"/>
      <c r="J2875" s="314"/>
      <c r="K2875" s="449"/>
      <c r="M2875" s="349" t="str">
        <f>N2875&amp;AS[[#This Row],[Insurer Code]]&amp;"; "&amp;O2875&amp;AS[[#This Row],[Reporting Year]]&amp;"; "&amp;P2875&amp;AS[[#This Row],[Insurance Category Code]]&amp;"; "&amp;Q2875&amp;AS[[#This Row],[Large Provider Entity Code]]&amp;"; "&amp;R2875&amp;AS[[#This Row],[Age Band Code]]&amp;"; "&amp;S2875&amp;AS[[#This Row],[Sex Code]]</f>
        <v xml:space="preserve">Insurer Code ; Reporting Year ; Insurance Category Code ; Large Provider Entity Code ; Age Band Code ; Sex Code </v>
      </c>
      <c r="N2875" s="345" t="s">
        <v>207</v>
      </c>
      <c r="O2875" s="345" t="s">
        <v>208</v>
      </c>
      <c r="P2875" s="345" t="s">
        <v>209</v>
      </c>
      <c r="Q2875" s="345" t="s">
        <v>210</v>
      </c>
      <c r="R2875" s="345" t="s">
        <v>223</v>
      </c>
      <c r="S2875" s="345" t="s">
        <v>224</v>
      </c>
    </row>
    <row r="2876" spans="1:19" x14ac:dyDescent="0.25">
      <c r="A2876" s="311"/>
      <c r="B2876" s="312"/>
      <c r="C2876" s="312"/>
      <c r="D2876" s="312"/>
      <c r="E2876" s="312"/>
      <c r="F2876" s="312"/>
      <c r="G2876" s="328"/>
      <c r="H2876" s="337"/>
      <c r="I2876" s="334"/>
      <c r="J2876" s="314"/>
      <c r="K2876" s="449"/>
      <c r="M2876" s="349" t="str">
        <f>N2876&amp;AS[[#This Row],[Insurer Code]]&amp;"; "&amp;O2876&amp;AS[[#This Row],[Reporting Year]]&amp;"; "&amp;P2876&amp;AS[[#This Row],[Insurance Category Code]]&amp;"; "&amp;Q2876&amp;AS[[#This Row],[Large Provider Entity Code]]&amp;"; "&amp;R2876&amp;AS[[#This Row],[Age Band Code]]&amp;"; "&amp;S2876&amp;AS[[#This Row],[Sex Code]]</f>
        <v xml:space="preserve">Insurer Code ; Reporting Year ; Insurance Category Code ; Large Provider Entity Code ; Age Band Code ; Sex Code </v>
      </c>
      <c r="N2876" s="345" t="s">
        <v>207</v>
      </c>
      <c r="O2876" s="345" t="s">
        <v>208</v>
      </c>
      <c r="P2876" s="345" t="s">
        <v>209</v>
      </c>
      <c r="Q2876" s="345" t="s">
        <v>210</v>
      </c>
      <c r="R2876" s="345" t="s">
        <v>223</v>
      </c>
      <c r="S2876" s="345" t="s">
        <v>224</v>
      </c>
    </row>
    <row r="2877" spans="1:19" x14ac:dyDescent="0.25">
      <c r="A2877" s="311"/>
      <c r="B2877" s="312"/>
      <c r="C2877" s="312"/>
      <c r="D2877" s="312"/>
      <c r="E2877" s="312"/>
      <c r="F2877" s="312"/>
      <c r="G2877" s="328"/>
      <c r="H2877" s="337"/>
      <c r="I2877" s="334"/>
      <c r="J2877" s="314"/>
      <c r="K2877" s="449"/>
      <c r="M2877" s="349" t="str">
        <f>N2877&amp;AS[[#This Row],[Insurer Code]]&amp;"; "&amp;O2877&amp;AS[[#This Row],[Reporting Year]]&amp;"; "&amp;P2877&amp;AS[[#This Row],[Insurance Category Code]]&amp;"; "&amp;Q2877&amp;AS[[#This Row],[Large Provider Entity Code]]&amp;"; "&amp;R2877&amp;AS[[#This Row],[Age Band Code]]&amp;"; "&amp;S2877&amp;AS[[#This Row],[Sex Code]]</f>
        <v xml:space="preserve">Insurer Code ; Reporting Year ; Insurance Category Code ; Large Provider Entity Code ; Age Band Code ; Sex Code </v>
      </c>
      <c r="N2877" s="345" t="s">
        <v>207</v>
      </c>
      <c r="O2877" s="345" t="s">
        <v>208</v>
      </c>
      <c r="P2877" s="345" t="s">
        <v>209</v>
      </c>
      <c r="Q2877" s="345" t="s">
        <v>210</v>
      </c>
      <c r="R2877" s="345" t="s">
        <v>223</v>
      </c>
      <c r="S2877" s="345" t="s">
        <v>224</v>
      </c>
    </row>
    <row r="2878" spans="1:19" x14ac:dyDescent="0.25">
      <c r="A2878" s="311"/>
      <c r="B2878" s="312"/>
      <c r="C2878" s="312"/>
      <c r="D2878" s="312"/>
      <c r="E2878" s="312"/>
      <c r="F2878" s="312"/>
      <c r="G2878" s="328"/>
      <c r="H2878" s="337"/>
      <c r="I2878" s="334"/>
      <c r="J2878" s="314"/>
      <c r="K2878" s="449"/>
      <c r="M2878" s="349" t="str">
        <f>N2878&amp;AS[[#This Row],[Insurer Code]]&amp;"; "&amp;O2878&amp;AS[[#This Row],[Reporting Year]]&amp;"; "&amp;P2878&amp;AS[[#This Row],[Insurance Category Code]]&amp;"; "&amp;Q2878&amp;AS[[#This Row],[Large Provider Entity Code]]&amp;"; "&amp;R2878&amp;AS[[#This Row],[Age Band Code]]&amp;"; "&amp;S2878&amp;AS[[#This Row],[Sex Code]]</f>
        <v xml:space="preserve">Insurer Code ; Reporting Year ; Insurance Category Code ; Large Provider Entity Code ; Age Band Code ; Sex Code </v>
      </c>
      <c r="N2878" s="345" t="s">
        <v>207</v>
      </c>
      <c r="O2878" s="345" t="s">
        <v>208</v>
      </c>
      <c r="P2878" s="345" t="s">
        <v>209</v>
      </c>
      <c r="Q2878" s="345" t="s">
        <v>210</v>
      </c>
      <c r="R2878" s="345" t="s">
        <v>223</v>
      </c>
      <c r="S2878" s="345" t="s">
        <v>224</v>
      </c>
    </row>
    <row r="2879" spans="1:19" x14ac:dyDescent="0.25">
      <c r="A2879" s="311"/>
      <c r="B2879" s="312"/>
      <c r="C2879" s="312"/>
      <c r="D2879" s="312"/>
      <c r="E2879" s="312"/>
      <c r="F2879" s="312"/>
      <c r="G2879" s="328"/>
      <c r="H2879" s="337"/>
      <c r="I2879" s="334"/>
      <c r="J2879" s="314"/>
      <c r="K2879" s="449"/>
      <c r="M2879" s="349" t="str">
        <f>N2879&amp;AS[[#This Row],[Insurer Code]]&amp;"; "&amp;O2879&amp;AS[[#This Row],[Reporting Year]]&amp;"; "&amp;P2879&amp;AS[[#This Row],[Insurance Category Code]]&amp;"; "&amp;Q2879&amp;AS[[#This Row],[Large Provider Entity Code]]&amp;"; "&amp;R2879&amp;AS[[#This Row],[Age Band Code]]&amp;"; "&amp;S2879&amp;AS[[#This Row],[Sex Code]]</f>
        <v xml:space="preserve">Insurer Code ; Reporting Year ; Insurance Category Code ; Large Provider Entity Code ; Age Band Code ; Sex Code </v>
      </c>
      <c r="N2879" s="345" t="s">
        <v>207</v>
      </c>
      <c r="O2879" s="345" t="s">
        <v>208</v>
      </c>
      <c r="P2879" s="345" t="s">
        <v>209</v>
      </c>
      <c r="Q2879" s="345" t="s">
        <v>210</v>
      </c>
      <c r="R2879" s="345" t="s">
        <v>223</v>
      </c>
      <c r="S2879" s="345" t="s">
        <v>224</v>
      </c>
    </row>
    <row r="2880" spans="1:19" x14ac:dyDescent="0.25">
      <c r="A2880" s="311"/>
      <c r="B2880" s="312"/>
      <c r="C2880" s="312"/>
      <c r="D2880" s="312"/>
      <c r="E2880" s="312"/>
      <c r="F2880" s="312"/>
      <c r="G2880" s="328"/>
      <c r="H2880" s="337"/>
      <c r="I2880" s="334"/>
      <c r="J2880" s="314"/>
      <c r="K2880" s="449"/>
      <c r="M2880" s="349" t="str">
        <f>N2880&amp;AS[[#This Row],[Insurer Code]]&amp;"; "&amp;O2880&amp;AS[[#This Row],[Reporting Year]]&amp;"; "&amp;P2880&amp;AS[[#This Row],[Insurance Category Code]]&amp;"; "&amp;Q2880&amp;AS[[#This Row],[Large Provider Entity Code]]&amp;"; "&amp;R2880&amp;AS[[#This Row],[Age Band Code]]&amp;"; "&amp;S2880&amp;AS[[#This Row],[Sex Code]]</f>
        <v xml:space="preserve">Insurer Code ; Reporting Year ; Insurance Category Code ; Large Provider Entity Code ; Age Band Code ; Sex Code </v>
      </c>
      <c r="N2880" s="345" t="s">
        <v>207</v>
      </c>
      <c r="O2880" s="345" t="s">
        <v>208</v>
      </c>
      <c r="P2880" s="345" t="s">
        <v>209</v>
      </c>
      <c r="Q2880" s="345" t="s">
        <v>210</v>
      </c>
      <c r="R2880" s="345" t="s">
        <v>223</v>
      </c>
      <c r="S2880" s="345" t="s">
        <v>224</v>
      </c>
    </row>
    <row r="2881" spans="1:19" x14ac:dyDescent="0.25">
      <c r="A2881" s="311"/>
      <c r="B2881" s="312"/>
      <c r="C2881" s="312"/>
      <c r="D2881" s="312"/>
      <c r="E2881" s="312"/>
      <c r="F2881" s="312"/>
      <c r="G2881" s="328"/>
      <c r="H2881" s="337"/>
      <c r="I2881" s="334"/>
      <c r="J2881" s="314"/>
      <c r="K2881" s="449"/>
      <c r="M2881" s="349" t="str">
        <f>N2881&amp;AS[[#This Row],[Insurer Code]]&amp;"; "&amp;O2881&amp;AS[[#This Row],[Reporting Year]]&amp;"; "&amp;P2881&amp;AS[[#This Row],[Insurance Category Code]]&amp;"; "&amp;Q2881&amp;AS[[#This Row],[Large Provider Entity Code]]&amp;"; "&amp;R2881&amp;AS[[#This Row],[Age Band Code]]&amp;"; "&amp;S2881&amp;AS[[#This Row],[Sex Code]]</f>
        <v xml:space="preserve">Insurer Code ; Reporting Year ; Insurance Category Code ; Large Provider Entity Code ; Age Band Code ; Sex Code </v>
      </c>
      <c r="N2881" s="345" t="s">
        <v>207</v>
      </c>
      <c r="O2881" s="345" t="s">
        <v>208</v>
      </c>
      <c r="P2881" s="345" t="s">
        <v>209</v>
      </c>
      <c r="Q2881" s="345" t="s">
        <v>210</v>
      </c>
      <c r="R2881" s="345" t="s">
        <v>223</v>
      </c>
      <c r="S2881" s="345" t="s">
        <v>224</v>
      </c>
    </row>
    <row r="2882" spans="1:19" x14ac:dyDescent="0.25">
      <c r="A2882" s="311"/>
      <c r="B2882" s="312"/>
      <c r="C2882" s="312"/>
      <c r="D2882" s="312"/>
      <c r="E2882" s="312"/>
      <c r="F2882" s="312"/>
      <c r="G2882" s="328"/>
      <c r="H2882" s="337"/>
      <c r="I2882" s="334"/>
      <c r="J2882" s="314"/>
      <c r="K2882" s="449"/>
      <c r="M2882" s="349" t="str">
        <f>N2882&amp;AS[[#This Row],[Insurer Code]]&amp;"; "&amp;O2882&amp;AS[[#This Row],[Reporting Year]]&amp;"; "&amp;P2882&amp;AS[[#This Row],[Insurance Category Code]]&amp;"; "&amp;Q2882&amp;AS[[#This Row],[Large Provider Entity Code]]&amp;"; "&amp;R2882&amp;AS[[#This Row],[Age Band Code]]&amp;"; "&amp;S2882&amp;AS[[#This Row],[Sex Code]]</f>
        <v xml:space="preserve">Insurer Code ; Reporting Year ; Insurance Category Code ; Large Provider Entity Code ; Age Band Code ; Sex Code </v>
      </c>
      <c r="N2882" s="345" t="s">
        <v>207</v>
      </c>
      <c r="O2882" s="345" t="s">
        <v>208</v>
      </c>
      <c r="P2882" s="345" t="s">
        <v>209</v>
      </c>
      <c r="Q2882" s="345" t="s">
        <v>210</v>
      </c>
      <c r="R2882" s="345" t="s">
        <v>223</v>
      </c>
      <c r="S2882" s="345" t="s">
        <v>224</v>
      </c>
    </row>
    <row r="2883" spans="1:19" x14ac:dyDescent="0.25">
      <c r="A2883" s="311"/>
      <c r="B2883" s="312"/>
      <c r="C2883" s="312"/>
      <c r="D2883" s="312"/>
      <c r="E2883" s="312"/>
      <c r="F2883" s="312"/>
      <c r="G2883" s="328"/>
      <c r="H2883" s="337"/>
      <c r="I2883" s="334"/>
      <c r="J2883" s="314"/>
      <c r="K2883" s="449"/>
      <c r="M2883" s="349" t="str">
        <f>N2883&amp;AS[[#This Row],[Insurer Code]]&amp;"; "&amp;O2883&amp;AS[[#This Row],[Reporting Year]]&amp;"; "&amp;P2883&amp;AS[[#This Row],[Insurance Category Code]]&amp;"; "&amp;Q2883&amp;AS[[#This Row],[Large Provider Entity Code]]&amp;"; "&amp;R2883&amp;AS[[#This Row],[Age Band Code]]&amp;"; "&amp;S2883&amp;AS[[#This Row],[Sex Code]]</f>
        <v xml:space="preserve">Insurer Code ; Reporting Year ; Insurance Category Code ; Large Provider Entity Code ; Age Band Code ; Sex Code </v>
      </c>
      <c r="N2883" s="345" t="s">
        <v>207</v>
      </c>
      <c r="O2883" s="345" t="s">
        <v>208</v>
      </c>
      <c r="P2883" s="345" t="s">
        <v>209</v>
      </c>
      <c r="Q2883" s="345" t="s">
        <v>210</v>
      </c>
      <c r="R2883" s="345" t="s">
        <v>223</v>
      </c>
      <c r="S2883" s="345" t="s">
        <v>224</v>
      </c>
    </row>
    <row r="2884" spans="1:19" x14ac:dyDescent="0.25">
      <c r="A2884" s="311"/>
      <c r="B2884" s="312"/>
      <c r="C2884" s="312"/>
      <c r="D2884" s="312"/>
      <c r="E2884" s="312"/>
      <c r="F2884" s="312"/>
      <c r="G2884" s="328"/>
      <c r="H2884" s="337"/>
      <c r="I2884" s="334"/>
      <c r="J2884" s="314"/>
      <c r="K2884" s="449"/>
      <c r="M2884" s="349" t="str">
        <f>N2884&amp;AS[[#This Row],[Insurer Code]]&amp;"; "&amp;O2884&amp;AS[[#This Row],[Reporting Year]]&amp;"; "&amp;P2884&amp;AS[[#This Row],[Insurance Category Code]]&amp;"; "&amp;Q2884&amp;AS[[#This Row],[Large Provider Entity Code]]&amp;"; "&amp;R2884&amp;AS[[#This Row],[Age Band Code]]&amp;"; "&amp;S2884&amp;AS[[#This Row],[Sex Code]]</f>
        <v xml:space="preserve">Insurer Code ; Reporting Year ; Insurance Category Code ; Large Provider Entity Code ; Age Band Code ; Sex Code </v>
      </c>
      <c r="N2884" s="345" t="s">
        <v>207</v>
      </c>
      <c r="O2884" s="345" t="s">
        <v>208</v>
      </c>
      <c r="P2884" s="345" t="s">
        <v>209</v>
      </c>
      <c r="Q2884" s="345" t="s">
        <v>210</v>
      </c>
      <c r="R2884" s="345" t="s">
        <v>223</v>
      </c>
      <c r="S2884" s="345" t="s">
        <v>224</v>
      </c>
    </row>
    <row r="2885" spans="1:19" x14ac:dyDescent="0.25">
      <c r="A2885" s="311"/>
      <c r="B2885" s="312"/>
      <c r="C2885" s="312"/>
      <c r="D2885" s="312"/>
      <c r="E2885" s="312"/>
      <c r="F2885" s="312"/>
      <c r="G2885" s="328"/>
      <c r="H2885" s="337"/>
      <c r="I2885" s="334"/>
      <c r="J2885" s="314"/>
      <c r="K2885" s="449"/>
      <c r="M2885" s="349" t="str">
        <f>N2885&amp;AS[[#This Row],[Insurer Code]]&amp;"; "&amp;O2885&amp;AS[[#This Row],[Reporting Year]]&amp;"; "&amp;P2885&amp;AS[[#This Row],[Insurance Category Code]]&amp;"; "&amp;Q2885&amp;AS[[#This Row],[Large Provider Entity Code]]&amp;"; "&amp;R2885&amp;AS[[#This Row],[Age Band Code]]&amp;"; "&amp;S2885&amp;AS[[#This Row],[Sex Code]]</f>
        <v xml:space="preserve">Insurer Code ; Reporting Year ; Insurance Category Code ; Large Provider Entity Code ; Age Band Code ; Sex Code </v>
      </c>
      <c r="N2885" s="345" t="s">
        <v>207</v>
      </c>
      <c r="O2885" s="345" t="s">
        <v>208</v>
      </c>
      <c r="P2885" s="345" t="s">
        <v>209</v>
      </c>
      <c r="Q2885" s="345" t="s">
        <v>210</v>
      </c>
      <c r="R2885" s="345" t="s">
        <v>223</v>
      </c>
      <c r="S2885" s="345" t="s">
        <v>224</v>
      </c>
    </row>
    <row r="2886" spans="1:19" x14ac:dyDescent="0.25">
      <c r="A2886" s="311"/>
      <c r="B2886" s="312"/>
      <c r="C2886" s="312"/>
      <c r="D2886" s="312"/>
      <c r="E2886" s="312"/>
      <c r="F2886" s="312"/>
      <c r="G2886" s="328"/>
      <c r="H2886" s="337"/>
      <c r="I2886" s="334"/>
      <c r="J2886" s="314"/>
      <c r="K2886" s="449"/>
      <c r="M2886" s="349" t="str">
        <f>N2886&amp;AS[[#This Row],[Insurer Code]]&amp;"; "&amp;O2886&amp;AS[[#This Row],[Reporting Year]]&amp;"; "&amp;P2886&amp;AS[[#This Row],[Insurance Category Code]]&amp;"; "&amp;Q2886&amp;AS[[#This Row],[Large Provider Entity Code]]&amp;"; "&amp;R2886&amp;AS[[#This Row],[Age Band Code]]&amp;"; "&amp;S2886&amp;AS[[#This Row],[Sex Code]]</f>
        <v xml:space="preserve">Insurer Code ; Reporting Year ; Insurance Category Code ; Large Provider Entity Code ; Age Band Code ; Sex Code </v>
      </c>
      <c r="N2886" s="345" t="s">
        <v>207</v>
      </c>
      <c r="O2886" s="345" t="s">
        <v>208</v>
      </c>
      <c r="P2886" s="345" t="s">
        <v>209</v>
      </c>
      <c r="Q2886" s="345" t="s">
        <v>210</v>
      </c>
      <c r="R2886" s="345" t="s">
        <v>223</v>
      </c>
      <c r="S2886" s="345" t="s">
        <v>224</v>
      </c>
    </row>
    <row r="2887" spans="1:19" x14ac:dyDescent="0.25">
      <c r="A2887" s="311"/>
      <c r="B2887" s="312"/>
      <c r="C2887" s="312"/>
      <c r="D2887" s="312"/>
      <c r="E2887" s="312"/>
      <c r="F2887" s="312"/>
      <c r="G2887" s="328"/>
      <c r="H2887" s="337"/>
      <c r="I2887" s="334"/>
      <c r="J2887" s="314"/>
      <c r="K2887" s="449"/>
      <c r="M2887" s="349" t="str">
        <f>N2887&amp;AS[[#This Row],[Insurer Code]]&amp;"; "&amp;O2887&amp;AS[[#This Row],[Reporting Year]]&amp;"; "&amp;P2887&amp;AS[[#This Row],[Insurance Category Code]]&amp;"; "&amp;Q2887&amp;AS[[#This Row],[Large Provider Entity Code]]&amp;"; "&amp;R2887&amp;AS[[#This Row],[Age Band Code]]&amp;"; "&amp;S2887&amp;AS[[#This Row],[Sex Code]]</f>
        <v xml:space="preserve">Insurer Code ; Reporting Year ; Insurance Category Code ; Large Provider Entity Code ; Age Band Code ; Sex Code </v>
      </c>
      <c r="N2887" s="345" t="s">
        <v>207</v>
      </c>
      <c r="O2887" s="345" t="s">
        <v>208</v>
      </c>
      <c r="P2887" s="345" t="s">
        <v>209</v>
      </c>
      <c r="Q2887" s="345" t="s">
        <v>210</v>
      </c>
      <c r="R2887" s="345" t="s">
        <v>223</v>
      </c>
      <c r="S2887" s="345" t="s">
        <v>224</v>
      </c>
    </row>
    <row r="2888" spans="1:19" x14ac:dyDescent="0.25">
      <c r="A2888" s="311"/>
      <c r="B2888" s="312"/>
      <c r="C2888" s="312"/>
      <c r="D2888" s="312"/>
      <c r="E2888" s="312"/>
      <c r="F2888" s="312"/>
      <c r="G2888" s="328"/>
      <c r="H2888" s="337"/>
      <c r="I2888" s="334"/>
      <c r="J2888" s="314"/>
      <c r="K2888" s="449"/>
      <c r="M2888" s="349" t="str">
        <f>N2888&amp;AS[[#This Row],[Insurer Code]]&amp;"; "&amp;O2888&amp;AS[[#This Row],[Reporting Year]]&amp;"; "&amp;P2888&amp;AS[[#This Row],[Insurance Category Code]]&amp;"; "&amp;Q2888&amp;AS[[#This Row],[Large Provider Entity Code]]&amp;"; "&amp;R2888&amp;AS[[#This Row],[Age Band Code]]&amp;"; "&amp;S2888&amp;AS[[#This Row],[Sex Code]]</f>
        <v xml:space="preserve">Insurer Code ; Reporting Year ; Insurance Category Code ; Large Provider Entity Code ; Age Band Code ; Sex Code </v>
      </c>
      <c r="N2888" s="345" t="s">
        <v>207</v>
      </c>
      <c r="O2888" s="345" t="s">
        <v>208</v>
      </c>
      <c r="P2888" s="345" t="s">
        <v>209</v>
      </c>
      <c r="Q2888" s="345" t="s">
        <v>210</v>
      </c>
      <c r="R2888" s="345" t="s">
        <v>223</v>
      </c>
      <c r="S2888" s="345" t="s">
        <v>224</v>
      </c>
    </row>
    <row r="2889" spans="1:19" x14ac:dyDescent="0.25">
      <c r="A2889" s="311"/>
      <c r="B2889" s="312"/>
      <c r="C2889" s="312"/>
      <c r="D2889" s="312"/>
      <c r="E2889" s="312"/>
      <c r="F2889" s="312"/>
      <c r="G2889" s="328"/>
      <c r="H2889" s="337"/>
      <c r="I2889" s="334"/>
      <c r="J2889" s="314"/>
      <c r="K2889" s="449"/>
      <c r="M2889" s="349" t="str">
        <f>N2889&amp;AS[[#This Row],[Insurer Code]]&amp;"; "&amp;O2889&amp;AS[[#This Row],[Reporting Year]]&amp;"; "&amp;P2889&amp;AS[[#This Row],[Insurance Category Code]]&amp;"; "&amp;Q2889&amp;AS[[#This Row],[Large Provider Entity Code]]&amp;"; "&amp;R2889&amp;AS[[#This Row],[Age Band Code]]&amp;"; "&amp;S2889&amp;AS[[#This Row],[Sex Code]]</f>
        <v xml:space="preserve">Insurer Code ; Reporting Year ; Insurance Category Code ; Large Provider Entity Code ; Age Band Code ; Sex Code </v>
      </c>
      <c r="N2889" s="345" t="s">
        <v>207</v>
      </c>
      <c r="O2889" s="345" t="s">
        <v>208</v>
      </c>
      <c r="P2889" s="345" t="s">
        <v>209</v>
      </c>
      <c r="Q2889" s="345" t="s">
        <v>210</v>
      </c>
      <c r="R2889" s="345" t="s">
        <v>223</v>
      </c>
      <c r="S2889" s="345" t="s">
        <v>224</v>
      </c>
    </row>
    <row r="2890" spans="1:19" x14ac:dyDescent="0.25">
      <c r="A2890" s="311"/>
      <c r="B2890" s="312"/>
      <c r="C2890" s="312"/>
      <c r="D2890" s="312"/>
      <c r="E2890" s="312"/>
      <c r="F2890" s="312"/>
      <c r="G2890" s="328"/>
      <c r="H2890" s="337"/>
      <c r="I2890" s="334"/>
      <c r="J2890" s="314"/>
      <c r="K2890" s="449"/>
      <c r="M2890" s="349" t="str">
        <f>N2890&amp;AS[[#This Row],[Insurer Code]]&amp;"; "&amp;O2890&amp;AS[[#This Row],[Reporting Year]]&amp;"; "&amp;P2890&amp;AS[[#This Row],[Insurance Category Code]]&amp;"; "&amp;Q2890&amp;AS[[#This Row],[Large Provider Entity Code]]&amp;"; "&amp;R2890&amp;AS[[#This Row],[Age Band Code]]&amp;"; "&amp;S2890&amp;AS[[#This Row],[Sex Code]]</f>
        <v xml:space="preserve">Insurer Code ; Reporting Year ; Insurance Category Code ; Large Provider Entity Code ; Age Band Code ; Sex Code </v>
      </c>
      <c r="N2890" s="345" t="s">
        <v>207</v>
      </c>
      <c r="O2890" s="345" t="s">
        <v>208</v>
      </c>
      <c r="P2890" s="345" t="s">
        <v>209</v>
      </c>
      <c r="Q2890" s="345" t="s">
        <v>210</v>
      </c>
      <c r="R2890" s="345" t="s">
        <v>223</v>
      </c>
      <c r="S2890" s="345" t="s">
        <v>224</v>
      </c>
    </row>
    <row r="2891" spans="1:19" x14ac:dyDescent="0.25">
      <c r="A2891" s="311"/>
      <c r="B2891" s="312"/>
      <c r="C2891" s="312"/>
      <c r="D2891" s="312"/>
      <c r="E2891" s="312"/>
      <c r="F2891" s="312"/>
      <c r="G2891" s="328"/>
      <c r="H2891" s="337"/>
      <c r="I2891" s="334"/>
      <c r="J2891" s="314"/>
      <c r="K2891" s="449"/>
      <c r="M2891" s="349" t="str">
        <f>N2891&amp;AS[[#This Row],[Insurer Code]]&amp;"; "&amp;O2891&amp;AS[[#This Row],[Reporting Year]]&amp;"; "&amp;P2891&amp;AS[[#This Row],[Insurance Category Code]]&amp;"; "&amp;Q2891&amp;AS[[#This Row],[Large Provider Entity Code]]&amp;"; "&amp;R2891&amp;AS[[#This Row],[Age Band Code]]&amp;"; "&amp;S2891&amp;AS[[#This Row],[Sex Code]]</f>
        <v xml:space="preserve">Insurer Code ; Reporting Year ; Insurance Category Code ; Large Provider Entity Code ; Age Band Code ; Sex Code </v>
      </c>
      <c r="N2891" s="345" t="s">
        <v>207</v>
      </c>
      <c r="O2891" s="345" t="s">
        <v>208</v>
      </c>
      <c r="P2891" s="345" t="s">
        <v>209</v>
      </c>
      <c r="Q2891" s="345" t="s">
        <v>210</v>
      </c>
      <c r="R2891" s="345" t="s">
        <v>223</v>
      </c>
      <c r="S2891" s="345" t="s">
        <v>224</v>
      </c>
    </row>
    <row r="2892" spans="1:19" x14ac:dyDescent="0.25">
      <c r="A2892" s="311"/>
      <c r="B2892" s="312"/>
      <c r="C2892" s="312"/>
      <c r="D2892" s="312"/>
      <c r="E2892" s="312"/>
      <c r="F2892" s="312"/>
      <c r="G2892" s="328"/>
      <c r="H2892" s="337"/>
      <c r="I2892" s="334"/>
      <c r="J2892" s="314"/>
      <c r="K2892" s="449"/>
      <c r="M2892" s="349" t="str">
        <f>N2892&amp;AS[[#This Row],[Insurer Code]]&amp;"; "&amp;O2892&amp;AS[[#This Row],[Reporting Year]]&amp;"; "&amp;P2892&amp;AS[[#This Row],[Insurance Category Code]]&amp;"; "&amp;Q2892&amp;AS[[#This Row],[Large Provider Entity Code]]&amp;"; "&amp;R2892&amp;AS[[#This Row],[Age Band Code]]&amp;"; "&amp;S2892&amp;AS[[#This Row],[Sex Code]]</f>
        <v xml:space="preserve">Insurer Code ; Reporting Year ; Insurance Category Code ; Large Provider Entity Code ; Age Band Code ; Sex Code </v>
      </c>
      <c r="N2892" s="345" t="s">
        <v>207</v>
      </c>
      <c r="O2892" s="345" t="s">
        <v>208</v>
      </c>
      <c r="P2892" s="345" t="s">
        <v>209</v>
      </c>
      <c r="Q2892" s="345" t="s">
        <v>210</v>
      </c>
      <c r="R2892" s="345" t="s">
        <v>223</v>
      </c>
      <c r="S2892" s="345" t="s">
        <v>224</v>
      </c>
    </row>
    <row r="2893" spans="1:19" x14ac:dyDescent="0.25">
      <c r="A2893" s="311"/>
      <c r="B2893" s="312"/>
      <c r="C2893" s="312"/>
      <c r="D2893" s="312"/>
      <c r="E2893" s="312"/>
      <c r="F2893" s="312"/>
      <c r="G2893" s="328"/>
      <c r="H2893" s="337"/>
      <c r="I2893" s="334"/>
      <c r="J2893" s="314"/>
      <c r="K2893" s="449"/>
      <c r="M2893" s="349" t="str">
        <f>N2893&amp;AS[[#This Row],[Insurer Code]]&amp;"; "&amp;O2893&amp;AS[[#This Row],[Reporting Year]]&amp;"; "&amp;P2893&amp;AS[[#This Row],[Insurance Category Code]]&amp;"; "&amp;Q2893&amp;AS[[#This Row],[Large Provider Entity Code]]&amp;"; "&amp;R2893&amp;AS[[#This Row],[Age Band Code]]&amp;"; "&amp;S2893&amp;AS[[#This Row],[Sex Code]]</f>
        <v xml:space="preserve">Insurer Code ; Reporting Year ; Insurance Category Code ; Large Provider Entity Code ; Age Band Code ; Sex Code </v>
      </c>
      <c r="N2893" s="345" t="s">
        <v>207</v>
      </c>
      <c r="O2893" s="345" t="s">
        <v>208</v>
      </c>
      <c r="P2893" s="345" t="s">
        <v>209</v>
      </c>
      <c r="Q2893" s="345" t="s">
        <v>210</v>
      </c>
      <c r="R2893" s="345" t="s">
        <v>223</v>
      </c>
      <c r="S2893" s="345" t="s">
        <v>224</v>
      </c>
    </row>
    <row r="2894" spans="1:19" x14ac:dyDescent="0.25">
      <c r="A2894" s="311"/>
      <c r="B2894" s="312"/>
      <c r="C2894" s="312"/>
      <c r="D2894" s="312"/>
      <c r="E2894" s="312"/>
      <c r="F2894" s="312"/>
      <c r="G2894" s="328"/>
      <c r="H2894" s="337"/>
      <c r="I2894" s="334"/>
      <c r="J2894" s="314"/>
      <c r="K2894" s="449"/>
      <c r="M2894" s="349" t="str">
        <f>N2894&amp;AS[[#This Row],[Insurer Code]]&amp;"; "&amp;O2894&amp;AS[[#This Row],[Reporting Year]]&amp;"; "&amp;P2894&amp;AS[[#This Row],[Insurance Category Code]]&amp;"; "&amp;Q2894&amp;AS[[#This Row],[Large Provider Entity Code]]&amp;"; "&amp;R2894&amp;AS[[#This Row],[Age Band Code]]&amp;"; "&amp;S2894&amp;AS[[#This Row],[Sex Code]]</f>
        <v xml:space="preserve">Insurer Code ; Reporting Year ; Insurance Category Code ; Large Provider Entity Code ; Age Band Code ; Sex Code </v>
      </c>
      <c r="N2894" s="345" t="s">
        <v>207</v>
      </c>
      <c r="O2894" s="345" t="s">
        <v>208</v>
      </c>
      <c r="P2894" s="345" t="s">
        <v>209</v>
      </c>
      <c r="Q2894" s="345" t="s">
        <v>210</v>
      </c>
      <c r="R2894" s="345" t="s">
        <v>223</v>
      </c>
      <c r="S2894" s="345" t="s">
        <v>224</v>
      </c>
    </row>
    <row r="2895" spans="1:19" x14ac:dyDescent="0.25">
      <c r="A2895" s="311"/>
      <c r="B2895" s="312"/>
      <c r="C2895" s="312"/>
      <c r="D2895" s="312"/>
      <c r="E2895" s="312"/>
      <c r="F2895" s="312"/>
      <c r="G2895" s="328"/>
      <c r="H2895" s="337"/>
      <c r="I2895" s="334"/>
      <c r="J2895" s="314"/>
      <c r="K2895" s="449"/>
      <c r="M2895" s="349" t="str">
        <f>N2895&amp;AS[[#This Row],[Insurer Code]]&amp;"; "&amp;O2895&amp;AS[[#This Row],[Reporting Year]]&amp;"; "&amp;P2895&amp;AS[[#This Row],[Insurance Category Code]]&amp;"; "&amp;Q2895&amp;AS[[#This Row],[Large Provider Entity Code]]&amp;"; "&amp;R2895&amp;AS[[#This Row],[Age Band Code]]&amp;"; "&amp;S2895&amp;AS[[#This Row],[Sex Code]]</f>
        <v xml:space="preserve">Insurer Code ; Reporting Year ; Insurance Category Code ; Large Provider Entity Code ; Age Band Code ; Sex Code </v>
      </c>
      <c r="N2895" s="345" t="s">
        <v>207</v>
      </c>
      <c r="O2895" s="345" t="s">
        <v>208</v>
      </c>
      <c r="P2895" s="345" t="s">
        <v>209</v>
      </c>
      <c r="Q2895" s="345" t="s">
        <v>210</v>
      </c>
      <c r="R2895" s="345" t="s">
        <v>223</v>
      </c>
      <c r="S2895" s="345" t="s">
        <v>224</v>
      </c>
    </row>
    <row r="2896" spans="1:19" x14ac:dyDescent="0.25">
      <c r="A2896" s="311"/>
      <c r="B2896" s="312"/>
      <c r="C2896" s="312"/>
      <c r="D2896" s="312"/>
      <c r="E2896" s="312"/>
      <c r="F2896" s="312"/>
      <c r="G2896" s="328"/>
      <c r="H2896" s="337"/>
      <c r="I2896" s="334"/>
      <c r="J2896" s="314"/>
      <c r="K2896" s="449"/>
      <c r="M2896" s="349" t="str">
        <f>N2896&amp;AS[[#This Row],[Insurer Code]]&amp;"; "&amp;O2896&amp;AS[[#This Row],[Reporting Year]]&amp;"; "&amp;P2896&amp;AS[[#This Row],[Insurance Category Code]]&amp;"; "&amp;Q2896&amp;AS[[#This Row],[Large Provider Entity Code]]&amp;"; "&amp;R2896&amp;AS[[#This Row],[Age Band Code]]&amp;"; "&amp;S2896&amp;AS[[#This Row],[Sex Code]]</f>
        <v xml:space="preserve">Insurer Code ; Reporting Year ; Insurance Category Code ; Large Provider Entity Code ; Age Band Code ; Sex Code </v>
      </c>
      <c r="N2896" s="345" t="s">
        <v>207</v>
      </c>
      <c r="O2896" s="345" t="s">
        <v>208</v>
      </c>
      <c r="P2896" s="345" t="s">
        <v>209</v>
      </c>
      <c r="Q2896" s="345" t="s">
        <v>210</v>
      </c>
      <c r="R2896" s="345" t="s">
        <v>223</v>
      </c>
      <c r="S2896" s="345" t="s">
        <v>224</v>
      </c>
    </row>
    <row r="2897" spans="1:19" x14ac:dyDescent="0.25">
      <c r="A2897" s="311"/>
      <c r="B2897" s="312"/>
      <c r="C2897" s="312"/>
      <c r="D2897" s="312"/>
      <c r="E2897" s="312"/>
      <c r="F2897" s="312"/>
      <c r="G2897" s="328"/>
      <c r="H2897" s="337"/>
      <c r="I2897" s="334"/>
      <c r="J2897" s="314"/>
      <c r="K2897" s="449"/>
      <c r="M2897" s="349" t="str">
        <f>N2897&amp;AS[[#This Row],[Insurer Code]]&amp;"; "&amp;O2897&amp;AS[[#This Row],[Reporting Year]]&amp;"; "&amp;P2897&amp;AS[[#This Row],[Insurance Category Code]]&amp;"; "&amp;Q2897&amp;AS[[#This Row],[Large Provider Entity Code]]&amp;"; "&amp;R2897&amp;AS[[#This Row],[Age Band Code]]&amp;"; "&amp;S2897&amp;AS[[#This Row],[Sex Code]]</f>
        <v xml:space="preserve">Insurer Code ; Reporting Year ; Insurance Category Code ; Large Provider Entity Code ; Age Band Code ; Sex Code </v>
      </c>
      <c r="N2897" s="345" t="s">
        <v>207</v>
      </c>
      <c r="O2897" s="345" t="s">
        <v>208</v>
      </c>
      <c r="P2897" s="345" t="s">
        <v>209</v>
      </c>
      <c r="Q2897" s="345" t="s">
        <v>210</v>
      </c>
      <c r="R2897" s="345" t="s">
        <v>223</v>
      </c>
      <c r="S2897" s="345" t="s">
        <v>224</v>
      </c>
    </row>
    <row r="2898" spans="1:19" x14ac:dyDescent="0.25">
      <c r="A2898" s="311"/>
      <c r="B2898" s="312"/>
      <c r="C2898" s="312"/>
      <c r="D2898" s="312"/>
      <c r="E2898" s="312"/>
      <c r="F2898" s="312"/>
      <c r="G2898" s="328"/>
      <c r="H2898" s="337"/>
      <c r="I2898" s="334"/>
      <c r="J2898" s="314"/>
      <c r="K2898" s="449"/>
      <c r="M2898" s="349" t="str">
        <f>N2898&amp;AS[[#This Row],[Insurer Code]]&amp;"; "&amp;O2898&amp;AS[[#This Row],[Reporting Year]]&amp;"; "&amp;P2898&amp;AS[[#This Row],[Insurance Category Code]]&amp;"; "&amp;Q2898&amp;AS[[#This Row],[Large Provider Entity Code]]&amp;"; "&amp;R2898&amp;AS[[#This Row],[Age Band Code]]&amp;"; "&amp;S2898&amp;AS[[#This Row],[Sex Code]]</f>
        <v xml:space="preserve">Insurer Code ; Reporting Year ; Insurance Category Code ; Large Provider Entity Code ; Age Band Code ; Sex Code </v>
      </c>
      <c r="N2898" s="345" t="s">
        <v>207</v>
      </c>
      <c r="O2898" s="345" t="s">
        <v>208</v>
      </c>
      <c r="P2898" s="345" t="s">
        <v>209</v>
      </c>
      <c r="Q2898" s="345" t="s">
        <v>210</v>
      </c>
      <c r="R2898" s="345" t="s">
        <v>223</v>
      </c>
      <c r="S2898" s="345" t="s">
        <v>224</v>
      </c>
    </row>
    <row r="2899" spans="1:19" x14ac:dyDescent="0.25">
      <c r="A2899" s="311"/>
      <c r="B2899" s="312"/>
      <c r="C2899" s="312"/>
      <c r="D2899" s="312"/>
      <c r="E2899" s="312"/>
      <c r="F2899" s="312"/>
      <c r="G2899" s="328"/>
      <c r="H2899" s="337"/>
      <c r="I2899" s="334"/>
      <c r="J2899" s="314"/>
      <c r="K2899" s="449"/>
      <c r="M2899" s="349" t="str">
        <f>N2899&amp;AS[[#This Row],[Insurer Code]]&amp;"; "&amp;O2899&amp;AS[[#This Row],[Reporting Year]]&amp;"; "&amp;P2899&amp;AS[[#This Row],[Insurance Category Code]]&amp;"; "&amp;Q2899&amp;AS[[#This Row],[Large Provider Entity Code]]&amp;"; "&amp;R2899&amp;AS[[#This Row],[Age Band Code]]&amp;"; "&amp;S2899&amp;AS[[#This Row],[Sex Code]]</f>
        <v xml:space="preserve">Insurer Code ; Reporting Year ; Insurance Category Code ; Large Provider Entity Code ; Age Band Code ; Sex Code </v>
      </c>
      <c r="N2899" s="345" t="s">
        <v>207</v>
      </c>
      <c r="O2899" s="345" t="s">
        <v>208</v>
      </c>
      <c r="P2899" s="345" t="s">
        <v>209</v>
      </c>
      <c r="Q2899" s="345" t="s">
        <v>210</v>
      </c>
      <c r="R2899" s="345" t="s">
        <v>223</v>
      </c>
      <c r="S2899" s="345" t="s">
        <v>224</v>
      </c>
    </row>
    <row r="2900" spans="1:19" x14ac:dyDescent="0.25">
      <c r="A2900" s="311"/>
      <c r="B2900" s="312"/>
      <c r="C2900" s="312"/>
      <c r="D2900" s="312"/>
      <c r="E2900" s="312"/>
      <c r="F2900" s="312"/>
      <c r="G2900" s="328"/>
      <c r="H2900" s="337"/>
      <c r="I2900" s="334"/>
      <c r="J2900" s="314"/>
      <c r="K2900" s="449"/>
      <c r="M2900" s="349" t="str">
        <f>N2900&amp;AS[[#This Row],[Insurer Code]]&amp;"; "&amp;O2900&amp;AS[[#This Row],[Reporting Year]]&amp;"; "&amp;P2900&amp;AS[[#This Row],[Insurance Category Code]]&amp;"; "&amp;Q2900&amp;AS[[#This Row],[Large Provider Entity Code]]&amp;"; "&amp;R2900&amp;AS[[#This Row],[Age Band Code]]&amp;"; "&amp;S2900&amp;AS[[#This Row],[Sex Code]]</f>
        <v xml:space="preserve">Insurer Code ; Reporting Year ; Insurance Category Code ; Large Provider Entity Code ; Age Band Code ; Sex Code </v>
      </c>
      <c r="N2900" s="345" t="s">
        <v>207</v>
      </c>
      <c r="O2900" s="345" t="s">
        <v>208</v>
      </c>
      <c r="P2900" s="345" t="s">
        <v>209</v>
      </c>
      <c r="Q2900" s="345" t="s">
        <v>210</v>
      </c>
      <c r="R2900" s="345" t="s">
        <v>223</v>
      </c>
      <c r="S2900" s="345" t="s">
        <v>224</v>
      </c>
    </row>
    <row r="2901" spans="1:19" x14ac:dyDescent="0.25">
      <c r="A2901" s="311"/>
      <c r="B2901" s="312"/>
      <c r="C2901" s="312"/>
      <c r="D2901" s="312"/>
      <c r="E2901" s="312"/>
      <c r="F2901" s="312"/>
      <c r="G2901" s="328"/>
      <c r="H2901" s="337"/>
      <c r="I2901" s="334"/>
      <c r="J2901" s="314"/>
      <c r="K2901" s="449"/>
      <c r="M2901" s="349" t="str">
        <f>N2901&amp;AS[[#This Row],[Insurer Code]]&amp;"; "&amp;O2901&amp;AS[[#This Row],[Reporting Year]]&amp;"; "&amp;P2901&amp;AS[[#This Row],[Insurance Category Code]]&amp;"; "&amp;Q2901&amp;AS[[#This Row],[Large Provider Entity Code]]&amp;"; "&amp;R2901&amp;AS[[#This Row],[Age Band Code]]&amp;"; "&amp;S2901&amp;AS[[#This Row],[Sex Code]]</f>
        <v xml:space="preserve">Insurer Code ; Reporting Year ; Insurance Category Code ; Large Provider Entity Code ; Age Band Code ; Sex Code </v>
      </c>
      <c r="N2901" s="345" t="s">
        <v>207</v>
      </c>
      <c r="O2901" s="345" t="s">
        <v>208</v>
      </c>
      <c r="P2901" s="345" t="s">
        <v>209</v>
      </c>
      <c r="Q2901" s="345" t="s">
        <v>210</v>
      </c>
      <c r="R2901" s="345" t="s">
        <v>223</v>
      </c>
      <c r="S2901" s="345" t="s">
        <v>224</v>
      </c>
    </row>
    <row r="2902" spans="1:19" x14ac:dyDescent="0.25">
      <c r="A2902" s="311"/>
      <c r="B2902" s="312"/>
      <c r="C2902" s="312"/>
      <c r="D2902" s="312"/>
      <c r="E2902" s="312"/>
      <c r="F2902" s="312"/>
      <c r="G2902" s="328"/>
      <c r="H2902" s="337"/>
      <c r="I2902" s="334"/>
      <c r="J2902" s="314"/>
      <c r="K2902" s="449"/>
      <c r="M2902" s="349" t="str">
        <f>N2902&amp;AS[[#This Row],[Insurer Code]]&amp;"; "&amp;O2902&amp;AS[[#This Row],[Reporting Year]]&amp;"; "&amp;P2902&amp;AS[[#This Row],[Insurance Category Code]]&amp;"; "&amp;Q2902&amp;AS[[#This Row],[Large Provider Entity Code]]&amp;"; "&amp;R2902&amp;AS[[#This Row],[Age Band Code]]&amp;"; "&amp;S2902&amp;AS[[#This Row],[Sex Code]]</f>
        <v xml:space="preserve">Insurer Code ; Reporting Year ; Insurance Category Code ; Large Provider Entity Code ; Age Band Code ; Sex Code </v>
      </c>
      <c r="N2902" s="345" t="s">
        <v>207</v>
      </c>
      <c r="O2902" s="345" t="s">
        <v>208</v>
      </c>
      <c r="P2902" s="345" t="s">
        <v>209</v>
      </c>
      <c r="Q2902" s="345" t="s">
        <v>210</v>
      </c>
      <c r="R2902" s="345" t="s">
        <v>223</v>
      </c>
      <c r="S2902" s="345" t="s">
        <v>224</v>
      </c>
    </row>
    <row r="2903" spans="1:19" x14ac:dyDescent="0.25">
      <c r="A2903" s="311"/>
      <c r="B2903" s="312"/>
      <c r="C2903" s="312"/>
      <c r="D2903" s="312"/>
      <c r="E2903" s="312"/>
      <c r="F2903" s="312"/>
      <c r="G2903" s="328"/>
      <c r="H2903" s="337"/>
      <c r="I2903" s="334"/>
      <c r="J2903" s="314"/>
      <c r="K2903" s="449"/>
      <c r="M2903" s="349" t="str">
        <f>N2903&amp;AS[[#This Row],[Insurer Code]]&amp;"; "&amp;O2903&amp;AS[[#This Row],[Reporting Year]]&amp;"; "&amp;P2903&amp;AS[[#This Row],[Insurance Category Code]]&amp;"; "&amp;Q2903&amp;AS[[#This Row],[Large Provider Entity Code]]&amp;"; "&amp;R2903&amp;AS[[#This Row],[Age Band Code]]&amp;"; "&amp;S2903&amp;AS[[#This Row],[Sex Code]]</f>
        <v xml:space="preserve">Insurer Code ; Reporting Year ; Insurance Category Code ; Large Provider Entity Code ; Age Band Code ; Sex Code </v>
      </c>
      <c r="N2903" s="345" t="s">
        <v>207</v>
      </c>
      <c r="O2903" s="345" t="s">
        <v>208</v>
      </c>
      <c r="P2903" s="345" t="s">
        <v>209</v>
      </c>
      <c r="Q2903" s="345" t="s">
        <v>210</v>
      </c>
      <c r="R2903" s="345" t="s">
        <v>223</v>
      </c>
      <c r="S2903" s="345" t="s">
        <v>224</v>
      </c>
    </row>
    <row r="2904" spans="1:19" x14ac:dyDescent="0.25">
      <c r="A2904" s="311"/>
      <c r="B2904" s="312"/>
      <c r="C2904" s="312"/>
      <c r="D2904" s="312"/>
      <c r="E2904" s="312"/>
      <c r="F2904" s="312"/>
      <c r="G2904" s="328"/>
      <c r="H2904" s="337"/>
      <c r="I2904" s="334"/>
      <c r="J2904" s="314"/>
      <c r="K2904" s="449"/>
      <c r="M2904" s="349" t="str">
        <f>N2904&amp;AS[[#This Row],[Insurer Code]]&amp;"; "&amp;O2904&amp;AS[[#This Row],[Reporting Year]]&amp;"; "&amp;P2904&amp;AS[[#This Row],[Insurance Category Code]]&amp;"; "&amp;Q2904&amp;AS[[#This Row],[Large Provider Entity Code]]&amp;"; "&amp;R2904&amp;AS[[#This Row],[Age Band Code]]&amp;"; "&amp;S2904&amp;AS[[#This Row],[Sex Code]]</f>
        <v xml:space="preserve">Insurer Code ; Reporting Year ; Insurance Category Code ; Large Provider Entity Code ; Age Band Code ; Sex Code </v>
      </c>
      <c r="N2904" s="345" t="s">
        <v>207</v>
      </c>
      <c r="O2904" s="345" t="s">
        <v>208</v>
      </c>
      <c r="P2904" s="345" t="s">
        <v>209</v>
      </c>
      <c r="Q2904" s="345" t="s">
        <v>210</v>
      </c>
      <c r="R2904" s="345" t="s">
        <v>223</v>
      </c>
      <c r="S2904" s="345" t="s">
        <v>224</v>
      </c>
    </row>
    <row r="2905" spans="1:19" x14ac:dyDescent="0.25">
      <c r="A2905" s="311"/>
      <c r="B2905" s="312"/>
      <c r="C2905" s="312"/>
      <c r="D2905" s="312"/>
      <c r="E2905" s="312"/>
      <c r="F2905" s="312"/>
      <c r="G2905" s="328"/>
      <c r="H2905" s="337"/>
      <c r="I2905" s="334"/>
      <c r="J2905" s="314"/>
      <c r="K2905" s="449"/>
      <c r="M2905" s="349" t="str">
        <f>N2905&amp;AS[[#This Row],[Insurer Code]]&amp;"; "&amp;O2905&amp;AS[[#This Row],[Reporting Year]]&amp;"; "&amp;P2905&amp;AS[[#This Row],[Insurance Category Code]]&amp;"; "&amp;Q2905&amp;AS[[#This Row],[Large Provider Entity Code]]&amp;"; "&amp;R2905&amp;AS[[#This Row],[Age Band Code]]&amp;"; "&amp;S2905&amp;AS[[#This Row],[Sex Code]]</f>
        <v xml:space="preserve">Insurer Code ; Reporting Year ; Insurance Category Code ; Large Provider Entity Code ; Age Band Code ; Sex Code </v>
      </c>
      <c r="N2905" s="345" t="s">
        <v>207</v>
      </c>
      <c r="O2905" s="345" t="s">
        <v>208</v>
      </c>
      <c r="P2905" s="345" t="s">
        <v>209</v>
      </c>
      <c r="Q2905" s="345" t="s">
        <v>210</v>
      </c>
      <c r="R2905" s="345" t="s">
        <v>223</v>
      </c>
      <c r="S2905" s="345" t="s">
        <v>224</v>
      </c>
    </row>
    <row r="2906" spans="1:19" x14ac:dyDescent="0.25">
      <c r="A2906" s="311"/>
      <c r="B2906" s="312"/>
      <c r="C2906" s="312"/>
      <c r="D2906" s="312"/>
      <c r="E2906" s="312"/>
      <c r="F2906" s="312"/>
      <c r="G2906" s="328"/>
      <c r="H2906" s="337"/>
      <c r="I2906" s="334"/>
      <c r="J2906" s="314"/>
      <c r="K2906" s="449"/>
      <c r="M2906" s="349" t="str">
        <f>N2906&amp;AS[[#This Row],[Insurer Code]]&amp;"; "&amp;O2906&amp;AS[[#This Row],[Reporting Year]]&amp;"; "&amp;P2906&amp;AS[[#This Row],[Insurance Category Code]]&amp;"; "&amp;Q2906&amp;AS[[#This Row],[Large Provider Entity Code]]&amp;"; "&amp;R2906&amp;AS[[#This Row],[Age Band Code]]&amp;"; "&amp;S2906&amp;AS[[#This Row],[Sex Code]]</f>
        <v xml:space="preserve">Insurer Code ; Reporting Year ; Insurance Category Code ; Large Provider Entity Code ; Age Band Code ; Sex Code </v>
      </c>
      <c r="N2906" s="345" t="s">
        <v>207</v>
      </c>
      <c r="O2906" s="345" t="s">
        <v>208</v>
      </c>
      <c r="P2906" s="345" t="s">
        <v>209</v>
      </c>
      <c r="Q2906" s="345" t="s">
        <v>210</v>
      </c>
      <c r="R2906" s="345" t="s">
        <v>223</v>
      </c>
      <c r="S2906" s="345" t="s">
        <v>224</v>
      </c>
    </row>
    <row r="2907" spans="1:19" x14ac:dyDescent="0.25">
      <c r="A2907" s="311"/>
      <c r="B2907" s="312"/>
      <c r="C2907" s="312"/>
      <c r="D2907" s="312"/>
      <c r="E2907" s="312"/>
      <c r="F2907" s="312"/>
      <c r="G2907" s="328"/>
      <c r="H2907" s="337"/>
      <c r="I2907" s="334"/>
      <c r="J2907" s="314"/>
      <c r="K2907" s="449"/>
      <c r="M2907" s="349" t="str">
        <f>N2907&amp;AS[[#This Row],[Insurer Code]]&amp;"; "&amp;O2907&amp;AS[[#This Row],[Reporting Year]]&amp;"; "&amp;P2907&amp;AS[[#This Row],[Insurance Category Code]]&amp;"; "&amp;Q2907&amp;AS[[#This Row],[Large Provider Entity Code]]&amp;"; "&amp;R2907&amp;AS[[#This Row],[Age Band Code]]&amp;"; "&amp;S2907&amp;AS[[#This Row],[Sex Code]]</f>
        <v xml:space="preserve">Insurer Code ; Reporting Year ; Insurance Category Code ; Large Provider Entity Code ; Age Band Code ; Sex Code </v>
      </c>
      <c r="N2907" s="345" t="s">
        <v>207</v>
      </c>
      <c r="O2907" s="345" t="s">
        <v>208</v>
      </c>
      <c r="P2907" s="345" t="s">
        <v>209</v>
      </c>
      <c r="Q2907" s="345" t="s">
        <v>210</v>
      </c>
      <c r="R2907" s="345" t="s">
        <v>223</v>
      </c>
      <c r="S2907" s="345" t="s">
        <v>224</v>
      </c>
    </row>
    <row r="2908" spans="1:19" x14ac:dyDescent="0.25">
      <c r="A2908" s="311"/>
      <c r="B2908" s="312"/>
      <c r="C2908" s="312"/>
      <c r="D2908" s="312"/>
      <c r="E2908" s="312"/>
      <c r="F2908" s="312"/>
      <c r="G2908" s="328"/>
      <c r="H2908" s="337"/>
      <c r="I2908" s="334"/>
      <c r="J2908" s="314"/>
      <c r="K2908" s="449"/>
      <c r="M2908" s="349" t="str">
        <f>N2908&amp;AS[[#This Row],[Insurer Code]]&amp;"; "&amp;O2908&amp;AS[[#This Row],[Reporting Year]]&amp;"; "&amp;P2908&amp;AS[[#This Row],[Insurance Category Code]]&amp;"; "&amp;Q2908&amp;AS[[#This Row],[Large Provider Entity Code]]&amp;"; "&amp;R2908&amp;AS[[#This Row],[Age Band Code]]&amp;"; "&amp;S2908&amp;AS[[#This Row],[Sex Code]]</f>
        <v xml:space="preserve">Insurer Code ; Reporting Year ; Insurance Category Code ; Large Provider Entity Code ; Age Band Code ; Sex Code </v>
      </c>
      <c r="N2908" s="345" t="s">
        <v>207</v>
      </c>
      <c r="O2908" s="345" t="s">
        <v>208</v>
      </c>
      <c r="P2908" s="345" t="s">
        <v>209</v>
      </c>
      <c r="Q2908" s="345" t="s">
        <v>210</v>
      </c>
      <c r="R2908" s="345" t="s">
        <v>223</v>
      </c>
      <c r="S2908" s="345" t="s">
        <v>224</v>
      </c>
    </row>
    <row r="2909" spans="1:19" x14ac:dyDescent="0.25">
      <c r="A2909" s="311"/>
      <c r="B2909" s="312"/>
      <c r="C2909" s="312"/>
      <c r="D2909" s="312"/>
      <c r="E2909" s="312"/>
      <c r="F2909" s="312"/>
      <c r="G2909" s="328"/>
      <c r="H2909" s="337"/>
      <c r="I2909" s="334"/>
      <c r="J2909" s="314"/>
      <c r="K2909" s="449"/>
      <c r="M2909" s="349" t="str">
        <f>N2909&amp;AS[[#This Row],[Insurer Code]]&amp;"; "&amp;O2909&amp;AS[[#This Row],[Reporting Year]]&amp;"; "&amp;P2909&amp;AS[[#This Row],[Insurance Category Code]]&amp;"; "&amp;Q2909&amp;AS[[#This Row],[Large Provider Entity Code]]&amp;"; "&amp;R2909&amp;AS[[#This Row],[Age Band Code]]&amp;"; "&amp;S2909&amp;AS[[#This Row],[Sex Code]]</f>
        <v xml:space="preserve">Insurer Code ; Reporting Year ; Insurance Category Code ; Large Provider Entity Code ; Age Band Code ; Sex Code </v>
      </c>
      <c r="N2909" s="345" t="s">
        <v>207</v>
      </c>
      <c r="O2909" s="345" t="s">
        <v>208</v>
      </c>
      <c r="P2909" s="345" t="s">
        <v>209</v>
      </c>
      <c r="Q2909" s="345" t="s">
        <v>210</v>
      </c>
      <c r="R2909" s="345" t="s">
        <v>223</v>
      </c>
      <c r="S2909" s="345" t="s">
        <v>224</v>
      </c>
    </row>
    <row r="2910" spans="1:19" x14ac:dyDescent="0.25">
      <c r="A2910" s="311"/>
      <c r="B2910" s="312"/>
      <c r="C2910" s="312"/>
      <c r="D2910" s="312"/>
      <c r="E2910" s="312"/>
      <c r="F2910" s="312"/>
      <c r="G2910" s="328"/>
      <c r="H2910" s="337"/>
      <c r="I2910" s="334"/>
      <c r="J2910" s="314"/>
      <c r="K2910" s="449"/>
      <c r="M2910" s="349" t="str">
        <f>N2910&amp;AS[[#This Row],[Insurer Code]]&amp;"; "&amp;O2910&amp;AS[[#This Row],[Reporting Year]]&amp;"; "&amp;P2910&amp;AS[[#This Row],[Insurance Category Code]]&amp;"; "&amp;Q2910&amp;AS[[#This Row],[Large Provider Entity Code]]&amp;"; "&amp;R2910&amp;AS[[#This Row],[Age Band Code]]&amp;"; "&amp;S2910&amp;AS[[#This Row],[Sex Code]]</f>
        <v xml:space="preserve">Insurer Code ; Reporting Year ; Insurance Category Code ; Large Provider Entity Code ; Age Band Code ; Sex Code </v>
      </c>
      <c r="N2910" s="345" t="s">
        <v>207</v>
      </c>
      <c r="O2910" s="345" t="s">
        <v>208</v>
      </c>
      <c r="P2910" s="345" t="s">
        <v>209</v>
      </c>
      <c r="Q2910" s="345" t="s">
        <v>210</v>
      </c>
      <c r="R2910" s="345" t="s">
        <v>223</v>
      </c>
      <c r="S2910" s="345" t="s">
        <v>224</v>
      </c>
    </row>
    <row r="2911" spans="1:19" x14ac:dyDescent="0.25">
      <c r="A2911" s="311"/>
      <c r="B2911" s="312"/>
      <c r="C2911" s="312"/>
      <c r="D2911" s="312"/>
      <c r="E2911" s="312"/>
      <c r="F2911" s="312"/>
      <c r="G2911" s="328"/>
      <c r="H2911" s="337"/>
      <c r="I2911" s="334"/>
      <c r="J2911" s="314"/>
      <c r="K2911" s="449"/>
      <c r="M2911" s="349" t="str">
        <f>N2911&amp;AS[[#This Row],[Insurer Code]]&amp;"; "&amp;O2911&amp;AS[[#This Row],[Reporting Year]]&amp;"; "&amp;P2911&amp;AS[[#This Row],[Insurance Category Code]]&amp;"; "&amp;Q2911&amp;AS[[#This Row],[Large Provider Entity Code]]&amp;"; "&amp;R2911&amp;AS[[#This Row],[Age Band Code]]&amp;"; "&amp;S2911&amp;AS[[#This Row],[Sex Code]]</f>
        <v xml:space="preserve">Insurer Code ; Reporting Year ; Insurance Category Code ; Large Provider Entity Code ; Age Band Code ; Sex Code </v>
      </c>
      <c r="N2911" s="345" t="s">
        <v>207</v>
      </c>
      <c r="O2911" s="345" t="s">
        <v>208</v>
      </c>
      <c r="P2911" s="345" t="s">
        <v>209</v>
      </c>
      <c r="Q2911" s="345" t="s">
        <v>210</v>
      </c>
      <c r="R2911" s="345" t="s">
        <v>223</v>
      </c>
      <c r="S2911" s="345" t="s">
        <v>224</v>
      </c>
    </row>
    <row r="2912" spans="1:19" x14ac:dyDescent="0.25">
      <c r="A2912" s="311"/>
      <c r="B2912" s="312"/>
      <c r="C2912" s="312"/>
      <c r="D2912" s="312"/>
      <c r="E2912" s="312"/>
      <c r="F2912" s="312"/>
      <c r="G2912" s="328"/>
      <c r="H2912" s="337"/>
      <c r="I2912" s="334"/>
      <c r="J2912" s="314"/>
      <c r="K2912" s="449"/>
      <c r="M2912" s="349" t="str">
        <f>N2912&amp;AS[[#This Row],[Insurer Code]]&amp;"; "&amp;O2912&amp;AS[[#This Row],[Reporting Year]]&amp;"; "&amp;P2912&amp;AS[[#This Row],[Insurance Category Code]]&amp;"; "&amp;Q2912&amp;AS[[#This Row],[Large Provider Entity Code]]&amp;"; "&amp;R2912&amp;AS[[#This Row],[Age Band Code]]&amp;"; "&amp;S2912&amp;AS[[#This Row],[Sex Code]]</f>
        <v xml:space="preserve">Insurer Code ; Reporting Year ; Insurance Category Code ; Large Provider Entity Code ; Age Band Code ; Sex Code </v>
      </c>
      <c r="N2912" s="345" t="s">
        <v>207</v>
      </c>
      <c r="O2912" s="345" t="s">
        <v>208</v>
      </c>
      <c r="P2912" s="345" t="s">
        <v>209</v>
      </c>
      <c r="Q2912" s="345" t="s">
        <v>210</v>
      </c>
      <c r="R2912" s="345" t="s">
        <v>223</v>
      </c>
      <c r="S2912" s="345" t="s">
        <v>224</v>
      </c>
    </row>
    <row r="2913" spans="1:19" x14ac:dyDescent="0.25">
      <c r="A2913" s="311"/>
      <c r="B2913" s="312"/>
      <c r="C2913" s="312"/>
      <c r="D2913" s="312"/>
      <c r="E2913" s="312"/>
      <c r="F2913" s="312"/>
      <c r="G2913" s="328"/>
      <c r="H2913" s="337"/>
      <c r="I2913" s="334"/>
      <c r="J2913" s="314"/>
      <c r="K2913" s="449"/>
      <c r="M2913" s="349" t="str">
        <f>N2913&amp;AS[[#This Row],[Insurer Code]]&amp;"; "&amp;O2913&amp;AS[[#This Row],[Reporting Year]]&amp;"; "&amp;P2913&amp;AS[[#This Row],[Insurance Category Code]]&amp;"; "&amp;Q2913&amp;AS[[#This Row],[Large Provider Entity Code]]&amp;"; "&amp;R2913&amp;AS[[#This Row],[Age Band Code]]&amp;"; "&amp;S2913&amp;AS[[#This Row],[Sex Code]]</f>
        <v xml:space="preserve">Insurer Code ; Reporting Year ; Insurance Category Code ; Large Provider Entity Code ; Age Band Code ; Sex Code </v>
      </c>
      <c r="N2913" s="345" t="s">
        <v>207</v>
      </c>
      <c r="O2913" s="345" t="s">
        <v>208</v>
      </c>
      <c r="P2913" s="345" t="s">
        <v>209</v>
      </c>
      <c r="Q2913" s="345" t="s">
        <v>210</v>
      </c>
      <c r="R2913" s="345" t="s">
        <v>223</v>
      </c>
      <c r="S2913" s="345" t="s">
        <v>224</v>
      </c>
    </row>
    <row r="2914" spans="1:19" x14ac:dyDescent="0.25">
      <c r="A2914" s="311"/>
      <c r="B2914" s="312"/>
      <c r="C2914" s="312"/>
      <c r="D2914" s="312"/>
      <c r="E2914" s="312"/>
      <c r="F2914" s="312"/>
      <c r="G2914" s="328"/>
      <c r="H2914" s="337"/>
      <c r="I2914" s="334"/>
      <c r="J2914" s="314"/>
      <c r="K2914" s="449"/>
      <c r="M2914" s="349" t="str">
        <f>N2914&amp;AS[[#This Row],[Insurer Code]]&amp;"; "&amp;O2914&amp;AS[[#This Row],[Reporting Year]]&amp;"; "&amp;P2914&amp;AS[[#This Row],[Insurance Category Code]]&amp;"; "&amp;Q2914&amp;AS[[#This Row],[Large Provider Entity Code]]&amp;"; "&amp;R2914&amp;AS[[#This Row],[Age Band Code]]&amp;"; "&amp;S2914&amp;AS[[#This Row],[Sex Code]]</f>
        <v xml:space="preserve">Insurer Code ; Reporting Year ; Insurance Category Code ; Large Provider Entity Code ; Age Band Code ; Sex Code </v>
      </c>
      <c r="N2914" s="345" t="s">
        <v>207</v>
      </c>
      <c r="O2914" s="345" t="s">
        <v>208</v>
      </c>
      <c r="P2914" s="345" t="s">
        <v>209</v>
      </c>
      <c r="Q2914" s="345" t="s">
        <v>210</v>
      </c>
      <c r="R2914" s="345" t="s">
        <v>223</v>
      </c>
      <c r="S2914" s="345" t="s">
        <v>224</v>
      </c>
    </row>
    <row r="2915" spans="1:19" x14ac:dyDescent="0.25">
      <c r="A2915" s="311"/>
      <c r="B2915" s="312"/>
      <c r="C2915" s="312"/>
      <c r="D2915" s="312"/>
      <c r="E2915" s="312"/>
      <c r="F2915" s="312"/>
      <c r="G2915" s="328"/>
      <c r="H2915" s="337"/>
      <c r="I2915" s="334"/>
      <c r="J2915" s="314"/>
      <c r="K2915" s="449"/>
      <c r="M2915" s="349" t="str">
        <f>N2915&amp;AS[[#This Row],[Insurer Code]]&amp;"; "&amp;O2915&amp;AS[[#This Row],[Reporting Year]]&amp;"; "&amp;P2915&amp;AS[[#This Row],[Insurance Category Code]]&amp;"; "&amp;Q2915&amp;AS[[#This Row],[Large Provider Entity Code]]&amp;"; "&amp;R2915&amp;AS[[#This Row],[Age Band Code]]&amp;"; "&amp;S2915&amp;AS[[#This Row],[Sex Code]]</f>
        <v xml:space="preserve">Insurer Code ; Reporting Year ; Insurance Category Code ; Large Provider Entity Code ; Age Band Code ; Sex Code </v>
      </c>
      <c r="N2915" s="345" t="s">
        <v>207</v>
      </c>
      <c r="O2915" s="345" t="s">
        <v>208</v>
      </c>
      <c r="P2915" s="345" t="s">
        <v>209</v>
      </c>
      <c r="Q2915" s="345" t="s">
        <v>210</v>
      </c>
      <c r="R2915" s="345" t="s">
        <v>223</v>
      </c>
      <c r="S2915" s="345" t="s">
        <v>224</v>
      </c>
    </row>
    <row r="2916" spans="1:19" x14ac:dyDescent="0.25">
      <c r="A2916" s="311"/>
      <c r="B2916" s="312"/>
      <c r="C2916" s="312"/>
      <c r="D2916" s="312"/>
      <c r="E2916" s="312"/>
      <c r="F2916" s="312"/>
      <c r="G2916" s="328"/>
      <c r="H2916" s="337"/>
      <c r="I2916" s="334"/>
      <c r="J2916" s="314"/>
      <c r="K2916" s="449"/>
      <c r="M2916" s="349" t="str">
        <f>N2916&amp;AS[[#This Row],[Insurer Code]]&amp;"; "&amp;O2916&amp;AS[[#This Row],[Reporting Year]]&amp;"; "&amp;P2916&amp;AS[[#This Row],[Insurance Category Code]]&amp;"; "&amp;Q2916&amp;AS[[#This Row],[Large Provider Entity Code]]&amp;"; "&amp;R2916&amp;AS[[#This Row],[Age Band Code]]&amp;"; "&amp;S2916&amp;AS[[#This Row],[Sex Code]]</f>
        <v xml:space="preserve">Insurer Code ; Reporting Year ; Insurance Category Code ; Large Provider Entity Code ; Age Band Code ; Sex Code </v>
      </c>
      <c r="N2916" s="345" t="s">
        <v>207</v>
      </c>
      <c r="O2916" s="345" t="s">
        <v>208</v>
      </c>
      <c r="P2916" s="345" t="s">
        <v>209</v>
      </c>
      <c r="Q2916" s="345" t="s">
        <v>210</v>
      </c>
      <c r="R2916" s="345" t="s">
        <v>223</v>
      </c>
      <c r="S2916" s="345" t="s">
        <v>224</v>
      </c>
    </row>
    <row r="2917" spans="1:19" x14ac:dyDescent="0.25">
      <c r="A2917" s="311"/>
      <c r="B2917" s="312"/>
      <c r="C2917" s="312"/>
      <c r="D2917" s="312"/>
      <c r="E2917" s="312"/>
      <c r="F2917" s="312"/>
      <c r="G2917" s="328"/>
      <c r="H2917" s="337"/>
      <c r="I2917" s="334"/>
      <c r="J2917" s="314"/>
      <c r="K2917" s="449"/>
      <c r="M2917" s="349" t="str">
        <f>N2917&amp;AS[[#This Row],[Insurer Code]]&amp;"; "&amp;O2917&amp;AS[[#This Row],[Reporting Year]]&amp;"; "&amp;P2917&amp;AS[[#This Row],[Insurance Category Code]]&amp;"; "&amp;Q2917&amp;AS[[#This Row],[Large Provider Entity Code]]&amp;"; "&amp;R2917&amp;AS[[#This Row],[Age Band Code]]&amp;"; "&amp;S2917&amp;AS[[#This Row],[Sex Code]]</f>
        <v xml:space="preserve">Insurer Code ; Reporting Year ; Insurance Category Code ; Large Provider Entity Code ; Age Band Code ; Sex Code </v>
      </c>
      <c r="N2917" s="345" t="s">
        <v>207</v>
      </c>
      <c r="O2917" s="345" t="s">
        <v>208</v>
      </c>
      <c r="P2917" s="345" t="s">
        <v>209</v>
      </c>
      <c r="Q2917" s="345" t="s">
        <v>210</v>
      </c>
      <c r="R2917" s="345" t="s">
        <v>223</v>
      </c>
      <c r="S2917" s="345" t="s">
        <v>224</v>
      </c>
    </row>
    <row r="2918" spans="1:19" x14ac:dyDescent="0.25">
      <c r="A2918" s="311"/>
      <c r="B2918" s="312"/>
      <c r="C2918" s="312"/>
      <c r="D2918" s="312"/>
      <c r="E2918" s="312"/>
      <c r="F2918" s="312"/>
      <c r="G2918" s="328"/>
      <c r="H2918" s="337"/>
      <c r="I2918" s="334"/>
      <c r="J2918" s="314"/>
      <c r="K2918" s="449"/>
      <c r="M2918" s="349" t="str">
        <f>N2918&amp;AS[[#This Row],[Insurer Code]]&amp;"; "&amp;O2918&amp;AS[[#This Row],[Reporting Year]]&amp;"; "&amp;P2918&amp;AS[[#This Row],[Insurance Category Code]]&amp;"; "&amp;Q2918&amp;AS[[#This Row],[Large Provider Entity Code]]&amp;"; "&amp;R2918&amp;AS[[#This Row],[Age Band Code]]&amp;"; "&amp;S2918&amp;AS[[#This Row],[Sex Code]]</f>
        <v xml:space="preserve">Insurer Code ; Reporting Year ; Insurance Category Code ; Large Provider Entity Code ; Age Band Code ; Sex Code </v>
      </c>
      <c r="N2918" s="345" t="s">
        <v>207</v>
      </c>
      <c r="O2918" s="345" t="s">
        <v>208</v>
      </c>
      <c r="P2918" s="345" t="s">
        <v>209</v>
      </c>
      <c r="Q2918" s="345" t="s">
        <v>210</v>
      </c>
      <c r="R2918" s="345" t="s">
        <v>223</v>
      </c>
      <c r="S2918" s="345" t="s">
        <v>224</v>
      </c>
    </row>
    <row r="2919" spans="1:19" x14ac:dyDescent="0.25">
      <c r="A2919" s="311"/>
      <c r="B2919" s="312"/>
      <c r="C2919" s="312"/>
      <c r="D2919" s="312"/>
      <c r="E2919" s="312"/>
      <c r="F2919" s="312"/>
      <c r="G2919" s="328"/>
      <c r="H2919" s="337"/>
      <c r="I2919" s="334"/>
      <c r="J2919" s="314"/>
      <c r="K2919" s="449"/>
      <c r="M2919" s="349" t="str">
        <f>N2919&amp;AS[[#This Row],[Insurer Code]]&amp;"; "&amp;O2919&amp;AS[[#This Row],[Reporting Year]]&amp;"; "&amp;P2919&amp;AS[[#This Row],[Insurance Category Code]]&amp;"; "&amp;Q2919&amp;AS[[#This Row],[Large Provider Entity Code]]&amp;"; "&amp;R2919&amp;AS[[#This Row],[Age Band Code]]&amp;"; "&amp;S2919&amp;AS[[#This Row],[Sex Code]]</f>
        <v xml:space="preserve">Insurer Code ; Reporting Year ; Insurance Category Code ; Large Provider Entity Code ; Age Band Code ; Sex Code </v>
      </c>
      <c r="N2919" s="345" t="s">
        <v>207</v>
      </c>
      <c r="O2919" s="345" t="s">
        <v>208</v>
      </c>
      <c r="P2919" s="345" t="s">
        <v>209</v>
      </c>
      <c r="Q2919" s="345" t="s">
        <v>210</v>
      </c>
      <c r="R2919" s="345" t="s">
        <v>223</v>
      </c>
      <c r="S2919" s="345" t="s">
        <v>224</v>
      </c>
    </row>
    <row r="2920" spans="1:19" x14ac:dyDescent="0.25">
      <c r="A2920" s="311"/>
      <c r="B2920" s="312"/>
      <c r="C2920" s="312"/>
      <c r="D2920" s="312"/>
      <c r="E2920" s="312"/>
      <c r="F2920" s="312"/>
      <c r="G2920" s="328"/>
      <c r="H2920" s="337"/>
      <c r="I2920" s="334"/>
      <c r="J2920" s="314"/>
      <c r="K2920" s="449"/>
      <c r="M2920" s="349" t="str">
        <f>N2920&amp;AS[[#This Row],[Insurer Code]]&amp;"; "&amp;O2920&amp;AS[[#This Row],[Reporting Year]]&amp;"; "&amp;P2920&amp;AS[[#This Row],[Insurance Category Code]]&amp;"; "&amp;Q2920&amp;AS[[#This Row],[Large Provider Entity Code]]&amp;"; "&amp;R2920&amp;AS[[#This Row],[Age Band Code]]&amp;"; "&amp;S2920&amp;AS[[#This Row],[Sex Code]]</f>
        <v xml:space="preserve">Insurer Code ; Reporting Year ; Insurance Category Code ; Large Provider Entity Code ; Age Band Code ; Sex Code </v>
      </c>
      <c r="N2920" s="345" t="s">
        <v>207</v>
      </c>
      <c r="O2920" s="345" t="s">
        <v>208</v>
      </c>
      <c r="P2920" s="345" t="s">
        <v>209</v>
      </c>
      <c r="Q2920" s="345" t="s">
        <v>210</v>
      </c>
      <c r="R2920" s="345" t="s">
        <v>223</v>
      </c>
      <c r="S2920" s="345" t="s">
        <v>224</v>
      </c>
    </row>
    <row r="2921" spans="1:19" x14ac:dyDescent="0.25">
      <c r="A2921" s="311"/>
      <c r="B2921" s="312"/>
      <c r="C2921" s="312"/>
      <c r="D2921" s="312"/>
      <c r="E2921" s="312"/>
      <c r="F2921" s="312"/>
      <c r="G2921" s="328"/>
      <c r="H2921" s="337"/>
      <c r="I2921" s="334"/>
      <c r="J2921" s="314"/>
      <c r="K2921" s="449"/>
      <c r="M2921" s="349" t="str">
        <f>N2921&amp;AS[[#This Row],[Insurer Code]]&amp;"; "&amp;O2921&amp;AS[[#This Row],[Reporting Year]]&amp;"; "&amp;P2921&amp;AS[[#This Row],[Insurance Category Code]]&amp;"; "&amp;Q2921&amp;AS[[#This Row],[Large Provider Entity Code]]&amp;"; "&amp;R2921&amp;AS[[#This Row],[Age Band Code]]&amp;"; "&amp;S2921&amp;AS[[#This Row],[Sex Code]]</f>
        <v xml:space="preserve">Insurer Code ; Reporting Year ; Insurance Category Code ; Large Provider Entity Code ; Age Band Code ; Sex Code </v>
      </c>
      <c r="N2921" s="345" t="s">
        <v>207</v>
      </c>
      <c r="O2921" s="345" t="s">
        <v>208</v>
      </c>
      <c r="P2921" s="345" t="s">
        <v>209</v>
      </c>
      <c r="Q2921" s="345" t="s">
        <v>210</v>
      </c>
      <c r="R2921" s="345" t="s">
        <v>223</v>
      </c>
      <c r="S2921" s="345" t="s">
        <v>224</v>
      </c>
    </row>
    <row r="2922" spans="1:19" x14ac:dyDescent="0.25">
      <c r="A2922" s="311"/>
      <c r="B2922" s="312"/>
      <c r="C2922" s="312"/>
      <c r="D2922" s="312"/>
      <c r="E2922" s="312"/>
      <c r="F2922" s="312"/>
      <c r="G2922" s="328"/>
      <c r="H2922" s="337"/>
      <c r="I2922" s="334"/>
      <c r="J2922" s="314"/>
      <c r="K2922" s="449"/>
      <c r="M2922" s="349" t="str">
        <f>N2922&amp;AS[[#This Row],[Insurer Code]]&amp;"; "&amp;O2922&amp;AS[[#This Row],[Reporting Year]]&amp;"; "&amp;P2922&amp;AS[[#This Row],[Insurance Category Code]]&amp;"; "&amp;Q2922&amp;AS[[#This Row],[Large Provider Entity Code]]&amp;"; "&amp;R2922&amp;AS[[#This Row],[Age Band Code]]&amp;"; "&amp;S2922&amp;AS[[#This Row],[Sex Code]]</f>
        <v xml:space="preserve">Insurer Code ; Reporting Year ; Insurance Category Code ; Large Provider Entity Code ; Age Band Code ; Sex Code </v>
      </c>
      <c r="N2922" s="345" t="s">
        <v>207</v>
      </c>
      <c r="O2922" s="345" t="s">
        <v>208</v>
      </c>
      <c r="P2922" s="345" t="s">
        <v>209</v>
      </c>
      <c r="Q2922" s="345" t="s">
        <v>210</v>
      </c>
      <c r="R2922" s="345" t="s">
        <v>223</v>
      </c>
      <c r="S2922" s="345" t="s">
        <v>224</v>
      </c>
    </row>
    <row r="2923" spans="1:19" x14ac:dyDescent="0.25">
      <c r="A2923" s="311"/>
      <c r="B2923" s="312"/>
      <c r="C2923" s="312"/>
      <c r="D2923" s="312"/>
      <c r="E2923" s="312"/>
      <c r="F2923" s="312"/>
      <c r="G2923" s="328"/>
      <c r="H2923" s="337"/>
      <c r="I2923" s="334"/>
      <c r="J2923" s="314"/>
      <c r="K2923" s="449"/>
      <c r="M2923" s="349" t="str">
        <f>N2923&amp;AS[[#This Row],[Insurer Code]]&amp;"; "&amp;O2923&amp;AS[[#This Row],[Reporting Year]]&amp;"; "&amp;P2923&amp;AS[[#This Row],[Insurance Category Code]]&amp;"; "&amp;Q2923&amp;AS[[#This Row],[Large Provider Entity Code]]&amp;"; "&amp;R2923&amp;AS[[#This Row],[Age Band Code]]&amp;"; "&amp;S2923&amp;AS[[#This Row],[Sex Code]]</f>
        <v xml:space="preserve">Insurer Code ; Reporting Year ; Insurance Category Code ; Large Provider Entity Code ; Age Band Code ; Sex Code </v>
      </c>
      <c r="N2923" s="345" t="s">
        <v>207</v>
      </c>
      <c r="O2923" s="345" t="s">
        <v>208</v>
      </c>
      <c r="P2923" s="345" t="s">
        <v>209</v>
      </c>
      <c r="Q2923" s="345" t="s">
        <v>210</v>
      </c>
      <c r="R2923" s="345" t="s">
        <v>223</v>
      </c>
      <c r="S2923" s="345" t="s">
        <v>224</v>
      </c>
    </row>
    <row r="2924" spans="1:19" x14ac:dyDescent="0.25">
      <c r="A2924" s="311"/>
      <c r="B2924" s="312"/>
      <c r="C2924" s="312"/>
      <c r="D2924" s="312"/>
      <c r="E2924" s="312"/>
      <c r="F2924" s="312"/>
      <c r="G2924" s="328"/>
      <c r="H2924" s="337"/>
      <c r="I2924" s="334"/>
      <c r="J2924" s="314"/>
      <c r="K2924" s="449"/>
      <c r="M2924" s="349" t="str">
        <f>N2924&amp;AS[[#This Row],[Insurer Code]]&amp;"; "&amp;O2924&amp;AS[[#This Row],[Reporting Year]]&amp;"; "&amp;P2924&amp;AS[[#This Row],[Insurance Category Code]]&amp;"; "&amp;Q2924&amp;AS[[#This Row],[Large Provider Entity Code]]&amp;"; "&amp;R2924&amp;AS[[#This Row],[Age Band Code]]&amp;"; "&amp;S2924&amp;AS[[#This Row],[Sex Code]]</f>
        <v xml:space="preserve">Insurer Code ; Reporting Year ; Insurance Category Code ; Large Provider Entity Code ; Age Band Code ; Sex Code </v>
      </c>
      <c r="N2924" s="345" t="s">
        <v>207</v>
      </c>
      <c r="O2924" s="345" t="s">
        <v>208</v>
      </c>
      <c r="P2924" s="345" t="s">
        <v>209</v>
      </c>
      <c r="Q2924" s="345" t="s">
        <v>210</v>
      </c>
      <c r="R2924" s="345" t="s">
        <v>223</v>
      </c>
      <c r="S2924" s="345" t="s">
        <v>224</v>
      </c>
    </row>
    <row r="2925" spans="1:19" x14ac:dyDescent="0.25">
      <c r="A2925" s="311"/>
      <c r="B2925" s="312"/>
      <c r="C2925" s="312"/>
      <c r="D2925" s="312"/>
      <c r="E2925" s="312"/>
      <c r="F2925" s="312"/>
      <c r="G2925" s="328"/>
      <c r="H2925" s="337"/>
      <c r="I2925" s="334"/>
      <c r="J2925" s="314"/>
      <c r="K2925" s="449"/>
      <c r="M2925" s="349" t="str">
        <f>N2925&amp;AS[[#This Row],[Insurer Code]]&amp;"; "&amp;O2925&amp;AS[[#This Row],[Reporting Year]]&amp;"; "&amp;P2925&amp;AS[[#This Row],[Insurance Category Code]]&amp;"; "&amp;Q2925&amp;AS[[#This Row],[Large Provider Entity Code]]&amp;"; "&amp;R2925&amp;AS[[#This Row],[Age Band Code]]&amp;"; "&amp;S2925&amp;AS[[#This Row],[Sex Code]]</f>
        <v xml:space="preserve">Insurer Code ; Reporting Year ; Insurance Category Code ; Large Provider Entity Code ; Age Band Code ; Sex Code </v>
      </c>
      <c r="N2925" s="345" t="s">
        <v>207</v>
      </c>
      <c r="O2925" s="345" t="s">
        <v>208</v>
      </c>
      <c r="P2925" s="345" t="s">
        <v>209</v>
      </c>
      <c r="Q2925" s="345" t="s">
        <v>210</v>
      </c>
      <c r="R2925" s="345" t="s">
        <v>223</v>
      </c>
      <c r="S2925" s="345" t="s">
        <v>224</v>
      </c>
    </row>
    <row r="2926" spans="1:19" x14ac:dyDescent="0.25">
      <c r="A2926" s="311"/>
      <c r="B2926" s="312"/>
      <c r="C2926" s="312"/>
      <c r="D2926" s="312"/>
      <c r="E2926" s="312"/>
      <c r="F2926" s="312"/>
      <c r="G2926" s="328"/>
      <c r="H2926" s="337"/>
      <c r="I2926" s="334"/>
      <c r="J2926" s="314"/>
      <c r="K2926" s="449"/>
      <c r="M2926" s="349" t="str">
        <f>N2926&amp;AS[[#This Row],[Insurer Code]]&amp;"; "&amp;O2926&amp;AS[[#This Row],[Reporting Year]]&amp;"; "&amp;P2926&amp;AS[[#This Row],[Insurance Category Code]]&amp;"; "&amp;Q2926&amp;AS[[#This Row],[Large Provider Entity Code]]&amp;"; "&amp;R2926&amp;AS[[#This Row],[Age Band Code]]&amp;"; "&amp;S2926&amp;AS[[#This Row],[Sex Code]]</f>
        <v xml:space="preserve">Insurer Code ; Reporting Year ; Insurance Category Code ; Large Provider Entity Code ; Age Band Code ; Sex Code </v>
      </c>
      <c r="N2926" s="345" t="s">
        <v>207</v>
      </c>
      <c r="O2926" s="345" t="s">
        <v>208</v>
      </c>
      <c r="P2926" s="345" t="s">
        <v>209</v>
      </c>
      <c r="Q2926" s="345" t="s">
        <v>210</v>
      </c>
      <c r="R2926" s="345" t="s">
        <v>223</v>
      </c>
      <c r="S2926" s="345" t="s">
        <v>224</v>
      </c>
    </row>
    <row r="2927" spans="1:19" x14ac:dyDescent="0.25">
      <c r="A2927" s="311"/>
      <c r="B2927" s="312"/>
      <c r="C2927" s="312"/>
      <c r="D2927" s="312"/>
      <c r="E2927" s="312"/>
      <c r="F2927" s="312"/>
      <c r="G2927" s="328"/>
      <c r="H2927" s="337"/>
      <c r="I2927" s="334"/>
      <c r="J2927" s="314"/>
      <c r="K2927" s="449"/>
      <c r="M2927" s="349" t="str">
        <f>N2927&amp;AS[[#This Row],[Insurer Code]]&amp;"; "&amp;O2927&amp;AS[[#This Row],[Reporting Year]]&amp;"; "&amp;P2927&amp;AS[[#This Row],[Insurance Category Code]]&amp;"; "&amp;Q2927&amp;AS[[#This Row],[Large Provider Entity Code]]&amp;"; "&amp;R2927&amp;AS[[#This Row],[Age Band Code]]&amp;"; "&amp;S2927&amp;AS[[#This Row],[Sex Code]]</f>
        <v xml:space="preserve">Insurer Code ; Reporting Year ; Insurance Category Code ; Large Provider Entity Code ; Age Band Code ; Sex Code </v>
      </c>
      <c r="N2927" s="345" t="s">
        <v>207</v>
      </c>
      <c r="O2927" s="345" t="s">
        <v>208</v>
      </c>
      <c r="P2927" s="345" t="s">
        <v>209</v>
      </c>
      <c r="Q2927" s="345" t="s">
        <v>210</v>
      </c>
      <c r="R2927" s="345" t="s">
        <v>223</v>
      </c>
      <c r="S2927" s="345" t="s">
        <v>224</v>
      </c>
    </row>
    <row r="2928" spans="1:19" x14ac:dyDescent="0.25">
      <c r="A2928" s="311"/>
      <c r="B2928" s="312"/>
      <c r="C2928" s="312"/>
      <c r="D2928" s="312"/>
      <c r="E2928" s="312"/>
      <c r="F2928" s="312"/>
      <c r="G2928" s="328"/>
      <c r="H2928" s="337"/>
      <c r="I2928" s="334"/>
      <c r="J2928" s="314"/>
      <c r="K2928" s="449"/>
      <c r="M2928" s="349" t="str">
        <f>N2928&amp;AS[[#This Row],[Insurer Code]]&amp;"; "&amp;O2928&amp;AS[[#This Row],[Reporting Year]]&amp;"; "&amp;P2928&amp;AS[[#This Row],[Insurance Category Code]]&amp;"; "&amp;Q2928&amp;AS[[#This Row],[Large Provider Entity Code]]&amp;"; "&amp;R2928&amp;AS[[#This Row],[Age Band Code]]&amp;"; "&amp;S2928&amp;AS[[#This Row],[Sex Code]]</f>
        <v xml:space="preserve">Insurer Code ; Reporting Year ; Insurance Category Code ; Large Provider Entity Code ; Age Band Code ; Sex Code </v>
      </c>
      <c r="N2928" s="345" t="s">
        <v>207</v>
      </c>
      <c r="O2928" s="345" t="s">
        <v>208</v>
      </c>
      <c r="P2928" s="345" t="s">
        <v>209</v>
      </c>
      <c r="Q2928" s="345" t="s">
        <v>210</v>
      </c>
      <c r="R2928" s="345" t="s">
        <v>223</v>
      </c>
      <c r="S2928" s="345" t="s">
        <v>224</v>
      </c>
    </row>
    <row r="2929" spans="1:19" x14ac:dyDescent="0.25">
      <c r="A2929" s="311"/>
      <c r="B2929" s="312"/>
      <c r="C2929" s="312"/>
      <c r="D2929" s="312"/>
      <c r="E2929" s="312"/>
      <c r="F2929" s="312"/>
      <c r="G2929" s="328"/>
      <c r="H2929" s="337"/>
      <c r="I2929" s="334"/>
      <c r="J2929" s="314"/>
      <c r="K2929" s="449"/>
      <c r="M2929" s="349" t="str">
        <f>N2929&amp;AS[[#This Row],[Insurer Code]]&amp;"; "&amp;O2929&amp;AS[[#This Row],[Reporting Year]]&amp;"; "&amp;P2929&amp;AS[[#This Row],[Insurance Category Code]]&amp;"; "&amp;Q2929&amp;AS[[#This Row],[Large Provider Entity Code]]&amp;"; "&amp;R2929&amp;AS[[#This Row],[Age Band Code]]&amp;"; "&amp;S2929&amp;AS[[#This Row],[Sex Code]]</f>
        <v xml:space="preserve">Insurer Code ; Reporting Year ; Insurance Category Code ; Large Provider Entity Code ; Age Band Code ; Sex Code </v>
      </c>
      <c r="N2929" s="345" t="s">
        <v>207</v>
      </c>
      <c r="O2929" s="345" t="s">
        <v>208</v>
      </c>
      <c r="P2929" s="345" t="s">
        <v>209</v>
      </c>
      <c r="Q2929" s="345" t="s">
        <v>210</v>
      </c>
      <c r="R2929" s="345" t="s">
        <v>223</v>
      </c>
      <c r="S2929" s="345" t="s">
        <v>224</v>
      </c>
    </row>
    <row r="2930" spans="1:19" x14ac:dyDescent="0.25">
      <c r="A2930" s="311"/>
      <c r="B2930" s="312"/>
      <c r="C2930" s="312"/>
      <c r="D2930" s="312"/>
      <c r="E2930" s="312"/>
      <c r="F2930" s="312"/>
      <c r="G2930" s="328"/>
      <c r="H2930" s="337"/>
      <c r="I2930" s="334"/>
      <c r="J2930" s="314"/>
      <c r="K2930" s="449"/>
      <c r="M2930" s="349" t="str">
        <f>N2930&amp;AS[[#This Row],[Insurer Code]]&amp;"; "&amp;O2930&amp;AS[[#This Row],[Reporting Year]]&amp;"; "&amp;P2930&amp;AS[[#This Row],[Insurance Category Code]]&amp;"; "&amp;Q2930&amp;AS[[#This Row],[Large Provider Entity Code]]&amp;"; "&amp;R2930&amp;AS[[#This Row],[Age Band Code]]&amp;"; "&amp;S2930&amp;AS[[#This Row],[Sex Code]]</f>
        <v xml:space="preserve">Insurer Code ; Reporting Year ; Insurance Category Code ; Large Provider Entity Code ; Age Band Code ; Sex Code </v>
      </c>
      <c r="N2930" s="345" t="s">
        <v>207</v>
      </c>
      <c r="O2930" s="345" t="s">
        <v>208</v>
      </c>
      <c r="P2930" s="345" t="s">
        <v>209</v>
      </c>
      <c r="Q2930" s="345" t="s">
        <v>210</v>
      </c>
      <c r="R2930" s="345" t="s">
        <v>223</v>
      </c>
      <c r="S2930" s="345" t="s">
        <v>224</v>
      </c>
    </row>
    <row r="2931" spans="1:19" x14ac:dyDescent="0.25">
      <c r="A2931" s="311"/>
      <c r="B2931" s="312"/>
      <c r="C2931" s="312"/>
      <c r="D2931" s="312"/>
      <c r="E2931" s="312"/>
      <c r="F2931" s="312"/>
      <c r="G2931" s="328"/>
      <c r="H2931" s="337"/>
      <c r="I2931" s="334"/>
      <c r="J2931" s="314"/>
      <c r="K2931" s="449"/>
      <c r="M2931" s="349" t="str">
        <f>N2931&amp;AS[[#This Row],[Insurer Code]]&amp;"; "&amp;O2931&amp;AS[[#This Row],[Reporting Year]]&amp;"; "&amp;P2931&amp;AS[[#This Row],[Insurance Category Code]]&amp;"; "&amp;Q2931&amp;AS[[#This Row],[Large Provider Entity Code]]&amp;"; "&amp;R2931&amp;AS[[#This Row],[Age Band Code]]&amp;"; "&amp;S2931&amp;AS[[#This Row],[Sex Code]]</f>
        <v xml:space="preserve">Insurer Code ; Reporting Year ; Insurance Category Code ; Large Provider Entity Code ; Age Band Code ; Sex Code </v>
      </c>
      <c r="N2931" s="345" t="s">
        <v>207</v>
      </c>
      <c r="O2931" s="345" t="s">
        <v>208</v>
      </c>
      <c r="P2931" s="345" t="s">
        <v>209</v>
      </c>
      <c r="Q2931" s="345" t="s">
        <v>210</v>
      </c>
      <c r="R2931" s="345" t="s">
        <v>223</v>
      </c>
      <c r="S2931" s="345" t="s">
        <v>224</v>
      </c>
    </row>
    <row r="2932" spans="1:19" x14ac:dyDescent="0.25">
      <c r="A2932" s="311"/>
      <c r="B2932" s="312"/>
      <c r="C2932" s="312"/>
      <c r="D2932" s="312"/>
      <c r="E2932" s="312"/>
      <c r="F2932" s="312"/>
      <c r="G2932" s="328"/>
      <c r="H2932" s="337"/>
      <c r="I2932" s="334"/>
      <c r="J2932" s="314"/>
      <c r="K2932" s="449"/>
      <c r="M2932" s="349" t="str">
        <f>N2932&amp;AS[[#This Row],[Insurer Code]]&amp;"; "&amp;O2932&amp;AS[[#This Row],[Reporting Year]]&amp;"; "&amp;P2932&amp;AS[[#This Row],[Insurance Category Code]]&amp;"; "&amp;Q2932&amp;AS[[#This Row],[Large Provider Entity Code]]&amp;"; "&amp;R2932&amp;AS[[#This Row],[Age Band Code]]&amp;"; "&amp;S2932&amp;AS[[#This Row],[Sex Code]]</f>
        <v xml:space="preserve">Insurer Code ; Reporting Year ; Insurance Category Code ; Large Provider Entity Code ; Age Band Code ; Sex Code </v>
      </c>
      <c r="N2932" s="345" t="s">
        <v>207</v>
      </c>
      <c r="O2932" s="345" t="s">
        <v>208</v>
      </c>
      <c r="P2932" s="345" t="s">
        <v>209</v>
      </c>
      <c r="Q2932" s="345" t="s">
        <v>210</v>
      </c>
      <c r="R2932" s="345" t="s">
        <v>223</v>
      </c>
      <c r="S2932" s="345" t="s">
        <v>224</v>
      </c>
    </row>
    <row r="2933" spans="1:19" x14ac:dyDescent="0.25">
      <c r="A2933" s="311"/>
      <c r="B2933" s="312"/>
      <c r="C2933" s="312"/>
      <c r="D2933" s="312"/>
      <c r="E2933" s="312"/>
      <c r="F2933" s="312"/>
      <c r="G2933" s="328"/>
      <c r="H2933" s="337"/>
      <c r="I2933" s="334"/>
      <c r="J2933" s="314"/>
      <c r="K2933" s="449"/>
      <c r="M2933" s="349" t="str">
        <f>N2933&amp;AS[[#This Row],[Insurer Code]]&amp;"; "&amp;O2933&amp;AS[[#This Row],[Reporting Year]]&amp;"; "&amp;P2933&amp;AS[[#This Row],[Insurance Category Code]]&amp;"; "&amp;Q2933&amp;AS[[#This Row],[Large Provider Entity Code]]&amp;"; "&amp;R2933&amp;AS[[#This Row],[Age Band Code]]&amp;"; "&amp;S2933&amp;AS[[#This Row],[Sex Code]]</f>
        <v xml:space="preserve">Insurer Code ; Reporting Year ; Insurance Category Code ; Large Provider Entity Code ; Age Band Code ; Sex Code </v>
      </c>
      <c r="N2933" s="345" t="s">
        <v>207</v>
      </c>
      <c r="O2933" s="345" t="s">
        <v>208</v>
      </c>
      <c r="P2933" s="345" t="s">
        <v>209</v>
      </c>
      <c r="Q2933" s="345" t="s">
        <v>210</v>
      </c>
      <c r="R2933" s="345" t="s">
        <v>223</v>
      </c>
      <c r="S2933" s="345" t="s">
        <v>224</v>
      </c>
    </row>
    <row r="2934" spans="1:19" x14ac:dyDescent="0.25">
      <c r="A2934" s="311"/>
      <c r="B2934" s="312"/>
      <c r="C2934" s="312"/>
      <c r="D2934" s="312"/>
      <c r="E2934" s="312"/>
      <c r="F2934" s="312"/>
      <c r="G2934" s="328"/>
      <c r="H2934" s="337"/>
      <c r="I2934" s="334"/>
      <c r="J2934" s="314"/>
      <c r="K2934" s="449"/>
      <c r="M2934" s="349" t="str">
        <f>N2934&amp;AS[[#This Row],[Insurer Code]]&amp;"; "&amp;O2934&amp;AS[[#This Row],[Reporting Year]]&amp;"; "&amp;P2934&amp;AS[[#This Row],[Insurance Category Code]]&amp;"; "&amp;Q2934&amp;AS[[#This Row],[Large Provider Entity Code]]&amp;"; "&amp;R2934&amp;AS[[#This Row],[Age Band Code]]&amp;"; "&amp;S2934&amp;AS[[#This Row],[Sex Code]]</f>
        <v xml:space="preserve">Insurer Code ; Reporting Year ; Insurance Category Code ; Large Provider Entity Code ; Age Band Code ; Sex Code </v>
      </c>
      <c r="N2934" s="345" t="s">
        <v>207</v>
      </c>
      <c r="O2934" s="345" t="s">
        <v>208</v>
      </c>
      <c r="P2934" s="345" t="s">
        <v>209</v>
      </c>
      <c r="Q2934" s="345" t="s">
        <v>210</v>
      </c>
      <c r="R2934" s="345" t="s">
        <v>223</v>
      </c>
      <c r="S2934" s="345" t="s">
        <v>224</v>
      </c>
    </row>
    <row r="2935" spans="1:19" x14ac:dyDescent="0.25">
      <c r="A2935" s="311"/>
      <c r="B2935" s="312"/>
      <c r="C2935" s="312"/>
      <c r="D2935" s="312"/>
      <c r="E2935" s="312"/>
      <c r="F2935" s="312"/>
      <c r="G2935" s="328"/>
      <c r="H2935" s="337"/>
      <c r="I2935" s="334"/>
      <c r="J2935" s="314"/>
      <c r="K2935" s="449"/>
      <c r="M2935" s="349" t="str">
        <f>N2935&amp;AS[[#This Row],[Insurer Code]]&amp;"; "&amp;O2935&amp;AS[[#This Row],[Reporting Year]]&amp;"; "&amp;P2935&amp;AS[[#This Row],[Insurance Category Code]]&amp;"; "&amp;Q2935&amp;AS[[#This Row],[Large Provider Entity Code]]&amp;"; "&amp;R2935&amp;AS[[#This Row],[Age Band Code]]&amp;"; "&amp;S2935&amp;AS[[#This Row],[Sex Code]]</f>
        <v xml:space="preserve">Insurer Code ; Reporting Year ; Insurance Category Code ; Large Provider Entity Code ; Age Band Code ; Sex Code </v>
      </c>
      <c r="N2935" s="345" t="s">
        <v>207</v>
      </c>
      <c r="O2935" s="345" t="s">
        <v>208</v>
      </c>
      <c r="P2935" s="345" t="s">
        <v>209</v>
      </c>
      <c r="Q2935" s="345" t="s">
        <v>210</v>
      </c>
      <c r="R2935" s="345" t="s">
        <v>223</v>
      </c>
      <c r="S2935" s="345" t="s">
        <v>224</v>
      </c>
    </row>
    <row r="2936" spans="1:19" x14ac:dyDescent="0.25">
      <c r="A2936" s="311"/>
      <c r="B2936" s="312"/>
      <c r="C2936" s="312"/>
      <c r="D2936" s="312"/>
      <c r="E2936" s="312"/>
      <c r="F2936" s="312"/>
      <c r="G2936" s="328"/>
      <c r="H2936" s="337"/>
      <c r="I2936" s="334"/>
      <c r="J2936" s="314"/>
      <c r="K2936" s="449"/>
      <c r="M2936" s="349" t="str">
        <f>N2936&amp;AS[[#This Row],[Insurer Code]]&amp;"; "&amp;O2936&amp;AS[[#This Row],[Reporting Year]]&amp;"; "&amp;P2936&amp;AS[[#This Row],[Insurance Category Code]]&amp;"; "&amp;Q2936&amp;AS[[#This Row],[Large Provider Entity Code]]&amp;"; "&amp;R2936&amp;AS[[#This Row],[Age Band Code]]&amp;"; "&amp;S2936&amp;AS[[#This Row],[Sex Code]]</f>
        <v xml:space="preserve">Insurer Code ; Reporting Year ; Insurance Category Code ; Large Provider Entity Code ; Age Band Code ; Sex Code </v>
      </c>
      <c r="N2936" s="345" t="s">
        <v>207</v>
      </c>
      <c r="O2936" s="345" t="s">
        <v>208</v>
      </c>
      <c r="P2936" s="345" t="s">
        <v>209</v>
      </c>
      <c r="Q2936" s="345" t="s">
        <v>210</v>
      </c>
      <c r="R2936" s="345" t="s">
        <v>223</v>
      </c>
      <c r="S2936" s="345" t="s">
        <v>224</v>
      </c>
    </row>
    <row r="2937" spans="1:19" x14ac:dyDescent="0.25">
      <c r="A2937" s="311"/>
      <c r="B2937" s="312"/>
      <c r="C2937" s="312"/>
      <c r="D2937" s="312"/>
      <c r="E2937" s="312"/>
      <c r="F2937" s="312"/>
      <c r="G2937" s="328"/>
      <c r="H2937" s="337"/>
      <c r="I2937" s="334"/>
      <c r="J2937" s="314"/>
      <c r="K2937" s="449"/>
      <c r="M2937" s="349" t="str">
        <f>N2937&amp;AS[[#This Row],[Insurer Code]]&amp;"; "&amp;O2937&amp;AS[[#This Row],[Reporting Year]]&amp;"; "&amp;P2937&amp;AS[[#This Row],[Insurance Category Code]]&amp;"; "&amp;Q2937&amp;AS[[#This Row],[Large Provider Entity Code]]&amp;"; "&amp;R2937&amp;AS[[#This Row],[Age Band Code]]&amp;"; "&amp;S2937&amp;AS[[#This Row],[Sex Code]]</f>
        <v xml:space="preserve">Insurer Code ; Reporting Year ; Insurance Category Code ; Large Provider Entity Code ; Age Band Code ; Sex Code </v>
      </c>
      <c r="N2937" s="345" t="s">
        <v>207</v>
      </c>
      <c r="O2937" s="345" t="s">
        <v>208</v>
      </c>
      <c r="P2937" s="345" t="s">
        <v>209</v>
      </c>
      <c r="Q2937" s="345" t="s">
        <v>210</v>
      </c>
      <c r="R2937" s="345" t="s">
        <v>223</v>
      </c>
      <c r="S2937" s="345" t="s">
        <v>224</v>
      </c>
    </row>
    <row r="2938" spans="1:19" x14ac:dyDescent="0.25">
      <c r="A2938" s="311"/>
      <c r="B2938" s="312"/>
      <c r="C2938" s="312"/>
      <c r="D2938" s="312"/>
      <c r="E2938" s="312"/>
      <c r="F2938" s="312"/>
      <c r="G2938" s="328"/>
      <c r="H2938" s="337"/>
      <c r="I2938" s="334"/>
      <c r="J2938" s="314"/>
      <c r="K2938" s="449"/>
      <c r="M2938" s="349" t="str">
        <f>N2938&amp;AS[[#This Row],[Insurer Code]]&amp;"; "&amp;O2938&amp;AS[[#This Row],[Reporting Year]]&amp;"; "&amp;P2938&amp;AS[[#This Row],[Insurance Category Code]]&amp;"; "&amp;Q2938&amp;AS[[#This Row],[Large Provider Entity Code]]&amp;"; "&amp;R2938&amp;AS[[#This Row],[Age Band Code]]&amp;"; "&amp;S2938&amp;AS[[#This Row],[Sex Code]]</f>
        <v xml:space="preserve">Insurer Code ; Reporting Year ; Insurance Category Code ; Large Provider Entity Code ; Age Band Code ; Sex Code </v>
      </c>
      <c r="N2938" s="345" t="s">
        <v>207</v>
      </c>
      <c r="O2938" s="345" t="s">
        <v>208</v>
      </c>
      <c r="P2938" s="345" t="s">
        <v>209</v>
      </c>
      <c r="Q2938" s="345" t="s">
        <v>210</v>
      </c>
      <c r="R2938" s="345" t="s">
        <v>223</v>
      </c>
      <c r="S2938" s="345" t="s">
        <v>224</v>
      </c>
    </row>
    <row r="2939" spans="1:19" x14ac:dyDescent="0.25">
      <c r="A2939" s="311"/>
      <c r="B2939" s="312"/>
      <c r="C2939" s="312"/>
      <c r="D2939" s="312"/>
      <c r="E2939" s="312"/>
      <c r="F2939" s="312"/>
      <c r="G2939" s="328"/>
      <c r="H2939" s="337"/>
      <c r="I2939" s="334"/>
      <c r="J2939" s="314"/>
      <c r="K2939" s="449"/>
      <c r="M2939" s="349" t="str">
        <f>N2939&amp;AS[[#This Row],[Insurer Code]]&amp;"; "&amp;O2939&amp;AS[[#This Row],[Reporting Year]]&amp;"; "&amp;P2939&amp;AS[[#This Row],[Insurance Category Code]]&amp;"; "&amp;Q2939&amp;AS[[#This Row],[Large Provider Entity Code]]&amp;"; "&amp;R2939&amp;AS[[#This Row],[Age Band Code]]&amp;"; "&amp;S2939&amp;AS[[#This Row],[Sex Code]]</f>
        <v xml:space="preserve">Insurer Code ; Reporting Year ; Insurance Category Code ; Large Provider Entity Code ; Age Band Code ; Sex Code </v>
      </c>
      <c r="N2939" s="345" t="s">
        <v>207</v>
      </c>
      <c r="O2939" s="345" t="s">
        <v>208</v>
      </c>
      <c r="P2939" s="345" t="s">
        <v>209</v>
      </c>
      <c r="Q2939" s="345" t="s">
        <v>210</v>
      </c>
      <c r="R2939" s="345" t="s">
        <v>223</v>
      </c>
      <c r="S2939" s="345" t="s">
        <v>224</v>
      </c>
    </row>
    <row r="2940" spans="1:19" x14ac:dyDescent="0.25">
      <c r="A2940" s="311"/>
      <c r="B2940" s="312"/>
      <c r="C2940" s="312"/>
      <c r="D2940" s="312"/>
      <c r="E2940" s="312"/>
      <c r="F2940" s="312"/>
      <c r="G2940" s="328"/>
      <c r="H2940" s="337"/>
      <c r="I2940" s="334"/>
      <c r="J2940" s="314"/>
      <c r="K2940" s="449"/>
      <c r="M2940" s="349" t="str">
        <f>N2940&amp;AS[[#This Row],[Insurer Code]]&amp;"; "&amp;O2940&amp;AS[[#This Row],[Reporting Year]]&amp;"; "&amp;P2940&amp;AS[[#This Row],[Insurance Category Code]]&amp;"; "&amp;Q2940&amp;AS[[#This Row],[Large Provider Entity Code]]&amp;"; "&amp;R2940&amp;AS[[#This Row],[Age Band Code]]&amp;"; "&amp;S2940&amp;AS[[#This Row],[Sex Code]]</f>
        <v xml:space="preserve">Insurer Code ; Reporting Year ; Insurance Category Code ; Large Provider Entity Code ; Age Band Code ; Sex Code </v>
      </c>
      <c r="N2940" s="345" t="s">
        <v>207</v>
      </c>
      <c r="O2940" s="345" t="s">
        <v>208</v>
      </c>
      <c r="P2940" s="345" t="s">
        <v>209</v>
      </c>
      <c r="Q2940" s="345" t="s">
        <v>210</v>
      </c>
      <c r="R2940" s="345" t="s">
        <v>223</v>
      </c>
      <c r="S2940" s="345" t="s">
        <v>224</v>
      </c>
    </row>
    <row r="2941" spans="1:19" x14ac:dyDescent="0.25">
      <c r="A2941" s="311"/>
      <c r="B2941" s="312"/>
      <c r="C2941" s="312"/>
      <c r="D2941" s="312"/>
      <c r="E2941" s="312"/>
      <c r="F2941" s="312"/>
      <c r="G2941" s="328"/>
      <c r="H2941" s="337"/>
      <c r="I2941" s="334"/>
      <c r="J2941" s="314"/>
      <c r="K2941" s="449"/>
      <c r="M2941" s="349" t="str">
        <f>N2941&amp;AS[[#This Row],[Insurer Code]]&amp;"; "&amp;O2941&amp;AS[[#This Row],[Reporting Year]]&amp;"; "&amp;P2941&amp;AS[[#This Row],[Insurance Category Code]]&amp;"; "&amp;Q2941&amp;AS[[#This Row],[Large Provider Entity Code]]&amp;"; "&amp;R2941&amp;AS[[#This Row],[Age Band Code]]&amp;"; "&amp;S2941&amp;AS[[#This Row],[Sex Code]]</f>
        <v xml:space="preserve">Insurer Code ; Reporting Year ; Insurance Category Code ; Large Provider Entity Code ; Age Band Code ; Sex Code </v>
      </c>
      <c r="N2941" s="345" t="s">
        <v>207</v>
      </c>
      <c r="O2941" s="345" t="s">
        <v>208</v>
      </c>
      <c r="P2941" s="345" t="s">
        <v>209</v>
      </c>
      <c r="Q2941" s="345" t="s">
        <v>210</v>
      </c>
      <c r="R2941" s="345" t="s">
        <v>223</v>
      </c>
      <c r="S2941" s="345" t="s">
        <v>224</v>
      </c>
    </row>
    <row r="2942" spans="1:19" x14ac:dyDescent="0.25">
      <c r="A2942" s="311"/>
      <c r="B2942" s="312"/>
      <c r="C2942" s="312"/>
      <c r="D2942" s="312"/>
      <c r="E2942" s="312"/>
      <c r="F2942" s="312"/>
      <c r="G2942" s="328"/>
      <c r="H2942" s="337"/>
      <c r="I2942" s="334"/>
      <c r="J2942" s="314"/>
      <c r="K2942" s="449"/>
      <c r="M2942" s="349" t="str">
        <f>N2942&amp;AS[[#This Row],[Insurer Code]]&amp;"; "&amp;O2942&amp;AS[[#This Row],[Reporting Year]]&amp;"; "&amp;P2942&amp;AS[[#This Row],[Insurance Category Code]]&amp;"; "&amp;Q2942&amp;AS[[#This Row],[Large Provider Entity Code]]&amp;"; "&amp;R2942&amp;AS[[#This Row],[Age Band Code]]&amp;"; "&amp;S2942&amp;AS[[#This Row],[Sex Code]]</f>
        <v xml:space="preserve">Insurer Code ; Reporting Year ; Insurance Category Code ; Large Provider Entity Code ; Age Band Code ; Sex Code </v>
      </c>
      <c r="N2942" s="345" t="s">
        <v>207</v>
      </c>
      <c r="O2942" s="345" t="s">
        <v>208</v>
      </c>
      <c r="P2942" s="345" t="s">
        <v>209</v>
      </c>
      <c r="Q2942" s="345" t="s">
        <v>210</v>
      </c>
      <c r="R2942" s="345" t="s">
        <v>223</v>
      </c>
      <c r="S2942" s="345" t="s">
        <v>224</v>
      </c>
    </row>
    <row r="2943" spans="1:19" x14ac:dyDescent="0.25">
      <c r="A2943" s="311"/>
      <c r="B2943" s="312"/>
      <c r="C2943" s="312"/>
      <c r="D2943" s="312"/>
      <c r="E2943" s="312"/>
      <c r="F2943" s="312"/>
      <c r="G2943" s="328"/>
      <c r="H2943" s="337"/>
      <c r="I2943" s="334"/>
      <c r="J2943" s="314"/>
      <c r="K2943" s="449"/>
      <c r="M2943" s="349" t="str">
        <f>N2943&amp;AS[[#This Row],[Insurer Code]]&amp;"; "&amp;O2943&amp;AS[[#This Row],[Reporting Year]]&amp;"; "&amp;P2943&amp;AS[[#This Row],[Insurance Category Code]]&amp;"; "&amp;Q2943&amp;AS[[#This Row],[Large Provider Entity Code]]&amp;"; "&amp;R2943&amp;AS[[#This Row],[Age Band Code]]&amp;"; "&amp;S2943&amp;AS[[#This Row],[Sex Code]]</f>
        <v xml:space="preserve">Insurer Code ; Reporting Year ; Insurance Category Code ; Large Provider Entity Code ; Age Band Code ; Sex Code </v>
      </c>
      <c r="N2943" s="345" t="s">
        <v>207</v>
      </c>
      <c r="O2943" s="345" t="s">
        <v>208</v>
      </c>
      <c r="P2943" s="345" t="s">
        <v>209</v>
      </c>
      <c r="Q2943" s="345" t="s">
        <v>210</v>
      </c>
      <c r="R2943" s="345" t="s">
        <v>223</v>
      </c>
      <c r="S2943" s="345" t="s">
        <v>224</v>
      </c>
    </row>
    <row r="2944" spans="1:19" x14ac:dyDescent="0.25">
      <c r="A2944" s="311"/>
      <c r="B2944" s="312"/>
      <c r="C2944" s="312"/>
      <c r="D2944" s="312"/>
      <c r="E2944" s="312"/>
      <c r="F2944" s="312"/>
      <c r="G2944" s="328"/>
      <c r="H2944" s="337"/>
      <c r="I2944" s="334"/>
      <c r="J2944" s="314"/>
      <c r="K2944" s="449"/>
      <c r="M2944" s="349" t="str">
        <f>N2944&amp;AS[[#This Row],[Insurer Code]]&amp;"; "&amp;O2944&amp;AS[[#This Row],[Reporting Year]]&amp;"; "&amp;P2944&amp;AS[[#This Row],[Insurance Category Code]]&amp;"; "&amp;Q2944&amp;AS[[#This Row],[Large Provider Entity Code]]&amp;"; "&amp;R2944&amp;AS[[#This Row],[Age Band Code]]&amp;"; "&amp;S2944&amp;AS[[#This Row],[Sex Code]]</f>
        <v xml:space="preserve">Insurer Code ; Reporting Year ; Insurance Category Code ; Large Provider Entity Code ; Age Band Code ; Sex Code </v>
      </c>
      <c r="N2944" s="345" t="s">
        <v>207</v>
      </c>
      <c r="O2944" s="345" t="s">
        <v>208</v>
      </c>
      <c r="P2944" s="345" t="s">
        <v>209</v>
      </c>
      <c r="Q2944" s="345" t="s">
        <v>210</v>
      </c>
      <c r="R2944" s="345" t="s">
        <v>223</v>
      </c>
      <c r="S2944" s="345" t="s">
        <v>224</v>
      </c>
    </row>
    <row r="2945" spans="1:19" x14ac:dyDescent="0.25">
      <c r="A2945" s="311"/>
      <c r="B2945" s="312"/>
      <c r="C2945" s="312"/>
      <c r="D2945" s="312"/>
      <c r="E2945" s="312"/>
      <c r="F2945" s="312"/>
      <c r="G2945" s="328"/>
      <c r="H2945" s="337"/>
      <c r="I2945" s="334"/>
      <c r="J2945" s="314"/>
      <c r="K2945" s="449"/>
      <c r="M2945" s="349" t="str">
        <f>N2945&amp;AS[[#This Row],[Insurer Code]]&amp;"; "&amp;O2945&amp;AS[[#This Row],[Reporting Year]]&amp;"; "&amp;P2945&amp;AS[[#This Row],[Insurance Category Code]]&amp;"; "&amp;Q2945&amp;AS[[#This Row],[Large Provider Entity Code]]&amp;"; "&amp;R2945&amp;AS[[#This Row],[Age Band Code]]&amp;"; "&amp;S2945&amp;AS[[#This Row],[Sex Code]]</f>
        <v xml:space="preserve">Insurer Code ; Reporting Year ; Insurance Category Code ; Large Provider Entity Code ; Age Band Code ; Sex Code </v>
      </c>
      <c r="N2945" s="345" t="s">
        <v>207</v>
      </c>
      <c r="O2945" s="345" t="s">
        <v>208</v>
      </c>
      <c r="P2945" s="345" t="s">
        <v>209</v>
      </c>
      <c r="Q2945" s="345" t="s">
        <v>210</v>
      </c>
      <c r="R2945" s="345" t="s">
        <v>223</v>
      </c>
      <c r="S2945" s="345" t="s">
        <v>224</v>
      </c>
    </row>
    <row r="2946" spans="1:19" x14ac:dyDescent="0.25">
      <c r="A2946" s="311"/>
      <c r="B2946" s="312"/>
      <c r="C2946" s="312"/>
      <c r="D2946" s="312"/>
      <c r="E2946" s="312"/>
      <c r="F2946" s="312"/>
      <c r="G2946" s="328"/>
      <c r="H2946" s="337"/>
      <c r="I2946" s="334"/>
      <c r="J2946" s="314"/>
      <c r="K2946" s="449"/>
      <c r="M2946" s="349" t="str">
        <f>N2946&amp;AS[[#This Row],[Insurer Code]]&amp;"; "&amp;O2946&amp;AS[[#This Row],[Reporting Year]]&amp;"; "&amp;P2946&amp;AS[[#This Row],[Insurance Category Code]]&amp;"; "&amp;Q2946&amp;AS[[#This Row],[Large Provider Entity Code]]&amp;"; "&amp;R2946&amp;AS[[#This Row],[Age Band Code]]&amp;"; "&amp;S2946&amp;AS[[#This Row],[Sex Code]]</f>
        <v xml:space="preserve">Insurer Code ; Reporting Year ; Insurance Category Code ; Large Provider Entity Code ; Age Band Code ; Sex Code </v>
      </c>
      <c r="N2946" s="345" t="s">
        <v>207</v>
      </c>
      <c r="O2946" s="345" t="s">
        <v>208</v>
      </c>
      <c r="P2946" s="345" t="s">
        <v>209</v>
      </c>
      <c r="Q2946" s="345" t="s">
        <v>210</v>
      </c>
      <c r="R2946" s="345" t="s">
        <v>223</v>
      </c>
      <c r="S2946" s="345" t="s">
        <v>224</v>
      </c>
    </row>
    <row r="2947" spans="1:19" x14ac:dyDescent="0.25">
      <c r="A2947" s="311"/>
      <c r="B2947" s="312"/>
      <c r="C2947" s="312"/>
      <c r="D2947" s="312"/>
      <c r="E2947" s="312"/>
      <c r="F2947" s="312"/>
      <c r="G2947" s="328"/>
      <c r="H2947" s="337"/>
      <c r="I2947" s="334"/>
      <c r="J2947" s="314"/>
      <c r="K2947" s="449"/>
      <c r="M2947" s="349" t="str">
        <f>N2947&amp;AS[[#This Row],[Insurer Code]]&amp;"; "&amp;O2947&amp;AS[[#This Row],[Reporting Year]]&amp;"; "&amp;P2947&amp;AS[[#This Row],[Insurance Category Code]]&amp;"; "&amp;Q2947&amp;AS[[#This Row],[Large Provider Entity Code]]&amp;"; "&amp;R2947&amp;AS[[#This Row],[Age Band Code]]&amp;"; "&amp;S2947&amp;AS[[#This Row],[Sex Code]]</f>
        <v xml:space="preserve">Insurer Code ; Reporting Year ; Insurance Category Code ; Large Provider Entity Code ; Age Band Code ; Sex Code </v>
      </c>
      <c r="N2947" s="345" t="s">
        <v>207</v>
      </c>
      <c r="O2947" s="345" t="s">
        <v>208</v>
      </c>
      <c r="P2947" s="345" t="s">
        <v>209</v>
      </c>
      <c r="Q2947" s="345" t="s">
        <v>210</v>
      </c>
      <c r="R2947" s="345" t="s">
        <v>223</v>
      </c>
      <c r="S2947" s="345" t="s">
        <v>224</v>
      </c>
    </row>
    <row r="2948" spans="1:19" x14ac:dyDescent="0.25">
      <c r="A2948" s="311"/>
      <c r="B2948" s="312"/>
      <c r="C2948" s="312"/>
      <c r="D2948" s="312"/>
      <c r="E2948" s="312"/>
      <c r="F2948" s="312"/>
      <c r="G2948" s="328"/>
      <c r="H2948" s="337"/>
      <c r="I2948" s="334"/>
      <c r="J2948" s="314"/>
      <c r="K2948" s="449"/>
      <c r="M2948" s="349" t="str">
        <f>N2948&amp;AS[[#This Row],[Insurer Code]]&amp;"; "&amp;O2948&amp;AS[[#This Row],[Reporting Year]]&amp;"; "&amp;P2948&amp;AS[[#This Row],[Insurance Category Code]]&amp;"; "&amp;Q2948&amp;AS[[#This Row],[Large Provider Entity Code]]&amp;"; "&amp;R2948&amp;AS[[#This Row],[Age Band Code]]&amp;"; "&amp;S2948&amp;AS[[#This Row],[Sex Code]]</f>
        <v xml:space="preserve">Insurer Code ; Reporting Year ; Insurance Category Code ; Large Provider Entity Code ; Age Band Code ; Sex Code </v>
      </c>
      <c r="N2948" s="345" t="s">
        <v>207</v>
      </c>
      <c r="O2948" s="345" t="s">
        <v>208</v>
      </c>
      <c r="P2948" s="345" t="s">
        <v>209</v>
      </c>
      <c r="Q2948" s="345" t="s">
        <v>210</v>
      </c>
      <c r="R2948" s="345" t="s">
        <v>223</v>
      </c>
      <c r="S2948" s="345" t="s">
        <v>224</v>
      </c>
    </row>
    <row r="2949" spans="1:19" x14ac:dyDescent="0.25">
      <c r="A2949" s="311"/>
      <c r="B2949" s="312"/>
      <c r="C2949" s="312"/>
      <c r="D2949" s="312"/>
      <c r="E2949" s="312"/>
      <c r="F2949" s="312"/>
      <c r="G2949" s="328"/>
      <c r="H2949" s="337"/>
      <c r="I2949" s="334"/>
      <c r="J2949" s="314"/>
      <c r="K2949" s="449"/>
      <c r="M2949" s="349" t="str">
        <f>N2949&amp;AS[[#This Row],[Insurer Code]]&amp;"; "&amp;O2949&amp;AS[[#This Row],[Reporting Year]]&amp;"; "&amp;P2949&amp;AS[[#This Row],[Insurance Category Code]]&amp;"; "&amp;Q2949&amp;AS[[#This Row],[Large Provider Entity Code]]&amp;"; "&amp;R2949&amp;AS[[#This Row],[Age Band Code]]&amp;"; "&amp;S2949&amp;AS[[#This Row],[Sex Code]]</f>
        <v xml:space="preserve">Insurer Code ; Reporting Year ; Insurance Category Code ; Large Provider Entity Code ; Age Band Code ; Sex Code </v>
      </c>
      <c r="N2949" s="345" t="s">
        <v>207</v>
      </c>
      <c r="O2949" s="345" t="s">
        <v>208</v>
      </c>
      <c r="P2949" s="345" t="s">
        <v>209</v>
      </c>
      <c r="Q2949" s="345" t="s">
        <v>210</v>
      </c>
      <c r="R2949" s="345" t="s">
        <v>223</v>
      </c>
      <c r="S2949" s="345" t="s">
        <v>224</v>
      </c>
    </row>
    <row r="2950" spans="1:19" x14ac:dyDescent="0.25">
      <c r="A2950" s="311"/>
      <c r="B2950" s="312"/>
      <c r="C2950" s="312"/>
      <c r="D2950" s="312"/>
      <c r="E2950" s="312"/>
      <c r="F2950" s="312"/>
      <c r="G2950" s="328"/>
      <c r="H2950" s="337"/>
      <c r="I2950" s="334"/>
      <c r="J2950" s="314"/>
      <c r="K2950" s="449"/>
      <c r="M2950" s="349" t="str">
        <f>N2950&amp;AS[[#This Row],[Insurer Code]]&amp;"; "&amp;O2950&amp;AS[[#This Row],[Reporting Year]]&amp;"; "&amp;P2950&amp;AS[[#This Row],[Insurance Category Code]]&amp;"; "&amp;Q2950&amp;AS[[#This Row],[Large Provider Entity Code]]&amp;"; "&amp;R2950&amp;AS[[#This Row],[Age Band Code]]&amp;"; "&amp;S2950&amp;AS[[#This Row],[Sex Code]]</f>
        <v xml:space="preserve">Insurer Code ; Reporting Year ; Insurance Category Code ; Large Provider Entity Code ; Age Band Code ; Sex Code </v>
      </c>
      <c r="N2950" s="345" t="s">
        <v>207</v>
      </c>
      <c r="O2950" s="345" t="s">
        <v>208</v>
      </c>
      <c r="P2950" s="345" t="s">
        <v>209</v>
      </c>
      <c r="Q2950" s="345" t="s">
        <v>210</v>
      </c>
      <c r="R2950" s="345" t="s">
        <v>223</v>
      </c>
      <c r="S2950" s="345" t="s">
        <v>224</v>
      </c>
    </row>
    <row r="2951" spans="1:19" x14ac:dyDescent="0.25">
      <c r="A2951" s="311"/>
      <c r="B2951" s="312"/>
      <c r="C2951" s="312"/>
      <c r="D2951" s="312"/>
      <c r="E2951" s="312"/>
      <c r="F2951" s="312"/>
      <c r="G2951" s="328"/>
      <c r="H2951" s="337"/>
      <c r="I2951" s="334"/>
      <c r="J2951" s="314"/>
      <c r="K2951" s="449"/>
      <c r="M2951" s="349" t="str">
        <f>N2951&amp;AS[[#This Row],[Insurer Code]]&amp;"; "&amp;O2951&amp;AS[[#This Row],[Reporting Year]]&amp;"; "&amp;P2951&amp;AS[[#This Row],[Insurance Category Code]]&amp;"; "&amp;Q2951&amp;AS[[#This Row],[Large Provider Entity Code]]&amp;"; "&amp;R2951&amp;AS[[#This Row],[Age Band Code]]&amp;"; "&amp;S2951&amp;AS[[#This Row],[Sex Code]]</f>
        <v xml:space="preserve">Insurer Code ; Reporting Year ; Insurance Category Code ; Large Provider Entity Code ; Age Band Code ; Sex Code </v>
      </c>
      <c r="N2951" s="345" t="s">
        <v>207</v>
      </c>
      <c r="O2951" s="345" t="s">
        <v>208</v>
      </c>
      <c r="P2951" s="345" t="s">
        <v>209</v>
      </c>
      <c r="Q2951" s="345" t="s">
        <v>210</v>
      </c>
      <c r="R2951" s="345" t="s">
        <v>223</v>
      </c>
      <c r="S2951" s="345" t="s">
        <v>224</v>
      </c>
    </row>
    <row r="2952" spans="1:19" x14ac:dyDescent="0.25">
      <c r="A2952" s="311"/>
      <c r="B2952" s="312"/>
      <c r="C2952" s="312"/>
      <c r="D2952" s="312"/>
      <c r="E2952" s="312"/>
      <c r="F2952" s="312"/>
      <c r="G2952" s="328"/>
      <c r="H2952" s="337"/>
      <c r="I2952" s="334"/>
      <c r="J2952" s="314"/>
      <c r="K2952" s="449"/>
      <c r="M2952" s="349" t="str">
        <f>N2952&amp;AS[[#This Row],[Insurer Code]]&amp;"; "&amp;O2952&amp;AS[[#This Row],[Reporting Year]]&amp;"; "&amp;P2952&amp;AS[[#This Row],[Insurance Category Code]]&amp;"; "&amp;Q2952&amp;AS[[#This Row],[Large Provider Entity Code]]&amp;"; "&amp;R2952&amp;AS[[#This Row],[Age Band Code]]&amp;"; "&amp;S2952&amp;AS[[#This Row],[Sex Code]]</f>
        <v xml:space="preserve">Insurer Code ; Reporting Year ; Insurance Category Code ; Large Provider Entity Code ; Age Band Code ; Sex Code </v>
      </c>
      <c r="N2952" s="345" t="s">
        <v>207</v>
      </c>
      <c r="O2952" s="345" t="s">
        <v>208</v>
      </c>
      <c r="P2952" s="345" t="s">
        <v>209</v>
      </c>
      <c r="Q2952" s="345" t="s">
        <v>210</v>
      </c>
      <c r="R2952" s="345" t="s">
        <v>223</v>
      </c>
      <c r="S2952" s="345" t="s">
        <v>224</v>
      </c>
    </row>
    <row r="2953" spans="1:19" x14ac:dyDescent="0.25">
      <c r="A2953" s="311"/>
      <c r="B2953" s="312"/>
      <c r="C2953" s="312"/>
      <c r="D2953" s="312"/>
      <c r="E2953" s="312"/>
      <c r="F2953" s="312"/>
      <c r="G2953" s="328"/>
      <c r="H2953" s="337"/>
      <c r="I2953" s="334"/>
      <c r="J2953" s="314"/>
      <c r="K2953" s="449"/>
      <c r="M2953" s="349" t="str">
        <f>N2953&amp;AS[[#This Row],[Insurer Code]]&amp;"; "&amp;O2953&amp;AS[[#This Row],[Reporting Year]]&amp;"; "&amp;P2953&amp;AS[[#This Row],[Insurance Category Code]]&amp;"; "&amp;Q2953&amp;AS[[#This Row],[Large Provider Entity Code]]&amp;"; "&amp;R2953&amp;AS[[#This Row],[Age Band Code]]&amp;"; "&amp;S2953&amp;AS[[#This Row],[Sex Code]]</f>
        <v xml:space="preserve">Insurer Code ; Reporting Year ; Insurance Category Code ; Large Provider Entity Code ; Age Band Code ; Sex Code </v>
      </c>
      <c r="N2953" s="345" t="s">
        <v>207</v>
      </c>
      <c r="O2953" s="345" t="s">
        <v>208</v>
      </c>
      <c r="P2953" s="345" t="s">
        <v>209</v>
      </c>
      <c r="Q2953" s="345" t="s">
        <v>210</v>
      </c>
      <c r="R2953" s="345" t="s">
        <v>223</v>
      </c>
      <c r="S2953" s="345" t="s">
        <v>224</v>
      </c>
    </row>
    <row r="2954" spans="1:19" x14ac:dyDescent="0.25">
      <c r="A2954" s="311"/>
      <c r="B2954" s="312"/>
      <c r="C2954" s="312"/>
      <c r="D2954" s="312"/>
      <c r="E2954" s="312"/>
      <c r="F2954" s="312"/>
      <c r="G2954" s="328"/>
      <c r="H2954" s="337"/>
      <c r="I2954" s="334"/>
      <c r="J2954" s="314"/>
      <c r="K2954" s="449"/>
      <c r="M2954" s="349" t="str">
        <f>N2954&amp;AS[[#This Row],[Insurer Code]]&amp;"; "&amp;O2954&amp;AS[[#This Row],[Reporting Year]]&amp;"; "&amp;P2954&amp;AS[[#This Row],[Insurance Category Code]]&amp;"; "&amp;Q2954&amp;AS[[#This Row],[Large Provider Entity Code]]&amp;"; "&amp;R2954&amp;AS[[#This Row],[Age Band Code]]&amp;"; "&amp;S2954&amp;AS[[#This Row],[Sex Code]]</f>
        <v xml:space="preserve">Insurer Code ; Reporting Year ; Insurance Category Code ; Large Provider Entity Code ; Age Band Code ; Sex Code </v>
      </c>
      <c r="N2954" s="345" t="s">
        <v>207</v>
      </c>
      <c r="O2954" s="345" t="s">
        <v>208</v>
      </c>
      <c r="P2954" s="345" t="s">
        <v>209</v>
      </c>
      <c r="Q2954" s="345" t="s">
        <v>210</v>
      </c>
      <c r="R2954" s="345" t="s">
        <v>223</v>
      </c>
      <c r="S2954" s="345" t="s">
        <v>224</v>
      </c>
    </row>
    <row r="2955" spans="1:19" x14ac:dyDescent="0.25">
      <c r="A2955" s="311"/>
      <c r="B2955" s="312"/>
      <c r="C2955" s="312"/>
      <c r="D2955" s="312"/>
      <c r="E2955" s="312"/>
      <c r="F2955" s="312"/>
      <c r="G2955" s="328"/>
      <c r="H2955" s="337"/>
      <c r="I2955" s="334"/>
      <c r="J2955" s="314"/>
      <c r="K2955" s="449"/>
      <c r="M2955" s="349" t="str">
        <f>N2955&amp;AS[[#This Row],[Insurer Code]]&amp;"; "&amp;O2955&amp;AS[[#This Row],[Reporting Year]]&amp;"; "&amp;P2955&amp;AS[[#This Row],[Insurance Category Code]]&amp;"; "&amp;Q2955&amp;AS[[#This Row],[Large Provider Entity Code]]&amp;"; "&amp;R2955&amp;AS[[#This Row],[Age Band Code]]&amp;"; "&amp;S2955&amp;AS[[#This Row],[Sex Code]]</f>
        <v xml:space="preserve">Insurer Code ; Reporting Year ; Insurance Category Code ; Large Provider Entity Code ; Age Band Code ; Sex Code </v>
      </c>
      <c r="N2955" s="345" t="s">
        <v>207</v>
      </c>
      <c r="O2955" s="345" t="s">
        <v>208</v>
      </c>
      <c r="P2955" s="345" t="s">
        <v>209</v>
      </c>
      <c r="Q2955" s="345" t="s">
        <v>210</v>
      </c>
      <c r="R2955" s="345" t="s">
        <v>223</v>
      </c>
      <c r="S2955" s="345" t="s">
        <v>224</v>
      </c>
    </row>
    <row r="2956" spans="1:19" x14ac:dyDescent="0.25">
      <c r="A2956" s="311"/>
      <c r="B2956" s="312"/>
      <c r="C2956" s="312"/>
      <c r="D2956" s="312"/>
      <c r="E2956" s="312"/>
      <c r="F2956" s="312"/>
      <c r="G2956" s="328"/>
      <c r="H2956" s="337"/>
      <c r="I2956" s="334"/>
      <c r="J2956" s="314"/>
      <c r="K2956" s="449"/>
      <c r="M2956" s="349" t="str">
        <f>N2956&amp;AS[[#This Row],[Insurer Code]]&amp;"; "&amp;O2956&amp;AS[[#This Row],[Reporting Year]]&amp;"; "&amp;P2956&amp;AS[[#This Row],[Insurance Category Code]]&amp;"; "&amp;Q2956&amp;AS[[#This Row],[Large Provider Entity Code]]&amp;"; "&amp;R2956&amp;AS[[#This Row],[Age Band Code]]&amp;"; "&amp;S2956&amp;AS[[#This Row],[Sex Code]]</f>
        <v xml:space="preserve">Insurer Code ; Reporting Year ; Insurance Category Code ; Large Provider Entity Code ; Age Band Code ; Sex Code </v>
      </c>
      <c r="N2956" s="345" t="s">
        <v>207</v>
      </c>
      <c r="O2956" s="345" t="s">
        <v>208</v>
      </c>
      <c r="P2956" s="345" t="s">
        <v>209</v>
      </c>
      <c r="Q2956" s="345" t="s">
        <v>210</v>
      </c>
      <c r="R2956" s="345" t="s">
        <v>223</v>
      </c>
      <c r="S2956" s="345" t="s">
        <v>224</v>
      </c>
    </row>
    <row r="2957" spans="1:19" x14ac:dyDescent="0.25">
      <c r="A2957" s="311"/>
      <c r="B2957" s="312"/>
      <c r="C2957" s="312"/>
      <c r="D2957" s="312"/>
      <c r="E2957" s="312"/>
      <c r="F2957" s="312"/>
      <c r="G2957" s="328"/>
      <c r="H2957" s="337"/>
      <c r="I2957" s="334"/>
      <c r="J2957" s="314"/>
      <c r="K2957" s="449"/>
      <c r="M2957" s="349" t="str">
        <f>N2957&amp;AS[[#This Row],[Insurer Code]]&amp;"; "&amp;O2957&amp;AS[[#This Row],[Reporting Year]]&amp;"; "&amp;P2957&amp;AS[[#This Row],[Insurance Category Code]]&amp;"; "&amp;Q2957&amp;AS[[#This Row],[Large Provider Entity Code]]&amp;"; "&amp;R2957&amp;AS[[#This Row],[Age Band Code]]&amp;"; "&amp;S2957&amp;AS[[#This Row],[Sex Code]]</f>
        <v xml:space="preserve">Insurer Code ; Reporting Year ; Insurance Category Code ; Large Provider Entity Code ; Age Band Code ; Sex Code </v>
      </c>
      <c r="N2957" s="345" t="s">
        <v>207</v>
      </c>
      <c r="O2957" s="345" t="s">
        <v>208</v>
      </c>
      <c r="P2957" s="345" t="s">
        <v>209</v>
      </c>
      <c r="Q2957" s="345" t="s">
        <v>210</v>
      </c>
      <c r="R2957" s="345" t="s">
        <v>223</v>
      </c>
      <c r="S2957" s="345" t="s">
        <v>224</v>
      </c>
    </row>
    <row r="2958" spans="1:19" x14ac:dyDescent="0.25">
      <c r="A2958" s="311"/>
      <c r="B2958" s="312"/>
      <c r="C2958" s="312"/>
      <c r="D2958" s="312"/>
      <c r="E2958" s="312"/>
      <c r="F2958" s="312"/>
      <c r="G2958" s="328"/>
      <c r="H2958" s="337"/>
      <c r="I2958" s="334"/>
      <c r="J2958" s="314"/>
      <c r="K2958" s="449"/>
      <c r="M2958" s="349" t="str">
        <f>N2958&amp;AS[[#This Row],[Insurer Code]]&amp;"; "&amp;O2958&amp;AS[[#This Row],[Reporting Year]]&amp;"; "&amp;P2958&amp;AS[[#This Row],[Insurance Category Code]]&amp;"; "&amp;Q2958&amp;AS[[#This Row],[Large Provider Entity Code]]&amp;"; "&amp;R2958&amp;AS[[#This Row],[Age Band Code]]&amp;"; "&amp;S2958&amp;AS[[#This Row],[Sex Code]]</f>
        <v xml:space="preserve">Insurer Code ; Reporting Year ; Insurance Category Code ; Large Provider Entity Code ; Age Band Code ; Sex Code </v>
      </c>
      <c r="N2958" s="345" t="s">
        <v>207</v>
      </c>
      <c r="O2958" s="345" t="s">
        <v>208</v>
      </c>
      <c r="P2958" s="345" t="s">
        <v>209</v>
      </c>
      <c r="Q2958" s="345" t="s">
        <v>210</v>
      </c>
      <c r="R2958" s="345" t="s">
        <v>223</v>
      </c>
      <c r="S2958" s="345" t="s">
        <v>224</v>
      </c>
    </row>
    <row r="2959" spans="1:19" x14ac:dyDescent="0.25">
      <c r="A2959" s="311"/>
      <c r="B2959" s="312"/>
      <c r="C2959" s="312"/>
      <c r="D2959" s="312"/>
      <c r="E2959" s="312"/>
      <c r="F2959" s="312"/>
      <c r="G2959" s="328"/>
      <c r="H2959" s="337"/>
      <c r="I2959" s="334"/>
      <c r="J2959" s="314"/>
      <c r="K2959" s="449"/>
      <c r="M2959" s="349" t="str">
        <f>N2959&amp;AS[[#This Row],[Insurer Code]]&amp;"; "&amp;O2959&amp;AS[[#This Row],[Reporting Year]]&amp;"; "&amp;P2959&amp;AS[[#This Row],[Insurance Category Code]]&amp;"; "&amp;Q2959&amp;AS[[#This Row],[Large Provider Entity Code]]&amp;"; "&amp;R2959&amp;AS[[#This Row],[Age Band Code]]&amp;"; "&amp;S2959&amp;AS[[#This Row],[Sex Code]]</f>
        <v xml:space="preserve">Insurer Code ; Reporting Year ; Insurance Category Code ; Large Provider Entity Code ; Age Band Code ; Sex Code </v>
      </c>
      <c r="N2959" s="345" t="s">
        <v>207</v>
      </c>
      <c r="O2959" s="345" t="s">
        <v>208</v>
      </c>
      <c r="P2959" s="345" t="s">
        <v>209</v>
      </c>
      <c r="Q2959" s="345" t="s">
        <v>210</v>
      </c>
      <c r="R2959" s="345" t="s">
        <v>223</v>
      </c>
      <c r="S2959" s="345" t="s">
        <v>224</v>
      </c>
    </row>
    <row r="2960" spans="1:19" x14ac:dyDescent="0.25">
      <c r="A2960" s="311"/>
      <c r="B2960" s="312"/>
      <c r="C2960" s="312"/>
      <c r="D2960" s="312"/>
      <c r="E2960" s="312"/>
      <c r="F2960" s="312"/>
      <c r="G2960" s="328"/>
      <c r="H2960" s="337"/>
      <c r="I2960" s="334"/>
      <c r="J2960" s="314"/>
      <c r="K2960" s="449"/>
      <c r="M2960" s="349" t="str">
        <f>N2960&amp;AS[[#This Row],[Insurer Code]]&amp;"; "&amp;O2960&amp;AS[[#This Row],[Reporting Year]]&amp;"; "&amp;P2960&amp;AS[[#This Row],[Insurance Category Code]]&amp;"; "&amp;Q2960&amp;AS[[#This Row],[Large Provider Entity Code]]&amp;"; "&amp;R2960&amp;AS[[#This Row],[Age Band Code]]&amp;"; "&amp;S2960&amp;AS[[#This Row],[Sex Code]]</f>
        <v xml:space="preserve">Insurer Code ; Reporting Year ; Insurance Category Code ; Large Provider Entity Code ; Age Band Code ; Sex Code </v>
      </c>
      <c r="N2960" s="345" t="s">
        <v>207</v>
      </c>
      <c r="O2960" s="345" t="s">
        <v>208</v>
      </c>
      <c r="P2960" s="345" t="s">
        <v>209</v>
      </c>
      <c r="Q2960" s="345" t="s">
        <v>210</v>
      </c>
      <c r="R2960" s="345" t="s">
        <v>223</v>
      </c>
      <c r="S2960" s="345" t="s">
        <v>224</v>
      </c>
    </row>
    <row r="2961" spans="1:19" x14ac:dyDescent="0.25">
      <c r="A2961" s="311"/>
      <c r="B2961" s="312"/>
      <c r="C2961" s="312"/>
      <c r="D2961" s="312"/>
      <c r="E2961" s="312"/>
      <c r="F2961" s="312"/>
      <c r="G2961" s="328"/>
      <c r="H2961" s="337"/>
      <c r="I2961" s="334"/>
      <c r="J2961" s="314"/>
      <c r="K2961" s="449"/>
      <c r="M2961" s="349" t="str">
        <f>N2961&amp;AS[[#This Row],[Insurer Code]]&amp;"; "&amp;O2961&amp;AS[[#This Row],[Reporting Year]]&amp;"; "&amp;P2961&amp;AS[[#This Row],[Insurance Category Code]]&amp;"; "&amp;Q2961&amp;AS[[#This Row],[Large Provider Entity Code]]&amp;"; "&amp;R2961&amp;AS[[#This Row],[Age Band Code]]&amp;"; "&amp;S2961&amp;AS[[#This Row],[Sex Code]]</f>
        <v xml:space="preserve">Insurer Code ; Reporting Year ; Insurance Category Code ; Large Provider Entity Code ; Age Band Code ; Sex Code </v>
      </c>
      <c r="N2961" s="345" t="s">
        <v>207</v>
      </c>
      <c r="O2961" s="345" t="s">
        <v>208</v>
      </c>
      <c r="P2961" s="345" t="s">
        <v>209</v>
      </c>
      <c r="Q2961" s="345" t="s">
        <v>210</v>
      </c>
      <c r="R2961" s="345" t="s">
        <v>223</v>
      </c>
      <c r="S2961" s="345" t="s">
        <v>224</v>
      </c>
    </row>
    <row r="2962" spans="1:19" x14ac:dyDescent="0.25">
      <c r="A2962" s="311"/>
      <c r="B2962" s="312"/>
      <c r="C2962" s="312"/>
      <c r="D2962" s="312"/>
      <c r="E2962" s="312"/>
      <c r="F2962" s="312"/>
      <c r="G2962" s="328"/>
      <c r="H2962" s="337"/>
      <c r="I2962" s="334"/>
      <c r="J2962" s="314"/>
      <c r="K2962" s="449"/>
      <c r="M2962" s="349" t="str">
        <f>N2962&amp;AS[[#This Row],[Insurer Code]]&amp;"; "&amp;O2962&amp;AS[[#This Row],[Reporting Year]]&amp;"; "&amp;P2962&amp;AS[[#This Row],[Insurance Category Code]]&amp;"; "&amp;Q2962&amp;AS[[#This Row],[Large Provider Entity Code]]&amp;"; "&amp;R2962&amp;AS[[#This Row],[Age Band Code]]&amp;"; "&amp;S2962&amp;AS[[#This Row],[Sex Code]]</f>
        <v xml:space="preserve">Insurer Code ; Reporting Year ; Insurance Category Code ; Large Provider Entity Code ; Age Band Code ; Sex Code </v>
      </c>
      <c r="N2962" s="345" t="s">
        <v>207</v>
      </c>
      <c r="O2962" s="345" t="s">
        <v>208</v>
      </c>
      <c r="P2962" s="345" t="s">
        <v>209</v>
      </c>
      <c r="Q2962" s="345" t="s">
        <v>210</v>
      </c>
      <c r="R2962" s="345" t="s">
        <v>223</v>
      </c>
      <c r="S2962" s="345" t="s">
        <v>224</v>
      </c>
    </row>
    <row r="2963" spans="1:19" x14ac:dyDescent="0.25">
      <c r="A2963" s="311"/>
      <c r="B2963" s="312"/>
      <c r="C2963" s="312"/>
      <c r="D2963" s="312"/>
      <c r="E2963" s="312"/>
      <c r="F2963" s="312"/>
      <c r="G2963" s="328"/>
      <c r="H2963" s="337"/>
      <c r="I2963" s="334"/>
      <c r="J2963" s="314"/>
      <c r="K2963" s="449"/>
      <c r="M2963" s="349" t="str">
        <f>N2963&amp;AS[[#This Row],[Insurer Code]]&amp;"; "&amp;O2963&amp;AS[[#This Row],[Reporting Year]]&amp;"; "&amp;P2963&amp;AS[[#This Row],[Insurance Category Code]]&amp;"; "&amp;Q2963&amp;AS[[#This Row],[Large Provider Entity Code]]&amp;"; "&amp;R2963&amp;AS[[#This Row],[Age Band Code]]&amp;"; "&amp;S2963&amp;AS[[#This Row],[Sex Code]]</f>
        <v xml:space="preserve">Insurer Code ; Reporting Year ; Insurance Category Code ; Large Provider Entity Code ; Age Band Code ; Sex Code </v>
      </c>
      <c r="N2963" s="345" t="s">
        <v>207</v>
      </c>
      <c r="O2963" s="345" t="s">
        <v>208</v>
      </c>
      <c r="P2963" s="345" t="s">
        <v>209</v>
      </c>
      <c r="Q2963" s="345" t="s">
        <v>210</v>
      </c>
      <c r="R2963" s="345" t="s">
        <v>223</v>
      </c>
      <c r="S2963" s="345" t="s">
        <v>224</v>
      </c>
    </row>
    <row r="2964" spans="1:19" x14ac:dyDescent="0.25">
      <c r="A2964" s="311"/>
      <c r="B2964" s="312"/>
      <c r="C2964" s="312"/>
      <c r="D2964" s="312"/>
      <c r="E2964" s="312"/>
      <c r="F2964" s="312"/>
      <c r="G2964" s="328"/>
      <c r="H2964" s="337"/>
      <c r="I2964" s="334"/>
      <c r="J2964" s="314"/>
      <c r="K2964" s="449"/>
      <c r="M2964" s="349" t="str">
        <f>N2964&amp;AS[[#This Row],[Insurer Code]]&amp;"; "&amp;O2964&amp;AS[[#This Row],[Reporting Year]]&amp;"; "&amp;P2964&amp;AS[[#This Row],[Insurance Category Code]]&amp;"; "&amp;Q2964&amp;AS[[#This Row],[Large Provider Entity Code]]&amp;"; "&amp;R2964&amp;AS[[#This Row],[Age Band Code]]&amp;"; "&amp;S2964&amp;AS[[#This Row],[Sex Code]]</f>
        <v xml:space="preserve">Insurer Code ; Reporting Year ; Insurance Category Code ; Large Provider Entity Code ; Age Band Code ; Sex Code </v>
      </c>
      <c r="N2964" s="345" t="s">
        <v>207</v>
      </c>
      <c r="O2964" s="345" t="s">
        <v>208</v>
      </c>
      <c r="P2964" s="345" t="s">
        <v>209</v>
      </c>
      <c r="Q2964" s="345" t="s">
        <v>210</v>
      </c>
      <c r="R2964" s="345" t="s">
        <v>223</v>
      </c>
      <c r="S2964" s="345" t="s">
        <v>224</v>
      </c>
    </row>
    <row r="2965" spans="1:19" x14ac:dyDescent="0.25">
      <c r="A2965" s="311"/>
      <c r="B2965" s="312"/>
      <c r="C2965" s="312"/>
      <c r="D2965" s="312"/>
      <c r="E2965" s="312"/>
      <c r="F2965" s="312"/>
      <c r="G2965" s="328"/>
      <c r="H2965" s="337"/>
      <c r="I2965" s="334"/>
      <c r="J2965" s="314"/>
      <c r="K2965" s="449"/>
      <c r="M2965" s="349" t="str">
        <f>N2965&amp;AS[[#This Row],[Insurer Code]]&amp;"; "&amp;O2965&amp;AS[[#This Row],[Reporting Year]]&amp;"; "&amp;P2965&amp;AS[[#This Row],[Insurance Category Code]]&amp;"; "&amp;Q2965&amp;AS[[#This Row],[Large Provider Entity Code]]&amp;"; "&amp;R2965&amp;AS[[#This Row],[Age Band Code]]&amp;"; "&amp;S2965&amp;AS[[#This Row],[Sex Code]]</f>
        <v xml:space="preserve">Insurer Code ; Reporting Year ; Insurance Category Code ; Large Provider Entity Code ; Age Band Code ; Sex Code </v>
      </c>
      <c r="N2965" s="345" t="s">
        <v>207</v>
      </c>
      <c r="O2965" s="345" t="s">
        <v>208</v>
      </c>
      <c r="P2965" s="345" t="s">
        <v>209</v>
      </c>
      <c r="Q2965" s="345" t="s">
        <v>210</v>
      </c>
      <c r="R2965" s="345" t="s">
        <v>223</v>
      </c>
      <c r="S2965" s="345" t="s">
        <v>224</v>
      </c>
    </row>
    <row r="2966" spans="1:19" x14ac:dyDescent="0.25">
      <c r="A2966" s="311"/>
      <c r="B2966" s="312"/>
      <c r="C2966" s="312"/>
      <c r="D2966" s="312"/>
      <c r="E2966" s="312"/>
      <c r="F2966" s="312"/>
      <c r="G2966" s="328"/>
      <c r="H2966" s="337"/>
      <c r="I2966" s="334"/>
      <c r="J2966" s="314"/>
      <c r="K2966" s="449"/>
      <c r="M2966" s="349" t="str">
        <f>N2966&amp;AS[[#This Row],[Insurer Code]]&amp;"; "&amp;O2966&amp;AS[[#This Row],[Reporting Year]]&amp;"; "&amp;P2966&amp;AS[[#This Row],[Insurance Category Code]]&amp;"; "&amp;Q2966&amp;AS[[#This Row],[Large Provider Entity Code]]&amp;"; "&amp;R2966&amp;AS[[#This Row],[Age Band Code]]&amp;"; "&amp;S2966&amp;AS[[#This Row],[Sex Code]]</f>
        <v xml:space="preserve">Insurer Code ; Reporting Year ; Insurance Category Code ; Large Provider Entity Code ; Age Band Code ; Sex Code </v>
      </c>
      <c r="N2966" s="345" t="s">
        <v>207</v>
      </c>
      <c r="O2966" s="345" t="s">
        <v>208</v>
      </c>
      <c r="P2966" s="345" t="s">
        <v>209</v>
      </c>
      <c r="Q2966" s="345" t="s">
        <v>210</v>
      </c>
      <c r="R2966" s="345" t="s">
        <v>223</v>
      </c>
      <c r="S2966" s="345" t="s">
        <v>224</v>
      </c>
    </row>
    <row r="2967" spans="1:19" x14ac:dyDescent="0.25">
      <c r="A2967" s="311"/>
      <c r="B2967" s="312"/>
      <c r="C2967" s="312"/>
      <c r="D2967" s="312"/>
      <c r="E2967" s="312"/>
      <c r="F2967" s="312"/>
      <c r="G2967" s="328"/>
      <c r="H2967" s="337"/>
      <c r="I2967" s="334"/>
      <c r="J2967" s="314"/>
      <c r="K2967" s="449"/>
      <c r="M2967" s="349" t="str">
        <f>N2967&amp;AS[[#This Row],[Insurer Code]]&amp;"; "&amp;O2967&amp;AS[[#This Row],[Reporting Year]]&amp;"; "&amp;P2967&amp;AS[[#This Row],[Insurance Category Code]]&amp;"; "&amp;Q2967&amp;AS[[#This Row],[Large Provider Entity Code]]&amp;"; "&amp;R2967&amp;AS[[#This Row],[Age Band Code]]&amp;"; "&amp;S2967&amp;AS[[#This Row],[Sex Code]]</f>
        <v xml:space="preserve">Insurer Code ; Reporting Year ; Insurance Category Code ; Large Provider Entity Code ; Age Band Code ; Sex Code </v>
      </c>
      <c r="N2967" s="345" t="s">
        <v>207</v>
      </c>
      <c r="O2967" s="345" t="s">
        <v>208</v>
      </c>
      <c r="P2967" s="345" t="s">
        <v>209</v>
      </c>
      <c r="Q2967" s="345" t="s">
        <v>210</v>
      </c>
      <c r="R2967" s="345" t="s">
        <v>223</v>
      </c>
      <c r="S2967" s="345" t="s">
        <v>224</v>
      </c>
    </row>
    <row r="2968" spans="1:19" x14ac:dyDescent="0.25">
      <c r="A2968" s="311"/>
      <c r="B2968" s="312"/>
      <c r="C2968" s="312"/>
      <c r="D2968" s="312"/>
      <c r="E2968" s="312"/>
      <c r="F2968" s="312"/>
      <c r="G2968" s="328"/>
      <c r="H2968" s="337"/>
      <c r="I2968" s="334"/>
      <c r="J2968" s="314"/>
      <c r="K2968" s="449"/>
      <c r="M2968" s="349" t="str">
        <f>N2968&amp;AS[[#This Row],[Insurer Code]]&amp;"; "&amp;O2968&amp;AS[[#This Row],[Reporting Year]]&amp;"; "&amp;P2968&amp;AS[[#This Row],[Insurance Category Code]]&amp;"; "&amp;Q2968&amp;AS[[#This Row],[Large Provider Entity Code]]&amp;"; "&amp;R2968&amp;AS[[#This Row],[Age Band Code]]&amp;"; "&amp;S2968&amp;AS[[#This Row],[Sex Code]]</f>
        <v xml:space="preserve">Insurer Code ; Reporting Year ; Insurance Category Code ; Large Provider Entity Code ; Age Band Code ; Sex Code </v>
      </c>
      <c r="N2968" s="345" t="s">
        <v>207</v>
      </c>
      <c r="O2968" s="345" t="s">
        <v>208</v>
      </c>
      <c r="P2968" s="345" t="s">
        <v>209</v>
      </c>
      <c r="Q2968" s="345" t="s">
        <v>210</v>
      </c>
      <c r="R2968" s="345" t="s">
        <v>223</v>
      </c>
      <c r="S2968" s="345" t="s">
        <v>224</v>
      </c>
    </row>
    <row r="2969" spans="1:19" x14ac:dyDescent="0.25">
      <c r="A2969" s="311"/>
      <c r="B2969" s="312"/>
      <c r="C2969" s="312"/>
      <c r="D2969" s="312"/>
      <c r="E2969" s="312"/>
      <c r="F2969" s="312"/>
      <c r="G2969" s="328"/>
      <c r="H2969" s="337"/>
      <c r="I2969" s="334"/>
      <c r="J2969" s="314"/>
      <c r="K2969" s="449"/>
      <c r="M2969" s="349" t="str">
        <f>N2969&amp;AS[[#This Row],[Insurer Code]]&amp;"; "&amp;O2969&amp;AS[[#This Row],[Reporting Year]]&amp;"; "&amp;P2969&amp;AS[[#This Row],[Insurance Category Code]]&amp;"; "&amp;Q2969&amp;AS[[#This Row],[Large Provider Entity Code]]&amp;"; "&amp;R2969&amp;AS[[#This Row],[Age Band Code]]&amp;"; "&amp;S2969&amp;AS[[#This Row],[Sex Code]]</f>
        <v xml:space="preserve">Insurer Code ; Reporting Year ; Insurance Category Code ; Large Provider Entity Code ; Age Band Code ; Sex Code </v>
      </c>
      <c r="N2969" s="345" t="s">
        <v>207</v>
      </c>
      <c r="O2969" s="345" t="s">
        <v>208</v>
      </c>
      <c r="P2969" s="345" t="s">
        <v>209</v>
      </c>
      <c r="Q2969" s="345" t="s">
        <v>210</v>
      </c>
      <c r="R2969" s="345" t="s">
        <v>223</v>
      </c>
      <c r="S2969" s="345" t="s">
        <v>224</v>
      </c>
    </row>
    <row r="2970" spans="1:19" x14ac:dyDescent="0.25">
      <c r="A2970" s="311"/>
      <c r="B2970" s="312"/>
      <c r="C2970" s="312"/>
      <c r="D2970" s="312"/>
      <c r="E2970" s="312"/>
      <c r="F2970" s="312"/>
      <c r="G2970" s="328"/>
      <c r="H2970" s="337"/>
      <c r="I2970" s="334"/>
      <c r="J2970" s="314"/>
      <c r="K2970" s="449"/>
      <c r="M2970" s="349" t="str">
        <f>N2970&amp;AS[[#This Row],[Insurer Code]]&amp;"; "&amp;O2970&amp;AS[[#This Row],[Reporting Year]]&amp;"; "&amp;P2970&amp;AS[[#This Row],[Insurance Category Code]]&amp;"; "&amp;Q2970&amp;AS[[#This Row],[Large Provider Entity Code]]&amp;"; "&amp;R2970&amp;AS[[#This Row],[Age Band Code]]&amp;"; "&amp;S2970&amp;AS[[#This Row],[Sex Code]]</f>
        <v xml:space="preserve">Insurer Code ; Reporting Year ; Insurance Category Code ; Large Provider Entity Code ; Age Band Code ; Sex Code </v>
      </c>
      <c r="N2970" s="345" t="s">
        <v>207</v>
      </c>
      <c r="O2970" s="345" t="s">
        <v>208</v>
      </c>
      <c r="P2970" s="345" t="s">
        <v>209</v>
      </c>
      <c r="Q2970" s="345" t="s">
        <v>210</v>
      </c>
      <c r="R2970" s="345" t="s">
        <v>223</v>
      </c>
      <c r="S2970" s="345" t="s">
        <v>224</v>
      </c>
    </row>
    <row r="2971" spans="1:19" x14ac:dyDescent="0.25">
      <c r="A2971" s="311"/>
      <c r="B2971" s="312"/>
      <c r="C2971" s="312"/>
      <c r="D2971" s="312"/>
      <c r="E2971" s="312"/>
      <c r="F2971" s="312"/>
      <c r="G2971" s="328"/>
      <c r="H2971" s="337"/>
      <c r="I2971" s="334"/>
      <c r="J2971" s="314"/>
      <c r="K2971" s="449"/>
      <c r="M2971" s="349" t="str">
        <f>N2971&amp;AS[[#This Row],[Insurer Code]]&amp;"; "&amp;O2971&amp;AS[[#This Row],[Reporting Year]]&amp;"; "&amp;P2971&amp;AS[[#This Row],[Insurance Category Code]]&amp;"; "&amp;Q2971&amp;AS[[#This Row],[Large Provider Entity Code]]&amp;"; "&amp;R2971&amp;AS[[#This Row],[Age Band Code]]&amp;"; "&amp;S2971&amp;AS[[#This Row],[Sex Code]]</f>
        <v xml:space="preserve">Insurer Code ; Reporting Year ; Insurance Category Code ; Large Provider Entity Code ; Age Band Code ; Sex Code </v>
      </c>
      <c r="N2971" s="345" t="s">
        <v>207</v>
      </c>
      <c r="O2971" s="345" t="s">
        <v>208</v>
      </c>
      <c r="P2971" s="345" t="s">
        <v>209</v>
      </c>
      <c r="Q2971" s="345" t="s">
        <v>210</v>
      </c>
      <c r="R2971" s="345" t="s">
        <v>223</v>
      </c>
      <c r="S2971" s="345" t="s">
        <v>224</v>
      </c>
    </row>
    <row r="2972" spans="1:19" x14ac:dyDescent="0.25">
      <c r="A2972" s="311"/>
      <c r="B2972" s="312"/>
      <c r="C2972" s="312"/>
      <c r="D2972" s="312"/>
      <c r="E2972" s="312"/>
      <c r="F2972" s="312"/>
      <c r="G2972" s="328"/>
      <c r="H2972" s="337"/>
      <c r="I2972" s="334"/>
      <c r="J2972" s="314"/>
      <c r="K2972" s="449"/>
      <c r="M2972" s="349" t="str">
        <f>N2972&amp;AS[[#This Row],[Insurer Code]]&amp;"; "&amp;O2972&amp;AS[[#This Row],[Reporting Year]]&amp;"; "&amp;P2972&amp;AS[[#This Row],[Insurance Category Code]]&amp;"; "&amp;Q2972&amp;AS[[#This Row],[Large Provider Entity Code]]&amp;"; "&amp;R2972&amp;AS[[#This Row],[Age Band Code]]&amp;"; "&amp;S2972&amp;AS[[#This Row],[Sex Code]]</f>
        <v xml:space="preserve">Insurer Code ; Reporting Year ; Insurance Category Code ; Large Provider Entity Code ; Age Band Code ; Sex Code </v>
      </c>
      <c r="N2972" s="345" t="s">
        <v>207</v>
      </c>
      <c r="O2972" s="345" t="s">
        <v>208</v>
      </c>
      <c r="P2972" s="345" t="s">
        <v>209</v>
      </c>
      <c r="Q2972" s="345" t="s">
        <v>210</v>
      </c>
      <c r="R2972" s="345" t="s">
        <v>223</v>
      </c>
      <c r="S2972" s="345" t="s">
        <v>224</v>
      </c>
    </row>
    <row r="2973" spans="1:19" x14ac:dyDescent="0.25">
      <c r="A2973" s="311"/>
      <c r="B2973" s="312"/>
      <c r="C2973" s="312"/>
      <c r="D2973" s="312"/>
      <c r="E2973" s="312"/>
      <c r="F2973" s="312"/>
      <c r="G2973" s="328"/>
      <c r="H2973" s="337"/>
      <c r="I2973" s="334"/>
      <c r="J2973" s="314"/>
      <c r="K2973" s="449"/>
      <c r="M2973" s="349" t="str">
        <f>N2973&amp;AS[[#This Row],[Insurer Code]]&amp;"; "&amp;O2973&amp;AS[[#This Row],[Reporting Year]]&amp;"; "&amp;P2973&amp;AS[[#This Row],[Insurance Category Code]]&amp;"; "&amp;Q2973&amp;AS[[#This Row],[Large Provider Entity Code]]&amp;"; "&amp;R2973&amp;AS[[#This Row],[Age Band Code]]&amp;"; "&amp;S2973&amp;AS[[#This Row],[Sex Code]]</f>
        <v xml:space="preserve">Insurer Code ; Reporting Year ; Insurance Category Code ; Large Provider Entity Code ; Age Band Code ; Sex Code </v>
      </c>
      <c r="N2973" s="345" t="s">
        <v>207</v>
      </c>
      <c r="O2973" s="345" t="s">
        <v>208</v>
      </c>
      <c r="P2973" s="345" t="s">
        <v>209</v>
      </c>
      <c r="Q2973" s="345" t="s">
        <v>210</v>
      </c>
      <c r="R2973" s="345" t="s">
        <v>223</v>
      </c>
      <c r="S2973" s="345" t="s">
        <v>224</v>
      </c>
    </row>
    <row r="2974" spans="1:19" x14ac:dyDescent="0.25">
      <c r="A2974" s="311"/>
      <c r="B2974" s="312"/>
      <c r="C2974" s="312"/>
      <c r="D2974" s="312"/>
      <c r="E2974" s="312"/>
      <c r="F2974" s="312"/>
      <c r="G2974" s="328"/>
      <c r="H2974" s="337"/>
      <c r="I2974" s="334"/>
      <c r="J2974" s="314"/>
      <c r="K2974" s="449"/>
      <c r="M2974" s="349" t="str">
        <f>N2974&amp;AS[[#This Row],[Insurer Code]]&amp;"; "&amp;O2974&amp;AS[[#This Row],[Reporting Year]]&amp;"; "&amp;P2974&amp;AS[[#This Row],[Insurance Category Code]]&amp;"; "&amp;Q2974&amp;AS[[#This Row],[Large Provider Entity Code]]&amp;"; "&amp;R2974&amp;AS[[#This Row],[Age Band Code]]&amp;"; "&amp;S2974&amp;AS[[#This Row],[Sex Code]]</f>
        <v xml:space="preserve">Insurer Code ; Reporting Year ; Insurance Category Code ; Large Provider Entity Code ; Age Band Code ; Sex Code </v>
      </c>
      <c r="N2974" s="345" t="s">
        <v>207</v>
      </c>
      <c r="O2974" s="345" t="s">
        <v>208</v>
      </c>
      <c r="P2974" s="345" t="s">
        <v>209</v>
      </c>
      <c r="Q2974" s="345" t="s">
        <v>210</v>
      </c>
      <c r="R2974" s="345" t="s">
        <v>223</v>
      </c>
      <c r="S2974" s="345" t="s">
        <v>224</v>
      </c>
    </row>
    <row r="2975" spans="1:19" x14ac:dyDescent="0.25">
      <c r="A2975" s="311"/>
      <c r="B2975" s="312"/>
      <c r="C2975" s="312"/>
      <c r="D2975" s="312"/>
      <c r="E2975" s="312"/>
      <c r="F2975" s="312"/>
      <c r="G2975" s="328"/>
      <c r="H2975" s="337"/>
      <c r="I2975" s="334"/>
      <c r="J2975" s="314"/>
      <c r="K2975" s="449"/>
      <c r="M2975" s="349" t="str">
        <f>N2975&amp;AS[[#This Row],[Insurer Code]]&amp;"; "&amp;O2975&amp;AS[[#This Row],[Reporting Year]]&amp;"; "&amp;P2975&amp;AS[[#This Row],[Insurance Category Code]]&amp;"; "&amp;Q2975&amp;AS[[#This Row],[Large Provider Entity Code]]&amp;"; "&amp;R2975&amp;AS[[#This Row],[Age Band Code]]&amp;"; "&amp;S2975&amp;AS[[#This Row],[Sex Code]]</f>
        <v xml:space="preserve">Insurer Code ; Reporting Year ; Insurance Category Code ; Large Provider Entity Code ; Age Band Code ; Sex Code </v>
      </c>
      <c r="N2975" s="345" t="s">
        <v>207</v>
      </c>
      <c r="O2975" s="345" t="s">
        <v>208</v>
      </c>
      <c r="P2975" s="345" t="s">
        <v>209</v>
      </c>
      <c r="Q2975" s="345" t="s">
        <v>210</v>
      </c>
      <c r="R2975" s="345" t="s">
        <v>223</v>
      </c>
      <c r="S2975" s="345" t="s">
        <v>224</v>
      </c>
    </row>
    <row r="2976" spans="1:19" x14ac:dyDescent="0.25">
      <c r="A2976" s="311"/>
      <c r="B2976" s="312"/>
      <c r="C2976" s="312"/>
      <c r="D2976" s="312"/>
      <c r="E2976" s="312"/>
      <c r="F2976" s="312"/>
      <c r="G2976" s="328"/>
      <c r="H2976" s="337"/>
      <c r="I2976" s="334"/>
      <c r="J2976" s="314"/>
      <c r="K2976" s="449"/>
      <c r="M2976" s="349" t="str">
        <f>N2976&amp;AS[[#This Row],[Insurer Code]]&amp;"; "&amp;O2976&amp;AS[[#This Row],[Reporting Year]]&amp;"; "&amp;P2976&amp;AS[[#This Row],[Insurance Category Code]]&amp;"; "&amp;Q2976&amp;AS[[#This Row],[Large Provider Entity Code]]&amp;"; "&amp;R2976&amp;AS[[#This Row],[Age Band Code]]&amp;"; "&amp;S2976&amp;AS[[#This Row],[Sex Code]]</f>
        <v xml:space="preserve">Insurer Code ; Reporting Year ; Insurance Category Code ; Large Provider Entity Code ; Age Band Code ; Sex Code </v>
      </c>
      <c r="N2976" s="345" t="s">
        <v>207</v>
      </c>
      <c r="O2976" s="345" t="s">
        <v>208</v>
      </c>
      <c r="P2976" s="345" t="s">
        <v>209</v>
      </c>
      <c r="Q2976" s="345" t="s">
        <v>210</v>
      </c>
      <c r="R2976" s="345" t="s">
        <v>223</v>
      </c>
      <c r="S2976" s="345" t="s">
        <v>224</v>
      </c>
    </row>
    <row r="2977" spans="1:19" x14ac:dyDescent="0.25">
      <c r="A2977" s="311"/>
      <c r="B2977" s="312"/>
      <c r="C2977" s="312"/>
      <c r="D2977" s="312"/>
      <c r="E2977" s="312"/>
      <c r="F2977" s="312"/>
      <c r="G2977" s="328"/>
      <c r="H2977" s="337"/>
      <c r="I2977" s="334"/>
      <c r="J2977" s="314"/>
      <c r="K2977" s="449"/>
      <c r="M2977" s="349" t="str">
        <f>N2977&amp;AS[[#This Row],[Insurer Code]]&amp;"; "&amp;O2977&amp;AS[[#This Row],[Reporting Year]]&amp;"; "&amp;P2977&amp;AS[[#This Row],[Insurance Category Code]]&amp;"; "&amp;Q2977&amp;AS[[#This Row],[Large Provider Entity Code]]&amp;"; "&amp;R2977&amp;AS[[#This Row],[Age Band Code]]&amp;"; "&amp;S2977&amp;AS[[#This Row],[Sex Code]]</f>
        <v xml:space="preserve">Insurer Code ; Reporting Year ; Insurance Category Code ; Large Provider Entity Code ; Age Band Code ; Sex Code </v>
      </c>
      <c r="N2977" s="345" t="s">
        <v>207</v>
      </c>
      <c r="O2977" s="345" t="s">
        <v>208</v>
      </c>
      <c r="P2977" s="345" t="s">
        <v>209</v>
      </c>
      <c r="Q2977" s="345" t="s">
        <v>210</v>
      </c>
      <c r="R2977" s="345" t="s">
        <v>223</v>
      </c>
      <c r="S2977" s="345" t="s">
        <v>224</v>
      </c>
    </row>
    <row r="2978" spans="1:19" x14ac:dyDescent="0.25">
      <c r="A2978" s="311"/>
      <c r="B2978" s="312"/>
      <c r="C2978" s="312"/>
      <c r="D2978" s="312"/>
      <c r="E2978" s="312"/>
      <c r="F2978" s="312"/>
      <c r="G2978" s="328"/>
      <c r="H2978" s="337"/>
      <c r="I2978" s="334"/>
      <c r="J2978" s="314"/>
      <c r="K2978" s="449"/>
      <c r="M2978" s="349" t="str">
        <f>N2978&amp;AS[[#This Row],[Insurer Code]]&amp;"; "&amp;O2978&amp;AS[[#This Row],[Reporting Year]]&amp;"; "&amp;P2978&amp;AS[[#This Row],[Insurance Category Code]]&amp;"; "&amp;Q2978&amp;AS[[#This Row],[Large Provider Entity Code]]&amp;"; "&amp;R2978&amp;AS[[#This Row],[Age Band Code]]&amp;"; "&amp;S2978&amp;AS[[#This Row],[Sex Code]]</f>
        <v xml:space="preserve">Insurer Code ; Reporting Year ; Insurance Category Code ; Large Provider Entity Code ; Age Band Code ; Sex Code </v>
      </c>
      <c r="N2978" s="345" t="s">
        <v>207</v>
      </c>
      <c r="O2978" s="345" t="s">
        <v>208</v>
      </c>
      <c r="P2978" s="345" t="s">
        <v>209</v>
      </c>
      <c r="Q2978" s="345" t="s">
        <v>210</v>
      </c>
      <c r="R2978" s="345" t="s">
        <v>223</v>
      </c>
      <c r="S2978" s="345" t="s">
        <v>224</v>
      </c>
    </row>
    <row r="2979" spans="1:19" x14ac:dyDescent="0.25">
      <c r="A2979" s="311"/>
      <c r="B2979" s="312"/>
      <c r="C2979" s="312"/>
      <c r="D2979" s="312"/>
      <c r="E2979" s="312"/>
      <c r="F2979" s="312"/>
      <c r="G2979" s="328"/>
      <c r="H2979" s="337"/>
      <c r="I2979" s="334"/>
      <c r="J2979" s="314"/>
      <c r="K2979" s="449"/>
      <c r="M2979" s="349" t="str">
        <f>N2979&amp;AS[[#This Row],[Insurer Code]]&amp;"; "&amp;O2979&amp;AS[[#This Row],[Reporting Year]]&amp;"; "&amp;P2979&amp;AS[[#This Row],[Insurance Category Code]]&amp;"; "&amp;Q2979&amp;AS[[#This Row],[Large Provider Entity Code]]&amp;"; "&amp;R2979&amp;AS[[#This Row],[Age Band Code]]&amp;"; "&amp;S2979&amp;AS[[#This Row],[Sex Code]]</f>
        <v xml:space="preserve">Insurer Code ; Reporting Year ; Insurance Category Code ; Large Provider Entity Code ; Age Band Code ; Sex Code </v>
      </c>
      <c r="N2979" s="345" t="s">
        <v>207</v>
      </c>
      <c r="O2979" s="345" t="s">
        <v>208</v>
      </c>
      <c r="P2979" s="345" t="s">
        <v>209</v>
      </c>
      <c r="Q2979" s="345" t="s">
        <v>210</v>
      </c>
      <c r="R2979" s="345" t="s">
        <v>223</v>
      </c>
      <c r="S2979" s="345" t="s">
        <v>224</v>
      </c>
    </row>
    <row r="2980" spans="1:19" x14ac:dyDescent="0.25">
      <c r="A2980" s="311"/>
      <c r="B2980" s="312"/>
      <c r="C2980" s="312"/>
      <c r="D2980" s="312"/>
      <c r="E2980" s="312"/>
      <c r="F2980" s="312"/>
      <c r="G2980" s="328"/>
      <c r="H2980" s="337"/>
      <c r="I2980" s="334"/>
      <c r="J2980" s="314"/>
      <c r="K2980" s="449"/>
      <c r="M2980" s="349" t="str">
        <f>N2980&amp;AS[[#This Row],[Insurer Code]]&amp;"; "&amp;O2980&amp;AS[[#This Row],[Reporting Year]]&amp;"; "&amp;P2980&amp;AS[[#This Row],[Insurance Category Code]]&amp;"; "&amp;Q2980&amp;AS[[#This Row],[Large Provider Entity Code]]&amp;"; "&amp;R2980&amp;AS[[#This Row],[Age Band Code]]&amp;"; "&amp;S2980&amp;AS[[#This Row],[Sex Code]]</f>
        <v xml:space="preserve">Insurer Code ; Reporting Year ; Insurance Category Code ; Large Provider Entity Code ; Age Band Code ; Sex Code </v>
      </c>
      <c r="N2980" s="345" t="s">
        <v>207</v>
      </c>
      <c r="O2980" s="345" t="s">
        <v>208</v>
      </c>
      <c r="P2980" s="345" t="s">
        <v>209</v>
      </c>
      <c r="Q2980" s="345" t="s">
        <v>210</v>
      </c>
      <c r="R2980" s="345" t="s">
        <v>223</v>
      </c>
      <c r="S2980" s="345" t="s">
        <v>224</v>
      </c>
    </row>
    <row r="2981" spans="1:19" x14ac:dyDescent="0.25">
      <c r="A2981" s="311"/>
      <c r="B2981" s="312"/>
      <c r="C2981" s="312"/>
      <c r="D2981" s="312"/>
      <c r="E2981" s="312"/>
      <c r="F2981" s="312"/>
      <c r="G2981" s="328"/>
      <c r="H2981" s="337"/>
      <c r="I2981" s="334"/>
      <c r="J2981" s="314"/>
      <c r="K2981" s="449"/>
      <c r="M2981" s="349" t="str">
        <f>N2981&amp;AS[[#This Row],[Insurer Code]]&amp;"; "&amp;O2981&amp;AS[[#This Row],[Reporting Year]]&amp;"; "&amp;P2981&amp;AS[[#This Row],[Insurance Category Code]]&amp;"; "&amp;Q2981&amp;AS[[#This Row],[Large Provider Entity Code]]&amp;"; "&amp;R2981&amp;AS[[#This Row],[Age Band Code]]&amp;"; "&amp;S2981&amp;AS[[#This Row],[Sex Code]]</f>
        <v xml:space="preserve">Insurer Code ; Reporting Year ; Insurance Category Code ; Large Provider Entity Code ; Age Band Code ; Sex Code </v>
      </c>
      <c r="N2981" s="345" t="s">
        <v>207</v>
      </c>
      <c r="O2981" s="345" t="s">
        <v>208</v>
      </c>
      <c r="P2981" s="345" t="s">
        <v>209</v>
      </c>
      <c r="Q2981" s="345" t="s">
        <v>210</v>
      </c>
      <c r="R2981" s="345" t="s">
        <v>223</v>
      </c>
      <c r="S2981" s="345" t="s">
        <v>224</v>
      </c>
    </row>
    <row r="2982" spans="1:19" x14ac:dyDescent="0.25">
      <c r="A2982" s="311"/>
      <c r="B2982" s="312"/>
      <c r="C2982" s="312"/>
      <c r="D2982" s="312"/>
      <c r="E2982" s="312"/>
      <c r="F2982" s="312"/>
      <c r="G2982" s="328"/>
      <c r="H2982" s="337"/>
      <c r="I2982" s="334"/>
      <c r="J2982" s="314"/>
      <c r="K2982" s="449"/>
      <c r="M2982" s="349" t="str">
        <f>N2982&amp;AS[[#This Row],[Insurer Code]]&amp;"; "&amp;O2982&amp;AS[[#This Row],[Reporting Year]]&amp;"; "&amp;P2982&amp;AS[[#This Row],[Insurance Category Code]]&amp;"; "&amp;Q2982&amp;AS[[#This Row],[Large Provider Entity Code]]&amp;"; "&amp;R2982&amp;AS[[#This Row],[Age Band Code]]&amp;"; "&amp;S2982&amp;AS[[#This Row],[Sex Code]]</f>
        <v xml:space="preserve">Insurer Code ; Reporting Year ; Insurance Category Code ; Large Provider Entity Code ; Age Band Code ; Sex Code </v>
      </c>
      <c r="N2982" s="345" t="s">
        <v>207</v>
      </c>
      <c r="O2982" s="345" t="s">
        <v>208</v>
      </c>
      <c r="P2982" s="345" t="s">
        <v>209</v>
      </c>
      <c r="Q2982" s="345" t="s">
        <v>210</v>
      </c>
      <c r="R2982" s="345" t="s">
        <v>223</v>
      </c>
      <c r="S2982" s="345" t="s">
        <v>224</v>
      </c>
    </row>
    <row r="2983" spans="1:19" x14ac:dyDescent="0.25">
      <c r="A2983" s="311"/>
      <c r="B2983" s="312"/>
      <c r="C2983" s="312"/>
      <c r="D2983" s="312"/>
      <c r="E2983" s="312"/>
      <c r="F2983" s="312"/>
      <c r="G2983" s="328"/>
      <c r="H2983" s="337"/>
      <c r="I2983" s="334"/>
      <c r="J2983" s="314"/>
      <c r="K2983" s="449"/>
      <c r="M2983" s="349" t="str">
        <f>N2983&amp;AS[[#This Row],[Insurer Code]]&amp;"; "&amp;O2983&amp;AS[[#This Row],[Reporting Year]]&amp;"; "&amp;P2983&amp;AS[[#This Row],[Insurance Category Code]]&amp;"; "&amp;Q2983&amp;AS[[#This Row],[Large Provider Entity Code]]&amp;"; "&amp;R2983&amp;AS[[#This Row],[Age Band Code]]&amp;"; "&amp;S2983&amp;AS[[#This Row],[Sex Code]]</f>
        <v xml:space="preserve">Insurer Code ; Reporting Year ; Insurance Category Code ; Large Provider Entity Code ; Age Band Code ; Sex Code </v>
      </c>
      <c r="N2983" s="345" t="s">
        <v>207</v>
      </c>
      <c r="O2983" s="345" t="s">
        <v>208</v>
      </c>
      <c r="P2983" s="345" t="s">
        <v>209</v>
      </c>
      <c r="Q2983" s="345" t="s">
        <v>210</v>
      </c>
      <c r="R2983" s="345" t="s">
        <v>223</v>
      </c>
      <c r="S2983" s="345" t="s">
        <v>224</v>
      </c>
    </row>
    <row r="2984" spans="1:19" x14ac:dyDescent="0.25">
      <c r="A2984" s="311"/>
      <c r="B2984" s="312"/>
      <c r="C2984" s="312"/>
      <c r="D2984" s="312"/>
      <c r="E2984" s="312"/>
      <c r="F2984" s="312"/>
      <c r="G2984" s="328"/>
      <c r="H2984" s="337"/>
      <c r="I2984" s="334"/>
      <c r="J2984" s="314"/>
      <c r="K2984" s="449"/>
      <c r="M2984" s="349" t="str">
        <f>N2984&amp;AS[[#This Row],[Insurer Code]]&amp;"; "&amp;O2984&amp;AS[[#This Row],[Reporting Year]]&amp;"; "&amp;P2984&amp;AS[[#This Row],[Insurance Category Code]]&amp;"; "&amp;Q2984&amp;AS[[#This Row],[Large Provider Entity Code]]&amp;"; "&amp;R2984&amp;AS[[#This Row],[Age Band Code]]&amp;"; "&amp;S2984&amp;AS[[#This Row],[Sex Code]]</f>
        <v xml:space="preserve">Insurer Code ; Reporting Year ; Insurance Category Code ; Large Provider Entity Code ; Age Band Code ; Sex Code </v>
      </c>
      <c r="N2984" s="345" t="s">
        <v>207</v>
      </c>
      <c r="O2984" s="345" t="s">
        <v>208</v>
      </c>
      <c r="P2984" s="345" t="s">
        <v>209</v>
      </c>
      <c r="Q2984" s="345" t="s">
        <v>210</v>
      </c>
      <c r="R2984" s="345" t="s">
        <v>223</v>
      </c>
      <c r="S2984" s="345" t="s">
        <v>224</v>
      </c>
    </row>
    <row r="2985" spans="1:19" x14ac:dyDescent="0.25">
      <c r="A2985" s="311"/>
      <c r="B2985" s="312"/>
      <c r="C2985" s="312"/>
      <c r="D2985" s="312"/>
      <c r="E2985" s="312"/>
      <c r="F2985" s="312"/>
      <c r="G2985" s="328"/>
      <c r="H2985" s="337"/>
      <c r="I2985" s="334"/>
      <c r="J2985" s="314"/>
      <c r="K2985" s="449"/>
      <c r="M2985" s="349" t="str">
        <f>N2985&amp;AS[[#This Row],[Insurer Code]]&amp;"; "&amp;O2985&amp;AS[[#This Row],[Reporting Year]]&amp;"; "&amp;P2985&amp;AS[[#This Row],[Insurance Category Code]]&amp;"; "&amp;Q2985&amp;AS[[#This Row],[Large Provider Entity Code]]&amp;"; "&amp;R2985&amp;AS[[#This Row],[Age Band Code]]&amp;"; "&amp;S2985&amp;AS[[#This Row],[Sex Code]]</f>
        <v xml:space="preserve">Insurer Code ; Reporting Year ; Insurance Category Code ; Large Provider Entity Code ; Age Band Code ; Sex Code </v>
      </c>
      <c r="N2985" s="345" t="s">
        <v>207</v>
      </c>
      <c r="O2985" s="345" t="s">
        <v>208</v>
      </c>
      <c r="P2985" s="345" t="s">
        <v>209</v>
      </c>
      <c r="Q2985" s="345" t="s">
        <v>210</v>
      </c>
      <c r="R2985" s="345" t="s">
        <v>223</v>
      </c>
      <c r="S2985" s="345" t="s">
        <v>224</v>
      </c>
    </row>
    <row r="2986" spans="1:19" x14ac:dyDescent="0.25">
      <c r="A2986" s="311"/>
      <c r="B2986" s="312"/>
      <c r="C2986" s="312"/>
      <c r="D2986" s="312"/>
      <c r="E2986" s="312"/>
      <c r="F2986" s="312"/>
      <c r="G2986" s="328"/>
      <c r="H2986" s="337"/>
      <c r="I2986" s="334"/>
      <c r="J2986" s="314"/>
      <c r="K2986" s="449"/>
      <c r="M2986" s="349" t="str">
        <f>N2986&amp;AS[[#This Row],[Insurer Code]]&amp;"; "&amp;O2986&amp;AS[[#This Row],[Reporting Year]]&amp;"; "&amp;P2986&amp;AS[[#This Row],[Insurance Category Code]]&amp;"; "&amp;Q2986&amp;AS[[#This Row],[Large Provider Entity Code]]&amp;"; "&amp;R2986&amp;AS[[#This Row],[Age Band Code]]&amp;"; "&amp;S2986&amp;AS[[#This Row],[Sex Code]]</f>
        <v xml:space="preserve">Insurer Code ; Reporting Year ; Insurance Category Code ; Large Provider Entity Code ; Age Band Code ; Sex Code </v>
      </c>
      <c r="N2986" s="345" t="s">
        <v>207</v>
      </c>
      <c r="O2986" s="345" t="s">
        <v>208</v>
      </c>
      <c r="P2986" s="345" t="s">
        <v>209</v>
      </c>
      <c r="Q2986" s="345" t="s">
        <v>210</v>
      </c>
      <c r="R2986" s="345" t="s">
        <v>223</v>
      </c>
      <c r="S2986" s="345" t="s">
        <v>224</v>
      </c>
    </row>
    <row r="2987" spans="1:19" x14ac:dyDescent="0.25">
      <c r="A2987" s="311"/>
      <c r="B2987" s="312"/>
      <c r="C2987" s="312"/>
      <c r="D2987" s="312"/>
      <c r="E2987" s="312"/>
      <c r="F2987" s="312"/>
      <c r="G2987" s="328"/>
      <c r="H2987" s="337"/>
      <c r="I2987" s="334"/>
      <c r="J2987" s="314"/>
      <c r="K2987" s="449"/>
      <c r="M2987" s="349" t="str">
        <f>N2987&amp;AS[[#This Row],[Insurer Code]]&amp;"; "&amp;O2987&amp;AS[[#This Row],[Reporting Year]]&amp;"; "&amp;P2987&amp;AS[[#This Row],[Insurance Category Code]]&amp;"; "&amp;Q2987&amp;AS[[#This Row],[Large Provider Entity Code]]&amp;"; "&amp;R2987&amp;AS[[#This Row],[Age Band Code]]&amp;"; "&amp;S2987&amp;AS[[#This Row],[Sex Code]]</f>
        <v xml:space="preserve">Insurer Code ; Reporting Year ; Insurance Category Code ; Large Provider Entity Code ; Age Band Code ; Sex Code </v>
      </c>
      <c r="N2987" s="345" t="s">
        <v>207</v>
      </c>
      <c r="O2987" s="345" t="s">
        <v>208</v>
      </c>
      <c r="P2987" s="345" t="s">
        <v>209</v>
      </c>
      <c r="Q2987" s="345" t="s">
        <v>210</v>
      </c>
      <c r="R2987" s="345" t="s">
        <v>223</v>
      </c>
      <c r="S2987" s="345" t="s">
        <v>224</v>
      </c>
    </row>
    <row r="2988" spans="1:19" x14ac:dyDescent="0.25">
      <c r="A2988" s="311"/>
      <c r="B2988" s="312"/>
      <c r="C2988" s="312"/>
      <c r="D2988" s="312"/>
      <c r="E2988" s="312"/>
      <c r="F2988" s="312"/>
      <c r="G2988" s="328"/>
      <c r="H2988" s="337"/>
      <c r="I2988" s="334"/>
      <c r="J2988" s="314"/>
      <c r="K2988" s="449"/>
      <c r="M2988" s="349" t="str">
        <f>N2988&amp;AS[[#This Row],[Insurer Code]]&amp;"; "&amp;O2988&amp;AS[[#This Row],[Reporting Year]]&amp;"; "&amp;P2988&amp;AS[[#This Row],[Insurance Category Code]]&amp;"; "&amp;Q2988&amp;AS[[#This Row],[Large Provider Entity Code]]&amp;"; "&amp;R2988&amp;AS[[#This Row],[Age Band Code]]&amp;"; "&amp;S2988&amp;AS[[#This Row],[Sex Code]]</f>
        <v xml:space="preserve">Insurer Code ; Reporting Year ; Insurance Category Code ; Large Provider Entity Code ; Age Band Code ; Sex Code </v>
      </c>
      <c r="N2988" s="345" t="s">
        <v>207</v>
      </c>
      <c r="O2988" s="345" t="s">
        <v>208</v>
      </c>
      <c r="P2988" s="345" t="s">
        <v>209</v>
      </c>
      <c r="Q2988" s="345" t="s">
        <v>210</v>
      </c>
      <c r="R2988" s="345" t="s">
        <v>223</v>
      </c>
      <c r="S2988" s="345" t="s">
        <v>224</v>
      </c>
    </row>
    <row r="2989" spans="1:19" x14ac:dyDescent="0.25">
      <c r="A2989" s="311"/>
      <c r="B2989" s="312"/>
      <c r="C2989" s="312"/>
      <c r="D2989" s="312"/>
      <c r="E2989" s="312"/>
      <c r="F2989" s="312"/>
      <c r="G2989" s="328"/>
      <c r="H2989" s="337"/>
      <c r="I2989" s="334"/>
      <c r="J2989" s="314"/>
      <c r="K2989" s="449"/>
      <c r="M2989" s="349" t="str">
        <f>N2989&amp;AS[[#This Row],[Insurer Code]]&amp;"; "&amp;O2989&amp;AS[[#This Row],[Reporting Year]]&amp;"; "&amp;P2989&amp;AS[[#This Row],[Insurance Category Code]]&amp;"; "&amp;Q2989&amp;AS[[#This Row],[Large Provider Entity Code]]&amp;"; "&amp;R2989&amp;AS[[#This Row],[Age Band Code]]&amp;"; "&amp;S2989&amp;AS[[#This Row],[Sex Code]]</f>
        <v xml:space="preserve">Insurer Code ; Reporting Year ; Insurance Category Code ; Large Provider Entity Code ; Age Band Code ; Sex Code </v>
      </c>
      <c r="N2989" s="345" t="s">
        <v>207</v>
      </c>
      <c r="O2989" s="345" t="s">
        <v>208</v>
      </c>
      <c r="P2989" s="345" t="s">
        <v>209</v>
      </c>
      <c r="Q2989" s="345" t="s">
        <v>210</v>
      </c>
      <c r="R2989" s="345" t="s">
        <v>223</v>
      </c>
      <c r="S2989" s="345" t="s">
        <v>224</v>
      </c>
    </row>
    <row r="2990" spans="1:19" x14ac:dyDescent="0.25">
      <c r="A2990" s="311"/>
      <c r="B2990" s="312"/>
      <c r="C2990" s="312"/>
      <c r="D2990" s="312"/>
      <c r="E2990" s="312"/>
      <c r="F2990" s="312"/>
      <c r="G2990" s="328"/>
      <c r="H2990" s="337"/>
      <c r="I2990" s="334"/>
      <c r="J2990" s="314"/>
      <c r="K2990" s="449"/>
      <c r="M2990" s="349" t="str">
        <f>N2990&amp;AS[[#This Row],[Insurer Code]]&amp;"; "&amp;O2990&amp;AS[[#This Row],[Reporting Year]]&amp;"; "&amp;P2990&amp;AS[[#This Row],[Insurance Category Code]]&amp;"; "&amp;Q2990&amp;AS[[#This Row],[Large Provider Entity Code]]&amp;"; "&amp;R2990&amp;AS[[#This Row],[Age Band Code]]&amp;"; "&amp;S2990&amp;AS[[#This Row],[Sex Code]]</f>
        <v xml:space="preserve">Insurer Code ; Reporting Year ; Insurance Category Code ; Large Provider Entity Code ; Age Band Code ; Sex Code </v>
      </c>
      <c r="N2990" s="345" t="s">
        <v>207</v>
      </c>
      <c r="O2990" s="345" t="s">
        <v>208</v>
      </c>
      <c r="P2990" s="345" t="s">
        <v>209</v>
      </c>
      <c r="Q2990" s="345" t="s">
        <v>210</v>
      </c>
      <c r="R2990" s="345" t="s">
        <v>223</v>
      </c>
      <c r="S2990" s="345" t="s">
        <v>224</v>
      </c>
    </row>
    <row r="2991" spans="1:19" x14ac:dyDescent="0.25">
      <c r="A2991" s="311"/>
      <c r="B2991" s="312"/>
      <c r="C2991" s="312"/>
      <c r="D2991" s="312"/>
      <c r="E2991" s="312"/>
      <c r="F2991" s="312"/>
      <c r="G2991" s="328"/>
      <c r="H2991" s="337"/>
      <c r="I2991" s="334"/>
      <c r="J2991" s="314"/>
      <c r="K2991" s="449"/>
      <c r="M2991" s="349" t="str">
        <f>N2991&amp;AS[[#This Row],[Insurer Code]]&amp;"; "&amp;O2991&amp;AS[[#This Row],[Reporting Year]]&amp;"; "&amp;P2991&amp;AS[[#This Row],[Insurance Category Code]]&amp;"; "&amp;Q2991&amp;AS[[#This Row],[Large Provider Entity Code]]&amp;"; "&amp;R2991&amp;AS[[#This Row],[Age Band Code]]&amp;"; "&amp;S2991&amp;AS[[#This Row],[Sex Code]]</f>
        <v xml:space="preserve">Insurer Code ; Reporting Year ; Insurance Category Code ; Large Provider Entity Code ; Age Band Code ; Sex Code </v>
      </c>
      <c r="N2991" s="345" t="s">
        <v>207</v>
      </c>
      <c r="O2991" s="345" t="s">
        <v>208</v>
      </c>
      <c r="P2991" s="345" t="s">
        <v>209</v>
      </c>
      <c r="Q2991" s="345" t="s">
        <v>210</v>
      </c>
      <c r="R2991" s="345" t="s">
        <v>223</v>
      </c>
      <c r="S2991" s="345" t="s">
        <v>224</v>
      </c>
    </row>
    <row r="2992" spans="1:19" x14ac:dyDescent="0.25">
      <c r="A2992" s="311"/>
      <c r="B2992" s="312"/>
      <c r="C2992" s="312"/>
      <c r="D2992" s="312"/>
      <c r="E2992" s="312"/>
      <c r="F2992" s="312"/>
      <c r="G2992" s="328"/>
      <c r="H2992" s="337"/>
      <c r="I2992" s="334"/>
      <c r="J2992" s="314"/>
      <c r="K2992" s="449"/>
      <c r="M2992" s="349" t="str">
        <f>N2992&amp;AS[[#This Row],[Insurer Code]]&amp;"; "&amp;O2992&amp;AS[[#This Row],[Reporting Year]]&amp;"; "&amp;P2992&amp;AS[[#This Row],[Insurance Category Code]]&amp;"; "&amp;Q2992&amp;AS[[#This Row],[Large Provider Entity Code]]&amp;"; "&amp;R2992&amp;AS[[#This Row],[Age Band Code]]&amp;"; "&amp;S2992&amp;AS[[#This Row],[Sex Code]]</f>
        <v xml:space="preserve">Insurer Code ; Reporting Year ; Insurance Category Code ; Large Provider Entity Code ; Age Band Code ; Sex Code </v>
      </c>
      <c r="N2992" s="345" t="s">
        <v>207</v>
      </c>
      <c r="O2992" s="345" t="s">
        <v>208</v>
      </c>
      <c r="P2992" s="345" t="s">
        <v>209</v>
      </c>
      <c r="Q2992" s="345" t="s">
        <v>210</v>
      </c>
      <c r="R2992" s="345" t="s">
        <v>223</v>
      </c>
      <c r="S2992" s="345" t="s">
        <v>224</v>
      </c>
    </row>
    <row r="2993" spans="1:19" x14ac:dyDescent="0.25">
      <c r="A2993" s="311"/>
      <c r="B2993" s="312"/>
      <c r="C2993" s="312"/>
      <c r="D2993" s="312"/>
      <c r="E2993" s="312"/>
      <c r="F2993" s="312"/>
      <c r="G2993" s="328"/>
      <c r="H2993" s="337"/>
      <c r="I2993" s="334"/>
      <c r="J2993" s="314"/>
      <c r="K2993" s="449"/>
      <c r="M2993" s="349" t="str">
        <f>N2993&amp;AS[[#This Row],[Insurer Code]]&amp;"; "&amp;O2993&amp;AS[[#This Row],[Reporting Year]]&amp;"; "&amp;P2993&amp;AS[[#This Row],[Insurance Category Code]]&amp;"; "&amp;Q2993&amp;AS[[#This Row],[Large Provider Entity Code]]&amp;"; "&amp;R2993&amp;AS[[#This Row],[Age Band Code]]&amp;"; "&amp;S2993&amp;AS[[#This Row],[Sex Code]]</f>
        <v xml:space="preserve">Insurer Code ; Reporting Year ; Insurance Category Code ; Large Provider Entity Code ; Age Band Code ; Sex Code </v>
      </c>
      <c r="N2993" s="345" t="s">
        <v>207</v>
      </c>
      <c r="O2993" s="345" t="s">
        <v>208</v>
      </c>
      <c r="P2993" s="345" t="s">
        <v>209</v>
      </c>
      <c r="Q2993" s="345" t="s">
        <v>210</v>
      </c>
      <c r="R2993" s="345" t="s">
        <v>223</v>
      </c>
      <c r="S2993" s="345" t="s">
        <v>224</v>
      </c>
    </row>
    <row r="2994" spans="1:19" x14ac:dyDescent="0.25">
      <c r="A2994" s="311"/>
      <c r="B2994" s="312"/>
      <c r="C2994" s="312"/>
      <c r="D2994" s="312"/>
      <c r="E2994" s="312"/>
      <c r="F2994" s="312"/>
      <c r="G2994" s="328"/>
      <c r="H2994" s="337"/>
      <c r="I2994" s="334"/>
      <c r="J2994" s="314"/>
      <c r="K2994" s="449"/>
      <c r="M2994" s="349" t="str">
        <f>N2994&amp;AS[[#This Row],[Insurer Code]]&amp;"; "&amp;O2994&amp;AS[[#This Row],[Reporting Year]]&amp;"; "&amp;P2994&amp;AS[[#This Row],[Insurance Category Code]]&amp;"; "&amp;Q2994&amp;AS[[#This Row],[Large Provider Entity Code]]&amp;"; "&amp;R2994&amp;AS[[#This Row],[Age Band Code]]&amp;"; "&amp;S2994&amp;AS[[#This Row],[Sex Code]]</f>
        <v xml:space="preserve">Insurer Code ; Reporting Year ; Insurance Category Code ; Large Provider Entity Code ; Age Band Code ; Sex Code </v>
      </c>
      <c r="N2994" s="345" t="s">
        <v>207</v>
      </c>
      <c r="O2994" s="345" t="s">
        <v>208</v>
      </c>
      <c r="P2994" s="345" t="s">
        <v>209</v>
      </c>
      <c r="Q2994" s="345" t="s">
        <v>210</v>
      </c>
      <c r="R2994" s="345" t="s">
        <v>223</v>
      </c>
      <c r="S2994" s="345" t="s">
        <v>224</v>
      </c>
    </row>
    <row r="2995" spans="1:19" x14ac:dyDescent="0.25">
      <c r="A2995" s="311"/>
      <c r="B2995" s="312"/>
      <c r="C2995" s="312"/>
      <c r="D2995" s="312"/>
      <c r="E2995" s="312"/>
      <c r="F2995" s="312"/>
      <c r="G2995" s="328"/>
      <c r="H2995" s="337"/>
      <c r="I2995" s="334"/>
      <c r="J2995" s="314"/>
      <c r="K2995" s="449"/>
      <c r="M2995" s="349" t="str">
        <f>N2995&amp;AS[[#This Row],[Insurer Code]]&amp;"; "&amp;O2995&amp;AS[[#This Row],[Reporting Year]]&amp;"; "&amp;P2995&amp;AS[[#This Row],[Insurance Category Code]]&amp;"; "&amp;Q2995&amp;AS[[#This Row],[Large Provider Entity Code]]&amp;"; "&amp;R2995&amp;AS[[#This Row],[Age Band Code]]&amp;"; "&amp;S2995&amp;AS[[#This Row],[Sex Code]]</f>
        <v xml:space="preserve">Insurer Code ; Reporting Year ; Insurance Category Code ; Large Provider Entity Code ; Age Band Code ; Sex Code </v>
      </c>
      <c r="N2995" s="345" t="s">
        <v>207</v>
      </c>
      <c r="O2995" s="345" t="s">
        <v>208</v>
      </c>
      <c r="P2995" s="345" t="s">
        <v>209</v>
      </c>
      <c r="Q2995" s="345" t="s">
        <v>210</v>
      </c>
      <c r="R2995" s="345" t="s">
        <v>223</v>
      </c>
      <c r="S2995" s="345" t="s">
        <v>224</v>
      </c>
    </row>
    <row r="2996" spans="1:19" x14ac:dyDescent="0.25">
      <c r="A2996" s="311"/>
      <c r="B2996" s="312"/>
      <c r="C2996" s="312"/>
      <c r="D2996" s="312"/>
      <c r="E2996" s="312"/>
      <c r="F2996" s="312"/>
      <c r="G2996" s="328"/>
      <c r="H2996" s="337"/>
      <c r="I2996" s="334"/>
      <c r="J2996" s="314"/>
      <c r="K2996" s="449"/>
      <c r="M2996" s="349" t="str">
        <f>N2996&amp;AS[[#This Row],[Insurer Code]]&amp;"; "&amp;O2996&amp;AS[[#This Row],[Reporting Year]]&amp;"; "&amp;P2996&amp;AS[[#This Row],[Insurance Category Code]]&amp;"; "&amp;Q2996&amp;AS[[#This Row],[Large Provider Entity Code]]&amp;"; "&amp;R2996&amp;AS[[#This Row],[Age Band Code]]&amp;"; "&amp;S2996&amp;AS[[#This Row],[Sex Code]]</f>
        <v xml:space="preserve">Insurer Code ; Reporting Year ; Insurance Category Code ; Large Provider Entity Code ; Age Band Code ; Sex Code </v>
      </c>
      <c r="N2996" s="345" t="s">
        <v>207</v>
      </c>
      <c r="O2996" s="345" t="s">
        <v>208</v>
      </c>
      <c r="P2996" s="345" t="s">
        <v>209</v>
      </c>
      <c r="Q2996" s="345" t="s">
        <v>210</v>
      </c>
      <c r="R2996" s="345" t="s">
        <v>223</v>
      </c>
      <c r="S2996" s="345" t="s">
        <v>224</v>
      </c>
    </row>
    <row r="2997" spans="1:19" x14ac:dyDescent="0.25">
      <c r="A2997" s="311"/>
      <c r="B2997" s="312"/>
      <c r="C2997" s="312"/>
      <c r="D2997" s="312"/>
      <c r="E2997" s="312"/>
      <c r="F2997" s="312"/>
      <c r="G2997" s="328"/>
      <c r="H2997" s="337"/>
      <c r="I2997" s="334"/>
      <c r="J2997" s="314"/>
      <c r="K2997" s="449"/>
      <c r="M2997" s="349" t="str">
        <f>N2997&amp;AS[[#This Row],[Insurer Code]]&amp;"; "&amp;O2997&amp;AS[[#This Row],[Reporting Year]]&amp;"; "&amp;P2997&amp;AS[[#This Row],[Insurance Category Code]]&amp;"; "&amp;Q2997&amp;AS[[#This Row],[Large Provider Entity Code]]&amp;"; "&amp;R2997&amp;AS[[#This Row],[Age Band Code]]&amp;"; "&amp;S2997&amp;AS[[#This Row],[Sex Code]]</f>
        <v xml:space="preserve">Insurer Code ; Reporting Year ; Insurance Category Code ; Large Provider Entity Code ; Age Band Code ; Sex Code </v>
      </c>
      <c r="N2997" s="345" t="s">
        <v>207</v>
      </c>
      <c r="O2997" s="345" t="s">
        <v>208</v>
      </c>
      <c r="P2997" s="345" t="s">
        <v>209</v>
      </c>
      <c r="Q2997" s="345" t="s">
        <v>210</v>
      </c>
      <c r="R2997" s="345" t="s">
        <v>223</v>
      </c>
      <c r="S2997" s="345" t="s">
        <v>224</v>
      </c>
    </row>
    <row r="2998" spans="1:19" x14ac:dyDescent="0.25">
      <c r="A2998" s="311"/>
      <c r="B2998" s="312"/>
      <c r="C2998" s="312"/>
      <c r="D2998" s="312"/>
      <c r="E2998" s="312"/>
      <c r="F2998" s="312"/>
      <c r="G2998" s="328"/>
      <c r="H2998" s="337"/>
      <c r="I2998" s="334"/>
      <c r="J2998" s="314"/>
      <c r="K2998" s="449"/>
      <c r="M2998" s="349" t="str">
        <f>N2998&amp;AS[[#This Row],[Insurer Code]]&amp;"; "&amp;O2998&amp;AS[[#This Row],[Reporting Year]]&amp;"; "&amp;P2998&amp;AS[[#This Row],[Insurance Category Code]]&amp;"; "&amp;Q2998&amp;AS[[#This Row],[Large Provider Entity Code]]&amp;"; "&amp;R2998&amp;AS[[#This Row],[Age Band Code]]&amp;"; "&amp;S2998&amp;AS[[#This Row],[Sex Code]]</f>
        <v xml:space="preserve">Insurer Code ; Reporting Year ; Insurance Category Code ; Large Provider Entity Code ; Age Band Code ; Sex Code </v>
      </c>
      <c r="N2998" s="345" t="s">
        <v>207</v>
      </c>
      <c r="O2998" s="345" t="s">
        <v>208</v>
      </c>
      <c r="P2998" s="345" t="s">
        <v>209</v>
      </c>
      <c r="Q2998" s="345" t="s">
        <v>210</v>
      </c>
      <c r="R2998" s="345" t="s">
        <v>223</v>
      </c>
      <c r="S2998" s="345" t="s">
        <v>224</v>
      </c>
    </row>
    <row r="2999" spans="1:19" x14ac:dyDescent="0.25">
      <c r="A2999" s="311"/>
      <c r="B2999" s="312"/>
      <c r="C2999" s="312"/>
      <c r="D2999" s="312"/>
      <c r="E2999" s="312"/>
      <c r="F2999" s="312"/>
      <c r="G2999" s="328"/>
      <c r="H2999" s="337"/>
      <c r="I2999" s="334"/>
      <c r="J2999" s="314"/>
      <c r="K2999" s="449"/>
      <c r="M2999" s="349" t="str">
        <f>N2999&amp;AS[[#This Row],[Insurer Code]]&amp;"; "&amp;O2999&amp;AS[[#This Row],[Reporting Year]]&amp;"; "&amp;P2999&amp;AS[[#This Row],[Insurance Category Code]]&amp;"; "&amp;Q2999&amp;AS[[#This Row],[Large Provider Entity Code]]&amp;"; "&amp;R2999&amp;AS[[#This Row],[Age Band Code]]&amp;"; "&amp;S2999&amp;AS[[#This Row],[Sex Code]]</f>
        <v xml:space="preserve">Insurer Code ; Reporting Year ; Insurance Category Code ; Large Provider Entity Code ; Age Band Code ; Sex Code </v>
      </c>
      <c r="N2999" s="345" t="s">
        <v>207</v>
      </c>
      <c r="O2999" s="345" t="s">
        <v>208</v>
      </c>
      <c r="P2999" s="345" t="s">
        <v>209</v>
      </c>
      <c r="Q2999" s="345" t="s">
        <v>210</v>
      </c>
      <c r="R2999" s="345" t="s">
        <v>223</v>
      </c>
      <c r="S2999" s="345" t="s">
        <v>224</v>
      </c>
    </row>
    <row r="3000" spans="1:19" x14ac:dyDescent="0.25">
      <c r="A3000" s="311"/>
      <c r="B3000" s="312"/>
      <c r="C3000" s="312"/>
      <c r="D3000" s="312"/>
      <c r="E3000" s="312"/>
      <c r="F3000" s="312"/>
      <c r="G3000" s="328"/>
      <c r="H3000" s="337"/>
      <c r="I3000" s="334"/>
      <c r="J3000" s="314"/>
      <c r="K3000" s="449"/>
      <c r="M3000" s="349" t="str">
        <f>N3000&amp;AS[[#This Row],[Insurer Code]]&amp;"; "&amp;O3000&amp;AS[[#This Row],[Reporting Year]]&amp;"; "&amp;P3000&amp;AS[[#This Row],[Insurance Category Code]]&amp;"; "&amp;Q3000&amp;AS[[#This Row],[Large Provider Entity Code]]&amp;"; "&amp;R3000&amp;AS[[#This Row],[Age Band Code]]&amp;"; "&amp;S3000&amp;AS[[#This Row],[Sex Code]]</f>
        <v xml:space="preserve">Insurer Code ; Reporting Year ; Insurance Category Code ; Large Provider Entity Code ; Age Band Code ; Sex Code </v>
      </c>
      <c r="N3000" s="345" t="s">
        <v>207</v>
      </c>
      <c r="O3000" s="345" t="s">
        <v>208</v>
      </c>
      <c r="P3000" s="345" t="s">
        <v>209</v>
      </c>
      <c r="Q3000" s="345" t="s">
        <v>210</v>
      </c>
      <c r="R3000" s="345" t="s">
        <v>223</v>
      </c>
      <c r="S3000" s="345" t="s">
        <v>224</v>
      </c>
    </row>
    <row r="3001" spans="1:19" x14ac:dyDescent="0.25">
      <c r="A3001" s="311"/>
      <c r="B3001" s="312"/>
      <c r="C3001" s="312"/>
      <c r="D3001" s="312"/>
      <c r="E3001" s="312"/>
      <c r="F3001" s="312"/>
      <c r="G3001" s="328"/>
      <c r="H3001" s="337"/>
      <c r="I3001" s="334"/>
      <c r="J3001" s="314"/>
      <c r="K3001" s="449"/>
      <c r="M3001" s="349" t="str">
        <f>N3001&amp;AS[[#This Row],[Insurer Code]]&amp;"; "&amp;O3001&amp;AS[[#This Row],[Reporting Year]]&amp;"; "&amp;P3001&amp;AS[[#This Row],[Insurance Category Code]]&amp;"; "&amp;Q3001&amp;AS[[#This Row],[Large Provider Entity Code]]&amp;"; "&amp;R3001&amp;AS[[#This Row],[Age Band Code]]&amp;"; "&amp;S3001&amp;AS[[#This Row],[Sex Code]]</f>
        <v xml:space="preserve">Insurer Code ; Reporting Year ; Insurance Category Code ; Large Provider Entity Code ; Age Band Code ; Sex Code </v>
      </c>
      <c r="N3001" s="345" t="s">
        <v>207</v>
      </c>
      <c r="O3001" s="345" t="s">
        <v>208</v>
      </c>
      <c r="P3001" s="345" t="s">
        <v>209</v>
      </c>
      <c r="Q3001" s="345" t="s">
        <v>210</v>
      </c>
      <c r="R3001" s="345" t="s">
        <v>223</v>
      </c>
      <c r="S3001" s="345" t="s">
        <v>224</v>
      </c>
    </row>
    <row r="3002" spans="1:19" x14ac:dyDescent="0.25">
      <c r="A3002" s="311"/>
      <c r="B3002" s="312"/>
      <c r="C3002" s="312"/>
      <c r="D3002" s="312"/>
      <c r="E3002" s="312"/>
      <c r="F3002" s="312"/>
      <c r="G3002" s="328"/>
      <c r="H3002" s="337"/>
      <c r="I3002" s="334"/>
      <c r="J3002" s="314"/>
      <c r="K3002" s="449"/>
      <c r="M3002" s="349" t="str">
        <f>N3002&amp;AS[[#This Row],[Insurer Code]]&amp;"; "&amp;O3002&amp;AS[[#This Row],[Reporting Year]]&amp;"; "&amp;P3002&amp;AS[[#This Row],[Insurance Category Code]]&amp;"; "&amp;Q3002&amp;AS[[#This Row],[Large Provider Entity Code]]&amp;"; "&amp;R3002&amp;AS[[#This Row],[Age Band Code]]&amp;"; "&amp;S3002&amp;AS[[#This Row],[Sex Code]]</f>
        <v xml:space="preserve">Insurer Code ; Reporting Year ; Insurance Category Code ; Large Provider Entity Code ; Age Band Code ; Sex Code </v>
      </c>
      <c r="N3002" s="345" t="s">
        <v>207</v>
      </c>
      <c r="O3002" s="345" t="s">
        <v>208</v>
      </c>
      <c r="P3002" s="345" t="s">
        <v>209</v>
      </c>
      <c r="Q3002" s="345" t="s">
        <v>210</v>
      </c>
      <c r="R3002" s="345" t="s">
        <v>223</v>
      </c>
      <c r="S3002" s="345" t="s">
        <v>224</v>
      </c>
    </row>
    <row r="3003" spans="1:19" x14ac:dyDescent="0.25">
      <c r="A3003" s="311"/>
      <c r="B3003" s="312"/>
      <c r="C3003" s="312"/>
      <c r="D3003" s="312"/>
      <c r="E3003" s="312"/>
      <c r="F3003" s="312"/>
      <c r="G3003" s="328"/>
      <c r="H3003" s="337"/>
      <c r="I3003" s="334"/>
      <c r="J3003" s="314"/>
      <c r="K3003" s="449"/>
      <c r="M3003" s="349" t="str">
        <f>N3003&amp;AS[[#This Row],[Insurer Code]]&amp;"; "&amp;O3003&amp;AS[[#This Row],[Reporting Year]]&amp;"; "&amp;P3003&amp;AS[[#This Row],[Insurance Category Code]]&amp;"; "&amp;Q3003&amp;AS[[#This Row],[Large Provider Entity Code]]&amp;"; "&amp;R3003&amp;AS[[#This Row],[Age Band Code]]&amp;"; "&amp;S3003&amp;AS[[#This Row],[Sex Code]]</f>
        <v xml:space="preserve">Insurer Code ; Reporting Year ; Insurance Category Code ; Large Provider Entity Code ; Age Band Code ; Sex Code </v>
      </c>
      <c r="N3003" s="345" t="s">
        <v>207</v>
      </c>
      <c r="O3003" s="345" t="s">
        <v>208</v>
      </c>
      <c r="P3003" s="345" t="s">
        <v>209</v>
      </c>
      <c r="Q3003" s="345" t="s">
        <v>210</v>
      </c>
      <c r="R3003" s="345" t="s">
        <v>223</v>
      </c>
      <c r="S3003" s="345" t="s">
        <v>224</v>
      </c>
    </row>
    <row r="3004" spans="1:19" x14ac:dyDescent="0.25">
      <c r="A3004" s="311"/>
      <c r="B3004" s="312"/>
      <c r="C3004" s="312"/>
      <c r="D3004" s="312"/>
      <c r="E3004" s="312"/>
      <c r="F3004" s="312"/>
      <c r="G3004" s="328"/>
      <c r="H3004" s="337"/>
      <c r="I3004" s="334"/>
      <c r="J3004" s="314"/>
      <c r="K3004" s="449"/>
      <c r="M3004" s="349" t="str">
        <f>N3004&amp;AS[[#This Row],[Insurer Code]]&amp;"; "&amp;O3004&amp;AS[[#This Row],[Reporting Year]]&amp;"; "&amp;P3004&amp;AS[[#This Row],[Insurance Category Code]]&amp;"; "&amp;Q3004&amp;AS[[#This Row],[Large Provider Entity Code]]&amp;"; "&amp;R3004&amp;AS[[#This Row],[Age Band Code]]&amp;"; "&amp;S3004&amp;AS[[#This Row],[Sex Code]]</f>
        <v xml:space="preserve">Insurer Code ; Reporting Year ; Insurance Category Code ; Large Provider Entity Code ; Age Band Code ; Sex Code </v>
      </c>
      <c r="N3004" s="345" t="s">
        <v>207</v>
      </c>
      <c r="O3004" s="345" t="s">
        <v>208</v>
      </c>
      <c r="P3004" s="345" t="s">
        <v>209</v>
      </c>
      <c r="Q3004" s="345" t="s">
        <v>210</v>
      </c>
      <c r="R3004" s="345" t="s">
        <v>223</v>
      </c>
      <c r="S3004" s="345" t="s">
        <v>224</v>
      </c>
    </row>
    <row r="3005" spans="1:19" x14ac:dyDescent="0.25">
      <c r="A3005" s="311"/>
      <c r="B3005" s="312"/>
      <c r="C3005" s="312"/>
      <c r="D3005" s="312"/>
      <c r="E3005" s="312"/>
      <c r="F3005" s="312"/>
      <c r="G3005" s="328"/>
      <c r="H3005" s="337"/>
      <c r="I3005" s="334"/>
      <c r="J3005" s="314"/>
      <c r="K3005" s="449"/>
      <c r="M3005" s="349" t="str">
        <f>N3005&amp;AS[[#This Row],[Insurer Code]]&amp;"; "&amp;O3005&amp;AS[[#This Row],[Reporting Year]]&amp;"; "&amp;P3005&amp;AS[[#This Row],[Insurance Category Code]]&amp;"; "&amp;Q3005&amp;AS[[#This Row],[Large Provider Entity Code]]&amp;"; "&amp;R3005&amp;AS[[#This Row],[Age Band Code]]&amp;"; "&amp;S3005&amp;AS[[#This Row],[Sex Code]]</f>
        <v xml:space="preserve">Insurer Code ; Reporting Year ; Insurance Category Code ; Large Provider Entity Code ; Age Band Code ; Sex Code </v>
      </c>
      <c r="N3005" s="345" t="s">
        <v>207</v>
      </c>
      <c r="O3005" s="345" t="s">
        <v>208</v>
      </c>
      <c r="P3005" s="345" t="s">
        <v>209</v>
      </c>
      <c r="Q3005" s="345" t="s">
        <v>210</v>
      </c>
      <c r="R3005" s="345" t="s">
        <v>223</v>
      </c>
      <c r="S3005" s="345" t="s">
        <v>224</v>
      </c>
    </row>
    <row r="3006" spans="1:19" x14ac:dyDescent="0.25">
      <c r="A3006" s="311"/>
      <c r="B3006" s="312"/>
      <c r="C3006" s="312"/>
      <c r="D3006" s="312"/>
      <c r="E3006" s="312"/>
      <c r="F3006" s="312"/>
      <c r="G3006" s="328"/>
      <c r="H3006" s="337"/>
      <c r="I3006" s="334"/>
      <c r="J3006" s="314"/>
      <c r="K3006" s="449"/>
      <c r="M3006" s="349" t="str">
        <f>N3006&amp;AS[[#This Row],[Insurer Code]]&amp;"; "&amp;O3006&amp;AS[[#This Row],[Reporting Year]]&amp;"; "&amp;P3006&amp;AS[[#This Row],[Insurance Category Code]]&amp;"; "&amp;Q3006&amp;AS[[#This Row],[Large Provider Entity Code]]&amp;"; "&amp;R3006&amp;AS[[#This Row],[Age Band Code]]&amp;"; "&amp;S3006&amp;AS[[#This Row],[Sex Code]]</f>
        <v xml:space="preserve">Insurer Code ; Reporting Year ; Insurance Category Code ; Large Provider Entity Code ; Age Band Code ; Sex Code </v>
      </c>
      <c r="N3006" s="345" t="s">
        <v>207</v>
      </c>
      <c r="O3006" s="345" t="s">
        <v>208</v>
      </c>
      <c r="P3006" s="345" t="s">
        <v>209</v>
      </c>
      <c r="Q3006" s="345" t="s">
        <v>210</v>
      </c>
      <c r="R3006" s="345" t="s">
        <v>223</v>
      </c>
      <c r="S3006" s="345" t="s">
        <v>224</v>
      </c>
    </row>
    <row r="3007" spans="1:19" x14ac:dyDescent="0.25">
      <c r="A3007" s="311"/>
      <c r="B3007" s="312"/>
      <c r="C3007" s="312"/>
      <c r="D3007" s="312"/>
      <c r="E3007" s="312"/>
      <c r="F3007" s="312"/>
      <c r="G3007" s="328"/>
      <c r="H3007" s="337"/>
      <c r="I3007" s="334"/>
      <c r="J3007" s="314"/>
      <c r="K3007" s="449"/>
      <c r="M3007" s="349" t="str">
        <f>N3007&amp;AS[[#This Row],[Insurer Code]]&amp;"; "&amp;O3007&amp;AS[[#This Row],[Reporting Year]]&amp;"; "&amp;P3007&amp;AS[[#This Row],[Insurance Category Code]]&amp;"; "&amp;Q3007&amp;AS[[#This Row],[Large Provider Entity Code]]&amp;"; "&amp;R3007&amp;AS[[#This Row],[Age Band Code]]&amp;"; "&amp;S3007&amp;AS[[#This Row],[Sex Code]]</f>
        <v xml:space="preserve">Insurer Code ; Reporting Year ; Insurance Category Code ; Large Provider Entity Code ; Age Band Code ; Sex Code </v>
      </c>
      <c r="N3007" s="345" t="s">
        <v>207</v>
      </c>
      <c r="O3007" s="345" t="s">
        <v>208</v>
      </c>
      <c r="P3007" s="345" t="s">
        <v>209</v>
      </c>
      <c r="Q3007" s="345" t="s">
        <v>210</v>
      </c>
      <c r="R3007" s="345" t="s">
        <v>223</v>
      </c>
      <c r="S3007" s="345" t="s">
        <v>224</v>
      </c>
    </row>
    <row r="3008" spans="1:19" x14ac:dyDescent="0.25">
      <c r="A3008" s="311"/>
      <c r="B3008" s="312"/>
      <c r="C3008" s="312"/>
      <c r="D3008" s="312"/>
      <c r="E3008" s="312"/>
      <c r="F3008" s="312"/>
      <c r="G3008" s="328"/>
      <c r="H3008" s="337"/>
      <c r="I3008" s="334"/>
      <c r="J3008" s="314"/>
      <c r="K3008" s="449"/>
      <c r="M3008" s="349" t="str">
        <f>N3008&amp;AS[[#This Row],[Insurer Code]]&amp;"; "&amp;O3008&amp;AS[[#This Row],[Reporting Year]]&amp;"; "&amp;P3008&amp;AS[[#This Row],[Insurance Category Code]]&amp;"; "&amp;Q3008&amp;AS[[#This Row],[Large Provider Entity Code]]&amp;"; "&amp;R3008&amp;AS[[#This Row],[Age Band Code]]&amp;"; "&amp;S3008&amp;AS[[#This Row],[Sex Code]]</f>
        <v xml:space="preserve">Insurer Code ; Reporting Year ; Insurance Category Code ; Large Provider Entity Code ; Age Band Code ; Sex Code </v>
      </c>
      <c r="N3008" s="345" t="s">
        <v>207</v>
      </c>
      <c r="O3008" s="345" t="s">
        <v>208</v>
      </c>
      <c r="P3008" s="345" t="s">
        <v>209</v>
      </c>
      <c r="Q3008" s="345" t="s">
        <v>210</v>
      </c>
      <c r="R3008" s="345" t="s">
        <v>223</v>
      </c>
      <c r="S3008" s="345" t="s">
        <v>224</v>
      </c>
    </row>
    <row r="3009" spans="1:19" x14ac:dyDescent="0.25">
      <c r="A3009" s="311"/>
      <c r="B3009" s="312"/>
      <c r="C3009" s="312"/>
      <c r="D3009" s="312"/>
      <c r="E3009" s="312"/>
      <c r="F3009" s="312"/>
      <c r="G3009" s="328"/>
      <c r="H3009" s="337"/>
      <c r="I3009" s="334"/>
      <c r="J3009" s="314"/>
      <c r="K3009" s="449"/>
      <c r="M3009" s="349" t="str">
        <f>N3009&amp;AS[[#This Row],[Insurer Code]]&amp;"; "&amp;O3009&amp;AS[[#This Row],[Reporting Year]]&amp;"; "&amp;P3009&amp;AS[[#This Row],[Insurance Category Code]]&amp;"; "&amp;Q3009&amp;AS[[#This Row],[Large Provider Entity Code]]&amp;"; "&amp;R3009&amp;AS[[#This Row],[Age Band Code]]&amp;"; "&amp;S3009&amp;AS[[#This Row],[Sex Code]]</f>
        <v xml:space="preserve">Insurer Code ; Reporting Year ; Insurance Category Code ; Large Provider Entity Code ; Age Band Code ; Sex Code </v>
      </c>
      <c r="N3009" s="345" t="s">
        <v>207</v>
      </c>
      <c r="O3009" s="345" t="s">
        <v>208</v>
      </c>
      <c r="P3009" s="345" t="s">
        <v>209</v>
      </c>
      <c r="Q3009" s="345" t="s">
        <v>210</v>
      </c>
      <c r="R3009" s="345" t="s">
        <v>223</v>
      </c>
      <c r="S3009" s="345" t="s">
        <v>224</v>
      </c>
    </row>
    <row r="3010" spans="1:19" x14ac:dyDescent="0.25">
      <c r="A3010" s="311"/>
      <c r="B3010" s="312"/>
      <c r="C3010" s="312"/>
      <c r="D3010" s="312"/>
      <c r="E3010" s="312"/>
      <c r="F3010" s="312"/>
      <c r="G3010" s="328"/>
      <c r="H3010" s="337"/>
      <c r="I3010" s="334"/>
      <c r="J3010" s="314"/>
      <c r="K3010" s="449"/>
      <c r="M3010" s="349" t="str">
        <f>N3010&amp;AS[[#This Row],[Insurer Code]]&amp;"; "&amp;O3010&amp;AS[[#This Row],[Reporting Year]]&amp;"; "&amp;P3010&amp;AS[[#This Row],[Insurance Category Code]]&amp;"; "&amp;Q3010&amp;AS[[#This Row],[Large Provider Entity Code]]&amp;"; "&amp;R3010&amp;AS[[#This Row],[Age Band Code]]&amp;"; "&amp;S3010&amp;AS[[#This Row],[Sex Code]]</f>
        <v xml:space="preserve">Insurer Code ; Reporting Year ; Insurance Category Code ; Large Provider Entity Code ; Age Band Code ; Sex Code </v>
      </c>
      <c r="N3010" s="345" t="s">
        <v>207</v>
      </c>
      <c r="O3010" s="345" t="s">
        <v>208</v>
      </c>
      <c r="P3010" s="345" t="s">
        <v>209</v>
      </c>
      <c r="Q3010" s="345" t="s">
        <v>210</v>
      </c>
      <c r="R3010" s="345" t="s">
        <v>223</v>
      </c>
      <c r="S3010" s="345" t="s">
        <v>224</v>
      </c>
    </row>
    <row r="3011" spans="1:19" x14ac:dyDescent="0.25">
      <c r="A3011" s="311"/>
      <c r="B3011" s="312"/>
      <c r="C3011" s="312"/>
      <c r="D3011" s="312"/>
      <c r="E3011" s="312"/>
      <c r="F3011" s="312"/>
      <c r="G3011" s="328"/>
      <c r="H3011" s="337"/>
      <c r="I3011" s="334"/>
      <c r="J3011" s="314"/>
      <c r="K3011" s="449"/>
      <c r="M3011" s="349" t="str">
        <f>N3011&amp;AS[[#This Row],[Insurer Code]]&amp;"; "&amp;O3011&amp;AS[[#This Row],[Reporting Year]]&amp;"; "&amp;P3011&amp;AS[[#This Row],[Insurance Category Code]]&amp;"; "&amp;Q3011&amp;AS[[#This Row],[Large Provider Entity Code]]&amp;"; "&amp;R3011&amp;AS[[#This Row],[Age Band Code]]&amp;"; "&amp;S3011&amp;AS[[#This Row],[Sex Code]]</f>
        <v xml:space="preserve">Insurer Code ; Reporting Year ; Insurance Category Code ; Large Provider Entity Code ; Age Band Code ; Sex Code </v>
      </c>
      <c r="N3011" s="345" t="s">
        <v>207</v>
      </c>
      <c r="O3011" s="345" t="s">
        <v>208</v>
      </c>
      <c r="P3011" s="345" t="s">
        <v>209</v>
      </c>
      <c r="Q3011" s="345" t="s">
        <v>210</v>
      </c>
      <c r="R3011" s="345" t="s">
        <v>223</v>
      </c>
      <c r="S3011" s="345" t="s">
        <v>224</v>
      </c>
    </row>
    <row r="3012" spans="1:19" x14ac:dyDescent="0.25">
      <c r="A3012" s="311"/>
      <c r="B3012" s="312"/>
      <c r="C3012" s="312"/>
      <c r="D3012" s="312"/>
      <c r="E3012" s="312"/>
      <c r="F3012" s="312"/>
      <c r="G3012" s="328"/>
      <c r="H3012" s="337"/>
      <c r="I3012" s="334"/>
      <c r="J3012" s="314"/>
      <c r="K3012" s="449"/>
      <c r="M3012" s="349" t="str">
        <f>N3012&amp;AS[[#This Row],[Insurer Code]]&amp;"; "&amp;O3012&amp;AS[[#This Row],[Reporting Year]]&amp;"; "&amp;P3012&amp;AS[[#This Row],[Insurance Category Code]]&amp;"; "&amp;Q3012&amp;AS[[#This Row],[Large Provider Entity Code]]&amp;"; "&amp;R3012&amp;AS[[#This Row],[Age Band Code]]&amp;"; "&amp;S3012&amp;AS[[#This Row],[Sex Code]]</f>
        <v xml:space="preserve">Insurer Code ; Reporting Year ; Insurance Category Code ; Large Provider Entity Code ; Age Band Code ; Sex Code </v>
      </c>
      <c r="N3012" s="345" t="s">
        <v>207</v>
      </c>
      <c r="O3012" s="345" t="s">
        <v>208</v>
      </c>
      <c r="P3012" s="345" t="s">
        <v>209</v>
      </c>
      <c r="Q3012" s="345" t="s">
        <v>210</v>
      </c>
      <c r="R3012" s="345" t="s">
        <v>223</v>
      </c>
      <c r="S3012" s="345" t="s">
        <v>224</v>
      </c>
    </row>
    <row r="3013" spans="1:19" x14ac:dyDescent="0.25">
      <c r="A3013" s="311"/>
      <c r="B3013" s="312"/>
      <c r="C3013" s="312"/>
      <c r="D3013" s="312"/>
      <c r="E3013" s="312"/>
      <c r="F3013" s="312"/>
      <c r="G3013" s="328"/>
      <c r="H3013" s="337"/>
      <c r="I3013" s="334"/>
      <c r="J3013" s="314"/>
      <c r="K3013" s="449"/>
      <c r="M3013" s="349" t="str">
        <f>N3013&amp;AS[[#This Row],[Insurer Code]]&amp;"; "&amp;O3013&amp;AS[[#This Row],[Reporting Year]]&amp;"; "&amp;P3013&amp;AS[[#This Row],[Insurance Category Code]]&amp;"; "&amp;Q3013&amp;AS[[#This Row],[Large Provider Entity Code]]&amp;"; "&amp;R3013&amp;AS[[#This Row],[Age Band Code]]&amp;"; "&amp;S3013&amp;AS[[#This Row],[Sex Code]]</f>
        <v xml:space="preserve">Insurer Code ; Reporting Year ; Insurance Category Code ; Large Provider Entity Code ; Age Band Code ; Sex Code </v>
      </c>
      <c r="N3013" s="345" t="s">
        <v>207</v>
      </c>
      <c r="O3013" s="345" t="s">
        <v>208</v>
      </c>
      <c r="P3013" s="345" t="s">
        <v>209</v>
      </c>
      <c r="Q3013" s="345" t="s">
        <v>210</v>
      </c>
      <c r="R3013" s="345" t="s">
        <v>223</v>
      </c>
      <c r="S3013" s="345" t="s">
        <v>224</v>
      </c>
    </row>
    <row r="3014" spans="1:19" x14ac:dyDescent="0.25">
      <c r="A3014" s="311"/>
      <c r="B3014" s="312"/>
      <c r="C3014" s="312"/>
      <c r="D3014" s="312"/>
      <c r="E3014" s="312"/>
      <c r="F3014" s="312"/>
      <c r="G3014" s="328"/>
      <c r="H3014" s="337"/>
      <c r="I3014" s="334"/>
      <c r="J3014" s="314"/>
      <c r="K3014" s="449"/>
      <c r="M3014" s="349" t="str">
        <f>N3014&amp;AS[[#This Row],[Insurer Code]]&amp;"; "&amp;O3014&amp;AS[[#This Row],[Reporting Year]]&amp;"; "&amp;P3014&amp;AS[[#This Row],[Insurance Category Code]]&amp;"; "&amp;Q3014&amp;AS[[#This Row],[Large Provider Entity Code]]&amp;"; "&amp;R3014&amp;AS[[#This Row],[Age Band Code]]&amp;"; "&amp;S3014&amp;AS[[#This Row],[Sex Code]]</f>
        <v xml:space="preserve">Insurer Code ; Reporting Year ; Insurance Category Code ; Large Provider Entity Code ; Age Band Code ; Sex Code </v>
      </c>
      <c r="N3014" s="345" t="s">
        <v>207</v>
      </c>
      <c r="O3014" s="345" t="s">
        <v>208</v>
      </c>
      <c r="P3014" s="345" t="s">
        <v>209</v>
      </c>
      <c r="Q3014" s="345" t="s">
        <v>210</v>
      </c>
      <c r="R3014" s="345" t="s">
        <v>223</v>
      </c>
      <c r="S3014" s="345" t="s">
        <v>224</v>
      </c>
    </row>
    <row r="3015" spans="1:19" x14ac:dyDescent="0.25">
      <c r="A3015" s="311"/>
      <c r="B3015" s="312"/>
      <c r="C3015" s="312"/>
      <c r="D3015" s="312"/>
      <c r="E3015" s="312"/>
      <c r="F3015" s="312"/>
      <c r="G3015" s="328"/>
      <c r="H3015" s="337"/>
      <c r="I3015" s="334"/>
      <c r="J3015" s="314"/>
      <c r="K3015" s="449"/>
      <c r="M3015" s="349" t="str">
        <f>N3015&amp;AS[[#This Row],[Insurer Code]]&amp;"; "&amp;O3015&amp;AS[[#This Row],[Reporting Year]]&amp;"; "&amp;P3015&amp;AS[[#This Row],[Insurance Category Code]]&amp;"; "&amp;Q3015&amp;AS[[#This Row],[Large Provider Entity Code]]&amp;"; "&amp;R3015&amp;AS[[#This Row],[Age Band Code]]&amp;"; "&amp;S3015&amp;AS[[#This Row],[Sex Code]]</f>
        <v xml:space="preserve">Insurer Code ; Reporting Year ; Insurance Category Code ; Large Provider Entity Code ; Age Band Code ; Sex Code </v>
      </c>
      <c r="N3015" s="345" t="s">
        <v>207</v>
      </c>
      <c r="O3015" s="345" t="s">
        <v>208</v>
      </c>
      <c r="P3015" s="345" t="s">
        <v>209</v>
      </c>
      <c r="Q3015" s="345" t="s">
        <v>210</v>
      </c>
      <c r="R3015" s="345" t="s">
        <v>223</v>
      </c>
      <c r="S3015" s="345" t="s">
        <v>224</v>
      </c>
    </row>
    <row r="3016" spans="1:19" x14ac:dyDescent="0.25">
      <c r="A3016" s="311"/>
      <c r="B3016" s="312"/>
      <c r="C3016" s="312"/>
      <c r="D3016" s="312"/>
      <c r="E3016" s="312"/>
      <c r="F3016" s="312"/>
      <c r="G3016" s="328"/>
      <c r="H3016" s="337"/>
      <c r="I3016" s="334"/>
      <c r="J3016" s="314"/>
      <c r="K3016" s="449"/>
      <c r="M3016" s="349" t="str">
        <f>N3016&amp;AS[[#This Row],[Insurer Code]]&amp;"; "&amp;O3016&amp;AS[[#This Row],[Reporting Year]]&amp;"; "&amp;P3016&amp;AS[[#This Row],[Insurance Category Code]]&amp;"; "&amp;Q3016&amp;AS[[#This Row],[Large Provider Entity Code]]&amp;"; "&amp;R3016&amp;AS[[#This Row],[Age Band Code]]&amp;"; "&amp;S3016&amp;AS[[#This Row],[Sex Code]]</f>
        <v xml:space="preserve">Insurer Code ; Reporting Year ; Insurance Category Code ; Large Provider Entity Code ; Age Band Code ; Sex Code </v>
      </c>
      <c r="N3016" s="345" t="s">
        <v>207</v>
      </c>
      <c r="O3016" s="345" t="s">
        <v>208</v>
      </c>
      <c r="P3016" s="345" t="s">
        <v>209</v>
      </c>
      <c r="Q3016" s="345" t="s">
        <v>210</v>
      </c>
      <c r="R3016" s="345" t="s">
        <v>223</v>
      </c>
      <c r="S3016" s="345" t="s">
        <v>224</v>
      </c>
    </row>
    <row r="3017" spans="1:19" x14ac:dyDescent="0.25">
      <c r="A3017" s="311"/>
      <c r="B3017" s="312"/>
      <c r="C3017" s="312"/>
      <c r="D3017" s="312"/>
      <c r="E3017" s="312"/>
      <c r="F3017" s="312"/>
      <c r="G3017" s="328"/>
      <c r="H3017" s="337"/>
      <c r="I3017" s="334"/>
      <c r="J3017" s="314"/>
      <c r="K3017" s="449"/>
      <c r="M3017" s="349" t="str">
        <f>N3017&amp;AS[[#This Row],[Insurer Code]]&amp;"; "&amp;O3017&amp;AS[[#This Row],[Reporting Year]]&amp;"; "&amp;P3017&amp;AS[[#This Row],[Insurance Category Code]]&amp;"; "&amp;Q3017&amp;AS[[#This Row],[Large Provider Entity Code]]&amp;"; "&amp;R3017&amp;AS[[#This Row],[Age Band Code]]&amp;"; "&amp;S3017&amp;AS[[#This Row],[Sex Code]]</f>
        <v xml:space="preserve">Insurer Code ; Reporting Year ; Insurance Category Code ; Large Provider Entity Code ; Age Band Code ; Sex Code </v>
      </c>
      <c r="N3017" s="345" t="s">
        <v>207</v>
      </c>
      <c r="O3017" s="345" t="s">
        <v>208</v>
      </c>
      <c r="P3017" s="345" t="s">
        <v>209</v>
      </c>
      <c r="Q3017" s="345" t="s">
        <v>210</v>
      </c>
      <c r="R3017" s="345" t="s">
        <v>223</v>
      </c>
      <c r="S3017" s="345" t="s">
        <v>224</v>
      </c>
    </row>
    <row r="3018" spans="1:19" x14ac:dyDescent="0.25">
      <c r="A3018" s="311"/>
      <c r="B3018" s="312"/>
      <c r="C3018" s="312"/>
      <c r="D3018" s="312"/>
      <c r="E3018" s="312"/>
      <c r="F3018" s="312"/>
      <c r="G3018" s="328"/>
      <c r="H3018" s="337"/>
      <c r="I3018" s="334"/>
      <c r="J3018" s="314"/>
      <c r="K3018" s="449"/>
      <c r="M3018" s="349" t="str">
        <f>N3018&amp;AS[[#This Row],[Insurer Code]]&amp;"; "&amp;O3018&amp;AS[[#This Row],[Reporting Year]]&amp;"; "&amp;P3018&amp;AS[[#This Row],[Insurance Category Code]]&amp;"; "&amp;Q3018&amp;AS[[#This Row],[Large Provider Entity Code]]&amp;"; "&amp;R3018&amp;AS[[#This Row],[Age Band Code]]&amp;"; "&amp;S3018&amp;AS[[#This Row],[Sex Code]]</f>
        <v xml:space="preserve">Insurer Code ; Reporting Year ; Insurance Category Code ; Large Provider Entity Code ; Age Band Code ; Sex Code </v>
      </c>
      <c r="N3018" s="345" t="s">
        <v>207</v>
      </c>
      <c r="O3018" s="345" t="s">
        <v>208</v>
      </c>
      <c r="P3018" s="345" t="s">
        <v>209</v>
      </c>
      <c r="Q3018" s="345" t="s">
        <v>210</v>
      </c>
      <c r="R3018" s="345" t="s">
        <v>223</v>
      </c>
      <c r="S3018" s="345" t="s">
        <v>224</v>
      </c>
    </row>
    <row r="3019" spans="1:19" x14ac:dyDescent="0.25">
      <c r="A3019" s="311"/>
      <c r="B3019" s="312"/>
      <c r="C3019" s="312"/>
      <c r="D3019" s="312"/>
      <c r="E3019" s="312"/>
      <c r="F3019" s="312"/>
      <c r="G3019" s="328"/>
      <c r="H3019" s="337"/>
      <c r="I3019" s="334"/>
      <c r="J3019" s="314"/>
      <c r="K3019" s="449"/>
      <c r="M3019" s="349" t="str">
        <f>N3019&amp;AS[[#This Row],[Insurer Code]]&amp;"; "&amp;O3019&amp;AS[[#This Row],[Reporting Year]]&amp;"; "&amp;P3019&amp;AS[[#This Row],[Insurance Category Code]]&amp;"; "&amp;Q3019&amp;AS[[#This Row],[Large Provider Entity Code]]&amp;"; "&amp;R3019&amp;AS[[#This Row],[Age Band Code]]&amp;"; "&amp;S3019&amp;AS[[#This Row],[Sex Code]]</f>
        <v xml:space="preserve">Insurer Code ; Reporting Year ; Insurance Category Code ; Large Provider Entity Code ; Age Band Code ; Sex Code </v>
      </c>
      <c r="N3019" s="345" t="s">
        <v>207</v>
      </c>
      <c r="O3019" s="345" t="s">
        <v>208</v>
      </c>
      <c r="P3019" s="345" t="s">
        <v>209</v>
      </c>
      <c r="Q3019" s="345" t="s">
        <v>210</v>
      </c>
      <c r="R3019" s="345" t="s">
        <v>223</v>
      </c>
      <c r="S3019" s="345" t="s">
        <v>224</v>
      </c>
    </row>
    <row r="3020" spans="1:19" x14ac:dyDescent="0.25">
      <c r="A3020" s="311"/>
      <c r="B3020" s="312"/>
      <c r="C3020" s="312"/>
      <c r="D3020" s="312"/>
      <c r="E3020" s="312"/>
      <c r="F3020" s="312"/>
      <c r="G3020" s="328"/>
      <c r="H3020" s="337"/>
      <c r="I3020" s="334"/>
      <c r="J3020" s="314"/>
      <c r="K3020" s="449"/>
      <c r="M3020" s="349" t="str">
        <f>N3020&amp;AS[[#This Row],[Insurer Code]]&amp;"; "&amp;O3020&amp;AS[[#This Row],[Reporting Year]]&amp;"; "&amp;P3020&amp;AS[[#This Row],[Insurance Category Code]]&amp;"; "&amp;Q3020&amp;AS[[#This Row],[Large Provider Entity Code]]&amp;"; "&amp;R3020&amp;AS[[#This Row],[Age Band Code]]&amp;"; "&amp;S3020&amp;AS[[#This Row],[Sex Code]]</f>
        <v xml:space="preserve">Insurer Code ; Reporting Year ; Insurance Category Code ; Large Provider Entity Code ; Age Band Code ; Sex Code </v>
      </c>
      <c r="N3020" s="345" t="s">
        <v>207</v>
      </c>
      <c r="O3020" s="345" t="s">
        <v>208</v>
      </c>
      <c r="P3020" s="345" t="s">
        <v>209</v>
      </c>
      <c r="Q3020" s="345" t="s">
        <v>210</v>
      </c>
      <c r="R3020" s="345" t="s">
        <v>223</v>
      </c>
      <c r="S3020" s="345" t="s">
        <v>224</v>
      </c>
    </row>
    <row r="3021" spans="1:19" x14ac:dyDescent="0.25">
      <c r="A3021" s="311"/>
      <c r="B3021" s="312"/>
      <c r="C3021" s="312"/>
      <c r="D3021" s="312"/>
      <c r="E3021" s="312"/>
      <c r="F3021" s="312"/>
      <c r="G3021" s="328"/>
      <c r="H3021" s="337"/>
      <c r="I3021" s="334"/>
      <c r="J3021" s="314"/>
      <c r="K3021" s="449"/>
      <c r="M3021" s="349" t="str">
        <f>N3021&amp;AS[[#This Row],[Insurer Code]]&amp;"; "&amp;O3021&amp;AS[[#This Row],[Reporting Year]]&amp;"; "&amp;P3021&amp;AS[[#This Row],[Insurance Category Code]]&amp;"; "&amp;Q3021&amp;AS[[#This Row],[Large Provider Entity Code]]&amp;"; "&amp;R3021&amp;AS[[#This Row],[Age Band Code]]&amp;"; "&amp;S3021&amp;AS[[#This Row],[Sex Code]]</f>
        <v xml:space="preserve">Insurer Code ; Reporting Year ; Insurance Category Code ; Large Provider Entity Code ; Age Band Code ; Sex Code </v>
      </c>
      <c r="N3021" s="345" t="s">
        <v>207</v>
      </c>
      <c r="O3021" s="345" t="s">
        <v>208</v>
      </c>
      <c r="P3021" s="345" t="s">
        <v>209</v>
      </c>
      <c r="Q3021" s="345" t="s">
        <v>210</v>
      </c>
      <c r="R3021" s="345" t="s">
        <v>223</v>
      </c>
      <c r="S3021" s="345" t="s">
        <v>224</v>
      </c>
    </row>
    <row r="3022" spans="1:19" x14ac:dyDescent="0.25">
      <c r="A3022" s="311"/>
      <c r="B3022" s="312"/>
      <c r="C3022" s="312"/>
      <c r="D3022" s="312"/>
      <c r="E3022" s="312"/>
      <c r="F3022" s="312"/>
      <c r="G3022" s="328"/>
      <c r="H3022" s="337"/>
      <c r="I3022" s="334"/>
      <c r="J3022" s="314"/>
      <c r="K3022" s="449"/>
      <c r="M3022" s="349" t="str">
        <f>N3022&amp;AS[[#This Row],[Insurer Code]]&amp;"; "&amp;O3022&amp;AS[[#This Row],[Reporting Year]]&amp;"; "&amp;P3022&amp;AS[[#This Row],[Insurance Category Code]]&amp;"; "&amp;Q3022&amp;AS[[#This Row],[Large Provider Entity Code]]&amp;"; "&amp;R3022&amp;AS[[#This Row],[Age Band Code]]&amp;"; "&amp;S3022&amp;AS[[#This Row],[Sex Code]]</f>
        <v xml:space="preserve">Insurer Code ; Reporting Year ; Insurance Category Code ; Large Provider Entity Code ; Age Band Code ; Sex Code </v>
      </c>
      <c r="N3022" s="345" t="s">
        <v>207</v>
      </c>
      <c r="O3022" s="345" t="s">
        <v>208</v>
      </c>
      <c r="P3022" s="345" t="s">
        <v>209</v>
      </c>
      <c r="Q3022" s="345" t="s">
        <v>210</v>
      </c>
      <c r="R3022" s="345" t="s">
        <v>223</v>
      </c>
      <c r="S3022" s="345" t="s">
        <v>224</v>
      </c>
    </row>
    <row r="3023" spans="1:19" x14ac:dyDescent="0.25">
      <c r="A3023" s="311"/>
      <c r="B3023" s="312"/>
      <c r="C3023" s="312"/>
      <c r="D3023" s="312"/>
      <c r="E3023" s="312"/>
      <c r="F3023" s="312"/>
      <c r="G3023" s="328"/>
      <c r="H3023" s="337"/>
      <c r="I3023" s="334"/>
      <c r="J3023" s="314"/>
      <c r="K3023" s="449"/>
      <c r="M3023" s="349" t="str">
        <f>N3023&amp;AS[[#This Row],[Insurer Code]]&amp;"; "&amp;O3023&amp;AS[[#This Row],[Reporting Year]]&amp;"; "&amp;P3023&amp;AS[[#This Row],[Insurance Category Code]]&amp;"; "&amp;Q3023&amp;AS[[#This Row],[Large Provider Entity Code]]&amp;"; "&amp;R3023&amp;AS[[#This Row],[Age Band Code]]&amp;"; "&amp;S3023&amp;AS[[#This Row],[Sex Code]]</f>
        <v xml:space="preserve">Insurer Code ; Reporting Year ; Insurance Category Code ; Large Provider Entity Code ; Age Band Code ; Sex Code </v>
      </c>
      <c r="N3023" s="345" t="s">
        <v>207</v>
      </c>
      <c r="O3023" s="345" t="s">
        <v>208</v>
      </c>
      <c r="P3023" s="345" t="s">
        <v>209</v>
      </c>
      <c r="Q3023" s="345" t="s">
        <v>210</v>
      </c>
      <c r="R3023" s="345" t="s">
        <v>223</v>
      </c>
      <c r="S3023" s="345" t="s">
        <v>224</v>
      </c>
    </row>
    <row r="3024" spans="1:19" x14ac:dyDescent="0.25">
      <c r="A3024" s="311"/>
      <c r="B3024" s="312"/>
      <c r="C3024" s="312"/>
      <c r="D3024" s="312"/>
      <c r="E3024" s="312"/>
      <c r="F3024" s="312"/>
      <c r="G3024" s="328"/>
      <c r="H3024" s="337"/>
      <c r="I3024" s="334"/>
      <c r="J3024" s="314"/>
      <c r="K3024" s="449"/>
      <c r="M3024" s="349" t="str">
        <f>N3024&amp;AS[[#This Row],[Insurer Code]]&amp;"; "&amp;O3024&amp;AS[[#This Row],[Reporting Year]]&amp;"; "&amp;P3024&amp;AS[[#This Row],[Insurance Category Code]]&amp;"; "&amp;Q3024&amp;AS[[#This Row],[Large Provider Entity Code]]&amp;"; "&amp;R3024&amp;AS[[#This Row],[Age Band Code]]&amp;"; "&amp;S3024&amp;AS[[#This Row],[Sex Code]]</f>
        <v xml:space="preserve">Insurer Code ; Reporting Year ; Insurance Category Code ; Large Provider Entity Code ; Age Band Code ; Sex Code </v>
      </c>
      <c r="N3024" s="345" t="s">
        <v>207</v>
      </c>
      <c r="O3024" s="345" t="s">
        <v>208</v>
      </c>
      <c r="P3024" s="345" t="s">
        <v>209</v>
      </c>
      <c r="Q3024" s="345" t="s">
        <v>210</v>
      </c>
      <c r="R3024" s="345" t="s">
        <v>223</v>
      </c>
      <c r="S3024" s="345" t="s">
        <v>224</v>
      </c>
    </row>
    <row r="3025" spans="1:19" x14ac:dyDescent="0.25">
      <c r="A3025" s="311"/>
      <c r="B3025" s="312"/>
      <c r="C3025" s="312"/>
      <c r="D3025" s="312"/>
      <c r="E3025" s="312"/>
      <c r="F3025" s="312"/>
      <c r="G3025" s="328"/>
      <c r="H3025" s="337"/>
      <c r="I3025" s="334"/>
      <c r="J3025" s="314"/>
      <c r="K3025" s="449"/>
      <c r="M3025" s="349" t="str">
        <f>N3025&amp;AS[[#This Row],[Insurer Code]]&amp;"; "&amp;O3025&amp;AS[[#This Row],[Reporting Year]]&amp;"; "&amp;P3025&amp;AS[[#This Row],[Insurance Category Code]]&amp;"; "&amp;Q3025&amp;AS[[#This Row],[Large Provider Entity Code]]&amp;"; "&amp;R3025&amp;AS[[#This Row],[Age Band Code]]&amp;"; "&amp;S3025&amp;AS[[#This Row],[Sex Code]]</f>
        <v xml:space="preserve">Insurer Code ; Reporting Year ; Insurance Category Code ; Large Provider Entity Code ; Age Band Code ; Sex Code </v>
      </c>
      <c r="N3025" s="345" t="s">
        <v>207</v>
      </c>
      <c r="O3025" s="345" t="s">
        <v>208</v>
      </c>
      <c r="P3025" s="345" t="s">
        <v>209</v>
      </c>
      <c r="Q3025" s="345" t="s">
        <v>210</v>
      </c>
      <c r="R3025" s="345" t="s">
        <v>223</v>
      </c>
      <c r="S3025" s="345" t="s">
        <v>224</v>
      </c>
    </row>
    <row r="3026" spans="1:19" x14ac:dyDescent="0.25">
      <c r="A3026" s="311"/>
      <c r="B3026" s="312"/>
      <c r="C3026" s="312"/>
      <c r="D3026" s="312"/>
      <c r="E3026" s="312"/>
      <c r="F3026" s="312"/>
      <c r="G3026" s="328"/>
      <c r="H3026" s="337"/>
      <c r="I3026" s="334"/>
      <c r="J3026" s="314"/>
      <c r="K3026" s="449"/>
      <c r="M3026" s="349" t="str">
        <f>N3026&amp;AS[[#This Row],[Insurer Code]]&amp;"; "&amp;O3026&amp;AS[[#This Row],[Reporting Year]]&amp;"; "&amp;P3026&amp;AS[[#This Row],[Insurance Category Code]]&amp;"; "&amp;Q3026&amp;AS[[#This Row],[Large Provider Entity Code]]&amp;"; "&amp;R3026&amp;AS[[#This Row],[Age Band Code]]&amp;"; "&amp;S3026&amp;AS[[#This Row],[Sex Code]]</f>
        <v xml:space="preserve">Insurer Code ; Reporting Year ; Insurance Category Code ; Large Provider Entity Code ; Age Band Code ; Sex Code </v>
      </c>
      <c r="N3026" s="345" t="s">
        <v>207</v>
      </c>
      <c r="O3026" s="345" t="s">
        <v>208</v>
      </c>
      <c r="P3026" s="345" t="s">
        <v>209</v>
      </c>
      <c r="Q3026" s="345" t="s">
        <v>210</v>
      </c>
      <c r="R3026" s="345" t="s">
        <v>223</v>
      </c>
      <c r="S3026" s="345" t="s">
        <v>224</v>
      </c>
    </row>
    <row r="3027" spans="1:19" x14ac:dyDescent="0.25">
      <c r="A3027" s="311"/>
      <c r="B3027" s="312"/>
      <c r="C3027" s="312"/>
      <c r="D3027" s="312"/>
      <c r="E3027" s="312"/>
      <c r="F3027" s="312"/>
      <c r="G3027" s="328"/>
      <c r="H3027" s="337"/>
      <c r="I3027" s="334"/>
      <c r="J3027" s="314"/>
      <c r="K3027" s="449"/>
      <c r="M3027" s="349" t="str">
        <f>N3027&amp;AS[[#This Row],[Insurer Code]]&amp;"; "&amp;O3027&amp;AS[[#This Row],[Reporting Year]]&amp;"; "&amp;P3027&amp;AS[[#This Row],[Insurance Category Code]]&amp;"; "&amp;Q3027&amp;AS[[#This Row],[Large Provider Entity Code]]&amp;"; "&amp;R3027&amp;AS[[#This Row],[Age Band Code]]&amp;"; "&amp;S3027&amp;AS[[#This Row],[Sex Code]]</f>
        <v xml:space="preserve">Insurer Code ; Reporting Year ; Insurance Category Code ; Large Provider Entity Code ; Age Band Code ; Sex Code </v>
      </c>
      <c r="N3027" s="345" t="s">
        <v>207</v>
      </c>
      <c r="O3027" s="345" t="s">
        <v>208</v>
      </c>
      <c r="P3027" s="345" t="s">
        <v>209</v>
      </c>
      <c r="Q3027" s="345" t="s">
        <v>210</v>
      </c>
      <c r="R3027" s="345" t="s">
        <v>223</v>
      </c>
      <c r="S3027" s="345" t="s">
        <v>224</v>
      </c>
    </row>
    <row r="3028" spans="1:19" x14ac:dyDescent="0.25">
      <c r="A3028" s="311"/>
      <c r="B3028" s="312"/>
      <c r="C3028" s="312"/>
      <c r="D3028" s="312"/>
      <c r="E3028" s="312"/>
      <c r="F3028" s="312"/>
      <c r="G3028" s="328"/>
      <c r="H3028" s="337"/>
      <c r="I3028" s="334"/>
      <c r="J3028" s="314"/>
      <c r="K3028" s="449"/>
      <c r="M3028" s="349" t="str">
        <f>N3028&amp;AS[[#This Row],[Insurer Code]]&amp;"; "&amp;O3028&amp;AS[[#This Row],[Reporting Year]]&amp;"; "&amp;P3028&amp;AS[[#This Row],[Insurance Category Code]]&amp;"; "&amp;Q3028&amp;AS[[#This Row],[Large Provider Entity Code]]&amp;"; "&amp;R3028&amp;AS[[#This Row],[Age Band Code]]&amp;"; "&amp;S3028&amp;AS[[#This Row],[Sex Code]]</f>
        <v xml:space="preserve">Insurer Code ; Reporting Year ; Insurance Category Code ; Large Provider Entity Code ; Age Band Code ; Sex Code </v>
      </c>
      <c r="N3028" s="345" t="s">
        <v>207</v>
      </c>
      <c r="O3028" s="345" t="s">
        <v>208</v>
      </c>
      <c r="P3028" s="345" t="s">
        <v>209</v>
      </c>
      <c r="Q3028" s="345" t="s">
        <v>210</v>
      </c>
      <c r="R3028" s="345" t="s">
        <v>223</v>
      </c>
      <c r="S3028" s="345" t="s">
        <v>224</v>
      </c>
    </row>
    <row r="3029" spans="1:19" x14ac:dyDescent="0.25">
      <c r="A3029" s="311"/>
      <c r="B3029" s="312"/>
      <c r="C3029" s="312"/>
      <c r="D3029" s="312"/>
      <c r="E3029" s="312"/>
      <c r="F3029" s="312"/>
      <c r="G3029" s="328"/>
      <c r="H3029" s="337"/>
      <c r="I3029" s="334"/>
      <c r="J3029" s="314"/>
      <c r="K3029" s="449"/>
      <c r="M3029" s="349" t="str">
        <f>N3029&amp;AS[[#This Row],[Insurer Code]]&amp;"; "&amp;O3029&amp;AS[[#This Row],[Reporting Year]]&amp;"; "&amp;P3029&amp;AS[[#This Row],[Insurance Category Code]]&amp;"; "&amp;Q3029&amp;AS[[#This Row],[Large Provider Entity Code]]&amp;"; "&amp;R3029&amp;AS[[#This Row],[Age Band Code]]&amp;"; "&amp;S3029&amp;AS[[#This Row],[Sex Code]]</f>
        <v xml:space="preserve">Insurer Code ; Reporting Year ; Insurance Category Code ; Large Provider Entity Code ; Age Band Code ; Sex Code </v>
      </c>
      <c r="N3029" s="345" t="s">
        <v>207</v>
      </c>
      <c r="O3029" s="345" t="s">
        <v>208</v>
      </c>
      <c r="P3029" s="345" t="s">
        <v>209</v>
      </c>
      <c r="Q3029" s="345" t="s">
        <v>210</v>
      </c>
      <c r="R3029" s="345" t="s">
        <v>223</v>
      </c>
      <c r="S3029" s="345" t="s">
        <v>224</v>
      </c>
    </row>
    <row r="3030" spans="1:19" x14ac:dyDescent="0.25">
      <c r="A3030" s="311"/>
      <c r="B3030" s="312"/>
      <c r="C3030" s="312"/>
      <c r="D3030" s="312"/>
      <c r="E3030" s="312"/>
      <c r="F3030" s="312"/>
      <c r="G3030" s="328"/>
      <c r="H3030" s="337"/>
      <c r="I3030" s="334"/>
      <c r="J3030" s="314"/>
      <c r="K3030" s="449"/>
      <c r="M3030" s="349" t="str">
        <f>N3030&amp;AS[[#This Row],[Insurer Code]]&amp;"; "&amp;O3030&amp;AS[[#This Row],[Reporting Year]]&amp;"; "&amp;P3030&amp;AS[[#This Row],[Insurance Category Code]]&amp;"; "&amp;Q3030&amp;AS[[#This Row],[Large Provider Entity Code]]&amp;"; "&amp;R3030&amp;AS[[#This Row],[Age Band Code]]&amp;"; "&amp;S3030&amp;AS[[#This Row],[Sex Code]]</f>
        <v xml:space="preserve">Insurer Code ; Reporting Year ; Insurance Category Code ; Large Provider Entity Code ; Age Band Code ; Sex Code </v>
      </c>
      <c r="N3030" s="345" t="s">
        <v>207</v>
      </c>
      <c r="O3030" s="345" t="s">
        <v>208</v>
      </c>
      <c r="P3030" s="345" t="s">
        <v>209</v>
      </c>
      <c r="Q3030" s="345" t="s">
        <v>210</v>
      </c>
      <c r="R3030" s="345" t="s">
        <v>223</v>
      </c>
      <c r="S3030" s="345" t="s">
        <v>224</v>
      </c>
    </row>
    <row r="3031" spans="1:19" x14ac:dyDescent="0.25">
      <c r="A3031" s="311"/>
      <c r="B3031" s="312"/>
      <c r="C3031" s="312"/>
      <c r="D3031" s="312"/>
      <c r="E3031" s="312"/>
      <c r="F3031" s="312"/>
      <c r="G3031" s="328"/>
      <c r="H3031" s="337"/>
      <c r="I3031" s="334"/>
      <c r="J3031" s="314"/>
      <c r="K3031" s="449"/>
      <c r="M3031" s="349" t="str">
        <f>N3031&amp;AS[[#This Row],[Insurer Code]]&amp;"; "&amp;O3031&amp;AS[[#This Row],[Reporting Year]]&amp;"; "&amp;P3031&amp;AS[[#This Row],[Insurance Category Code]]&amp;"; "&amp;Q3031&amp;AS[[#This Row],[Large Provider Entity Code]]&amp;"; "&amp;R3031&amp;AS[[#This Row],[Age Band Code]]&amp;"; "&amp;S3031&amp;AS[[#This Row],[Sex Code]]</f>
        <v xml:space="preserve">Insurer Code ; Reporting Year ; Insurance Category Code ; Large Provider Entity Code ; Age Band Code ; Sex Code </v>
      </c>
      <c r="N3031" s="345" t="s">
        <v>207</v>
      </c>
      <c r="O3031" s="345" t="s">
        <v>208</v>
      </c>
      <c r="P3031" s="345" t="s">
        <v>209</v>
      </c>
      <c r="Q3031" s="345" t="s">
        <v>210</v>
      </c>
      <c r="R3031" s="345" t="s">
        <v>223</v>
      </c>
      <c r="S3031" s="345" t="s">
        <v>224</v>
      </c>
    </row>
    <row r="3032" spans="1:19" x14ac:dyDescent="0.25">
      <c r="A3032" s="311"/>
      <c r="B3032" s="312"/>
      <c r="C3032" s="312"/>
      <c r="D3032" s="312"/>
      <c r="E3032" s="312"/>
      <c r="F3032" s="312"/>
      <c r="G3032" s="328"/>
      <c r="H3032" s="337"/>
      <c r="I3032" s="334"/>
      <c r="J3032" s="314"/>
      <c r="K3032" s="449"/>
      <c r="M3032" s="349" t="str">
        <f>N3032&amp;AS[[#This Row],[Insurer Code]]&amp;"; "&amp;O3032&amp;AS[[#This Row],[Reporting Year]]&amp;"; "&amp;P3032&amp;AS[[#This Row],[Insurance Category Code]]&amp;"; "&amp;Q3032&amp;AS[[#This Row],[Large Provider Entity Code]]&amp;"; "&amp;R3032&amp;AS[[#This Row],[Age Band Code]]&amp;"; "&amp;S3032&amp;AS[[#This Row],[Sex Code]]</f>
        <v xml:space="preserve">Insurer Code ; Reporting Year ; Insurance Category Code ; Large Provider Entity Code ; Age Band Code ; Sex Code </v>
      </c>
      <c r="N3032" s="345" t="s">
        <v>207</v>
      </c>
      <c r="O3032" s="345" t="s">
        <v>208</v>
      </c>
      <c r="P3032" s="345" t="s">
        <v>209</v>
      </c>
      <c r="Q3032" s="345" t="s">
        <v>210</v>
      </c>
      <c r="R3032" s="345" t="s">
        <v>223</v>
      </c>
      <c r="S3032" s="345" t="s">
        <v>224</v>
      </c>
    </row>
    <row r="3033" spans="1:19" x14ac:dyDescent="0.25">
      <c r="A3033" s="311"/>
      <c r="B3033" s="312"/>
      <c r="C3033" s="312"/>
      <c r="D3033" s="312"/>
      <c r="E3033" s="312"/>
      <c r="F3033" s="312"/>
      <c r="G3033" s="328"/>
      <c r="H3033" s="337"/>
      <c r="I3033" s="334"/>
      <c r="J3033" s="314"/>
      <c r="K3033" s="449"/>
      <c r="M3033" s="349" t="str">
        <f>N3033&amp;AS[[#This Row],[Insurer Code]]&amp;"; "&amp;O3033&amp;AS[[#This Row],[Reporting Year]]&amp;"; "&amp;P3033&amp;AS[[#This Row],[Insurance Category Code]]&amp;"; "&amp;Q3033&amp;AS[[#This Row],[Large Provider Entity Code]]&amp;"; "&amp;R3033&amp;AS[[#This Row],[Age Band Code]]&amp;"; "&amp;S3033&amp;AS[[#This Row],[Sex Code]]</f>
        <v xml:space="preserve">Insurer Code ; Reporting Year ; Insurance Category Code ; Large Provider Entity Code ; Age Band Code ; Sex Code </v>
      </c>
      <c r="N3033" s="345" t="s">
        <v>207</v>
      </c>
      <c r="O3033" s="345" t="s">
        <v>208</v>
      </c>
      <c r="P3033" s="345" t="s">
        <v>209</v>
      </c>
      <c r="Q3033" s="345" t="s">
        <v>210</v>
      </c>
      <c r="R3033" s="345" t="s">
        <v>223</v>
      </c>
      <c r="S3033" s="345" t="s">
        <v>224</v>
      </c>
    </row>
    <row r="3034" spans="1:19" x14ac:dyDescent="0.25">
      <c r="A3034" s="311"/>
      <c r="B3034" s="312"/>
      <c r="C3034" s="312"/>
      <c r="D3034" s="312"/>
      <c r="E3034" s="312"/>
      <c r="F3034" s="312"/>
      <c r="G3034" s="328"/>
      <c r="H3034" s="337"/>
      <c r="I3034" s="334"/>
      <c r="J3034" s="314"/>
      <c r="K3034" s="449"/>
      <c r="M3034" s="349" t="str">
        <f>N3034&amp;AS[[#This Row],[Insurer Code]]&amp;"; "&amp;O3034&amp;AS[[#This Row],[Reporting Year]]&amp;"; "&amp;P3034&amp;AS[[#This Row],[Insurance Category Code]]&amp;"; "&amp;Q3034&amp;AS[[#This Row],[Large Provider Entity Code]]&amp;"; "&amp;R3034&amp;AS[[#This Row],[Age Band Code]]&amp;"; "&amp;S3034&amp;AS[[#This Row],[Sex Code]]</f>
        <v xml:space="preserve">Insurer Code ; Reporting Year ; Insurance Category Code ; Large Provider Entity Code ; Age Band Code ; Sex Code </v>
      </c>
      <c r="N3034" s="345" t="s">
        <v>207</v>
      </c>
      <c r="O3034" s="345" t="s">
        <v>208</v>
      </c>
      <c r="P3034" s="345" t="s">
        <v>209</v>
      </c>
      <c r="Q3034" s="345" t="s">
        <v>210</v>
      </c>
      <c r="R3034" s="345" t="s">
        <v>223</v>
      </c>
      <c r="S3034" s="345" t="s">
        <v>224</v>
      </c>
    </row>
    <row r="3035" spans="1:19" x14ac:dyDescent="0.25">
      <c r="A3035" s="311"/>
      <c r="B3035" s="312"/>
      <c r="C3035" s="312"/>
      <c r="D3035" s="312"/>
      <c r="E3035" s="312"/>
      <c r="F3035" s="312"/>
      <c r="G3035" s="328"/>
      <c r="H3035" s="337"/>
      <c r="I3035" s="334"/>
      <c r="J3035" s="314"/>
      <c r="K3035" s="449"/>
      <c r="M3035" s="349" t="str">
        <f>N3035&amp;AS[[#This Row],[Insurer Code]]&amp;"; "&amp;O3035&amp;AS[[#This Row],[Reporting Year]]&amp;"; "&amp;P3035&amp;AS[[#This Row],[Insurance Category Code]]&amp;"; "&amp;Q3035&amp;AS[[#This Row],[Large Provider Entity Code]]&amp;"; "&amp;R3035&amp;AS[[#This Row],[Age Band Code]]&amp;"; "&amp;S3035&amp;AS[[#This Row],[Sex Code]]</f>
        <v xml:space="preserve">Insurer Code ; Reporting Year ; Insurance Category Code ; Large Provider Entity Code ; Age Band Code ; Sex Code </v>
      </c>
      <c r="N3035" s="345" t="s">
        <v>207</v>
      </c>
      <c r="O3035" s="345" t="s">
        <v>208</v>
      </c>
      <c r="P3035" s="345" t="s">
        <v>209</v>
      </c>
      <c r="Q3035" s="345" t="s">
        <v>210</v>
      </c>
      <c r="R3035" s="345" t="s">
        <v>223</v>
      </c>
      <c r="S3035" s="345" t="s">
        <v>224</v>
      </c>
    </row>
    <row r="3036" spans="1:19" x14ac:dyDescent="0.25">
      <c r="A3036" s="311"/>
      <c r="B3036" s="312"/>
      <c r="C3036" s="312"/>
      <c r="D3036" s="312"/>
      <c r="E3036" s="312"/>
      <c r="F3036" s="312"/>
      <c r="G3036" s="328"/>
      <c r="H3036" s="337"/>
      <c r="I3036" s="334"/>
      <c r="J3036" s="314"/>
      <c r="K3036" s="449"/>
      <c r="M3036" s="349" t="str">
        <f>N3036&amp;AS[[#This Row],[Insurer Code]]&amp;"; "&amp;O3036&amp;AS[[#This Row],[Reporting Year]]&amp;"; "&amp;P3036&amp;AS[[#This Row],[Insurance Category Code]]&amp;"; "&amp;Q3036&amp;AS[[#This Row],[Large Provider Entity Code]]&amp;"; "&amp;R3036&amp;AS[[#This Row],[Age Band Code]]&amp;"; "&amp;S3036&amp;AS[[#This Row],[Sex Code]]</f>
        <v xml:space="preserve">Insurer Code ; Reporting Year ; Insurance Category Code ; Large Provider Entity Code ; Age Band Code ; Sex Code </v>
      </c>
      <c r="N3036" s="345" t="s">
        <v>207</v>
      </c>
      <c r="O3036" s="345" t="s">
        <v>208</v>
      </c>
      <c r="P3036" s="345" t="s">
        <v>209</v>
      </c>
      <c r="Q3036" s="345" t="s">
        <v>210</v>
      </c>
      <c r="R3036" s="345" t="s">
        <v>223</v>
      </c>
      <c r="S3036" s="345" t="s">
        <v>224</v>
      </c>
    </row>
    <row r="3037" spans="1:19" x14ac:dyDescent="0.25">
      <c r="A3037" s="311"/>
      <c r="B3037" s="312"/>
      <c r="C3037" s="312"/>
      <c r="D3037" s="312"/>
      <c r="E3037" s="312"/>
      <c r="F3037" s="312"/>
      <c r="G3037" s="328"/>
      <c r="H3037" s="337"/>
      <c r="I3037" s="334"/>
      <c r="J3037" s="314"/>
      <c r="K3037" s="449"/>
      <c r="M3037" s="349" t="str">
        <f>N3037&amp;AS[[#This Row],[Insurer Code]]&amp;"; "&amp;O3037&amp;AS[[#This Row],[Reporting Year]]&amp;"; "&amp;P3037&amp;AS[[#This Row],[Insurance Category Code]]&amp;"; "&amp;Q3037&amp;AS[[#This Row],[Large Provider Entity Code]]&amp;"; "&amp;R3037&amp;AS[[#This Row],[Age Band Code]]&amp;"; "&amp;S3037&amp;AS[[#This Row],[Sex Code]]</f>
        <v xml:space="preserve">Insurer Code ; Reporting Year ; Insurance Category Code ; Large Provider Entity Code ; Age Band Code ; Sex Code </v>
      </c>
      <c r="N3037" s="345" t="s">
        <v>207</v>
      </c>
      <c r="O3037" s="345" t="s">
        <v>208</v>
      </c>
      <c r="P3037" s="345" t="s">
        <v>209</v>
      </c>
      <c r="Q3037" s="345" t="s">
        <v>210</v>
      </c>
      <c r="R3037" s="345" t="s">
        <v>223</v>
      </c>
      <c r="S3037" s="345" t="s">
        <v>224</v>
      </c>
    </row>
    <row r="3038" spans="1:19" x14ac:dyDescent="0.25">
      <c r="A3038" s="311"/>
      <c r="B3038" s="312"/>
      <c r="C3038" s="312"/>
      <c r="D3038" s="312"/>
      <c r="E3038" s="312"/>
      <c r="F3038" s="312"/>
      <c r="G3038" s="328"/>
      <c r="H3038" s="337"/>
      <c r="I3038" s="334"/>
      <c r="J3038" s="314"/>
      <c r="K3038" s="449"/>
      <c r="M3038" s="349" t="str">
        <f>N3038&amp;AS[[#This Row],[Insurer Code]]&amp;"; "&amp;O3038&amp;AS[[#This Row],[Reporting Year]]&amp;"; "&amp;P3038&amp;AS[[#This Row],[Insurance Category Code]]&amp;"; "&amp;Q3038&amp;AS[[#This Row],[Large Provider Entity Code]]&amp;"; "&amp;R3038&amp;AS[[#This Row],[Age Band Code]]&amp;"; "&amp;S3038&amp;AS[[#This Row],[Sex Code]]</f>
        <v xml:space="preserve">Insurer Code ; Reporting Year ; Insurance Category Code ; Large Provider Entity Code ; Age Band Code ; Sex Code </v>
      </c>
      <c r="N3038" s="345" t="s">
        <v>207</v>
      </c>
      <c r="O3038" s="345" t="s">
        <v>208</v>
      </c>
      <c r="P3038" s="345" t="s">
        <v>209</v>
      </c>
      <c r="Q3038" s="345" t="s">
        <v>210</v>
      </c>
      <c r="R3038" s="345" t="s">
        <v>223</v>
      </c>
      <c r="S3038" s="345" t="s">
        <v>224</v>
      </c>
    </row>
    <row r="3039" spans="1:19" x14ac:dyDescent="0.25">
      <c r="A3039" s="311"/>
      <c r="B3039" s="312"/>
      <c r="C3039" s="312"/>
      <c r="D3039" s="312"/>
      <c r="E3039" s="312"/>
      <c r="F3039" s="312"/>
      <c r="G3039" s="328"/>
      <c r="H3039" s="337"/>
      <c r="I3039" s="334"/>
      <c r="J3039" s="314"/>
      <c r="K3039" s="449"/>
      <c r="M3039" s="349" t="str">
        <f>N3039&amp;AS[[#This Row],[Insurer Code]]&amp;"; "&amp;O3039&amp;AS[[#This Row],[Reporting Year]]&amp;"; "&amp;P3039&amp;AS[[#This Row],[Insurance Category Code]]&amp;"; "&amp;Q3039&amp;AS[[#This Row],[Large Provider Entity Code]]&amp;"; "&amp;R3039&amp;AS[[#This Row],[Age Band Code]]&amp;"; "&amp;S3039&amp;AS[[#This Row],[Sex Code]]</f>
        <v xml:space="preserve">Insurer Code ; Reporting Year ; Insurance Category Code ; Large Provider Entity Code ; Age Band Code ; Sex Code </v>
      </c>
      <c r="N3039" s="345" t="s">
        <v>207</v>
      </c>
      <c r="O3039" s="345" t="s">
        <v>208</v>
      </c>
      <c r="P3039" s="345" t="s">
        <v>209</v>
      </c>
      <c r="Q3039" s="345" t="s">
        <v>210</v>
      </c>
      <c r="R3039" s="345" t="s">
        <v>223</v>
      </c>
      <c r="S3039" s="345" t="s">
        <v>224</v>
      </c>
    </row>
    <row r="3040" spans="1:19" x14ac:dyDescent="0.25">
      <c r="A3040" s="311"/>
      <c r="B3040" s="312"/>
      <c r="C3040" s="312"/>
      <c r="D3040" s="312"/>
      <c r="E3040" s="312"/>
      <c r="F3040" s="312"/>
      <c r="G3040" s="328"/>
      <c r="H3040" s="337"/>
      <c r="I3040" s="334"/>
      <c r="J3040" s="314"/>
      <c r="K3040" s="449"/>
      <c r="M3040" s="349" t="str">
        <f>N3040&amp;AS[[#This Row],[Insurer Code]]&amp;"; "&amp;O3040&amp;AS[[#This Row],[Reporting Year]]&amp;"; "&amp;P3040&amp;AS[[#This Row],[Insurance Category Code]]&amp;"; "&amp;Q3040&amp;AS[[#This Row],[Large Provider Entity Code]]&amp;"; "&amp;R3040&amp;AS[[#This Row],[Age Band Code]]&amp;"; "&amp;S3040&amp;AS[[#This Row],[Sex Code]]</f>
        <v xml:space="preserve">Insurer Code ; Reporting Year ; Insurance Category Code ; Large Provider Entity Code ; Age Band Code ; Sex Code </v>
      </c>
      <c r="N3040" s="345" t="s">
        <v>207</v>
      </c>
      <c r="O3040" s="345" t="s">
        <v>208</v>
      </c>
      <c r="P3040" s="345" t="s">
        <v>209</v>
      </c>
      <c r="Q3040" s="345" t="s">
        <v>210</v>
      </c>
      <c r="R3040" s="345" t="s">
        <v>223</v>
      </c>
      <c r="S3040" s="345" t="s">
        <v>224</v>
      </c>
    </row>
    <row r="3041" spans="1:19" x14ac:dyDescent="0.25">
      <c r="A3041" s="311"/>
      <c r="B3041" s="312"/>
      <c r="C3041" s="312"/>
      <c r="D3041" s="312"/>
      <c r="E3041" s="312"/>
      <c r="F3041" s="312"/>
      <c r="G3041" s="328"/>
      <c r="H3041" s="337"/>
      <c r="I3041" s="334"/>
      <c r="J3041" s="314"/>
      <c r="K3041" s="449"/>
      <c r="M3041" s="349" t="str">
        <f>N3041&amp;AS[[#This Row],[Insurer Code]]&amp;"; "&amp;O3041&amp;AS[[#This Row],[Reporting Year]]&amp;"; "&amp;P3041&amp;AS[[#This Row],[Insurance Category Code]]&amp;"; "&amp;Q3041&amp;AS[[#This Row],[Large Provider Entity Code]]&amp;"; "&amp;R3041&amp;AS[[#This Row],[Age Band Code]]&amp;"; "&amp;S3041&amp;AS[[#This Row],[Sex Code]]</f>
        <v xml:space="preserve">Insurer Code ; Reporting Year ; Insurance Category Code ; Large Provider Entity Code ; Age Band Code ; Sex Code </v>
      </c>
      <c r="N3041" s="345" t="s">
        <v>207</v>
      </c>
      <c r="O3041" s="345" t="s">
        <v>208</v>
      </c>
      <c r="P3041" s="345" t="s">
        <v>209</v>
      </c>
      <c r="Q3041" s="345" t="s">
        <v>210</v>
      </c>
      <c r="R3041" s="345" t="s">
        <v>223</v>
      </c>
      <c r="S3041" s="345" t="s">
        <v>224</v>
      </c>
    </row>
    <row r="3042" spans="1:19" x14ac:dyDescent="0.25">
      <c r="A3042" s="311"/>
      <c r="B3042" s="312"/>
      <c r="C3042" s="312"/>
      <c r="D3042" s="312"/>
      <c r="E3042" s="312"/>
      <c r="F3042" s="312"/>
      <c r="G3042" s="328"/>
      <c r="H3042" s="337"/>
      <c r="I3042" s="334"/>
      <c r="J3042" s="314"/>
      <c r="K3042" s="449"/>
      <c r="M3042" s="349" t="str">
        <f>N3042&amp;AS[[#This Row],[Insurer Code]]&amp;"; "&amp;O3042&amp;AS[[#This Row],[Reporting Year]]&amp;"; "&amp;P3042&amp;AS[[#This Row],[Insurance Category Code]]&amp;"; "&amp;Q3042&amp;AS[[#This Row],[Large Provider Entity Code]]&amp;"; "&amp;R3042&amp;AS[[#This Row],[Age Band Code]]&amp;"; "&amp;S3042&amp;AS[[#This Row],[Sex Code]]</f>
        <v xml:space="preserve">Insurer Code ; Reporting Year ; Insurance Category Code ; Large Provider Entity Code ; Age Band Code ; Sex Code </v>
      </c>
      <c r="N3042" s="345" t="s">
        <v>207</v>
      </c>
      <c r="O3042" s="345" t="s">
        <v>208</v>
      </c>
      <c r="P3042" s="345" t="s">
        <v>209</v>
      </c>
      <c r="Q3042" s="345" t="s">
        <v>210</v>
      </c>
      <c r="R3042" s="345" t="s">
        <v>223</v>
      </c>
      <c r="S3042" s="345" t="s">
        <v>224</v>
      </c>
    </row>
    <row r="3043" spans="1:19" x14ac:dyDescent="0.25">
      <c r="A3043" s="311"/>
      <c r="B3043" s="312"/>
      <c r="C3043" s="312"/>
      <c r="D3043" s="312"/>
      <c r="E3043" s="312"/>
      <c r="F3043" s="312"/>
      <c r="G3043" s="328"/>
      <c r="H3043" s="337"/>
      <c r="I3043" s="334"/>
      <c r="J3043" s="314"/>
      <c r="K3043" s="449"/>
      <c r="M3043" s="349" t="str">
        <f>N3043&amp;AS[[#This Row],[Insurer Code]]&amp;"; "&amp;O3043&amp;AS[[#This Row],[Reporting Year]]&amp;"; "&amp;P3043&amp;AS[[#This Row],[Insurance Category Code]]&amp;"; "&amp;Q3043&amp;AS[[#This Row],[Large Provider Entity Code]]&amp;"; "&amp;R3043&amp;AS[[#This Row],[Age Band Code]]&amp;"; "&amp;S3043&amp;AS[[#This Row],[Sex Code]]</f>
        <v xml:space="preserve">Insurer Code ; Reporting Year ; Insurance Category Code ; Large Provider Entity Code ; Age Band Code ; Sex Code </v>
      </c>
      <c r="N3043" s="345" t="s">
        <v>207</v>
      </c>
      <c r="O3043" s="345" t="s">
        <v>208</v>
      </c>
      <c r="P3043" s="345" t="s">
        <v>209</v>
      </c>
      <c r="Q3043" s="345" t="s">
        <v>210</v>
      </c>
      <c r="R3043" s="345" t="s">
        <v>223</v>
      </c>
      <c r="S3043" s="345" t="s">
        <v>224</v>
      </c>
    </row>
    <row r="3044" spans="1:19" x14ac:dyDescent="0.25">
      <c r="A3044" s="311"/>
      <c r="B3044" s="312"/>
      <c r="C3044" s="312"/>
      <c r="D3044" s="312"/>
      <c r="E3044" s="312"/>
      <c r="F3044" s="312"/>
      <c r="G3044" s="328"/>
      <c r="H3044" s="337"/>
      <c r="I3044" s="334"/>
      <c r="J3044" s="314"/>
      <c r="K3044" s="449"/>
      <c r="M3044" s="349" t="str">
        <f>N3044&amp;AS[[#This Row],[Insurer Code]]&amp;"; "&amp;O3044&amp;AS[[#This Row],[Reporting Year]]&amp;"; "&amp;P3044&amp;AS[[#This Row],[Insurance Category Code]]&amp;"; "&amp;Q3044&amp;AS[[#This Row],[Large Provider Entity Code]]&amp;"; "&amp;R3044&amp;AS[[#This Row],[Age Band Code]]&amp;"; "&amp;S3044&amp;AS[[#This Row],[Sex Code]]</f>
        <v xml:space="preserve">Insurer Code ; Reporting Year ; Insurance Category Code ; Large Provider Entity Code ; Age Band Code ; Sex Code </v>
      </c>
      <c r="N3044" s="345" t="s">
        <v>207</v>
      </c>
      <c r="O3044" s="345" t="s">
        <v>208</v>
      </c>
      <c r="P3044" s="345" t="s">
        <v>209</v>
      </c>
      <c r="Q3044" s="345" t="s">
        <v>210</v>
      </c>
      <c r="R3044" s="345" t="s">
        <v>223</v>
      </c>
      <c r="S3044" s="345" t="s">
        <v>224</v>
      </c>
    </row>
    <row r="3045" spans="1:19" x14ac:dyDescent="0.25">
      <c r="A3045" s="311"/>
      <c r="B3045" s="312"/>
      <c r="C3045" s="312"/>
      <c r="D3045" s="312"/>
      <c r="E3045" s="312"/>
      <c r="F3045" s="312"/>
      <c r="G3045" s="328"/>
      <c r="H3045" s="337"/>
      <c r="I3045" s="334"/>
      <c r="J3045" s="314"/>
      <c r="K3045" s="449"/>
      <c r="M3045" s="349" t="str">
        <f>N3045&amp;AS[[#This Row],[Insurer Code]]&amp;"; "&amp;O3045&amp;AS[[#This Row],[Reporting Year]]&amp;"; "&amp;P3045&amp;AS[[#This Row],[Insurance Category Code]]&amp;"; "&amp;Q3045&amp;AS[[#This Row],[Large Provider Entity Code]]&amp;"; "&amp;R3045&amp;AS[[#This Row],[Age Band Code]]&amp;"; "&amp;S3045&amp;AS[[#This Row],[Sex Code]]</f>
        <v xml:space="preserve">Insurer Code ; Reporting Year ; Insurance Category Code ; Large Provider Entity Code ; Age Band Code ; Sex Code </v>
      </c>
      <c r="N3045" s="345" t="s">
        <v>207</v>
      </c>
      <c r="O3045" s="345" t="s">
        <v>208</v>
      </c>
      <c r="P3045" s="345" t="s">
        <v>209</v>
      </c>
      <c r="Q3045" s="345" t="s">
        <v>210</v>
      </c>
      <c r="R3045" s="345" t="s">
        <v>223</v>
      </c>
      <c r="S3045" s="345" t="s">
        <v>224</v>
      </c>
    </row>
    <row r="3046" spans="1:19" x14ac:dyDescent="0.25">
      <c r="A3046" s="311"/>
      <c r="B3046" s="312"/>
      <c r="C3046" s="312"/>
      <c r="D3046" s="312"/>
      <c r="E3046" s="312"/>
      <c r="F3046" s="312"/>
      <c r="G3046" s="328"/>
      <c r="H3046" s="337"/>
      <c r="I3046" s="334"/>
      <c r="J3046" s="314"/>
      <c r="K3046" s="449"/>
      <c r="M3046" s="349" t="str">
        <f>N3046&amp;AS[[#This Row],[Insurer Code]]&amp;"; "&amp;O3046&amp;AS[[#This Row],[Reporting Year]]&amp;"; "&amp;P3046&amp;AS[[#This Row],[Insurance Category Code]]&amp;"; "&amp;Q3046&amp;AS[[#This Row],[Large Provider Entity Code]]&amp;"; "&amp;R3046&amp;AS[[#This Row],[Age Band Code]]&amp;"; "&amp;S3046&amp;AS[[#This Row],[Sex Code]]</f>
        <v xml:space="preserve">Insurer Code ; Reporting Year ; Insurance Category Code ; Large Provider Entity Code ; Age Band Code ; Sex Code </v>
      </c>
      <c r="N3046" s="345" t="s">
        <v>207</v>
      </c>
      <c r="O3046" s="345" t="s">
        <v>208</v>
      </c>
      <c r="P3046" s="345" t="s">
        <v>209</v>
      </c>
      <c r="Q3046" s="345" t="s">
        <v>210</v>
      </c>
      <c r="R3046" s="345" t="s">
        <v>223</v>
      </c>
      <c r="S3046" s="345" t="s">
        <v>224</v>
      </c>
    </row>
    <row r="3047" spans="1:19" x14ac:dyDescent="0.25">
      <c r="A3047" s="311"/>
      <c r="B3047" s="312"/>
      <c r="C3047" s="312"/>
      <c r="D3047" s="312"/>
      <c r="E3047" s="312"/>
      <c r="F3047" s="312"/>
      <c r="G3047" s="328"/>
      <c r="H3047" s="337"/>
      <c r="I3047" s="334"/>
      <c r="J3047" s="314"/>
      <c r="K3047" s="449"/>
      <c r="M3047" s="349" t="str">
        <f>N3047&amp;AS[[#This Row],[Insurer Code]]&amp;"; "&amp;O3047&amp;AS[[#This Row],[Reporting Year]]&amp;"; "&amp;P3047&amp;AS[[#This Row],[Insurance Category Code]]&amp;"; "&amp;Q3047&amp;AS[[#This Row],[Large Provider Entity Code]]&amp;"; "&amp;R3047&amp;AS[[#This Row],[Age Band Code]]&amp;"; "&amp;S3047&amp;AS[[#This Row],[Sex Code]]</f>
        <v xml:space="preserve">Insurer Code ; Reporting Year ; Insurance Category Code ; Large Provider Entity Code ; Age Band Code ; Sex Code </v>
      </c>
      <c r="N3047" s="345" t="s">
        <v>207</v>
      </c>
      <c r="O3047" s="345" t="s">
        <v>208</v>
      </c>
      <c r="P3047" s="345" t="s">
        <v>209</v>
      </c>
      <c r="Q3047" s="345" t="s">
        <v>210</v>
      </c>
      <c r="R3047" s="345" t="s">
        <v>223</v>
      </c>
      <c r="S3047" s="345" t="s">
        <v>224</v>
      </c>
    </row>
    <row r="3048" spans="1:19" x14ac:dyDescent="0.25">
      <c r="A3048" s="311"/>
      <c r="B3048" s="312"/>
      <c r="C3048" s="312"/>
      <c r="D3048" s="312"/>
      <c r="E3048" s="312"/>
      <c r="F3048" s="312"/>
      <c r="G3048" s="328"/>
      <c r="H3048" s="337"/>
      <c r="I3048" s="334"/>
      <c r="J3048" s="314"/>
      <c r="K3048" s="449"/>
      <c r="M3048" s="349" t="str">
        <f>N3048&amp;AS[[#This Row],[Insurer Code]]&amp;"; "&amp;O3048&amp;AS[[#This Row],[Reporting Year]]&amp;"; "&amp;P3048&amp;AS[[#This Row],[Insurance Category Code]]&amp;"; "&amp;Q3048&amp;AS[[#This Row],[Large Provider Entity Code]]&amp;"; "&amp;R3048&amp;AS[[#This Row],[Age Band Code]]&amp;"; "&amp;S3048&amp;AS[[#This Row],[Sex Code]]</f>
        <v xml:space="preserve">Insurer Code ; Reporting Year ; Insurance Category Code ; Large Provider Entity Code ; Age Band Code ; Sex Code </v>
      </c>
      <c r="N3048" s="345" t="s">
        <v>207</v>
      </c>
      <c r="O3048" s="345" t="s">
        <v>208</v>
      </c>
      <c r="P3048" s="345" t="s">
        <v>209</v>
      </c>
      <c r="Q3048" s="345" t="s">
        <v>210</v>
      </c>
      <c r="R3048" s="345" t="s">
        <v>223</v>
      </c>
      <c r="S3048" s="345" t="s">
        <v>224</v>
      </c>
    </row>
    <row r="3049" spans="1:19" x14ac:dyDescent="0.25">
      <c r="A3049" s="311"/>
      <c r="B3049" s="312"/>
      <c r="C3049" s="312"/>
      <c r="D3049" s="312"/>
      <c r="E3049" s="312"/>
      <c r="F3049" s="312"/>
      <c r="G3049" s="328"/>
      <c r="H3049" s="337"/>
      <c r="I3049" s="334"/>
      <c r="J3049" s="314"/>
      <c r="K3049" s="449"/>
      <c r="M3049" s="349" t="str">
        <f>N3049&amp;AS[[#This Row],[Insurer Code]]&amp;"; "&amp;O3049&amp;AS[[#This Row],[Reporting Year]]&amp;"; "&amp;P3049&amp;AS[[#This Row],[Insurance Category Code]]&amp;"; "&amp;Q3049&amp;AS[[#This Row],[Large Provider Entity Code]]&amp;"; "&amp;R3049&amp;AS[[#This Row],[Age Band Code]]&amp;"; "&amp;S3049&amp;AS[[#This Row],[Sex Code]]</f>
        <v xml:space="preserve">Insurer Code ; Reporting Year ; Insurance Category Code ; Large Provider Entity Code ; Age Band Code ; Sex Code </v>
      </c>
      <c r="N3049" s="345" t="s">
        <v>207</v>
      </c>
      <c r="O3049" s="345" t="s">
        <v>208</v>
      </c>
      <c r="P3049" s="345" t="s">
        <v>209</v>
      </c>
      <c r="Q3049" s="345" t="s">
        <v>210</v>
      </c>
      <c r="R3049" s="345" t="s">
        <v>223</v>
      </c>
      <c r="S3049" s="345" t="s">
        <v>224</v>
      </c>
    </row>
    <row r="3050" spans="1:19" x14ac:dyDescent="0.25">
      <c r="A3050" s="311"/>
      <c r="B3050" s="312"/>
      <c r="C3050" s="312"/>
      <c r="D3050" s="312"/>
      <c r="E3050" s="312"/>
      <c r="F3050" s="312"/>
      <c r="G3050" s="328"/>
      <c r="H3050" s="337"/>
      <c r="I3050" s="334"/>
      <c r="J3050" s="314"/>
      <c r="K3050" s="449"/>
      <c r="M3050" s="349" t="str">
        <f>N3050&amp;AS[[#This Row],[Insurer Code]]&amp;"; "&amp;O3050&amp;AS[[#This Row],[Reporting Year]]&amp;"; "&amp;P3050&amp;AS[[#This Row],[Insurance Category Code]]&amp;"; "&amp;Q3050&amp;AS[[#This Row],[Large Provider Entity Code]]&amp;"; "&amp;R3050&amp;AS[[#This Row],[Age Band Code]]&amp;"; "&amp;S3050&amp;AS[[#This Row],[Sex Code]]</f>
        <v xml:space="preserve">Insurer Code ; Reporting Year ; Insurance Category Code ; Large Provider Entity Code ; Age Band Code ; Sex Code </v>
      </c>
      <c r="N3050" s="345" t="s">
        <v>207</v>
      </c>
      <c r="O3050" s="345" t="s">
        <v>208</v>
      </c>
      <c r="P3050" s="345" t="s">
        <v>209</v>
      </c>
      <c r="Q3050" s="345" t="s">
        <v>210</v>
      </c>
      <c r="R3050" s="345" t="s">
        <v>223</v>
      </c>
      <c r="S3050" s="345" t="s">
        <v>224</v>
      </c>
    </row>
    <row r="3051" spans="1:19" x14ac:dyDescent="0.25">
      <c r="A3051" s="311"/>
      <c r="B3051" s="312"/>
      <c r="C3051" s="312"/>
      <c r="D3051" s="312"/>
      <c r="E3051" s="312"/>
      <c r="F3051" s="312"/>
      <c r="G3051" s="328"/>
      <c r="H3051" s="337"/>
      <c r="I3051" s="334"/>
      <c r="J3051" s="314"/>
      <c r="K3051" s="449"/>
      <c r="M3051" s="349" t="str">
        <f>N3051&amp;AS[[#This Row],[Insurer Code]]&amp;"; "&amp;O3051&amp;AS[[#This Row],[Reporting Year]]&amp;"; "&amp;P3051&amp;AS[[#This Row],[Insurance Category Code]]&amp;"; "&amp;Q3051&amp;AS[[#This Row],[Large Provider Entity Code]]&amp;"; "&amp;R3051&amp;AS[[#This Row],[Age Band Code]]&amp;"; "&amp;S3051&amp;AS[[#This Row],[Sex Code]]</f>
        <v xml:space="preserve">Insurer Code ; Reporting Year ; Insurance Category Code ; Large Provider Entity Code ; Age Band Code ; Sex Code </v>
      </c>
      <c r="N3051" s="345" t="s">
        <v>207</v>
      </c>
      <c r="O3051" s="345" t="s">
        <v>208</v>
      </c>
      <c r="P3051" s="345" t="s">
        <v>209</v>
      </c>
      <c r="Q3051" s="345" t="s">
        <v>210</v>
      </c>
      <c r="R3051" s="345" t="s">
        <v>223</v>
      </c>
      <c r="S3051" s="345" t="s">
        <v>224</v>
      </c>
    </row>
    <row r="3052" spans="1:19" x14ac:dyDescent="0.25">
      <c r="A3052" s="311"/>
      <c r="B3052" s="312"/>
      <c r="C3052" s="312"/>
      <c r="D3052" s="312"/>
      <c r="E3052" s="312"/>
      <c r="F3052" s="312"/>
      <c r="G3052" s="328"/>
      <c r="H3052" s="337"/>
      <c r="I3052" s="334"/>
      <c r="J3052" s="314"/>
      <c r="K3052" s="449"/>
      <c r="M3052" s="349" t="str">
        <f>N3052&amp;AS[[#This Row],[Insurer Code]]&amp;"; "&amp;O3052&amp;AS[[#This Row],[Reporting Year]]&amp;"; "&amp;P3052&amp;AS[[#This Row],[Insurance Category Code]]&amp;"; "&amp;Q3052&amp;AS[[#This Row],[Large Provider Entity Code]]&amp;"; "&amp;R3052&amp;AS[[#This Row],[Age Band Code]]&amp;"; "&amp;S3052&amp;AS[[#This Row],[Sex Code]]</f>
        <v xml:space="preserve">Insurer Code ; Reporting Year ; Insurance Category Code ; Large Provider Entity Code ; Age Band Code ; Sex Code </v>
      </c>
      <c r="N3052" s="345" t="s">
        <v>207</v>
      </c>
      <c r="O3052" s="345" t="s">
        <v>208</v>
      </c>
      <c r="P3052" s="345" t="s">
        <v>209</v>
      </c>
      <c r="Q3052" s="345" t="s">
        <v>210</v>
      </c>
      <c r="R3052" s="345" t="s">
        <v>223</v>
      </c>
      <c r="S3052" s="345" t="s">
        <v>224</v>
      </c>
    </row>
    <row r="3053" spans="1:19" x14ac:dyDescent="0.25">
      <c r="A3053" s="311"/>
      <c r="B3053" s="312"/>
      <c r="C3053" s="312"/>
      <c r="D3053" s="312"/>
      <c r="E3053" s="312"/>
      <c r="F3053" s="312"/>
      <c r="G3053" s="328"/>
      <c r="H3053" s="337"/>
      <c r="I3053" s="334"/>
      <c r="J3053" s="314"/>
      <c r="K3053" s="449"/>
      <c r="M3053" s="349" t="str">
        <f>N3053&amp;AS[[#This Row],[Insurer Code]]&amp;"; "&amp;O3053&amp;AS[[#This Row],[Reporting Year]]&amp;"; "&amp;P3053&amp;AS[[#This Row],[Insurance Category Code]]&amp;"; "&amp;Q3053&amp;AS[[#This Row],[Large Provider Entity Code]]&amp;"; "&amp;R3053&amp;AS[[#This Row],[Age Band Code]]&amp;"; "&amp;S3053&amp;AS[[#This Row],[Sex Code]]</f>
        <v xml:space="preserve">Insurer Code ; Reporting Year ; Insurance Category Code ; Large Provider Entity Code ; Age Band Code ; Sex Code </v>
      </c>
      <c r="N3053" s="345" t="s">
        <v>207</v>
      </c>
      <c r="O3053" s="345" t="s">
        <v>208</v>
      </c>
      <c r="P3053" s="345" t="s">
        <v>209</v>
      </c>
      <c r="Q3053" s="345" t="s">
        <v>210</v>
      </c>
      <c r="R3053" s="345" t="s">
        <v>223</v>
      </c>
      <c r="S3053" s="345" t="s">
        <v>224</v>
      </c>
    </row>
    <row r="3054" spans="1:19" x14ac:dyDescent="0.25">
      <c r="A3054" s="311"/>
      <c r="B3054" s="312"/>
      <c r="C3054" s="312"/>
      <c r="D3054" s="312"/>
      <c r="E3054" s="312"/>
      <c r="F3054" s="312"/>
      <c r="G3054" s="328"/>
      <c r="H3054" s="337"/>
      <c r="I3054" s="334"/>
      <c r="J3054" s="314"/>
      <c r="K3054" s="449"/>
      <c r="M3054" s="349" t="str">
        <f>N3054&amp;AS[[#This Row],[Insurer Code]]&amp;"; "&amp;O3054&amp;AS[[#This Row],[Reporting Year]]&amp;"; "&amp;P3054&amp;AS[[#This Row],[Insurance Category Code]]&amp;"; "&amp;Q3054&amp;AS[[#This Row],[Large Provider Entity Code]]&amp;"; "&amp;R3054&amp;AS[[#This Row],[Age Band Code]]&amp;"; "&amp;S3054&amp;AS[[#This Row],[Sex Code]]</f>
        <v xml:space="preserve">Insurer Code ; Reporting Year ; Insurance Category Code ; Large Provider Entity Code ; Age Band Code ; Sex Code </v>
      </c>
      <c r="N3054" s="345" t="s">
        <v>207</v>
      </c>
      <c r="O3054" s="345" t="s">
        <v>208</v>
      </c>
      <c r="P3054" s="345" t="s">
        <v>209</v>
      </c>
      <c r="Q3054" s="345" t="s">
        <v>210</v>
      </c>
      <c r="R3054" s="345" t="s">
        <v>223</v>
      </c>
      <c r="S3054" s="345" t="s">
        <v>224</v>
      </c>
    </row>
    <row r="3055" spans="1:19" x14ac:dyDescent="0.25">
      <c r="A3055" s="311"/>
      <c r="B3055" s="312"/>
      <c r="C3055" s="312"/>
      <c r="D3055" s="312"/>
      <c r="E3055" s="312"/>
      <c r="F3055" s="312"/>
      <c r="G3055" s="328"/>
      <c r="H3055" s="337"/>
      <c r="I3055" s="334"/>
      <c r="J3055" s="314"/>
      <c r="K3055" s="449"/>
      <c r="M3055" s="349" t="str">
        <f>N3055&amp;AS[[#This Row],[Insurer Code]]&amp;"; "&amp;O3055&amp;AS[[#This Row],[Reporting Year]]&amp;"; "&amp;P3055&amp;AS[[#This Row],[Insurance Category Code]]&amp;"; "&amp;Q3055&amp;AS[[#This Row],[Large Provider Entity Code]]&amp;"; "&amp;R3055&amp;AS[[#This Row],[Age Band Code]]&amp;"; "&amp;S3055&amp;AS[[#This Row],[Sex Code]]</f>
        <v xml:space="preserve">Insurer Code ; Reporting Year ; Insurance Category Code ; Large Provider Entity Code ; Age Band Code ; Sex Code </v>
      </c>
      <c r="N3055" s="345" t="s">
        <v>207</v>
      </c>
      <c r="O3055" s="345" t="s">
        <v>208</v>
      </c>
      <c r="P3055" s="345" t="s">
        <v>209</v>
      </c>
      <c r="Q3055" s="345" t="s">
        <v>210</v>
      </c>
      <c r="R3055" s="345" t="s">
        <v>223</v>
      </c>
      <c r="S3055" s="345" t="s">
        <v>224</v>
      </c>
    </row>
    <row r="3056" spans="1:19" x14ac:dyDescent="0.25">
      <c r="A3056" s="311"/>
      <c r="B3056" s="312"/>
      <c r="C3056" s="312"/>
      <c r="D3056" s="312"/>
      <c r="E3056" s="312"/>
      <c r="F3056" s="312"/>
      <c r="G3056" s="328"/>
      <c r="H3056" s="337"/>
      <c r="I3056" s="334"/>
      <c r="J3056" s="314"/>
      <c r="K3056" s="449"/>
      <c r="M3056" s="349" t="str">
        <f>N3056&amp;AS[[#This Row],[Insurer Code]]&amp;"; "&amp;O3056&amp;AS[[#This Row],[Reporting Year]]&amp;"; "&amp;P3056&amp;AS[[#This Row],[Insurance Category Code]]&amp;"; "&amp;Q3056&amp;AS[[#This Row],[Large Provider Entity Code]]&amp;"; "&amp;R3056&amp;AS[[#This Row],[Age Band Code]]&amp;"; "&amp;S3056&amp;AS[[#This Row],[Sex Code]]</f>
        <v xml:space="preserve">Insurer Code ; Reporting Year ; Insurance Category Code ; Large Provider Entity Code ; Age Band Code ; Sex Code </v>
      </c>
      <c r="N3056" s="345" t="s">
        <v>207</v>
      </c>
      <c r="O3056" s="345" t="s">
        <v>208</v>
      </c>
      <c r="P3056" s="345" t="s">
        <v>209</v>
      </c>
      <c r="Q3056" s="345" t="s">
        <v>210</v>
      </c>
      <c r="R3056" s="345" t="s">
        <v>223</v>
      </c>
      <c r="S3056" s="345" t="s">
        <v>224</v>
      </c>
    </row>
    <row r="3057" spans="1:19" x14ac:dyDescent="0.25">
      <c r="A3057" s="311"/>
      <c r="B3057" s="312"/>
      <c r="C3057" s="312"/>
      <c r="D3057" s="312"/>
      <c r="E3057" s="312"/>
      <c r="F3057" s="312"/>
      <c r="G3057" s="328"/>
      <c r="H3057" s="337"/>
      <c r="I3057" s="334"/>
      <c r="J3057" s="314"/>
      <c r="K3057" s="449"/>
      <c r="M3057" s="349" t="str">
        <f>N3057&amp;AS[[#This Row],[Insurer Code]]&amp;"; "&amp;O3057&amp;AS[[#This Row],[Reporting Year]]&amp;"; "&amp;P3057&amp;AS[[#This Row],[Insurance Category Code]]&amp;"; "&amp;Q3057&amp;AS[[#This Row],[Large Provider Entity Code]]&amp;"; "&amp;R3057&amp;AS[[#This Row],[Age Band Code]]&amp;"; "&amp;S3057&amp;AS[[#This Row],[Sex Code]]</f>
        <v xml:space="preserve">Insurer Code ; Reporting Year ; Insurance Category Code ; Large Provider Entity Code ; Age Band Code ; Sex Code </v>
      </c>
      <c r="N3057" s="345" t="s">
        <v>207</v>
      </c>
      <c r="O3057" s="345" t="s">
        <v>208</v>
      </c>
      <c r="P3057" s="345" t="s">
        <v>209</v>
      </c>
      <c r="Q3057" s="345" t="s">
        <v>210</v>
      </c>
      <c r="R3057" s="345" t="s">
        <v>223</v>
      </c>
      <c r="S3057" s="345" t="s">
        <v>224</v>
      </c>
    </row>
    <row r="3058" spans="1:19" x14ac:dyDescent="0.25">
      <c r="A3058" s="311"/>
      <c r="B3058" s="312"/>
      <c r="C3058" s="312"/>
      <c r="D3058" s="312"/>
      <c r="E3058" s="312"/>
      <c r="F3058" s="312"/>
      <c r="G3058" s="328"/>
      <c r="H3058" s="337"/>
      <c r="I3058" s="334"/>
      <c r="J3058" s="314"/>
      <c r="K3058" s="449"/>
      <c r="M3058" s="349" t="str">
        <f>N3058&amp;AS[[#This Row],[Insurer Code]]&amp;"; "&amp;O3058&amp;AS[[#This Row],[Reporting Year]]&amp;"; "&amp;P3058&amp;AS[[#This Row],[Insurance Category Code]]&amp;"; "&amp;Q3058&amp;AS[[#This Row],[Large Provider Entity Code]]&amp;"; "&amp;R3058&amp;AS[[#This Row],[Age Band Code]]&amp;"; "&amp;S3058&amp;AS[[#This Row],[Sex Code]]</f>
        <v xml:space="preserve">Insurer Code ; Reporting Year ; Insurance Category Code ; Large Provider Entity Code ; Age Band Code ; Sex Code </v>
      </c>
      <c r="N3058" s="345" t="s">
        <v>207</v>
      </c>
      <c r="O3058" s="345" t="s">
        <v>208</v>
      </c>
      <c r="P3058" s="345" t="s">
        <v>209</v>
      </c>
      <c r="Q3058" s="345" t="s">
        <v>210</v>
      </c>
      <c r="R3058" s="345" t="s">
        <v>223</v>
      </c>
      <c r="S3058" s="345" t="s">
        <v>224</v>
      </c>
    </row>
    <row r="3059" spans="1:19" x14ac:dyDescent="0.25">
      <c r="A3059" s="311"/>
      <c r="B3059" s="312"/>
      <c r="C3059" s="312"/>
      <c r="D3059" s="312"/>
      <c r="E3059" s="312"/>
      <c r="F3059" s="312"/>
      <c r="G3059" s="328"/>
      <c r="H3059" s="337"/>
      <c r="I3059" s="334"/>
      <c r="J3059" s="314"/>
      <c r="K3059" s="449"/>
      <c r="M3059" s="349" t="str">
        <f>N3059&amp;AS[[#This Row],[Insurer Code]]&amp;"; "&amp;O3059&amp;AS[[#This Row],[Reporting Year]]&amp;"; "&amp;P3059&amp;AS[[#This Row],[Insurance Category Code]]&amp;"; "&amp;Q3059&amp;AS[[#This Row],[Large Provider Entity Code]]&amp;"; "&amp;R3059&amp;AS[[#This Row],[Age Band Code]]&amp;"; "&amp;S3059&amp;AS[[#This Row],[Sex Code]]</f>
        <v xml:space="preserve">Insurer Code ; Reporting Year ; Insurance Category Code ; Large Provider Entity Code ; Age Band Code ; Sex Code </v>
      </c>
      <c r="N3059" s="345" t="s">
        <v>207</v>
      </c>
      <c r="O3059" s="345" t="s">
        <v>208</v>
      </c>
      <c r="P3059" s="345" t="s">
        <v>209</v>
      </c>
      <c r="Q3059" s="345" t="s">
        <v>210</v>
      </c>
      <c r="R3059" s="345" t="s">
        <v>223</v>
      </c>
      <c r="S3059" s="345" t="s">
        <v>224</v>
      </c>
    </row>
    <row r="3060" spans="1:19" x14ac:dyDescent="0.25">
      <c r="A3060" s="311"/>
      <c r="B3060" s="312"/>
      <c r="C3060" s="312"/>
      <c r="D3060" s="312"/>
      <c r="E3060" s="312"/>
      <c r="F3060" s="312"/>
      <c r="G3060" s="328"/>
      <c r="H3060" s="337"/>
      <c r="I3060" s="334"/>
      <c r="J3060" s="314"/>
      <c r="K3060" s="449"/>
      <c r="M3060" s="349" t="str">
        <f>N3060&amp;AS[[#This Row],[Insurer Code]]&amp;"; "&amp;O3060&amp;AS[[#This Row],[Reporting Year]]&amp;"; "&amp;P3060&amp;AS[[#This Row],[Insurance Category Code]]&amp;"; "&amp;Q3060&amp;AS[[#This Row],[Large Provider Entity Code]]&amp;"; "&amp;R3060&amp;AS[[#This Row],[Age Band Code]]&amp;"; "&amp;S3060&amp;AS[[#This Row],[Sex Code]]</f>
        <v xml:space="preserve">Insurer Code ; Reporting Year ; Insurance Category Code ; Large Provider Entity Code ; Age Band Code ; Sex Code </v>
      </c>
      <c r="N3060" s="345" t="s">
        <v>207</v>
      </c>
      <c r="O3060" s="345" t="s">
        <v>208</v>
      </c>
      <c r="P3060" s="345" t="s">
        <v>209</v>
      </c>
      <c r="Q3060" s="345" t="s">
        <v>210</v>
      </c>
      <c r="R3060" s="345" t="s">
        <v>223</v>
      </c>
      <c r="S3060" s="345" t="s">
        <v>224</v>
      </c>
    </row>
    <row r="3061" spans="1:19" x14ac:dyDescent="0.25">
      <c r="A3061" s="311"/>
      <c r="B3061" s="312"/>
      <c r="C3061" s="312"/>
      <c r="D3061" s="312"/>
      <c r="E3061" s="312"/>
      <c r="F3061" s="312"/>
      <c r="G3061" s="328"/>
      <c r="H3061" s="337"/>
      <c r="I3061" s="334"/>
      <c r="J3061" s="314"/>
      <c r="K3061" s="449"/>
      <c r="M3061" s="349" t="str">
        <f>N3061&amp;AS[[#This Row],[Insurer Code]]&amp;"; "&amp;O3061&amp;AS[[#This Row],[Reporting Year]]&amp;"; "&amp;P3061&amp;AS[[#This Row],[Insurance Category Code]]&amp;"; "&amp;Q3061&amp;AS[[#This Row],[Large Provider Entity Code]]&amp;"; "&amp;R3061&amp;AS[[#This Row],[Age Band Code]]&amp;"; "&amp;S3061&amp;AS[[#This Row],[Sex Code]]</f>
        <v xml:space="preserve">Insurer Code ; Reporting Year ; Insurance Category Code ; Large Provider Entity Code ; Age Band Code ; Sex Code </v>
      </c>
      <c r="N3061" s="345" t="s">
        <v>207</v>
      </c>
      <c r="O3061" s="345" t="s">
        <v>208</v>
      </c>
      <c r="P3061" s="345" t="s">
        <v>209</v>
      </c>
      <c r="Q3061" s="345" t="s">
        <v>210</v>
      </c>
      <c r="R3061" s="345" t="s">
        <v>223</v>
      </c>
      <c r="S3061" s="345" t="s">
        <v>224</v>
      </c>
    </row>
    <row r="3062" spans="1:19" x14ac:dyDescent="0.25">
      <c r="A3062" s="311"/>
      <c r="B3062" s="312"/>
      <c r="C3062" s="312"/>
      <c r="D3062" s="312"/>
      <c r="E3062" s="312"/>
      <c r="F3062" s="312"/>
      <c r="G3062" s="328"/>
      <c r="H3062" s="337"/>
      <c r="I3062" s="334"/>
      <c r="J3062" s="314"/>
      <c r="K3062" s="449"/>
      <c r="M3062" s="349" t="str">
        <f>N3062&amp;AS[[#This Row],[Insurer Code]]&amp;"; "&amp;O3062&amp;AS[[#This Row],[Reporting Year]]&amp;"; "&amp;P3062&amp;AS[[#This Row],[Insurance Category Code]]&amp;"; "&amp;Q3062&amp;AS[[#This Row],[Large Provider Entity Code]]&amp;"; "&amp;R3062&amp;AS[[#This Row],[Age Band Code]]&amp;"; "&amp;S3062&amp;AS[[#This Row],[Sex Code]]</f>
        <v xml:space="preserve">Insurer Code ; Reporting Year ; Insurance Category Code ; Large Provider Entity Code ; Age Band Code ; Sex Code </v>
      </c>
      <c r="N3062" s="345" t="s">
        <v>207</v>
      </c>
      <c r="O3062" s="345" t="s">
        <v>208</v>
      </c>
      <c r="P3062" s="345" t="s">
        <v>209</v>
      </c>
      <c r="Q3062" s="345" t="s">
        <v>210</v>
      </c>
      <c r="R3062" s="345" t="s">
        <v>223</v>
      </c>
      <c r="S3062" s="345" t="s">
        <v>224</v>
      </c>
    </row>
    <row r="3063" spans="1:19" x14ac:dyDescent="0.25">
      <c r="A3063" s="311"/>
      <c r="B3063" s="312"/>
      <c r="C3063" s="312"/>
      <c r="D3063" s="312"/>
      <c r="E3063" s="312"/>
      <c r="F3063" s="312"/>
      <c r="G3063" s="328"/>
      <c r="H3063" s="337"/>
      <c r="I3063" s="334"/>
      <c r="J3063" s="314"/>
      <c r="K3063" s="449"/>
      <c r="M3063" s="349" t="str">
        <f>N3063&amp;AS[[#This Row],[Insurer Code]]&amp;"; "&amp;O3063&amp;AS[[#This Row],[Reporting Year]]&amp;"; "&amp;P3063&amp;AS[[#This Row],[Insurance Category Code]]&amp;"; "&amp;Q3063&amp;AS[[#This Row],[Large Provider Entity Code]]&amp;"; "&amp;R3063&amp;AS[[#This Row],[Age Band Code]]&amp;"; "&amp;S3063&amp;AS[[#This Row],[Sex Code]]</f>
        <v xml:space="preserve">Insurer Code ; Reporting Year ; Insurance Category Code ; Large Provider Entity Code ; Age Band Code ; Sex Code </v>
      </c>
      <c r="N3063" s="345" t="s">
        <v>207</v>
      </c>
      <c r="O3063" s="345" t="s">
        <v>208</v>
      </c>
      <c r="P3063" s="345" t="s">
        <v>209</v>
      </c>
      <c r="Q3063" s="345" t="s">
        <v>210</v>
      </c>
      <c r="R3063" s="345" t="s">
        <v>223</v>
      </c>
      <c r="S3063" s="345" t="s">
        <v>224</v>
      </c>
    </row>
    <row r="3064" spans="1:19" x14ac:dyDescent="0.25">
      <c r="A3064" s="311"/>
      <c r="B3064" s="312"/>
      <c r="C3064" s="312"/>
      <c r="D3064" s="312"/>
      <c r="E3064" s="312"/>
      <c r="F3064" s="312"/>
      <c r="G3064" s="328"/>
      <c r="H3064" s="337"/>
      <c r="I3064" s="334"/>
      <c r="J3064" s="314"/>
      <c r="K3064" s="449"/>
      <c r="M3064" s="349" t="str">
        <f>N3064&amp;AS[[#This Row],[Insurer Code]]&amp;"; "&amp;O3064&amp;AS[[#This Row],[Reporting Year]]&amp;"; "&amp;P3064&amp;AS[[#This Row],[Insurance Category Code]]&amp;"; "&amp;Q3064&amp;AS[[#This Row],[Large Provider Entity Code]]&amp;"; "&amp;R3064&amp;AS[[#This Row],[Age Band Code]]&amp;"; "&amp;S3064&amp;AS[[#This Row],[Sex Code]]</f>
        <v xml:space="preserve">Insurer Code ; Reporting Year ; Insurance Category Code ; Large Provider Entity Code ; Age Band Code ; Sex Code </v>
      </c>
      <c r="N3064" s="345" t="s">
        <v>207</v>
      </c>
      <c r="O3064" s="345" t="s">
        <v>208</v>
      </c>
      <c r="P3064" s="345" t="s">
        <v>209</v>
      </c>
      <c r="Q3064" s="345" t="s">
        <v>210</v>
      </c>
      <c r="R3064" s="345" t="s">
        <v>223</v>
      </c>
      <c r="S3064" s="345" t="s">
        <v>224</v>
      </c>
    </row>
    <row r="3065" spans="1:19" x14ac:dyDescent="0.25">
      <c r="A3065" s="311"/>
      <c r="B3065" s="312"/>
      <c r="C3065" s="312"/>
      <c r="D3065" s="312"/>
      <c r="E3065" s="312"/>
      <c r="F3065" s="312"/>
      <c r="G3065" s="328"/>
      <c r="H3065" s="337"/>
      <c r="I3065" s="334"/>
      <c r="J3065" s="314"/>
      <c r="K3065" s="449"/>
      <c r="M3065" s="349" t="str">
        <f>N3065&amp;AS[[#This Row],[Insurer Code]]&amp;"; "&amp;O3065&amp;AS[[#This Row],[Reporting Year]]&amp;"; "&amp;P3065&amp;AS[[#This Row],[Insurance Category Code]]&amp;"; "&amp;Q3065&amp;AS[[#This Row],[Large Provider Entity Code]]&amp;"; "&amp;R3065&amp;AS[[#This Row],[Age Band Code]]&amp;"; "&amp;S3065&amp;AS[[#This Row],[Sex Code]]</f>
        <v xml:space="preserve">Insurer Code ; Reporting Year ; Insurance Category Code ; Large Provider Entity Code ; Age Band Code ; Sex Code </v>
      </c>
      <c r="N3065" s="345" t="s">
        <v>207</v>
      </c>
      <c r="O3065" s="345" t="s">
        <v>208</v>
      </c>
      <c r="P3065" s="345" t="s">
        <v>209</v>
      </c>
      <c r="Q3065" s="345" t="s">
        <v>210</v>
      </c>
      <c r="R3065" s="345" t="s">
        <v>223</v>
      </c>
      <c r="S3065" s="345" t="s">
        <v>224</v>
      </c>
    </row>
    <row r="3066" spans="1:19" x14ac:dyDescent="0.25">
      <c r="A3066" s="311"/>
      <c r="B3066" s="312"/>
      <c r="C3066" s="312"/>
      <c r="D3066" s="312"/>
      <c r="E3066" s="312"/>
      <c r="F3066" s="312"/>
      <c r="G3066" s="328"/>
      <c r="H3066" s="337"/>
      <c r="I3066" s="334"/>
      <c r="J3066" s="314"/>
      <c r="K3066" s="449"/>
      <c r="M3066" s="349" t="str">
        <f>N3066&amp;AS[[#This Row],[Insurer Code]]&amp;"; "&amp;O3066&amp;AS[[#This Row],[Reporting Year]]&amp;"; "&amp;P3066&amp;AS[[#This Row],[Insurance Category Code]]&amp;"; "&amp;Q3066&amp;AS[[#This Row],[Large Provider Entity Code]]&amp;"; "&amp;R3066&amp;AS[[#This Row],[Age Band Code]]&amp;"; "&amp;S3066&amp;AS[[#This Row],[Sex Code]]</f>
        <v xml:space="preserve">Insurer Code ; Reporting Year ; Insurance Category Code ; Large Provider Entity Code ; Age Band Code ; Sex Code </v>
      </c>
      <c r="N3066" s="345" t="s">
        <v>207</v>
      </c>
      <c r="O3066" s="345" t="s">
        <v>208</v>
      </c>
      <c r="P3066" s="345" t="s">
        <v>209</v>
      </c>
      <c r="Q3066" s="345" t="s">
        <v>210</v>
      </c>
      <c r="R3066" s="345" t="s">
        <v>223</v>
      </c>
      <c r="S3066" s="345" t="s">
        <v>224</v>
      </c>
    </row>
    <row r="3067" spans="1:19" x14ac:dyDescent="0.25">
      <c r="A3067" s="311"/>
      <c r="B3067" s="312"/>
      <c r="C3067" s="312"/>
      <c r="D3067" s="312"/>
      <c r="E3067" s="312"/>
      <c r="F3067" s="312"/>
      <c r="G3067" s="328"/>
      <c r="H3067" s="337"/>
      <c r="I3067" s="334"/>
      <c r="J3067" s="314"/>
      <c r="K3067" s="449"/>
      <c r="M3067" s="349" t="str">
        <f>N3067&amp;AS[[#This Row],[Insurer Code]]&amp;"; "&amp;O3067&amp;AS[[#This Row],[Reporting Year]]&amp;"; "&amp;P3067&amp;AS[[#This Row],[Insurance Category Code]]&amp;"; "&amp;Q3067&amp;AS[[#This Row],[Large Provider Entity Code]]&amp;"; "&amp;R3067&amp;AS[[#This Row],[Age Band Code]]&amp;"; "&amp;S3067&amp;AS[[#This Row],[Sex Code]]</f>
        <v xml:space="preserve">Insurer Code ; Reporting Year ; Insurance Category Code ; Large Provider Entity Code ; Age Band Code ; Sex Code </v>
      </c>
      <c r="N3067" s="345" t="s">
        <v>207</v>
      </c>
      <c r="O3067" s="345" t="s">
        <v>208</v>
      </c>
      <c r="P3067" s="345" t="s">
        <v>209</v>
      </c>
      <c r="Q3067" s="345" t="s">
        <v>210</v>
      </c>
      <c r="R3067" s="345" t="s">
        <v>223</v>
      </c>
      <c r="S3067" s="345" t="s">
        <v>224</v>
      </c>
    </row>
    <row r="3068" spans="1:19" x14ac:dyDescent="0.25">
      <c r="A3068" s="311"/>
      <c r="B3068" s="312"/>
      <c r="C3068" s="312"/>
      <c r="D3068" s="312"/>
      <c r="E3068" s="312"/>
      <c r="F3068" s="312"/>
      <c r="G3068" s="328"/>
      <c r="H3068" s="337"/>
      <c r="I3068" s="334"/>
      <c r="J3068" s="314"/>
      <c r="K3068" s="449"/>
      <c r="M3068" s="349" t="str">
        <f>N3068&amp;AS[[#This Row],[Insurer Code]]&amp;"; "&amp;O3068&amp;AS[[#This Row],[Reporting Year]]&amp;"; "&amp;P3068&amp;AS[[#This Row],[Insurance Category Code]]&amp;"; "&amp;Q3068&amp;AS[[#This Row],[Large Provider Entity Code]]&amp;"; "&amp;R3068&amp;AS[[#This Row],[Age Band Code]]&amp;"; "&amp;S3068&amp;AS[[#This Row],[Sex Code]]</f>
        <v xml:space="preserve">Insurer Code ; Reporting Year ; Insurance Category Code ; Large Provider Entity Code ; Age Band Code ; Sex Code </v>
      </c>
      <c r="N3068" s="345" t="s">
        <v>207</v>
      </c>
      <c r="O3068" s="345" t="s">
        <v>208</v>
      </c>
      <c r="P3068" s="345" t="s">
        <v>209</v>
      </c>
      <c r="Q3068" s="345" t="s">
        <v>210</v>
      </c>
      <c r="R3068" s="345" t="s">
        <v>223</v>
      </c>
      <c r="S3068" s="345" t="s">
        <v>224</v>
      </c>
    </row>
    <row r="3069" spans="1:19" x14ac:dyDescent="0.25">
      <c r="A3069" s="311"/>
      <c r="B3069" s="312"/>
      <c r="C3069" s="312"/>
      <c r="D3069" s="312"/>
      <c r="E3069" s="312"/>
      <c r="F3069" s="312"/>
      <c r="G3069" s="328"/>
      <c r="H3069" s="337"/>
      <c r="I3069" s="334"/>
      <c r="J3069" s="314"/>
      <c r="K3069" s="449"/>
      <c r="M3069" s="349" t="str">
        <f>N3069&amp;AS[[#This Row],[Insurer Code]]&amp;"; "&amp;O3069&amp;AS[[#This Row],[Reporting Year]]&amp;"; "&amp;P3069&amp;AS[[#This Row],[Insurance Category Code]]&amp;"; "&amp;Q3069&amp;AS[[#This Row],[Large Provider Entity Code]]&amp;"; "&amp;R3069&amp;AS[[#This Row],[Age Band Code]]&amp;"; "&amp;S3069&amp;AS[[#This Row],[Sex Code]]</f>
        <v xml:space="preserve">Insurer Code ; Reporting Year ; Insurance Category Code ; Large Provider Entity Code ; Age Band Code ; Sex Code </v>
      </c>
      <c r="N3069" s="345" t="s">
        <v>207</v>
      </c>
      <c r="O3069" s="345" t="s">
        <v>208</v>
      </c>
      <c r="P3069" s="345" t="s">
        <v>209</v>
      </c>
      <c r="Q3069" s="345" t="s">
        <v>210</v>
      </c>
      <c r="R3069" s="345" t="s">
        <v>223</v>
      </c>
      <c r="S3069" s="345" t="s">
        <v>224</v>
      </c>
    </row>
    <row r="3070" spans="1:19" x14ac:dyDescent="0.25">
      <c r="A3070" s="311"/>
      <c r="B3070" s="312"/>
      <c r="C3070" s="312"/>
      <c r="D3070" s="312"/>
      <c r="E3070" s="312"/>
      <c r="F3070" s="312"/>
      <c r="G3070" s="328"/>
      <c r="H3070" s="337"/>
      <c r="I3070" s="334"/>
      <c r="J3070" s="314"/>
      <c r="K3070" s="449"/>
      <c r="M3070" s="349" t="str">
        <f>N3070&amp;AS[[#This Row],[Insurer Code]]&amp;"; "&amp;O3070&amp;AS[[#This Row],[Reporting Year]]&amp;"; "&amp;P3070&amp;AS[[#This Row],[Insurance Category Code]]&amp;"; "&amp;Q3070&amp;AS[[#This Row],[Large Provider Entity Code]]&amp;"; "&amp;R3070&amp;AS[[#This Row],[Age Band Code]]&amp;"; "&amp;S3070&amp;AS[[#This Row],[Sex Code]]</f>
        <v xml:space="preserve">Insurer Code ; Reporting Year ; Insurance Category Code ; Large Provider Entity Code ; Age Band Code ; Sex Code </v>
      </c>
      <c r="N3070" s="345" t="s">
        <v>207</v>
      </c>
      <c r="O3070" s="345" t="s">
        <v>208</v>
      </c>
      <c r="P3070" s="345" t="s">
        <v>209</v>
      </c>
      <c r="Q3070" s="345" t="s">
        <v>210</v>
      </c>
      <c r="R3070" s="345" t="s">
        <v>223</v>
      </c>
      <c r="S3070" s="345" t="s">
        <v>224</v>
      </c>
    </row>
    <row r="3071" spans="1:19" x14ac:dyDescent="0.25">
      <c r="A3071" s="311"/>
      <c r="B3071" s="312"/>
      <c r="C3071" s="312"/>
      <c r="D3071" s="312"/>
      <c r="E3071" s="312"/>
      <c r="F3071" s="312"/>
      <c r="G3071" s="328"/>
      <c r="H3071" s="337"/>
      <c r="I3071" s="334"/>
      <c r="J3071" s="314"/>
      <c r="K3071" s="449"/>
      <c r="M3071" s="349" t="str">
        <f>N3071&amp;AS[[#This Row],[Insurer Code]]&amp;"; "&amp;O3071&amp;AS[[#This Row],[Reporting Year]]&amp;"; "&amp;P3071&amp;AS[[#This Row],[Insurance Category Code]]&amp;"; "&amp;Q3071&amp;AS[[#This Row],[Large Provider Entity Code]]&amp;"; "&amp;R3071&amp;AS[[#This Row],[Age Band Code]]&amp;"; "&amp;S3071&amp;AS[[#This Row],[Sex Code]]</f>
        <v xml:space="preserve">Insurer Code ; Reporting Year ; Insurance Category Code ; Large Provider Entity Code ; Age Band Code ; Sex Code </v>
      </c>
      <c r="N3071" s="345" t="s">
        <v>207</v>
      </c>
      <c r="O3071" s="345" t="s">
        <v>208</v>
      </c>
      <c r="P3071" s="345" t="s">
        <v>209</v>
      </c>
      <c r="Q3071" s="345" t="s">
        <v>210</v>
      </c>
      <c r="R3071" s="345" t="s">
        <v>223</v>
      </c>
      <c r="S3071" s="345" t="s">
        <v>224</v>
      </c>
    </row>
    <row r="3072" spans="1:19" x14ac:dyDescent="0.25">
      <c r="A3072" s="311"/>
      <c r="B3072" s="312"/>
      <c r="C3072" s="312"/>
      <c r="D3072" s="312"/>
      <c r="E3072" s="312"/>
      <c r="F3072" s="312"/>
      <c r="G3072" s="328"/>
      <c r="H3072" s="337"/>
      <c r="I3072" s="334"/>
      <c r="J3072" s="314"/>
      <c r="K3072" s="449"/>
      <c r="M3072" s="349" t="str">
        <f>N3072&amp;AS[[#This Row],[Insurer Code]]&amp;"; "&amp;O3072&amp;AS[[#This Row],[Reporting Year]]&amp;"; "&amp;P3072&amp;AS[[#This Row],[Insurance Category Code]]&amp;"; "&amp;Q3072&amp;AS[[#This Row],[Large Provider Entity Code]]&amp;"; "&amp;R3072&amp;AS[[#This Row],[Age Band Code]]&amp;"; "&amp;S3072&amp;AS[[#This Row],[Sex Code]]</f>
        <v xml:space="preserve">Insurer Code ; Reporting Year ; Insurance Category Code ; Large Provider Entity Code ; Age Band Code ; Sex Code </v>
      </c>
      <c r="N3072" s="345" t="s">
        <v>207</v>
      </c>
      <c r="O3072" s="345" t="s">
        <v>208</v>
      </c>
      <c r="P3072" s="345" t="s">
        <v>209</v>
      </c>
      <c r="Q3072" s="345" t="s">
        <v>210</v>
      </c>
      <c r="R3072" s="345" t="s">
        <v>223</v>
      </c>
      <c r="S3072" s="345" t="s">
        <v>224</v>
      </c>
    </row>
    <row r="3073" spans="1:19" x14ac:dyDescent="0.25">
      <c r="A3073" s="311"/>
      <c r="B3073" s="312"/>
      <c r="C3073" s="312"/>
      <c r="D3073" s="312"/>
      <c r="E3073" s="312"/>
      <c r="F3073" s="312"/>
      <c r="G3073" s="328"/>
      <c r="H3073" s="337"/>
      <c r="I3073" s="334"/>
      <c r="J3073" s="314"/>
      <c r="K3073" s="449"/>
      <c r="M3073" s="349" t="str">
        <f>N3073&amp;AS[[#This Row],[Insurer Code]]&amp;"; "&amp;O3073&amp;AS[[#This Row],[Reporting Year]]&amp;"; "&amp;P3073&amp;AS[[#This Row],[Insurance Category Code]]&amp;"; "&amp;Q3073&amp;AS[[#This Row],[Large Provider Entity Code]]&amp;"; "&amp;R3073&amp;AS[[#This Row],[Age Band Code]]&amp;"; "&amp;S3073&amp;AS[[#This Row],[Sex Code]]</f>
        <v xml:space="preserve">Insurer Code ; Reporting Year ; Insurance Category Code ; Large Provider Entity Code ; Age Band Code ; Sex Code </v>
      </c>
      <c r="N3073" s="345" t="s">
        <v>207</v>
      </c>
      <c r="O3073" s="345" t="s">
        <v>208</v>
      </c>
      <c r="P3073" s="345" t="s">
        <v>209</v>
      </c>
      <c r="Q3073" s="345" t="s">
        <v>210</v>
      </c>
      <c r="R3073" s="345" t="s">
        <v>223</v>
      </c>
      <c r="S3073" s="345" t="s">
        <v>224</v>
      </c>
    </row>
    <row r="3074" spans="1:19" x14ac:dyDescent="0.25">
      <c r="A3074" s="311"/>
      <c r="B3074" s="312"/>
      <c r="C3074" s="312"/>
      <c r="D3074" s="312"/>
      <c r="E3074" s="312"/>
      <c r="F3074" s="312"/>
      <c r="G3074" s="328"/>
      <c r="H3074" s="337"/>
      <c r="I3074" s="334"/>
      <c r="J3074" s="314"/>
      <c r="K3074" s="449"/>
      <c r="M3074" s="349" t="str">
        <f>N3074&amp;AS[[#This Row],[Insurer Code]]&amp;"; "&amp;O3074&amp;AS[[#This Row],[Reporting Year]]&amp;"; "&amp;P3074&amp;AS[[#This Row],[Insurance Category Code]]&amp;"; "&amp;Q3074&amp;AS[[#This Row],[Large Provider Entity Code]]&amp;"; "&amp;R3074&amp;AS[[#This Row],[Age Band Code]]&amp;"; "&amp;S3074&amp;AS[[#This Row],[Sex Code]]</f>
        <v xml:space="preserve">Insurer Code ; Reporting Year ; Insurance Category Code ; Large Provider Entity Code ; Age Band Code ; Sex Code </v>
      </c>
      <c r="N3074" s="345" t="s">
        <v>207</v>
      </c>
      <c r="O3074" s="345" t="s">
        <v>208</v>
      </c>
      <c r="P3074" s="345" t="s">
        <v>209</v>
      </c>
      <c r="Q3074" s="345" t="s">
        <v>210</v>
      </c>
      <c r="R3074" s="345" t="s">
        <v>223</v>
      </c>
      <c r="S3074" s="345" t="s">
        <v>224</v>
      </c>
    </row>
    <row r="3075" spans="1:19" x14ac:dyDescent="0.25">
      <c r="A3075" s="311"/>
      <c r="B3075" s="312"/>
      <c r="C3075" s="312"/>
      <c r="D3075" s="312"/>
      <c r="E3075" s="312"/>
      <c r="F3075" s="312"/>
      <c r="G3075" s="328"/>
      <c r="H3075" s="337"/>
      <c r="I3075" s="334"/>
      <c r="J3075" s="314"/>
      <c r="K3075" s="449"/>
      <c r="M3075" s="349" t="str">
        <f>N3075&amp;AS[[#This Row],[Insurer Code]]&amp;"; "&amp;O3075&amp;AS[[#This Row],[Reporting Year]]&amp;"; "&amp;P3075&amp;AS[[#This Row],[Insurance Category Code]]&amp;"; "&amp;Q3075&amp;AS[[#This Row],[Large Provider Entity Code]]&amp;"; "&amp;R3075&amp;AS[[#This Row],[Age Band Code]]&amp;"; "&amp;S3075&amp;AS[[#This Row],[Sex Code]]</f>
        <v xml:space="preserve">Insurer Code ; Reporting Year ; Insurance Category Code ; Large Provider Entity Code ; Age Band Code ; Sex Code </v>
      </c>
      <c r="N3075" s="345" t="s">
        <v>207</v>
      </c>
      <c r="O3075" s="345" t="s">
        <v>208</v>
      </c>
      <c r="P3075" s="345" t="s">
        <v>209</v>
      </c>
      <c r="Q3075" s="345" t="s">
        <v>210</v>
      </c>
      <c r="R3075" s="345" t="s">
        <v>223</v>
      </c>
      <c r="S3075" s="345" t="s">
        <v>224</v>
      </c>
    </row>
    <row r="3076" spans="1:19" x14ac:dyDescent="0.25">
      <c r="A3076" s="311"/>
      <c r="B3076" s="312"/>
      <c r="C3076" s="312"/>
      <c r="D3076" s="312"/>
      <c r="E3076" s="312"/>
      <c r="F3076" s="312"/>
      <c r="G3076" s="328"/>
      <c r="H3076" s="337"/>
      <c r="I3076" s="334"/>
      <c r="J3076" s="314"/>
      <c r="K3076" s="449"/>
      <c r="M3076" s="349" t="str">
        <f>N3076&amp;AS[[#This Row],[Insurer Code]]&amp;"; "&amp;O3076&amp;AS[[#This Row],[Reporting Year]]&amp;"; "&amp;P3076&amp;AS[[#This Row],[Insurance Category Code]]&amp;"; "&amp;Q3076&amp;AS[[#This Row],[Large Provider Entity Code]]&amp;"; "&amp;R3076&amp;AS[[#This Row],[Age Band Code]]&amp;"; "&amp;S3076&amp;AS[[#This Row],[Sex Code]]</f>
        <v xml:space="preserve">Insurer Code ; Reporting Year ; Insurance Category Code ; Large Provider Entity Code ; Age Band Code ; Sex Code </v>
      </c>
      <c r="N3076" s="345" t="s">
        <v>207</v>
      </c>
      <c r="O3076" s="345" t="s">
        <v>208</v>
      </c>
      <c r="P3076" s="345" t="s">
        <v>209</v>
      </c>
      <c r="Q3076" s="345" t="s">
        <v>210</v>
      </c>
      <c r="R3076" s="345" t="s">
        <v>223</v>
      </c>
      <c r="S3076" s="345" t="s">
        <v>224</v>
      </c>
    </row>
    <row r="3077" spans="1:19" x14ac:dyDescent="0.25">
      <c r="A3077" s="311"/>
      <c r="B3077" s="312"/>
      <c r="C3077" s="312"/>
      <c r="D3077" s="312"/>
      <c r="E3077" s="312"/>
      <c r="F3077" s="312"/>
      <c r="G3077" s="328"/>
      <c r="H3077" s="337"/>
      <c r="I3077" s="334"/>
      <c r="J3077" s="314"/>
      <c r="K3077" s="449"/>
      <c r="M3077" s="349" t="str">
        <f>N3077&amp;AS[[#This Row],[Insurer Code]]&amp;"; "&amp;O3077&amp;AS[[#This Row],[Reporting Year]]&amp;"; "&amp;P3077&amp;AS[[#This Row],[Insurance Category Code]]&amp;"; "&amp;Q3077&amp;AS[[#This Row],[Large Provider Entity Code]]&amp;"; "&amp;R3077&amp;AS[[#This Row],[Age Band Code]]&amp;"; "&amp;S3077&amp;AS[[#This Row],[Sex Code]]</f>
        <v xml:space="preserve">Insurer Code ; Reporting Year ; Insurance Category Code ; Large Provider Entity Code ; Age Band Code ; Sex Code </v>
      </c>
      <c r="N3077" s="345" t="s">
        <v>207</v>
      </c>
      <c r="O3077" s="345" t="s">
        <v>208</v>
      </c>
      <c r="P3077" s="345" t="s">
        <v>209</v>
      </c>
      <c r="Q3077" s="345" t="s">
        <v>210</v>
      </c>
      <c r="R3077" s="345" t="s">
        <v>223</v>
      </c>
      <c r="S3077" s="345" t="s">
        <v>224</v>
      </c>
    </row>
    <row r="3078" spans="1:19" x14ac:dyDescent="0.25">
      <c r="A3078" s="311"/>
      <c r="B3078" s="312"/>
      <c r="C3078" s="312"/>
      <c r="D3078" s="312"/>
      <c r="E3078" s="312"/>
      <c r="F3078" s="312"/>
      <c r="G3078" s="328"/>
      <c r="H3078" s="337"/>
      <c r="I3078" s="334"/>
      <c r="J3078" s="314"/>
      <c r="K3078" s="449"/>
      <c r="M3078" s="349" t="str">
        <f>N3078&amp;AS[[#This Row],[Insurer Code]]&amp;"; "&amp;O3078&amp;AS[[#This Row],[Reporting Year]]&amp;"; "&amp;P3078&amp;AS[[#This Row],[Insurance Category Code]]&amp;"; "&amp;Q3078&amp;AS[[#This Row],[Large Provider Entity Code]]&amp;"; "&amp;R3078&amp;AS[[#This Row],[Age Band Code]]&amp;"; "&amp;S3078&amp;AS[[#This Row],[Sex Code]]</f>
        <v xml:space="preserve">Insurer Code ; Reporting Year ; Insurance Category Code ; Large Provider Entity Code ; Age Band Code ; Sex Code </v>
      </c>
      <c r="N3078" s="345" t="s">
        <v>207</v>
      </c>
      <c r="O3078" s="345" t="s">
        <v>208</v>
      </c>
      <c r="P3078" s="345" t="s">
        <v>209</v>
      </c>
      <c r="Q3078" s="345" t="s">
        <v>210</v>
      </c>
      <c r="R3078" s="345" t="s">
        <v>223</v>
      </c>
      <c r="S3078" s="345" t="s">
        <v>224</v>
      </c>
    </row>
    <row r="3079" spans="1:19" x14ac:dyDescent="0.25">
      <c r="A3079" s="311"/>
      <c r="B3079" s="312"/>
      <c r="C3079" s="312"/>
      <c r="D3079" s="312"/>
      <c r="E3079" s="312"/>
      <c r="F3079" s="312"/>
      <c r="G3079" s="328"/>
      <c r="H3079" s="337"/>
      <c r="I3079" s="334"/>
      <c r="J3079" s="314"/>
      <c r="K3079" s="449"/>
      <c r="M3079" s="349" t="str">
        <f>N3079&amp;AS[[#This Row],[Insurer Code]]&amp;"; "&amp;O3079&amp;AS[[#This Row],[Reporting Year]]&amp;"; "&amp;P3079&amp;AS[[#This Row],[Insurance Category Code]]&amp;"; "&amp;Q3079&amp;AS[[#This Row],[Large Provider Entity Code]]&amp;"; "&amp;R3079&amp;AS[[#This Row],[Age Band Code]]&amp;"; "&amp;S3079&amp;AS[[#This Row],[Sex Code]]</f>
        <v xml:space="preserve">Insurer Code ; Reporting Year ; Insurance Category Code ; Large Provider Entity Code ; Age Band Code ; Sex Code </v>
      </c>
      <c r="N3079" s="345" t="s">
        <v>207</v>
      </c>
      <c r="O3079" s="345" t="s">
        <v>208</v>
      </c>
      <c r="P3079" s="345" t="s">
        <v>209</v>
      </c>
      <c r="Q3079" s="345" t="s">
        <v>210</v>
      </c>
      <c r="R3079" s="345" t="s">
        <v>223</v>
      </c>
      <c r="S3079" s="345" t="s">
        <v>224</v>
      </c>
    </row>
    <row r="3080" spans="1:19" x14ac:dyDescent="0.25">
      <c r="A3080" s="311"/>
      <c r="B3080" s="312"/>
      <c r="C3080" s="312"/>
      <c r="D3080" s="312"/>
      <c r="E3080" s="312"/>
      <c r="F3080" s="312"/>
      <c r="G3080" s="328"/>
      <c r="H3080" s="337"/>
      <c r="I3080" s="334"/>
      <c r="J3080" s="314"/>
      <c r="K3080" s="449"/>
      <c r="M3080" s="349" t="str">
        <f>N3080&amp;AS[[#This Row],[Insurer Code]]&amp;"; "&amp;O3080&amp;AS[[#This Row],[Reporting Year]]&amp;"; "&amp;P3080&amp;AS[[#This Row],[Insurance Category Code]]&amp;"; "&amp;Q3080&amp;AS[[#This Row],[Large Provider Entity Code]]&amp;"; "&amp;R3080&amp;AS[[#This Row],[Age Band Code]]&amp;"; "&amp;S3080&amp;AS[[#This Row],[Sex Code]]</f>
        <v xml:space="preserve">Insurer Code ; Reporting Year ; Insurance Category Code ; Large Provider Entity Code ; Age Band Code ; Sex Code </v>
      </c>
      <c r="N3080" s="345" t="s">
        <v>207</v>
      </c>
      <c r="O3080" s="345" t="s">
        <v>208</v>
      </c>
      <c r="P3080" s="345" t="s">
        <v>209</v>
      </c>
      <c r="Q3080" s="345" t="s">
        <v>210</v>
      </c>
      <c r="R3080" s="345" t="s">
        <v>223</v>
      </c>
      <c r="S3080" s="345" t="s">
        <v>224</v>
      </c>
    </row>
    <row r="3081" spans="1:19" x14ac:dyDescent="0.25">
      <c r="A3081" s="311"/>
      <c r="B3081" s="312"/>
      <c r="C3081" s="312"/>
      <c r="D3081" s="312"/>
      <c r="E3081" s="312"/>
      <c r="F3081" s="312"/>
      <c r="G3081" s="328"/>
      <c r="H3081" s="337"/>
      <c r="I3081" s="334"/>
      <c r="J3081" s="314"/>
      <c r="K3081" s="449"/>
      <c r="M3081" s="349" t="str">
        <f>N3081&amp;AS[[#This Row],[Insurer Code]]&amp;"; "&amp;O3081&amp;AS[[#This Row],[Reporting Year]]&amp;"; "&amp;P3081&amp;AS[[#This Row],[Insurance Category Code]]&amp;"; "&amp;Q3081&amp;AS[[#This Row],[Large Provider Entity Code]]&amp;"; "&amp;R3081&amp;AS[[#This Row],[Age Band Code]]&amp;"; "&amp;S3081&amp;AS[[#This Row],[Sex Code]]</f>
        <v xml:space="preserve">Insurer Code ; Reporting Year ; Insurance Category Code ; Large Provider Entity Code ; Age Band Code ; Sex Code </v>
      </c>
      <c r="N3081" s="345" t="s">
        <v>207</v>
      </c>
      <c r="O3081" s="345" t="s">
        <v>208</v>
      </c>
      <c r="P3081" s="345" t="s">
        <v>209</v>
      </c>
      <c r="Q3081" s="345" t="s">
        <v>210</v>
      </c>
      <c r="R3081" s="345" t="s">
        <v>223</v>
      </c>
      <c r="S3081" s="345" t="s">
        <v>224</v>
      </c>
    </row>
    <row r="3082" spans="1:19" x14ac:dyDescent="0.25">
      <c r="A3082" s="311"/>
      <c r="B3082" s="312"/>
      <c r="C3082" s="312"/>
      <c r="D3082" s="312"/>
      <c r="E3082" s="312"/>
      <c r="F3082" s="312"/>
      <c r="G3082" s="328"/>
      <c r="H3082" s="337"/>
      <c r="I3082" s="334"/>
      <c r="J3082" s="314"/>
      <c r="K3082" s="449"/>
      <c r="M3082" s="349" t="str">
        <f>N3082&amp;AS[[#This Row],[Insurer Code]]&amp;"; "&amp;O3082&amp;AS[[#This Row],[Reporting Year]]&amp;"; "&amp;P3082&amp;AS[[#This Row],[Insurance Category Code]]&amp;"; "&amp;Q3082&amp;AS[[#This Row],[Large Provider Entity Code]]&amp;"; "&amp;R3082&amp;AS[[#This Row],[Age Band Code]]&amp;"; "&amp;S3082&amp;AS[[#This Row],[Sex Code]]</f>
        <v xml:space="preserve">Insurer Code ; Reporting Year ; Insurance Category Code ; Large Provider Entity Code ; Age Band Code ; Sex Code </v>
      </c>
      <c r="N3082" s="345" t="s">
        <v>207</v>
      </c>
      <c r="O3082" s="345" t="s">
        <v>208</v>
      </c>
      <c r="P3082" s="345" t="s">
        <v>209</v>
      </c>
      <c r="Q3082" s="345" t="s">
        <v>210</v>
      </c>
      <c r="R3082" s="345" t="s">
        <v>223</v>
      </c>
      <c r="S3082" s="345" t="s">
        <v>224</v>
      </c>
    </row>
    <row r="3083" spans="1:19" x14ac:dyDescent="0.25">
      <c r="A3083" s="311"/>
      <c r="B3083" s="312"/>
      <c r="C3083" s="312"/>
      <c r="D3083" s="312"/>
      <c r="E3083" s="312"/>
      <c r="F3083" s="312"/>
      <c r="G3083" s="328"/>
      <c r="H3083" s="337"/>
      <c r="I3083" s="334"/>
      <c r="J3083" s="314"/>
      <c r="K3083" s="449"/>
      <c r="M3083" s="349" t="str">
        <f>N3083&amp;AS[[#This Row],[Insurer Code]]&amp;"; "&amp;O3083&amp;AS[[#This Row],[Reporting Year]]&amp;"; "&amp;P3083&amp;AS[[#This Row],[Insurance Category Code]]&amp;"; "&amp;Q3083&amp;AS[[#This Row],[Large Provider Entity Code]]&amp;"; "&amp;R3083&amp;AS[[#This Row],[Age Band Code]]&amp;"; "&amp;S3083&amp;AS[[#This Row],[Sex Code]]</f>
        <v xml:space="preserve">Insurer Code ; Reporting Year ; Insurance Category Code ; Large Provider Entity Code ; Age Band Code ; Sex Code </v>
      </c>
      <c r="N3083" s="345" t="s">
        <v>207</v>
      </c>
      <c r="O3083" s="345" t="s">
        <v>208</v>
      </c>
      <c r="P3083" s="345" t="s">
        <v>209</v>
      </c>
      <c r="Q3083" s="345" t="s">
        <v>210</v>
      </c>
      <c r="R3083" s="345" t="s">
        <v>223</v>
      </c>
      <c r="S3083" s="345" t="s">
        <v>224</v>
      </c>
    </row>
    <row r="3084" spans="1:19" x14ac:dyDescent="0.25">
      <c r="A3084" s="311"/>
      <c r="B3084" s="312"/>
      <c r="C3084" s="312"/>
      <c r="D3084" s="312"/>
      <c r="E3084" s="312"/>
      <c r="F3084" s="312"/>
      <c r="G3084" s="328"/>
      <c r="H3084" s="337"/>
      <c r="I3084" s="334"/>
      <c r="J3084" s="314"/>
      <c r="K3084" s="449"/>
      <c r="M3084" s="349" t="str">
        <f>N3084&amp;AS[[#This Row],[Insurer Code]]&amp;"; "&amp;O3084&amp;AS[[#This Row],[Reporting Year]]&amp;"; "&amp;P3084&amp;AS[[#This Row],[Insurance Category Code]]&amp;"; "&amp;Q3084&amp;AS[[#This Row],[Large Provider Entity Code]]&amp;"; "&amp;R3084&amp;AS[[#This Row],[Age Band Code]]&amp;"; "&amp;S3084&amp;AS[[#This Row],[Sex Code]]</f>
        <v xml:space="preserve">Insurer Code ; Reporting Year ; Insurance Category Code ; Large Provider Entity Code ; Age Band Code ; Sex Code </v>
      </c>
      <c r="N3084" s="345" t="s">
        <v>207</v>
      </c>
      <c r="O3084" s="345" t="s">
        <v>208</v>
      </c>
      <c r="P3084" s="345" t="s">
        <v>209</v>
      </c>
      <c r="Q3084" s="345" t="s">
        <v>210</v>
      </c>
      <c r="R3084" s="345" t="s">
        <v>223</v>
      </c>
      <c r="S3084" s="345" t="s">
        <v>224</v>
      </c>
    </row>
    <row r="3085" spans="1:19" x14ac:dyDescent="0.25">
      <c r="A3085" s="311"/>
      <c r="B3085" s="312"/>
      <c r="C3085" s="312"/>
      <c r="D3085" s="312"/>
      <c r="E3085" s="312"/>
      <c r="F3085" s="312"/>
      <c r="G3085" s="328"/>
      <c r="H3085" s="337"/>
      <c r="I3085" s="334"/>
      <c r="J3085" s="314"/>
      <c r="K3085" s="449"/>
      <c r="M3085" s="349" t="str">
        <f>N3085&amp;AS[[#This Row],[Insurer Code]]&amp;"; "&amp;O3085&amp;AS[[#This Row],[Reporting Year]]&amp;"; "&amp;P3085&amp;AS[[#This Row],[Insurance Category Code]]&amp;"; "&amp;Q3085&amp;AS[[#This Row],[Large Provider Entity Code]]&amp;"; "&amp;R3085&amp;AS[[#This Row],[Age Band Code]]&amp;"; "&amp;S3085&amp;AS[[#This Row],[Sex Code]]</f>
        <v xml:space="preserve">Insurer Code ; Reporting Year ; Insurance Category Code ; Large Provider Entity Code ; Age Band Code ; Sex Code </v>
      </c>
      <c r="N3085" s="345" t="s">
        <v>207</v>
      </c>
      <c r="O3085" s="345" t="s">
        <v>208</v>
      </c>
      <c r="P3085" s="345" t="s">
        <v>209</v>
      </c>
      <c r="Q3085" s="345" t="s">
        <v>210</v>
      </c>
      <c r="R3085" s="345" t="s">
        <v>223</v>
      </c>
      <c r="S3085" s="345" t="s">
        <v>224</v>
      </c>
    </row>
    <row r="3086" spans="1:19" x14ac:dyDescent="0.25">
      <c r="A3086" s="311"/>
      <c r="B3086" s="312"/>
      <c r="C3086" s="312"/>
      <c r="D3086" s="312"/>
      <c r="E3086" s="312"/>
      <c r="F3086" s="312"/>
      <c r="G3086" s="328"/>
      <c r="H3086" s="337"/>
      <c r="I3086" s="334"/>
      <c r="J3086" s="314"/>
      <c r="K3086" s="449"/>
      <c r="M3086" s="349" t="str">
        <f>N3086&amp;AS[[#This Row],[Insurer Code]]&amp;"; "&amp;O3086&amp;AS[[#This Row],[Reporting Year]]&amp;"; "&amp;P3086&amp;AS[[#This Row],[Insurance Category Code]]&amp;"; "&amp;Q3086&amp;AS[[#This Row],[Large Provider Entity Code]]&amp;"; "&amp;R3086&amp;AS[[#This Row],[Age Band Code]]&amp;"; "&amp;S3086&amp;AS[[#This Row],[Sex Code]]</f>
        <v xml:space="preserve">Insurer Code ; Reporting Year ; Insurance Category Code ; Large Provider Entity Code ; Age Band Code ; Sex Code </v>
      </c>
      <c r="N3086" s="345" t="s">
        <v>207</v>
      </c>
      <c r="O3086" s="345" t="s">
        <v>208</v>
      </c>
      <c r="P3086" s="345" t="s">
        <v>209</v>
      </c>
      <c r="Q3086" s="345" t="s">
        <v>210</v>
      </c>
      <c r="R3086" s="345" t="s">
        <v>223</v>
      </c>
      <c r="S3086" s="345" t="s">
        <v>224</v>
      </c>
    </row>
    <row r="3087" spans="1:19" x14ac:dyDescent="0.25">
      <c r="A3087" s="311"/>
      <c r="B3087" s="312"/>
      <c r="C3087" s="312"/>
      <c r="D3087" s="312"/>
      <c r="E3087" s="312"/>
      <c r="F3087" s="312"/>
      <c r="G3087" s="328"/>
      <c r="H3087" s="337"/>
      <c r="I3087" s="334"/>
      <c r="J3087" s="314"/>
      <c r="K3087" s="449"/>
      <c r="M3087" s="349" t="str">
        <f>N3087&amp;AS[[#This Row],[Insurer Code]]&amp;"; "&amp;O3087&amp;AS[[#This Row],[Reporting Year]]&amp;"; "&amp;P3087&amp;AS[[#This Row],[Insurance Category Code]]&amp;"; "&amp;Q3087&amp;AS[[#This Row],[Large Provider Entity Code]]&amp;"; "&amp;R3087&amp;AS[[#This Row],[Age Band Code]]&amp;"; "&amp;S3087&amp;AS[[#This Row],[Sex Code]]</f>
        <v xml:space="preserve">Insurer Code ; Reporting Year ; Insurance Category Code ; Large Provider Entity Code ; Age Band Code ; Sex Code </v>
      </c>
      <c r="N3087" s="345" t="s">
        <v>207</v>
      </c>
      <c r="O3087" s="345" t="s">
        <v>208</v>
      </c>
      <c r="P3087" s="345" t="s">
        <v>209</v>
      </c>
      <c r="Q3087" s="345" t="s">
        <v>210</v>
      </c>
      <c r="R3087" s="345" t="s">
        <v>223</v>
      </c>
      <c r="S3087" s="345" t="s">
        <v>224</v>
      </c>
    </row>
    <row r="3088" spans="1:19" x14ac:dyDescent="0.25">
      <c r="A3088" s="311"/>
      <c r="B3088" s="312"/>
      <c r="C3088" s="312"/>
      <c r="D3088" s="312"/>
      <c r="E3088" s="312"/>
      <c r="F3088" s="312"/>
      <c r="G3088" s="328"/>
      <c r="H3088" s="337"/>
      <c r="I3088" s="334"/>
      <c r="J3088" s="314"/>
      <c r="K3088" s="449"/>
      <c r="M3088" s="349" t="str">
        <f>N3088&amp;AS[[#This Row],[Insurer Code]]&amp;"; "&amp;O3088&amp;AS[[#This Row],[Reporting Year]]&amp;"; "&amp;P3088&amp;AS[[#This Row],[Insurance Category Code]]&amp;"; "&amp;Q3088&amp;AS[[#This Row],[Large Provider Entity Code]]&amp;"; "&amp;R3088&amp;AS[[#This Row],[Age Band Code]]&amp;"; "&amp;S3088&amp;AS[[#This Row],[Sex Code]]</f>
        <v xml:space="preserve">Insurer Code ; Reporting Year ; Insurance Category Code ; Large Provider Entity Code ; Age Band Code ; Sex Code </v>
      </c>
      <c r="N3088" s="345" t="s">
        <v>207</v>
      </c>
      <c r="O3088" s="345" t="s">
        <v>208</v>
      </c>
      <c r="P3088" s="345" t="s">
        <v>209</v>
      </c>
      <c r="Q3088" s="345" t="s">
        <v>210</v>
      </c>
      <c r="R3088" s="345" t="s">
        <v>223</v>
      </c>
      <c r="S3088" s="345" t="s">
        <v>224</v>
      </c>
    </row>
    <row r="3089" spans="1:19" x14ac:dyDescent="0.25">
      <c r="A3089" s="311"/>
      <c r="B3089" s="312"/>
      <c r="C3089" s="312"/>
      <c r="D3089" s="312"/>
      <c r="E3089" s="312"/>
      <c r="F3089" s="312"/>
      <c r="G3089" s="328"/>
      <c r="H3089" s="337"/>
      <c r="I3089" s="334"/>
      <c r="J3089" s="314"/>
      <c r="K3089" s="449"/>
      <c r="M3089" s="349" t="str">
        <f>N3089&amp;AS[[#This Row],[Insurer Code]]&amp;"; "&amp;O3089&amp;AS[[#This Row],[Reporting Year]]&amp;"; "&amp;P3089&amp;AS[[#This Row],[Insurance Category Code]]&amp;"; "&amp;Q3089&amp;AS[[#This Row],[Large Provider Entity Code]]&amp;"; "&amp;R3089&amp;AS[[#This Row],[Age Band Code]]&amp;"; "&amp;S3089&amp;AS[[#This Row],[Sex Code]]</f>
        <v xml:space="preserve">Insurer Code ; Reporting Year ; Insurance Category Code ; Large Provider Entity Code ; Age Band Code ; Sex Code </v>
      </c>
      <c r="N3089" s="345" t="s">
        <v>207</v>
      </c>
      <c r="O3089" s="345" t="s">
        <v>208</v>
      </c>
      <c r="P3089" s="345" t="s">
        <v>209</v>
      </c>
      <c r="Q3089" s="345" t="s">
        <v>210</v>
      </c>
      <c r="R3089" s="345" t="s">
        <v>223</v>
      </c>
      <c r="S3089" s="345" t="s">
        <v>224</v>
      </c>
    </row>
    <row r="3090" spans="1:19" x14ac:dyDescent="0.25">
      <c r="A3090" s="311"/>
      <c r="B3090" s="312"/>
      <c r="C3090" s="312"/>
      <c r="D3090" s="312"/>
      <c r="E3090" s="312"/>
      <c r="F3090" s="312"/>
      <c r="G3090" s="328"/>
      <c r="H3090" s="337"/>
      <c r="I3090" s="334"/>
      <c r="J3090" s="314"/>
      <c r="K3090" s="449"/>
      <c r="M3090" s="349" t="str">
        <f>N3090&amp;AS[[#This Row],[Insurer Code]]&amp;"; "&amp;O3090&amp;AS[[#This Row],[Reporting Year]]&amp;"; "&amp;P3090&amp;AS[[#This Row],[Insurance Category Code]]&amp;"; "&amp;Q3090&amp;AS[[#This Row],[Large Provider Entity Code]]&amp;"; "&amp;R3090&amp;AS[[#This Row],[Age Band Code]]&amp;"; "&amp;S3090&amp;AS[[#This Row],[Sex Code]]</f>
        <v xml:space="preserve">Insurer Code ; Reporting Year ; Insurance Category Code ; Large Provider Entity Code ; Age Band Code ; Sex Code </v>
      </c>
      <c r="N3090" s="345" t="s">
        <v>207</v>
      </c>
      <c r="O3090" s="345" t="s">
        <v>208</v>
      </c>
      <c r="P3090" s="345" t="s">
        <v>209</v>
      </c>
      <c r="Q3090" s="345" t="s">
        <v>210</v>
      </c>
      <c r="R3090" s="345" t="s">
        <v>223</v>
      </c>
      <c r="S3090" s="345" t="s">
        <v>224</v>
      </c>
    </row>
    <row r="3091" spans="1:19" x14ac:dyDescent="0.25">
      <c r="A3091" s="311"/>
      <c r="B3091" s="312"/>
      <c r="C3091" s="312"/>
      <c r="D3091" s="312"/>
      <c r="E3091" s="312"/>
      <c r="F3091" s="312"/>
      <c r="G3091" s="328"/>
      <c r="H3091" s="337"/>
      <c r="I3091" s="334"/>
      <c r="J3091" s="314"/>
      <c r="K3091" s="449"/>
      <c r="M3091" s="349" t="str">
        <f>N3091&amp;AS[[#This Row],[Insurer Code]]&amp;"; "&amp;O3091&amp;AS[[#This Row],[Reporting Year]]&amp;"; "&amp;P3091&amp;AS[[#This Row],[Insurance Category Code]]&amp;"; "&amp;Q3091&amp;AS[[#This Row],[Large Provider Entity Code]]&amp;"; "&amp;R3091&amp;AS[[#This Row],[Age Band Code]]&amp;"; "&amp;S3091&amp;AS[[#This Row],[Sex Code]]</f>
        <v xml:space="preserve">Insurer Code ; Reporting Year ; Insurance Category Code ; Large Provider Entity Code ; Age Band Code ; Sex Code </v>
      </c>
      <c r="N3091" s="345" t="s">
        <v>207</v>
      </c>
      <c r="O3091" s="345" t="s">
        <v>208</v>
      </c>
      <c r="P3091" s="345" t="s">
        <v>209</v>
      </c>
      <c r="Q3091" s="345" t="s">
        <v>210</v>
      </c>
      <c r="R3091" s="345" t="s">
        <v>223</v>
      </c>
      <c r="S3091" s="345" t="s">
        <v>224</v>
      </c>
    </row>
    <row r="3092" spans="1:19" x14ac:dyDescent="0.25">
      <c r="A3092" s="311"/>
      <c r="B3092" s="312"/>
      <c r="C3092" s="312"/>
      <c r="D3092" s="312"/>
      <c r="E3092" s="312"/>
      <c r="F3092" s="312"/>
      <c r="G3092" s="328"/>
      <c r="H3092" s="337"/>
      <c r="I3092" s="334"/>
      <c r="J3092" s="314"/>
      <c r="K3092" s="449"/>
      <c r="M3092" s="349" t="str">
        <f>N3092&amp;AS[[#This Row],[Insurer Code]]&amp;"; "&amp;O3092&amp;AS[[#This Row],[Reporting Year]]&amp;"; "&amp;P3092&amp;AS[[#This Row],[Insurance Category Code]]&amp;"; "&amp;Q3092&amp;AS[[#This Row],[Large Provider Entity Code]]&amp;"; "&amp;R3092&amp;AS[[#This Row],[Age Band Code]]&amp;"; "&amp;S3092&amp;AS[[#This Row],[Sex Code]]</f>
        <v xml:space="preserve">Insurer Code ; Reporting Year ; Insurance Category Code ; Large Provider Entity Code ; Age Band Code ; Sex Code </v>
      </c>
      <c r="N3092" s="345" t="s">
        <v>207</v>
      </c>
      <c r="O3092" s="345" t="s">
        <v>208</v>
      </c>
      <c r="P3092" s="345" t="s">
        <v>209</v>
      </c>
      <c r="Q3092" s="345" t="s">
        <v>210</v>
      </c>
      <c r="R3092" s="345" t="s">
        <v>223</v>
      </c>
      <c r="S3092" s="345" t="s">
        <v>224</v>
      </c>
    </row>
    <row r="3093" spans="1:19" x14ac:dyDescent="0.25">
      <c r="A3093" s="311"/>
      <c r="B3093" s="312"/>
      <c r="C3093" s="312"/>
      <c r="D3093" s="312"/>
      <c r="E3093" s="312"/>
      <c r="F3093" s="312"/>
      <c r="G3093" s="328"/>
      <c r="H3093" s="337"/>
      <c r="I3093" s="334"/>
      <c r="J3093" s="314"/>
      <c r="K3093" s="449"/>
      <c r="M3093" s="349" t="str">
        <f>N3093&amp;AS[[#This Row],[Insurer Code]]&amp;"; "&amp;O3093&amp;AS[[#This Row],[Reporting Year]]&amp;"; "&amp;P3093&amp;AS[[#This Row],[Insurance Category Code]]&amp;"; "&amp;Q3093&amp;AS[[#This Row],[Large Provider Entity Code]]&amp;"; "&amp;R3093&amp;AS[[#This Row],[Age Band Code]]&amp;"; "&amp;S3093&amp;AS[[#This Row],[Sex Code]]</f>
        <v xml:space="preserve">Insurer Code ; Reporting Year ; Insurance Category Code ; Large Provider Entity Code ; Age Band Code ; Sex Code </v>
      </c>
      <c r="N3093" s="345" t="s">
        <v>207</v>
      </c>
      <c r="O3093" s="345" t="s">
        <v>208</v>
      </c>
      <c r="P3093" s="345" t="s">
        <v>209</v>
      </c>
      <c r="Q3093" s="345" t="s">
        <v>210</v>
      </c>
      <c r="R3093" s="345" t="s">
        <v>223</v>
      </c>
      <c r="S3093" s="345" t="s">
        <v>224</v>
      </c>
    </row>
    <row r="3094" spans="1:19" x14ac:dyDescent="0.25">
      <c r="A3094" s="311"/>
      <c r="B3094" s="312"/>
      <c r="C3094" s="312"/>
      <c r="D3094" s="312"/>
      <c r="E3094" s="312"/>
      <c r="F3094" s="312"/>
      <c r="G3094" s="328"/>
      <c r="H3094" s="337"/>
      <c r="I3094" s="334"/>
      <c r="J3094" s="314"/>
      <c r="K3094" s="449"/>
      <c r="M3094" s="349" t="str">
        <f>N3094&amp;AS[[#This Row],[Insurer Code]]&amp;"; "&amp;O3094&amp;AS[[#This Row],[Reporting Year]]&amp;"; "&amp;P3094&amp;AS[[#This Row],[Insurance Category Code]]&amp;"; "&amp;Q3094&amp;AS[[#This Row],[Large Provider Entity Code]]&amp;"; "&amp;R3094&amp;AS[[#This Row],[Age Band Code]]&amp;"; "&amp;S3094&amp;AS[[#This Row],[Sex Code]]</f>
        <v xml:space="preserve">Insurer Code ; Reporting Year ; Insurance Category Code ; Large Provider Entity Code ; Age Band Code ; Sex Code </v>
      </c>
      <c r="N3094" s="345" t="s">
        <v>207</v>
      </c>
      <c r="O3094" s="345" t="s">
        <v>208</v>
      </c>
      <c r="P3094" s="345" t="s">
        <v>209</v>
      </c>
      <c r="Q3094" s="345" t="s">
        <v>210</v>
      </c>
      <c r="R3094" s="345" t="s">
        <v>223</v>
      </c>
      <c r="S3094" s="345" t="s">
        <v>224</v>
      </c>
    </row>
    <row r="3095" spans="1:19" x14ac:dyDescent="0.25">
      <c r="A3095" s="311"/>
      <c r="B3095" s="312"/>
      <c r="C3095" s="312"/>
      <c r="D3095" s="312"/>
      <c r="E3095" s="312"/>
      <c r="F3095" s="312"/>
      <c r="G3095" s="328"/>
      <c r="H3095" s="337"/>
      <c r="I3095" s="334"/>
      <c r="J3095" s="314"/>
      <c r="K3095" s="449"/>
      <c r="M3095" s="349" t="str">
        <f>N3095&amp;AS[[#This Row],[Insurer Code]]&amp;"; "&amp;O3095&amp;AS[[#This Row],[Reporting Year]]&amp;"; "&amp;P3095&amp;AS[[#This Row],[Insurance Category Code]]&amp;"; "&amp;Q3095&amp;AS[[#This Row],[Large Provider Entity Code]]&amp;"; "&amp;R3095&amp;AS[[#This Row],[Age Band Code]]&amp;"; "&amp;S3095&amp;AS[[#This Row],[Sex Code]]</f>
        <v xml:space="preserve">Insurer Code ; Reporting Year ; Insurance Category Code ; Large Provider Entity Code ; Age Band Code ; Sex Code </v>
      </c>
      <c r="N3095" s="345" t="s">
        <v>207</v>
      </c>
      <c r="O3095" s="345" t="s">
        <v>208</v>
      </c>
      <c r="P3095" s="345" t="s">
        <v>209</v>
      </c>
      <c r="Q3095" s="345" t="s">
        <v>210</v>
      </c>
      <c r="R3095" s="345" t="s">
        <v>223</v>
      </c>
      <c r="S3095" s="345" t="s">
        <v>224</v>
      </c>
    </row>
    <row r="3096" spans="1:19" x14ac:dyDescent="0.25">
      <c r="A3096" s="311"/>
      <c r="B3096" s="312"/>
      <c r="C3096" s="312"/>
      <c r="D3096" s="312"/>
      <c r="E3096" s="312"/>
      <c r="F3096" s="312"/>
      <c r="G3096" s="328"/>
      <c r="H3096" s="337"/>
      <c r="I3096" s="334"/>
      <c r="J3096" s="314"/>
      <c r="K3096" s="449"/>
      <c r="M3096" s="349" t="str">
        <f>N3096&amp;AS[[#This Row],[Insurer Code]]&amp;"; "&amp;O3096&amp;AS[[#This Row],[Reporting Year]]&amp;"; "&amp;P3096&amp;AS[[#This Row],[Insurance Category Code]]&amp;"; "&amp;Q3096&amp;AS[[#This Row],[Large Provider Entity Code]]&amp;"; "&amp;R3096&amp;AS[[#This Row],[Age Band Code]]&amp;"; "&amp;S3096&amp;AS[[#This Row],[Sex Code]]</f>
        <v xml:space="preserve">Insurer Code ; Reporting Year ; Insurance Category Code ; Large Provider Entity Code ; Age Band Code ; Sex Code </v>
      </c>
      <c r="N3096" s="345" t="s">
        <v>207</v>
      </c>
      <c r="O3096" s="345" t="s">
        <v>208</v>
      </c>
      <c r="P3096" s="345" t="s">
        <v>209</v>
      </c>
      <c r="Q3096" s="345" t="s">
        <v>210</v>
      </c>
      <c r="R3096" s="345" t="s">
        <v>223</v>
      </c>
      <c r="S3096" s="345" t="s">
        <v>224</v>
      </c>
    </row>
    <row r="3097" spans="1:19" x14ac:dyDescent="0.25">
      <c r="A3097" s="311"/>
      <c r="B3097" s="312"/>
      <c r="C3097" s="312"/>
      <c r="D3097" s="312"/>
      <c r="E3097" s="312"/>
      <c r="F3097" s="312"/>
      <c r="G3097" s="328"/>
      <c r="H3097" s="337"/>
      <c r="I3097" s="334"/>
      <c r="J3097" s="314"/>
      <c r="K3097" s="449"/>
      <c r="M3097" s="349" t="str">
        <f>N3097&amp;AS[[#This Row],[Insurer Code]]&amp;"; "&amp;O3097&amp;AS[[#This Row],[Reporting Year]]&amp;"; "&amp;P3097&amp;AS[[#This Row],[Insurance Category Code]]&amp;"; "&amp;Q3097&amp;AS[[#This Row],[Large Provider Entity Code]]&amp;"; "&amp;R3097&amp;AS[[#This Row],[Age Band Code]]&amp;"; "&amp;S3097&amp;AS[[#This Row],[Sex Code]]</f>
        <v xml:space="preserve">Insurer Code ; Reporting Year ; Insurance Category Code ; Large Provider Entity Code ; Age Band Code ; Sex Code </v>
      </c>
      <c r="N3097" s="345" t="s">
        <v>207</v>
      </c>
      <c r="O3097" s="345" t="s">
        <v>208</v>
      </c>
      <c r="P3097" s="345" t="s">
        <v>209</v>
      </c>
      <c r="Q3097" s="345" t="s">
        <v>210</v>
      </c>
      <c r="R3097" s="345" t="s">
        <v>223</v>
      </c>
      <c r="S3097" s="345" t="s">
        <v>224</v>
      </c>
    </row>
    <row r="3098" spans="1:19" x14ac:dyDescent="0.25">
      <c r="A3098" s="311"/>
      <c r="B3098" s="312"/>
      <c r="C3098" s="312"/>
      <c r="D3098" s="312"/>
      <c r="E3098" s="312"/>
      <c r="F3098" s="312"/>
      <c r="G3098" s="328"/>
      <c r="H3098" s="337"/>
      <c r="I3098" s="334"/>
      <c r="J3098" s="314"/>
      <c r="K3098" s="449"/>
      <c r="M3098" s="349" t="str">
        <f>N3098&amp;AS[[#This Row],[Insurer Code]]&amp;"; "&amp;O3098&amp;AS[[#This Row],[Reporting Year]]&amp;"; "&amp;P3098&amp;AS[[#This Row],[Insurance Category Code]]&amp;"; "&amp;Q3098&amp;AS[[#This Row],[Large Provider Entity Code]]&amp;"; "&amp;R3098&amp;AS[[#This Row],[Age Band Code]]&amp;"; "&amp;S3098&amp;AS[[#This Row],[Sex Code]]</f>
        <v xml:space="preserve">Insurer Code ; Reporting Year ; Insurance Category Code ; Large Provider Entity Code ; Age Band Code ; Sex Code </v>
      </c>
      <c r="N3098" s="345" t="s">
        <v>207</v>
      </c>
      <c r="O3098" s="345" t="s">
        <v>208</v>
      </c>
      <c r="P3098" s="345" t="s">
        <v>209</v>
      </c>
      <c r="Q3098" s="345" t="s">
        <v>210</v>
      </c>
      <c r="R3098" s="345" t="s">
        <v>223</v>
      </c>
      <c r="S3098" s="345" t="s">
        <v>224</v>
      </c>
    </row>
    <row r="3099" spans="1:19" x14ac:dyDescent="0.25">
      <c r="A3099" s="311"/>
      <c r="B3099" s="312"/>
      <c r="C3099" s="312"/>
      <c r="D3099" s="312"/>
      <c r="E3099" s="312"/>
      <c r="F3099" s="312"/>
      <c r="G3099" s="328"/>
      <c r="H3099" s="337"/>
      <c r="I3099" s="334"/>
      <c r="J3099" s="314"/>
      <c r="K3099" s="449"/>
      <c r="M3099" s="349" t="str">
        <f>N3099&amp;AS[[#This Row],[Insurer Code]]&amp;"; "&amp;O3099&amp;AS[[#This Row],[Reporting Year]]&amp;"; "&amp;P3099&amp;AS[[#This Row],[Insurance Category Code]]&amp;"; "&amp;Q3099&amp;AS[[#This Row],[Large Provider Entity Code]]&amp;"; "&amp;R3099&amp;AS[[#This Row],[Age Band Code]]&amp;"; "&amp;S3099&amp;AS[[#This Row],[Sex Code]]</f>
        <v xml:space="preserve">Insurer Code ; Reporting Year ; Insurance Category Code ; Large Provider Entity Code ; Age Band Code ; Sex Code </v>
      </c>
      <c r="N3099" s="345" t="s">
        <v>207</v>
      </c>
      <c r="O3099" s="345" t="s">
        <v>208</v>
      </c>
      <c r="P3099" s="345" t="s">
        <v>209</v>
      </c>
      <c r="Q3099" s="345" t="s">
        <v>210</v>
      </c>
      <c r="R3099" s="345" t="s">
        <v>223</v>
      </c>
      <c r="S3099" s="345" t="s">
        <v>224</v>
      </c>
    </row>
    <row r="3100" spans="1:19" x14ac:dyDescent="0.25">
      <c r="A3100" s="311"/>
      <c r="B3100" s="312"/>
      <c r="C3100" s="312"/>
      <c r="D3100" s="312"/>
      <c r="E3100" s="312"/>
      <c r="F3100" s="312"/>
      <c r="G3100" s="328"/>
      <c r="H3100" s="337"/>
      <c r="I3100" s="334"/>
      <c r="J3100" s="314"/>
      <c r="K3100" s="449"/>
      <c r="M3100" s="349" t="str">
        <f>N3100&amp;AS[[#This Row],[Insurer Code]]&amp;"; "&amp;O3100&amp;AS[[#This Row],[Reporting Year]]&amp;"; "&amp;P3100&amp;AS[[#This Row],[Insurance Category Code]]&amp;"; "&amp;Q3100&amp;AS[[#This Row],[Large Provider Entity Code]]&amp;"; "&amp;R3100&amp;AS[[#This Row],[Age Band Code]]&amp;"; "&amp;S3100&amp;AS[[#This Row],[Sex Code]]</f>
        <v xml:space="preserve">Insurer Code ; Reporting Year ; Insurance Category Code ; Large Provider Entity Code ; Age Band Code ; Sex Code </v>
      </c>
      <c r="N3100" s="345" t="s">
        <v>207</v>
      </c>
      <c r="O3100" s="345" t="s">
        <v>208</v>
      </c>
      <c r="P3100" s="345" t="s">
        <v>209</v>
      </c>
      <c r="Q3100" s="345" t="s">
        <v>210</v>
      </c>
      <c r="R3100" s="345" t="s">
        <v>223</v>
      </c>
      <c r="S3100" s="345" t="s">
        <v>224</v>
      </c>
    </row>
    <row r="3101" spans="1:19" x14ac:dyDescent="0.25">
      <c r="A3101" s="311"/>
      <c r="B3101" s="312"/>
      <c r="C3101" s="312"/>
      <c r="D3101" s="312"/>
      <c r="E3101" s="312"/>
      <c r="F3101" s="312"/>
      <c r="G3101" s="328"/>
      <c r="H3101" s="337"/>
      <c r="I3101" s="334"/>
      <c r="J3101" s="314"/>
      <c r="K3101" s="449"/>
      <c r="M3101" s="349" t="str">
        <f>N3101&amp;AS[[#This Row],[Insurer Code]]&amp;"; "&amp;O3101&amp;AS[[#This Row],[Reporting Year]]&amp;"; "&amp;P3101&amp;AS[[#This Row],[Insurance Category Code]]&amp;"; "&amp;Q3101&amp;AS[[#This Row],[Large Provider Entity Code]]&amp;"; "&amp;R3101&amp;AS[[#This Row],[Age Band Code]]&amp;"; "&amp;S3101&amp;AS[[#This Row],[Sex Code]]</f>
        <v xml:space="preserve">Insurer Code ; Reporting Year ; Insurance Category Code ; Large Provider Entity Code ; Age Band Code ; Sex Code </v>
      </c>
      <c r="N3101" s="345" t="s">
        <v>207</v>
      </c>
      <c r="O3101" s="345" t="s">
        <v>208</v>
      </c>
      <c r="P3101" s="345" t="s">
        <v>209</v>
      </c>
      <c r="Q3101" s="345" t="s">
        <v>210</v>
      </c>
      <c r="R3101" s="345" t="s">
        <v>223</v>
      </c>
      <c r="S3101" s="345" t="s">
        <v>224</v>
      </c>
    </row>
    <row r="3102" spans="1:19" x14ac:dyDescent="0.25">
      <c r="A3102" s="311"/>
      <c r="B3102" s="312"/>
      <c r="C3102" s="312"/>
      <c r="D3102" s="312"/>
      <c r="E3102" s="312"/>
      <c r="F3102" s="312"/>
      <c r="G3102" s="328"/>
      <c r="H3102" s="337"/>
      <c r="I3102" s="334"/>
      <c r="J3102" s="314"/>
      <c r="K3102" s="449"/>
      <c r="M3102" s="349" t="str">
        <f>N3102&amp;AS[[#This Row],[Insurer Code]]&amp;"; "&amp;O3102&amp;AS[[#This Row],[Reporting Year]]&amp;"; "&amp;P3102&amp;AS[[#This Row],[Insurance Category Code]]&amp;"; "&amp;Q3102&amp;AS[[#This Row],[Large Provider Entity Code]]&amp;"; "&amp;R3102&amp;AS[[#This Row],[Age Band Code]]&amp;"; "&amp;S3102&amp;AS[[#This Row],[Sex Code]]</f>
        <v xml:space="preserve">Insurer Code ; Reporting Year ; Insurance Category Code ; Large Provider Entity Code ; Age Band Code ; Sex Code </v>
      </c>
      <c r="N3102" s="345" t="s">
        <v>207</v>
      </c>
      <c r="O3102" s="345" t="s">
        <v>208</v>
      </c>
      <c r="P3102" s="345" t="s">
        <v>209</v>
      </c>
      <c r="Q3102" s="345" t="s">
        <v>210</v>
      </c>
      <c r="R3102" s="345" t="s">
        <v>223</v>
      </c>
      <c r="S3102" s="345" t="s">
        <v>224</v>
      </c>
    </row>
    <row r="3103" spans="1:19" x14ac:dyDescent="0.25">
      <c r="A3103" s="311"/>
      <c r="B3103" s="312"/>
      <c r="C3103" s="312"/>
      <c r="D3103" s="312"/>
      <c r="E3103" s="312"/>
      <c r="F3103" s="312"/>
      <c r="G3103" s="328"/>
      <c r="H3103" s="337"/>
      <c r="I3103" s="334"/>
      <c r="J3103" s="314"/>
      <c r="K3103" s="449"/>
      <c r="M3103" s="349" t="str">
        <f>N3103&amp;AS[[#This Row],[Insurer Code]]&amp;"; "&amp;O3103&amp;AS[[#This Row],[Reporting Year]]&amp;"; "&amp;P3103&amp;AS[[#This Row],[Insurance Category Code]]&amp;"; "&amp;Q3103&amp;AS[[#This Row],[Large Provider Entity Code]]&amp;"; "&amp;R3103&amp;AS[[#This Row],[Age Band Code]]&amp;"; "&amp;S3103&amp;AS[[#This Row],[Sex Code]]</f>
        <v xml:space="preserve">Insurer Code ; Reporting Year ; Insurance Category Code ; Large Provider Entity Code ; Age Band Code ; Sex Code </v>
      </c>
      <c r="N3103" s="345" t="s">
        <v>207</v>
      </c>
      <c r="O3103" s="345" t="s">
        <v>208</v>
      </c>
      <c r="P3103" s="345" t="s">
        <v>209</v>
      </c>
      <c r="Q3103" s="345" t="s">
        <v>210</v>
      </c>
      <c r="R3103" s="345" t="s">
        <v>223</v>
      </c>
      <c r="S3103" s="345" t="s">
        <v>224</v>
      </c>
    </row>
    <row r="3104" spans="1:19" x14ac:dyDescent="0.25">
      <c r="A3104" s="311"/>
      <c r="B3104" s="312"/>
      <c r="C3104" s="312"/>
      <c r="D3104" s="312"/>
      <c r="E3104" s="312"/>
      <c r="F3104" s="312"/>
      <c r="G3104" s="328"/>
      <c r="H3104" s="337"/>
      <c r="I3104" s="334"/>
      <c r="J3104" s="314"/>
      <c r="K3104" s="449"/>
      <c r="M3104" s="349" t="str">
        <f>N3104&amp;AS[[#This Row],[Insurer Code]]&amp;"; "&amp;O3104&amp;AS[[#This Row],[Reporting Year]]&amp;"; "&amp;P3104&amp;AS[[#This Row],[Insurance Category Code]]&amp;"; "&amp;Q3104&amp;AS[[#This Row],[Large Provider Entity Code]]&amp;"; "&amp;R3104&amp;AS[[#This Row],[Age Band Code]]&amp;"; "&amp;S3104&amp;AS[[#This Row],[Sex Code]]</f>
        <v xml:space="preserve">Insurer Code ; Reporting Year ; Insurance Category Code ; Large Provider Entity Code ; Age Band Code ; Sex Code </v>
      </c>
      <c r="N3104" s="345" t="s">
        <v>207</v>
      </c>
      <c r="O3104" s="345" t="s">
        <v>208</v>
      </c>
      <c r="P3104" s="345" t="s">
        <v>209</v>
      </c>
      <c r="Q3104" s="345" t="s">
        <v>210</v>
      </c>
      <c r="R3104" s="345" t="s">
        <v>223</v>
      </c>
      <c r="S3104" s="345" t="s">
        <v>224</v>
      </c>
    </row>
    <row r="3105" spans="1:19" x14ac:dyDescent="0.25">
      <c r="A3105" s="311"/>
      <c r="B3105" s="312"/>
      <c r="C3105" s="312"/>
      <c r="D3105" s="312"/>
      <c r="E3105" s="312"/>
      <c r="F3105" s="312"/>
      <c r="G3105" s="328"/>
      <c r="H3105" s="337"/>
      <c r="I3105" s="334"/>
      <c r="J3105" s="314"/>
      <c r="K3105" s="449"/>
      <c r="M3105" s="349" t="str">
        <f>N3105&amp;AS[[#This Row],[Insurer Code]]&amp;"; "&amp;O3105&amp;AS[[#This Row],[Reporting Year]]&amp;"; "&amp;P3105&amp;AS[[#This Row],[Insurance Category Code]]&amp;"; "&amp;Q3105&amp;AS[[#This Row],[Large Provider Entity Code]]&amp;"; "&amp;R3105&amp;AS[[#This Row],[Age Band Code]]&amp;"; "&amp;S3105&amp;AS[[#This Row],[Sex Code]]</f>
        <v xml:space="preserve">Insurer Code ; Reporting Year ; Insurance Category Code ; Large Provider Entity Code ; Age Band Code ; Sex Code </v>
      </c>
      <c r="N3105" s="345" t="s">
        <v>207</v>
      </c>
      <c r="O3105" s="345" t="s">
        <v>208</v>
      </c>
      <c r="P3105" s="345" t="s">
        <v>209</v>
      </c>
      <c r="Q3105" s="345" t="s">
        <v>210</v>
      </c>
      <c r="R3105" s="345" t="s">
        <v>223</v>
      </c>
      <c r="S3105" s="345" t="s">
        <v>224</v>
      </c>
    </row>
    <row r="3106" spans="1:19" x14ac:dyDescent="0.25">
      <c r="A3106" s="311"/>
      <c r="B3106" s="312"/>
      <c r="C3106" s="312"/>
      <c r="D3106" s="312"/>
      <c r="E3106" s="312"/>
      <c r="F3106" s="312"/>
      <c r="G3106" s="328"/>
      <c r="H3106" s="337"/>
      <c r="I3106" s="334"/>
      <c r="J3106" s="314"/>
      <c r="K3106" s="449"/>
      <c r="M3106" s="349" t="str">
        <f>N3106&amp;AS[[#This Row],[Insurer Code]]&amp;"; "&amp;O3106&amp;AS[[#This Row],[Reporting Year]]&amp;"; "&amp;P3106&amp;AS[[#This Row],[Insurance Category Code]]&amp;"; "&amp;Q3106&amp;AS[[#This Row],[Large Provider Entity Code]]&amp;"; "&amp;R3106&amp;AS[[#This Row],[Age Band Code]]&amp;"; "&amp;S3106&amp;AS[[#This Row],[Sex Code]]</f>
        <v xml:space="preserve">Insurer Code ; Reporting Year ; Insurance Category Code ; Large Provider Entity Code ; Age Band Code ; Sex Code </v>
      </c>
      <c r="N3106" s="345" t="s">
        <v>207</v>
      </c>
      <c r="O3106" s="345" t="s">
        <v>208</v>
      </c>
      <c r="P3106" s="345" t="s">
        <v>209</v>
      </c>
      <c r="Q3106" s="345" t="s">
        <v>210</v>
      </c>
      <c r="R3106" s="345" t="s">
        <v>223</v>
      </c>
      <c r="S3106" s="345" t="s">
        <v>224</v>
      </c>
    </row>
    <row r="3107" spans="1:19" x14ac:dyDescent="0.25">
      <c r="A3107" s="311"/>
      <c r="B3107" s="312"/>
      <c r="C3107" s="312"/>
      <c r="D3107" s="312"/>
      <c r="E3107" s="312"/>
      <c r="F3107" s="312"/>
      <c r="G3107" s="328"/>
      <c r="H3107" s="337"/>
      <c r="I3107" s="334"/>
      <c r="J3107" s="314"/>
      <c r="K3107" s="449"/>
      <c r="M3107" s="349" t="str">
        <f>N3107&amp;AS[[#This Row],[Insurer Code]]&amp;"; "&amp;O3107&amp;AS[[#This Row],[Reporting Year]]&amp;"; "&amp;P3107&amp;AS[[#This Row],[Insurance Category Code]]&amp;"; "&amp;Q3107&amp;AS[[#This Row],[Large Provider Entity Code]]&amp;"; "&amp;R3107&amp;AS[[#This Row],[Age Band Code]]&amp;"; "&amp;S3107&amp;AS[[#This Row],[Sex Code]]</f>
        <v xml:space="preserve">Insurer Code ; Reporting Year ; Insurance Category Code ; Large Provider Entity Code ; Age Band Code ; Sex Code </v>
      </c>
      <c r="N3107" s="345" t="s">
        <v>207</v>
      </c>
      <c r="O3107" s="345" t="s">
        <v>208</v>
      </c>
      <c r="P3107" s="345" t="s">
        <v>209</v>
      </c>
      <c r="Q3107" s="345" t="s">
        <v>210</v>
      </c>
      <c r="R3107" s="345" t="s">
        <v>223</v>
      </c>
      <c r="S3107" s="345" t="s">
        <v>224</v>
      </c>
    </row>
    <row r="3108" spans="1:19" x14ac:dyDescent="0.25">
      <c r="A3108" s="311"/>
      <c r="B3108" s="312"/>
      <c r="C3108" s="312"/>
      <c r="D3108" s="312"/>
      <c r="E3108" s="312"/>
      <c r="F3108" s="312"/>
      <c r="G3108" s="328"/>
      <c r="H3108" s="337"/>
      <c r="I3108" s="334"/>
      <c r="J3108" s="314"/>
      <c r="K3108" s="449"/>
      <c r="M3108" s="349" t="str">
        <f>N3108&amp;AS[[#This Row],[Insurer Code]]&amp;"; "&amp;O3108&amp;AS[[#This Row],[Reporting Year]]&amp;"; "&amp;P3108&amp;AS[[#This Row],[Insurance Category Code]]&amp;"; "&amp;Q3108&amp;AS[[#This Row],[Large Provider Entity Code]]&amp;"; "&amp;R3108&amp;AS[[#This Row],[Age Band Code]]&amp;"; "&amp;S3108&amp;AS[[#This Row],[Sex Code]]</f>
        <v xml:space="preserve">Insurer Code ; Reporting Year ; Insurance Category Code ; Large Provider Entity Code ; Age Band Code ; Sex Code </v>
      </c>
      <c r="N3108" s="345" t="s">
        <v>207</v>
      </c>
      <c r="O3108" s="345" t="s">
        <v>208</v>
      </c>
      <c r="P3108" s="345" t="s">
        <v>209</v>
      </c>
      <c r="Q3108" s="345" t="s">
        <v>210</v>
      </c>
      <c r="R3108" s="345" t="s">
        <v>223</v>
      </c>
      <c r="S3108" s="345" t="s">
        <v>224</v>
      </c>
    </row>
    <row r="3109" spans="1:19" x14ac:dyDescent="0.25">
      <c r="A3109" s="311"/>
      <c r="B3109" s="312"/>
      <c r="C3109" s="312"/>
      <c r="D3109" s="312"/>
      <c r="E3109" s="312"/>
      <c r="F3109" s="312"/>
      <c r="G3109" s="328"/>
      <c r="H3109" s="337"/>
      <c r="I3109" s="334"/>
      <c r="J3109" s="314"/>
      <c r="K3109" s="449"/>
      <c r="M3109" s="349" t="str">
        <f>N3109&amp;AS[[#This Row],[Insurer Code]]&amp;"; "&amp;O3109&amp;AS[[#This Row],[Reporting Year]]&amp;"; "&amp;P3109&amp;AS[[#This Row],[Insurance Category Code]]&amp;"; "&amp;Q3109&amp;AS[[#This Row],[Large Provider Entity Code]]&amp;"; "&amp;R3109&amp;AS[[#This Row],[Age Band Code]]&amp;"; "&amp;S3109&amp;AS[[#This Row],[Sex Code]]</f>
        <v xml:space="preserve">Insurer Code ; Reporting Year ; Insurance Category Code ; Large Provider Entity Code ; Age Band Code ; Sex Code </v>
      </c>
      <c r="N3109" s="345" t="s">
        <v>207</v>
      </c>
      <c r="O3109" s="345" t="s">
        <v>208</v>
      </c>
      <c r="P3109" s="345" t="s">
        <v>209</v>
      </c>
      <c r="Q3109" s="345" t="s">
        <v>210</v>
      </c>
      <c r="R3109" s="345" t="s">
        <v>223</v>
      </c>
      <c r="S3109" s="345" t="s">
        <v>224</v>
      </c>
    </row>
    <row r="3110" spans="1:19" x14ac:dyDescent="0.25">
      <c r="A3110" s="311"/>
      <c r="B3110" s="312"/>
      <c r="C3110" s="312"/>
      <c r="D3110" s="312"/>
      <c r="E3110" s="312"/>
      <c r="F3110" s="312"/>
      <c r="G3110" s="328"/>
      <c r="H3110" s="337"/>
      <c r="I3110" s="334"/>
      <c r="J3110" s="314"/>
      <c r="K3110" s="449"/>
      <c r="M3110" s="349" t="str">
        <f>N3110&amp;AS[[#This Row],[Insurer Code]]&amp;"; "&amp;O3110&amp;AS[[#This Row],[Reporting Year]]&amp;"; "&amp;P3110&amp;AS[[#This Row],[Insurance Category Code]]&amp;"; "&amp;Q3110&amp;AS[[#This Row],[Large Provider Entity Code]]&amp;"; "&amp;R3110&amp;AS[[#This Row],[Age Band Code]]&amp;"; "&amp;S3110&amp;AS[[#This Row],[Sex Code]]</f>
        <v xml:space="preserve">Insurer Code ; Reporting Year ; Insurance Category Code ; Large Provider Entity Code ; Age Band Code ; Sex Code </v>
      </c>
      <c r="N3110" s="345" t="s">
        <v>207</v>
      </c>
      <c r="O3110" s="345" t="s">
        <v>208</v>
      </c>
      <c r="P3110" s="345" t="s">
        <v>209</v>
      </c>
      <c r="Q3110" s="345" t="s">
        <v>210</v>
      </c>
      <c r="R3110" s="345" t="s">
        <v>223</v>
      </c>
      <c r="S3110" s="345" t="s">
        <v>224</v>
      </c>
    </row>
    <row r="3111" spans="1:19" x14ac:dyDescent="0.25">
      <c r="A3111" s="311"/>
      <c r="B3111" s="312"/>
      <c r="C3111" s="312"/>
      <c r="D3111" s="312"/>
      <c r="E3111" s="312"/>
      <c r="F3111" s="312"/>
      <c r="G3111" s="328"/>
      <c r="H3111" s="337"/>
      <c r="I3111" s="334"/>
      <c r="J3111" s="314"/>
      <c r="K3111" s="449"/>
      <c r="M3111" s="349" t="str">
        <f>N3111&amp;AS[[#This Row],[Insurer Code]]&amp;"; "&amp;O3111&amp;AS[[#This Row],[Reporting Year]]&amp;"; "&amp;P3111&amp;AS[[#This Row],[Insurance Category Code]]&amp;"; "&amp;Q3111&amp;AS[[#This Row],[Large Provider Entity Code]]&amp;"; "&amp;R3111&amp;AS[[#This Row],[Age Band Code]]&amp;"; "&amp;S3111&amp;AS[[#This Row],[Sex Code]]</f>
        <v xml:space="preserve">Insurer Code ; Reporting Year ; Insurance Category Code ; Large Provider Entity Code ; Age Band Code ; Sex Code </v>
      </c>
      <c r="N3111" s="345" t="s">
        <v>207</v>
      </c>
      <c r="O3111" s="345" t="s">
        <v>208</v>
      </c>
      <c r="P3111" s="345" t="s">
        <v>209</v>
      </c>
      <c r="Q3111" s="345" t="s">
        <v>210</v>
      </c>
      <c r="R3111" s="345" t="s">
        <v>223</v>
      </c>
      <c r="S3111" s="345" t="s">
        <v>224</v>
      </c>
    </row>
    <row r="3112" spans="1:19" x14ac:dyDescent="0.25">
      <c r="A3112" s="311"/>
      <c r="B3112" s="312"/>
      <c r="C3112" s="312"/>
      <c r="D3112" s="312"/>
      <c r="E3112" s="312"/>
      <c r="F3112" s="312"/>
      <c r="G3112" s="328"/>
      <c r="H3112" s="337"/>
      <c r="I3112" s="334"/>
      <c r="J3112" s="314"/>
      <c r="K3112" s="449"/>
      <c r="M3112" s="349" t="str">
        <f>N3112&amp;AS[[#This Row],[Insurer Code]]&amp;"; "&amp;O3112&amp;AS[[#This Row],[Reporting Year]]&amp;"; "&amp;P3112&amp;AS[[#This Row],[Insurance Category Code]]&amp;"; "&amp;Q3112&amp;AS[[#This Row],[Large Provider Entity Code]]&amp;"; "&amp;R3112&amp;AS[[#This Row],[Age Band Code]]&amp;"; "&amp;S3112&amp;AS[[#This Row],[Sex Code]]</f>
        <v xml:space="preserve">Insurer Code ; Reporting Year ; Insurance Category Code ; Large Provider Entity Code ; Age Band Code ; Sex Code </v>
      </c>
      <c r="N3112" s="345" t="s">
        <v>207</v>
      </c>
      <c r="O3112" s="345" t="s">
        <v>208</v>
      </c>
      <c r="P3112" s="345" t="s">
        <v>209</v>
      </c>
      <c r="Q3112" s="345" t="s">
        <v>210</v>
      </c>
      <c r="R3112" s="345" t="s">
        <v>223</v>
      </c>
      <c r="S3112" s="345" t="s">
        <v>224</v>
      </c>
    </row>
    <row r="3113" spans="1:19" x14ac:dyDescent="0.25">
      <c r="A3113" s="311"/>
      <c r="B3113" s="312"/>
      <c r="C3113" s="312"/>
      <c r="D3113" s="312"/>
      <c r="E3113" s="312"/>
      <c r="F3113" s="312"/>
      <c r="G3113" s="328"/>
      <c r="H3113" s="337"/>
      <c r="I3113" s="334"/>
      <c r="J3113" s="314"/>
      <c r="K3113" s="449"/>
      <c r="M3113" s="349" t="str">
        <f>N3113&amp;AS[[#This Row],[Insurer Code]]&amp;"; "&amp;O3113&amp;AS[[#This Row],[Reporting Year]]&amp;"; "&amp;P3113&amp;AS[[#This Row],[Insurance Category Code]]&amp;"; "&amp;Q3113&amp;AS[[#This Row],[Large Provider Entity Code]]&amp;"; "&amp;R3113&amp;AS[[#This Row],[Age Band Code]]&amp;"; "&amp;S3113&amp;AS[[#This Row],[Sex Code]]</f>
        <v xml:space="preserve">Insurer Code ; Reporting Year ; Insurance Category Code ; Large Provider Entity Code ; Age Band Code ; Sex Code </v>
      </c>
      <c r="N3113" s="345" t="s">
        <v>207</v>
      </c>
      <c r="O3113" s="345" t="s">
        <v>208</v>
      </c>
      <c r="P3113" s="345" t="s">
        <v>209</v>
      </c>
      <c r="Q3113" s="345" t="s">
        <v>210</v>
      </c>
      <c r="R3113" s="345" t="s">
        <v>223</v>
      </c>
      <c r="S3113" s="345" t="s">
        <v>224</v>
      </c>
    </row>
    <row r="3114" spans="1:19" x14ac:dyDescent="0.25">
      <c r="A3114" s="311"/>
      <c r="B3114" s="312"/>
      <c r="C3114" s="312"/>
      <c r="D3114" s="312"/>
      <c r="E3114" s="312"/>
      <c r="F3114" s="312"/>
      <c r="G3114" s="328"/>
      <c r="H3114" s="337"/>
      <c r="I3114" s="334"/>
      <c r="J3114" s="314"/>
      <c r="K3114" s="449"/>
      <c r="M3114" s="349" t="str">
        <f>N3114&amp;AS[[#This Row],[Insurer Code]]&amp;"; "&amp;O3114&amp;AS[[#This Row],[Reporting Year]]&amp;"; "&amp;P3114&amp;AS[[#This Row],[Insurance Category Code]]&amp;"; "&amp;Q3114&amp;AS[[#This Row],[Large Provider Entity Code]]&amp;"; "&amp;R3114&amp;AS[[#This Row],[Age Band Code]]&amp;"; "&amp;S3114&amp;AS[[#This Row],[Sex Code]]</f>
        <v xml:space="preserve">Insurer Code ; Reporting Year ; Insurance Category Code ; Large Provider Entity Code ; Age Band Code ; Sex Code </v>
      </c>
      <c r="N3114" s="345" t="s">
        <v>207</v>
      </c>
      <c r="O3114" s="345" t="s">
        <v>208</v>
      </c>
      <c r="P3114" s="345" t="s">
        <v>209</v>
      </c>
      <c r="Q3114" s="345" t="s">
        <v>210</v>
      </c>
      <c r="R3114" s="345" t="s">
        <v>223</v>
      </c>
      <c r="S3114" s="345" t="s">
        <v>224</v>
      </c>
    </row>
    <row r="3115" spans="1:19" x14ac:dyDescent="0.25">
      <c r="A3115" s="311"/>
      <c r="B3115" s="312"/>
      <c r="C3115" s="312"/>
      <c r="D3115" s="312"/>
      <c r="E3115" s="312"/>
      <c r="F3115" s="312"/>
      <c r="G3115" s="328"/>
      <c r="H3115" s="337"/>
      <c r="I3115" s="334"/>
      <c r="J3115" s="314"/>
      <c r="K3115" s="449"/>
      <c r="M3115" s="349" t="str">
        <f>N3115&amp;AS[[#This Row],[Insurer Code]]&amp;"; "&amp;O3115&amp;AS[[#This Row],[Reporting Year]]&amp;"; "&amp;P3115&amp;AS[[#This Row],[Insurance Category Code]]&amp;"; "&amp;Q3115&amp;AS[[#This Row],[Large Provider Entity Code]]&amp;"; "&amp;R3115&amp;AS[[#This Row],[Age Band Code]]&amp;"; "&amp;S3115&amp;AS[[#This Row],[Sex Code]]</f>
        <v xml:space="preserve">Insurer Code ; Reporting Year ; Insurance Category Code ; Large Provider Entity Code ; Age Band Code ; Sex Code </v>
      </c>
      <c r="N3115" s="345" t="s">
        <v>207</v>
      </c>
      <c r="O3115" s="345" t="s">
        <v>208</v>
      </c>
      <c r="P3115" s="345" t="s">
        <v>209</v>
      </c>
      <c r="Q3115" s="345" t="s">
        <v>210</v>
      </c>
      <c r="R3115" s="345" t="s">
        <v>223</v>
      </c>
      <c r="S3115" s="345" t="s">
        <v>224</v>
      </c>
    </row>
    <row r="3116" spans="1:19" x14ac:dyDescent="0.25">
      <c r="A3116" s="311"/>
      <c r="B3116" s="312"/>
      <c r="C3116" s="312"/>
      <c r="D3116" s="312"/>
      <c r="E3116" s="312"/>
      <c r="F3116" s="312"/>
      <c r="G3116" s="328"/>
      <c r="H3116" s="337"/>
      <c r="I3116" s="334"/>
      <c r="J3116" s="314"/>
      <c r="K3116" s="449"/>
      <c r="M3116" s="349" t="str">
        <f>N3116&amp;AS[[#This Row],[Insurer Code]]&amp;"; "&amp;O3116&amp;AS[[#This Row],[Reporting Year]]&amp;"; "&amp;P3116&amp;AS[[#This Row],[Insurance Category Code]]&amp;"; "&amp;Q3116&amp;AS[[#This Row],[Large Provider Entity Code]]&amp;"; "&amp;R3116&amp;AS[[#This Row],[Age Band Code]]&amp;"; "&amp;S3116&amp;AS[[#This Row],[Sex Code]]</f>
        <v xml:space="preserve">Insurer Code ; Reporting Year ; Insurance Category Code ; Large Provider Entity Code ; Age Band Code ; Sex Code </v>
      </c>
      <c r="N3116" s="345" t="s">
        <v>207</v>
      </c>
      <c r="O3116" s="345" t="s">
        <v>208</v>
      </c>
      <c r="P3116" s="345" t="s">
        <v>209</v>
      </c>
      <c r="Q3116" s="345" t="s">
        <v>210</v>
      </c>
      <c r="R3116" s="345" t="s">
        <v>223</v>
      </c>
      <c r="S3116" s="345" t="s">
        <v>224</v>
      </c>
    </row>
    <row r="3117" spans="1:19" x14ac:dyDescent="0.25">
      <c r="A3117" s="311"/>
      <c r="B3117" s="312"/>
      <c r="C3117" s="312"/>
      <c r="D3117" s="312"/>
      <c r="E3117" s="312"/>
      <c r="F3117" s="312"/>
      <c r="G3117" s="328"/>
      <c r="H3117" s="337"/>
      <c r="I3117" s="334"/>
      <c r="J3117" s="314"/>
      <c r="K3117" s="449"/>
      <c r="M3117" s="349" t="str">
        <f>N3117&amp;AS[[#This Row],[Insurer Code]]&amp;"; "&amp;O3117&amp;AS[[#This Row],[Reporting Year]]&amp;"; "&amp;P3117&amp;AS[[#This Row],[Insurance Category Code]]&amp;"; "&amp;Q3117&amp;AS[[#This Row],[Large Provider Entity Code]]&amp;"; "&amp;R3117&amp;AS[[#This Row],[Age Band Code]]&amp;"; "&amp;S3117&amp;AS[[#This Row],[Sex Code]]</f>
        <v xml:space="preserve">Insurer Code ; Reporting Year ; Insurance Category Code ; Large Provider Entity Code ; Age Band Code ; Sex Code </v>
      </c>
      <c r="N3117" s="345" t="s">
        <v>207</v>
      </c>
      <c r="O3117" s="345" t="s">
        <v>208</v>
      </c>
      <c r="P3117" s="345" t="s">
        <v>209</v>
      </c>
      <c r="Q3117" s="345" t="s">
        <v>210</v>
      </c>
      <c r="R3117" s="345" t="s">
        <v>223</v>
      </c>
      <c r="S3117" s="345" t="s">
        <v>224</v>
      </c>
    </row>
    <row r="3118" spans="1:19" x14ac:dyDescent="0.25">
      <c r="A3118" s="311"/>
      <c r="B3118" s="312"/>
      <c r="C3118" s="312"/>
      <c r="D3118" s="312"/>
      <c r="E3118" s="312"/>
      <c r="F3118" s="312"/>
      <c r="G3118" s="328"/>
      <c r="H3118" s="337"/>
      <c r="I3118" s="334"/>
      <c r="J3118" s="314"/>
      <c r="K3118" s="449"/>
      <c r="M3118" s="349" t="str">
        <f>N3118&amp;AS[[#This Row],[Insurer Code]]&amp;"; "&amp;O3118&amp;AS[[#This Row],[Reporting Year]]&amp;"; "&amp;P3118&amp;AS[[#This Row],[Insurance Category Code]]&amp;"; "&amp;Q3118&amp;AS[[#This Row],[Large Provider Entity Code]]&amp;"; "&amp;R3118&amp;AS[[#This Row],[Age Band Code]]&amp;"; "&amp;S3118&amp;AS[[#This Row],[Sex Code]]</f>
        <v xml:space="preserve">Insurer Code ; Reporting Year ; Insurance Category Code ; Large Provider Entity Code ; Age Band Code ; Sex Code </v>
      </c>
      <c r="N3118" s="345" t="s">
        <v>207</v>
      </c>
      <c r="O3118" s="345" t="s">
        <v>208</v>
      </c>
      <c r="P3118" s="345" t="s">
        <v>209</v>
      </c>
      <c r="Q3118" s="345" t="s">
        <v>210</v>
      </c>
      <c r="R3118" s="345" t="s">
        <v>223</v>
      </c>
      <c r="S3118" s="345" t="s">
        <v>224</v>
      </c>
    </row>
    <row r="3119" spans="1:19" x14ac:dyDescent="0.25">
      <c r="A3119" s="311"/>
      <c r="B3119" s="312"/>
      <c r="C3119" s="312"/>
      <c r="D3119" s="312"/>
      <c r="E3119" s="312"/>
      <c r="F3119" s="312"/>
      <c r="G3119" s="328"/>
      <c r="H3119" s="337"/>
      <c r="I3119" s="334"/>
      <c r="J3119" s="314"/>
      <c r="K3119" s="449"/>
      <c r="M3119" s="349" t="str">
        <f>N3119&amp;AS[[#This Row],[Insurer Code]]&amp;"; "&amp;O3119&amp;AS[[#This Row],[Reporting Year]]&amp;"; "&amp;P3119&amp;AS[[#This Row],[Insurance Category Code]]&amp;"; "&amp;Q3119&amp;AS[[#This Row],[Large Provider Entity Code]]&amp;"; "&amp;R3119&amp;AS[[#This Row],[Age Band Code]]&amp;"; "&amp;S3119&amp;AS[[#This Row],[Sex Code]]</f>
        <v xml:space="preserve">Insurer Code ; Reporting Year ; Insurance Category Code ; Large Provider Entity Code ; Age Band Code ; Sex Code </v>
      </c>
      <c r="N3119" s="345" t="s">
        <v>207</v>
      </c>
      <c r="O3119" s="345" t="s">
        <v>208</v>
      </c>
      <c r="P3119" s="345" t="s">
        <v>209</v>
      </c>
      <c r="Q3119" s="345" t="s">
        <v>210</v>
      </c>
      <c r="R3119" s="345" t="s">
        <v>223</v>
      </c>
      <c r="S3119" s="345" t="s">
        <v>224</v>
      </c>
    </row>
    <row r="3120" spans="1:19" x14ac:dyDescent="0.25">
      <c r="A3120" s="311"/>
      <c r="B3120" s="312"/>
      <c r="C3120" s="312"/>
      <c r="D3120" s="312"/>
      <c r="E3120" s="312"/>
      <c r="F3120" s="312"/>
      <c r="G3120" s="328"/>
      <c r="H3120" s="337"/>
      <c r="I3120" s="334"/>
      <c r="J3120" s="314"/>
      <c r="K3120" s="449"/>
      <c r="M3120" s="349" t="str">
        <f>N3120&amp;AS[[#This Row],[Insurer Code]]&amp;"; "&amp;O3120&amp;AS[[#This Row],[Reporting Year]]&amp;"; "&amp;P3120&amp;AS[[#This Row],[Insurance Category Code]]&amp;"; "&amp;Q3120&amp;AS[[#This Row],[Large Provider Entity Code]]&amp;"; "&amp;R3120&amp;AS[[#This Row],[Age Band Code]]&amp;"; "&amp;S3120&amp;AS[[#This Row],[Sex Code]]</f>
        <v xml:space="preserve">Insurer Code ; Reporting Year ; Insurance Category Code ; Large Provider Entity Code ; Age Band Code ; Sex Code </v>
      </c>
      <c r="N3120" s="345" t="s">
        <v>207</v>
      </c>
      <c r="O3120" s="345" t="s">
        <v>208</v>
      </c>
      <c r="P3120" s="345" t="s">
        <v>209</v>
      </c>
      <c r="Q3120" s="345" t="s">
        <v>210</v>
      </c>
      <c r="R3120" s="345" t="s">
        <v>223</v>
      </c>
      <c r="S3120" s="345" t="s">
        <v>224</v>
      </c>
    </row>
    <row r="3121" spans="1:19" x14ac:dyDescent="0.25">
      <c r="A3121" s="311"/>
      <c r="B3121" s="312"/>
      <c r="C3121" s="312"/>
      <c r="D3121" s="312"/>
      <c r="E3121" s="312"/>
      <c r="F3121" s="312"/>
      <c r="G3121" s="328"/>
      <c r="H3121" s="337"/>
      <c r="I3121" s="334"/>
      <c r="J3121" s="314"/>
      <c r="K3121" s="449"/>
      <c r="M3121" s="349" t="str">
        <f>N3121&amp;AS[[#This Row],[Insurer Code]]&amp;"; "&amp;O3121&amp;AS[[#This Row],[Reporting Year]]&amp;"; "&amp;P3121&amp;AS[[#This Row],[Insurance Category Code]]&amp;"; "&amp;Q3121&amp;AS[[#This Row],[Large Provider Entity Code]]&amp;"; "&amp;R3121&amp;AS[[#This Row],[Age Band Code]]&amp;"; "&amp;S3121&amp;AS[[#This Row],[Sex Code]]</f>
        <v xml:space="preserve">Insurer Code ; Reporting Year ; Insurance Category Code ; Large Provider Entity Code ; Age Band Code ; Sex Code </v>
      </c>
      <c r="N3121" s="345" t="s">
        <v>207</v>
      </c>
      <c r="O3121" s="345" t="s">
        <v>208</v>
      </c>
      <c r="P3121" s="345" t="s">
        <v>209</v>
      </c>
      <c r="Q3121" s="345" t="s">
        <v>210</v>
      </c>
      <c r="R3121" s="345" t="s">
        <v>223</v>
      </c>
      <c r="S3121" s="345" t="s">
        <v>224</v>
      </c>
    </row>
    <row r="3122" spans="1:19" x14ac:dyDescent="0.25">
      <c r="A3122" s="311"/>
      <c r="B3122" s="312"/>
      <c r="C3122" s="312"/>
      <c r="D3122" s="312"/>
      <c r="E3122" s="312"/>
      <c r="F3122" s="312"/>
      <c r="G3122" s="328"/>
      <c r="H3122" s="337"/>
      <c r="I3122" s="334"/>
      <c r="J3122" s="314"/>
      <c r="K3122" s="449"/>
      <c r="M3122" s="349" t="str">
        <f>N3122&amp;AS[[#This Row],[Insurer Code]]&amp;"; "&amp;O3122&amp;AS[[#This Row],[Reporting Year]]&amp;"; "&amp;P3122&amp;AS[[#This Row],[Insurance Category Code]]&amp;"; "&amp;Q3122&amp;AS[[#This Row],[Large Provider Entity Code]]&amp;"; "&amp;R3122&amp;AS[[#This Row],[Age Band Code]]&amp;"; "&amp;S3122&amp;AS[[#This Row],[Sex Code]]</f>
        <v xml:space="preserve">Insurer Code ; Reporting Year ; Insurance Category Code ; Large Provider Entity Code ; Age Band Code ; Sex Code </v>
      </c>
      <c r="N3122" s="345" t="s">
        <v>207</v>
      </c>
      <c r="O3122" s="345" t="s">
        <v>208</v>
      </c>
      <c r="P3122" s="345" t="s">
        <v>209</v>
      </c>
      <c r="Q3122" s="345" t="s">
        <v>210</v>
      </c>
      <c r="R3122" s="345" t="s">
        <v>223</v>
      </c>
      <c r="S3122" s="345" t="s">
        <v>224</v>
      </c>
    </row>
    <row r="3123" spans="1:19" x14ac:dyDescent="0.25">
      <c r="A3123" s="311"/>
      <c r="B3123" s="312"/>
      <c r="C3123" s="312"/>
      <c r="D3123" s="312"/>
      <c r="E3123" s="312"/>
      <c r="F3123" s="312"/>
      <c r="G3123" s="328"/>
      <c r="H3123" s="337"/>
      <c r="I3123" s="334"/>
      <c r="J3123" s="314"/>
      <c r="K3123" s="449"/>
      <c r="M3123" s="349" t="str">
        <f>N3123&amp;AS[[#This Row],[Insurer Code]]&amp;"; "&amp;O3123&amp;AS[[#This Row],[Reporting Year]]&amp;"; "&amp;P3123&amp;AS[[#This Row],[Insurance Category Code]]&amp;"; "&amp;Q3123&amp;AS[[#This Row],[Large Provider Entity Code]]&amp;"; "&amp;R3123&amp;AS[[#This Row],[Age Band Code]]&amp;"; "&amp;S3123&amp;AS[[#This Row],[Sex Code]]</f>
        <v xml:space="preserve">Insurer Code ; Reporting Year ; Insurance Category Code ; Large Provider Entity Code ; Age Band Code ; Sex Code </v>
      </c>
      <c r="N3123" s="345" t="s">
        <v>207</v>
      </c>
      <c r="O3123" s="345" t="s">
        <v>208</v>
      </c>
      <c r="P3123" s="345" t="s">
        <v>209</v>
      </c>
      <c r="Q3123" s="345" t="s">
        <v>210</v>
      </c>
      <c r="R3123" s="345" t="s">
        <v>223</v>
      </c>
      <c r="S3123" s="345" t="s">
        <v>224</v>
      </c>
    </row>
    <row r="3124" spans="1:19" x14ac:dyDescent="0.25">
      <c r="A3124" s="311"/>
      <c r="B3124" s="312"/>
      <c r="C3124" s="312"/>
      <c r="D3124" s="312"/>
      <c r="E3124" s="312"/>
      <c r="F3124" s="312"/>
      <c r="G3124" s="328"/>
      <c r="H3124" s="337"/>
      <c r="I3124" s="334"/>
      <c r="J3124" s="314"/>
      <c r="K3124" s="449"/>
      <c r="M3124" s="349" t="str">
        <f>N3124&amp;AS[[#This Row],[Insurer Code]]&amp;"; "&amp;O3124&amp;AS[[#This Row],[Reporting Year]]&amp;"; "&amp;P3124&amp;AS[[#This Row],[Insurance Category Code]]&amp;"; "&amp;Q3124&amp;AS[[#This Row],[Large Provider Entity Code]]&amp;"; "&amp;R3124&amp;AS[[#This Row],[Age Band Code]]&amp;"; "&amp;S3124&amp;AS[[#This Row],[Sex Code]]</f>
        <v xml:space="preserve">Insurer Code ; Reporting Year ; Insurance Category Code ; Large Provider Entity Code ; Age Band Code ; Sex Code </v>
      </c>
      <c r="N3124" s="345" t="s">
        <v>207</v>
      </c>
      <c r="O3124" s="345" t="s">
        <v>208</v>
      </c>
      <c r="P3124" s="345" t="s">
        <v>209</v>
      </c>
      <c r="Q3124" s="345" t="s">
        <v>210</v>
      </c>
      <c r="R3124" s="345" t="s">
        <v>223</v>
      </c>
      <c r="S3124" s="345" t="s">
        <v>224</v>
      </c>
    </row>
    <row r="3125" spans="1:19" x14ac:dyDescent="0.25">
      <c r="A3125" s="311"/>
      <c r="B3125" s="312"/>
      <c r="C3125" s="312"/>
      <c r="D3125" s="312"/>
      <c r="E3125" s="312"/>
      <c r="F3125" s="312"/>
      <c r="G3125" s="328"/>
      <c r="H3125" s="453"/>
      <c r="I3125" s="334"/>
      <c r="J3125" s="314"/>
      <c r="K3125" s="454"/>
      <c r="M3125" s="349" t="str">
        <f>N3125&amp;AS[[#This Row],[Insurer Code]]&amp;"; "&amp;O3125&amp;AS[[#This Row],[Reporting Year]]&amp;"; "&amp;P3125&amp;AS[[#This Row],[Insurance Category Code]]&amp;"; "&amp;Q3125&amp;AS[[#This Row],[Large Provider Entity Code]]&amp;"; "&amp;R3125&amp;AS[[#This Row],[Age Band Code]]&amp;"; "&amp;S3125&amp;AS[[#This Row],[Sex Code]]</f>
        <v xml:space="preserve">Insurer Code ; Reporting Year ; Insurance Category Code ; Large Provider Entity Code ; Age Band Code ; Sex Code </v>
      </c>
      <c r="N3125" s="345" t="s">
        <v>207</v>
      </c>
      <c r="O3125" s="345" t="s">
        <v>208</v>
      </c>
      <c r="P3125" s="345" t="s">
        <v>209</v>
      </c>
      <c r="Q3125" s="345" t="s">
        <v>210</v>
      </c>
      <c r="R3125" s="345" t="s">
        <v>223</v>
      </c>
      <c r="S3125" s="345" t="s">
        <v>224</v>
      </c>
    </row>
    <row r="3126" spans="1:19" x14ac:dyDescent="0.25">
      <c r="A3126" s="311"/>
      <c r="B3126" s="312"/>
      <c r="C3126" s="312"/>
      <c r="D3126" s="312"/>
      <c r="E3126" s="312"/>
      <c r="F3126" s="312"/>
      <c r="G3126" s="328"/>
      <c r="H3126" s="453"/>
      <c r="I3126" s="334"/>
      <c r="J3126" s="314"/>
      <c r="K3126" s="454"/>
      <c r="M3126" s="349" t="str">
        <f>N3126&amp;AS[[#This Row],[Insurer Code]]&amp;"; "&amp;O3126&amp;AS[[#This Row],[Reporting Year]]&amp;"; "&amp;P3126&amp;AS[[#This Row],[Insurance Category Code]]&amp;"; "&amp;Q3126&amp;AS[[#This Row],[Large Provider Entity Code]]&amp;"; "&amp;R3126&amp;AS[[#This Row],[Age Band Code]]&amp;"; "&amp;S3126&amp;AS[[#This Row],[Sex Code]]</f>
        <v xml:space="preserve">Insurer Code ; Reporting Year ; Insurance Category Code ; Large Provider Entity Code ; Age Band Code ; Sex Code </v>
      </c>
      <c r="N3126" s="345" t="s">
        <v>207</v>
      </c>
      <c r="O3126" s="345" t="s">
        <v>208</v>
      </c>
      <c r="P3126" s="345" t="s">
        <v>209</v>
      </c>
      <c r="Q3126" s="345" t="s">
        <v>210</v>
      </c>
      <c r="R3126" s="345" t="s">
        <v>223</v>
      </c>
      <c r="S3126" s="345" t="s">
        <v>224</v>
      </c>
    </row>
    <row r="3127" spans="1:19" x14ac:dyDescent="0.25">
      <c r="A3127" s="311"/>
      <c r="B3127" s="312"/>
      <c r="C3127" s="312"/>
      <c r="D3127" s="312"/>
      <c r="E3127" s="312"/>
      <c r="F3127" s="312"/>
      <c r="G3127" s="328"/>
      <c r="H3127" s="453"/>
      <c r="I3127" s="334"/>
      <c r="J3127" s="314"/>
      <c r="K3127" s="454"/>
      <c r="M3127" s="349" t="str">
        <f>N3127&amp;AS[[#This Row],[Insurer Code]]&amp;"; "&amp;O3127&amp;AS[[#This Row],[Reporting Year]]&amp;"; "&amp;P3127&amp;AS[[#This Row],[Insurance Category Code]]&amp;"; "&amp;Q3127&amp;AS[[#This Row],[Large Provider Entity Code]]&amp;"; "&amp;R3127&amp;AS[[#This Row],[Age Band Code]]&amp;"; "&amp;S3127&amp;AS[[#This Row],[Sex Code]]</f>
        <v xml:space="preserve">Insurer Code ; Reporting Year ; Insurance Category Code ; Large Provider Entity Code ; Age Band Code ; Sex Code </v>
      </c>
      <c r="N3127" s="345" t="s">
        <v>207</v>
      </c>
      <c r="O3127" s="345" t="s">
        <v>208</v>
      </c>
      <c r="P3127" s="345" t="s">
        <v>209</v>
      </c>
      <c r="Q3127" s="345" t="s">
        <v>210</v>
      </c>
      <c r="R3127" s="345" t="s">
        <v>223</v>
      </c>
      <c r="S3127" s="345" t="s">
        <v>224</v>
      </c>
    </row>
    <row r="3128" spans="1:19" x14ac:dyDescent="0.25">
      <c r="A3128" s="311"/>
      <c r="B3128" s="312"/>
      <c r="C3128" s="312"/>
      <c r="D3128" s="312"/>
      <c r="E3128" s="312"/>
      <c r="F3128" s="312"/>
      <c r="G3128" s="328"/>
      <c r="H3128" s="453"/>
      <c r="I3128" s="334"/>
      <c r="J3128" s="314"/>
      <c r="K3128" s="454"/>
      <c r="M3128" s="349" t="str">
        <f>N3128&amp;AS[[#This Row],[Insurer Code]]&amp;"; "&amp;O3128&amp;AS[[#This Row],[Reporting Year]]&amp;"; "&amp;P3128&amp;AS[[#This Row],[Insurance Category Code]]&amp;"; "&amp;Q3128&amp;AS[[#This Row],[Large Provider Entity Code]]&amp;"; "&amp;R3128&amp;AS[[#This Row],[Age Band Code]]&amp;"; "&amp;S3128&amp;AS[[#This Row],[Sex Code]]</f>
        <v xml:space="preserve">Insurer Code ; Reporting Year ; Insurance Category Code ; Large Provider Entity Code ; Age Band Code ; Sex Code </v>
      </c>
      <c r="N3128" s="345" t="s">
        <v>207</v>
      </c>
      <c r="O3128" s="345" t="s">
        <v>208</v>
      </c>
      <c r="P3128" s="345" t="s">
        <v>209</v>
      </c>
      <c r="Q3128" s="345" t="s">
        <v>210</v>
      </c>
      <c r="R3128" s="345" t="s">
        <v>223</v>
      </c>
      <c r="S3128" s="345" t="s">
        <v>224</v>
      </c>
    </row>
    <row r="3129" spans="1:19" x14ac:dyDescent="0.25">
      <c r="A3129" s="311"/>
      <c r="B3129" s="312"/>
      <c r="C3129" s="312"/>
      <c r="D3129" s="312"/>
      <c r="E3129" s="312"/>
      <c r="F3129" s="312"/>
      <c r="G3129" s="328"/>
      <c r="H3129" s="453"/>
      <c r="I3129" s="334"/>
      <c r="J3129" s="314"/>
      <c r="K3129" s="454"/>
      <c r="M3129" s="349" t="str">
        <f>N3129&amp;AS[[#This Row],[Insurer Code]]&amp;"; "&amp;O3129&amp;AS[[#This Row],[Reporting Year]]&amp;"; "&amp;P3129&amp;AS[[#This Row],[Insurance Category Code]]&amp;"; "&amp;Q3129&amp;AS[[#This Row],[Large Provider Entity Code]]&amp;"; "&amp;R3129&amp;AS[[#This Row],[Age Band Code]]&amp;"; "&amp;S3129&amp;AS[[#This Row],[Sex Code]]</f>
        <v xml:space="preserve">Insurer Code ; Reporting Year ; Insurance Category Code ; Large Provider Entity Code ; Age Band Code ; Sex Code </v>
      </c>
      <c r="N3129" s="345" t="s">
        <v>207</v>
      </c>
      <c r="O3129" s="345" t="s">
        <v>208</v>
      </c>
      <c r="P3129" s="345" t="s">
        <v>209</v>
      </c>
      <c r="Q3129" s="345" t="s">
        <v>210</v>
      </c>
      <c r="R3129" s="345" t="s">
        <v>223</v>
      </c>
      <c r="S3129" s="345" t="s">
        <v>224</v>
      </c>
    </row>
    <row r="3130" spans="1:19" x14ac:dyDescent="0.25">
      <c r="A3130" s="311"/>
      <c r="B3130" s="312"/>
      <c r="C3130" s="312"/>
      <c r="D3130" s="312"/>
      <c r="E3130" s="312"/>
      <c r="F3130" s="312"/>
      <c r="G3130" s="328"/>
      <c r="H3130" s="453"/>
      <c r="I3130" s="334"/>
      <c r="J3130" s="314"/>
      <c r="K3130" s="454"/>
      <c r="M3130" s="349" t="str">
        <f>N3130&amp;AS[[#This Row],[Insurer Code]]&amp;"; "&amp;O3130&amp;AS[[#This Row],[Reporting Year]]&amp;"; "&amp;P3130&amp;AS[[#This Row],[Insurance Category Code]]&amp;"; "&amp;Q3130&amp;AS[[#This Row],[Large Provider Entity Code]]&amp;"; "&amp;R3130&amp;AS[[#This Row],[Age Band Code]]&amp;"; "&amp;S3130&amp;AS[[#This Row],[Sex Code]]</f>
        <v xml:space="preserve">Insurer Code ; Reporting Year ; Insurance Category Code ; Large Provider Entity Code ; Age Band Code ; Sex Code </v>
      </c>
      <c r="N3130" s="345" t="s">
        <v>207</v>
      </c>
      <c r="O3130" s="345" t="s">
        <v>208</v>
      </c>
      <c r="P3130" s="345" t="s">
        <v>209</v>
      </c>
      <c r="Q3130" s="345" t="s">
        <v>210</v>
      </c>
      <c r="R3130" s="345" t="s">
        <v>223</v>
      </c>
      <c r="S3130" s="345" t="s">
        <v>224</v>
      </c>
    </row>
    <row r="3131" spans="1:19" x14ac:dyDescent="0.25">
      <c r="A3131" s="311"/>
      <c r="B3131" s="312"/>
      <c r="C3131" s="312"/>
      <c r="D3131" s="312"/>
      <c r="E3131" s="312"/>
      <c r="F3131" s="312"/>
      <c r="G3131" s="328"/>
      <c r="H3131" s="453"/>
      <c r="I3131" s="334"/>
      <c r="J3131" s="314"/>
      <c r="K3131" s="454"/>
      <c r="M3131" s="349" t="str">
        <f>N3131&amp;AS[[#This Row],[Insurer Code]]&amp;"; "&amp;O3131&amp;AS[[#This Row],[Reporting Year]]&amp;"; "&amp;P3131&amp;AS[[#This Row],[Insurance Category Code]]&amp;"; "&amp;Q3131&amp;AS[[#This Row],[Large Provider Entity Code]]&amp;"; "&amp;R3131&amp;AS[[#This Row],[Age Band Code]]&amp;"; "&amp;S3131&amp;AS[[#This Row],[Sex Code]]</f>
        <v xml:space="preserve">Insurer Code ; Reporting Year ; Insurance Category Code ; Large Provider Entity Code ; Age Band Code ; Sex Code </v>
      </c>
      <c r="N3131" s="345" t="s">
        <v>207</v>
      </c>
      <c r="O3131" s="345" t="s">
        <v>208</v>
      </c>
      <c r="P3131" s="345" t="s">
        <v>209</v>
      </c>
      <c r="Q3131" s="345" t="s">
        <v>210</v>
      </c>
      <c r="R3131" s="345" t="s">
        <v>223</v>
      </c>
      <c r="S3131" s="345" t="s">
        <v>224</v>
      </c>
    </row>
    <row r="3132" spans="1:19" x14ac:dyDescent="0.25">
      <c r="A3132" s="311"/>
      <c r="B3132" s="312"/>
      <c r="C3132" s="312"/>
      <c r="D3132" s="312"/>
      <c r="E3132" s="312"/>
      <c r="F3132" s="312"/>
      <c r="G3132" s="328"/>
      <c r="H3132" s="453"/>
      <c r="I3132" s="334"/>
      <c r="J3132" s="314"/>
      <c r="K3132" s="454"/>
      <c r="M3132" s="349" t="str">
        <f>N3132&amp;AS[[#This Row],[Insurer Code]]&amp;"; "&amp;O3132&amp;AS[[#This Row],[Reporting Year]]&amp;"; "&amp;P3132&amp;AS[[#This Row],[Insurance Category Code]]&amp;"; "&amp;Q3132&amp;AS[[#This Row],[Large Provider Entity Code]]&amp;"; "&amp;R3132&amp;AS[[#This Row],[Age Band Code]]&amp;"; "&amp;S3132&amp;AS[[#This Row],[Sex Code]]</f>
        <v xml:space="preserve">Insurer Code ; Reporting Year ; Insurance Category Code ; Large Provider Entity Code ; Age Band Code ; Sex Code </v>
      </c>
      <c r="N3132" s="345" t="s">
        <v>207</v>
      </c>
      <c r="O3132" s="345" t="s">
        <v>208</v>
      </c>
      <c r="P3132" s="345" t="s">
        <v>209</v>
      </c>
      <c r="Q3132" s="345" t="s">
        <v>210</v>
      </c>
      <c r="R3132" s="345" t="s">
        <v>223</v>
      </c>
      <c r="S3132" s="345" t="s">
        <v>224</v>
      </c>
    </row>
    <row r="3133" spans="1:19" x14ac:dyDescent="0.25">
      <c r="A3133" s="311"/>
      <c r="B3133" s="312"/>
      <c r="C3133" s="312"/>
      <c r="D3133" s="312"/>
      <c r="E3133" s="312"/>
      <c r="F3133" s="312"/>
      <c r="G3133" s="328"/>
      <c r="H3133" s="453"/>
      <c r="I3133" s="334"/>
      <c r="J3133" s="314"/>
      <c r="K3133" s="454"/>
      <c r="M3133" s="349" t="str">
        <f>N3133&amp;AS[[#This Row],[Insurer Code]]&amp;"; "&amp;O3133&amp;AS[[#This Row],[Reporting Year]]&amp;"; "&amp;P3133&amp;AS[[#This Row],[Insurance Category Code]]&amp;"; "&amp;Q3133&amp;AS[[#This Row],[Large Provider Entity Code]]&amp;"; "&amp;R3133&amp;AS[[#This Row],[Age Band Code]]&amp;"; "&amp;S3133&amp;AS[[#This Row],[Sex Code]]</f>
        <v xml:space="preserve">Insurer Code ; Reporting Year ; Insurance Category Code ; Large Provider Entity Code ; Age Band Code ; Sex Code </v>
      </c>
      <c r="N3133" s="345" t="s">
        <v>207</v>
      </c>
      <c r="O3133" s="345" t="s">
        <v>208</v>
      </c>
      <c r="P3133" s="345" t="s">
        <v>209</v>
      </c>
      <c r="Q3133" s="345" t="s">
        <v>210</v>
      </c>
      <c r="R3133" s="345" t="s">
        <v>223</v>
      </c>
      <c r="S3133" s="345" t="s">
        <v>224</v>
      </c>
    </row>
    <row r="3134" spans="1:19" x14ac:dyDescent="0.25">
      <c r="A3134" s="311"/>
      <c r="B3134" s="312"/>
      <c r="C3134" s="312"/>
      <c r="D3134" s="312"/>
      <c r="E3134" s="312"/>
      <c r="F3134" s="312"/>
      <c r="G3134" s="328"/>
      <c r="H3134" s="453"/>
      <c r="I3134" s="334"/>
      <c r="J3134" s="314"/>
      <c r="K3134" s="454"/>
      <c r="M3134" s="349" t="str">
        <f>N3134&amp;AS[[#This Row],[Insurer Code]]&amp;"; "&amp;O3134&amp;AS[[#This Row],[Reporting Year]]&amp;"; "&amp;P3134&amp;AS[[#This Row],[Insurance Category Code]]&amp;"; "&amp;Q3134&amp;AS[[#This Row],[Large Provider Entity Code]]&amp;"; "&amp;R3134&amp;AS[[#This Row],[Age Band Code]]&amp;"; "&amp;S3134&amp;AS[[#This Row],[Sex Code]]</f>
        <v xml:space="preserve">Insurer Code ; Reporting Year ; Insurance Category Code ; Large Provider Entity Code ; Age Band Code ; Sex Code </v>
      </c>
      <c r="N3134" s="345" t="s">
        <v>207</v>
      </c>
      <c r="O3134" s="345" t="s">
        <v>208</v>
      </c>
      <c r="P3134" s="345" t="s">
        <v>209</v>
      </c>
      <c r="Q3134" s="345" t="s">
        <v>210</v>
      </c>
      <c r="R3134" s="345" t="s">
        <v>223</v>
      </c>
      <c r="S3134" s="345" t="s">
        <v>224</v>
      </c>
    </row>
    <row r="3135" spans="1:19" x14ac:dyDescent="0.25">
      <c r="A3135" s="311"/>
      <c r="B3135" s="312"/>
      <c r="C3135" s="312"/>
      <c r="D3135" s="312"/>
      <c r="E3135" s="312"/>
      <c r="F3135" s="312"/>
      <c r="G3135" s="335"/>
      <c r="H3135" s="336"/>
      <c r="I3135" s="334"/>
      <c r="J3135" s="332"/>
      <c r="K3135" s="449"/>
      <c r="M3135" s="349" t="str">
        <f>N3135&amp;AS[[#This Row],[Insurer Code]]&amp;"; "&amp;O3135&amp;AS[[#This Row],[Reporting Year]]&amp;"; "&amp;P3135&amp;AS[[#This Row],[Insurance Category Code]]&amp;"; "&amp;Q3135&amp;AS[[#This Row],[Large Provider Entity Code]]&amp;"; "&amp;R3135&amp;AS[[#This Row],[Age Band Code]]&amp;"; "&amp;S3135&amp;AS[[#This Row],[Sex Code]]</f>
        <v xml:space="preserve">Insurer Code ; Reporting Year ; Insurance Category Code ; Large Provider Entity Code ; Age Band Code ; Sex Code </v>
      </c>
      <c r="N3135" s="345" t="s">
        <v>207</v>
      </c>
      <c r="O3135" s="345" t="s">
        <v>208</v>
      </c>
      <c r="P3135" s="345" t="s">
        <v>209</v>
      </c>
      <c r="Q3135" s="345" t="s">
        <v>210</v>
      </c>
      <c r="R3135" s="345" t="s">
        <v>223</v>
      </c>
      <c r="S3135" s="345" t="s">
        <v>224</v>
      </c>
    </row>
    <row r="3136" spans="1:19" x14ac:dyDescent="0.25">
      <c r="A3136" s="311"/>
      <c r="B3136" s="312"/>
      <c r="C3136" s="312"/>
      <c r="D3136" s="312"/>
      <c r="E3136" s="312"/>
      <c r="F3136" s="312"/>
      <c r="G3136" s="335"/>
      <c r="H3136" s="336"/>
      <c r="I3136" s="334"/>
      <c r="J3136" s="332"/>
      <c r="K3136" s="449"/>
      <c r="M3136" s="349" t="str">
        <f>N3136&amp;AS[[#This Row],[Insurer Code]]&amp;"; "&amp;O3136&amp;AS[[#This Row],[Reporting Year]]&amp;"; "&amp;P3136&amp;AS[[#This Row],[Insurance Category Code]]&amp;"; "&amp;Q3136&amp;AS[[#This Row],[Large Provider Entity Code]]&amp;"; "&amp;R3136&amp;AS[[#This Row],[Age Band Code]]&amp;"; "&amp;S3136&amp;AS[[#This Row],[Sex Code]]</f>
        <v xml:space="preserve">Insurer Code ; Reporting Year ; Insurance Category Code ; Large Provider Entity Code ; Age Band Code ; Sex Code </v>
      </c>
      <c r="N3136" s="345" t="s">
        <v>207</v>
      </c>
      <c r="O3136" s="345" t="s">
        <v>208</v>
      </c>
      <c r="P3136" s="345" t="s">
        <v>209</v>
      </c>
      <c r="Q3136" s="345" t="s">
        <v>210</v>
      </c>
      <c r="R3136" s="345" t="s">
        <v>223</v>
      </c>
      <c r="S3136" s="345" t="s">
        <v>224</v>
      </c>
    </row>
    <row r="3137" spans="1:19" x14ac:dyDescent="0.25">
      <c r="A3137" s="311"/>
      <c r="B3137" s="312"/>
      <c r="C3137" s="312"/>
      <c r="D3137" s="312"/>
      <c r="E3137" s="312"/>
      <c r="F3137" s="312"/>
      <c r="G3137" s="313"/>
      <c r="H3137" s="336"/>
      <c r="I3137" s="334"/>
      <c r="J3137" s="332"/>
      <c r="K3137" s="449"/>
      <c r="M3137" s="349" t="str">
        <f>N3137&amp;AS[[#This Row],[Insurer Code]]&amp;"; "&amp;O3137&amp;AS[[#This Row],[Reporting Year]]&amp;"; "&amp;P3137&amp;AS[[#This Row],[Insurance Category Code]]&amp;"; "&amp;Q3137&amp;AS[[#This Row],[Large Provider Entity Code]]&amp;"; "&amp;R3137&amp;AS[[#This Row],[Age Band Code]]&amp;"; "&amp;S3137&amp;AS[[#This Row],[Sex Code]]</f>
        <v xml:space="preserve">Insurer Code ; Reporting Year ; Insurance Category Code ; Large Provider Entity Code ; Age Band Code ; Sex Code </v>
      </c>
      <c r="N3137" s="345" t="s">
        <v>207</v>
      </c>
      <c r="O3137" s="345" t="s">
        <v>208</v>
      </c>
      <c r="P3137" s="345" t="s">
        <v>209</v>
      </c>
      <c r="Q3137" s="345" t="s">
        <v>210</v>
      </c>
      <c r="R3137" s="345" t="s">
        <v>223</v>
      </c>
      <c r="S3137" s="345" t="s">
        <v>224</v>
      </c>
    </row>
    <row r="3138" spans="1:19" x14ac:dyDescent="0.25">
      <c r="A3138" s="311"/>
      <c r="B3138" s="312"/>
      <c r="C3138" s="312"/>
      <c r="D3138" s="312"/>
      <c r="E3138" s="312"/>
      <c r="F3138" s="312"/>
      <c r="G3138" s="335"/>
      <c r="H3138" s="336"/>
      <c r="I3138" s="334"/>
      <c r="J3138" s="332"/>
      <c r="K3138" s="449"/>
      <c r="M3138" s="349" t="str">
        <f>N3138&amp;AS[[#This Row],[Insurer Code]]&amp;"; "&amp;O3138&amp;AS[[#This Row],[Reporting Year]]&amp;"; "&amp;P3138&amp;AS[[#This Row],[Insurance Category Code]]&amp;"; "&amp;Q3138&amp;AS[[#This Row],[Large Provider Entity Code]]&amp;"; "&amp;R3138&amp;AS[[#This Row],[Age Band Code]]&amp;"; "&amp;S3138&amp;AS[[#This Row],[Sex Code]]</f>
        <v xml:space="preserve">Insurer Code ; Reporting Year ; Insurance Category Code ; Large Provider Entity Code ; Age Band Code ; Sex Code </v>
      </c>
      <c r="N3138" s="345" t="s">
        <v>207</v>
      </c>
      <c r="O3138" s="345" t="s">
        <v>208</v>
      </c>
      <c r="P3138" s="345" t="s">
        <v>209</v>
      </c>
      <c r="Q3138" s="345" t="s">
        <v>210</v>
      </c>
      <c r="R3138" s="345" t="s">
        <v>223</v>
      </c>
      <c r="S3138" s="345" t="s">
        <v>224</v>
      </c>
    </row>
    <row r="3139" spans="1:19" x14ac:dyDescent="0.25">
      <c r="A3139" s="311"/>
      <c r="B3139" s="312"/>
      <c r="C3139" s="312"/>
      <c r="D3139" s="312"/>
      <c r="E3139" s="312"/>
      <c r="F3139" s="312"/>
      <c r="G3139" s="313"/>
      <c r="H3139" s="336"/>
      <c r="I3139" s="334"/>
      <c r="J3139" s="332"/>
      <c r="K3139" s="449"/>
      <c r="M3139" s="349" t="str">
        <f>N3139&amp;AS[[#This Row],[Insurer Code]]&amp;"; "&amp;O3139&amp;AS[[#This Row],[Reporting Year]]&amp;"; "&amp;P3139&amp;AS[[#This Row],[Insurance Category Code]]&amp;"; "&amp;Q3139&amp;AS[[#This Row],[Large Provider Entity Code]]&amp;"; "&amp;R3139&amp;AS[[#This Row],[Age Band Code]]&amp;"; "&amp;S3139&amp;AS[[#This Row],[Sex Code]]</f>
        <v xml:space="preserve">Insurer Code ; Reporting Year ; Insurance Category Code ; Large Provider Entity Code ; Age Band Code ; Sex Code </v>
      </c>
      <c r="N3139" s="345" t="s">
        <v>207</v>
      </c>
      <c r="O3139" s="345" t="s">
        <v>208</v>
      </c>
      <c r="P3139" s="345" t="s">
        <v>209</v>
      </c>
      <c r="Q3139" s="345" t="s">
        <v>210</v>
      </c>
      <c r="R3139" s="345" t="s">
        <v>223</v>
      </c>
      <c r="S3139" s="345" t="s">
        <v>224</v>
      </c>
    </row>
    <row r="3140" spans="1:19" x14ac:dyDescent="0.25">
      <c r="A3140" s="311"/>
      <c r="B3140" s="312"/>
      <c r="C3140" s="312"/>
      <c r="D3140" s="312"/>
      <c r="E3140" s="312"/>
      <c r="F3140" s="312"/>
      <c r="G3140" s="335"/>
      <c r="H3140" s="336"/>
      <c r="I3140" s="334"/>
      <c r="J3140" s="332"/>
      <c r="K3140" s="449"/>
      <c r="M3140" s="349" t="str">
        <f>N3140&amp;AS[[#This Row],[Insurer Code]]&amp;"; "&amp;O3140&amp;AS[[#This Row],[Reporting Year]]&amp;"; "&amp;P3140&amp;AS[[#This Row],[Insurance Category Code]]&amp;"; "&amp;Q3140&amp;AS[[#This Row],[Large Provider Entity Code]]&amp;"; "&amp;R3140&amp;AS[[#This Row],[Age Band Code]]&amp;"; "&amp;S3140&amp;AS[[#This Row],[Sex Code]]</f>
        <v xml:space="preserve">Insurer Code ; Reporting Year ; Insurance Category Code ; Large Provider Entity Code ; Age Band Code ; Sex Code </v>
      </c>
      <c r="N3140" s="345" t="s">
        <v>207</v>
      </c>
      <c r="O3140" s="345" t="s">
        <v>208</v>
      </c>
      <c r="P3140" s="345" t="s">
        <v>209</v>
      </c>
      <c r="Q3140" s="345" t="s">
        <v>210</v>
      </c>
      <c r="R3140" s="345" t="s">
        <v>223</v>
      </c>
      <c r="S3140" s="345" t="s">
        <v>224</v>
      </c>
    </row>
    <row r="3141" spans="1:19" x14ac:dyDescent="0.25">
      <c r="A3141" s="311"/>
      <c r="B3141" s="312"/>
      <c r="C3141" s="312"/>
      <c r="D3141" s="312"/>
      <c r="E3141" s="333"/>
      <c r="F3141" s="333"/>
      <c r="G3141" s="313"/>
      <c r="H3141" s="314"/>
      <c r="I3141" s="334"/>
      <c r="J3141" s="314"/>
      <c r="K3141" s="449"/>
      <c r="M3141" s="349" t="str">
        <f>N3141&amp;AS[[#This Row],[Insurer Code]]&amp;"; "&amp;O3141&amp;AS[[#This Row],[Reporting Year]]&amp;"; "&amp;P3141&amp;AS[[#This Row],[Insurance Category Code]]&amp;"; "&amp;Q3141&amp;AS[[#This Row],[Large Provider Entity Code]]&amp;"; "&amp;R3141&amp;AS[[#This Row],[Age Band Code]]&amp;"; "&amp;S3141&amp;AS[[#This Row],[Sex Code]]</f>
        <v xml:space="preserve">Insurer Code ; Reporting Year ; Insurance Category Code ; Large Provider Entity Code ; Age Band Code ; Sex Code </v>
      </c>
      <c r="N3141" s="345" t="s">
        <v>207</v>
      </c>
      <c r="O3141" s="345" t="s">
        <v>208</v>
      </c>
      <c r="P3141" s="345" t="s">
        <v>209</v>
      </c>
      <c r="Q3141" s="345" t="s">
        <v>210</v>
      </c>
      <c r="R3141" s="345" t="s">
        <v>223</v>
      </c>
      <c r="S3141" s="345" t="s">
        <v>224</v>
      </c>
    </row>
    <row r="3142" spans="1:19" x14ac:dyDescent="0.25">
      <c r="A3142" s="311"/>
      <c r="B3142" s="312"/>
      <c r="C3142" s="312"/>
      <c r="D3142" s="312"/>
      <c r="E3142" s="333"/>
      <c r="F3142" s="333"/>
      <c r="G3142" s="313"/>
      <c r="H3142" s="314"/>
      <c r="I3142" s="334"/>
      <c r="J3142" s="314"/>
      <c r="K3142" s="449"/>
      <c r="M3142" s="349" t="str">
        <f>N3142&amp;AS[[#This Row],[Insurer Code]]&amp;"; "&amp;O3142&amp;AS[[#This Row],[Reporting Year]]&amp;"; "&amp;P3142&amp;AS[[#This Row],[Insurance Category Code]]&amp;"; "&amp;Q3142&amp;AS[[#This Row],[Large Provider Entity Code]]&amp;"; "&amp;R3142&amp;AS[[#This Row],[Age Band Code]]&amp;"; "&amp;S3142&amp;AS[[#This Row],[Sex Code]]</f>
        <v xml:space="preserve">Insurer Code ; Reporting Year ; Insurance Category Code ; Large Provider Entity Code ; Age Band Code ; Sex Code </v>
      </c>
      <c r="N3142" s="345" t="s">
        <v>207</v>
      </c>
      <c r="O3142" s="345" t="s">
        <v>208</v>
      </c>
      <c r="P3142" s="345" t="s">
        <v>209</v>
      </c>
      <c r="Q3142" s="345" t="s">
        <v>210</v>
      </c>
      <c r="R3142" s="345" t="s">
        <v>223</v>
      </c>
      <c r="S3142" s="345" t="s">
        <v>224</v>
      </c>
    </row>
    <row r="3143" spans="1:19" x14ac:dyDescent="0.25">
      <c r="A3143" s="311"/>
      <c r="B3143" s="312"/>
      <c r="C3143" s="312"/>
      <c r="D3143" s="312"/>
      <c r="E3143" s="333"/>
      <c r="F3143" s="333"/>
      <c r="G3143" s="313"/>
      <c r="H3143" s="314"/>
      <c r="I3143" s="334"/>
      <c r="J3143" s="314"/>
      <c r="K3143" s="449"/>
      <c r="M3143" s="349" t="str">
        <f>N3143&amp;AS[[#This Row],[Insurer Code]]&amp;"; "&amp;O3143&amp;AS[[#This Row],[Reporting Year]]&amp;"; "&amp;P3143&amp;AS[[#This Row],[Insurance Category Code]]&amp;"; "&amp;Q3143&amp;AS[[#This Row],[Large Provider Entity Code]]&amp;"; "&amp;R3143&amp;AS[[#This Row],[Age Band Code]]&amp;"; "&amp;S3143&amp;AS[[#This Row],[Sex Code]]</f>
        <v xml:space="preserve">Insurer Code ; Reporting Year ; Insurance Category Code ; Large Provider Entity Code ; Age Band Code ; Sex Code </v>
      </c>
      <c r="N3143" s="345" t="s">
        <v>207</v>
      </c>
      <c r="O3143" s="345" t="s">
        <v>208</v>
      </c>
      <c r="P3143" s="345" t="s">
        <v>209</v>
      </c>
      <c r="Q3143" s="345" t="s">
        <v>210</v>
      </c>
      <c r="R3143" s="345" t="s">
        <v>223</v>
      </c>
      <c r="S3143" s="345" t="s">
        <v>224</v>
      </c>
    </row>
    <row r="3144" spans="1:19" x14ac:dyDescent="0.25">
      <c r="A3144" s="311"/>
      <c r="B3144" s="312"/>
      <c r="C3144" s="312"/>
      <c r="D3144" s="312"/>
      <c r="E3144" s="333"/>
      <c r="F3144" s="333"/>
      <c r="G3144" s="313"/>
      <c r="H3144" s="314"/>
      <c r="I3144" s="334"/>
      <c r="J3144" s="314"/>
      <c r="K3144" s="449"/>
      <c r="M3144" s="349" t="str">
        <f>N3144&amp;AS[[#This Row],[Insurer Code]]&amp;"; "&amp;O3144&amp;AS[[#This Row],[Reporting Year]]&amp;"; "&amp;P3144&amp;AS[[#This Row],[Insurance Category Code]]&amp;"; "&amp;Q3144&amp;AS[[#This Row],[Large Provider Entity Code]]&amp;"; "&amp;R3144&amp;AS[[#This Row],[Age Band Code]]&amp;"; "&amp;S3144&amp;AS[[#This Row],[Sex Code]]</f>
        <v xml:space="preserve">Insurer Code ; Reporting Year ; Insurance Category Code ; Large Provider Entity Code ; Age Band Code ; Sex Code </v>
      </c>
      <c r="N3144" s="345" t="s">
        <v>207</v>
      </c>
      <c r="O3144" s="345" t="s">
        <v>208</v>
      </c>
      <c r="P3144" s="345" t="s">
        <v>209</v>
      </c>
      <c r="Q3144" s="345" t="s">
        <v>210</v>
      </c>
      <c r="R3144" s="345" t="s">
        <v>223</v>
      </c>
      <c r="S3144" s="345" t="s">
        <v>224</v>
      </c>
    </row>
    <row r="3145" spans="1:19" x14ac:dyDescent="0.25">
      <c r="A3145" s="311"/>
      <c r="B3145" s="312"/>
      <c r="C3145" s="312"/>
      <c r="D3145" s="312"/>
      <c r="E3145" s="333"/>
      <c r="F3145" s="333"/>
      <c r="G3145" s="313"/>
      <c r="H3145" s="314"/>
      <c r="I3145" s="334"/>
      <c r="J3145" s="314"/>
      <c r="K3145" s="449"/>
      <c r="M3145" s="349" t="str">
        <f>N3145&amp;AS[[#This Row],[Insurer Code]]&amp;"; "&amp;O3145&amp;AS[[#This Row],[Reporting Year]]&amp;"; "&amp;P3145&amp;AS[[#This Row],[Insurance Category Code]]&amp;"; "&amp;Q3145&amp;AS[[#This Row],[Large Provider Entity Code]]&amp;"; "&amp;R3145&amp;AS[[#This Row],[Age Band Code]]&amp;"; "&amp;S3145&amp;AS[[#This Row],[Sex Code]]</f>
        <v xml:space="preserve">Insurer Code ; Reporting Year ; Insurance Category Code ; Large Provider Entity Code ; Age Band Code ; Sex Code </v>
      </c>
      <c r="N3145" s="345" t="s">
        <v>207</v>
      </c>
      <c r="O3145" s="345" t="s">
        <v>208</v>
      </c>
      <c r="P3145" s="345" t="s">
        <v>209</v>
      </c>
      <c r="Q3145" s="345" t="s">
        <v>210</v>
      </c>
      <c r="R3145" s="345" t="s">
        <v>223</v>
      </c>
      <c r="S3145" s="345" t="s">
        <v>224</v>
      </c>
    </row>
    <row r="3146" spans="1:19" x14ac:dyDescent="0.25">
      <c r="A3146" s="311"/>
      <c r="B3146" s="312"/>
      <c r="C3146" s="312"/>
      <c r="D3146" s="312"/>
      <c r="E3146" s="312"/>
      <c r="F3146" s="312"/>
      <c r="G3146" s="328"/>
      <c r="H3146" s="337"/>
      <c r="I3146" s="334"/>
      <c r="J3146" s="314"/>
      <c r="K3146" s="449"/>
      <c r="M3146" s="349" t="str">
        <f>N3146&amp;AS[[#This Row],[Insurer Code]]&amp;"; "&amp;O3146&amp;AS[[#This Row],[Reporting Year]]&amp;"; "&amp;P3146&amp;AS[[#This Row],[Insurance Category Code]]&amp;"; "&amp;Q3146&amp;AS[[#This Row],[Large Provider Entity Code]]&amp;"; "&amp;R3146&amp;AS[[#This Row],[Age Band Code]]&amp;"; "&amp;S3146&amp;AS[[#This Row],[Sex Code]]</f>
        <v xml:space="preserve">Insurer Code ; Reporting Year ; Insurance Category Code ; Large Provider Entity Code ; Age Band Code ; Sex Code </v>
      </c>
      <c r="N3146" s="345" t="s">
        <v>207</v>
      </c>
      <c r="O3146" s="345" t="s">
        <v>208</v>
      </c>
      <c r="P3146" s="345" t="s">
        <v>209</v>
      </c>
      <c r="Q3146" s="345" t="s">
        <v>210</v>
      </c>
      <c r="R3146" s="345" t="s">
        <v>223</v>
      </c>
      <c r="S3146" s="345" t="s">
        <v>224</v>
      </c>
    </row>
    <row r="3147" spans="1:19" x14ac:dyDescent="0.25">
      <c r="A3147" s="311"/>
      <c r="B3147" s="312"/>
      <c r="C3147" s="312"/>
      <c r="D3147" s="312"/>
      <c r="E3147" s="312"/>
      <c r="F3147" s="312"/>
      <c r="G3147" s="328"/>
      <c r="H3147" s="337"/>
      <c r="I3147" s="334"/>
      <c r="J3147" s="314"/>
      <c r="K3147" s="449"/>
      <c r="M3147" s="349" t="str">
        <f>N3147&amp;AS[[#This Row],[Insurer Code]]&amp;"; "&amp;O3147&amp;AS[[#This Row],[Reporting Year]]&amp;"; "&amp;P3147&amp;AS[[#This Row],[Insurance Category Code]]&amp;"; "&amp;Q3147&amp;AS[[#This Row],[Large Provider Entity Code]]&amp;"; "&amp;R3147&amp;AS[[#This Row],[Age Band Code]]&amp;"; "&amp;S3147&amp;AS[[#This Row],[Sex Code]]</f>
        <v xml:space="preserve">Insurer Code ; Reporting Year ; Insurance Category Code ; Large Provider Entity Code ; Age Band Code ; Sex Code </v>
      </c>
      <c r="N3147" s="345" t="s">
        <v>207</v>
      </c>
      <c r="O3147" s="345" t="s">
        <v>208</v>
      </c>
      <c r="P3147" s="345" t="s">
        <v>209</v>
      </c>
      <c r="Q3147" s="345" t="s">
        <v>210</v>
      </c>
      <c r="R3147" s="345" t="s">
        <v>223</v>
      </c>
      <c r="S3147" s="345" t="s">
        <v>224</v>
      </c>
    </row>
    <row r="3148" spans="1:19" x14ac:dyDescent="0.25">
      <c r="A3148" s="311"/>
      <c r="B3148" s="312"/>
      <c r="C3148" s="312"/>
      <c r="D3148" s="312"/>
      <c r="E3148" s="312"/>
      <c r="F3148" s="312"/>
      <c r="G3148" s="328"/>
      <c r="H3148" s="337"/>
      <c r="I3148" s="334"/>
      <c r="J3148" s="314"/>
      <c r="K3148" s="449"/>
      <c r="M3148" s="349" t="str">
        <f>N3148&amp;AS[[#This Row],[Insurer Code]]&amp;"; "&amp;O3148&amp;AS[[#This Row],[Reporting Year]]&amp;"; "&amp;P3148&amp;AS[[#This Row],[Insurance Category Code]]&amp;"; "&amp;Q3148&amp;AS[[#This Row],[Large Provider Entity Code]]&amp;"; "&amp;R3148&amp;AS[[#This Row],[Age Band Code]]&amp;"; "&amp;S3148&amp;AS[[#This Row],[Sex Code]]</f>
        <v xml:space="preserve">Insurer Code ; Reporting Year ; Insurance Category Code ; Large Provider Entity Code ; Age Band Code ; Sex Code </v>
      </c>
      <c r="N3148" s="345" t="s">
        <v>207</v>
      </c>
      <c r="O3148" s="345" t="s">
        <v>208</v>
      </c>
      <c r="P3148" s="345" t="s">
        <v>209</v>
      </c>
      <c r="Q3148" s="345" t="s">
        <v>210</v>
      </c>
      <c r="R3148" s="345" t="s">
        <v>223</v>
      </c>
      <c r="S3148" s="345" t="s">
        <v>224</v>
      </c>
    </row>
    <row r="3149" spans="1:19" x14ac:dyDescent="0.25">
      <c r="A3149" s="311"/>
      <c r="B3149" s="312"/>
      <c r="C3149" s="312"/>
      <c r="D3149" s="312"/>
      <c r="E3149" s="312"/>
      <c r="F3149" s="312"/>
      <c r="G3149" s="328"/>
      <c r="H3149" s="337"/>
      <c r="I3149" s="334"/>
      <c r="J3149" s="314"/>
      <c r="K3149" s="449"/>
      <c r="M3149" s="349" t="str">
        <f>N3149&amp;AS[[#This Row],[Insurer Code]]&amp;"; "&amp;O3149&amp;AS[[#This Row],[Reporting Year]]&amp;"; "&amp;P3149&amp;AS[[#This Row],[Insurance Category Code]]&amp;"; "&amp;Q3149&amp;AS[[#This Row],[Large Provider Entity Code]]&amp;"; "&amp;R3149&amp;AS[[#This Row],[Age Band Code]]&amp;"; "&amp;S3149&amp;AS[[#This Row],[Sex Code]]</f>
        <v xml:space="preserve">Insurer Code ; Reporting Year ; Insurance Category Code ; Large Provider Entity Code ; Age Band Code ; Sex Code </v>
      </c>
      <c r="N3149" s="345" t="s">
        <v>207</v>
      </c>
      <c r="O3149" s="345" t="s">
        <v>208</v>
      </c>
      <c r="P3149" s="345" t="s">
        <v>209</v>
      </c>
      <c r="Q3149" s="345" t="s">
        <v>210</v>
      </c>
      <c r="R3149" s="345" t="s">
        <v>223</v>
      </c>
      <c r="S3149" s="345" t="s">
        <v>224</v>
      </c>
    </row>
    <row r="3150" spans="1:19" x14ac:dyDescent="0.25">
      <c r="A3150" s="311"/>
      <c r="B3150" s="312"/>
      <c r="C3150" s="312"/>
      <c r="D3150" s="312"/>
      <c r="E3150" s="312"/>
      <c r="F3150" s="312"/>
      <c r="G3150" s="328"/>
      <c r="H3150" s="337"/>
      <c r="I3150" s="334"/>
      <c r="J3150" s="314"/>
      <c r="K3150" s="449"/>
      <c r="M3150" s="349" t="str">
        <f>N3150&amp;AS[[#This Row],[Insurer Code]]&amp;"; "&amp;O3150&amp;AS[[#This Row],[Reporting Year]]&amp;"; "&amp;P3150&amp;AS[[#This Row],[Insurance Category Code]]&amp;"; "&amp;Q3150&amp;AS[[#This Row],[Large Provider Entity Code]]&amp;"; "&amp;R3150&amp;AS[[#This Row],[Age Band Code]]&amp;"; "&amp;S3150&amp;AS[[#This Row],[Sex Code]]</f>
        <v xml:space="preserve">Insurer Code ; Reporting Year ; Insurance Category Code ; Large Provider Entity Code ; Age Band Code ; Sex Code </v>
      </c>
      <c r="N3150" s="345" t="s">
        <v>207</v>
      </c>
      <c r="O3150" s="345" t="s">
        <v>208</v>
      </c>
      <c r="P3150" s="345" t="s">
        <v>209</v>
      </c>
      <c r="Q3150" s="345" t="s">
        <v>210</v>
      </c>
      <c r="R3150" s="345" t="s">
        <v>223</v>
      </c>
      <c r="S3150" s="345" t="s">
        <v>224</v>
      </c>
    </row>
    <row r="3151" spans="1:19" x14ac:dyDescent="0.25">
      <c r="A3151" s="311"/>
      <c r="B3151" s="312"/>
      <c r="C3151" s="312"/>
      <c r="D3151" s="312"/>
      <c r="E3151" s="312"/>
      <c r="F3151" s="312"/>
      <c r="G3151" s="328"/>
      <c r="H3151" s="337"/>
      <c r="I3151" s="334"/>
      <c r="J3151" s="314"/>
      <c r="K3151" s="449"/>
      <c r="M3151" s="349" t="str">
        <f>N3151&amp;AS[[#This Row],[Insurer Code]]&amp;"; "&amp;O3151&amp;AS[[#This Row],[Reporting Year]]&amp;"; "&amp;P3151&amp;AS[[#This Row],[Insurance Category Code]]&amp;"; "&amp;Q3151&amp;AS[[#This Row],[Large Provider Entity Code]]&amp;"; "&amp;R3151&amp;AS[[#This Row],[Age Band Code]]&amp;"; "&amp;S3151&amp;AS[[#This Row],[Sex Code]]</f>
        <v xml:space="preserve">Insurer Code ; Reporting Year ; Insurance Category Code ; Large Provider Entity Code ; Age Band Code ; Sex Code </v>
      </c>
      <c r="N3151" s="345" t="s">
        <v>207</v>
      </c>
      <c r="O3151" s="345" t="s">
        <v>208</v>
      </c>
      <c r="P3151" s="345" t="s">
        <v>209</v>
      </c>
      <c r="Q3151" s="345" t="s">
        <v>210</v>
      </c>
      <c r="R3151" s="345" t="s">
        <v>223</v>
      </c>
      <c r="S3151" s="345" t="s">
        <v>224</v>
      </c>
    </row>
    <row r="3152" spans="1:19" x14ac:dyDescent="0.25">
      <c r="A3152" s="311"/>
      <c r="B3152" s="312"/>
      <c r="C3152" s="312"/>
      <c r="D3152" s="312"/>
      <c r="E3152" s="312"/>
      <c r="F3152" s="312"/>
      <c r="G3152" s="328"/>
      <c r="H3152" s="337"/>
      <c r="I3152" s="334"/>
      <c r="J3152" s="314"/>
      <c r="K3152" s="449"/>
      <c r="M3152" s="349" t="str">
        <f>N3152&amp;AS[[#This Row],[Insurer Code]]&amp;"; "&amp;O3152&amp;AS[[#This Row],[Reporting Year]]&amp;"; "&amp;P3152&amp;AS[[#This Row],[Insurance Category Code]]&amp;"; "&amp;Q3152&amp;AS[[#This Row],[Large Provider Entity Code]]&amp;"; "&amp;R3152&amp;AS[[#This Row],[Age Band Code]]&amp;"; "&amp;S3152&amp;AS[[#This Row],[Sex Code]]</f>
        <v xml:space="preserve">Insurer Code ; Reporting Year ; Insurance Category Code ; Large Provider Entity Code ; Age Band Code ; Sex Code </v>
      </c>
      <c r="N3152" s="345" t="s">
        <v>207</v>
      </c>
      <c r="O3152" s="345" t="s">
        <v>208</v>
      </c>
      <c r="P3152" s="345" t="s">
        <v>209</v>
      </c>
      <c r="Q3152" s="345" t="s">
        <v>210</v>
      </c>
      <c r="R3152" s="345" t="s">
        <v>223</v>
      </c>
      <c r="S3152" s="345" t="s">
        <v>224</v>
      </c>
    </row>
    <row r="3153" spans="1:19" x14ac:dyDescent="0.25">
      <c r="A3153" s="311"/>
      <c r="B3153" s="312"/>
      <c r="C3153" s="312"/>
      <c r="D3153" s="312"/>
      <c r="E3153" s="312"/>
      <c r="F3153" s="312"/>
      <c r="G3153" s="328"/>
      <c r="H3153" s="337"/>
      <c r="I3153" s="334"/>
      <c r="J3153" s="314"/>
      <c r="K3153" s="449"/>
      <c r="M3153" s="349" t="str">
        <f>N3153&amp;AS[[#This Row],[Insurer Code]]&amp;"; "&amp;O3153&amp;AS[[#This Row],[Reporting Year]]&amp;"; "&amp;P3153&amp;AS[[#This Row],[Insurance Category Code]]&amp;"; "&amp;Q3153&amp;AS[[#This Row],[Large Provider Entity Code]]&amp;"; "&amp;R3153&amp;AS[[#This Row],[Age Band Code]]&amp;"; "&amp;S3153&amp;AS[[#This Row],[Sex Code]]</f>
        <v xml:space="preserve">Insurer Code ; Reporting Year ; Insurance Category Code ; Large Provider Entity Code ; Age Band Code ; Sex Code </v>
      </c>
      <c r="N3153" s="345" t="s">
        <v>207</v>
      </c>
      <c r="O3153" s="345" t="s">
        <v>208</v>
      </c>
      <c r="P3153" s="345" t="s">
        <v>209</v>
      </c>
      <c r="Q3153" s="345" t="s">
        <v>210</v>
      </c>
      <c r="R3153" s="345" t="s">
        <v>223</v>
      </c>
      <c r="S3153" s="345" t="s">
        <v>224</v>
      </c>
    </row>
    <row r="3154" spans="1:19" x14ac:dyDescent="0.25">
      <c r="A3154" s="311"/>
      <c r="B3154" s="312"/>
      <c r="C3154" s="312"/>
      <c r="D3154" s="312"/>
      <c r="E3154" s="312"/>
      <c r="F3154" s="312"/>
      <c r="G3154" s="328"/>
      <c r="H3154" s="337"/>
      <c r="I3154" s="334"/>
      <c r="J3154" s="314"/>
      <c r="K3154" s="449"/>
      <c r="M3154" s="349" t="str">
        <f>N3154&amp;AS[[#This Row],[Insurer Code]]&amp;"; "&amp;O3154&amp;AS[[#This Row],[Reporting Year]]&amp;"; "&amp;P3154&amp;AS[[#This Row],[Insurance Category Code]]&amp;"; "&amp;Q3154&amp;AS[[#This Row],[Large Provider Entity Code]]&amp;"; "&amp;R3154&amp;AS[[#This Row],[Age Band Code]]&amp;"; "&amp;S3154&amp;AS[[#This Row],[Sex Code]]</f>
        <v xml:space="preserve">Insurer Code ; Reporting Year ; Insurance Category Code ; Large Provider Entity Code ; Age Band Code ; Sex Code </v>
      </c>
      <c r="N3154" s="345" t="s">
        <v>207</v>
      </c>
      <c r="O3154" s="345" t="s">
        <v>208</v>
      </c>
      <c r="P3154" s="345" t="s">
        <v>209</v>
      </c>
      <c r="Q3154" s="345" t="s">
        <v>210</v>
      </c>
      <c r="R3154" s="345" t="s">
        <v>223</v>
      </c>
      <c r="S3154" s="345" t="s">
        <v>224</v>
      </c>
    </row>
    <row r="3155" spans="1:19" x14ac:dyDescent="0.25">
      <c r="A3155" s="311"/>
      <c r="B3155" s="312"/>
      <c r="C3155" s="312"/>
      <c r="D3155" s="312"/>
      <c r="E3155" s="312"/>
      <c r="F3155" s="312"/>
      <c r="G3155" s="328"/>
      <c r="H3155" s="337"/>
      <c r="I3155" s="334"/>
      <c r="J3155" s="314"/>
      <c r="K3155" s="449"/>
      <c r="M3155" s="349" t="str">
        <f>N3155&amp;AS[[#This Row],[Insurer Code]]&amp;"; "&amp;O3155&amp;AS[[#This Row],[Reporting Year]]&amp;"; "&amp;P3155&amp;AS[[#This Row],[Insurance Category Code]]&amp;"; "&amp;Q3155&amp;AS[[#This Row],[Large Provider Entity Code]]&amp;"; "&amp;R3155&amp;AS[[#This Row],[Age Band Code]]&amp;"; "&amp;S3155&amp;AS[[#This Row],[Sex Code]]</f>
        <v xml:space="preserve">Insurer Code ; Reporting Year ; Insurance Category Code ; Large Provider Entity Code ; Age Band Code ; Sex Code </v>
      </c>
      <c r="N3155" s="345" t="s">
        <v>207</v>
      </c>
      <c r="O3155" s="345" t="s">
        <v>208</v>
      </c>
      <c r="P3155" s="345" t="s">
        <v>209</v>
      </c>
      <c r="Q3155" s="345" t="s">
        <v>210</v>
      </c>
      <c r="R3155" s="345" t="s">
        <v>223</v>
      </c>
      <c r="S3155" s="345" t="s">
        <v>224</v>
      </c>
    </row>
    <row r="3156" spans="1:19" x14ac:dyDescent="0.25">
      <c r="A3156" s="311"/>
      <c r="B3156" s="312"/>
      <c r="C3156" s="312"/>
      <c r="D3156" s="312"/>
      <c r="E3156" s="312"/>
      <c r="F3156" s="312"/>
      <c r="G3156" s="328"/>
      <c r="H3156" s="337"/>
      <c r="I3156" s="334"/>
      <c r="J3156" s="314"/>
      <c r="K3156" s="449"/>
      <c r="M3156" s="349" t="str">
        <f>N3156&amp;AS[[#This Row],[Insurer Code]]&amp;"; "&amp;O3156&amp;AS[[#This Row],[Reporting Year]]&amp;"; "&amp;P3156&amp;AS[[#This Row],[Insurance Category Code]]&amp;"; "&amp;Q3156&amp;AS[[#This Row],[Large Provider Entity Code]]&amp;"; "&amp;R3156&amp;AS[[#This Row],[Age Band Code]]&amp;"; "&amp;S3156&amp;AS[[#This Row],[Sex Code]]</f>
        <v xml:space="preserve">Insurer Code ; Reporting Year ; Insurance Category Code ; Large Provider Entity Code ; Age Band Code ; Sex Code </v>
      </c>
      <c r="N3156" s="345" t="s">
        <v>207</v>
      </c>
      <c r="O3156" s="345" t="s">
        <v>208</v>
      </c>
      <c r="P3156" s="345" t="s">
        <v>209</v>
      </c>
      <c r="Q3156" s="345" t="s">
        <v>210</v>
      </c>
      <c r="R3156" s="345" t="s">
        <v>223</v>
      </c>
      <c r="S3156" s="345" t="s">
        <v>224</v>
      </c>
    </row>
    <row r="3157" spans="1:19" x14ac:dyDescent="0.25">
      <c r="A3157" s="311"/>
      <c r="B3157" s="312"/>
      <c r="C3157" s="312"/>
      <c r="D3157" s="312"/>
      <c r="E3157" s="312"/>
      <c r="F3157" s="312"/>
      <c r="G3157" s="328"/>
      <c r="H3157" s="337"/>
      <c r="I3157" s="334"/>
      <c r="J3157" s="314"/>
      <c r="K3157" s="449"/>
      <c r="M3157" s="349" t="str">
        <f>N3157&amp;AS[[#This Row],[Insurer Code]]&amp;"; "&amp;O3157&amp;AS[[#This Row],[Reporting Year]]&amp;"; "&amp;P3157&amp;AS[[#This Row],[Insurance Category Code]]&amp;"; "&amp;Q3157&amp;AS[[#This Row],[Large Provider Entity Code]]&amp;"; "&amp;R3157&amp;AS[[#This Row],[Age Band Code]]&amp;"; "&amp;S3157&amp;AS[[#This Row],[Sex Code]]</f>
        <v xml:space="preserve">Insurer Code ; Reporting Year ; Insurance Category Code ; Large Provider Entity Code ; Age Band Code ; Sex Code </v>
      </c>
      <c r="N3157" s="345" t="s">
        <v>207</v>
      </c>
      <c r="O3157" s="345" t="s">
        <v>208</v>
      </c>
      <c r="P3157" s="345" t="s">
        <v>209</v>
      </c>
      <c r="Q3157" s="345" t="s">
        <v>210</v>
      </c>
      <c r="R3157" s="345" t="s">
        <v>223</v>
      </c>
      <c r="S3157" s="345" t="s">
        <v>224</v>
      </c>
    </row>
    <row r="3158" spans="1:19" x14ac:dyDescent="0.25">
      <c r="A3158" s="311"/>
      <c r="B3158" s="312"/>
      <c r="C3158" s="312"/>
      <c r="D3158" s="312"/>
      <c r="E3158" s="312"/>
      <c r="F3158" s="312"/>
      <c r="G3158" s="328"/>
      <c r="H3158" s="337"/>
      <c r="I3158" s="334"/>
      <c r="J3158" s="314"/>
      <c r="K3158" s="449"/>
      <c r="M3158" s="349" t="str">
        <f>N3158&amp;AS[[#This Row],[Insurer Code]]&amp;"; "&amp;O3158&amp;AS[[#This Row],[Reporting Year]]&amp;"; "&amp;P3158&amp;AS[[#This Row],[Insurance Category Code]]&amp;"; "&amp;Q3158&amp;AS[[#This Row],[Large Provider Entity Code]]&amp;"; "&amp;R3158&amp;AS[[#This Row],[Age Band Code]]&amp;"; "&amp;S3158&amp;AS[[#This Row],[Sex Code]]</f>
        <v xml:space="preserve">Insurer Code ; Reporting Year ; Insurance Category Code ; Large Provider Entity Code ; Age Band Code ; Sex Code </v>
      </c>
      <c r="N3158" s="345" t="s">
        <v>207</v>
      </c>
      <c r="O3158" s="345" t="s">
        <v>208</v>
      </c>
      <c r="P3158" s="345" t="s">
        <v>209</v>
      </c>
      <c r="Q3158" s="345" t="s">
        <v>210</v>
      </c>
      <c r="R3158" s="345" t="s">
        <v>223</v>
      </c>
      <c r="S3158" s="345" t="s">
        <v>224</v>
      </c>
    </row>
    <row r="3159" spans="1:19" x14ac:dyDescent="0.25">
      <c r="A3159" s="311"/>
      <c r="B3159" s="312"/>
      <c r="C3159" s="312"/>
      <c r="D3159" s="312"/>
      <c r="E3159" s="312"/>
      <c r="F3159" s="312"/>
      <c r="G3159" s="328"/>
      <c r="H3159" s="337"/>
      <c r="I3159" s="334"/>
      <c r="J3159" s="314"/>
      <c r="K3159" s="449"/>
      <c r="M3159" s="349" t="str">
        <f>N3159&amp;AS[[#This Row],[Insurer Code]]&amp;"; "&amp;O3159&amp;AS[[#This Row],[Reporting Year]]&amp;"; "&amp;P3159&amp;AS[[#This Row],[Insurance Category Code]]&amp;"; "&amp;Q3159&amp;AS[[#This Row],[Large Provider Entity Code]]&amp;"; "&amp;R3159&amp;AS[[#This Row],[Age Band Code]]&amp;"; "&amp;S3159&amp;AS[[#This Row],[Sex Code]]</f>
        <v xml:space="preserve">Insurer Code ; Reporting Year ; Insurance Category Code ; Large Provider Entity Code ; Age Band Code ; Sex Code </v>
      </c>
      <c r="N3159" s="345" t="s">
        <v>207</v>
      </c>
      <c r="O3159" s="345" t="s">
        <v>208</v>
      </c>
      <c r="P3159" s="345" t="s">
        <v>209</v>
      </c>
      <c r="Q3159" s="345" t="s">
        <v>210</v>
      </c>
      <c r="R3159" s="345" t="s">
        <v>223</v>
      </c>
      <c r="S3159" s="345" t="s">
        <v>224</v>
      </c>
    </row>
    <row r="3160" spans="1:19" x14ac:dyDescent="0.25">
      <c r="A3160" s="311"/>
      <c r="B3160" s="312"/>
      <c r="C3160" s="312"/>
      <c r="D3160" s="312"/>
      <c r="E3160" s="312"/>
      <c r="F3160" s="312"/>
      <c r="G3160" s="328"/>
      <c r="H3160" s="337"/>
      <c r="I3160" s="334"/>
      <c r="J3160" s="314"/>
      <c r="K3160" s="449"/>
      <c r="M3160" s="349" t="str">
        <f>N3160&amp;AS[[#This Row],[Insurer Code]]&amp;"; "&amp;O3160&amp;AS[[#This Row],[Reporting Year]]&amp;"; "&amp;P3160&amp;AS[[#This Row],[Insurance Category Code]]&amp;"; "&amp;Q3160&amp;AS[[#This Row],[Large Provider Entity Code]]&amp;"; "&amp;R3160&amp;AS[[#This Row],[Age Band Code]]&amp;"; "&amp;S3160&amp;AS[[#This Row],[Sex Code]]</f>
        <v xml:space="preserve">Insurer Code ; Reporting Year ; Insurance Category Code ; Large Provider Entity Code ; Age Band Code ; Sex Code </v>
      </c>
      <c r="N3160" s="345" t="s">
        <v>207</v>
      </c>
      <c r="O3160" s="345" t="s">
        <v>208</v>
      </c>
      <c r="P3160" s="345" t="s">
        <v>209</v>
      </c>
      <c r="Q3160" s="345" t="s">
        <v>210</v>
      </c>
      <c r="R3160" s="345" t="s">
        <v>223</v>
      </c>
      <c r="S3160" s="345" t="s">
        <v>224</v>
      </c>
    </row>
    <row r="3161" spans="1:19" x14ac:dyDescent="0.25">
      <c r="A3161" s="311"/>
      <c r="B3161" s="312"/>
      <c r="C3161" s="312"/>
      <c r="D3161" s="312"/>
      <c r="E3161" s="312"/>
      <c r="F3161" s="312"/>
      <c r="G3161" s="328"/>
      <c r="H3161" s="337"/>
      <c r="I3161" s="334"/>
      <c r="J3161" s="314"/>
      <c r="K3161" s="449"/>
      <c r="M3161" s="349" t="str">
        <f>N3161&amp;AS[[#This Row],[Insurer Code]]&amp;"; "&amp;O3161&amp;AS[[#This Row],[Reporting Year]]&amp;"; "&amp;P3161&amp;AS[[#This Row],[Insurance Category Code]]&amp;"; "&amp;Q3161&amp;AS[[#This Row],[Large Provider Entity Code]]&amp;"; "&amp;R3161&amp;AS[[#This Row],[Age Band Code]]&amp;"; "&amp;S3161&amp;AS[[#This Row],[Sex Code]]</f>
        <v xml:space="preserve">Insurer Code ; Reporting Year ; Insurance Category Code ; Large Provider Entity Code ; Age Band Code ; Sex Code </v>
      </c>
      <c r="N3161" s="345" t="s">
        <v>207</v>
      </c>
      <c r="O3161" s="345" t="s">
        <v>208</v>
      </c>
      <c r="P3161" s="345" t="s">
        <v>209</v>
      </c>
      <c r="Q3161" s="345" t="s">
        <v>210</v>
      </c>
      <c r="R3161" s="345" t="s">
        <v>223</v>
      </c>
      <c r="S3161" s="345" t="s">
        <v>224</v>
      </c>
    </row>
    <row r="3162" spans="1:19" x14ac:dyDescent="0.25">
      <c r="A3162" s="311"/>
      <c r="B3162" s="312"/>
      <c r="C3162" s="312"/>
      <c r="D3162" s="312"/>
      <c r="E3162" s="312"/>
      <c r="F3162" s="312"/>
      <c r="G3162" s="328"/>
      <c r="H3162" s="337"/>
      <c r="I3162" s="334"/>
      <c r="J3162" s="314"/>
      <c r="K3162" s="449"/>
      <c r="M3162" s="349" t="str">
        <f>N3162&amp;AS[[#This Row],[Insurer Code]]&amp;"; "&amp;O3162&amp;AS[[#This Row],[Reporting Year]]&amp;"; "&amp;P3162&amp;AS[[#This Row],[Insurance Category Code]]&amp;"; "&amp;Q3162&amp;AS[[#This Row],[Large Provider Entity Code]]&amp;"; "&amp;R3162&amp;AS[[#This Row],[Age Band Code]]&amp;"; "&amp;S3162&amp;AS[[#This Row],[Sex Code]]</f>
        <v xml:space="preserve">Insurer Code ; Reporting Year ; Insurance Category Code ; Large Provider Entity Code ; Age Band Code ; Sex Code </v>
      </c>
      <c r="N3162" s="345" t="s">
        <v>207</v>
      </c>
      <c r="O3162" s="345" t="s">
        <v>208</v>
      </c>
      <c r="P3162" s="345" t="s">
        <v>209</v>
      </c>
      <c r="Q3162" s="345" t="s">
        <v>210</v>
      </c>
      <c r="R3162" s="345" t="s">
        <v>223</v>
      </c>
      <c r="S3162" s="345" t="s">
        <v>224</v>
      </c>
    </row>
    <row r="3163" spans="1:19" x14ac:dyDescent="0.25">
      <c r="A3163" s="311"/>
      <c r="B3163" s="312"/>
      <c r="C3163" s="312"/>
      <c r="D3163" s="312"/>
      <c r="E3163" s="312"/>
      <c r="F3163" s="312"/>
      <c r="G3163" s="328"/>
      <c r="H3163" s="337"/>
      <c r="I3163" s="334"/>
      <c r="J3163" s="314"/>
      <c r="K3163" s="449"/>
      <c r="M3163" s="349" t="str">
        <f>N3163&amp;AS[[#This Row],[Insurer Code]]&amp;"; "&amp;O3163&amp;AS[[#This Row],[Reporting Year]]&amp;"; "&amp;P3163&amp;AS[[#This Row],[Insurance Category Code]]&amp;"; "&amp;Q3163&amp;AS[[#This Row],[Large Provider Entity Code]]&amp;"; "&amp;R3163&amp;AS[[#This Row],[Age Band Code]]&amp;"; "&amp;S3163&amp;AS[[#This Row],[Sex Code]]</f>
        <v xml:space="preserve">Insurer Code ; Reporting Year ; Insurance Category Code ; Large Provider Entity Code ; Age Band Code ; Sex Code </v>
      </c>
      <c r="N3163" s="345" t="s">
        <v>207</v>
      </c>
      <c r="O3163" s="345" t="s">
        <v>208</v>
      </c>
      <c r="P3163" s="345" t="s">
        <v>209</v>
      </c>
      <c r="Q3163" s="345" t="s">
        <v>210</v>
      </c>
      <c r="R3163" s="345" t="s">
        <v>223</v>
      </c>
      <c r="S3163" s="345" t="s">
        <v>224</v>
      </c>
    </row>
    <row r="3164" spans="1:19" x14ac:dyDescent="0.25">
      <c r="A3164" s="311"/>
      <c r="B3164" s="312"/>
      <c r="C3164" s="312"/>
      <c r="D3164" s="312"/>
      <c r="E3164" s="312"/>
      <c r="F3164" s="312"/>
      <c r="G3164" s="328"/>
      <c r="H3164" s="337"/>
      <c r="I3164" s="334"/>
      <c r="J3164" s="314"/>
      <c r="K3164" s="449"/>
      <c r="M3164" s="349" t="str">
        <f>N3164&amp;AS[[#This Row],[Insurer Code]]&amp;"; "&amp;O3164&amp;AS[[#This Row],[Reporting Year]]&amp;"; "&amp;P3164&amp;AS[[#This Row],[Insurance Category Code]]&amp;"; "&amp;Q3164&amp;AS[[#This Row],[Large Provider Entity Code]]&amp;"; "&amp;R3164&amp;AS[[#This Row],[Age Band Code]]&amp;"; "&amp;S3164&amp;AS[[#This Row],[Sex Code]]</f>
        <v xml:space="preserve">Insurer Code ; Reporting Year ; Insurance Category Code ; Large Provider Entity Code ; Age Band Code ; Sex Code </v>
      </c>
      <c r="N3164" s="345" t="s">
        <v>207</v>
      </c>
      <c r="O3164" s="345" t="s">
        <v>208</v>
      </c>
      <c r="P3164" s="345" t="s">
        <v>209</v>
      </c>
      <c r="Q3164" s="345" t="s">
        <v>210</v>
      </c>
      <c r="R3164" s="345" t="s">
        <v>223</v>
      </c>
      <c r="S3164" s="345" t="s">
        <v>224</v>
      </c>
    </row>
    <row r="3165" spans="1:19" x14ac:dyDescent="0.25">
      <c r="A3165" s="311"/>
      <c r="B3165" s="312"/>
      <c r="C3165" s="312"/>
      <c r="D3165" s="312"/>
      <c r="E3165" s="312"/>
      <c r="F3165" s="312"/>
      <c r="G3165" s="328"/>
      <c r="H3165" s="337"/>
      <c r="I3165" s="334"/>
      <c r="J3165" s="314"/>
      <c r="K3165" s="449"/>
      <c r="M3165" s="349" t="str">
        <f>N3165&amp;AS[[#This Row],[Insurer Code]]&amp;"; "&amp;O3165&amp;AS[[#This Row],[Reporting Year]]&amp;"; "&amp;P3165&amp;AS[[#This Row],[Insurance Category Code]]&amp;"; "&amp;Q3165&amp;AS[[#This Row],[Large Provider Entity Code]]&amp;"; "&amp;R3165&amp;AS[[#This Row],[Age Band Code]]&amp;"; "&amp;S3165&amp;AS[[#This Row],[Sex Code]]</f>
        <v xml:space="preserve">Insurer Code ; Reporting Year ; Insurance Category Code ; Large Provider Entity Code ; Age Band Code ; Sex Code </v>
      </c>
      <c r="N3165" s="345" t="s">
        <v>207</v>
      </c>
      <c r="O3165" s="345" t="s">
        <v>208</v>
      </c>
      <c r="P3165" s="345" t="s">
        <v>209</v>
      </c>
      <c r="Q3165" s="345" t="s">
        <v>210</v>
      </c>
      <c r="R3165" s="345" t="s">
        <v>223</v>
      </c>
      <c r="S3165" s="345" t="s">
        <v>224</v>
      </c>
    </row>
    <row r="3166" spans="1:19" x14ac:dyDescent="0.25">
      <c r="A3166" s="311"/>
      <c r="B3166" s="312"/>
      <c r="C3166" s="312"/>
      <c r="D3166" s="312"/>
      <c r="E3166" s="312"/>
      <c r="F3166" s="312"/>
      <c r="G3166" s="328"/>
      <c r="H3166" s="337"/>
      <c r="I3166" s="334"/>
      <c r="J3166" s="314"/>
      <c r="K3166" s="449"/>
      <c r="M3166" s="349" t="str">
        <f>N3166&amp;AS[[#This Row],[Insurer Code]]&amp;"; "&amp;O3166&amp;AS[[#This Row],[Reporting Year]]&amp;"; "&amp;P3166&amp;AS[[#This Row],[Insurance Category Code]]&amp;"; "&amp;Q3166&amp;AS[[#This Row],[Large Provider Entity Code]]&amp;"; "&amp;R3166&amp;AS[[#This Row],[Age Band Code]]&amp;"; "&amp;S3166&amp;AS[[#This Row],[Sex Code]]</f>
        <v xml:space="preserve">Insurer Code ; Reporting Year ; Insurance Category Code ; Large Provider Entity Code ; Age Band Code ; Sex Code </v>
      </c>
      <c r="N3166" s="345" t="s">
        <v>207</v>
      </c>
      <c r="O3166" s="345" t="s">
        <v>208</v>
      </c>
      <c r="P3166" s="345" t="s">
        <v>209</v>
      </c>
      <c r="Q3166" s="345" t="s">
        <v>210</v>
      </c>
      <c r="R3166" s="345" t="s">
        <v>223</v>
      </c>
      <c r="S3166" s="345" t="s">
        <v>224</v>
      </c>
    </row>
    <row r="3167" spans="1:19" x14ac:dyDescent="0.25">
      <c r="A3167" s="311"/>
      <c r="B3167" s="312"/>
      <c r="C3167" s="312"/>
      <c r="D3167" s="312"/>
      <c r="E3167" s="312"/>
      <c r="F3167" s="312"/>
      <c r="G3167" s="328"/>
      <c r="H3167" s="337"/>
      <c r="I3167" s="334"/>
      <c r="J3167" s="314"/>
      <c r="K3167" s="449"/>
      <c r="M3167" s="349" t="str">
        <f>N3167&amp;AS[[#This Row],[Insurer Code]]&amp;"; "&amp;O3167&amp;AS[[#This Row],[Reporting Year]]&amp;"; "&amp;P3167&amp;AS[[#This Row],[Insurance Category Code]]&amp;"; "&amp;Q3167&amp;AS[[#This Row],[Large Provider Entity Code]]&amp;"; "&amp;R3167&amp;AS[[#This Row],[Age Band Code]]&amp;"; "&amp;S3167&amp;AS[[#This Row],[Sex Code]]</f>
        <v xml:space="preserve">Insurer Code ; Reporting Year ; Insurance Category Code ; Large Provider Entity Code ; Age Band Code ; Sex Code </v>
      </c>
      <c r="N3167" s="345" t="s">
        <v>207</v>
      </c>
      <c r="O3167" s="345" t="s">
        <v>208</v>
      </c>
      <c r="P3167" s="345" t="s">
        <v>209</v>
      </c>
      <c r="Q3167" s="345" t="s">
        <v>210</v>
      </c>
      <c r="R3167" s="345" t="s">
        <v>223</v>
      </c>
      <c r="S3167" s="345" t="s">
        <v>224</v>
      </c>
    </row>
    <row r="3168" spans="1:19" x14ac:dyDescent="0.25">
      <c r="A3168" s="311"/>
      <c r="B3168" s="312"/>
      <c r="C3168" s="312"/>
      <c r="D3168" s="312"/>
      <c r="E3168" s="312"/>
      <c r="F3168" s="312"/>
      <c r="G3168" s="328"/>
      <c r="H3168" s="337"/>
      <c r="I3168" s="334"/>
      <c r="J3168" s="314"/>
      <c r="K3168" s="449"/>
      <c r="M3168" s="349" t="str">
        <f>N3168&amp;AS[[#This Row],[Insurer Code]]&amp;"; "&amp;O3168&amp;AS[[#This Row],[Reporting Year]]&amp;"; "&amp;P3168&amp;AS[[#This Row],[Insurance Category Code]]&amp;"; "&amp;Q3168&amp;AS[[#This Row],[Large Provider Entity Code]]&amp;"; "&amp;R3168&amp;AS[[#This Row],[Age Band Code]]&amp;"; "&amp;S3168&amp;AS[[#This Row],[Sex Code]]</f>
        <v xml:space="preserve">Insurer Code ; Reporting Year ; Insurance Category Code ; Large Provider Entity Code ; Age Band Code ; Sex Code </v>
      </c>
      <c r="N3168" s="345" t="s">
        <v>207</v>
      </c>
      <c r="O3168" s="345" t="s">
        <v>208</v>
      </c>
      <c r="P3168" s="345" t="s">
        <v>209</v>
      </c>
      <c r="Q3168" s="345" t="s">
        <v>210</v>
      </c>
      <c r="R3168" s="345" t="s">
        <v>223</v>
      </c>
      <c r="S3168" s="345" t="s">
        <v>224</v>
      </c>
    </row>
    <row r="3169" spans="1:19" x14ac:dyDescent="0.25">
      <c r="A3169" s="311"/>
      <c r="B3169" s="312"/>
      <c r="C3169" s="312"/>
      <c r="D3169" s="312"/>
      <c r="E3169" s="312"/>
      <c r="F3169" s="312"/>
      <c r="G3169" s="328"/>
      <c r="H3169" s="337"/>
      <c r="I3169" s="334"/>
      <c r="J3169" s="314"/>
      <c r="K3169" s="449"/>
      <c r="M3169" s="349" t="str">
        <f>N3169&amp;AS[[#This Row],[Insurer Code]]&amp;"; "&amp;O3169&amp;AS[[#This Row],[Reporting Year]]&amp;"; "&amp;P3169&amp;AS[[#This Row],[Insurance Category Code]]&amp;"; "&amp;Q3169&amp;AS[[#This Row],[Large Provider Entity Code]]&amp;"; "&amp;R3169&amp;AS[[#This Row],[Age Band Code]]&amp;"; "&amp;S3169&amp;AS[[#This Row],[Sex Code]]</f>
        <v xml:space="preserve">Insurer Code ; Reporting Year ; Insurance Category Code ; Large Provider Entity Code ; Age Band Code ; Sex Code </v>
      </c>
      <c r="N3169" s="345" t="s">
        <v>207</v>
      </c>
      <c r="O3169" s="345" t="s">
        <v>208</v>
      </c>
      <c r="P3169" s="345" t="s">
        <v>209</v>
      </c>
      <c r="Q3169" s="345" t="s">
        <v>210</v>
      </c>
      <c r="R3169" s="345" t="s">
        <v>223</v>
      </c>
      <c r="S3169" s="345" t="s">
        <v>224</v>
      </c>
    </row>
    <row r="3170" spans="1:19" x14ac:dyDescent="0.25">
      <c r="A3170" s="311"/>
      <c r="B3170" s="312"/>
      <c r="C3170" s="312"/>
      <c r="D3170" s="312"/>
      <c r="E3170" s="312"/>
      <c r="F3170" s="312"/>
      <c r="G3170" s="328"/>
      <c r="H3170" s="337"/>
      <c r="I3170" s="334"/>
      <c r="J3170" s="314"/>
      <c r="K3170" s="449"/>
      <c r="M3170" s="349" t="str">
        <f>N3170&amp;AS[[#This Row],[Insurer Code]]&amp;"; "&amp;O3170&amp;AS[[#This Row],[Reporting Year]]&amp;"; "&amp;P3170&amp;AS[[#This Row],[Insurance Category Code]]&amp;"; "&amp;Q3170&amp;AS[[#This Row],[Large Provider Entity Code]]&amp;"; "&amp;R3170&amp;AS[[#This Row],[Age Band Code]]&amp;"; "&amp;S3170&amp;AS[[#This Row],[Sex Code]]</f>
        <v xml:space="preserve">Insurer Code ; Reporting Year ; Insurance Category Code ; Large Provider Entity Code ; Age Band Code ; Sex Code </v>
      </c>
      <c r="N3170" s="345" t="s">
        <v>207</v>
      </c>
      <c r="O3170" s="345" t="s">
        <v>208</v>
      </c>
      <c r="P3170" s="345" t="s">
        <v>209</v>
      </c>
      <c r="Q3170" s="345" t="s">
        <v>210</v>
      </c>
      <c r="R3170" s="345" t="s">
        <v>223</v>
      </c>
      <c r="S3170" s="345" t="s">
        <v>224</v>
      </c>
    </row>
    <row r="3171" spans="1:19" x14ac:dyDescent="0.25">
      <c r="A3171" s="311"/>
      <c r="B3171" s="312"/>
      <c r="C3171" s="312"/>
      <c r="D3171" s="312"/>
      <c r="E3171" s="312"/>
      <c r="F3171" s="312"/>
      <c r="G3171" s="328"/>
      <c r="H3171" s="337"/>
      <c r="I3171" s="334"/>
      <c r="J3171" s="314"/>
      <c r="K3171" s="449"/>
      <c r="M3171" s="349" t="str">
        <f>N3171&amp;AS[[#This Row],[Insurer Code]]&amp;"; "&amp;O3171&amp;AS[[#This Row],[Reporting Year]]&amp;"; "&amp;P3171&amp;AS[[#This Row],[Insurance Category Code]]&amp;"; "&amp;Q3171&amp;AS[[#This Row],[Large Provider Entity Code]]&amp;"; "&amp;R3171&amp;AS[[#This Row],[Age Band Code]]&amp;"; "&amp;S3171&amp;AS[[#This Row],[Sex Code]]</f>
        <v xml:space="preserve">Insurer Code ; Reporting Year ; Insurance Category Code ; Large Provider Entity Code ; Age Band Code ; Sex Code </v>
      </c>
      <c r="N3171" s="345" t="s">
        <v>207</v>
      </c>
      <c r="O3171" s="345" t="s">
        <v>208</v>
      </c>
      <c r="P3171" s="345" t="s">
        <v>209</v>
      </c>
      <c r="Q3171" s="345" t="s">
        <v>210</v>
      </c>
      <c r="R3171" s="345" t="s">
        <v>223</v>
      </c>
      <c r="S3171" s="345" t="s">
        <v>224</v>
      </c>
    </row>
    <row r="3172" spans="1:19" x14ac:dyDescent="0.25">
      <c r="A3172" s="311"/>
      <c r="B3172" s="312"/>
      <c r="C3172" s="312"/>
      <c r="D3172" s="312"/>
      <c r="E3172" s="312"/>
      <c r="F3172" s="312"/>
      <c r="G3172" s="328"/>
      <c r="H3172" s="337"/>
      <c r="I3172" s="334"/>
      <c r="J3172" s="314"/>
      <c r="K3172" s="449"/>
      <c r="M3172" s="349" t="str">
        <f>N3172&amp;AS[[#This Row],[Insurer Code]]&amp;"; "&amp;O3172&amp;AS[[#This Row],[Reporting Year]]&amp;"; "&amp;P3172&amp;AS[[#This Row],[Insurance Category Code]]&amp;"; "&amp;Q3172&amp;AS[[#This Row],[Large Provider Entity Code]]&amp;"; "&amp;R3172&amp;AS[[#This Row],[Age Band Code]]&amp;"; "&amp;S3172&amp;AS[[#This Row],[Sex Code]]</f>
        <v xml:space="preserve">Insurer Code ; Reporting Year ; Insurance Category Code ; Large Provider Entity Code ; Age Band Code ; Sex Code </v>
      </c>
      <c r="N3172" s="345" t="s">
        <v>207</v>
      </c>
      <c r="O3172" s="345" t="s">
        <v>208</v>
      </c>
      <c r="P3172" s="345" t="s">
        <v>209</v>
      </c>
      <c r="Q3172" s="345" t="s">
        <v>210</v>
      </c>
      <c r="R3172" s="345" t="s">
        <v>223</v>
      </c>
      <c r="S3172" s="345" t="s">
        <v>224</v>
      </c>
    </row>
    <row r="3173" spans="1:19" x14ac:dyDescent="0.25">
      <c r="A3173" s="311"/>
      <c r="B3173" s="312"/>
      <c r="C3173" s="312"/>
      <c r="D3173" s="312"/>
      <c r="E3173" s="312"/>
      <c r="F3173" s="312"/>
      <c r="G3173" s="328"/>
      <c r="H3173" s="337"/>
      <c r="I3173" s="334"/>
      <c r="J3173" s="314"/>
      <c r="K3173" s="449"/>
      <c r="M3173" s="349" t="str">
        <f>N3173&amp;AS[[#This Row],[Insurer Code]]&amp;"; "&amp;O3173&amp;AS[[#This Row],[Reporting Year]]&amp;"; "&amp;P3173&amp;AS[[#This Row],[Insurance Category Code]]&amp;"; "&amp;Q3173&amp;AS[[#This Row],[Large Provider Entity Code]]&amp;"; "&amp;R3173&amp;AS[[#This Row],[Age Band Code]]&amp;"; "&amp;S3173&amp;AS[[#This Row],[Sex Code]]</f>
        <v xml:space="preserve">Insurer Code ; Reporting Year ; Insurance Category Code ; Large Provider Entity Code ; Age Band Code ; Sex Code </v>
      </c>
      <c r="N3173" s="345" t="s">
        <v>207</v>
      </c>
      <c r="O3173" s="345" t="s">
        <v>208</v>
      </c>
      <c r="P3173" s="345" t="s">
        <v>209</v>
      </c>
      <c r="Q3173" s="345" t="s">
        <v>210</v>
      </c>
      <c r="R3173" s="345" t="s">
        <v>223</v>
      </c>
      <c r="S3173" s="345" t="s">
        <v>224</v>
      </c>
    </row>
    <row r="3174" spans="1:19" x14ac:dyDescent="0.25">
      <c r="A3174" s="311"/>
      <c r="B3174" s="312"/>
      <c r="C3174" s="312"/>
      <c r="D3174" s="312"/>
      <c r="E3174" s="312"/>
      <c r="F3174" s="312"/>
      <c r="G3174" s="328"/>
      <c r="H3174" s="337"/>
      <c r="I3174" s="334"/>
      <c r="J3174" s="314"/>
      <c r="K3174" s="449"/>
      <c r="M3174" s="349" t="str">
        <f>N3174&amp;AS[[#This Row],[Insurer Code]]&amp;"; "&amp;O3174&amp;AS[[#This Row],[Reporting Year]]&amp;"; "&amp;P3174&amp;AS[[#This Row],[Insurance Category Code]]&amp;"; "&amp;Q3174&amp;AS[[#This Row],[Large Provider Entity Code]]&amp;"; "&amp;R3174&amp;AS[[#This Row],[Age Band Code]]&amp;"; "&amp;S3174&amp;AS[[#This Row],[Sex Code]]</f>
        <v xml:space="preserve">Insurer Code ; Reporting Year ; Insurance Category Code ; Large Provider Entity Code ; Age Band Code ; Sex Code </v>
      </c>
      <c r="N3174" s="345" t="s">
        <v>207</v>
      </c>
      <c r="O3174" s="345" t="s">
        <v>208</v>
      </c>
      <c r="P3174" s="345" t="s">
        <v>209</v>
      </c>
      <c r="Q3174" s="345" t="s">
        <v>210</v>
      </c>
      <c r="R3174" s="345" t="s">
        <v>223</v>
      </c>
      <c r="S3174" s="345" t="s">
        <v>224</v>
      </c>
    </row>
    <row r="3175" spans="1:19" x14ac:dyDescent="0.25">
      <c r="A3175" s="311"/>
      <c r="B3175" s="312"/>
      <c r="C3175" s="312"/>
      <c r="D3175" s="312"/>
      <c r="E3175" s="312"/>
      <c r="F3175" s="312"/>
      <c r="G3175" s="328"/>
      <c r="H3175" s="337"/>
      <c r="I3175" s="334"/>
      <c r="J3175" s="314"/>
      <c r="K3175" s="449"/>
      <c r="M3175" s="349" t="str">
        <f>N3175&amp;AS[[#This Row],[Insurer Code]]&amp;"; "&amp;O3175&amp;AS[[#This Row],[Reporting Year]]&amp;"; "&amp;P3175&amp;AS[[#This Row],[Insurance Category Code]]&amp;"; "&amp;Q3175&amp;AS[[#This Row],[Large Provider Entity Code]]&amp;"; "&amp;R3175&amp;AS[[#This Row],[Age Band Code]]&amp;"; "&amp;S3175&amp;AS[[#This Row],[Sex Code]]</f>
        <v xml:space="preserve">Insurer Code ; Reporting Year ; Insurance Category Code ; Large Provider Entity Code ; Age Band Code ; Sex Code </v>
      </c>
      <c r="N3175" s="345" t="s">
        <v>207</v>
      </c>
      <c r="O3175" s="345" t="s">
        <v>208</v>
      </c>
      <c r="P3175" s="345" t="s">
        <v>209</v>
      </c>
      <c r="Q3175" s="345" t="s">
        <v>210</v>
      </c>
      <c r="R3175" s="345" t="s">
        <v>223</v>
      </c>
      <c r="S3175" s="345" t="s">
        <v>224</v>
      </c>
    </row>
    <row r="3176" spans="1:19" x14ac:dyDescent="0.25">
      <c r="A3176" s="311"/>
      <c r="B3176" s="312"/>
      <c r="C3176" s="312"/>
      <c r="D3176" s="312"/>
      <c r="E3176" s="312"/>
      <c r="F3176" s="312"/>
      <c r="G3176" s="328"/>
      <c r="H3176" s="337"/>
      <c r="I3176" s="334"/>
      <c r="J3176" s="314"/>
      <c r="K3176" s="449"/>
      <c r="M3176" s="349" t="str">
        <f>N3176&amp;AS[[#This Row],[Insurer Code]]&amp;"; "&amp;O3176&amp;AS[[#This Row],[Reporting Year]]&amp;"; "&amp;P3176&amp;AS[[#This Row],[Insurance Category Code]]&amp;"; "&amp;Q3176&amp;AS[[#This Row],[Large Provider Entity Code]]&amp;"; "&amp;R3176&amp;AS[[#This Row],[Age Band Code]]&amp;"; "&amp;S3176&amp;AS[[#This Row],[Sex Code]]</f>
        <v xml:space="preserve">Insurer Code ; Reporting Year ; Insurance Category Code ; Large Provider Entity Code ; Age Band Code ; Sex Code </v>
      </c>
      <c r="N3176" s="345" t="s">
        <v>207</v>
      </c>
      <c r="O3176" s="345" t="s">
        <v>208</v>
      </c>
      <c r="P3176" s="345" t="s">
        <v>209</v>
      </c>
      <c r="Q3176" s="345" t="s">
        <v>210</v>
      </c>
      <c r="R3176" s="345" t="s">
        <v>223</v>
      </c>
      <c r="S3176" s="345" t="s">
        <v>224</v>
      </c>
    </row>
    <row r="3177" spans="1:19" x14ac:dyDescent="0.25">
      <c r="A3177" s="311"/>
      <c r="B3177" s="312"/>
      <c r="C3177" s="312"/>
      <c r="D3177" s="312"/>
      <c r="E3177" s="312"/>
      <c r="F3177" s="312"/>
      <c r="G3177" s="328"/>
      <c r="H3177" s="337"/>
      <c r="I3177" s="334"/>
      <c r="J3177" s="314"/>
      <c r="K3177" s="449"/>
      <c r="M3177" s="349" t="str">
        <f>N3177&amp;AS[[#This Row],[Insurer Code]]&amp;"; "&amp;O3177&amp;AS[[#This Row],[Reporting Year]]&amp;"; "&amp;P3177&amp;AS[[#This Row],[Insurance Category Code]]&amp;"; "&amp;Q3177&amp;AS[[#This Row],[Large Provider Entity Code]]&amp;"; "&amp;R3177&amp;AS[[#This Row],[Age Band Code]]&amp;"; "&amp;S3177&amp;AS[[#This Row],[Sex Code]]</f>
        <v xml:space="preserve">Insurer Code ; Reporting Year ; Insurance Category Code ; Large Provider Entity Code ; Age Band Code ; Sex Code </v>
      </c>
      <c r="N3177" s="345" t="s">
        <v>207</v>
      </c>
      <c r="O3177" s="345" t="s">
        <v>208</v>
      </c>
      <c r="P3177" s="345" t="s">
        <v>209</v>
      </c>
      <c r="Q3177" s="345" t="s">
        <v>210</v>
      </c>
      <c r="R3177" s="345" t="s">
        <v>223</v>
      </c>
      <c r="S3177" s="345" t="s">
        <v>224</v>
      </c>
    </row>
    <row r="3178" spans="1:19" x14ac:dyDescent="0.25">
      <c r="A3178" s="311"/>
      <c r="B3178" s="312"/>
      <c r="C3178" s="312"/>
      <c r="D3178" s="312"/>
      <c r="E3178" s="312"/>
      <c r="F3178" s="312"/>
      <c r="G3178" s="328"/>
      <c r="H3178" s="337"/>
      <c r="I3178" s="334"/>
      <c r="J3178" s="314"/>
      <c r="K3178" s="449"/>
      <c r="M3178" s="349" t="str">
        <f>N3178&amp;AS[[#This Row],[Insurer Code]]&amp;"; "&amp;O3178&amp;AS[[#This Row],[Reporting Year]]&amp;"; "&amp;P3178&amp;AS[[#This Row],[Insurance Category Code]]&amp;"; "&amp;Q3178&amp;AS[[#This Row],[Large Provider Entity Code]]&amp;"; "&amp;R3178&amp;AS[[#This Row],[Age Band Code]]&amp;"; "&amp;S3178&amp;AS[[#This Row],[Sex Code]]</f>
        <v xml:space="preserve">Insurer Code ; Reporting Year ; Insurance Category Code ; Large Provider Entity Code ; Age Band Code ; Sex Code </v>
      </c>
      <c r="N3178" s="345" t="s">
        <v>207</v>
      </c>
      <c r="O3178" s="345" t="s">
        <v>208</v>
      </c>
      <c r="P3178" s="345" t="s">
        <v>209</v>
      </c>
      <c r="Q3178" s="345" t="s">
        <v>210</v>
      </c>
      <c r="R3178" s="345" t="s">
        <v>223</v>
      </c>
      <c r="S3178" s="345" t="s">
        <v>224</v>
      </c>
    </row>
    <row r="3179" spans="1:19" x14ac:dyDescent="0.25">
      <c r="A3179" s="311"/>
      <c r="B3179" s="312"/>
      <c r="C3179" s="312"/>
      <c r="D3179" s="312"/>
      <c r="E3179" s="312"/>
      <c r="F3179" s="312"/>
      <c r="G3179" s="328"/>
      <c r="H3179" s="337"/>
      <c r="I3179" s="334"/>
      <c r="J3179" s="314"/>
      <c r="K3179" s="449"/>
      <c r="M3179" s="349" t="str">
        <f>N3179&amp;AS[[#This Row],[Insurer Code]]&amp;"; "&amp;O3179&amp;AS[[#This Row],[Reporting Year]]&amp;"; "&amp;P3179&amp;AS[[#This Row],[Insurance Category Code]]&amp;"; "&amp;Q3179&amp;AS[[#This Row],[Large Provider Entity Code]]&amp;"; "&amp;R3179&amp;AS[[#This Row],[Age Band Code]]&amp;"; "&amp;S3179&amp;AS[[#This Row],[Sex Code]]</f>
        <v xml:space="preserve">Insurer Code ; Reporting Year ; Insurance Category Code ; Large Provider Entity Code ; Age Band Code ; Sex Code </v>
      </c>
      <c r="N3179" s="345" t="s">
        <v>207</v>
      </c>
      <c r="O3179" s="345" t="s">
        <v>208</v>
      </c>
      <c r="P3179" s="345" t="s">
        <v>209</v>
      </c>
      <c r="Q3179" s="345" t="s">
        <v>210</v>
      </c>
      <c r="R3179" s="345" t="s">
        <v>223</v>
      </c>
      <c r="S3179" s="345" t="s">
        <v>224</v>
      </c>
    </row>
    <row r="3180" spans="1:19" x14ac:dyDescent="0.25">
      <c r="A3180" s="311"/>
      <c r="B3180" s="312"/>
      <c r="C3180" s="312"/>
      <c r="D3180" s="312"/>
      <c r="E3180" s="312"/>
      <c r="F3180" s="312"/>
      <c r="G3180" s="328"/>
      <c r="H3180" s="337"/>
      <c r="I3180" s="334"/>
      <c r="J3180" s="314"/>
      <c r="K3180" s="449"/>
      <c r="M3180" s="349" t="str">
        <f>N3180&amp;AS[[#This Row],[Insurer Code]]&amp;"; "&amp;O3180&amp;AS[[#This Row],[Reporting Year]]&amp;"; "&amp;P3180&amp;AS[[#This Row],[Insurance Category Code]]&amp;"; "&amp;Q3180&amp;AS[[#This Row],[Large Provider Entity Code]]&amp;"; "&amp;R3180&amp;AS[[#This Row],[Age Band Code]]&amp;"; "&amp;S3180&amp;AS[[#This Row],[Sex Code]]</f>
        <v xml:space="preserve">Insurer Code ; Reporting Year ; Insurance Category Code ; Large Provider Entity Code ; Age Band Code ; Sex Code </v>
      </c>
      <c r="N3180" s="345" t="s">
        <v>207</v>
      </c>
      <c r="O3180" s="345" t="s">
        <v>208</v>
      </c>
      <c r="P3180" s="345" t="s">
        <v>209</v>
      </c>
      <c r="Q3180" s="345" t="s">
        <v>210</v>
      </c>
      <c r="R3180" s="345" t="s">
        <v>223</v>
      </c>
      <c r="S3180" s="345" t="s">
        <v>224</v>
      </c>
    </row>
    <row r="3181" spans="1:19" x14ac:dyDescent="0.25">
      <c r="A3181" s="311"/>
      <c r="B3181" s="312"/>
      <c r="C3181" s="312"/>
      <c r="D3181" s="312"/>
      <c r="E3181" s="312"/>
      <c r="F3181" s="312"/>
      <c r="G3181" s="328"/>
      <c r="H3181" s="337"/>
      <c r="I3181" s="334"/>
      <c r="J3181" s="314"/>
      <c r="K3181" s="449"/>
      <c r="M3181" s="349" t="str">
        <f>N3181&amp;AS[[#This Row],[Insurer Code]]&amp;"; "&amp;O3181&amp;AS[[#This Row],[Reporting Year]]&amp;"; "&amp;P3181&amp;AS[[#This Row],[Insurance Category Code]]&amp;"; "&amp;Q3181&amp;AS[[#This Row],[Large Provider Entity Code]]&amp;"; "&amp;R3181&amp;AS[[#This Row],[Age Band Code]]&amp;"; "&amp;S3181&amp;AS[[#This Row],[Sex Code]]</f>
        <v xml:space="preserve">Insurer Code ; Reporting Year ; Insurance Category Code ; Large Provider Entity Code ; Age Band Code ; Sex Code </v>
      </c>
      <c r="N3181" s="345" t="s">
        <v>207</v>
      </c>
      <c r="O3181" s="345" t="s">
        <v>208</v>
      </c>
      <c r="P3181" s="345" t="s">
        <v>209</v>
      </c>
      <c r="Q3181" s="345" t="s">
        <v>210</v>
      </c>
      <c r="R3181" s="345" t="s">
        <v>223</v>
      </c>
      <c r="S3181" s="345" t="s">
        <v>224</v>
      </c>
    </row>
    <row r="3182" spans="1:19" x14ac:dyDescent="0.25">
      <c r="A3182" s="311"/>
      <c r="B3182" s="312"/>
      <c r="C3182" s="312"/>
      <c r="D3182" s="312"/>
      <c r="E3182" s="312"/>
      <c r="F3182" s="312"/>
      <c r="G3182" s="328"/>
      <c r="H3182" s="337"/>
      <c r="I3182" s="334"/>
      <c r="J3182" s="314"/>
      <c r="K3182" s="449"/>
      <c r="M3182" s="349" t="str">
        <f>N3182&amp;AS[[#This Row],[Insurer Code]]&amp;"; "&amp;O3182&amp;AS[[#This Row],[Reporting Year]]&amp;"; "&amp;P3182&amp;AS[[#This Row],[Insurance Category Code]]&amp;"; "&amp;Q3182&amp;AS[[#This Row],[Large Provider Entity Code]]&amp;"; "&amp;R3182&amp;AS[[#This Row],[Age Band Code]]&amp;"; "&amp;S3182&amp;AS[[#This Row],[Sex Code]]</f>
        <v xml:space="preserve">Insurer Code ; Reporting Year ; Insurance Category Code ; Large Provider Entity Code ; Age Band Code ; Sex Code </v>
      </c>
      <c r="N3182" s="345" t="s">
        <v>207</v>
      </c>
      <c r="O3182" s="345" t="s">
        <v>208</v>
      </c>
      <c r="P3182" s="345" t="s">
        <v>209</v>
      </c>
      <c r="Q3182" s="345" t="s">
        <v>210</v>
      </c>
      <c r="R3182" s="345" t="s">
        <v>223</v>
      </c>
      <c r="S3182" s="345" t="s">
        <v>224</v>
      </c>
    </row>
    <row r="3183" spans="1:19" x14ac:dyDescent="0.25">
      <c r="A3183" s="311"/>
      <c r="B3183" s="312"/>
      <c r="C3183" s="312"/>
      <c r="D3183" s="312"/>
      <c r="E3183" s="312"/>
      <c r="F3183" s="312"/>
      <c r="G3183" s="328"/>
      <c r="H3183" s="337"/>
      <c r="I3183" s="334"/>
      <c r="J3183" s="314"/>
      <c r="K3183" s="449"/>
      <c r="M3183" s="349" t="str">
        <f>N3183&amp;AS[[#This Row],[Insurer Code]]&amp;"; "&amp;O3183&amp;AS[[#This Row],[Reporting Year]]&amp;"; "&amp;P3183&amp;AS[[#This Row],[Insurance Category Code]]&amp;"; "&amp;Q3183&amp;AS[[#This Row],[Large Provider Entity Code]]&amp;"; "&amp;R3183&amp;AS[[#This Row],[Age Band Code]]&amp;"; "&amp;S3183&amp;AS[[#This Row],[Sex Code]]</f>
        <v xml:space="preserve">Insurer Code ; Reporting Year ; Insurance Category Code ; Large Provider Entity Code ; Age Band Code ; Sex Code </v>
      </c>
      <c r="N3183" s="345" t="s">
        <v>207</v>
      </c>
      <c r="O3183" s="345" t="s">
        <v>208</v>
      </c>
      <c r="P3183" s="345" t="s">
        <v>209</v>
      </c>
      <c r="Q3183" s="345" t="s">
        <v>210</v>
      </c>
      <c r="R3183" s="345" t="s">
        <v>223</v>
      </c>
      <c r="S3183" s="345" t="s">
        <v>224</v>
      </c>
    </row>
    <row r="3184" spans="1:19" x14ac:dyDescent="0.25">
      <c r="A3184" s="311"/>
      <c r="B3184" s="312"/>
      <c r="C3184" s="312"/>
      <c r="D3184" s="312"/>
      <c r="E3184" s="312"/>
      <c r="F3184" s="312"/>
      <c r="G3184" s="328"/>
      <c r="H3184" s="337"/>
      <c r="I3184" s="334"/>
      <c r="J3184" s="314"/>
      <c r="K3184" s="449"/>
      <c r="M3184" s="349" t="str">
        <f>N3184&amp;AS[[#This Row],[Insurer Code]]&amp;"; "&amp;O3184&amp;AS[[#This Row],[Reporting Year]]&amp;"; "&amp;P3184&amp;AS[[#This Row],[Insurance Category Code]]&amp;"; "&amp;Q3184&amp;AS[[#This Row],[Large Provider Entity Code]]&amp;"; "&amp;R3184&amp;AS[[#This Row],[Age Band Code]]&amp;"; "&amp;S3184&amp;AS[[#This Row],[Sex Code]]</f>
        <v xml:space="preserve">Insurer Code ; Reporting Year ; Insurance Category Code ; Large Provider Entity Code ; Age Band Code ; Sex Code </v>
      </c>
      <c r="N3184" s="345" t="s">
        <v>207</v>
      </c>
      <c r="O3184" s="345" t="s">
        <v>208</v>
      </c>
      <c r="P3184" s="345" t="s">
        <v>209</v>
      </c>
      <c r="Q3184" s="345" t="s">
        <v>210</v>
      </c>
      <c r="R3184" s="345" t="s">
        <v>223</v>
      </c>
      <c r="S3184" s="345" t="s">
        <v>224</v>
      </c>
    </row>
    <row r="3185" spans="1:19" x14ac:dyDescent="0.25">
      <c r="A3185" s="311"/>
      <c r="B3185" s="312"/>
      <c r="C3185" s="312"/>
      <c r="D3185" s="312"/>
      <c r="E3185" s="312"/>
      <c r="F3185" s="312"/>
      <c r="G3185" s="328"/>
      <c r="H3185" s="337"/>
      <c r="I3185" s="334"/>
      <c r="J3185" s="314"/>
      <c r="K3185" s="449"/>
      <c r="M3185" s="349" t="str">
        <f>N3185&amp;AS[[#This Row],[Insurer Code]]&amp;"; "&amp;O3185&amp;AS[[#This Row],[Reporting Year]]&amp;"; "&amp;P3185&amp;AS[[#This Row],[Insurance Category Code]]&amp;"; "&amp;Q3185&amp;AS[[#This Row],[Large Provider Entity Code]]&amp;"; "&amp;R3185&amp;AS[[#This Row],[Age Band Code]]&amp;"; "&amp;S3185&amp;AS[[#This Row],[Sex Code]]</f>
        <v xml:space="preserve">Insurer Code ; Reporting Year ; Insurance Category Code ; Large Provider Entity Code ; Age Band Code ; Sex Code </v>
      </c>
      <c r="N3185" s="345" t="s">
        <v>207</v>
      </c>
      <c r="O3185" s="345" t="s">
        <v>208</v>
      </c>
      <c r="P3185" s="345" t="s">
        <v>209</v>
      </c>
      <c r="Q3185" s="345" t="s">
        <v>210</v>
      </c>
      <c r="R3185" s="345" t="s">
        <v>223</v>
      </c>
      <c r="S3185" s="345" t="s">
        <v>224</v>
      </c>
    </row>
    <row r="3186" spans="1:19" x14ac:dyDescent="0.25">
      <c r="A3186" s="311"/>
      <c r="B3186" s="312"/>
      <c r="C3186" s="312"/>
      <c r="D3186" s="312"/>
      <c r="E3186" s="312"/>
      <c r="F3186" s="312"/>
      <c r="G3186" s="328"/>
      <c r="H3186" s="337"/>
      <c r="I3186" s="334"/>
      <c r="J3186" s="314"/>
      <c r="K3186" s="449"/>
      <c r="M3186" s="349" t="str">
        <f>N3186&amp;AS[[#This Row],[Insurer Code]]&amp;"; "&amp;O3186&amp;AS[[#This Row],[Reporting Year]]&amp;"; "&amp;P3186&amp;AS[[#This Row],[Insurance Category Code]]&amp;"; "&amp;Q3186&amp;AS[[#This Row],[Large Provider Entity Code]]&amp;"; "&amp;R3186&amp;AS[[#This Row],[Age Band Code]]&amp;"; "&amp;S3186&amp;AS[[#This Row],[Sex Code]]</f>
        <v xml:space="preserve">Insurer Code ; Reporting Year ; Insurance Category Code ; Large Provider Entity Code ; Age Band Code ; Sex Code </v>
      </c>
      <c r="N3186" s="345" t="s">
        <v>207</v>
      </c>
      <c r="O3186" s="345" t="s">
        <v>208</v>
      </c>
      <c r="P3186" s="345" t="s">
        <v>209</v>
      </c>
      <c r="Q3186" s="345" t="s">
        <v>210</v>
      </c>
      <c r="R3186" s="345" t="s">
        <v>223</v>
      </c>
      <c r="S3186" s="345" t="s">
        <v>224</v>
      </c>
    </row>
    <row r="3187" spans="1:19" x14ac:dyDescent="0.25">
      <c r="A3187" s="311"/>
      <c r="B3187" s="312"/>
      <c r="C3187" s="312"/>
      <c r="D3187" s="312"/>
      <c r="E3187" s="312"/>
      <c r="F3187" s="312"/>
      <c r="G3187" s="328"/>
      <c r="H3187" s="337"/>
      <c r="I3187" s="334"/>
      <c r="J3187" s="314"/>
      <c r="K3187" s="449"/>
      <c r="M3187" s="349" t="str">
        <f>N3187&amp;AS[[#This Row],[Insurer Code]]&amp;"; "&amp;O3187&amp;AS[[#This Row],[Reporting Year]]&amp;"; "&amp;P3187&amp;AS[[#This Row],[Insurance Category Code]]&amp;"; "&amp;Q3187&amp;AS[[#This Row],[Large Provider Entity Code]]&amp;"; "&amp;R3187&amp;AS[[#This Row],[Age Band Code]]&amp;"; "&amp;S3187&amp;AS[[#This Row],[Sex Code]]</f>
        <v xml:space="preserve">Insurer Code ; Reporting Year ; Insurance Category Code ; Large Provider Entity Code ; Age Band Code ; Sex Code </v>
      </c>
      <c r="N3187" s="345" t="s">
        <v>207</v>
      </c>
      <c r="O3187" s="345" t="s">
        <v>208</v>
      </c>
      <c r="P3187" s="345" t="s">
        <v>209</v>
      </c>
      <c r="Q3187" s="345" t="s">
        <v>210</v>
      </c>
      <c r="R3187" s="345" t="s">
        <v>223</v>
      </c>
      <c r="S3187" s="345" t="s">
        <v>224</v>
      </c>
    </row>
    <row r="3188" spans="1:19" x14ac:dyDescent="0.25">
      <c r="A3188" s="311"/>
      <c r="B3188" s="312"/>
      <c r="C3188" s="312"/>
      <c r="D3188" s="312"/>
      <c r="E3188" s="312"/>
      <c r="F3188" s="312"/>
      <c r="G3188" s="328"/>
      <c r="H3188" s="337"/>
      <c r="I3188" s="334"/>
      <c r="J3188" s="314"/>
      <c r="K3188" s="449"/>
      <c r="M3188" s="349" t="str">
        <f>N3188&amp;AS[[#This Row],[Insurer Code]]&amp;"; "&amp;O3188&amp;AS[[#This Row],[Reporting Year]]&amp;"; "&amp;P3188&amp;AS[[#This Row],[Insurance Category Code]]&amp;"; "&amp;Q3188&amp;AS[[#This Row],[Large Provider Entity Code]]&amp;"; "&amp;R3188&amp;AS[[#This Row],[Age Band Code]]&amp;"; "&amp;S3188&amp;AS[[#This Row],[Sex Code]]</f>
        <v xml:space="preserve">Insurer Code ; Reporting Year ; Insurance Category Code ; Large Provider Entity Code ; Age Band Code ; Sex Code </v>
      </c>
      <c r="N3188" s="345" t="s">
        <v>207</v>
      </c>
      <c r="O3188" s="345" t="s">
        <v>208</v>
      </c>
      <c r="P3188" s="345" t="s">
        <v>209</v>
      </c>
      <c r="Q3188" s="345" t="s">
        <v>210</v>
      </c>
      <c r="R3188" s="345" t="s">
        <v>223</v>
      </c>
      <c r="S3188" s="345" t="s">
        <v>224</v>
      </c>
    </row>
    <row r="3189" spans="1:19" x14ac:dyDescent="0.25">
      <c r="A3189" s="311"/>
      <c r="B3189" s="312"/>
      <c r="C3189" s="312"/>
      <c r="D3189" s="312"/>
      <c r="E3189" s="312"/>
      <c r="F3189" s="312"/>
      <c r="G3189" s="328"/>
      <c r="H3189" s="337"/>
      <c r="I3189" s="334"/>
      <c r="J3189" s="314"/>
      <c r="K3189" s="449"/>
      <c r="M3189" s="349" t="str">
        <f>N3189&amp;AS[[#This Row],[Insurer Code]]&amp;"; "&amp;O3189&amp;AS[[#This Row],[Reporting Year]]&amp;"; "&amp;P3189&amp;AS[[#This Row],[Insurance Category Code]]&amp;"; "&amp;Q3189&amp;AS[[#This Row],[Large Provider Entity Code]]&amp;"; "&amp;R3189&amp;AS[[#This Row],[Age Band Code]]&amp;"; "&amp;S3189&amp;AS[[#This Row],[Sex Code]]</f>
        <v xml:space="preserve">Insurer Code ; Reporting Year ; Insurance Category Code ; Large Provider Entity Code ; Age Band Code ; Sex Code </v>
      </c>
      <c r="N3189" s="345" t="s">
        <v>207</v>
      </c>
      <c r="O3189" s="345" t="s">
        <v>208</v>
      </c>
      <c r="P3189" s="345" t="s">
        <v>209</v>
      </c>
      <c r="Q3189" s="345" t="s">
        <v>210</v>
      </c>
      <c r="R3189" s="345" t="s">
        <v>223</v>
      </c>
      <c r="S3189" s="345" t="s">
        <v>224</v>
      </c>
    </row>
    <row r="3190" spans="1:19" x14ac:dyDescent="0.25">
      <c r="A3190" s="311"/>
      <c r="B3190" s="312"/>
      <c r="C3190" s="312"/>
      <c r="D3190" s="312"/>
      <c r="E3190" s="312"/>
      <c r="F3190" s="312"/>
      <c r="G3190" s="328"/>
      <c r="H3190" s="337"/>
      <c r="I3190" s="334"/>
      <c r="J3190" s="314"/>
      <c r="K3190" s="449"/>
      <c r="M3190" s="349" t="str">
        <f>N3190&amp;AS[[#This Row],[Insurer Code]]&amp;"; "&amp;O3190&amp;AS[[#This Row],[Reporting Year]]&amp;"; "&amp;P3190&amp;AS[[#This Row],[Insurance Category Code]]&amp;"; "&amp;Q3190&amp;AS[[#This Row],[Large Provider Entity Code]]&amp;"; "&amp;R3190&amp;AS[[#This Row],[Age Band Code]]&amp;"; "&amp;S3190&amp;AS[[#This Row],[Sex Code]]</f>
        <v xml:space="preserve">Insurer Code ; Reporting Year ; Insurance Category Code ; Large Provider Entity Code ; Age Band Code ; Sex Code </v>
      </c>
      <c r="N3190" s="345" t="s">
        <v>207</v>
      </c>
      <c r="O3190" s="345" t="s">
        <v>208</v>
      </c>
      <c r="P3190" s="345" t="s">
        <v>209</v>
      </c>
      <c r="Q3190" s="345" t="s">
        <v>210</v>
      </c>
      <c r="R3190" s="345" t="s">
        <v>223</v>
      </c>
      <c r="S3190" s="345" t="s">
        <v>224</v>
      </c>
    </row>
    <row r="3191" spans="1:19" x14ac:dyDescent="0.25">
      <c r="A3191" s="311"/>
      <c r="B3191" s="312"/>
      <c r="C3191" s="312"/>
      <c r="D3191" s="312"/>
      <c r="E3191" s="312"/>
      <c r="F3191" s="312"/>
      <c r="G3191" s="328"/>
      <c r="H3191" s="337"/>
      <c r="I3191" s="334"/>
      <c r="J3191" s="314"/>
      <c r="K3191" s="449"/>
      <c r="M3191" s="349" t="str">
        <f>N3191&amp;AS[[#This Row],[Insurer Code]]&amp;"; "&amp;O3191&amp;AS[[#This Row],[Reporting Year]]&amp;"; "&amp;P3191&amp;AS[[#This Row],[Insurance Category Code]]&amp;"; "&amp;Q3191&amp;AS[[#This Row],[Large Provider Entity Code]]&amp;"; "&amp;R3191&amp;AS[[#This Row],[Age Band Code]]&amp;"; "&amp;S3191&amp;AS[[#This Row],[Sex Code]]</f>
        <v xml:space="preserve">Insurer Code ; Reporting Year ; Insurance Category Code ; Large Provider Entity Code ; Age Band Code ; Sex Code </v>
      </c>
      <c r="N3191" s="345" t="s">
        <v>207</v>
      </c>
      <c r="O3191" s="345" t="s">
        <v>208</v>
      </c>
      <c r="P3191" s="345" t="s">
        <v>209</v>
      </c>
      <c r="Q3191" s="345" t="s">
        <v>210</v>
      </c>
      <c r="R3191" s="345" t="s">
        <v>223</v>
      </c>
      <c r="S3191" s="345" t="s">
        <v>224</v>
      </c>
    </row>
    <row r="3192" spans="1:19" x14ac:dyDescent="0.25">
      <c r="A3192" s="311"/>
      <c r="B3192" s="312"/>
      <c r="C3192" s="312"/>
      <c r="D3192" s="312"/>
      <c r="E3192" s="312"/>
      <c r="F3192" s="312"/>
      <c r="G3192" s="328"/>
      <c r="H3192" s="337"/>
      <c r="I3192" s="334"/>
      <c r="J3192" s="314"/>
      <c r="K3192" s="449"/>
      <c r="M3192" s="349" t="str">
        <f>N3192&amp;AS[[#This Row],[Insurer Code]]&amp;"; "&amp;O3192&amp;AS[[#This Row],[Reporting Year]]&amp;"; "&amp;P3192&amp;AS[[#This Row],[Insurance Category Code]]&amp;"; "&amp;Q3192&amp;AS[[#This Row],[Large Provider Entity Code]]&amp;"; "&amp;R3192&amp;AS[[#This Row],[Age Band Code]]&amp;"; "&amp;S3192&amp;AS[[#This Row],[Sex Code]]</f>
        <v xml:space="preserve">Insurer Code ; Reporting Year ; Insurance Category Code ; Large Provider Entity Code ; Age Band Code ; Sex Code </v>
      </c>
      <c r="N3192" s="345" t="s">
        <v>207</v>
      </c>
      <c r="O3192" s="345" t="s">
        <v>208</v>
      </c>
      <c r="P3192" s="345" t="s">
        <v>209</v>
      </c>
      <c r="Q3192" s="345" t="s">
        <v>210</v>
      </c>
      <c r="R3192" s="345" t="s">
        <v>223</v>
      </c>
      <c r="S3192" s="345" t="s">
        <v>224</v>
      </c>
    </row>
    <row r="3193" spans="1:19" x14ac:dyDescent="0.25">
      <c r="A3193" s="311"/>
      <c r="B3193" s="312"/>
      <c r="C3193" s="312"/>
      <c r="D3193" s="312"/>
      <c r="E3193" s="312"/>
      <c r="F3193" s="312"/>
      <c r="G3193" s="328"/>
      <c r="H3193" s="337"/>
      <c r="I3193" s="334"/>
      <c r="J3193" s="314"/>
      <c r="K3193" s="449"/>
      <c r="M3193" s="349" t="str">
        <f>N3193&amp;AS[[#This Row],[Insurer Code]]&amp;"; "&amp;O3193&amp;AS[[#This Row],[Reporting Year]]&amp;"; "&amp;P3193&amp;AS[[#This Row],[Insurance Category Code]]&amp;"; "&amp;Q3193&amp;AS[[#This Row],[Large Provider Entity Code]]&amp;"; "&amp;R3193&amp;AS[[#This Row],[Age Band Code]]&amp;"; "&amp;S3193&amp;AS[[#This Row],[Sex Code]]</f>
        <v xml:space="preserve">Insurer Code ; Reporting Year ; Insurance Category Code ; Large Provider Entity Code ; Age Band Code ; Sex Code </v>
      </c>
      <c r="N3193" s="345" t="s">
        <v>207</v>
      </c>
      <c r="O3193" s="345" t="s">
        <v>208</v>
      </c>
      <c r="P3193" s="345" t="s">
        <v>209</v>
      </c>
      <c r="Q3193" s="345" t="s">
        <v>210</v>
      </c>
      <c r="R3193" s="345" t="s">
        <v>223</v>
      </c>
      <c r="S3193" s="345" t="s">
        <v>224</v>
      </c>
    </row>
    <row r="3194" spans="1:19" x14ac:dyDescent="0.25">
      <c r="A3194" s="311"/>
      <c r="B3194" s="312"/>
      <c r="C3194" s="312"/>
      <c r="D3194" s="312"/>
      <c r="E3194" s="312"/>
      <c r="F3194" s="312"/>
      <c r="G3194" s="328"/>
      <c r="H3194" s="337"/>
      <c r="I3194" s="334"/>
      <c r="J3194" s="314"/>
      <c r="K3194" s="449"/>
      <c r="M3194" s="349" t="str">
        <f>N3194&amp;AS[[#This Row],[Insurer Code]]&amp;"; "&amp;O3194&amp;AS[[#This Row],[Reporting Year]]&amp;"; "&amp;P3194&amp;AS[[#This Row],[Insurance Category Code]]&amp;"; "&amp;Q3194&amp;AS[[#This Row],[Large Provider Entity Code]]&amp;"; "&amp;R3194&amp;AS[[#This Row],[Age Band Code]]&amp;"; "&amp;S3194&amp;AS[[#This Row],[Sex Code]]</f>
        <v xml:space="preserve">Insurer Code ; Reporting Year ; Insurance Category Code ; Large Provider Entity Code ; Age Band Code ; Sex Code </v>
      </c>
      <c r="N3194" s="345" t="s">
        <v>207</v>
      </c>
      <c r="O3194" s="345" t="s">
        <v>208</v>
      </c>
      <c r="P3194" s="345" t="s">
        <v>209</v>
      </c>
      <c r="Q3194" s="345" t="s">
        <v>210</v>
      </c>
      <c r="R3194" s="345" t="s">
        <v>223</v>
      </c>
      <c r="S3194" s="345" t="s">
        <v>224</v>
      </c>
    </row>
    <row r="3195" spans="1:19" x14ac:dyDescent="0.25">
      <c r="A3195" s="311"/>
      <c r="B3195" s="312"/>
      <c r="C3195" s="312"/>
      <c r="D3195" s="312"/>
      <c r="E3195" s="312"/>
      <c r="F3195" s="312"/>
      <c r="G3195" s="328"/>
      <c r="H3195" s="337"/>
      <c r="I3195" s="334"/>
      <c r="J3195" s="314"/>
      <c r="K3195" s="449"/>
      <c r="M3195" s="349" t="str">
        <f>N3195&amp;AS[[#This Row],[Insurer Code]]&amp;"; "&amp;O3195&amp;AS[[#This Row],[Reporting Year]]&amp;"; "&amp;P3195&amp;AS[[#This Row],[Insurance Category Code]]&amp;"; "&amp;Q3195&amp;AS[[#This Row],[Large Provider Entity Code]]&amp;"; "&amp;R3195&amp;AS[[#This Row],[Age Band Code]]&amp;"; "&amp;S3195&amp;AS[[#This Row],[Sex Code]]</f>
        <v xml:space="preserve">Insurer Code ; Reporting Year ; Insurance Category Code ; Large Provider Entity Code ; Age Band Code ; Sex Code </v>
      </c>
      <c r="N3195" s="345" t="s">
        <v>207</v>
      </c>
      <c r="O3195" s="345" t="s">
        <v>208</v>
      </c>
      <c r="P3195" s="345" t="s">
        <v>209</v>
      </c>
      <c r="Q3195" s="345" t="s">
        <v>210</v>
      </c>
      <c r="R3195" s="345" t="s">
        <v>223</v>
      </c>
      <c r="S3195" s="345" t="s">
        <v>224</v>
      </c>
    </row>
    <row r="3196" spans="1:19" x14ac:dyDescent="0.25">
      <c r="A3196" s="311"/>
      <c r="B3196" s="312"/>
      <c r="C3196" s="312"/>
      <c r="D3196" s="312"/>
      <c r="E3196" s="312"/>
      <c r="F3196" s="312"/>
      <c r="G3196" s="328"/>
      <c r="H3196" s="337"/>
      <c r="I3196" s="334"/>
      <c r="J3196" s="314"/>
      <c r="K3196" s="449"/>
      <c r="M3196" s="349" t="str">
        <f>N3196&amp;AS[[#This Row],[Insurer Code]]&amp;"; "&amp;O3196&amp;AS[[#This Row],[Reporting Year]]&amp;"; "&amp;P3196&amp;AS[[#This Row],[Insurance Category Code]]&amp;"; "&amp;Q3196&amp;AS[[#This Row],[Large Provider Entity Code]]&amp;"; "&amp;R3196&amp;AS[[#This Row],[Age Band Code]]&amp;"; "&amp;S3196&amp;AS[[#This Row],[Sex Code]]</f>
        <v xml:space="preserve">Insurer Code ; Reporting Year ; Insurance Category Code ; Large Provider Entity Code ; Age Band Code ; Sex Code </v>
      </c>
      <c r="N3196" s="345" t="s">
        <v>207</v>
      </c>
      <c r="O3196" s="345" t="s">
        <v>208</v>
      </c>
      <c r="P3196" s="345" t="s">
        <v>209</v>
      </c>
      <c r="Q3196" s="345" t="s">
        <v>210</v>
      </c>
      <c r="R3196" s="345" t="s">
        <v>223</v>
      </c>
      <c r="S3196" s="345" t="s">
        <v>224</v>
      </c>
    </row>
    <row r="3197" spans="1:19" x14ac:dyDescent="0.25">
      <c r="A3197" s="311"/>
      <c r="B3197" s="312"/>
      <c r="C3197" s="312"/>
      <c r="D3197" s="312"/>
      <c r="E3197" s="312"/>
      <c r="F3197" s="312"/>
      <c r="G3197" s="328"/>
      <c r="H3197" s="337"/>
      <c r="I3197" s="334"/>
      <c r="J3197" s="314"/>
      <c r="K3197" s="449"/>
      <c r="M3197" s="349" t="str">
        <f>N3197&amp;AS[[#This Row],[Insurer Code]]&amp;"; "&amp;O3197&amp;AS[[#This Row],[Reporting Year]]&amp;"; "&amp;P3197&amp;AS[[#This Row],[Insurance Category Code]]&amp;"; "&amp;Q3197&amp;AS[[#This Row],[Large Provider Entity Code]]&amp;"; "&amp;R3197&amp;AS[[#This Row],[Age Band Code]]&amp;"; "&amp;S3197&amp;AS[[#This Row],[Sex Code]]</f>
        <v xml:space="preserve">Insurer Code ; Reporting Year ; Insurance Category Code ; Large Provider Entity Code ; Age Band Code ; Sex Code </v>
      </c>
      <c r="N3197" s="345" t="s">
        <v>207</v>
      </c>
      <c r="O3197" s="345" t="s">
        <v>208</v>
      </c>
      <c r="P3197" s="345" t="s">
        <v>209</v>
      </c>
      <c r="Q3197" s="345" t="s">
        <v>210</v>
      </c>
      <c r="R3197" s="345" t="s">
        <v>223</v>
      </c>
      <c r="S3197" s="345" t="s">
        <v>224</v>
      </c>
    </row>
    <row r="3198" spans="1:19" x14ac:dyDescent="0.25">
      <c r="A3198" s="311"/>
      <c r="B3198" s="312"/>
      <c r="C3198" s="312"/>
      <c r="D3198" s="312"/>
      <c r="E3198" s="312"/>
      <c r="F3198" s="312"/>
      <c r="G3198" s="328"/>
      <c r="H3198" s="337"/>
      <c r="I3198" s="334"/>
      <c r="J3198" s="314"/>
      <c r="K3198" s="449"/>
      <c r="M3198" s="349" t="str">
        <f>N3198&amp;AS[[#This Row],[Insurer Code]]&amp;"; "&amp;O3198&amp;AS[[#This Row],[Reporting Year]]&amp;"; "&amp;P3198&amp;AS[[#This Row],[Insurance Category Code]]&amp;"; "&amp;Q3198&amp;AS[[#This Row],[Large Provider Entity Code]]&amp;"; "&amp;R3198&amp;AS[[#This Row],[Age Band Code]]&amp;"; "&amp;S3198&amp;AS[[#This Row],[Sex Code]]</f>
        <v xml:space="preserve">Insurer Code ; Reporting Year ; Insurance Category Code ; Large Provider Entity Code ; Age Band Code ; Sex Code </v>
      </c>
      <c r="N3198" s="345" t="s">
        <v>207</v>
      </c>
      <c r="O3198" s="345" t="s">
        <v>208</v>
      </c>
      <c r="P3198" s="345" t="s">
        <v>209</v>
      </c>
      <c r="Q3198" s="345" t="s">
        <v>210</v>
      </c>
      <c r="R3198" s="345" t="s">
        <v>223</v>
      </c>
      <c r="S3198" s="345" t="s">
        <v>224</v>
      </c>
    </row>
    <row r="3199" spans="1:19" x14ac:dyDescent="0.25">
      <c r="A3199" s="311"/>
      <c r="B3199" s="312"/>
      <c r="C3199" s="312"/>
      <c r="D3199" s="312"/>
      <c r="E3199" s="312"/>
      <c r="F3199" s="312"/>
      <c r="G3199" s="328"/>
      <c r="H3199" s="337"/>
      <c r="I3199" s="334"/>
      <c r="J3199" s="314"/>
      <c r="K3199" s="449"/>
      <c r="M3199" s="349" t="str">
        <f>N3199&amp;AS[[#This Row],[Insurer Code]]&amp;"; "&amp;O3199&amp;AS[[#This Row],[Reporting Year]]&amp;"; "&amp;P3199&amp;AS[[#This Row],[Insurance Category Code]]&amp;"; "&amp;Q3199&amp;AS[[#This Row],[Large Provider Entity Code]]&amp;"; "&amp;R3199&amp;AS[[#This Row],[Age Band Code]]&amp;"; "&amp;S3199&amp;AS[[#This Row],[Sex Code]]</f>
        <v xml:space="preserve">Insurer Code ; Reporting Year ; Insurance Category Code ; Large Provider Entity Code ; Age Band Code ; Sex Code </v>
      </c>
      <c r="N3199" s="345" t="s">
        <v>207</v>
      </c>
      <c r="O3199" s="345" t="s">
        <v>208</v>
      </c>
      <c r="P3199" s="345" t="s">
        <v>209</v>
      </c>
      <c r="Q3199" s="345" t="s">
        <v>210</v>
      </c>
      <c r="R3199" s="345" t="s">
        <v>223</v>
      </c>
      <c r="S3199" s="345" t="s">
        <v>224</v>
      </c>
    </row>
    <row r="3200" spans="1:19" x14ac:dyDescent="0.25">
      <c r="A3200" s="311"/>
      <c r="B3200" s="312"/>
      <c r="C3200" s="312"/>
      <c r="D3200" s="312"/>
      <c r="E3200" s="312"/>
      <c r="F3200" s="312"/>
      <c r="G3200" s="328"/>
      <c r="H3200" s="337"/>
      <c r="I3200" s="334"/>
      <c r="J3200" s="314"/>
      <c r="K3200" s="449"/>
      <c r="M3200" s="349" t="str">
        <f>N3200&amp;AS[[#This Row],[Insurer Code]]&amp;"; "&amp;O3200&amp;AS[[#This Row],[Reporting Year]]&amp;"; "&amp;P3200&amp;AS[[#This Row],[Insurance Category Code]]&amp;"; "&amp;Q3200&amp;AS[[#This Row],[Large Provider Entity Code]]&amp;"; "&amp;R3200&amp;AS[[#This Row],[Age Band Code]]&amp;"; "&amp;S3200&amp;AS[[#This Row],[Sex Code]]</f>
        <v xml:space="preserve">Insurer Code ; Reporting Year ; Insurance Category Code ; Large Provider Entity Code ; Age Band Code ; Sex Code </v>
      </c>
      <c r="N3200" s="345" t="s">
        <v>207</v>
      </c>
      <c r="O3200" s="345" t="s">
        <v>208</v>
      </c>
      <c r="P3200" s="345" t="s">
        <v>209</v>
      </c>
      <c r="Q3200" s="345" t="s">
        <v>210</v>
      </c>
      <c r="R3200" s="345" t="s">
        <v>223</v>
      </c>
      <c r="S3200" s="345" t="s">
        <v>224</v>
      </c>
    </row>
    <row r="3201" spans="1:19" x14ac:dyDescent="0.25">
      <c r="A3201" s="311"/>
      <c r="B3201" s="312"/>
      <c r="C3201" s="312"/>
      <c r="D3201" s="312"/>
      <c r="E3201" s="312"/>
      <c r="F3201" s="312"/>
      <c r="G3201" s="328"/>
      <c r="H3201" s="337"/>
      <c r="I3201" s="334"/>
      <c r="J3201" s="314"/>
      <c r="K3201" s="449"/>
      <c r="M3201" s="349" t="str">
        <f>N3201&amp;AS[[#This Row],[Insurer Code]]&amp;"; "&amp;O3201&amp;AS[[#This Row],[Reporting Year]]&amp;"; "&amp;P3201&amp;AS[[#This Row],[Insurance Category Code]]&amp;"; "&amp;Q3201&amp;AS[[#This Row],[Large Provider Entity Code]]&amp;"; "&amp;R3201&amp;AS[[#This Row],[Age Band Code]]&amp;"; "&amp;S3201&amp;AS[[#This Row],[Sex Code]]</f>
        <v xml:space="preserve">Insurer Code ; Reporting Year ; Insurance Category Code ; Large Provider Entity Code ; Age Band Code ; Sex Code </v>
      </c>
      <c r="N3201" s="345" t="s">
        <v>207</v>
      </c>
      <c r="O3201" s="345" t="s">
        <v>208</v>
      </c>
      <c r="P3201" s="345" t="s">
        <v>209</v>
      </c>
      <c r="Q3201" s="345" t="s">
        <v>210</v>
      </c>
      <c r="R3201" s="345" t="s">
        <v>223</v>
      </c>
      <c r="S3201" s="345" t="s">
        <v>224</v>
      </c>
    </row>
    <row r="3202" spans="1:19" x14ac:dyDescent="0.25">
      <c r="A3202" s="311"/>
      <c r="B3202" s="312"/>
      <c r="C3202" s="312"/>
      <c r="D3202" s="312"/>
      <c r="E3202" s="312"/>
      <c r="F3202" s="312"/>
      <c r="G3202" s="328"/>
      <c r="H3202" s="337"/>
      <c r="I3202" s="334"/>
      <c r="J3202" s="314"/>
      <c r="K3202" s="449"/>
      <c r="M3202" s="349" t="str">
        <f>N3202&amp;AS[[#This Row],[Insurer Code]]&amp;"; "&amp;O3202&amp;AS[[#This Row],[Reporting Year]]&amp;"; "&amp;P3202&amp;AS[[#This Row],[Insurance Category Code]]&amp;"; "&amp;Q3202&amp;AS[[#This Row],[Large Provider Entity Code]]&amp;"; "&amp;R3202&amp;AS[[#This Row],[Age Band Code]]&amp;"; "&amp;S3202&amp;AS[[#This Row],[Sex Code]]</f>
        <v xml:space="preserve">Insurer Code ; Reporting Year ; Insurance Category Code ; Large Provider Entity Code ; Age Band Code ; Sex Code </v>
      </c>
      <c r="N3202" s="345" t="s">
        <v>207</v>
      </c>
      <c r="O3202" s="345" t="s">
        <v>208</v>
      </c>
      <c r="P3202" s="345" t="s">
        <v>209</v>
      </c>
      <c r="Q3202" s="345" t="s">
        <v>210</v>
      </c>
      <c r="R3202" s="345" t="s">
        <v>223</v>
      </c>
      <c r="S3202" s="345" t="s">
        <v>224</v>
      </c>
    </row>
    <row r="3203" spans="1:19" x14ac:dyDescent="0.25">
      <c r="A3203" s="311"/>
      <c r="B3203" s="312"/>
      <c r="C3203" s="312"/>
      <c r="D3203" s="312"/>
      <c r="E3203" s="312"/>
      <c r="F3203" s="312"/>
      <c r="G3203" s="328"/>
      <c r="H3203" s="337"/>
      <c r="I3203" s="334"/>
      <c r="J3203" s="314"/>
      <c r="K3203" s="449"/>
      <c r="M3203" s="349" t="str">
        <f>N3203&amp;AS[[#This Row],[Insurer Code]]&amp;"; "&amp;O3203&amp;AS[[#This Row],[Reporting Year]]&amp;"; "&amp;P3203&amp;AS[[#This Row],[Insurance Category Code]]&amp;"; "&amp;Q3203&amp;AS[[#This Row],[Large Provider Entity Code]]&amp;"; "&amp;R3203&amp;AS[[#This Row],[Age Band Code]]&amp;"; "&amp;S3203&amp;AS[[#This Row],[Sex Code]]</f>
        <v xml:space="preserve">Insurer Code ; Reporting Year ; Insurance Category Code ; Large Provider Entity Code ; Age Band Code ; Sex Code </v>
      </c>
      <c r="N3203" s="345" t="s">
        <v>207</v>
      </c>
      <c r="O3203" s="345" t="s">
        <v>208</v>
      </c>
      <c r="P3203" s="345" t="s">
        <v>209</v>
      </c>
      <c r="Q3203" s="345" t="s">
        <v>210</v>
      </c>
      <c r="R3203" s="345" t="s">
        <v>223</v>
      </c>
      <c r="S3203" s="345" t="s">
        <v>224</v>
      </c>
    </row>
    <row r="3204" spans="1:19" x14ac:dyDescent="0.25">
      <c r="A3204" s="311"/>
      <c r="B3204" s="312"/>
      <c r="C3204" s="312"/>
      <c r="D3204" s="312"/>
      <c r="E3204" s="312"/>
      <c r="F3204" s="312"/>
      <c r="G3204" s="328"/>
      <c r="H3204" s="337"/>
      <c r="I3204" s="334"/>
      <c r="J3204" s="314"/>
      <c r="K3204" s="449"/>
      <c r="M3204" s="349" t="str">
        <f>N3204&amp;AS[[#This Row],[Insurer Code]]&amp;"; "&amp;O3204&amp;AS[[#This Row],[Reporting Year]]&amp;"; "&amp;P3204&amp;AS[[#This Row],[Insurance Category Code]]&amp;"; "&amp;Q3204&amp;AS[[#This Row],[Large Provider Entity Code]]&amp;"; "&amp;R3204&amp;AS[[#This Row],[Age Band Code]]&amp;"; "&amp;S3204&amp;AS[[#This Row],[Sex Code]]</f>
        <v xml:space="preserve">Insurer Code ; Reporting Year ; Insurance Category Code ; Large Provider Entity Code ; Age Band Code ; Sex Code </v>
      </c>
      <c r="N3204" s="345" t="s">
        <v>207</v>
      </c>
      <c r="O3204" s="345" t="s">
        <v>208</v>
      </c>
      <c r="P3204" s="345" t="s">
        <v>209</v>
      </c>
      <c r="Q3204" s="345" t="s">
        <v>210</v>
      </c>
      <c r="R3204" s="345" t="s">
        <v>223</v>
      </c>
      <c r="S3204" s="345" t="s">
        <v>224</v>
      </c>
    </row>
    <row r="3205" spans="1:19" x14ac:dyDescent="0.25">
      <c r="A3205" s="311"/>
      <c r="B3205" s="312"/>
      <c r="C3205" s="312"/>
      <c r="D3205" s="312"/>
      <c r="E3205" s="312"/>
      <c r="F3205" s="312"/>
      <c r="G3205" s="328"/>
      <c r="H3205" s="337"/>
      <c r="I3205" s="334"/>
      <c r="J3205" s="314"/>
      <c r="K3205" s="449"/>
      <c r="M3205" s="349" t="str">
        <f>N3205&amp;AS[[#This Row],[Insurer Code]]&amp;"; "&amp;O3205&amp;AS[[#This Row],[Reporting Year]]&amp;"; "&amp;P3205&amp;AS[[#This Row],[Insurance Category Code]]&amp;"; "&amp;Q3205&amp;AS[[#This Row],[Large Provider Entity Code]]&amp;"; "&amp;R3205&amp;AS[[#This Row],[Age Band Code]]&amp;"; "&amp;S3205&amp;AS[[#This Row],[Sex Code]]</f>
        <v xml:space="preserve">Insurer Code ; Reporting Year ; Insurance Category Code ; Large Provider Entity Code ; Age Band Code ; Sex Code </v>
      </c>
      <c r="N3205" s="345" t="s">
        <v>207</v>
      </c>
      <c r="O3205" s="345" t="s">
        <v>208</v>
      </c>
      <c r="P3205" s="345" t="s">
        <v>209</v>
      </c>
      <c r="Q3205" s="345" t="s">
        <v>210</v>
      </c>
      <c r="R3205" s="345" t="s">
        <v>223</v>
      </c>
      <c r="S3205" s="345" t="s">
        <v>224</v>
      </c>
    </row>
    <row r="3206" spans="1:19" x14ac:dyDescent="0.25">
      <c r="A3206" s="311"/>
      <c r="B3206" s="312"/>
      <c r="C3206" s="312"/>
      <c r="D3206" s="312"/>
      <c r="E3206" s="312"/>
      <c r="F3206" s="312"/>
      <c r="G3206" s="328"/>
      <c r="H3206" s="337"/>
      <c r="I3206" s="334"/>
      <c r="J3206" s="314"/>
      <c r="K3206" s="449"/>
      <c r="M3206" s="349" t="str">
        <f>N3206&amp;AS[[#This Row],[Insurer Code]]&amp;"; "&amp;O3206&amp;AS[[#This Row],[Reporting Year]]&amp;"; "&amp;P3206&amp;AS[[#This Row],[Insurance Category Code]]&amp;"; "&amp;Q3206&amp;AS[[#This Row],[Large Provider Entity Code]]&amp;"; "&amp;R3206&amp;AS[[#This Row],[Age Band Code]]&amp;"; "&amp;S3206&amp;AS[[#This Row],[Sex Code]]</f>
        <v xml:space="preserve">Insurer Code ; Reporting Year ; Insurance Category Code ; Large Provider Entity Code ; Age Band Code ; Sex Code </v>
      </c>
      <c r="N3206" s="345" t="s">
        <v>207</v>
      </c>
      <c r="O3206" s="345" t="s">
        <v>208</v>
      </c>
      <c r="P3206" s="345" t="s">
        <v>209</v>
      </c>
      <c r="Q3206" s="345" t="s">
        <v>210</v>
      </c>
      <c r="R3206" s="345" t="s">
        <v>223</v>
      </c>
      <c r="S3206" s="345" t="s">
        <v>224</v>
      </c>
    </row>
    <row r="3207" spans="1:19" x14ac:dyDescent="0.25">
      <c r="A3207" s="311"/>
      <c r="B3207" s="312"/>
      <c r="C3207" s="312"/>
      <c r="D3207" s="312"/>
      <c r="E3207" s="312"/>
      <c r="F3207" s="312"/>
      <c r="G3207" s="328"/>
      <c r="H3207" s="337"/>
      <c r="I3207" s="334"/>
      <c r="J3207" s="314"/>
      <c r="K3207" s="449"/>
      <c r="M3207" s="349" t="str">
        <f>N3207&amp;AS[[#This Row],[Insurer Code]]&amp;"; "&amp;O3207&amp;AS[[#This Row],[Reporting Year]]&amp;"; "&amp;P3207&amp;AS[[#This Row],[Insurance Category Code]]&amp;"; "&amp;Q3207&amp;AS[[#This Row],[Large Provider Entity Code]]&amp;"; "&amp;R3207&amp;AS[[#This Row],[Age Band Code]]&amp;"; "&amp;S3207&amp;AS[[#This Row],[Sex Code]]</f>
        <v xml:space="preserve">Insurer Code ; Reporting Year ; Insurance Category Code ; Large Provider Entity Code ; Age Band Code ; Sex Code </v>
      </c>
      <c r="N3207" s="345" t="s">
        <v>207</v>
      </c>
      <c r="O3207" s="345" t="s">
        <v>208</v>
      </c>
      <c r="P3207" s="345" t="s">
        <v>209</v>
      </c>
      <c r="Q3207" s="345" t="s">
        <v>210</v>
      </c>
      <c r="R3207" s="345" t="s">
        <v>223</v>
      </c>
      <c r="S3207" s="345" t="s">
        <v>224</v>
      </c>
    </row>
    <row r="3208" spans="1:19" x14ac:dyDescent="0.25">
      <c r="A3208" s="311"/>
      <c r="B3208" s="312"/>
      <c r="C3208" s="312"/>
      <c r="D3208" s="312"/>
      <c r="E3208" s="312"/>
      <c r="F3208" s="312"/>
      <c r="G3208" s="328"/>
      <c r="H3208" s="337"/>
      <c r="I3208" s="334"/>
      <c r="J3208" s="314"/>
      <c r="K3208" s="449"/>
      <c r="M3208" s="349" t="str">
        <f>N3208&amp;AS[[#This Row],[Insurer Code]]&amp;"; "&amp;O3208&amp;AS[[#This Row],[Reporting Year]]&amp;"; "&amp;P3208&amp;AS[[#This Row],[Insurance Category Code]]&amp;"; "&amp;Q3208&amp;AS[[#This Row],[Large Provider Entity Code]]&amp;"; "&amp;R3208&amp;AS[[#This Row],[Age Band Code]]&amp;"; "&amp;S3208&amp;AS[[#This Row],[Sex Code]]</f>
        <v xml:space="preserve">Insurer Code ; Reporting Year ; Insurance Category Code ; Large Provider Entity Code ; Age Band Code ; Sex Code </v>
      </c>
      <c r="N3208" s="345" t="s">
        <v>207</v>
      </c>
      <c r="O3208" s="345" t="s">
        <v>208</v>
      </c>
      <c r="P3208" s="345" t="s">
        <v>209</v>
      </c>
      <c r="Q3208" s="345" t="s">
        <v>210</v>
      </c>
      <c r="R3208" s="345" t="s">
        <v>223</v>
      </c>
      <c r="S3208" s="345" t="s">
        <v>224</v>
      </c>
    </row>
    <row r="3209" spans="1:19" x14ac:dyDescent="0.25">
      <c r="A3209" s="311"/>
      <c r="B3209" s="312"/>
      <c r="C3209" s="312"/>
      <c r="D3209" s="312"/>
      <c r="E3209" s="312"/>
      <c r="F3209" s="312"/>
      <c r="G3209" s="328"/>
      <c r="H3209" s="337"/>
      <c r="I3209" s="334"/>
      <c r="J3209" s="314"/>
      <c r="K3209" s="449"/>
      <c r="M3209" s="349" t="str">
        <f>N3209&amp;AS[[#This Row],[Insurer Code]]&amp;"; "&amp;O3209&amp;AS[[#This Row],[Reporting Year]]&amp;"; "&amp;P3209&amp;AS[[#This Row],[Insurance Category Code]]&amp;"; "&amp;Q3209&amp;AS[[#This Row],[Large Provider Entity Code]]&amp;"; "&amp;R3209&amp;AS[[#This Row],[Age Band Code]]&amp;"; "&amp;S3209&amp;AS[[#This Row],[Sex Code]]</f>
        <v xml:space="preserve">Insurer Code ; Reporting Year ; Insurance Category Code ; Large Provider Entity Code ; Age Band Code ; Sex Code </v>
      </c>
      <c r="N3209" s="345" t="s">
        <v>207</v>
      </c>
      <c r="O3209" s="345" t="s">
        <v>208</v>
      </c>
      <c r="P3209" s="345" t="s">
        <v>209</v>
      </c>
      <c r="Q3209" s="345" t="s">
        <v>210</v>
      </c>
      <c r="R3209" s="345" t="s">
        <v>223</v>
      </c>
      <c r="S3209" s="345" t="s">
        <v>224</v>
      </c>
    </row>
    <row r="3210" spans="1:19" x14ac:dyDescent="0.25">
      <c r="A3210" s="311"/>
      <c r="B3210" s="312"/>
      <c r="C3210" s="312"/>
      <c r="D3210" s="312"/>
      <c r="E3210" s="312"/>
      <c r="F3210" s="312"/>
      <c r="G3210" s="328"/>
      <c r="H3210" s="337"/>
      <c r="I3210" s="334"/>
      <c r="J3210" s="314"/>
      <c r="K3210" s="449"/>
      <c r="M3210" s="349" t="str">
        <f>N3210&amp;AS[[#This Row],[Insurer Code]]&amp;"; "&amp;O3210&amp;AS[[#This Row],[Reporting Year]]&amp;"; "&amp;P3210&amp;AS[[#This Row],[Insurance Category Code]]&amp;"; "&amp;Q3210&amp;AS[[#This Row],[Large Provider Entity Code]]&amp;"; "&amp;R3210&amp;AS[[#This Row],[Age Band Code]]&amp;"; "&amp;S3210&amp;AS[[#This Row],[Sex Code]]</f>
        <v xml:space="preserve">Insurer Code ; Reporting Year ; Insurance Category Code ; Large Provider Entity Code ; Age Band Code ; Sex Code </v>
      </c>
      <c r="N3210" s="345" t="s">
        <v>207</v>
      </c>
      <c r="O3210" s="345" t="s">
        <v>208</v>
      </c>
      <c r="P3210" s="345" t="s">
        <v>209</v>
      </c>
      <c r="Q3210" s="345" t="s">
        <v>210</v>
      </c>
      <c r="R3210" s="345" t="s">
        <v>223</v>
      </c>
      <c r="S3210" s="345" t="s">
        <v>224</v>
      </c>
    </row>
    <row r="3211" spans="1:19" x14ac:dyDescent="0.25">
      <c r="A3211" s="311"/>
      <c r="B3211" s="312"/>
      <c r="C3211" s="312"/>
      <c r="D3211" s="312"/>
      <c r="E3211" s="312"/>
      <c r="F3211" s="312"/>
      <c r="G3211" s="328"/>
      <c r="H3211" s="337"/>
      <c r="I3211" s="334"/>
      <c r="J3211" s="314"/>
      <c r="K3211" s="449"/>
      <c r="M3211" s="349" t="str">
        <f>N3211&amp;AS[[#This Row],[Insurer Code]]&amp;"; "&amp;O3211&amp;AS[[#This Row],[Reporting Year]]&amp;"; "&amp;P3211&amp;AS[[#This Row],[Insurance Category Code]]&amp;"; "&amp;Q3211&amp;AS[[#This Row],[Large Provider Entity Code]]&amp;"; "&amp;R3211&amp;AS[[#This Row],[Age Band Code]]&amp;"; "&amp;S3211&amp;AS[[#This Row],[Sex Code]]</f>
        <v xml:space="preserve">Insurer Code ; Reporting Year ; Insurance Category Code ; Large Provider Entity Code ; Age Band Code ; Sex Code </v>
      </c>
      <c r="N3211" s="345" t="s">
        <v>207</v>
      </c>
      <c r="O3211" s="345" t="s">
        <v>208</v>
      </c>
      <c r="P3211" s="345" t="s">
        <v>209</v>
      </c>
      <c r="Q3211" s="345" t="s">
        <v>210</v>
      </c>
      <c r="R3211" s="345" t="s">
        <v>223</v>
      </c>
      <c r="S3211" s="345" t="s">
        <v>224</v>
      </c>
    </row>
    <row r="3212" spans="1:19" x14ac:dyDescent="0.25">
      <c r="A3212" s="311"/>
      <c r="B3212" s="312"/>
      <c r="C3212" s="312"/>
      <c r="D3212" s="312"/>
      <c r="E3212" s="312"/>
      <c r="F3212" s="312"/>
      <c r="G3212" s="328"/>
      <c r="H3212" s="337"/>
      <c r="I3212" s="334"/>
      <c r="J3212" s="314"/>
      <c r="K3212" s="449"/>
      <c r="M3212" s="349" t="str">
        <f>N3212&amp;AS[[#This Row],[Insurer Code]]&amp;"; "&amp;O3212&amp;AS[[#This Row],[Reporting Year]]&amp;"; "&amp;P3212&amp;AS[[#This Row],[Insurance Category Code]]&amp;"; "&amp;Q3212&amp;AS[[#This Row],[Large Provider Entity Code]]&amp;"; "&amp;R3212&amp;AS[[#This Row],[Age Band Code]]&amp;"; "&amp;S3212&amp;AS[[#This Row],[Sex Code]]</f>
        <v xml:space="preserve">Insurer Code ; Reporting Year ; Insurance Category Code ; Large Provider Entity Code ; Age Band Code ; Sex Code </v>
      </c>
      <c r="N3212" s="345" t="s">
        <v>207</v>
      </c>
      <c r="O3212" s="345" t="s">
        <v>208</v>
      </c>
      <c r="P3212" s="345" t="s">
        <v>209</v>
      </c>
      <c r="Q3212" s="345" t="s">
        <v>210</v>
      </c>
      <c r="R3212" s="345" t="s">
        <v>223</v>
      </c>
      <c r="S3212" s="345" t="s">
        <v>224</v>
      </c>
    </row>
    <row r="3213" spans="1:19" x14ac:dyDescent="0.25">
      <c r="A3213" s="311"/>
      <c r="B3213" s="312"/>
      <c r="C3213" s="312"/>
      <c r="D3213" s="312"/>
      <c r="E3213" s="312"/>
      <c r="F3213" s="312"/>
      <c r="G3213" s="328"/>
      <c r="H3213" s="337"/>
      <c r="I3213" s="334"/>
      <c r="J3213" s="314"/>
      <c r="K3213" s="449"/>
      <c r="M3213" s="349" t="str">
        <f>N3213&amp;AS[[#This Row],[Insurer Code]]&amp;"; "&amp;O3213&amp;AS[[#This Row],[Reporting Year]]&amp;"; "&amp;P3213&amp;AS[[#This Row],[Insurance Category Code]]&amp;"; "&amp;Q3213&amp;AS[[#This Row],[Large Provider Entity Code]]&amp;"; "&amp;R3213&amp;AS[[#This Row],[Age Band Code]]&amp;"; "&amp;S3213&amp;AS[[#This Row],[Sex Code]]</f>
        <v xml:space="preserve">Insurer Code ; Reporting Year ; Insurance Category Code ; Large Provider Entity Code ; Age Band Code ; Sex Code </v>
      </c>
      <c r="N3213" s="345" t="s">
        <v>207</v>
      </c>
      <c r="O3213" s="345" t="s">
        <v>208</v>
      </c>
      <c r="P3213" s="345" t="s">
        <v>209</v>
      </c>
      <c r="Q3213" s="345" t="s">
        <v>210</v>
      </c>
      <c r="R3213" s="345" t="s">
        <v>223</v>
      </c>
      <c r="S3213" s="345" t="s">
        <v>224</v>
      </c>
    </row>
    <row r="3214" spans="1:19" x14ac:dyDescent="0.25">
      <c r="A3214" s="311"/>
      <c r="B3214" s="312"/>
      <c r="C3214" s="312"/>
      <c r="D3214" s="312"/>
      <c r="E3214" s="312"/>
      <c r="F3214" s="312"/>
      <c r="G3214" s="328"/>
      <c r="H3214" s="337"/>
      <c r="I3214" s="334"/>
      <c r="J3214" s="314"/>
      <c r="K3214" s="449"/>
      <c r="M3214" s="349" t="str">
        <f>N3214&amp;AS[[#This Row],[Insurer Code]]&amp;"; "&amp;O3214&amp;AS[[#This Row],[Reporting Year]]&amp;"; "&amp;P3214&amp;AS[[#This Row],[Insurance Category Code]]&amp;"; "&amp;Q3214&amp;AS[[#This Row],[Large Provider Entity Code]]&amp;"; "&amp;R3214&amp;AS[[#This Row],[Age Band Code]]&amp;"; "&amp;S3214&amp;AS[[#This Row],[Sex Code]]</f>
        <v xml:space="preserve">Insurer Code ; Reporting Year ; Insurance Category Code ; Large Provider Entity Code ; Age Band Code ; Sex Code </v>
      </c>
      <c r="N3214" s="345" t="s">
        <v>207</v>
      </c>
      <c r="O3214" s="345" t="s">
        <v>208</v>
      </c>
      <c r="P3214" s="345" t="s">
        <v>209</v>
      </c>
      <c r="Q3214" s="345" t="s">
        <v>210</v>
      </c>
      <c r="R3214" s="345" t="s">
        <v>223</v>
      </c>
      <c r="S3214" s="345" t="s">
        <v>224</v>
      </c>
    </row>
    <row r="3215" spans="1:19" x14ac:dyDescent="0.25">
      <c r="A3215" s="311"/>
      <c r="B3215" s="312"/>
      <c r="C3215" s="312"/>
      <c r="D3215" s="312"/>
      <c r="E3215" s="312"/>
      <c r="F3215" s="312"/>
      <c r="G3215" s="328"/>
      <c r="H3215" s="337"/>
      <c r="I3215" s="334"/>
      <c r="J3215" s="314"/>
      <c r="K3215" s="449"/>
      <c r="M3215" s="349" t="str">
        <f>N3215&amp;AS[[#This Row],[Insurer Code]]&amp;"; "&amp;O3215&amp;AS[[#This Row],[Reporting Year]]&amp;"; "&amp;P3215&amp;AS[[#This Row],[Insurance Category Code]]&amp;"; "&amp;Q3215&amp;AS[[#This Row],[Large Provider Entity Code]]&amp;"; "&amp;R3215&amp;AS[[#This Row],[Age Band Code]]&amp;"; "&amp;S3215&amp;AS[[#This Row],[Sex Code]]</f>
        <v xml:space="preserve">Insurer Code ; Reporting Year ; Insurance Category Code ; Large Provider Entity Code ; Age Band Code ; Sex Code </v>
      </c>
      <c r="N3215" s="345" t="s">
        <v>207</v>
      </c>
      <c r="O3215" s="345" t="s">
        <v>208</v>
      </c>
      <c r="P3215" s="345" t="s">
        <v>209</v>
      </c>
      <c r="Q3215" s="345" t="s">
        <v>210</v>
      </c>
      <c r="R3215" s="345" t="s">
        <v>223</v>
      </c>
      <c r="S3215" s="345" t="s">
        <v>224</v>
      </c>
    </row>
    <row r="3216" spans="1:19" x14ac:dyDescent="0.25">
      <c r="A3216" s="311"/>
      <c r="B3216" s="312"/>
      <c r="C3216" s="312"/>
      <c r="D3216" s="312"/>
      <c r="E3216" s="312"/>
      <c r="F3216" s="312"/>
      <c r="G3216" s="328"/>
      <c r="H3216" s="337"/>
      <c r="I3216" s="334"/>
      <c r="J3216" s="314"/>
      <c r="K3216" s="449"/>
      <c r="M3216" s="349" t="str">
        <f>N3216&amp;AS[[#This Row],[Insurer Code]]&amp;"; "&amp;O3216&amp;AS[[#This Row],[Reporting Year]]&amp;"; "&amp;P3216&amp;AS[[#This Row],[Insurance Category Code]]&amp;"; "&amp;Q3216&amp;AS[[#This Row],[Large Provider Entity Code]]&amp;"; "&amp;R3216&amp;AS[[#This Row],[Age Band Code]]&amp;"; "&amp;S3216&amp;AS[[#This Row],[Sex Code]]</f>
        <v xml:space="preserve">Insurer Code ; Reporting Year ; Insurance Category Code ; Large Provider Entity Code ; Age Band Code ; Sex Code </v>
      </c>
      <c r="N3216" s="345" t="s">
        <v>207</v>
      </c>
      <c r="O3216" s="345" t="s">
        <v>208</v>
      </c>
      <c r="P3216" s="345" t="s">
        <v>209</v>
      </c>
      <c r="Q3216" s="345" t="s">
        <v>210</v>
      </c>
      <c r="R3216" s="345" t="s">
        <v>223</v>
      </c>
      <c r="S3216" s="345" t="s">
        <v>224</v>
      </c>
    </row>
    <row r="3217" spans="1:19" x14ac:dyDescent="0.25">
      <c r="A3217" s="311"/>
      <c r="B3217" s="312"/>
      <c r="C3217" s="312"/>
      <c r="D3217" s="312"/>
      <c r="E3217" s="312"/>
      <c r="F3217" s="312"/>
      <c r="G3217" s="328"/>
      <c r="H3217" s="337"/>
      <c r="I3217" s="334"/>
      <c r="J3217" s="314"/>
      <c r="K3217" s="449"/>
      <c r="M3217" s="349" t="str">
        <f>N3217&amp;AS[[#This Row],[Insurer Code]]&amp;"; "&amp;O3217&amp;AS[[#This Row],[Reporting Year]]&amp;"; "&amp;P3217&amp;AS[[#This Row],[Insurance Category Code]]&amp;"; "&amp;Q3217&amp;AS[[#This Row],[Large Provider Entity Code]]&amp;"; "&amp;R3217&amp;AS[[#This Row],[Age Band Code]]&amp;"; "&amp;S3217&amp;AS[[#This Row],[Sex Code]]</f>
        <v xml:space="preserve">Insurer Code ; Reporting Year ; Insurance Category Code ; Large Provider Entity Code ; Age Band Code ; Sex Code </v>
      </c>
      <c r="N3217" s="345" t="s">
        <v>207</v>
      </c>
      <c r="O3217" s="345" t="s">
        <v>208</v>
      </c>
      <c r="P3217" s="345" t="s">
        <v>209</v>
      </c>
      <c r="Q3217" s="345" t="s">
        <v>210</v>
      </c>
      <c r="R3217" s="345" t="s">
        <v>223</v>
      </c>
      <c r="S3217" s="345" t="s">
        <v>224</v>
      </c>
    </row>
    <row r="3218" spans="1:19" x14ac:dyDescent="0.25">
      <c r="A3218" s="311"/>
      <c r="B3218" s="312"/>
      <c r="C3218" s="312"/>
      <c r="D3218" s="312"/>
      <c r="E3218" s="312"/>
      <c r="F3218" s="312"/>
      <c r="G3218" s="328"/>
      <c r="H3218" s="337"/>
      <c r="I3218" s="334"/>
      <c r="J3218" s="314"/>
      <c r="K3218" s="449"/>
      <c r="M3218" s="349" t="str">
        <f>N3218&amp;AS[[#This Row],[Insurer Code]]&amp;"; "&amp;O3218&amp;AS[[#This Row],[Reporting Year]]&amp;"; "&amp;P3218&amp;AS[[#This Row],[Insurance Category Code]]&amp;"; "&amp;Q3218&amp;AS[[#This Row],[Large Provider Entity Code]]&amp;"; "&amp;R3218&amp;AS[[#This Row],[Age Band Code]]&amp;"; "&amp;S3218&amp;AS[[#This Row],[Sex Code]]</f>
        <v xml:space="preserve">Insurer Code ; Reporting Year ; Insurance Category Code ; Large Provider Entity Code ; Age Band Code ; Sex Code </v>
      </c>
      <c r="N3218" s="345" t="s">
        <v>207</v>
      </c>
      <c r="O3218" s="345" t="s">
        <v>208</v>
      </c>
      <c r="P3218" s="345" t="s">
        <v>209</v>
      </c>
      <c r="Q3218" s="345" t="s">
        <v>210</v>
      </c>
      <c r="R3218" s="345" t="s">
        <v>223</v>
      </c>
      <c r="S3218" s="345" t="s">
        <v>224</v>
      </c>
    </row>
    <row r="3219" spans="1:19" x14ac:dyDescent="0.25">
      <c r="A3219" s="311"/>
      <c r="B3219" s="312"/>
      <c r="C3219" s="312"/>
      <c r="D3219" s="312"/>
      <c r="E3219" s="312"/>
      <c r="F3219" s="312"/>
      <c r="G3219" s="328"/>
      <c r="H3219" s="337"/>
      <c r="I3219" s="334"/>
      <c r="J3219" s="314"/>
      <c r="K3219" s="449"/>
      <c r="M3219" s="349" t="str">
        <f>N3219&amp;AS[[#This Row],[Insurer Code]]&amp;"; "&amp;O3219&amp;AS[[#This Row],[Reporting Year]]&amp;"; "&amp;P3219&amp;AS[[#This Row],[Insurance Category Code]]&amp;"; "&amp;Q3219&amp;AS[[#This Row],[Large Provider Entity Code]]&amp;"; "&amp;R3219&amp;AS[[#This Row],[Age Band Code]]&amp;"; "&amp;S3219&amp;AS[[#This Row],[Sex Code]]</f>
        <v xml:space="preserve">Insurer Code ; Reporting Year ; Insurance Category Code ; Large Provider Entity Code ; Age Band Code ; Sex Code </v>
      </c>
      <c r="N3219" s="345" t="s">
        <v>207</v>
      </c>
      <c r="O3219" s="345" t="s">
        <v>208</v>
      </c>
      <c r="P3219" s="345" t="s">
        <v>209</v>
      </c>
      <c r="Q3219" s="345" t="s">
        <v>210</v>
      </c>
      <c r="R3219" s="345" t="s">
        <v>223</v>
      </c>
      <c r="S3219" s="345" t="s">
        <v>224</v>
      </c>
    </row>
    <row r="3220" spans="1:19" x14ac:dyDescent="0.25">
      <c r="A3220" s="311"/>
      <c r="B3220" s="312"/>
      <c r="C3220" s="312"/>
      <c r="D3220" s="312"/>
      <c r="E3220" s="312"/>
      <c r="F3220" s="312"/>
      <c r="G3220" s="328"/>
      <c r="H3220" s="337"/>
      <c r="I3220" s="334"/>
      <c r="J3220" s="314"/>
      <c r="K3220" s="449"/>
      <c r="M3220" s="349" t="str">
        <f>N3220&amp;AS[[#This Row],[Insurer Code]]&amp;"; "&amp;O3220&amp;AS[[#This Row],[Reporting Year]]&amp;"; "&amp;P3220&amp;AS[[#This Row],[Insurance Category Code]]&amp;"; "&amp;Q3220&amp;AS[[#This Row],[Large Provider Entity Code]]&amp;"; "&amp;R3220&amp;AS[[#This Row],[Age Band Code]]&amp;"; "&amp;S3220&amp;AS[[#This Row],[Sex Code]]</f>
        <v xml:space="preserve">Insurer Code ; Reporting Year ; Insurance Category Code ; Large Provider Entity Code ; Age Band Code ; Sex Code </v>
      </c>
      <c r="N3220" s="345" t="s">
        <v>207</v>
      </c>
      <c r="O3220" s="345" t="s">
        <v>208</v>
      </c>
      <c r="P3220" s="345" t="s">
        <v>209</v>
      </c>
      <c r="Q3220" s="345" t="s">
        <v>210</v>
      </c>
      <c r="R3220" s="345" t="s">
        <v>223</v>
      </c>
      <c r="S3220" s="345" t="s">
        <v>224</v>
      </c>
    </row>
    <row r="3221" spans="1:19" x14ac:dyDescent="0.25">
      <c r="A3221" s="311"/>
      <c r="B3221" s="312"/>
      <c r="C3221" s="312"/>
      <c r="D3221" s="312"/>
      <c r="E3221" s="312"/>
      <c r="F3221" s="312"/>
      <c r="G3221" s="328"/>
      <c r="H3221" s="337"/>
      <c r="I3221" s="334"/>
      <c r="J3221" s="314"/>
      <c r="K3221" s="449"/>
      <c r="M3221" s="349" t="str">
        <f>N3221&amp;AS[[#This Row],[Insurer Code]]&amp;"; "&amp;O3221&amp;AS[[#This Row],[Reporting Year]]&amp;"; "&amp;P3221&amp;AS[[#This Row],[Insurance Category Code]]&amp;"; "&amp;Q3221&amp;AS[[#This Row],[Large Provider Entity Code]]&amp;"; "&amp;R3221&amp;AS[[#This Row],[Age Band Code]]&amp;"; "&amp;S3221&amp;AS[[#This Row],[Sex Code]]</f>
        <v xml:space="preserve">Insurer Code ; Reporting Year ; Insurance Category Code ; Large Provider Entity Code ; Age Band Code ; Sex Code </v>
      </c>
      <c r="N3221" s="345" t="s">
        <v>207</v>
      </c>
      <c r="O3221" s="345" t="s">
        <v>208</v>
      </c>
      <c r="P3221" s="345" t="s">
        <v>209</v>
      </c>
      <c r="Q3221" s="345" t="s">
        <v>210</v>
      </c>
      <c r="R3221" s="345" t="s">
        <v>223</v>
      </c>
      <c r="S3221" s="345" t="s">
        <v>224</v>
      </c>
    </row>
    <row r="3222" spans="1:19" x14ac:dyDescent="0.25">
      <c r="A3222" s="311"/>
      <c r="B3222" s="312"/>
      <c r="C3222" s="312"/>
      <c r="D3222" s="312"/>
      <c r="E3222" s="312"/>
      <c r="F3222" s="312"/>
      <c r="G3222" s="328"/>
      <c r="H3222" s="337"/>
      <c r="I3222" s="334"/>
      <c r="J3222" s="314"/>
      <c r="K3222" s="449"/>
      <c r="M3222" s="349" t="str">
        <f>N3222&amp;AS[[#This Row],[Insurer Code]]&amp;"; "&amp;O3222&amp;AS[[#This Row],[Reporting Year]]&amp;"; "&amp;P3222&amp;AS[[#This Row],[Insurance Category Code]]&amp;"; "&amp;Q3222&amp;AS[[#This Row],[Large Provider Entity Code]]&amp;"; "&amp;R3222&amp;AS[[#This Row],[Age Band Code]]&amp;"; "&amp;S3222&amp;AS[[#This Row],[Sex Code]]</f>
        <v xml:space="preserve">Insurer Code ; Reporting Year ; Insurance Category Code ; Large Provider Entity Code ; Age Band Code ; Sex Code </v>
      </c>
      <c r="N3222" s="345" t="s">
        <v>207</v>
      </c>
      <c r="O3222" s="345" t="s">
        <v>208</v>
      </c>
      <c r="P3222" s="345" t="s">
        <v>209</v>
      </c>
      <c r="Q3222" s="345" t="s">
        <v>210</v>
      </c>
      <c r="R3222" s="345" t="s">
        <v>223</v>
      </c>
      <c r="S3222" s="345" t="s">
        <v>224</v>
      </c>
    </row>
    <row r="3223" spans="1:19" x14ac:dyDescent="0.25">
      <c r="A3223" s="311"/>
      <c r="B3223" s="312"/>
      <c r="C3223" s="312"/>
      <c r="D3223" s="312"/>
      <c r="E3223" s="312"/>
      <c r="F3223" s="312"/>
      <c r="G3223" s="328"/>
      <c r="H3223" s="337"/>
      <c r="I3223" s="334"/>
      <c r="J3223" s="314"/>
      <c r="K3223" s="449"/>
      <c r="M3223" s="349" t="str">
        <f>N3223&amp;AS[[#This Row],[Insurer Code]]&amp;"; "&amp;O3223&amp;AS[[#This Row],[Reporting Year]]&amp;"; "&amp;P3223&amp;AS[[#This Row],[Insurance Category Code]]&amp;"; "&amp;Q3223&amp;AS[[#This Row],[Large Provider Entity Code]]&amp;"; "&amp;R3223&amp;AS[[#This Row],[Age Band Code]]&amp;"; "&amp;S3223&amp;AS[[#This Row],[Sex Code]]</f>
        <v xml:space="preserve">Insurer Code ; Reporting Year ; Insurance Category Code ; Large Provider Entity Code ; Age Band Code ; Sex Code </v>
      </c>
      <c r="N3223" s="345" t="s">
        <v>207</v>
      </c>
      <c r="O3223" s="345" t="s">
        <v>208</v>
      </c>
      <c r="P3223" s="345" t="s">
        <v>209</v>
      </c>
      <c r="Q3223" s="345" t="s">
        <v>210</v>
      </c>
      <c r="R3223" s="345" t="s">
        <v>223</v>
      </c>
      <c r="S3223" s="345" t="s">
        <v>224</v>
      </c>
    </row>
    <row r="3224" spans="1:19" x14ac:dyDescent="0.25">
      <c r="A3224" s="311"/>
      <c r="B3224" s="312"/>
      <c r="C3224" s="312"/>
      <c r="D3224" s="312"/>
      <c r="E3224" s="312"/>
      <c r="F3224" s="312"/>
      <c r="G3224" s="328"/>
      <c r="H3224" s="337"/>
      <c r="I3224" s="334"/>
      <c r="J3224" s="314"/>
      <c r="K3224" s="449"/>
      <c r="M3224" s="349" t="str">
        <f>N3224&amp;AS[[#This Row],[Insurer Code]]&amp;"; "&amp;O3224&amp;AS[[#This Row],[Reporting Year]]&amp;"; "&amp;P3224&amp;AS[[#This Row],[Insurance Category Code]]&amp;"; "&amp;Q3224&amp;AS[[#This Row],[Large Provider Entity Code]]&amp;"; "&amp;R3224&amp;AS[[#This Row],[Age Band Code]]&amp;"; "&amp;S3224&amp;AS[[#This Row],[Sex Code]]</f>
        <v xml:space="preserve">Insurer Code ; Reporting Year ; Insurance Category Code ; Large Provider Entity Code ; Age Band Code ; Sex Code </v>
      </c>
      <c r="N3224" s="345" t="s">
        <v>207</v>
      </c>
      <c r="O3224" s="345" t="s">
        <v>208</v>
      </c>
      <c r="P3224" s="345" t="s">
        <v>209</v>
      </c>
      <c r="Q3224" s="345" t="s">
        <v>210</v>
      </c>
      <c r="R3224" s="345" t="s">
        <v>223</v>
      </c>
      <c r="S3224" s="345" t="s">
        <v>224</v>
      </c>
    </row>
    <row r="3225" spans="1:19" x14ac:dyDescent="0.25">
      <c r="A3225" s="311"/>
      <c r="B3225" s="312"/>
      <c r="C3225" s="312"/>
      <c r="D3225" s="312"/>
      <c r="E3225" s="312"/>
      <c r="F3225" s="312"/>
      <c r="G3225" s="328"/>
      <c r="H3225" s="337"/>
      <c r="I3225" s="334"/>
      <c r="J3225" s="314"/>
      <c r="K3225" s="449"/>
      <c r="M3225" s="349" t="str">
        <f>N3225&amp;AS[[#This Row],[Insurer Code]]&amp;"; "&amp;O3225&amp;AS[[#This Row],[Reporting Year]]&amp;"; "&amp;P3225&amp;AS[[#This Row],[Insurance Category Code]]&amp;"; "&amp;Q3225&amp;AS[[#This Row],[Large Provider Entity Code]]&amp;"; "&amp;R3225&amp;AS[[#This Row],[Age Band Code]]&amp;"; "&amp;S3225&amp;AS[[#This Row],[Sex Code]]</f>
        <v xml:space="preserve">Insurer Code ; Reporting Year ; Insurance Category Code ; Large Provider Entity Code ; Age Band Code ; Sex Code </v>
      </c>
      <c r="N3225" s="345" t="s">
        <v>207</v>
      </c>
      <c r="O3225" s="345" t="s">
        <v>208</v>
      </c>
      <c r="P3225" s="345" t="s">
        <v>209</v>
      </c>
      <c r="Q3225" s="345" t="s">
        <v>210</v>
      </c>
      <c r="R3225" s="345" t="s">
        <v>223</v>
      </c>
      <c r="S3225" s="345" t="s">
        <v>224</v>
      </c>
    </row>
    <row r="3226" spans="1:19" x14ac:dyDescent="0.25">
      <c r="A3226" s="311"/>
      <c r="B3226" s="312"/>
      <c r="C3226" s="312"/>
      <c r="D3226" s="312"/>
      <c r="E3226" s="312"/>
      <c r="F3226" s="312"/>
      <c r="G3226" s="328"/>
      <c r="H3226" s="337"/>
      <c r="I3226" s="334"/>
      <c r="J3226" s="314"/>
      <c r="K3226" s="449"/>
      <c r="M3226" s="349" t="str">
        <f>N3226&amp;AS[[#This Row],[Insurer Code]]&amp;"; "&amp;O3226&amp;AS[[#This Row],[Reporting Year]]&amp;"; "&amp;P3226&amp;AS[[#This Row],[Insurance Category Code]]&amp;"; "&amp;Q3226&amp;AS[[#This Row],[Large Provider Entity Code]]&amp;"; "&amp;R3226&amp;AS[[#This Row],[Age Band Code]]&amp;"; "&amp;S3226&amp;AS[[#This Row],[Sex Code]]</f>
        <v xml:space="preserve">Insurer Code ; Reporting Year ; Insurance Category Code ; Large Provider Entity Code ; Age Band Code ; Sex Code </v>
      </c>
      <c r="N3226" s="345" t="s">
        <v>207</v>
      </c>
      <c r="O3226" s="345" t="s">
        <v>208</v>
      </c>
      <c r="P3226" s="345" t="s">
        <v>209</v>
      </c>
      <c r="Q3226" s="345" t="s">
        <v>210</v>
      </c>
      <c r="R3226" s="345" t="s">
        <v>223</v>
      </c>
      <c r="S3226" s="345" t="s">
        <v>224</v>
      </c>
    </row>
    <row r="3227" spans="1:19" x14ac:dyDescent="0.25">
      <c r="A3227" s="311"/>
      <c r="B3227" s="312"/>
      <c r="C3227" s="312"/>
      <c r="D3227" s="312"/>
      <c r="E3227" s="312"/>
      <c r="F3227" s="312"/>
      <c r="G3227" s="328"/>
      <c r="H3227" s="337"/>
      <c r="I3227" s="334"/>
      <c r="J3227" s="314"/>
      <c r="K3227" s="449"/>
      <c r="M3227" s="349" t="str">
        <f>N3227&amp;AS[[#This Row],[Insurer Code]]&amp;"; "&amp;O3227&amp;AS[[#This Row],[Reporting Year]]&amp;"; "&amp;P3227&amp;AS[[#This Row],[Insurance Category Code]]&amp;"; "&amp;Q3227&amp;AS[[#This Row],[Large Provider Entity Code]]&amp;"; "&amp;R3227&amp;AS[[#This Row],[Age Band Code]]&amp;"; "&amp;S3227&amp;AS[[#This Row],[Sex Code]]</f>
        <v xml:space="preserve">Insurer Code ; Reporting Year ; Insurance Category Code ; Large Provider Entity Code ; Age Band Code ; Sex Code </v>
      </c>
      <c r="N3227" s="345" t="s">
        <v>207</v>
      </c>
      <c r="O3227" s="345" t="s">
        <v>208</v>
      </c>
      <c r="P3227" s="345" t="s">
        <v>209</v>
      </c>
      <c r="Q3227" s="345" t="s">
        <v>210</v>
      </c>
      <c r="R3227" s="345" t="s">
        <v>223</v>
      </c>
      <c r="S3227" s="345" t="s">
        <v>224</v>
      </c>
    </row>
    <row r="3228" spans="1:19" x14ac:dyDescent="0.25">
      <c r="A3228" s="311"/>
      <c r="B3228" s="312"/>
      <c r="C3228" s="312"/>
      <c r="D3228" s="312"/>
      <c r="E3228" s="312"/>
      <c r="F3228" s="312"/>
      <c r="G3228" s="328"/>
      <c r="H3228" s="337"/>
      <c r="I3228" s="334"/>
      <c r="J3228" s="314"/>
      <c r="K3228" s="449"/>
      <c r="M3228" s="349" t="str">
        <f>N3228&amp;AS[[#This Row],[Insurer Code]]&amp;"; "&amp;O3228&amp;AS[[#This Row],[Reporting Year]]&amp;"; "&amp;P3228&amp;AS[[#This Row],[Insurance Category Code]]&amp;"; "&amp;Q3228&amp;AS[[#This Row],[Large Provider Entity Code]]&amp;"; "&amp;R3228&amp;AS[[#This Row],[Age Band Code]]&amp;"; "&amp;S3228&amp;AS[[#This Row],[Sex Code]]</f>
        <v xml:space="preserve">Insurer Code ; Reporting Year ; Insurance Category Code ; Large Provider Entity Code ; Age Band Code ; Sex Code </v>
      </c>
      <c r="N3228" s="345" t="s">
        <v>207</v>
      </c>
      <c r="O3228" s="345" t="s">
        <v>208</v>
      </c>
      <c r="P3228" s="345" t="s">
        <v>209</v>
      </c>
      <c r="Q3228" s="345" t="s">
        <v>210</v>
      </c>
      <c r="R3228" s="345" t="s">
        <v>223</v>
      </c>
      <c r="S3228" s="345" t="s">
        <v>224</v>
      </c>
    </row>
    <row r="3229" spans="1:19" x14ac:dyDescent="0.25">
      <c r="A3229" s="311"/>
      <c r="B3229" s="312"/>
      <c r="C3229" s="312"/>
      <c r="D3229" s="312"/>
      <c r="E3229" s="312"/>
      <c r="F3229" s="312"/>
      <c r="G3229" s="328"/>
      <c r="H3229" s="337"/>
      <c r="I3229" s="334"/>
      <c r="J3229" s="314"/>
      <c r="K3229" s="449"/>
      <c r="M3229" s="349" t="str">
        <f>N3229&amp;AS[[#This Row],[Insurer Code]]&amp;"; "&amp;O3229&amp;AS[[#This Row],[Reporting Year]]&amp;"; "&amp;P3229&amp;AS[[#This Row],[Insurance Category Code]]&amp;"; "&amp;Q3229&amp;AS[[#This Row],[Large Provider Entity Code]]&amp;"; "&amp;R3229&amp;AS[[#This Row],[Age Band Code]]&amp;"; "&amp;S3229&amp;AS[[#This Row],[Sex Code]]</f>
        <v xml:space="preserve">Insurer Code ; Reporting Year ; Insurance Category Code ; Large Provider Entity Code ; Age Band Code ; Sex Code </v>
      </c>
      <c r="N3229" s="345" t="s">
        <v>207</v>
      </c>
      <c r="O3229" s="345" t="s">
        <v>208</v>
      </c>
      <c r="P3229" s="345" t="s">
        <v>209</v>
      </c>
      <c r="Q3229" s="345" t="s">
        <v>210</v>
      </c>
      <c r="R3229" s="345" t="s">
        <v>223</v>
      </c>
      <c r="S3229" s="345" t="s">
        <v>224</v>
      </c>
    </row>
    <row r="3230" spans="1:19" x14ac:dyDescent="0.25">
      <c r="A3230" s="311"/>
      <c r="B3230" s="312"/>
      <c r="C3230" s="312"/>
      <c r="D3230" s="312"/>
      <c r="E3230" s="312"/>
      <c r="F3230" s="312"/>
      <c r="G3230" s="328"/>
      <c r="H3230" s="337"/>
      <c r="I3230" s="334"/>
      <c r="J3230" s="314"/>
      <c r="K3230" s="449"/>
      <c r="M3230" s="349" t="str">
        <f>N3230&amp;AS[[#This Row],[Insurer Code]]&amp;"; "&amp;O3230&amp;AS[[#This Row],[Reporting Year]]&amp;"; "&amp;P3230&amp;AS[[#This Row],[Insurance Category Code]]&amp;"; "&amp;Q3230&amp;AS[[#This Row],[Large Provider Entity Code]]&amp;"; "&amp;R3230&amp;AS[[#This Row],[Age Band Code]]&amp;"; "&amp;S3230&amp;AS[[#This Row],[Sex Code]]</f>
        <v xml:space="preserve">Insurer Code ; Reporting Year ; Insurance Category Code ; Large Provider Entity Code ; Age Band Code ; Sex Code </v>
      </c>
      <c r="N3230" s="345" t="s">
        <v>207</v>
      </c>
      <c r="O3230" s="345" t="s">
        <v>208</v>
      </c>
      <c r="P3230" s="345" t="s">
        <v>209</v>
      </c>
      <c r="Q3230" s="345" t="s">
        <v>210</v>
      </c>
      <c r="R3230" s="345" t="s">
        <v>223</v>
      </c>
      <c r="S3230" s="345" t="s">
        <v>224</v>
      </c>
    </row>
    <row r="3231" spans="1:19" x14ac:dyDescent="0.25">
      <c r="A3231" s="311"/>
      <c r="B3231" s="312"/>
      <c r="C3231" s="312"/>
      <c r="D3231" s="312"/>
      <c r="E3231" s="312"/>
      <c r="F3231" s="312"/>
      <c r="G3231" s="328"/>
      <c r="H3231" s="337"/>
      <c r="I3231" s="334"/>
      <c r="J3231" s="314"/>
      <c r="K3231" s="449"/>
      <c r="M3231" s="349" t="str">
        <f>N3231&amp;AS[[#This Row],[Insurer Code]]&amp;"; "&amp;O3231&amp;AS[[#This Row],[Reporting Year]]&amp;"; "&amp;P3231&amp;AS[[#This Row],[Insurance Category Code]]&amp;"; "&amp;Q3231&amp;AS[[#This Row],[Large Provider Entity Code]]&amp;"; "&amp;R3231&amp;AS[[#This Row],[Age Band Code]]&amp;"; "&amp;S3231&amp;AS[[#This Row],[Sex Code]]</f>
        <v xml:space="preserve">Insurer Code ; Reporting Year ; Insurance Category Code ; Large Provider Entity Code ; Age Band Code ; Sex Code </v>
      </c>
      <c r="N3231" s="345" t="s">
        <v>207</v>
      </c>
      <c r="O3231" s="345" t="s">
        <v>208</v>
      </c>
      <c r="P3231" s="345" t="s">
        <v>209</v>
      </c>
      <c r="Q3231" s="345" t="s">
        <v>210</v>
      </c>
      <c r="R3231" s="345" t="s">
        <v>223</v>
      </c>
      <c r="S3231" s="345" t="s">
        <v>224</v>
      </c>
    </row>
    <row r="3232" spans="1:19" x14ac:dyDescent="0.25">
      <c r="A3232" s="311"/>
      <c r="B3232" s="312"/>
      <c r="C3232" s="312"/>
      <c r="D3232" s="312"/>
      <c r="E3232" s="312"/>
      <c r="F3232" s="312"/>
      <c r="G3232" s="328"/>
      <c r="H3232" s="337"/>
      <c r="I3232" s="334"/>
      <c r="J3232" s="314"/>
      <c r="K3232" s="449"/>
      <c r="M3232" s="349" t="str">
        <f>N3232&amp;AS[[#This Row],[Insurer Code]]&amp;"; "&amp;O3232&amp;AS[[#This Row],[Reporting Year]]&amp;"; "&amp;P3232&amp;AS[[#This Row],[Insurance Category Code]]&amp;"; "&amp;Q3232&amp;AS[[#This Row],[Large Provider Entity Code]]&amp;"; "&amp;R3232&amp;AS[[#This Row],[Age Band Code]]&amp;"; "&amp;S3232&amp;AS[[#This Row],[Sex Code]]</f>
        <v xml:space="preserve">Insurer Code ; Reporting Year ; Insurance Category Code ; Large Provider Entity Code ; Age Band Code ; Sex Code </v>
      </c>
      <c r="N3232" s="345" t="s">
        <v>207</v>
      </c>
      <c r="O3232" s="345" t="s">
        <v>208</v>
      </c>
      <c r="P3232" s="345" t="s">
        <v>209</v>
      </c>
      <c r="Q3232" s="345" t="s">
        <v>210</v>
      </c>
      <c r="R3232" s="345" t="s">
        <v>223</v>
      </c>
      <c r="S3232" s="345" t="s">
        <v>224</v>
      </c>
    </row>
    <row r="3233" spans="1:19" x14ac:dyDescent="0.25">
      <c r="A3233" s="311"/>
      <c r="B3233" s="312"/>
      <c r="C3233" s="312"/>
      <c r="D3233" s="312"/>
      <c r="E3233" s="312"/>
      <c r="F3233" s="312"/>
      <c r="G3233" s="328"/>
      <c r="H3233" s="337"/>
      <c r="I3233" s="334"/>
      <c r="J3233" s="314"/>
      <c r="K3233" s="449"/>
      <c r="M3233" s="349" t="str">
        <f>N3233&amp;AS[[#This Row],[Insurer Code]]&amp;"; "&amp;O3233&amp;AS[[#This Row],[Reporting Year]]&amp;"; "&amp;P3233&amp;AS[[#This Row],[Insurance Category Code]]&amp;"; "&amp;Q3233&amp;AS[[#This Row],[Large Provider Entity Code]]&amp;"; "&amp;R3233&amp;AS[[#This Row],[Age Band Code]]&amp;"; "&amp;S3233&amp;AS[[#This Row],[Sex Code]]</f>
        <v xml:space="preserve">Insurer Code ; Reporting Year ; Insurance Category Code ; Large Provider Entity Code ; Age Band Code ; Sex Code </v>
      </c>
      <c r="N3233" s="345" t="s">
        <v>207</v>
      </c>
      <c r="O3233" s="345" t="s">
        <v>208</v>
      </c>
      <c r="P3233" s="345" t="s">
        <v>209</v>
      </c>
      <c r="Q3233" s="345" t="s">
        <v>210</v>
      </c>
      <c r="R3233" s="345" t="s">
        <v>223</v>
      </c>
      <c r="S3233" s="345" t="s">
        <v>224</v>
      </c>
    </row>
    <row r="3234" spans="1:19" x14ac:dyDescent="0.25">
      <c r="A3234" s="311"/>
      <c r="B3234" s="312"/>
      <c r="C3234" s="312"/>
      <c r="D3234" s="312"/>
      <c r="E3234" s="312"/>
      <c r="F3234" s="312"/>
      <c r="G3234" s="328"/>
      <c r="H3234" s="337"/>
      <c r="I3234" s="334"/>
      <c r="J3234" s="314"/>
      <c r="K3234" s="449"/>
      <c r="M3234" s="349" t="str">
        <f>N3234&amp;AS[[#This Row],[Insurer Code]]&amp;"; "&amp;O3234&amp;AS[[#This Row],[Reporting Year]]&amp;"; "&amp;P3234&amp;AS[[#This Row],[Insurance Category Code]]&amp;"; "&amp;Q3234&amp;AS[[#This Row],[Large Provider Entity Code]]&amp;"; "&amp;R3234&amp;AS[[#This Row],[Age Band Code]]&amp;"; "&amp;S3234&amp;AS[[#This Row],[Sex Code]]</f>
        <v xml:space="preserve">Insurer Code ; Reporting Year ; Insurance Category Code ; Large Provider Entity Code ; Age Band Code ; Sex Code </v>
      </c>
      <c r="N3234" s="345" t="s">
        <v>207</v>
      </c>
      <c r="O3234" s="345" t="s">
        <v>208</v>
      </c>
      <c r="P3234" s="345" t="s">
        <v>209</v>
      </c>
      <c r="Q3234" s="345" t="s">
        <v>210</v>
      </c>
      <c r="R3234" s="345" t="s">
        <v>223</v>
      </c>
      <c r="S3234" s="345" t="s">
        <v>224</v>
      </c>
    </row>
    <row r="3235" spans="1:19" x14ac:dyDescent="0.25">
      <c r="A3235" s="311"/>
      <c r="B3235" s="312"/>
      <c r="C3235" s="312"/>
      <c r="D3235" s="312"/>
      <c r="E3235" s="312"/>
      <c r="F3235" s="312"/>
      <c r="G3235" s="328"/>
      <c r="H3235" s="337"/>
      <c r="I3235" s="334"/>
      <c r="J3235" s="314"/>
      <c r="K3235" s="449"/>
      <c r="M3235" s="349" t="str">
        <f>N3235&amp;AS[[#This Row],[Insurer Code]]&amp;"; "&amp;O3235&amp;AS[[#This Row],[Reporting Year]]&amp;"; "&amp;P3235&amp;AS[[#This Row],[Insurance Category Code]]&amp;"; "&amp;Q3235&amp;AS[[#This Row],[Large Provider Entity Code]]&amp;"; "&amp;R3235&amp;AS[[#This Row],[Age Band Code]]&amp;"; "&amp;S3235&amp;AS[[#This Row],[Sex Code]]</f>
        <v xml:space="preserve">Insurer Code ; Reporting Year ; Insurance Category Code ; Large Provider Entity Code ; Age Band Code ; Sex Code </v>
      </c>
      <c r="N3235" s="345" t="s">
        <v>207</v>
      </c>
      <c r="O3235" s="345" t="s">
        <v>208</v>
      </c>
      <c r="P3235" s="345" t="s">
        <v>209</v>
      </c>
      <c r="Q3235" s="345" t="s">
        <v>210</v>
      </c>
      <c r="R3235" s="345" t="s">
        <v>223</v>
      </c>
      <c r="S3235" s="345" t="s">
        <v>224</v>
      </c>
    </row>
    <row r="3236" spans="1:19" x14ac:dyDescent="0.25">
      <c r="A3236" s="311"/>
      <c r="B3236" s="312"/>
      <c r="C3236" s="312"/>
      <c r="D3236" s="312"/>
      <c r="E3236" s="312"/>
      <c r="F3236" s="312"/>
      <c r="G3236" s="328"/>
      <c r="H3236" s="337"/>
      <c r="I3236" s="334"/>
      <c r="J3236" s="314"/>
      <c r="K3236" s="449"/>
      <c r="M3236" s="349" t="str">
        <f>N3236&amp;AS[[#This Row],[Insurer Code]]&amp;"; "&amp;O3236&amp;AS[[#This Row],[Reporting Year]]&amp;"; "&amp;P3236&amp;AS[[#This Row],[Insurance Category Code]]&amp;"; "&amp;Q3236&amp;AS[[#This Row],[Large Provider Entity Code]]&amp;"; "&amp;R3236&amp;AS[[#This Row],[Age Band Code]]&amp;"; "&amp;S3236&amp;AS[[#This Row],[Sex Code]]</f>
        <v xml:space="preserve">Insurer Code ; Reporting Year ; Insurance Category Code ; Large Provider Entity Code ; Age Band Code ; Sex Code </v>
      </c>
      <c r="N3236" s="345" t="s">
        <v>207</v>
      </c>
      <c r="O3236" s="345" t="s">
        <v>208</v>
      </c>
      <c r="P3236" s="345" t="s">
        <v>209</v>
      </c>
      <c r="Q3236" s="345" t="s">
        <v>210</v>
      </c>
      <c r="R3236" s="345" t="s">
        <v>223</v>
      </c>
      <c r="S3236" s="345" t="s">
        <v>224</v>
      </c>
    </row>
    <row r="3237" spans="1:19" x14ac:dyDescent="0.25">
      <c r="A3237" s="311"/>
      <c r="B3237" s="312"/>
      <c r="C3237" s="312"/>
      <c r="D3237" s="312"/>
      <c r="E3237" s="312"/>
      <c r="F3237" s="312"/>
      <c r="G3237" s="328"/>
      <c r="H3237" s="337"/>
      <c r="I3237" s="334"/>
      <c r="J3237" s="314"/>
      <c r="K3237" s="449"/>
      <c r="M3237" s="349" t="str">
        <f>N3237&amp;AS[[#This Row],[Insurer Code]]&amp;"; "&amp;O3237&amp;AS[[#This Row],[Reporting Year]]&amp;"; "&amp;P3237&amp;AS[[#This Row],[Insurance Category Code]]&amp;"; "&amp;Q3237&amp;AS[[#This Row],[Large Provider Entity Code]]&amp;"; "&amp;R3237&amp;AS[[#This Row],[Age Band Code]]&amp;"; "&amp;S3237&amp;AS[[#This Row],[Sex Code]]</f>
        <v xml:space="preserve">Insurer Code ; Reporting Year ; Insurance Category Code ; Large Provider Entity Code ; Age Band Code ; Sex Code </v>
      </c>
      <c r="N3237" s="345" t="s">
        <v>207</v>
      </c>
      <c r="O3237" s="345" t="s">
        <v>208</v>
      </c>
      <c r="P3237" s="345" t="s">
        <v>209</v>
      </c>
      <c r="Q3237" s="345" t="s">
        <v>210</v>
      </c>
      <c r="R3237" s="345" t="s">
        <v>223</v>
      </c>
      <c r="S3237" s="345" t="s">
        <v>224</v>
      </c>
    </row>
    <row r="3238" spans="1:19" x14ac:dyDescent="0.25">
      <c r="A3238" s="311"/>
      <c r="B3238" s="312"/>
      <c r="C3238" s="312"/>
      <c r="D3238" s="312"/>
      <c r="E3238" s="312"/>
      <c r="F3238" s="312"/>
      <c r="G3238" s="328"/>
      <c r="H3238" s="337"/>
      <c r="I3238" s="334"/>
      <c r="J3238" s="314"/>
      <c r="K3238" s="449"/>
      <c r="M3238" s="349" t="str">
        <f>N3238&amp;AS[[#This Row],[Insurer Code]]&amp;"; "&amp;O3238&amp;AS[[#This Row],[Reporting Year]]&amp;"; "&amp;P3238&amp;AS[[#This Row],[Insurance Category Code]]&amp;"; "&amp;Q3238&amp;AS[[#This Row],[Large Provider Entity Code]]&amp;"; "&amp;R3238&amp;AS[[#This Row],[Age Band Code]]&amp;"; "&amp;S3238&amp;AS[[#This Row],[Sex Code]]</f>
        <v xml:space="preserve">Insurer Code ; Reporting Year ; Insurance Category Code ; Large Provider Entity Code ; Age Band Code ; Sex Code </v>
      </c>
      <c r="N3238" s="345" t="s">
        <v>207</v>
      </c>
      <c r="O3238" s="345" t="s">
        <v>208</v>
      </c>
      <c r="P3238" s="345" t="s">
        <v>209</v>
      </c>
      <c r="Q3238" s="345" t="s">
        <v>210</v>
      </c>
      <c r="R3238" s="345" t="s">
        <v>223</v>
      </c>
      <c r="S3238" s="345" t="s">
        <v>224</v>
      </c>
    </row>
    <row r="3239" spans="1:19" x14ac:dyDescent="0.25">
      <c r="A3239" s="311"/>
      <c r="B3239" s="312"/>
      <c r="C3239" s="312"/>
      <c r="D3239" s="312"/>
      <c r="E3239" s="312"/>
      <c r="F3239" s="312"/>
      <c r="G3239" s="328"/>
      <c r="H3239" s="337"/>
      <c r="I3239" s="334"/>
      <c r="J3239" s="314"/>
      <c r="K3239" s="449"/>
      <c r="M3239" s="349" t="str">
        <f>N3239&amp;AS[[#This Row],[Insurer Code]]&amp;"; "&amp;O3239&amp;AS[[#This Row],[Reporting Year]]&amp;"; "&amp;P3239&amp;AS[[#This Row],[Insurance Category Code]]&amp;"; "&amp;Q3239&amp;AS[[#This Row],[Large Provider Entity Code]]&amp;"; "&amp;R3239&amp;AS[[#This Row],[Age Band Code]]&amp;"; "&amp;S3239&amp;AS[[#This Row],[Sex Code]]</f>
        <v xml:space="preserve">Insurer Code ; Reporting Year ; Insurance Category Code ; Large Provider Entity Code ; Age Band Code ; Sex Code </v>
      </c>
      <c r="N3239" s="345" t="s">
        <v>207</v>
      </c>
      <c r="O3239" s="345" t="s">
        <v>208</v>
      </c>
      <c r="P3239" s="345" t="s">
        <v>209</v>
      </c>
      <c r="Q3239" s="345" t="s">
        <v>210</v>
      </c>
      <c r="R3239" s="345" t="s">
        <v>223</v>
      </c>
      <c r="S3239" s="345" t="s">
        <v>224</v>
      </c>
    </row>
    <row r="3240" spans="1:19" x14ac:dyDescent="0.25">
      <c r="A3240" s="311"/>
      <c r="B3240" s="312"/>
      <c r="C3240" s="312"/>
      <c r="D3240" s="312"/>
      <c r="E3240" s="312"/>
      <c r="F3240" s="312"/>
      <c r="G3240" s="328"/>
      <c r="H3240" s="337"/>
      <c r="I3240" s="334"/>
      <c r="J3240" s="314"/>
      <c r="K3240" s="449"/>
      <c r="M3240" s="349" t="str">
        <f>N3240&amp;AS[[#This Row],[Insurer Code]]&amp;"; "&amp;O3240&amp;AS[[#This Row],[Reporting Year]]&amp;"; "&amp;P3240&amp;AS[[#This Row],[Insurance Category Code]]&amp;"; "&amp;Q3240&amp;AS[[#This Row],[Large Provider Entity Code]]&amp;"; "&amp;R3240&amp;AS[[#This Row],[Age Band Code]]&amp;"; "&amp;S3240&amp;AS[[#This Row],[Sex Code]]</f>
        <v xml:space="preserve">Insurer Code ; Reporting Year ; Insurance Category Code ; Large Provider Entity Code ; Age Band Code ; Sex Code </v>
      </c>
      <c r="N3240" s="345" t="s">
        <v>207</v>
      </c>
      <c r="O3240" s="345" t="s">
        <v>208</v>
      </c>
      <c r="P3240" s="345" t="s">
        <v>209</v>
      </c>
      <c r="Q3240" s="345" t="s">
        <v>210</v>
      </c>
      <c r="R3240" s="345" t="s">
        <v>223</v>
      </c>
      <c r="S3240" s="345" t="s">
        <v>224</v>
      </c>
    </row>
    <row r="3241" spans="1:19" x14ac:dyDescent="0.25">
      <c r="A3241" s="311"/>
      <c r="B3241" s="312"/>
      <c r="C3241" s="312"/>
      <c r="D3241" s="312"/>
      <c r="E3241" s="312"/>
      <c r="F3241" s="312"/>
      <c r="G3241" s="328"/>
      <c r="H3241" s="337"/>
      <c r="I3241" s="334"/>
      <c r="J3241" s="314"/>
      <c r="K3241" s="449"/>
      <c r="M3241" s="349" t="str">
        <f>N3241&amp;AS[[#This Row],[Insurer Code]]&amp;"; "&amp;O3241&amp;AS[[#This Row],[Reporting Year]]&amp;"; "&amp;P3241&amp;AS[[#This Row],[Insurance Category Code]]&amp;"; "&amp;Q3241&amp;AS[[#This Row],[Large Provider Entity Code]]&amp;"; "&amp;R3241&amp;AS[[#This Row],[Age Band Code]]&amp;"; "&amp;S3241&amp;AS[[#This Row],[Sex Code]]</f>
        <v xml:space="preserve">Insurer Code ; Reporting Year ; Insurance Category Code ; Large Provider Entity Code ; Age Band Code ; Sex Code </v>
      </c>
      <c r="N3241" s="345" t="s">
        <v>207</v>
      </c>
      <c r="O3241" s="345" t="s">
        <v>208</v>
      </c>
      <c r="P3241" s="345" t="s">
        <v>209</v>
      </c>
      <c r="Q3241" s="345" t="s">
        <v>210</v>
      </c>
      <c r="R3241" s="345" t="s">
        <v>223</v>
      </c>
      <c r="S3241" s="345" t="s">
        <v>224</v>
      </c>
    </row>
    <row r="3242" spans="1:19" x14ac:dyDescent="0.25">
      <c r="A3242" s="311"/>
      <c r="B3242" s="312"/>
      <c r="C3242" s="312"/>
      <c r="D3242" s="312"/>
      <c r="E3242" s="312"/>
      <c r="F3242" s="312"/>
      <c r="G3242" s="328"/>
      <c r="H3242" s="337"/>
      <c r="I3242" s="334"/>
      <c r="J3242" s="314"/>
      <c r="K3242" s="449"/>
      <c r="M3242" s="349" t="str">
        <f>N3242&amp;AS[[#This Row],[Insurer Code]]&amp;"; "&amp;O3242&amp;AS[[#This Row],[Reporting Year]]&amp;"; "&amp;P3242&amp;AS[[#This Row],[Insurance Category Code]]&amp;"; "&amp;Q3242&amp;AS[[#This Row],[Large Provider Entity Code]]&amp;"; "&amp;R3242&amp;AS[[#This Row],[Age Band Code]]&amp;"; "&amp;S3242&amp;AS[[#This Row],[Sex Code]]</f>
        <v xml:space="preserve">Insurer Code ; Reporting Year ; Insurance Category Code ; Large Provider Entity Code ; Age Band Code ; Sex Code </v>
      </c>
      <c r="N3242" s="345" t="s">
        <v>207</v>
      </c>
      <c r="O3242" s="345" t="s">
        <v>208</v>
      </c>
      <c r="P3242" s="345" t="s">
        <v>209</v>
      </c>
      <c r="Q3242" s="345" t="s">
        <v>210</v>
      </c>
      <c r="R3242" s="345" t="s">
        <v>223</v>
      </c>
      <c r="S3242" s="345" t="s">
        <v>224</v>
      </c>
    </row>
    <row r="3243" spans="1:19" x14ac:dyDescent="0.25">
      <c r="A3243" s="311"/>
      <c r="B3243" s="312"/>
      <c r="C3243" s="312"/>
      <c r="D3243" s="312"/>
      <c r="E3243" s="312"/>
      <c r="F3243" s="312"/>
      <c r="G3243" s="328"/>
      <c r="H3243" s="337"/>
      <c r="I3243" s="334"/>
      <c r="J3243" s="314"/>
      <c r="K3243" s="449"/>
      <c r="M3243" s="349" t="str">
        <f>N3243&amp;AS[[#This Row],[Insurer Code]]&amp;"; "&amp;O3243&amp;AS[[#This Row],[Reporting Year]]&amp;"; "&amp;P3243&amp;AS[[#This Row],[Insurance Category Code]]&amp;"; "&amp;Q3243&amp;AS[[#This Row],[Large Provider Entity Code]]&amp;"; "&amp;R3243&amp;AS[[#This Row],[Age Band Code]]&amp;"; "&amp;S3243&amp;AS[[#This Row],[Sex Code]]</f>
        <v xml:space="preserve">Insurer Code ; Reporting Year ; Insurance Category Code ; Large Provider Entity Code ; Age Band Code ; Sex Code </v>
      </c>
      <c r="N3243" s="345" t="s">
        <v>207</v>
      </c>
      <c r="O3243" s="345" t="s">
        <v>208</v>
      </c>
      <c r="P3243" s="345" t="s">
        <v>209</v>
      </c>
      <c r="Q3243" s="345" t="s">
        <v>210</v>
      </c>
      <c r="R3243" s="345" t="s">
        <v>223</v>
      </c>
      <c r="S3243" s="345" t="s">
        <v>224</v>
      </c>
    </row>
    <row r="3244" spans="1:19" x14ac:dyDescent="0.25">
      <c r="A3244" s="311"/>
      <c r="B3244" s="312"/>
      <c r="C3244" s="312"/>
      <c r="D3244" s="312"/>
      <c r="E3244" s="312"/>
      <c r="F3244" s="312"/>
      <c r="G3244" s="328"/>
      <c r="H3244" s="337"/>
      <c r="I3244" s="334"/>
      <c r="J3244" s="314"/>
      <c r="K3244" s="449"/>
      <c r="M3244" s="349" t="str">
        <f>N3244&amp;AS[[#This Row],[Insurer Code]]&amp;"; "&amp;O3244&amp;AS[[#This Row],[Reporting Year]]&amp;"; "&amp;P3244&amp;AS[[#This Row],[Insurance Category Code]]&amp;"; "&amp;Q3244&amp;AS[[#This Row],[Large Provider Entity Code]]&amp;"; "&amp;R3244&amp;AS[[#This Row],[Age Band Code]]&amp;"; "&amp;S3244&amp;AS[[#This Row],[Sex Code]]</f>
        <v xml:space="preserve">Insurer Code ; Reporting Year ; Insurance Category Code ; Large Provider Entity Code ; Age Band Code ; Sex Code </v>
      </c>
      <c r="N3244" s="345" t="s">
        <v>207</v>
      </c>
      <c r="O3244" s="345" t="s">
        <v>208</v>
      </c>
      <c r="P3244" s="345" t="s">
        <v>209</v>
      </c>
      <c r="Q3244" s="345" t="s">
        <v>210</v>
      </c>
      <c r="R3244" s="345" t="s">
        <v>223</v>
      </c>
      <c r="S3244" s="345" t="s">
        <v>224</v>
      </c>
    </row>
    <row r="3245" spans="1:19" x14ac:dyDescent="0.25">
      <c r="A3245" s="311"/>
      <c r="B3245" s="312"/>
      <c r="C3245" s="312"/>
      <c r="D3245" s="312"/>
      <c r="E3245" s="312"/>
      <c r="F3245" s="312"/>
      <c r="G3245" s="328"/>
      <c r="H3245" s="337"/>
      <c r="I3245" s="334"/>
      <c r="J3245" s="314"/>
      <c r="K3245" s="449"/>
      <c r="M3245" s="349" t="str">
        <f>N3245&amp;AS[[#This Row],[Insurer Code]]&amp;"; "&amp;O3245&amp;AS[[#This Row],[Reporting Year]]&amp;"; "&amp;P3245&amp;AS[[#This Row],[Insurance Category Code]]&amp;"; "&amp;Q3245&amp;AS[[#This Row],[Large Provider Entity Code]]&amp;"; "&amp;R3245&amp;AS[[#This Row],[Age Band Code]]&amp;"; "&amp;S3245&amp;AS[[#This Row],[Sex Code]]</f>
        <v xml:space="preserve">Insurer Code ; Reporting Year ; Insurance Category Code ; Large Provider Entity Code ; Age Band Code ; Sex Code </v>
      </c>
      <c r="N3245" s="345" t="s">
        <v>207</v>
      </c>
      <c r="O3245" s="345" t="s">
        <v>208</v>
      </c>
      <c r="P3245" s="345" t="s">
        <v>209</v>
      </c>
      <c r="Q3245" s="345" t="s">
        <v>210</v>
      </c>
      <c r="R3245" s="345" t="s">
        <v>223</v>
      </c>
      <c r="S3245" s="345" t="s">
        <v>224</v>
      </c>
    </row>
    <row r="3246" spans="1:19" x14ac:dyDescent="0.25">
      <c r="A3246" s="311"/>
      <c r="B3246" s="312"/>
      <c r="C3246" s="312"/>
      <c r="D3246" s="312"/>
      <c r="E3246" s="312"/>
      <c r="F3246" s="312"/>
      <c r="G3246" s="328"/>
      <c r="H3246" s="337"/>
      <c r="I3246" s="334"/>
      <c r="J3246" s="314"/>
      <c r="K3246" s="449"/>
      <c r="M3246" s="349" t="str">
        <f>N3246&amp;AS[[#This Row],[Insurer Code]]&amp;"; "&amp;O3246&amp;AS[[#This Row],[Reporting Year]]&amp;"; "&amp;P3246&amp;AS[[#This Row],[Insurance Category Code]]&amp;"; "&amp;Q3246&amp;AS[[#This Row],[Large Provider Entity Code]]&amp;"; "&amp;R3246&amp;AS[[#This Row],[Age Band Code]]&amp;"; "&amp;S3246&amp;AS[[#This Row],[Sex Code]]</f>
        <v xml:space="preserve">Insurer Code ; Reporting Year ; Insurance Category Code ; Large Provider Entity Code ; Age Band Code ; Sex Code </v>
      </c>
      <c r="N3246" s="345" t="s">
        <v>207</v>
      </c>
      <c r="O3246" s="345" t="s">
        <v>208</v>
      </c>
      <c r="P3246" s="345" t="s">
        <v>209</v>
      </c>
      <c r="Q3246" s="345" t="s">
        <v>210</v>
      </c>
      <c r="R3246" s="345" t="s">
        <v>223</v>
      </c>
      <c r="S3246" s="345" t="s">
        <v>224</v>
      </c>
    </row>
    <row r="3247" spans="1:19" x14ac:dyDescent="0.25">
      <c r="A3247" s="311"/>
      <c r="B3247" s="312"/>
      <c r="C3247" s="312"/>
      <c r="D3247" s="312"/>
      <c r="E3247" s="312"/>
      <c r="F3247" s="312"/>
      <c r="G3247" s="328"/>
      <c r="H3247" s="337"/>
      <c r="I3247" s="334"/>
      <c r="J3247" s="314"/>
      <c r="K3247" s="449"/>
      <c r="M3247" s="349" t="str">
        <f>N3247&amp;AS[[#This Row],[Insurer Code]]&amp;"; "&amp;O3247&amp;AS[[#This Row],[Reporting Year]]&amp;"; "&amp;P3247&amp;AS[[#This Row],[Insurance Category Code]]&amp;"; "&amp;Q3247&amp;AS[[#This Row],[Large Provider Entity Code]]&amp;"; "&amp;R3247&amp;AS[[#This Row],[Age Band Code]]&amp;"; "&amp;S3247&amp;AS[[#This Row],[Sex Code]]</f>
        <v xml:space="preserve">Insurer Code ; Reporting Year ; Insurance Category Code ; Large Provider Entity Code ; Age Band Code ; Sex Code </v>
      </c>
      <c r="N3247" s="345" t="s">
        <v>207</v>
      </c>
      <c r="O3247" s="345" t="s">
        <v>208</v>
      </c>
      <c r="P3247" s="345" t="s">
        <v>209</v>
      </c>
      <c r="Q3247" s="345" t="s">
        <v>210</v>
      </c>
      <c r="R3247" s="345" t="s">
        <v>223</v>
      </c>
      <c r="S3247" s="345" t="s">
        <v>224</v>
      </c>
    </row>
    <row r="3248" spans="1:19" x14ac:dyDescent="0.25">
      <c r="A3248" s="311"/>
      <c r="B3248" s="312"/>
      <c r="C3248" s="312"/>
      <c r="D3248" s="312"/>
      <c r="E3248" s="312"/>
      <c r="F3248" s="312"/>
      <c r="G3248" s="328"/>
      <c r="H3248" s="337"/>
      <c r="I3248" s="334"/>
      <c r="J3248" s="314"/>
      <c r="K3248" s="449"/>
      <c r="M3248" s="349" t="str">
        <f>N3248&amp;AS[[#This Row],[Insurer Code]]&amp;"; "&amp;O3248&amp;AS[[#This Row],[Reporting Year]]&amp;"; "&amp;P3248&amp;AS[[#This Row],[Insurance Category Code]]&amp;"; "&amp;Q3248&amp;AS[[#This Row],[Large Provider Entity Code]]&amp;"; "&amp;R3248&amp;AS[[#This Row],[Age Band Code]]&amp;"; "&amp;S3248&amp;AS[[#This Row],[Sex Code]]</f>
        <v xml:space="preserve">Insurer Code ; Reporting Year ; Insurance Category Code ; Large Provider Entity Code ; Age Band Code ; Sex Code </v>
      </c>
      <c r="N3248" s="345" t="s">
        <v>207</v>
      </c>
      <c r="O3248" s="345" t="s">
        <v>208</v>
      </c>
      <c r="P3248" s="345" t="s">
        <v>209</v>
      </c>
      <c r="Q3248" s="345" t="s">
        <v>210</v>
      </c>
      <c r="R3248" s="345" t="s">
        <v>223</v>
      </c>
      <c r="S3248" s="345" t="s">
        <v>224</v>
      </c>
    </row>
    <row r="3249" spans="1:19" x14ac:dyDescent="0.25">
      <c r="A3249" s="311"/>
      <c r="B3249" s="312"/>
      <c r="C3249" s="312"/>
      <c r="D3249" s="312"/>
      <c r="E3249" s="312"/>
      <c r="F3249" s="312"/>
      <c r="G3249" s="328"/>
      <c r="H3249" s="337"/>
      <c r="I3249" s="334"/>
      <c r="J3249" s="314"/>
      <c r="K3249" s="449"/>
      <c r="M3249" s="349" t="str">
        <f>N3249&amp;AS[[#This Row],[Insurer Code]]&amp;"; "&amp;O3249&amp;AS[[#This Row],[Reporting Year]]&amp;"; "&amp;P3249&amp;AS[[#This Row],[Insurance Category Code]]&amp;"; "&amp;Q3249&amp;AS[[#This Row],[Large Provider Entity Code]]&amp;"; "&amp;R3249&amp;AS[[#This Row],[Age Band Code]]&amp;"; "&amp;S3249&amp;AS[[#This Row],[Sex Code]]</f>
        <v xml:space="preserve">Insurer Code ; Reporting Year ; Insurance Category Code ; Large Provider Entity Code ; Age Band Code ; Sex Code </v>
      </c>
      <c r="N3249" s="345" t="s">
        <v>207</v>
      </c>
      <c r="O3249" s="345" t="s">
        <v>208</v>
      </c>
      <c r="P3249" s="345" t="s">
        <v>209</v>
      </c>
      <c r="Q3249" s="345" t="s">
        <v>210</v>
      </c>
      <c r="R3249" s="345" t="s">
        <v>223</v>
      </c>
      <c r="S3249" s="345" t="s">
        <v>224</v>
      </c>
    </row>
    <row r="3250" spans="1:19" x14ac:dyDescent="0.25">
      <c r="A3250" s="311"/>
      <c r="B3250" s="312"/>
      <c r="C3250" s="312"/>
      <c r="D3250" s="312"/>
      <c r="E3250" s="312"/>
      <c r="F3250" s="312"/>
      <c r="G3250" s="328"/>
      <c r="H3250" s="337"/>
      <c r="I3250" s="334"/>
      <c r="J3250" s="314"/>
      <c r="K3250" s="449"/>
      <c r="M3250" s="349" t="str">
        <f>N3250&amp;AS[[#This Row],[Insurer Code]]&amp;"; "&amp;O3250&amp;AS[[#This Row],[Reporting Year]]&amp;"; "&amp;P3250&amp;AS[[#This Row],[Insurance Category Code]]&amp;"; "&amp;Q3250&amp;AS[[#This Row],[Large Provider Entity Code]]&amp;"; "&amp;R3250&amp;AS[[#This Row],[Age Band Code]]&amp;"; "&amp;S3250&amp;AS[[#This Row],[Sex Code]]</f>
        <v xml:space="preserve">Insurer Code ; Reporting Year ; Insurance Category Code ; Large Provider Entity Code ; Age Band Code ; Sex Code </v>
      </c>
      <c r="N3250" s="345" t="s">
        <v>207</v>
      </c>
      <c r="O3250" s="345" t="s">
        <v>208</v>
      </c>
      <c r="P3250" s="345" t="s">
        <v>209</v>
      </c>
      <c r="Q3250" s="345" t="s">
        <v>210</v>
      </c>
      <c r="R3250" s="345" t="s">
        <v>223</v>
      </c>
      <c r="S3250" s="345" t="s">
        <v>224</v>
      </c>
    </row>
    <row r="3251" spans="1:19" x14ac:dyDescent="0.25">
      <c r="A3251" s="311"/>
      <c r="B3251" s="312"/>
      <c r="C3251" s="312"/>
      <c r="D3251" s="312"/>
      <c r="E3251" s="312"/>
      <c r="F3251" s="312"/>
      <c r="G3251" s="328"/>
      <c r="H3251" s="337"/>
      <c r="I3251" s="334"/>
      <c r="J3251" s="314"/>
      <c r="K3251" s="449"/>
      <c r="M3251" s="349" t="str">
        <f>N3251&amp;AS[[#This Row],[Insurer Code]]&amp;"; "&amp;O3251&amp;AS[[#This Row],[Reporting Year]]&amp;"; "&amp;P3251&amp;AS[[#This Row],[Insurance Category Code]]&amp;"; "&amp;Q3251&amp;AS[[#This Row],[Large Provider Entity Code]]&amp;"; "&amp;R3251&amp;AS[[#This Row],[Age Band Code]]&amp;"; "&amp;S3251&amp;AS[[#This Row],[Sex Code]]</f>
        <v xml:space="preserve">Insurer Code ; Reporting Year ; Insurance Category Code ; Large Provider Entity Code ; Age Band Code ; Sex Code </v>
      </c>
      <c r="N3251" s="345" t="s">
        <v>207</v>
      </c>
      <c r="O3251" s="345" t="s">
        <v>208</v>
      </c>
      <c r="P3251" s="345" t="s">
        <v>209</v>
      </c>
      <c r="Q3251" s="345" t="s">
        <v>210</v>
      </c>
      <c r="R3251" s="345" t="s">
        <v>223</v>
      </c>
      <c r="S3251" s="345" t="s">
        <v>224</v>
      </c>
    </row>
    <row r="3252" spans="1:19" x14ac:dyDescent="0.25">
      <c r="A3252" s="311"/>
      <c r="B3252" s="312"/>
      <c r="C3252" s="312"/>
      <c r="D3252" s="312"/>
      <c r="E3252" s="312"/>
      <c r="F3252" s="312"/>
      <c r="G3252" s="328"/>
      <c r="H3252" s="337"/>
      <c r="I3252" s="334"/>
      <c r="J3252" s="314"/>
      <c r="K3252" s="449"/>
      <c r="M3252" s="349" t="str">
        <f>N3252&amp;AS[[#This Row],[Insurer Code]]&amp;"; "&amp;O3252&amp;AS[[#This Row],[Reporting Year]]&amp;"; "&amp;P3252&amp;AS[[#This Row],[Insurance Category Code]]&amp;"; "&amp;Q3252&amp;AS[[#This Row],[Large Provider Entity Code]]&amp;"; "&amp;R3252&amp;AS[[#This Row],[Age Band Code]]&amp;"; "&amp;S3252&amp;AS[[#This Row],[Sex Code]]</f>
        <v xml:space="preserve">Insurer Code ; Reporting Year ; Insurance Category Code ; Large Provider Entity Code ; Age Band Code ; Sex Code </v>
      </c>
      <c r="N3252" s="345" t="s">
        <v>207</v>
      </c>
      <c r="O3252" s="345" t="s">
        <v>208</v>
      </c>
      <c r="P3252" s="345" t="s">
        <v>209</v>
      </c>
      <c r="Q3252" s="345" t="s">
        <v>210</v>
      </c>
      <c r="R3252" s="345" t="s">
        <v>223</v>
      </c>
      <c r="S3252" s="345" t="s">
        <v>224</v>
      </c>
    </row>
    <row r="3253" spans="1:19" x14ac:dyDescent="0.25">
      <c r="A3253" s="311"/>
      <c r="B3253" s="312"/>
      <c r="C3253" s="312"/>
      <c r="D3253" s="312"/>
      <c r="E3253" s="312"/>
      <c r="F3253" s="312"/>
      <c r="G3253" s="328"/>
      <c r="H3253" s="337"/>
      <c r="I3253" s="334"/>
      <c r="J3253" s="314"/>
      <c r="K3253" s="449"/>
      <c r="M3253" s="349" t="str">
        <f>N3253&amp;AS[[#This Row],[Insurer Code]]&amp;"; "&amp;O3253&amp;AS[[#This Row],[Reporting Year]]&amp;"; "&amp;P3253&amp;AS[[#This Row],[Insurance Category Code]]&amp;"; "&amp;Q3253&amp;AS[[#This Row],[Large Provider Entity Code]]&amp;"; "&amp;R3253&amp;AS[[#This Row],[Age Band Code]]&amp;"; "&amp;S3253&amp;AS[[#This Row],[Sex Code]]</f>
        <v xml:space="preserve">Insurer Code ; Reporting Year ; Insurance Category Code ; Large Provider Entity Code ; Age Band Code ; Sex Code </v>
      </c>
      <c r="N3253" s="345" t="s">
        <v>207</v>
      </c>
      <c r="O3253" s="345" t="s">
        <v>208</v>
      </c>
      <c r="P3253" s="345" t="s">
        <v>209</v>
      </c>
      <c r="Q3253" s="345" t="s">
        <v>210</v>
      </c>
      <c r="R3253" s="345" t="s">
        <v>223</v>
      </c>
      <c r="S3253" s="345" t="s">
        <v>224</v>
      </c>
    </row>
    <row r="3254" spans="1:19" x14ac:dyDescent="0.25">
      <c r="A3254" s="311"/>
      <c r="B3254" s="312"/>
      <c r="C3254" s="312"/>
      <c r="D3254" s="312"/>
      <c r="E3254" s="312"/>
      <c r="F3254" s="312"/>
      <c r="G3254" s="328"/>
      <c r="H3254" s="337"/>
      <c r="I3254" s="334"/>
      <c r="J3254" s="314"/>
      <c r="K3254" s="449"/>
      <c r="M3254" s="349" t="str">
        <f>N3254&amp;AS[[#This Row],[Insurer Code]]&amp;"; "&amp;O3254&amp;AS[[#This Row],[Reporting Year]]&amp;"; "&amp;P3254&amp;AS[[#This Row],[Insurance Category Code]]&amp;"; "&amp;Q3254&amp;AS[[#This Row],[Large Provider Entity Code]]&amp;"; "&amp;R3254&amp;AS[[#This Row],[Age Band Code]]&amp;"; "&amp;S3254&amp;AS[[#This Row],[Sex Code]]</f>
        <v xml:space="preserve">Insurer Code ; Reporting Year ; Insurance Category Code ; Large Provider Entity Code ; Age Band Code ; Sex Code </v>
      </c>
      <c r="N3254" s="345" t="s">
        <v>207</v>
      </c>
      <c r="O3254" s="345" t="s">
        <v>208</v>
      </c>
      <c r="P3254" s="345" t="s">
        <v>209</v>
      </c>
      <c r="Q3254" s="345" t="s">
        <v>210</v>
      </c>
      <c r="R3254" s="345" t="s">
        <v>223</v>
      </c>
      <c r="S3254" s="345" t="s">
        <v>224</v>
      </c>
    </row>
    <row r="3255" spans="1:19" x14ac:dyDescent="0.25">
      <c r="A3255" s="311"/>
      <c r="B3255" s="312"/>
      <c r="C3255" s="312"/>
      <c r="D3255" s="312"/>
      <c r="E3255" s="312"/>
      <c r="F3255" s="312"/>
      <c r="G3255" s="328"/>
      <c r="H3255" s="337"/>
      <c r="I3255" s="334"/>
      <c r="J3255" s="314"/>
      <c r="K3255" s="449"/>
      <c r="M3255" s="349" t="str">
        <f>N3255&amp;AS[[#This Row],[Insurer Code]]&amp;"; "&amp;O3255&amp;AS[[#This Row],[Reporting Year]]&amp;"; "&amp;P3255&amp;AS[[#This Row],[Insurance Category Code]]&amp;"; "&amp;Q3255&amp;AS[[#This Row],[Large Provider Entity Code]]&amp;"; "&amp;R3255&amp;AS[[#This Row],[Age Band Code]]&amp;"; "&amp;S3255&amp;AS[[#This Row],[Sex Code]]</f>
        <v xml:space="preserve">Insurer Code ; Reporting Year ; Insurance Category Code ; Large Provider Entity Code ; Age Band Code ; Sex Code </v>
      </c>
      <c r="N3255" s="345" t="s">
        <v>207</v>
      </c>
      <c r="O3255" s="345" t="s">
        <v>208</v>
      </c>
      <c r="P3255" s="345" t="s">
        <v>209</v>
      </c>
      <c r="Q3255" s="345" t="s">
        <v>210</v>
      </c>
      <c r="R3255" s="345" t="s">
        <v>223</v>
      </c>
      <c r="S3255" s="345" t="s">
        <v>224</v>
      </c>
    </row>
    <row r="3256" spans="1:19" x14ac:dyDescent="0.25">
      <c r="A3256" s="311"/>
      <c r="B3256" s="312"/>
      <c r="C3256" s="312"/>
      <c r="D3256" s="312"/>
      <c r="E3256" s="312"/>
      <c r="F3256" s="312"/>
      <c r="G3256" s="328"/>
      <c r="H3256" s="337"/>
      <c r="I3256" s="334"/>
      <c r="J3256" s="314"/>
      <c r="K3256" s="449"/>
      <c r="M3256" s="349" t="str">
        <f>N3256&amp;AS[[#This Row],[Insurer Code]]&amp;"; "&amp;O3256&amp;AS[[#This Row],[Reporting Year]]&amp;"; "&amp;P3256&amp;AS[[#This Row],[Insurance Category Code]]&amp;"; "&amp;Q3256&amp;AS[[#This Row],[Large Provider Entity Code]]&amp;"; "&amp;R3256&amp;AS[[#This Row],[Age Band Code]]&amp;"; "&amp;S3256&amp;AS[[#This Row],[Sex Code]]</f>
        <v xml:space="preserve">Insurer Code ; Reporting Year ; Insurance Category Code ; Large Provider Entity Code ; Age Band Code ; Sex Code </v>
      </c>
      <c r="N3256" s="345" t="s">
        <v>207</v>
      </c>
      <c r="O3256" s="345" t="s">
        <v>208</v>
      </c>
      <c r="P3256" s="345" t="s">
        <v>209</v>
      </c>
      <c r="Q3256" s="345" t="s">
        <v>210</v>
      </c>
      <c r="R3256" s="345" t="s">
        <v>223</v>
      </c>
      <c r="S3256" s="345" t="s">
        <v>224</v>
      </c>
    </row>
    <row r="3257" spans="1:19" x14ac:dyDescent="0.25">
      <c r="A3257" s="311"/>
      <c r="B3257" s="312"/>
      <c r="C3257" s="312"/>
      <c r="D3257" s="312"/>
      <c r="E3257" s="312"/>
      <c r="F3257" s="312"/>
      <c r="G3257" s="328"/>
      <c r="H3257" s="337"/>
      <c r="I3257" s="334"/>
      <c r="J3257" s="314"/>
      <c r="K3257" s="449"/>
      <c r="M3257" s="349" t="str">
        <f>N3257&amp;AS[[#This Row],[Insurer Code]]&amp;"; "&amp;O3257&amp;AS[[#This Row],[Reporting Year]]&amp;"; "&amp;P3257&amp;AS[[#This Row],[Insurance Category Code]]&amp;"; "&amp;Q3257&amp;AS[[#This Row],[Large Provider Entity Code]]&amp;"; "&amp;R3257&amp;AS[[#This Row],[Age Band Code]]&amp;"; "&amp;S3257&amp;AS[[#This Row],[Sex Code]]</f>
        <v xml:space="preserve">Insurer Code ; Reporting Year ; Insurance Category Code ; Large Provider Entity Code ; Age Band Code ; Sex Code </v>
      </c>
      <c r="N3257" s="345" t="s">
        <v>207</v>
      </c>
      <c r="O3257" s="345" t="s">
        <v>208</v>
      </c>
      <c r="P3257" s="345" t="s">
        <v>209</v>
      </c>
      <c r="Q3257" s="345" t="s">
        <v>210</v>
      </c>
      <c r="R3257" s="345" t="s">
        <v>223</v>
      </c>
      <c r="S3257" s="345" t="s">
        <v>224</v>
      </c>
    </row>
    <row r="3258" spans="1:19" x14ac:dyDescent="0.25">
      <c r="A3258" s="311"/>
      <c r="B3258" s="312"/>
      <c r="C3258" s="312"/>
      <c r="D3258" s="312"/>
      <c r="E3258" s="312"/>
      <c r="F3258" s="312"/>
      <c r="G3258" s="328"/>
      <c r="H3258" s="337"/>
      <c r="I3258" s="334"/>
      <c r="J3258" s="314"/>
      <c r="K3258" s="449"/>
      <c r="M3258" s="349" t="str">
        <f>N3258&amp;AS[[#This Row],[Insurer Code]]&amp;"; "&amp;O3258&amp;AS[[#This Row],[Reporting Year]]&amp;"; "&amp;P3258&amp;AS[[#This Row],[Insurance Category Code]]&amp;"; "&amp;Q3258&amp;AS[[#This Row],[Large Provider Entity Code]]&amp;"; "&amp;R3258&amp;AS[[#This Row],[Age Band Code]]&amp;"; "&amp;S3258&amp;AS[[#This Row],[Sex Code]]</f>
        <v xml:space="preserve">Insurer Code ; Reporting Year ; Insurance Category Code ; Large Provider Entity Code ; Age Band Code ; Sex Code </v>
      </c>
      <c r="N3258" s="345" t="s">
        <v>207</v>
      </c>
      <c r="O3258" s="345" t="s">
        <v>208</v>
      </c>
      <c r="P3258" s="345" t="s">
        <v>209</v>
      </c>
      <c r="Q3258" s="345" t="s">
        <v>210</v>
      </c>
      <c r="R3258" s="345" t="s">
        <v>223</v>
      </c>
      <c r="S3258" s="345" t="s">
        <v>224</v>
      </c>
    </row>
    <row r="3259" spans="1:19" x14ac:dyDescent="0.25">
      <c r="A3259" s="311"/>
      <c r="B3259" s="312"/>
      <c r="C3259" s="312"/>
      <c r="D3259" s="312"/>
      <c r="E3259" s="312"/>
      <c r="F3259" s="312"/>
      <c r="G3259" s="328"/>
      <c r="H3259" s="337"/>
      <c r="I3259" s="334"/>
      <c r="J3259" s="314"/>
      <c r="K3259" s="449"/>
      <c r="M3259" s="349" t="str">
        <f>N3259&amp;AS[[#This Row],[Insurer Code]]&amp;"; "&amp;O3259&amp;AS[[#This Row],[Reporting Year]]&amp;"; "&amp;P3259&amp;AS[[#This Row],[Insurance Category Code]]&amp;"; "&amp;Q3259&amp;AS[[#This Row],[Large Provider Entity Code]]&amp;"; "&amp;R3259&amp;AS[[#This Row],[Age Band Code]]&amp;"; "&amp;S3259&amp;AS[[#This Row],[Sex Code]]</f>
        <v xml:space="preserve">Insurer Code ; Reporting Year ; Insurance Category Code ; Large Provider Entity Code ; Age Band Code ; Sex Code </v>
      </c>
      <c r="N3259" s="345" t="s">
        <v>207</v>
      </c>
      <c r="O3259" s="345" t="s">
        <v>208</v>
      </c>
      <c r="P3259" s="345" t="s">
        <v>209</v>
      </c>
      <c r="Q3259" s="345" t="s">
        <v>210</v>
      </c>
      <c r="R3259" s="345" t="s">
        <v>223</v>
      </c>
      <c r="S3259" s="345" t="s">
        <v>224</v>
      </c>
    </row>
    <row r="3260" spans="1:19" x14ac:dyDescent="0.25">
      <c r="A3260" s="311"/>
      <c r="B3260" s="312"/>
      <c r="C3260" s="312"/>
      <c r="D3260" s="312"/>
      <c r="E3260" s="312"/>
      <c r="F3260" s="312"/>
      <c r="G3260" s="328"/>
      <c r="H3260" s="337"/>
      <c r="I3260" s="334"/>
      <c r="J3260" s="314"/>
      <c r="K3260" s="449"/>
      <c r="M3260" s="349" t="str">
        <f>N3260&amp;AS[[#This Row],[Insurer Code]]&amp;"; "&amp;O3260&amp;AS[[#This Row],[Reporting Year]]&amp;"; "&amp;P3260&amp;AS[[#This Row],[Insurance Category Code]]&amp;"; "&amp;Q3260&amp;AS[[#This Row],[Large Provider Entity Code]]&amp;"; "&amp;R3260&amp;AS[[#This Row],[Age Band Code]]&amp;"; "&amp;S3260&amp;AS[[#This Row],[Sex Code]]</f>
        <v xml:space="preserve">Insurer Code ; Reporting Year ; Insurance Category Code ; Large Provider Entity Code ; Age Band Code ; Sex Code </v>
      </c>
      <c r="N3260" s="345" t="s">
        <v>207</v>
      </c>
      <c r="O3260" s="345" t="s">
        <v>208</v>
      </c>
      <c r="P3260" s="345" t="s">
        <v>209</v>
      </c>
      <c r="Q3260" s="345" t="s">
        <v>210</v>
      </c>
      <c r="R3260" s="345" t="s">
        <v>223</v>
      </c>
      <c r="S3260" s="345" t="s">
        <v>224</v>
      </c>
    </row>
    <row r="3261" spans="1:19" x14ac:dyDescent="0.25">
      <c r="A3261" s="311"/>
      <c r="B3261" s="312"/>
      <c r="C3261" s="312"/>
      <c r="D3261" s="312"/>
      <c r="E3261" s="312"/>
      <c r="F3261" s="312"/>
      <c r="G3261" s="328"/>
      <c r="H3261" s="337"/>
      <c r="I3261" s="334"/>
      <c r="J3261" s="314"/>
      <c r="K3261" s="449"/>
      <c r="M3261" s="349" t="str">
        <f>N3261&amp;AS[[#This Row],[Insurer Code]]&amp;"; "&amp;O3261&amp;AS[[#This Row],[Reporting Year]]&amp;"; "&amp;P3261&amp;AS[[#This Row],[Insurance Category Code]]&amp;"; "&amp;Q3261&amp;AS[[#This Row],[Large Provider Entity Code]]&amp;"; "&amp;R3261&amp;AS[[#This Row],[Age Band Code]]&amp;"; "&amp;S3261&amp;AS[[#This Row],[Sex Code]]</f>
        <v xml:space="preserve">Insurer Code ; Reporting Year ; Insurance Category Code ; Large Provider Entity Code ; Age Band Code ; Sex Code </v>
      </c>
      <c r="N3261" s="345" t="s">
        <v>207</v>
      </c>
      <c r="O3261" s="345" t="s">
        <v>208</v>
      </c>
      <c r="P3261" s="345" t="s">
        <v>209</v>
      </c>
      <c r="Q3261" s="345" t="s">
        <v>210</v>
      </c>
      <c r="R3261" s="345" t="s">
        <v>223</v>
      </c>
      <c r="S3261" s="345" t="s">
        <v>224</v>
      </c>
    </row>
    <row r="3262" spans="1:19" x14ac:dyDescent="0.25">
      <c r="A3262" s="311"/>
      <c r="B3262" s="312"/>
      <c r="C3262" s="312"/>
      <c r="D3262" s="312"/>
      <c r="E3262" s="312"/>
      <c r="F3262" s="312"/>
      <c r="G3262" s="328"/>
      <c r="H3262" s="337"/>
      <c r="I3262" s="334"/>
      <c r="J3262" s="314"/>
      <c r="K3262" s="449"/>
      <c r="M3262" s="349" t="str">
        <f>N3262&amp;AS[[#This Row],[Insurer Code]]&amp;"; "&amp;O3262&amp;AS[[#This Row],[Reporting Year]]&amp;"; "&amp;P3262&amp;AS[[#This Row],[Insurance Category Code]]&amp;"; "&amp;Q3262&amp;AS[[#This Row],[Large Provider Entity Code]]&amp;"; "&amp;R3262&amp;AS[[#This Row],[Age Band Code]]&amp;"; "&amp;S3262&amp;AS[[#This Row],[Sex Code]]</f>
        <v xml:space="preserve">Insurer Code ; Reporting Year ; Insurance Category Code ; Large Provider Entity Code ; Age Band Code ; Sex Code </v>
      </c>
      <c r="N3262" s="345" t="s">
        <v>207</v>
      </c>
      <c r="O3262" s="345" t="s">
        <v>208</v>
      </c>
      <c r="P3262" s="345" t="s">
        <v>209</v>
      </c>
      <c r="Q3262" s="345" t="s">
        <v>210</v>
      </c>
      <c r="R3262" s="345" t="s">
        <v>223</v>
      </c>
      <c r="S3262" s="345" t="s">
        <v>224</v>
      </c>
    </row>
    <row r="3263" spans="1:19" x14ac:dyDescent="0.25">
      <c r="A3263" s="311"/>
      <c r="B3263" s="312"/>
      <c r="C3263" s="312"/>
      <c r="D3263" s="312"/>
      <c r="E3263" s="312"/>
      <c r="F3263" s="312"/>
      <c r="G3263" s="328"/>
      <c r="H3263" s="337"/>
      <c r="I3263" s="334"/>
      <c r="J3263" s="314"/>
      <c r="K3263" s="449"/>
      <c r="M3263" s="349" t="str">
        <f>N3263&amp;AS[[#This Row],[Insurer Code]]&amp;"; "&amp;O3263&amp;AS[[#This Row],[Reporting Year]]&amp;"; "&amp;P3263&amp;AS[[#This Row],[Insurance Category Code]]&amp;"; "&amp;Q3263&amp;AS[[#This Row],[Large Provider Entity Code]]&amp;"; "&amp;R3263&amp;AS[[#This Row],[Age Band Code]]&amp;"; "&amp;S3263&amp;AS[[#This Row],[Sex Code]]</f>
        <v xml:space="preserve">Insurer Code ; Reporting Year ; Insurance Category Code ; Large Provider Entity Code ; Age Band Code ; Sex Code </v>
      </c>
      <c r="N3263" s="345" t="s">
        <v>207</v>
      </c>
      <c r="O3263" s="345" t="s">
        <v>208</v>
      </c>
      <c r="P3263" s="345" t="s">
        <v>209</v>
      </c>
      <c r="Q3263" s="345" t="s">
        <v>210</v>
      </c>
      <c r="R3263" s="345" t="s">
        <v>223</v>
      </c>
      <c r="S3263" s="345" t="s">
        <v>224</v>
      </c>
    </row>
    <row r="3264" spans="1:19" x14ac:dyDescent="0.25">
      <c r="A3264" s="311"/>
      <c r="B3264" s="312"/>
      <c r="C3264" s="312"/>
      <c r="D3264" s="312"/>
      <c r="E3264" s="312"/>
      <c r="F3264" s="312"/>
      <c r="G3264" s="328"/>
      <c r="H3264" s="337"/>
      <c r="I3264" s="334"/>
      <c r="J3264" s="314"/>
      <c r="K3264" s="449"/>
      <c r="M3264" s="349" t="str">
        <f>N3264&amp;AS[[#This Row],[Insurer Code]]&amp;"; "&amp;O3264&amp;AS[[#This Row],[Reporting Year]]&amp;"; "&amp;P3264&amp;AS[[#This Row],[Insurance Category Code]]&amp;"; "&amp;Q3264&amp;AS[[#This Row],[Large Provider Entity Code]]&amp;"; "&amp;R3264&amp;AS[[#This Row],[Age Band Code]]&amp;"; "&amp;S3264&amp;AS[[#This Row],[Sex Code]]</f>
        <v xml:space="preserve">Insurer Code ; Reporting Year ; Insurance Category Code ; Large Provider Entity Code ; Age Band Code ; Sex Code </v>
      </c>
      <c r="N3264" s="345" t="s">
        <v>207</v>
      </c>
      <c r="O3264" s="345" t="s">
        <v>208</v>
      </c>
      <c r="P3264" s="345" t="s">
        <v>209</v>
      </c>
      <c r="Q3264" s="345" t="s">
        <v>210</v>
      </c>
      <c r="R3264" s="345" t="s">
        <v>223</v>
      </c>
      <c r="S3264" s="345" t="s">
        <v>224</v>
      </c>
    </row>
    <row r="3265" spans="1:19" x14ac:dyDescent="0.25">
      <c r="A3265" s="311"/>
      <c r="B3265" s="312"/>
      <c r="C3265" s="312"/>
      <c r="D3265" s="312"/>
      <c r="E3265" s="312"/>
      <c r="F3265" s="312"/>
      <c r="G3265" s="328"/>
      <c r="H3265" s="337"/>
      <c r="I3265" s="334"/>
      <c r="J3265" s="314"/>
      <c r="K3265" s="449"/>
      <c r="M3265" s="349" t="str">
        <f>N3265&amp;AS[[#This Row],[Insurer Code]]&amp;"; "&amp;O3265&amp;AS[[#This Row],[Reporting Year]]&amp;"; "&amp;P3265&amp;AS[[#This Row],[Insurance Category Code]]&amp;"; "&amp;Q3265&amp;AS[[#This Row],[Large Provider Entity Code]]&amp;"; "&amp;R3265&amp;AS[[#This Row],[Age Band Code]]&amp;"; "&amp;S3265&amp;AS[[#This Row],[Sex Code]]</f>
        <v xml:space="preserve">Insurer Code ; Reporting Year ; Insurance Category Code ; Large Provider Entity Code ; Age Band Code ; Sex Code </v>
      </c>
      <c r="N3265" s="345" t="s">
        <v>207</v>
      </c>
      <c r="O3265" s="345" t="s">
        <v>208</v>
      </c>
      <c r="P3265" s="345" t="s">
        <v>209</v>
      </c>
      <c r="Q3265" s="345" t="s">
        <v>210</v>
      </c>
      <c r="R3265" s="345" t="s">
        <v>223</v>
      </c>
      <c r="S3265" s="345" t="s">
        <v>224</v>
      </c>
    </row>
    <row r="3266" spans="1:19" x14ac:dyDescent="0.25">
      <c r="A3266" s="311"/>
      <c r="B3266" s="312"/>
      <c r="C3266" s="312"/>
      <c r="D3266" s="312"/>
      <c r="E3266" s="312"/>
      <c r="F3266" s="312"/>
      <c r="G3266" s="328"/>
      <c r="H3266" s="337"/>
      <c r="I3266" s="334"/>
      <c r="J3266" s="314"/>
      <c r="K3266" s="449"/>
      <c r="M3266" s="349" t="str">
        <f>N3266&amp;AS[[#This Row],[Insurer Code]]&amp;"; "&amp;O3266&amp;AS[[#This Row],[Reporting Year]]&amp;"; "&amp;P3266&amp;AS[[#This Row],[Insurance Category Code]]&amp;"; "&amp;Q3266&amp;AS[[#This Row],[Large Provider Entity Code]]&amp;"; "&amp;R3266&amp;AS[[#This Row],[Age Band Code]]&amp;"; "&amp;S3266&amp;AS[[#This Row],[Sex Code]]</f>
        <v xml:space="preserve">Insurer Code ; Reporting Year ; Insurance Category Code ; Large Provider Entity Code ; Age Band Code ; Sex Code </v>
      </c>
      <c r="N3266" s="345" t="s">
        <v>207</v>
      </c>
      <c r="O3266" s="345" t="s">
        <v>208</v>
      </c>
      <c r="P3266" s="345" t="s">
        <v>209</v>
      </c>
      <c r="Q3266" s="345" t="s">
        <v>210</v>
      </c>
      <c r="R3266" s="345" t="s">
        <v>223</v>
      </c>
      <c r="S3266" s="345" t="s">
        <v>224</v>
      </c>
    </row>
    <row r="3267" spans="1:19" x14ac:dyDescent="0.25">
      <c r="A3267" s="311"/>
      <c r="B3267" s="312"/>
      <c r="C3267" s="312"/>
      <c r="D3267" s="312"/>
      <c r="E3267" s="312"/>
      <c r="F3267" s="312"/>
      <c r="G3267" s="328"/>
      <c r="H3267" s="337"/>
      <c r="I3267" s="334"/>
      <c r="J3267" s="314"/>
      <c r="K3267" s="449"/>
      <c r="M3267" s="349" t="str">
        <f>N3267&amp;AS[[#This Row],[Insurer Code]]&amp;"; "&amp;O3267&amp;AS[[#This Row],[Reporting Year]]&amp;"; "&amp;P3267&amp;AS[[#This Row],[Insurance Category Code]]&amp;"; "&amp;Q3267&amp;AS[[#This Row],[Large Provider Entity Code]]&amp;"; "&amp;R3267&amp;AS[[#This Row],[Age Band Code]]&amp;"; "&amp;S3267&amp;AS[[#This Row],[Sex Code]]</f>
        <v xml:space="preserve">Insurer Code ; Reporting Year ; Insurance Category Code ; Large Provider Entity Code ; Age Band Code ; Sex Code </v>
      </c>
      <c r="N3267" s="345" t="s">
        <v>207</v>
      </c>
      <c r="O3267" s="345" t="s">
        <v>208</v>
      </c>
      <c r="P3267" s="345" t="s">
        <v>209</v>
      </c>
      <c r="Q3267" s="345" t="s">
        <v>210</v>
      </c>
      <c r="R3267" s="345" t="s">
        <v>223</v>
      </c>
      <c r="S3267" s="345" t="s">
        <v>224</v>
      </c>
    </row>
    <row r="3268" spans="1:19" x14ac:dyDescent="0.25">
      <c r="A3268" s="311"/>
      <c r="B3268" s="312"/>
      <c r="C3268" s="312"/>
      <c r="D3268" s="312"/>
      <c r="E3268" s="312"/>
      <c r="F3268" s="312"/>
      <c r="G3268" s="328"/>
      <c r="H3268" s="337"/>
      <c r="I3268" s="334"/>
      <c r="J3268" s="314"/>
      <c r="K3268" s="449"/>
      <c r="M3268" s="349" t="str">
        <f>N3268&amp;AS[[#This Row],[Insurer Code]]&amp;"; "&amp;O3268&amp;AS[[#This Row],[Reporting Year]]&amp;"; "&amp;P3268&amp;AS[[#This Row],[Insurance Category Code]]&amp;"; "&amp;Q3268&amp;AS[[#This Row],[Large Provider Entity Code]]&amp;"; "&amp;R3268&amp;AS[[#This Row],[Age Band Code]]&amp;"; "&amp;S3268&amp;AS[[#This Row],[Sex Code]]</f>
        <v xml:space="preserve">Insurer Code ; Reporting Year ; Insurance Category Code ; Large Provider Entity Code ; Age Band Code ; Sex Code </v>
      </c>
      <c r="N3268" s="345" t="s">
        <v>207</v>
      </c>
      <c r="O3268" s="345" t="s">
        <v>208</v>
      </c>
      <c r="P3268" s="345" t="s">
        <v>209</v>
      </c>
      <c r="Q3268" s="345" t="s">
        <v>210</v>
      </c>
      <c r="R3268" s="345" t="s">
        <v>223</v>
      </c>
      <c r="S3268" s="345" t="s">
        <v>224</v>
      </c>
    </row>
    <row r="3269" spans="1:19" x14ac:dyDescent="0.25">
      <c r="A3269" s="311"/>
      <c r="B3269" s="312"/>
      <c r="C3269" s="312"/>
      <c r="D3269" s="312"/>
      <c r="E3269" s="312"/>
      <c r="F3269" s="312"/>
      <c r="G3269" s="328"/>
      <c r="H3269" s="337"/>
      <c r="I3269" s="334"/>
      <c r="J3269" s="314"/>
      <c r="K3269" s="449"/>
      <c r="M3269" s="349" t="str">
        <f>N3269&amp;AS[[#This Row],[Insurer Code]]&amp;"; "&amp;O3269&amp;AS[[#This Row],[Reporting Year]]&amp;"; "&amp;P3269&amp;AS[[#This Row],[Insurance Category Code]]&amp;"; "&amp;Q3269&amp;AS[[#This Row],[Large Provider Entity Code]]&amp;"; "&amp;R3269&amp;AS[[#This Row],[Age Band Code]]&amp;"; "&amp;S3269&amp;AS[[#This Row],[Sex Code]]</f>
        <v xml:space="preserve">Insurer Code ; Reporting Year ; Insurance Category Code ; Large Provider Entity Code ; Age Band Code ; Sex Code </v>
      </c>
      <c r="N3269" s="345" t="s">
        <v>207</v>
      </c>
      <c r="O3269" s="345" t="s">
        <v>208</v>
      </c>
      <c r="P3269" s="345" t="s">
        <v>209</v>
      </c>
      <c r="Q3269" s="345" t="s">
        <v>210</v>
      </c>
      <c r="R3269" s="345" t="s">
        <v>223</v>
      </c>
      <c r="S3269" s="345" t="s">
        <v>224</v>
      </c>
    </row>
    <row r="3270" spans="1:19" x14ac:dyDescent="0.25">
      <c r="A3270" s="311"/>
      <c r="B3270" s="312"/>
      <c r="C3270" s="312"/>
      <c r="D3270" s="312"/>
      <c r="E3270" s="312"/>
      <c r="F3270" s="312"/>
      <c r="G3270" s="328"/>
      <c r="H3270" s="337"/>
      <c r="I3270" s="334"/>
      <c r="J3270" s="314"/>
      <c r="K3270" s="449"/>
      <c r="M3270" s="349" t="str">
        <f>N3270&amp;AS[[#This Row],[Insurer Code]]&amp;"; "&amp;O3270&amp;AS[[#This Row],[Reporting Year]]&amp;"; "&amp;P3270&amp;AS[[#This Row],[Insurance Category Code]]&amp;"; "&amp;Q3270&amp;AS[[#This Row],[Large Provider Entity Code]]&amp;"; "&amp;R3270&amp;AS[[#This Row],[Age Band Code]]&amp;"; "&amp;S3270&amp;AS[[#This Row],[Sex Code]]</f>
        <v xml:space="preserve">Insurer Code ; Reporting Year ; Insurance Category Code ; Large Provider Entity Code ; Age Band Code ; Sex Code </v>
      </c>
      <c r="N3270" s="345" t="s">
        <v>207</v>
      </c>
      <c r="O3270" s="345" t="s">
        <v>208</v>
      </c>
      <c r="P3270" s="345" t="s">
        <v>209</v>
      </c>
      <c r="Q3270" s="345" t="s">
        <v>210</v>
      </c>
      <c r="R3270" s="345" t="s">
        <v>223</v>
      </c>
      <c r="S3270" s="345" t="s">
        <v>224</v>
      </c>
    </row>
    <row r="3271" spans="1:19" x14ac:dyDescent="0.25">
      <c r="A3271" s="311"/>
      <c r="B3271" s="312"/>
      <c r="C3271" s="312"/>
      <c r="D3271" s="312"/>
      <c r="E3271" s="312"/>
      <c r="F3271" s="312"/>
      <c r="G3271" s="328"/>
      <c r="H3271" s="337"/>
      <c r="I3271" s="334"/>
      <c r="J3271" s="314"/>
      <c r="K3271" s="449"/>
      <c r="M3271" s="349" t="str">
        <f>N3271&amp;AS[[#This Row],[Insurer Code]]&amp;"; "&amp;O3271&amp;AS[[#This Row],[Reporting Year]]&amp;"; "&amp;P3271&amp;AS[[#This Row],[Insurance Category Code]]&amp;"; "&amp;Q3271&amp;AS[[#This Row],[Large Provider Entity Code]]&amp;"; "&amp;R3271&amp;AS[[#This Row],[Age Band Code]]&amp;"; "&amp;S3271&amp;AS[[#This Row],[Sex Code]]</f>
        <v xml:space="preserve">Insurer Code ; Reporting Year ; Insurance Category Code ; Large Provider Entity Code ; Age Band Code ; Sex Code </v>
      </c>
      <c r="N3271" s="345" t="s">
        <v>207</v>
      </c>
      <c r="O3271" s="345" t="s">
        <v>208</v>
      </c>
      <c r="P3271" s="345" t="s">
        <v>209</v>
      </c>
      <c r="Q3271" s="345" t="s">
        <v>210</v>
      </c>
      <c r="R3271" s="345" t="s">
        <v>223</v>
      </c>
      <c r="S3271" s="345" t="s">
        <v>224</v>
      </c>
    </row>
    <row r="3272" spans="1:19" x14ac:dyDescent="0.25">
      <c r="A3272" s="311"/>
      <c r="B3272" s="312"/>
      <c r="C3272" s="312"/>
      <c r="D3272" s="312"/>
      <c r="E3272" s="312"/>
      <c r="F3272" s="312"/>
      <c r="G3272" s="328"/>
      <c r="H3272" s="337"/>
      <c r="I3272" s="334"/>
      <c r="J3272" s="314"/>
      <c r="K3272" s="449"/>
      <c r="M3272" s="349" t="str">
        <f>N3272&amp;AS[[#This Row],[Insurer Code]]&amp;"; "&amp;O3272&amp;AS[[#This Row],[Reporting Year]]&amp;"; "&amp;P3272&amp;AS[[#This Row],[Insurance Category Code]]&amp;"; "&amp;Q3272&amp;AS[[#This Row],[Large Provider Entity Code]]&amp;"; "&amp;R3272&amp;AS[[#This Row],[Age Band Code]]&amp;"; "&amp;S3272&amp;AS[[#This Row],[Sex Code]]</f>
        <v xml:space="preserve">Insurer Code ; Reporting Year ; Insurance Category Code ; Large Provider Entity Code ; Age Band Code ; Sex Code </v>
      </c>
      <c r="N3272" s="345" t="s">
        <v>207</v>
      </c>
      <c r="O3272" s="345" t="s">
        <v>208</v>
      </c>
      <c r="P3272" s="345" t="s">
        <v>209</v>
      </c>
      <c r="Q3272" s="345" t="s">
        <v>210</v>
      </c>
      <c r="R3272" s="345" t="s">
        <v>223</v>
      </c>
      <c r="S3272" s="345" t="s">
        <v>224</v>
      </c>
    </row>
    <row r="3273" spans="1:19" x14ac:dyDescent="0.25">
      <c r="A3273" s="311"/>
      <c r="B3273" s="312"/>
      <c r="C3273" s="312"/>
      <c r="D3273" s="312"/>
      <c r="E3273" s="312"/>
      <c r="F3273" s="312"/>
      <c r="G3273" s="328"/>
      <c r="H3273" s="337"/>
      <c r="I3273" s="334"/>
      <c r="J3273" s="314"/>
      <c r="K3273" s="449"/>
      <c r="M3273" s="349" t="str">
        <f>N3273&amp;AS[[#This Row],[Insurer Code]]&amp;"; "&amp;O3273&amp;AS[[#This Row],[Reporting Year]]&amp;"; "&amp;P3273&amp;AS[[#This Row],[Insurance Category Code]]&amp;"; "&amp;Q3273&amp;AS[[#This Row],[Large Provider Entity Code]]&amp;"; "&amp;R3273&amp;AS[[#This Row],[Age Band Code]]&amp;"; "&amp;S3273&amp;AS[[#This Row],[Sex Code]]</f>
        <v xml:space="preserve">Insurer Code ; Reporting Year ; Insurance Category Code ; Large Provider Entity Code ; Age Band Code ; Sex Code </v>
      </c>
      <c r="N3273" s="345" t="s">
        <v>207</v>
      </c>
      <c r="O3273" s="345" t="s">
        <v>208</v>
      </c>
      <c r="P3273" s="345" t="s">
        <v>209</v>
      </c>
      <c r="Q3273" s="345" t="s">
        <v>210</v>
      </c>
      <c r="R3273" s="345" t="s">
        <v>223</v>
      </c>
      <c r="S3273" s="345" t="s">
        <v>224</v>
      </c>
    </row>
    <row r="3274" spans="1:19" x14ac:dyDescent="0.25">
      <c r="A3274" s="311"/>
      <c r="B3274" s="312"/>
      <c r="C3274" s="312"/>
      <c r="D3274" s="312"/>
      <c r="E3274" s="312"/>
      <c r="F3274" s="312"/>
      <c r="G3274" s="328"/>
      <c r="H3274" s="337"/>
      <c r="I3274" s="334"/>
      <c r="J3274" s="314"/>
      <c r="K3274" s="449"/>
      <c r="M3274" s="349" t="str">
        <f>N3274&amp;AS[[#This Row],[Insurer Code]]&amp;"; "&amp;O3274&amp;AS[[#This Row],[Reporting Year]]&amp;"; "&amp;P3274&amp;AS[[#This Row],[Insurance Category Code]]&amp;"; "&amp;Q3274&amp;AS[[#This Row],[Large Provider Entity Code]]&amp;"; "&amp;R3274&amp;AS[[#This Row],[Age Band Code]]&amp;"; "&amp;S3274&amp;AS[[#This Row],[Sex Code]]</f>
        <v xml:space="preserve">Insurer Code ; Reporting Year ; Insurance Category Code ; Large Provider Entity Code ; Age Band Code ; Sex Code </v>
      </c>
      <c r="N3274" s="345" t="s">
        <v>207</v>
      </c>
      <c r="O3274" s="345" t="s">
        <v>208</v>
      </c>
      <c r="P3274" s="345" t="s">
        <v>209</v>
      </c>
      <c r="Q3274" s="345" t="s">
        <v>210</v>
      </c>
      <c r="R3274" s="345" t="s">
        <v>223</v>
      </c>
      <c r="S3274" s="345" t="s">
        <v>224</v>
      </c>
    </row>
    <row r="3275" spans="1:19" x14ac:dyDescent="0.25">
      <c r="A3275" s="311"/>
      <c r="B3275" s="312"/>
      <c r="C3275" s="312"/>
      <c r="D3275" s="312"/>
      <c r="E3275" s="312"/>
      <c r="F3275" s="312"/>
      <c r="G3275" s="328"/>
      <c r="H3275" s="337"/>
      <c r="I3275" s="334"/>
      <c r="J3275" s="314"/>
      <c r="K3275" s="449"/>
      <c r="M3275" s="349" t="str">
        <f>N3275&amp;AS[[#This Row],[Insurer Code]]&amp;"; "&amp;O3275&amp;AS[[#This Row],[Reporting Year]]&amp;"; "&amp;P3275&amp;AS[[#This Row],[Insurance Category Code]]&amp;"; "&amp;Q3275&amp;AS[[#This Row],[Large Provider Entity Code]]&amp;"; "&amp;R3275&amp;AS[[#This Row],[Age Band Code]]&amp;"; "&amp;S3275&amp;AS[[#This Row],[Sex Code]]</f>
        <v xml:space="preserve">Insurer Code ; Reporting Year ; Insurance Category Code ; Large Provider Entity Code ; Age Band Code ; Sex Code </v>
      </c>
      <c r="N3275" s="345" t="s">
        <v>207</v>
      </c>
      <c r="O3275" s="345" t="s">
        <v>208</v>
      </c>
      <c r="P3275" s="345" t="s">
        <v>209</v>
      </c>
      <c r="Q3275" s="345" t="s">
        <v>210</v>
      </c>
      <c r="R3275" s="345" t="s">
        <v>223</v>
      </c>
      <c r="S3275" s="345" t="s">
        <v>224</v>
      </c>
    </row>
    <row r="3276" spans="1:19" x14ac:dyDescent="0.25">
      <c r="A3276" s="311"/>
      <c r="B3276" s="312"/>
      <c r="C3276" s="312"/>
      <c r="D3276" s="312"/>
      <c r="E3276" s="312"/>
      <c r="F3276" s="312"/>
      <c r="G3276" s="328"/>
      <c r="H3276" s="337"/>
      <c r="I3276" s="334"/>
      <c r="J3276" s="314"/>
      <c r="K3276" s="449"/>
      <c r="M3276" s="349" t="str">
        <f>N3276&amp;AS[[#This Row],[Insurer Code]]&amp;"; "&amp;O3276&amp;AS[[#This Row],[Reporting Year]]&amp;"; "&amp;P3276&amp;AS[[#This Row],[Insurance Category Code]]&amp;"; "&amp;Q3276&amp;AS[[#This Row],[Large Provider Entity Code]]&amp;"; "&amp;R3276&amp;AS[[#This Row],[Age Band Code]]&amp;"; "&amp;S3276&amp;AS[[#This Row],[Sex Code]]</f>
        <v xml:space="preserve">Insurer Code ; Reporting Year ; Insurance Category Code ; Large Provider Entity Code ; Age Band Code ; Sex Code </v>
      </c>
      <c r="N3276" s="345" t="s">
        <v>207</v>
      </c>
      <c r="O3276" s="345" t="s">
        <v>208</v>
      </c>
      <c r="P3276" s="345" t="s">
        <v>209</v>
      </c>
      <c r="Q3276" s="345" t="s">
        <v>210</v>
      </c>
      <c r="R3276" s="345" t="s">
        <v>223</v>
      </c>
      <c r="S3276" s="345" t="s">
        <v>224</v>
      </c>
    </row>
    <row r="3277" spans="1:19" x14ac:dyDescent="0.25">
      <c r="A3277" s="311"/>
      <c r="B3277" s="312"/>
      <c r="C3277" s="312"/>
      <c r="D3277" s="312"/>
      <c r="E3277" s="312"/>
      <c r="F3277" s="312"/>
      <c r="G3277" s="328"/>
      <c r="H3277" s="337"/>
      <c r="I3277" s="334"/>
      <c r="J3277" s="314"/>
      <c r="K3277" s="449"/>
      <c r="M3277" s="349" t="str">
        <f>N3277&amp;AS[[#This Row],[Insurer Code]]&amp;"; "&amp;O3277&amp;AS[[#This Row],[Reporting Year]]&amp;"; "&amp;P3277&amp;AS[[#This Row],[Insurance Category Code]]&amp;"; "&amp;Q3277&amp;AS[[#This Row],[Large Provider Entity Code]]&amp;"; "&amp;R3277&amp;AS[[#This Row],[Age Band Code]]&amp;"; "&amp;S3277&amp;AS[[#This Row],[Sex Code]]</f>
        <v xml:space="preserve">Insurer Code ; Reporting Year ; Insurance Category Code ; Large Provider Entity Code ; Age Band Code ; Sex Code </v>
      </c>
      <c r="N3277" s="345" t="s">
        <v>207</v>
      </c>
      <c r="O3277" s="345" t="s">
        <v>208</v>
      </c>
      <c r="P3277" s="345" t="s">
        <v>209</v>
      </c>
      <c r="Q3277" s="345" t="s">
        <v>210</v>
      </c>
      <c r="R3277" s="345" t="s">
        <v>223</v>
      </c>
      <c r="S3277" s="345" t="s">
        <v>224</v>
      </c>
    </row>
    <row r="3278" spans="1:19" x14ac:dyDescent="0.25">
      <c r="A3278" s="311"/>
      <c r="B3278" s="312"/>
      <c r="C3278" s="312"/>
      <c r="D3278" s="312"/>
      <c r="E3278" s="312"/>
      <c r="F3278" s="312"/>
      <c r="G3278" s="328"/>
      <c r="H3278" s="337"/>
      <c r="I3278" s="334"/>
      <c r="J3278" s="314"/>
      <c r="K3278" s="449"/>
      <c r="M3278" s="349" t="str">
        <f>N3278&amp;AS[[#This Row],[Insurer Code]]&amp;"; "&amp;O3278&amp;AS[[#This Row],[Reporting Year]]&amp;"; "&amp;P3278&amp;AS[[#This Row],[Insurance Category Code]]&amp;"; "&amp;Q3278&amp;AS[[#This Row],[Large Provider Entity Code]]&amp;"; "&amp;R3278&amp;AS[[#This Row],[Age Band Code]]&amp;"; "&amp;S3278&amp;AS[[#This Row],[Sex Code]]</f>
        <v xml:space="preserve">Insurer Code ; Reporting Year ; Insurance Category Code ; Large Provider Entity Code ; Age Band Code ; Sex Code </v>
      </c>
      <c r="N3278" s="345" t="s">
        <v>207</v>
      </c>
      <c r="O3278" s="345" t="s">
        <v>208</v>
      </c>
      <c r="P3278" s="345" t="s">
        <v>209</v>
      </c>
      <c r="Q3278" s="345" t="s">
        <v>210</v>
      </c>
      <c r="R3278" s="345" t="s">
        <v>223</v>
      </c>
      <c r="S3278" s="345" t="s">
        <v>224</v>
      </c>
    </row>
    <row r="3279" spans="1:19" x14ac:dyDescent="0.25">
      <c r="A3279" s="311"/>
      <c r="B3279" s="312"/>
      <c r="C3279" s="312"/>
      <c r="D3279" s="312"/>
      <c r="E3279" s="312"/>
      <c r="F3279" s="312"/>
      <c r="G3279" s="328"/>
      <c r="H3279" s="337"/>
      <c r="I3279" s="334"/>
      <c r="J3279" s="314"/>
      <c r="K3279" s="449"/>
      <c r="M3279" s="349" t="str">
        <f>N3279&amp;AS[[#This Row],[Insurer Code]]&amp;"; "&amp;O3279&amp;AS[[#This Row],[Reporting Year]]&amp;"; "&amp;P3279&amp;AS[[#This Row],[Insurance Category Code]]&amp;"; "&amp;Q3279&amp;AS[[#This Row],[Large Provider Entity Code]]&amp;"; "&amp;R3279&amp;AS[[#This Row],[Age Band Code]]&amp;"; "&amp;S3279&amp;AS[[#This Row],[Sex Code]]</f>
        <v xml:space="preserve">Insurer Code ; Reporting Year ; Insurance Category Code ; Large Provider Entity Code ; Age Band Code ; Sex Code </v>
      </c>
      <c r="N3279" s="345" t="s">
        <v>207</v>
      </c>
      <c r="O3279" s="345" t="s">
        <v>208</v>
      </c>
      <c r="P3279" s="345" t="s">
        <v>209</v>
      </c>
      <c r="Q3279" s="345" t="s">
        <v>210</v>
      </c>
      <c r="R3279" s="345" t="s">
        <v>223</v>
      </c>
      <c r="S3279" s="345" t="s">
        <v>224</v>
      </c>
    </row>
    <row r="3280" spans="1:19" x14ac:dyDescent="0.25">
      <c r="A3280" s="311"/>
      <c r="B3280" s="312"/>
      <c r="C3280" s="312"/>
      <c r="D3280" s="312"/>
      <c r="E3280" s="312"/>
      <c r="F3280" s="312"/>
      <c r="G3280" s="328"/>
      <c r="H3280" s="337"/>
      <c r="I3280" s="334"/>
      <c r="J3280" s="314"/>
      <c r="K3280" s="449"/>
      <c r="M3280" s="349" t="str">
        <f>N3280&amp;AS[[#This Row],[Insurer Code]]&amp;"; "&amp;O3280&amp;AS[[#This Row],[Reporting Year]]&amp;"; "&amp;P3280&amp;AS[[#This Row],[Insurance Category Code]]&amp;"; "&amp;Q3280&amp;AS[[#This Row],[Large Provider Entity Code]]&amp;"; "&amp;R3280&amp;AS[[#This Row],[Age Band Code]]&amp;"; "&amp;S3280&amp;AS[[#This Row],[Sex Code]]</f>
        <v xml:space="preserve">Insurer Code ; Reporting Year ; Insurance Category Code ; Large Provider Entity Code ; Age Band Code ; Sex Code </v>
      </c>
      <c r="N3280" s="345" t="s">
        <v>207</v>
      </c>
      <c r="O3280" s="345" t="s">
        <v>208</v>
      </c>
      <c r="P3280" s="345" t="s">
        <v>209</v>
      </c>
      <c r="Q3280" s="345" t="s">
        <v>210</v>
      </c>
      <c r="R3280" s="345" t="s">
        <v>223</v>
      </c>
      <c r="S3280" s="345" t="s">
        <v>224</v>
      </c>
    </row>
    <row r="3281" spans="1:19" x14ac:dyDescent="0.25">
      <c r="A3281" s="311"/>
      <c r="B3281" s="312"/>
      <c r="C3281" s="312"/>
      <c r="D3281" s="312"/>
      <c r="E3281" s="312"/>
      <c r="F3281" s="312"/>
      <c r="G3281" s="328"/>
      <c r="H3281" s="337"/>
      <c r="I3281" s="334"/>
      <c r="J3281" s="314"/>
      <c r="K3281" s="449"/>
      <c r="M3281" s="349" t="str">
        <f>N3281&amp;AS[[#This Row],[Insurer Code]]&amp;"; "&amp;O3281&amp;AS[[#This Row],[Reporting Year]]&amp;"; "&amp;P3281&amp;AS[[#This Row],[Insurance Category Code]]&amp;"; "&amp;Q3281&amp;AS[[#This Row],[Large Provider Entity Code]]&amp;"; "&amp;R3281&amp;AS[[#This Row],[Age Band Code]]&amp;"; "&amp;S3281&amp;AS[[#This Row],[Sex Code]]</f>
        <v xml:space="preserve">Insurer Code ; Reporting Year ; Insurance Category Code ; Large Provider Entity Code ; Age Band Code ; Sex Code </v>
      </c>
      <c r="N3281" s="345" t="s">
        <v>207</v>
      </c>
      <c r="O3281" s="345" t="s">
        <v>208</v>
      </c>
      <c r="P3281" s="345" t="s">
        <v>209</v>
      </c>
      <c r="Q3281" s="345" t="s">
        <v>210</v>
      </c>
      <c r="R3281" s="345" t="s">
        <v>223</v>
      </c>
      <c r="S3281" s="345" t="s">
        <v>224</v>
      </c>
    </row>
    <row r="3282" spans="1:19" x14ac:dyDescent="0.25">
      <c r="A3282" s="311"/>
      <c r="B3282" s="312"/>
      <c r="C3282" s="312"/>
      <c r="D3282" s="312"/>
      <c r="E3282" s="312"/>
      <c r="F3282" s="312"/>
      <c r="G3282" s="328"/>
      <c r="H3282" s="337"/>
      <c r="I3282" s="334"/>
      <c r="J3282" s="314"/>
      <c r="K3282" s="449"/>
      <c r="M3282" s="349" t="str">
        <f>N3282&amp;AS[[#This Row],[Insurer Code]]&amp;"; "&amp;O3282&amp;AS[[#This Row],[Reporting Year]]&amp;"; "&amp;P3282&amp;AS[[#This Row],[Insurance Category Code]]&amp;"; "&amp;Q3282&amp;AS[[#This Row],[Large Provider Entity Code]]&amp;"; "&amp;R3282&amp;AS[[#This Row],[Age Band Code]]&amp;"; "&amp;S3282&amp;AS[[#This Row],[Sex Code]]</f>
        <v xml:space="preserve">Insurer Code ; Reporting Year ; Insurance Category Code ; Large Provider Entity Code ; Age Band Code ; Sex Code </v>
      </c>
      <c r="N3282" s="345" t="s">
        <v>207</v>
      </c>
      <c r="O3282" s="345" t="s">
        <v>208</v>
      </c>
      <c r="P3282" s="345" t="s">
        <v>209</v>
      </c>
      <c r="Q3282" s="345" t="s">
        <v>210</v>
      </c>
      <c r="R3282" s="345" t="s">
        <v>223</v>
      </c>
      <c r="S3282" s="345" t="s">
        <v>224</v>
      </c>
    </row>
    <row r="3283" spans="1:19" x14ac:dyDescent="0.25">
      <c r="A3283" s="311"/>
      <c r="B3283" s="312"/>
      <c r="C3283" s="312"/>
      <c r="D3283" s="312"/>
      <c r="E3283" s="312"/>
      <c r="F3283" s="312"/>
      <c r="G3283" s="328"/>
      <c r="H3283" s="337"/>
      <c r="I3283" s="334"/>
      <c r="J3283" s="314"/>
      <c r="K3283" s="449"/>
      <c r="M3283" s="349" t="str">
        <f>N3283&amp;AS[[#This Row],[Insurer Code]]&amp;"; "&amp;O3283&amp;AS[[#This Row],[Reporting Year]]&amp;"; "&amp;P3283&amp;AS[[#This Row],[Insurance Category Code]]&amp;"; "&amp;Q3283&amp;AS[[#This Row],[Large Provider Entity Code]]&amp;"; "&amp;R3283&amp;AS[[#This Row],[Age Band Code]]&amp;"; "&amp;S3283&amp;AS[[#This Row],[Sex Code]]</f>
        <v xml:space="preserve">Insurer Code ; Reporting Year ; Insurance Category Code ; Large Provider Entity Code ; Age Band Code ; Sex Code </v>
      </c>
      <c r="N3283" s="345" t="s">
        <v>207</v>
      </c>
      <c r="O3283" s="345" t="s">
        <v>208</v>
      </c>
      <c r="P3283" s="345" t="s">
        <v>209</v>
      </c>
      <c r="Q3283" s="345" t="s">
        <v>210</v>
      </c>
      <c r="R3283" s="345" t="s">
        <v>223</v>
      </c>
      <c r="S3283" s="345" t="s">
        <v>224</v>
      </c>
    </row>
    <row r="3284" spans="1:19" x14ac:dyDescent="0.25">
      <c r="A3284" s="311"/>
      <c r="B3284" s="312"/>
      <c r="C3284" s="312"/>
      <c r="D3284" s="312"/>
      <c r="E3284" s="312"/>
      <c r="F3284" s="312"/>
      <c r="G3284" s="328"/>
      <c r="H3284" s="337"/>
      <c r="I3284" s="334"/>
      <c r="J3284" s="314"/>
      <c r="K3284" s="449"/>
      <c r="M3284" s="349" t="str">
        <f>N3284&amp;AS[[#This Row],[Insurer Code]]&amp;"; "&amp;O3284&amp;AS[[#This Row],[Reporting Year]]&amp;"; "&amp;P3284&amp;AS[[#This Row],[Insurance Category Code]]&amp;"; "&amp;Q3284&amp;AS[[#This Row],[Large Provider Entity Code]]&amp;"; "&amp;R3284&amp;AS[[#This Row],[Age Band Code]]&amp;"; "&amp;S3284&amp;AS[[#This Row],[Sex Code]]</f>
        <v xml:space="preserve">Insurer Code ; Reporting Year ; Insurance Category Code ; Large Provider Entity Code ; Age Band Code ; Sex Code </v>
      </c>
      <c r="N3284" s="345" t="s">
        <v>207</v>
      </c>
      <c r="O3284" s="345" t="s">
        <v>208</v>
      </c>
      <c r="P3284" s="345" t="s">
        <v>209</v>
      </c>
      <c r="Q3284" s="345" t="s">
        <v>210</v>
      </c>
      <c r="R3284" s="345" t="s">
        <v>223</v>
      </c>
      <c r="S3284" s="345" t="s">
        <v>224</v>
      </c>
    </row>
    <row r="3285" spans="1:19" x14ac:dyDescent="0.25">
      <c r="A3285" s="311"/>
      <c r="B3285" s="312"/>
      <c r="C3285" s="312"/>
      <c r="D3285" s="312"/>
      <c r="E3285" s="312"/>
      <c r="F3285" s="312"/>
      <c r="G3285" s="328"/>
      <c r="H3285" s="337"/>
      <c r="I3285" s="334"/>
      <c r="J3285" s="314"/>
      <c r="K3285" s="449"/>
      <c r="M3285" s="349" t="str">
        <f>N3285&amp;AS[[#This Row],[Insurer Code]]&amp;"; "&amp;O3285&amp;AS[[#This Row],[Reporting Year]]&amp;"; "&amp;P3285&amp;AS[[#This Row],[Insurance Category Code]]&amp;"; "&amp;Q3285&amp;AS[[#This Row],[Large Provider Entity Code]]&amp;"; "&amp;R3285&amp;AS[[#This Row],[Age Band Code]]&amp;"; "&amp;S3285&amp;AS[[#This Row],[Sex Code]]</f>
        <v xml:space="preserve">Insurer Code ; Reporting Year ; Insurance Category Code ; Large Provider Entity Code ; Age Band Code ; Sex Code </v>
      </c>
      <c r="N3285" s="345" t="s">
        <v>207</v>
      </c>
      <c r="O3285" s="345" t="s">
        <v>208</v>
      </c>
      <c r="P3285" s="345" t="s">
        <v>209</v>
      </c>
      <c r="Q3285" s="345" t="s">
        <v>210</v>
      </c>
      <c r="R3285" s="345" t="s">
        <v>223</v>
      </c>
      <c r="S3285" s="345" t="s">
        <v>224</v>
      </c>
    </row>
    <row r="3286" spans="1:19" x14ac:dyDescent="0.25">
      <c r="A3286" s="311"/>
      <c r="B3286" s="312"/>
      <c r="C3286" s="312"/>
      <c r="D3286" s="312"/>
      <c r="E3286" s="312"/>
      <c r="F3286" s="312"/>
      <c r="G3286" s="328"/>
      <c r="H3286" s="337"/>
      <c r="I3286" s="334"/>
      <c r="J3286" s="314"/>
      <c r="K3286" s="449"/>
      <c r="M3286" s="349" t="str">
        <f>N3286&amp;AS[[#This Row],[Insurer Code]]&amp;"; "&amp;O3286&amp;AS[[#This Row],[Reporting Year]]&amp;"; "&amp;P3286&amp;AS[[#This Row],[Insurance Category Code]]&amp;"; "&amp;Q3286&amp;AS[[#This Row],[Large Provider Entity Code]]&amp;"; "&amp;R3286&amp;AS[[#This Row],[Age Band Code]]&amp;"; "&amp;S3286&amp;AS[[#This Row],[Sex Code]]</f>
        <v xml:space="preserve">Insurer Code ; Reporting Year ; Insurance Category Code ; Large Provider Entity Code ; Age Band Code ; Sex Code </v>
      </c>
      <c r="N3286" s="345" t="s">
        <v>207</v>
      </c>
      <c r="O3286" s="345" t="s">
        <v>208</v>
      </c>
      <c r="P3286" s="345" t="s">
        <v>209</v>
      </c>
      <c r="Q3286" s="345" t="s">
        <v>210</v>
      </c>
      <c r="R3286" s="345" t="s">
        <v>223</v>
      </c>
      <c r="S3286" s="345" t="s">
        <v>224</v>
      </c>
    </row>
    <row r="3287" spans="1:19" x14ac:dyDescent="0.25">
      <c r="A3287" s="311"/>
      <c r="B3287" s="312"/>
      <c r="C3287" s="312"/>
      <c r="D3287" s="312"/>
      <c r="E3287" s="312"/>
      <c r="F3287" s="312"/>
      <c r="G3287" s="328"/>
      <c r="H3287" s="337"/>
      <c r="I3287" s="334"/>
      <c r="J3287" s="314"/>
      <c r="K3287" s="449"/>
      <c r="M3287" s="349" t="str">
        <f>N3287&amp;AS[[#This Row],[Insurer Code]]&amp;"; "&amp;O3287&amp;AS[[#This Row],[Reporting Year]]&amp;"; "&amp;P3287&amp;AS[[#This Row],[Insurance Category Code]]&amp;"; "&amp;Q3287&amp;AS[[#This Row],[Large Provider Entity Code]]&amp;"; "&amp;R3287&amp;AS[[#This Row],[Age Band Code]]&amp;"; "&amp;S3287&amp;AS[[#This Row],[Sex Code]]</f>
        <v xml:space="preserve">Insurer Code ; Reporting Year ; Insurance Category Code ; Large Provider Entity Code ; Age Band Code ; Sex Code </v>
      </c>
      <c r="N3287" s="345" t="s">
        <v>207</v>
      </c>
      <c r="O3287" s="345" t="s">
        <v>208</v>
      </c>
      <c r="P3287" s="345" t="s">
        <v>209</v>
      </c>
      <c r="Q3287" s="345" t="s">
        <v>210</v>
      </c>
      <c r="R3287" s="345" t="s">
        <v>223</v>
      </c>
      <c r="S3287" s="345" t="s">
        <v>224</v>
      </c>
    </row>
    <row r="3288" spans="1:19" x14ac:dyDescent="0.25">
      <c r="A3288" s="311"/>
      <c r="B3288" s="312"/>
      <c r="C3288" s="312"/>
      <c r="D3288" s="312"/>
      <c r="E3288" s="312"/>
      <c r="F3288" s="312"/>
      <c r="G3288" s="328"/>
      <c r="H3288" s="337"/>
      <c r="I3288" s="334"/>
      <c r="J3288" s="314"/>
      <c r="K3288" s="449"/>
      <c r="M3288" s="349" t="str">
        <f>N3288&amp;AS[[#This Row],[Insurer Code]]&amp;"; "&amp;O3288&amp;AS[[#This Row],[Reporting Year]]&amp;"; "&amp;P3288&amp;AS[[#This Row],[Insurance Category Code]]&amp;"; "&amp;Q3288&amp;AS[[#This Row],[Large Provider Entity Code]]&amp;"; "&amp;R3288&amp;AS[[#This Row],[Age Band Code]]&amp;"; "&amp;S3288&amp;AS[[#This Row],[Sex Code]]</f>
        <v xml:space="preserve">Insurer Code ; Reporting Year ; Insurance Category Code ; Large Provider Entity Code ; Age Band Code ; Sex Code </v>
      </c>
      <c r="N3288" s="345" t="s">
        <v>207</v>
      </c>
      <c r="O3288" s="345" t="s">
        <v>208</v>
      </c>
      <c r="P3288" s="345" t="s">
        <v>209</v>
      </c>
      <c r="Q3288" s="345" t="s">
        <v>210</v>
      </c>
      <c r="R3288" s="345" t="s">
        <v>223</v>
      </c>
      <c r="S3288" s="345" t="s">
        <v>224</v>
      </c>
    </row>
    <row r="3289" spans="1:19" x14ac:dyDescent="0.25">
      <c r="A3289" s="311"/>
      <c r="B3289" s="312"/>
      <c r="C3289" s="312"/>
      <c r="D3289" s="312"/>
      <c r="E3289" s="312"/>
      <c r="F3289" s="312"/>
      <c r="G3289" s="328"/>
      <c r="H3289" s="337"/>
      <c r="I3289" s="334"/>
      <c r="J3289" s="314"/>
      <c r="K3289" s="449"/>
      <c r="M3289" s="349" t="str">
        <f>N3289&amp;AS[[#This Row],[Insurer Code]]&amp;"; "&amp;O3289&amp;AS[[#This Row],[Reporting Year]]&amp;"; "&amp;P3289&amp;AS[[#This Row],[Insurance Category Code]]&amp;"; "&amp;Q3289&amp;AS[[#This Row],[Large Provider Entity Code]]&amp;"; "&amp;R3289&amp;AS[[#This Row],[Age Band Code]]&amp;"; "&amp;S3289&amp;AS[[#This Row],[Sex Code]]</f>
        <v xml:space="preserve">Insurer Code ; Reporting Year ; Insurance Category Code ; Large Provider Entity Code ; Age Band Code ; Sex Code </v>
      </c>
      <c r="N3289" s="345" t="s">
        <v>207</v>
      </c>
      <c r="O3289" s="345" t="s">
        <v>208</v>
      </c>
      <c r="P3289" s="345" t="s">
        <v>209</v>
      </c>
      <c r="Q3289" s="345" t="s">
        <v>210</v>
      </c>
      <c r="R3289" s="345" t="s">
        <v>223</v>
      </c>
      <c r="S3289" s="345" t="s">
        <v>224</v>
      </c>
    </row>
    <row r="3290" spans="1:19" x14ac:dyDescent="0.25">
      <c r="A3290" s="311"/>
      <c r="B3290" s="312"/>
      <c r="C3290" s="312"/>
      <c r="D3290" s="312"/>
      <c r="E3290" s="312"/>
      <c r="F3290" s="312"/>
      <c r="G3290" s="328"/>
      <c r="H3290" s="337"/>
      <c r="I3290" s="334"/>
      <c r="J3290" s="314"/>
      <c r="K3290" s="449"/>
      <c r="M3290" s="349" t="str">
        <f>N3290&amp;AS[[#This Row],[Insurer Code]]&amp;"; "&amp;O3290&amp;AS[[#This Row],[Reporting Year]]&amp;"; "&amp;P3290&amp;AS[[#This Row],[Insurance Category Code]]&amp;"; "&amp;Q3290&amp;AS[[#This Row],[Large Provider Entity Code]]&amp;"; "&amp;R3290&amp;AS[[#This Row],[Age Band Code]]&amp;"; "&amp;S3290&amp;AS[[#This Row],[Sex Code]]</f>
        <v xml:space="preserve">Insurer Code ; Reporting Year ; Insurance Category Code ; Large Provider Entity Code ; Age Band Code ; Sex Code </v>
      </c>
      <c r="N3290" s="345" t="s">
        <v>207</v>
      </c>
      <c r="O3290" s="345" t="s">
        <v>208</v>
      </c>
      <c r="P3290" s="345" t="s">
        <v>209</v>
      </c>
      <c r="Q3290" s="345" t="s">
        <v>210</v>
      </c>
      <c r="R3290" s="345" t="s">
        <v>223</v>
      </c>
      <c r="S3290" s="345" t="s">
        <v>224</v>
      </c>
    </row>
    <row r="3291" spans="1:19" x14ac:dyDescent="0.25">
      <c r="A3291" s="311"/>
      <c r="B3291" s="312"/>
      <c r="C3291" s="312"/>
      <c r="D3291" s="312"/>
      <c r="E3291" s="312"/>
      <c r="F3291" s="312"/>
      <c r="G3291" s="328"/>
      <c r="H3291" s="337"/>
      <c r="I3291" s="334"/>
      <c r="J3291" s="314"/>
      <c r="K3291" s="449"/>
      <c r="M3291" s="349" t="str">
        <f>N3291&amp;AS[[#This Row],[Insurer Code]]&amp;"; "&amp;O3291&amp;AS[[#This Row],[Reporting Year]]&amp;"; "&amp;P3291&amp;AS[[#This Row],[Insurance Category Code]]&amp;"; "&amp;Q3291&amp;AS[[#This Row],[Large Provider Entity Code]]&amp;"; "&amp;R3291&amp;AS[[#This Row],[Age Band Code]]&amp;"; "&amp;S3291&amp;AS[[#This Row],[Sex Code]]</f>
        <v xml:space="preserve">Insurer Code ; Reporting Year ; Insurance Category Code ; Large Provider Entity Code ; Age Band Code ; Sex Code </v>
      </c>
      <c r="N3291" s="345" t="s">
        <v>207</v>
      </c>
      <c r="O3291" s="345" t="s">
        <v>208</v>
      </c>
      <c r="P3291" s="345" t="s">
        <v>209</v>
      </c>
      <c r="Q3291" s="345" t="s">
        <v>210</v>
      </c>
      <c r="R3291" s="345" t="s">
        <v>223</v>
      </c>
      <c r="S3291" s="345" t="s">
        <v>224</v>
      </c>
    </row>
    <row r="3292" spans="1:19" x14ac:dyDescent="0.25">
      <c r="A3292" s="311"/>
      <c r="B3292" s="312"/>
      <c r="C3292" s="312"/>
      <c r="D3292" s="312"/>
      <c r="E3292" s="312"/>
      <c r="F3292" s="312"/>
      <c r="G3292" s="328"/>
      <c r="H3292" s="337"/>
      <c r="I3292" s="334"/>
      <c r="J3292" s="314"/>
      <c r="K3292" s="449"/>
      <c r="M3292" s="349" t="str">
        <f>N3292&amp;AS[[#This Row],[Insurer Code]]&amp;"; "&amp;O3292&amp;AS[[#This Row],[Reporting Year]]&amp;"; "&amp;P3292&amp;AS[[#This Row],[Insurance Category Code]]&amp;"; "&amp;Q3292&amp;AS[[#This Row],[Large Provider Entity Code]]&amp;"; "&amp;R3292&amp;AS[[#This Row],[Age Band Code]]&amp;"; "&amp;S3292&amp;AS[[#This Row],[Sex Code]]</f>
        <v xml:space="preserve">Insurer Code ; Reporting Year ; Insurance Category Code ; Large Provider Entity Code ; Age Band Code ; Sex Code </v>
      </c>
      <c r="N3292" s="345" t="s">
        <v>207</v>
      </c>
      <c r="O3292" s="345" t="s">
        <v>208</v>
      </c>
      <c r="P3292" s="345" t="s">
        <v>209</v>
      </c>
      <c r="Q3292" s="345" t="s">
        <v>210</v>
      </c>
      <c r="R3292" s="345" t="s">
        <v>223</v>
      </c>
      <c r="S3292" s="345" t="s">
        <v>224</v>
      </c>
    </row>
    <row r="3293" spans="1:19" x14ac:dyDescent="0.25">
      <c r="A3293" s="311"/>
      <c r="B3293" s="312"/>
      <c r="C3293" s="312"/>
      <c r="D3293" s="312"/>
      <c r="E3293" s="312"/>
      <c r="F3293" s="312"/>
      <c r="G3293" s="328"/>
      <c r="H3293" s="337"/>
      <c r="I3293" s="334"/>
      <c r="J3293" s="314"/>
      <c r="K3293" s="449"/>
      <c r="M3293" s="349" t="str">
        <f>N3293&amp;AS[[#This Row],[Insurer Code]]&amp;"; "&amp;O3293&amp;AS[[#This Row],[Reporting Year]]&amp;"; "&amp;P3293&amp;AS[[#This Row],[Insurance Category Code]]&amp;"; "&amp;Q3293&amp;AS[[#This Row],[Large Provider Entity Code]]&amp;"; "&amp;R3293&amp;AS[[#This Row],[Age Band Code]]&amp;"; "&amp;S3293&amp;AS[[#This Row],[Sex Code]]</f>
        <v xml:space="preserve">Insurer Code ; Reporting Year ; Insurance Category Code ; Large Provider Entity Code ; Age Band Code ; Sex Code </v>
      </c>
      <c r="N3293" s="345" t="s">
        <v>207</v>
      </c>
      <c r="O3293" s="345" t="s">
        <v>208</v>
      </c>
      <c r="P3293" s="345" t="s">
        <v>209</v>
      </c>
      <c r="Q3293" s="345" t="s">
        <v>210</v>
      </c>
      <c r="R3293" s="345" t="s">
        <v>223</v>
      </c>
      <c r="S3293" s="345" t="s">
        <v>224</v>
      </c>
    </row>
    <row r="3294" spans="1:19" x14ac:dyDescent="0.25">
      <c r="A3294" s="311"/>
      <c r="B3294" s="312"/>
      <c r="C3294" s="312"/>
      <c r="D3294" s="312"/>
      <c r="E3294" s="312"/>
      <c r="F3294" s="312"/>
      <c r="G3294" s="328"/>
      <c r="H3294" s="337"/>
      <c r="I3294" s="334"/>
      <c r="J3294" s="314"/>
      <c r="K3294" s="449"/>
      <c r="M3294" s="349" t="str">
        <f>N3294&amp;AS[[#This Row],[Insurer Code]]&amp;"; "&amp;O3294&amp;AS[[#This Row],[Reporting Year]]&amp;"; "&amp;P3294&amp;AS[[#This Row],[Insurance Category Code]]&amp;"; "&amp;Q3294&amp;AS[[#This Row],[Large Provider Entity Code]]&amp;"; "&amp;R3294&amp;AS[[#This Row],[Age Band Code]]&amp;"; "&amp;S3294&amp;AS[[#This Row],[Sex Code]]</f>
        <v xml:space="preserve">Insurer Code ; Reporting Year ; Insurance Category Code ; Large Provider Entity Code ; Age Band Code ; Sex Code </v>
      </c>
      <c r="N3294" s="345" t="s">
        <v>207</v>
      </c>
      <c r="O3294" s="345" t="s">
        <v>208</v>
      </c>
      <c r="P3294" s="345" t="s">
        <v>209</v>
      </c>
      <c r="Q3294" s="345" t="s">
        <v>210</v>
      </c>
      <c r="R3294" s="345" t="s">
        <v>223</v>
      </c>
      <c r="S3294" s="345" t="s">
        <v>224</v>
      </c>
    </row>
    <row r="3295" spans="1:19" x14ac:dyDescent="0.25">
      <c r="A3295" s="311"/>
      <c r="B3295" s="312"/>
      <c r="C3295" s="312"/>
      <c r="D3295" s="312"/>
      <c r="E3295" s="312"/>
      <c r="F3295" s="312"/>
      <c r="G3295" s="328"/>
      <c r="H3295" s="337"/>
      <c r="I3295" s="334"/>
      <c r="J3295" s="314"/>
      <c r="K3295" s="449"/>
      <c r="M3295" s="349" t="str">
        <f>N3295&amp;AS[[#This Row],[Insurer Code]]&amp;"; "&amp;O3295&amp;AS[[#This Row],[Reporting Year]]&amp;"; "&amp;P3295&amp;AS[[#This Row],[Insurance Category Code]]&amp;"; "&amp;Q3295&amp;AS[[#This Row],[Large Provider Entity Code]]&amp;"; "&amp;R3295&amp;AS[[#This Row],[Age Band Code]]&amp;"; "&amp;S3295&amp;AS[[#This Row],[Sex Code]]</f>
        <v xml:space="preserve">Insurer Code ; Reporting Year ; Insurance Category Code ; Large Provider Entity Code ; Age Band Code ; Sex Code </v>
      </c>
      <c r="N3295" s="345" t="s">
        <v>207</v>
      </c>
      <c r="O3295" s="345" t="s">
        <v>208</v>
      </c>
      <c r="P3295" s="345" t="s">
        <v>209</v>
      </c>
      <c r="Q3295" s="345" t="s">
        <v>210</v>
      </c>
      <c r="R3295" s="345" t="s">
        <v>223</v>
      </c>
      <c r="S3295" s="345" t="s">
        <v>224</v>
      </c>
    </row>
    <row r="3296" spans="1:19" x14ac:dyDescent="0.25">
      <c r="A3296" s="311"/>
      <c r="B3296" s="312"/>
      <c r="C3296" s="312"/>
      <c r="D3296" s="312"/>
      <c r="E3296" s="312"/>
      <c r="F3296" s="312"/>
      <c r="G3296" s="328"/>
      <c r="H3296" s="337"/>
      <c r="I3296" s="334"/>
      <c r="J3296" s="314"/>
      <c r="K3296" s="449"/>
      <c r="M3296" s="349" t="str">
        <f>N3296&amp;AS[[#This Row],[Insurer Code]]&amp;"; "&amp;O3296&amp;AS[[#This Row],[Reporting Year]]&amp;"; "&amp;P3296&amp;AS[[#This Row],[Insurance Category Code]]&amp;"; "&amp;Q3296&amp;AS[[#This Row],[Large Provider Entity Code]]&amp;"; "&amp;R3296&amp;AS[[#This Row],[Age Band Code]]&amp;"; "&amp;S3296&amp;AS[[#This Row],[Sex Code]]</f>
        <v xml:space="preserve">Insurer Code ; Reporting Year ; Insurance Category Code ; Large Provider Entity Code ; Age Band Code ; Sex Code </v>
      </c>
      <c r="N3296" s="345" t="s">
        <v>207</v>
      </c>
      <c r="O3296" s="345" t="s">
        <v>208</v>
      </c>
      <c r="P3296" s="345" t="s">
        <v>209</v>
      </c>
      <c r="Q3296" s="345" t="s">
        <v>210</v>
      </c>
      <c r="R3296" s="345" t="s">
        <v>223</v>
      </c>
      <c r="S3296" s="345" t="s">
        <v>224</v>
      </c>
    </row>
    <row r="3297" spans="1:19" x14ac:dyDescent="0.25">
      <c r="A3297" s="311"/>
      <c r="B3297" s="312"/>
      <c r="C3297" s="312"/>
      <c r="D3297" s="312"/>
      <c r="E3297" s="312"/>
      <c r="F3297" s="312"/>
      <c r="G3297" s="328"/>
      <c r="H3297" s="337"/>
      <c r="I3297" s="334"/>
      <c r="J3297" s="314"/>
      <c r="K3297" s="449"/>
      <c r="M3297" s="349" t="str">
        <f>N3297&amp;AS[[#This Row],[Insurer Code]]&amp;"; "&amp;O3297&amp;AS[[#This Row],[Reporting Year]]&amp;"; "&amp;P3297&amp;AS[[#This Row],[Insurance Category Code]]&amp;"; "&amp;Q3297&amp;AS[[#This Row],[Large Provider Entity Code]]&amp;"; "&amp;R3297&amp;AS[[#This Row],[Age Band Code]]&amp;"; "&amp;S3297&amp;AS[[#This Row],[Sex Code]]</f>
        <v xml:space="preserve">Insurer Code ; Reporting Year ; Insurance Category Code ; Large Provider Entity Code ; Age Band Code ; Sex Code </v>
      </c>
      <c r="N3297" s="345" t="s">
        <v>207</v>
      </c>
      <c r="O3297" s="345" t="s">
        <v>208</v>
      </c>
      <c r="P3297" s="345" t="s">
        <v>209</v>
      </c>
      <c r="Q3297" s="345" t="s">
        <v>210</v>
      </c>
      <c r="R3297" s="345" t="s">
        <v>223</v>
      </c>
      <c r="S3297" s="345" t="s">
        <v>224</v>
      </c>
    </row>
    <row r="3298" spans="1:19" x14ac:dyDescent="0.25">
      <c r="A3298" s="311"/>
      <c r="B3298" s="312"/>
      <c r="C3298" s="312"/>
      <c r="D3298" s="312"/>
      <c r="E3298" s="312"/>
      <c r="F3298" s="312"/>
      <c r="G3298" s="328"/>
      <c r="H3298" s="337"/>
      <c r="I3298" s="334"/>
      <c r="J3298" s="314"/>
      <c r="K3298" s="449"/>
      <c r="M3298" s="349" t="str">
        <f>N3298&amp;AS[[#This Row],[Insurer Code]]&amp;"; "&amp;O3298&amp;AS[[#This Row],[Reporting Year]]&amp;"; "&amp;P3298&amp;AS[[#This Row],[Insurance Category Code]]&amp;"; "&amp;Q3298&amp;AS[[#This Row],[Large Provider Entity Code]]&amp;"; "&amp;R3298&amp;AS[[#This Row],[Age Band Code]]&amp;"; "&amp;S3298&amp;AS[[#This Row],[Sex Code]]</f>
        <v xml:space="preserve">Insurer Code ; Reporting Year ; Insurance Category Code ; Large Provider Entity Code ; Age Band Code ; Sex Code </v>
      </c>
      <c r="N3298" s="345" t="s">
        <v>207</v>
      </c>
      <c r="O3298" s="345" t="s">
        <v>208</v>
      </c>
      <c r="P3298" s="345" t="s">
        <v>209</v>
      </c>
      <c r="Q3298" s="345" t="s">
        <v>210</v>
      </c>
      <c r="R3298" s="345" t="s">
        <v>223</v>
      </c>
      <c r="S3298" s="345" t="s">
        <v>224</v>
      </c>
    </row>
    <row r="3299" spans="1:19" x14ac:dyDescent="0.25">
      <c r="A3299" s="311"/>
      <c r="B3299" s="312"/>
      <c r="C3299" s="312"/>
      <c r="D3299" s="312"/>
      <c r="E3299" s="312"/>
      <c r="F3299" s="312"/>
      <c r="G3299" s="328"/>
      <c r="H3299" s="337"/>
      <c r="I3299" s="334"/>
      <c r="J3299" s="314"/>
      <c r="K3299" s="449"/>
      <c r="M3299" s="349" t="str">
        <f>N3299&amp;AS[[#This Row],[Insurer Code]]&amp;"; "&amp;O3299&amp;AS[[#This Row],[Reporting Year]]&amp;"; "&amp;P3299&amp;AS[[#This Row],[Insurance Category Code]]&amp;"; "&amp;Q3299&amp;AS[[#This Row],[Large Provider Entity Code]]&amp;"; "&amp;R3299&amp;AS[[#This Row],[Age Band Code]]&amp;"; "&amp;S3299&amp;AS[[#This Row],[Sex Code]]</f>
        <v xml:space="preserve">Insurer Code ; Reporting Year ; Insurance Category Code ; Large Provider Entity Code ; Age Band Code ; Sex Code </v>
      </c>
      <c r="N3299" s="345" t="s">
        <v>207</v>
      </c>
      <c r="O3299" s="345" t="s">
        <v>208</v>
      </c>
      <c r="P3299" s="345" t="s">
        <v>209</v>
      </c>
      <c r="Q3299" s="345" t="s">
        <v>210</v>
      </c>
      <c r="R3299" s="345" t="s">
        <v>223</v>
      </c>
      <c r="S3299" s="345" t="s">
        <v>224</v>
      </c>
    </row>
    <row r="3300" spans="1:19" x14ac:dyDescent="0.25">
      <c r="A3300" s="311"/>
      <c r="B3300" s="312"/>
      <c r="C3300" s="312"/>
      <c r="D3300" s="312"/>
      <c r="E3300" s="312"/>
      <c r="F3300" s="312"/>
      <c r="G3300" s="328"/>
      <c r="H3300" s="337"/>
      <c r="I3300" s="334"/>
      <c r="J3300" s="314"/>
      <c r="K3300" s="449"/>
      <c r="M3300" s="349" t="str">
        <f>N3300&amp;AS[[#This Row],[Insurer Code]]&amp;"; "&amp;O3300&amp;AS[[#This Row],[Reporting Year]]&amp;"; "&amp;P3300&amp;AS[[#This Row],[Insurance Category Code]]&amp;"; "&amp;Q3300&amp;AS[[#This Row],[Large Provider Entity Code]]&amp;"; "&amp;R3300&amp;AS[[#This Row],[Age Band Code]]&amp;"; "&amp;S3300&amp;AS[[#This Row],[Sex Code]]</f>
        <v xml:space="preserve">Insurer Code ; Reporting Year ; Insurance Category Code ; Large Provider Entity Code ; Age Band Code ; Sex Code </v>
      </c>
      <c r="N3300" s="345" t="s">
        <v>207</v>
      </c>
      <c r="O3300" s="345" t="s">
        <v>208</v>
      </c>
      <c r="P3300" s="345" t="s">
        <v>209</v>
      </c>
      <c r="Q3300" s="345" t="s">
        <v>210</v>
      </c>
      <c r="R3300" s="345" t="s">
        <v>223</v>
      </c>
      <c r="S3300" s="345" t="s">
        <v>224</v>
      </c>
    </row>
    <row r="3301" spans="1:19" x14ac:dyDescent="0.25">
      <c r="A3301" s="311"/>
      <c r="B3301" s="312"/>
      <c r="C3301" s="312"/>
      <c r="D3301" s="312"/>
      <c r="E3301" s="312"/>
      <c r="F3301" s="312"/>
      <c r="G3301" s="328"/>
      <c r="H3301" s="337"/>
      <c r="I3301" s="334"/>
      <c r="J3301" s="314"/>
      <c r="K3301" s="449"/>
      <c r="M3301" s="349" t="str">
        <f>N3301&amp;AS[[#This Row],[Insurer Code]]&amp;"; "&amp;O3301&amp;AS[[#This Row],[Reporting Year]]&amp;"; "&amp;P3301&amp;AS[[#This Row],[Insurance Category Code]]&amp;"; "&amp;Q3301&amp;AS[[#This Row],[Large Provider Entity Code]]&amp;"; "&amp;R3301&amp;AS[[#This Row],[Age Band Code]]&amp;"; "&amp;S3301&amp;AS[[#This Row],[Sex Code]]</f>
        <v xml:space="preserve">Insurer Code ; Reporting Year ; Insurance Category Code ; Large Provider Entity Code ; Age Band Code ; Sex Code </v>
      </c>
      <c r="N3301" s="345" t="s">
        <v>207</v>
      </c>
      <c r="O3301" s="345" t="s">
        <v>208</v>
      </c>
      <c r="P3301" s="345" t="s">
        <v>209</v>
      </c>
      <c r="Q3301" s="345" t="s">
        <v>210</v>
      </c>
      <c r="R3301" s="345" t="s">
        <v>223</v>
      </c>
      <c r="S3301" s="345" t="s">
        <v>224</v>
      </c>
    </row>
    <row r="3302" spans="1:19" x14ac:dyDescent="0.25">
      <c r="A3302" s="311"/>
      <c r="B3302" s="312"/>
      <c r="C3302" s="312"/>
      <c r="D3302" s="312"/>
      <c r="E3302" s="312"/>
      <c r="F3302" s="312"/>
      <c r="G3302" s="328"/>
      <c r="H3302" s="337"/>
      <c r="I3302" s="334"/>
      <c r="J3302" s="314"/>
      <c r="K3302" s="449"/>
      <c r="M3302" s="349" t="str">
        <f>N3302&amp;AS[[#This Row],[Insurer Code]]&amp;"; "&amp;O3302&amp;AS[[#This Row],[Reporting Year]]&amp;"; "&amp;P3302&amp;AS[[#This Row],[Insurance Category Code]]&amp;"; "&amp;Q3302&amp;AS[[#This Row],[Large Provider Entity Code]]&amp;"; "&amp;R3302&amp;AS[[#This Row],[Age Band Code]]&amp;"; "&amp;S3302&amp;AS[[#This Row],[Sex Code]]</f>
        <v xml:space="preserve">Insurer Code ; Reporting Year ; Insurance Category Code ; Large Provider Entity Code ; Age Band Code ; Sex Code </v>
      </c>
      <c r="N3302" s="345" t="s">
        <v>207</v>
      </c>
      <c r="O3302" s="345" t="s">
        <v>208</v>
      </c>
      <c r="P3302" s="345" t="s">
        <v>209</v>
      </c>
      <c r="Q3302" s="345" t="s">
        <v>210</v>
      </c>
      <c r="R3302" s="345" t="s">
        <v>223</v>
      </c>
      <c r="S3302" s="345" t="s">
        <v>224</v>
      </c>
    </row>
    <row r="3303" spans="1:19" x14ac:dyDescent="0.25">
      <c r="A3303" s="311"/>
      <c r="B3303" s="312"/>
      <c r="C3303" s="312"/>
      <c r="D3303" s="312"/>
      <c r="E3303" s="312"/>
      <c r="F3303" s="312"/>
      <c r="G3303" s="328"/>
      <c r="H3303" s="337"/>
      <c r="I3303" s="334"/>
      <c r="J3303" s="314"/>
      <c r="K3303" s="449"/>
      <c r="M3303" s="349" t="str">
        <f>N3303&amp;AS[[#This Row],[Insurer Code]]&amp;"; "&amp;O3303&amp;AS[[#This Row],[Reporting Year]]&amp;"; "&amp;P3303&amp;AS[[#This Row],[Insurance Category Code]]&amp;"; "&amp;Q3303&amp;AS[[#This Row],[Large Provider Entity Code]]&amp;"; "&amp;R3303&amp;AS[[#This Row],[Age Band Code]]&amp;"; "&amp;S3303&amp;AS[[#This Row],[Sex Code]]</f>
        <v xml:space="preserve">Insurer Code ; Reporting Year ; Insurance Category Code ; Large Provider Entity Code ; Age Band Code ; Sex Code </v>
      </c>
      <c r="N3303" s="345" t="s">
        <v>207</v>
      </c>
      <c r="O3303" s="345" t="s">
        <v>208</v>
      </c>
      <c r="P3303" s="345" t="s">
        <v>209</v>
      </c>
      <c r="Q3303" s="345" t="s">
        <v>210</v>
      </c>
      <c r="R3303" s="345" t="s">
        <v>223</v>
      </c>
      <c r="S3303" s="345" t="s">
        <v>224</v>
      </c>
    </row>
    <row r="3304" spans="1:19" x14ac:dyDescent="0.25">
      <c r="A3304" s="311"/>
      <c r="B3304" s="312"/>
      <c r="C3304" s="312"/>
      <c r="D3304" s="312"/>
      <c r="E3304" s="312"/>
      <c r="F3304" s="312"/>
      <c r="G3304" s="328"/>
      <c r="H3304" s="337"/>
      <c r="I3304" s="334"/>
      <c r="J3304" s="314"/>
      <c r="K3304" s="449"/>
      <c r="M3304" s="349" t="str">
        <f>N3304&amp;AS[[#This Row],[Insurer Code]]&amp;"; "&amp;O3304&amp;AS[[#This Row],[Reporting Year]]&amp;"; "&amp;P3304&amp;AS[[#This Row],[Insurance Category Code]]&amp;"; "&amp;Q3304&amp;AS[[#This Row],[Large Provider Entity Code]]&amp;"; "&amp;R3304&amp;AS[[#This Row],[Age Band Code]]&amp;"; "&amp;S3304&amp;AS[[#This Row],[Sex Code]]</f>
        <v xml:space="preserve">Insurer Code ; Reporting Year ; Insurance Category Code ; Large Provider Entity Code ; Age Band Code ; Sex Code </v>
      </c>
      <c r="N3304" s="345" t="s">
        <v>207</v>
      </c>
      <c r="O3304" s="345" t="s">
        <v>208</v>
      </c>
      <c r="P3304" s="345" t="s">
        <v>209</v>
      </c>
      <c r="Q3304" s="345" t="s">
        <v>210</v>
      </c>
      <c r="R3304" s="345" t="s">
        <v>223</v>
      </c>
      <c r="S3304" s="345" t="s">
        <v>224</v>
      </c>
    </row>
    <row r="3305" spans="1:19" x14ac:dyDescent="0.25">
      <c r="A3305" s="311"/>
      <c r="B3305" s="312"/>
      <c r="C3305" s="312"/>
      <c r="D3305" s="312"/>
      <c r="E3305" s="312"/>
      <c r="F3305" s="312"/>
      <c r="G3305" s="328"/>
      <c r="H3305" s="337"/>
      <c r="I3305" s="334"/>
      <c r="J3305" s="314"/>
      <c r="K3305" s="449"/>
      <c r="M3305" s="349" t="str">
        <f>N3305&amp;AS[[#This Row],[Insurer Code]]&amp;"; "&amp;O3305&amp;AS[[#This Row],[Reporting Year]]&amp;"; "&amp;P3305&amp;AS[[#This Row],[Insurance Category Code]]&amp;"; "&amp;Q3305&amp;AS[[#This Row],[Large Provider Entity Code]]&amp;"; "&amp;R3305&amp;AS[[#This Row],[Age Band Code]]&amp;"; "&amp;S3305&amp;AS[[#This Row],[Sex Code]]</f>
        <v xml:space="preserve">Insurer Code ; Reporting Year ; Insurance Category Code ; Large Provider Entity Code ; Age Band Code ; Sex Code </v>
      </c>
      <c r="N3305" s="345" t="s">
        <v>207</v>
      </c>
      <c r="O3305" s="345" t="s">
        <v>208</v>
      </c>
      <c r="P3305" s="345" t="s">
        <v>209</v>
      </c>
      <c r="Q3305" s="345" t="s">
        <v>210</v>
      </c>
      <c r="R3305" s="345" t="s">
        <v>223</v>
      </c>
      <c r="S3305" s="345" t="s">
        <v>224</v>
      </c>
    </row>
    <row r="3306" spans="1:19" x14ac:dyDescent="0.25">
      <c r="A3306" s="311"/>
      <c r="B3306" s="312"/>
      <c r="C3306" s="312"/>
      <c r="D3306" s="312"/>
      <c r="E3306" s="312"/>
      <c r="F3306" s="312"/>
      <c r="G3306" s="328"/>
      <c r="H3306" s="337"/>
      <c r="I3306" s="334"/>
      <c r="J3306" s="314"/>
      <c r="K3306" s="449"/>
      <c r="M3306" s="349" t="str">
        <f>N3306&amp;AS[[#This Row],[Insurer Code]]&amp;"; "&amp;O3306&amp;AS[[#This Row],[Reporting Year]]&amp;"; "&amp;P3306&amp;AS[[#This Row],[Insurance Category Code]]&amp;"; "&amp;Q3306&amp;AS[[#This Row],[Large Provider Entity Code]]&amp;"; "&amp;R3306&amp;AS[[#This Row],[Age Band Code]]&amp;"; "&amp;S3306&amp;AS[[#This Row],[Sex Code]]</f>
        <v xml:space="preserve">Insurer Code ; Reporting Year ; Insurance Category Code ; Large Provider Entity Code ; Age Band Code ; Sex Code </v>
      </c>
      <c r="N3306" s="345" t="s">
        <v>207</v>
      </c>
      <c r="O3306" s="345" t="s">
        <v>208</v>
      </c>
      <c r="P3306" s="345" t="s">
        <v>209</v>
      </c>
      <c r="Q3306" s="345" t="s">
        <v>210</v>
      </c>
      <c r="R3306" s="345" t="s">
        <v>223</v>
      </c>
      <c r="S3306" s="345" t="s">
        <v>224</v>
      </c>
    </row>
    <row r="3307" spans="1:19" x14ac:dyDescent="0.25">
      <c r="A3307" s="311"/>
      <c r="B3307" s="312"/>
      <c r="C3307" s="312"/>
      <c r="D3307" s="312"/>
      <c r="E3307" s="312"/>
      <c r="F3307" s="312"/>
      <c r="G3307" s="328"/>
      <c r="H3307" s="337"/>
      <c r="I3307" s="334"/>
      <c r="J3307" s="314"/>
      <c r="K3307" s="449"/>
      <c r="M3307" s="349" t="str">
        <f>N3307&amp;AS[[#This Row],[Insurer Code]]&amp;"; "&amp;O3307&amp;AS[[#This Row],[Reporting Year]]&amp;"; "&amp;P3307&amp;AS[[#This Row],[Insurance Category Code]]&amp;"; "&amp;Q3307&amp;AS[[#This Row],[Large Provider Entity Code]]&amp;"; "&amp;R3307&amp;AS[[#This Row],[Age Band Code]]&amp;"; "&amp;S3307&amp;AS[[#This Row],[Sex Code]]</f>
        <v xml:space="preserve">Insurer Code ; Reporting Year ; Insurance Category Code ; Large Provider Entity Code ; Age Band Code ; Sex Code </v>
      </c>
      <c r="N3307" s="345" t="s">
        <v>207</v>
      </c>
      <c r="O3307" s="345" t="s">
        <v>208</v>
      </c>
      <c r="P3307" s="345" t="s">
        <v>209</v>
      </c>
      <c r="Q3307" s="345" t="s">
        <v>210</v>
      </c>
      <c r="R3307" s="345" t="s">
        <v>223</v>
      </c>
      <c r="S3307" s="345" t="s">
        <v>224</v>
      </c>
    </row>
    <row r="3308" spans="1:19" x14ac:dyDescent="0.25">
      <c r="A3308" s="311"/>
      <c r="B3308" s="312"/>
      <c r="C3308" s="312"/>
      <c r="D3308" s="312"/>
      <c r="E3308" s="312"/>
      <c r="F3308" s="312"/>
      <c r="G3308" s="328"/>
      <c r="H3308" s="337"/>
      <c r="I3308" s="334"/>
      <c r="J3308" s="314"/>
      <c r="K3308" s="449"/>
      <c r="M3308" s="349" t="str">
        <f>N3308&amp;AS[[#This Row],[Insurer Code]]&amp;"; "&amp;O3308&amp;AS[[#This Row],[Reporting Year]]&amp;"; "&amp;P3308&amp;AS[[#This Row],[Insurance Category Code]]&amp;"; "&amp;Q3308&amp;AS[[#This Row],[Large Provider Entity Code]]&amp;"; "&amp;R3308&amp;AS[[#This Row],[Age Band Code]]&amp;"; "&amp;S3308&amp;AS[[#This Row],[Sex Code]]</f>
        <v xml:space="preserve">Insurer Code ; Reporting Year ; Insurance Category Code ; Large Provider Entity Code ; Age Band Code ; Sex Code </v>
      </c>
      <c r="N3308" s="345" t="s">
        <v>207</v>
      </c>
      <c r="O3308" s="345" t="s">
        <v>208</v>
      </c>
      <c r="P3308" s="345" t="s">
        <v>209</v>
      </c>
      <c r="Q3308" s="345" t="s">
        <v>210</v>
      </c>
      <c r="R3308" s="345" t="s">
        <v>223</v>
      </c>
      <c r="S3308" s="345" t="s">
        <v>224</v>
      </c>
    </row>
    <row r="3309" spans="1:19" x14ac:dyDescent="0.25">
      <c r="A3309" s="311"/>
      <c r="B3309" s="312"/>
      <c r="C3309" s="312"/>
      <c r="D3309" s="312"/>
      <c r="E3309" s="312"/>
      <c r="F3309" s="312"/>
      <c r="G3309" s="328"/>
      <c r="H3309" s="337"/>
      <c r="I3309" s="334"/>
      <c r="J3309" s="314"/>
      <c r="K3309" s="449"/>
      <c r="M3309" s="349" t="str">
        <f>N3309&amp;AS[[#This Row],[Insurer Code]]&amp;"; "&amp;O3309&amp;AS[[#This Row],[Reporting Year]]&amp;"; "&amp;P3309&amp;AS[[#This Row],[Insurance Category Code]]&amp;"; "&amp;Q3309&amp;AS[[#This Row],[Large Provider Entity Code]]&amp;"; "&amp;R3309&amp;AS[[#This Row],[Age Band Code]]&amp;"; "&amp;S3309&amp;AS[[#This Row],[Sex Code]]</f>
        <v xml:space="preserve">Insurer Code ; Reporting Year ; Insurance Category Code ; Large Provider Entity Code ; Age Band Code ; Sex Code </v>
      </c>
      <c r="N3309" s="345" t="s">
        <v>207</v>
      </c>
      <c r="O3309" s="345" t="s">
        <v>208</v>
      </c>
      <c r="P3309" s="345" t="s">
        <v>209</v>
      </c>
      <c r="Q3309" s="345" t="s">
        <v>210</v>
      </c>
      <c r="R3309" s="345" t="s">
        <v>223</v>
      </c>
      <c r="S3309" s="345" t="s">
        <v>224</v>
      </c>
    </row>
    <row r="3310" spans="1:19" x14ac:dyDescent="0.25">
      <c r="A3310" s="311"/>
      <c r="B3310" s="312"/>
      <c r="C3310" s="312"/>
      <c r="D3310" s="312"/>
      <c r="E3310" s="312"/>
      <c r="F3310" s="312"/>
      <c r="G3310" s="328"/>
      <c r="H3310" s="337"/>
      <c r="I3310" s="334"/>
      <c r="J3310" s="314"/>
      <c r="K3310" s="449"/>
      <c r="M3310" s="349" t="str">
        <f>N3310&amp;AS[[#This Row],[Insurer Code]]&amp;"; "&amp;O3310&amp;AS[[#This Row],[Reporting Year]]&amp;"; "&amp;P3310&amp;AS[[#This Row],[Insurance Category Code]]&amp;"; "&amp;Q3310&amp;AS[[#This Row],[Large Provider Entity Code]]&amp;"; "&amp;R3310&amp;AS[[#This Row],[Age Band Code]]&amp;"; "&amp;S3310&amp;AS[[#This Row],[Sex Code]]</f>
        <v xml:space="preserve">Insurer Code ; Reporting Year ; Insurance Category Code ; Large Provider Entity Code ; Age Band Code ; Sex Code </v>
      </c>
      <c r="N3310" s="345" t="s">
        <v>207</v>
      </c>
      <c r="O3310" s="345" t="s">
        <v>208</v>
      </c>
      <c r="P3310" s="345" t="s">
        <v>209</v>
      </c>
      <c r="Q3310" s="345" t="s">
        <v>210</v>
      </c>
      <c r="R3310" s="345" t="s">
        <v>223</v>
      </c>
      <c r="S3310" s="345" t="s">
        <v>224</v>
      </c>
    </row>
    <row r="3311" spans="1:19" x14ac:dyDescent="0.25">
      <c r="A3311" s="311"/>
      <c r="B3311" s="312"/>
      <c r="C3311" s="312"/>
      <c r="D3311" s="312"/>
      <c r="E3311" s="312"/>
      <c r="F3311" s="312"/>
      <c r="G3311" s="328"/>
      <c r="H3311" s="337"/>
      <c r="I3311" s="334"/>
      <c r="J3311" s="314"/>
      <c r="K3311" s="449"/>
      <c r="M3311" s="349" t="str">
        <f>N3311&amp;AS[[#This Row],[Insurer Code]]&amp;"; "&amp;O3311&amp;AS[[#This Row],[Reporting Year]]&amp;"; "&amp;P3311&amp;AS[[#This Row],[Insurance Category Code]]&amp;"; "&amp;Q3311&amp;AS[[#This Row],[Large Provider Entity Code]]&amp;"; "&amp;R3311&amp;AS[[#This Row],[Age Band Code]]&amp;"; "&amp;S3311&amp;AS[[#This Row],[Sex Code]]</f>
        <v xml:space="preserve">Insurer Code ; Reporting Year ; Insurance Category Code ; Large Provider Entity Code ; Age Band Code ; Sex Code </v>
      </c>
      <c r="N3311" s="345" t="s">
        <v>207</v>
      </c>
      <c r="O3311" s="345" t="s">
        <v>208</v>
      </c>
      <c r="P3311" s="345" t="s">
        <v>209</v>
      </c>
      <c r="Q3311" s="345" t="s">
        <v>210</v>
      </c>
      <c r="R3311" s="345" t="s">
        <v>223</v>
      </c>
      <c r="S3311" s="345" t="s">
        <v>224</v>
      </c>
    </row>
    <row r="3312" spans="1:19" x14ac:dyDescent="0.25">
      <c r="A3312" s="311"/>
      <c r="B3312" s="312"/>
      <c r="C3312" s="312"/>
      <c r="D3312" s="312"/>
      <c r="E3312" s="312"/>
      <c r="F3312" s="312"/>
      <c r="G3312" s="328"/>
      <c r="H3312" s="337"/>
      <c r="I3312" s="334"/>
      <c r="J3312" s="314"/>
      <c r="K3312" s="449"/>
      <c r="M3312" s="349" t="str">
        <f>N3312&amp;AS[[#This Row],[Insurer Code]]&amp;"; "&amp;O3312&amp;AS[[#This Row],[Reporting Year]]&amp;"; "&amp;P3312&amp;AS[[#This Row],[Insurance Category Code]]&amp;"; "&amp;Q3312&amp;AS[[#This Row],[Large Provider Entity Code]]&amp;"; "&amp;R3312&amp;AS[[#This Row],[Age Band Code]]&amp;"; "&amp;S3312&amp;AS[[#This Row],[Sex Code]]</f>
        <v xml:space="preserve">Insurer Code ; Reporting Year ; Insurance Category Code ; Large Provider Entity Code ; Age Band Code ; Sex Code </v>
      </c>
      <c r="N3312" s="345" t="s">
        <v>207</v>
      </c>
      <c r="O3312" s="345" t="s">
        <v>208</v>
      </c>
      <c r="P3312" s="345" t="s">
        <v>209</v>
      </c>
      <c r="Q3312" s="345" t="s">
        <v>210</v>
      </c>
      <c r="R3312" s="345" t="s">
        <v>223</v>
      </c>
      <c r="S3312" s="345" t="s">
        <v>224</v>
      </c>
    </row>
    <row r="3313" spans="1:19" x14ac:dyDescent="0.25">
      <c r="A3313" s="311"/>
      <c r="B3313" s="312"/>
      <c r="C3313" s="312"/>
      <c r="D3313" s="312"/>
      <c r="E3313" s="312"/>
      <c r="F3313" s="312"/>
      <c r="G3313" s="328"/>
      <c r="H3313" s="337"/>
      <c r="I3313" s="334"/>
      <c r="J3313" s="314"/>
      <c r="K3313" s="449"/>
      <c r="M3313" s="349" t="str">
        <f>N3313&amp;AS[[#This Row],[Insurer Code]]&amp;"; "&amp;O3313&amp;AS[[#This Row],[Reporting Year]]&amp;"; "&amp;P3313&amp;AS[[#This Row],[Insurance Category Code]]&amp;"; "&amp;Q3313&amp;AS[[#This Row],[Large Provider Entity Code]]&amp;"; "&amp;R3313&amp;AS[[#This Row],[Age Band Code]]&amp;"; "&amp;S3313&amp;AS[[#This Row],[Sex Code]]</f>
        <v xml:space="preserve">Insurer Code ; Reporting Year ; Insurance Category Code ; Large Provider Entity Code ; Age Band Code ; Sex Code </v>
      </c>
      <c r="N3313" s="345" t="s">
        <v>207</v>
      </c>
      <c r="O3313" s="345" t="s">
        <v>208</v>
      </c>
      <c r="P3313" s="345" t="s">
        <v>209</v>
      </c>
      <c r="Q3313" s="345" t="s">
        <v>210</v>
      </c>
      <c r="R3313" s="345" t="s">
        <v>223</v>
      </c>
      <c r="S3313" s="345" t="s">
        <v>224</v>
      </c>
    </row>
    <row r="3314" spans="1:19" x14ac:dyDescent="0.25">
      <c r="A3314" s="311"/>
      <c r="B3314" s="312"/>
      <c r="C3314" s="312"/>
      <c r="D3314" s="312"/>
      <c r="E3314" s="312"/>
      <c r="F3314" s="312"/>
      <c r="G3314" s="328"/>
      <c r="H3314" s="337"/>
      <c r="I3314" s="334"/>
      <c r="J3314" s="314"/>
      <c r="K3314" s="449"/>
      <c r="M3314" s="349" t="str">
        <f>N3314&amp;AS[[#This Row],[Insurer Code]]&amp;"; "&amp;O3314&amp;AS[[#This Row],[Reporting Year]]&amp;"; "&amp;P3314&amp;AS[[#This Row],[Insurance Category Code]]&amp;"; "&amp;Q3314&amp;AS[[#This Row],[Large Provider Entity Code]]&amp;"; "&amp;R3314&amp;AS[[#This Row],[Age Band Code]]&amp;"; "&amp;S3314&amp;AS[[#This Row],[Sex Code]]</f>
        <v xml:space="preserve">Insurer Code ; Reporting Year ; Insurance Category Code ; Large Provider Entity Code ; Age Band Code ; Sex Code </v>
      </c>
      <c r="N3314" s="345" t="s">
        <v>207</v>
      </c>
      <c r="O3314" s="345" t="s">
        <v>208</v>
      </c>
      <c r="P3314" s="345" t="s">
        <v>209</v>
      </c>
      <c r="Q3314" s="345" t="s">
        <v>210</v>
      </c>
      <c r="R3314" s="345" t="s">
        <v>223</v>
      </c>
      <c r="S3314" s="345" t="s">
        <v>224</v>
      </c>
    </row>
    <row r="3315" spans="1:19" x14ac:dyDescent="0.25">
      <c r="A3315" s="311"/>
      <c r="B3315" s="312"/>
      <c r="C3315" s="312"/>
      <c r="D3315" s="312"/>
      <c r="E3315" s="312"/>
      <c r="F3315" s="312"/>
      <c r="G3315" s="328"/>
      <c r="H3315" s="337"/>
      <c r="I3315" s="334"/>
      <c r="J3315" s="314"/>
      <c r="K3315" s="449"/>
      <c r="M3315" s="349" t="str">
        <f>N3315&amp;AS[[#This Row],[Insurer Code]]&amp;"; "&amp;O3315&amp;AS[[#This Row],[Reporting Year]]&amp;"; "&amp;P3315&amp;AS[[#This Row],[Insurance Category Code]]&amp;"; "&amp;Q3315&amp;AS[[#This Row],[Large Provider Entity Code]]&amp;"; "&amp;R3315&amp;AS[[#This Row],[Age Band Code]]&amp;"; "&amp;S3315&amp;AS[[#This Row],[Sex Code]]</f>
        <v xml:space="preserve">Insurer Code ; Reporting Year ; Insurance Category Code ; Large Provider Entity Code ; Age Band Code ; Sex Code </v>
      </c>
      <c r="N3315" s="345" t="s">
        <v>207</v>
      </c>
      <c r="O3315" s="345" t="s">
        <v>208</v>
      </c>
      <c r="P3315" s="345" t="s">
        <v>209</v>
      </c>
      <c r="Q3315" s="345" t="s">
        <v>210</v>
      </c>
      <c r="R3315" s="345" t="s">
        <v>223</v>
      </c>
      <c r="S3315" s="345" t="s">
        <v>224</v>
      </c>
    </row>
    <row r="3316" spans="1:19" x14ac:dyDescent="0.25">
      <c r="A3316" s="311"/>
      <c r="B3316" s="312"/>
      <c r="C3316" s="312"/>
      <c r="D3316" s="312"/>
      <c r="E3316" s="312"/>
      <c r="F3316" s="312"/>
      <c r="G3316" s="328"/>
      <c r="H3316" s="337"/>
      <c r="I3316" s="334"/>
      <c r="J3316" s="314"/>
      <c r="K3316" s="449"/>
      <c r="M3316" s="349" t="str">
        <f>N3316&amp;AS[[#This Row],[Insurer Code]]&amp;"; "&amp;O3316&amp;AS[[#This Row],[Reporting Year]]&amp;"; "&amp;P3316&amp;AS[[#This Row],[Insurance Category Code]]&amp;"; "&amp;Q3316&amp;AS[[#This Row],[Large Provider Entity Code]]&amp;"; "&amp;R3316&amp;AS[[#This Row],[Age Band Code]]&amp;"; "&amp;S3316&amp;AS[[#This Row],[Sex Code]]</f>
        <v xml:space="preserve">Insurer Code ; Reporting Year ; Insurance Category Code ; Large Provider Entity Code ; Age Band Code ; Sex Code </v>
      </c>
      <c r="N3316" s="345" t="s">
        <v>207</v>
      </c>
      <c r="O3316" s="345" t="s">
        <v>208</v>
      </c>
      <c r="P3316" s="345" t="s">
        <v>209</v>
      </c>
      <c r="Q3316" s="345" t="s">
        <v>210</v>
      </c>
      <c r="R3316" s="345" t="s">
        <v>223</v>
      </c>
      <c r="S3316" s="345" t="s">
        <v>224</v>
      </c>
    </row>
    <row r="3317" spans="1:19" x14ac:dyDescent="0.25">
      <c r="A3317" s="311"/>
      <c r="B3317" s="312"/>
      <c r="C3317" s="312"/>
      <c r="D3317" s="312"/>
      <c r="E3317" s="312"/>
      <c r="F3317" s="312"/>
      <c r="G3317" s="328"/>
      <c r="H3317" s="337"/>
      <c r="I3317" s="334"/>
      <c r="J3317" s="314"/>
      <c r="K3317" s="449"/>
      <c r="M3317" s="349" t="str">
        <f>N3317&amp;AS[[#This Row],[Insurer Code]]&amp;"; "&amp;O3317&amp;AS[[#This Row],[Reporting Year]]&amp;"; "&amp;P3317&amp;AS[[#This Row],[Insurance Category Code]]&amp;"; "&amp;Q3317&amp;AS[[#This Row],[Large Provider Entity Code]]&amp;"; "&amp;R3317&amp;AS[[#This Row],[Age Band Code]]&amp;"; "&amp;S3317&amp;AS[[#This Row],[Sex Code]]</f>
        <v xml:space="preserve">Insurer Code ; Reporting Year ; Insurance Category Code ; Large Provider Entity Code ; Age Band Code ; Sex Code </v>
      </c>
      <c r="N3317" s="345" t="s">
        <v>207</v>
      </c>
      <c r="O3317" s="345" t="s">
        <v>208</v>
      </c>
      <c r="P3317" s="345" t="s">
        <v>209</v>
      </c>
      <c r="Q3317" s="345" t="s">
        <v>210</v>
      </c>
      <c r="R3317" s="345" t="s">
        <v>223</v>
      </c>
      <c r="S3317" s="345" t="s">
        <v>224</v>
      </c>
    </row>
    <row r="3318" spans="1:19" x14ac:dyDescent="0.25">
      <c r="A3318" s="311"/>
      <c r="B3318" s="312"/>
      <c r="C3318" s="312"/>
      <c r="D3318" s="312"/>
      <c r="E3318" s="312"/>
      <c r="F3318" s="312"/>
      <c r="G3318" s="328"/>
      <c r="H3318" s="337"/>
      <c r="I3318" s="334"/>
      <c r="J3318" s="314"/>
      <c r="K3318" s="449"/>
      <c r="M3318" s="349" t="str">
        <f>N3318&amp;AS[[#This Row],[Insurer Code]]&amp;"; "&amp;O3318&amp;AS[[#This Row],[Reporting Year]]&amp;"; "&amp;P3318&amp;AS[[#This Row],[Insurance Category Code]]&amp;"; "&amp;Q3318&amp;AS[[#This Row],[Large Provider Entity Code]]&amp;"; "&amp;R3318&amp;AS[[#This Row],[Age Band Code]]&amp;"; "&amp;S3318&amp;AS[[#This Row],[Sex Code]]</f>
        <v xml:space="preserve">Insurer Code ; Reporting Year ; Insurance Category Code ; Large Provider Entity Code ; Age Band Code ; Sex Code </v>
      </c>
      <c r="N3318" s="345" t="s">
        <v>207</v>
      </c>
      <c r="O3318" s="345" t="s">
        <v>208</v>
      </c>
      <c r="P3318" s="345" t="s">
        <v>209</v>
      </c>
      <c r="Q3318" s="345" t="s">
        <v>210</v>
      </c>
      <c r="R3318" s="345" t="s">
        <v>223</v>
      </c>
      <c r="S3318" s="345" t="s">
        <v>224</v>
      </c>
    </row>
    <row r="3319" spans="1:19" x14ac:dyDescent="0.25">
      <c r="A3319" s="311"/>
      <c r="B3319" s="312"/>
      <c r="C3319" s="312"/>
      <c r="D3319" s="312"/>
      <c r="E3319" s="312"/>
      <c r="F3319" s="312"/>
      <c r="G3319" s="328"/>
      <c r="H3319" s="337"/>
      <c r="I3319" s="334"/>
      <c r="J3319" s="314"/>
      <c r="K3319" s="449"/>
      <c r="M3319" s="349" t="str">
        <f>N3319&amp;AS[[#This Row],[Insurer Code]]&amp;"; "&amp;O3319&amp;AS[[#This Row],[Reporting Year]]&amp;"; "&amp;P3319&amp;AS[[#This Row],[Insurance Category Code]]&amp;"; "&amp;Q3319&amp;AS[[#This Row],[Large Provider Entity Code]]&amp;"; "&amp;R3319&amp;AS[[#This Row],[Age Band Code]]&amp;"; "&amp;S3319&amp;AS[[#This Row],[Sex Code]]</f>
        <v xml:space="preserve">Insurer Code ; Reporting Year ; Insurance Category Code ; Large Provider Entity Code ; Age Band Code ; Sex Code </v>
      </c>
      <c r="N3319" s="345" t="s">
        <v>207</v>
      </c>
      <c r="O3319" s="345" t="s">
        <v>208</v>
      </c>
      <c r="P3319" s="345" t="s">
        <v>209</v>
      </c>
      <c r="Q3319" s="345" t="s">
        <v>210</v>
      </c>
      <c r="R3319" s="345" t="s">
        <v>223</v>
      </c>
      <c r="S3319" s="345" t="s">
        <v>224</v>
      </c>
    </row>
    <row r="3320" spans="1:19" x14ac:dyDescent="0.25">
      <c r="A3320" s="311"/>
      <c r="B3320" s="312"/>
      <c r="C3320" s="312"/>
      <c r="D3320" s="312"/>
      <c r="E3320" s="312"/>
      <c r="F3320" s="312"/>
      <c r="G3320" s="328"/>
      <c r="H3320" s="337"/>
      <c r="I3320" s="334"/>
      <c r="J3320" s="314"/>
      <c r="K3320" s="449"/>
      <c r="M3320" s="349" t="str">
        <f>N3320&amp;AS[[#This Row],[Insurer Code]]&amp;"; "&amp;O3320&amp;AS[[#This Row],[Reporting Year]]&amp;"; "&amp;P3320&amp;AS[[#This Row],[Insurance Category Code]]&amp;"; "&amp;Q3320&amp;AS[[#This Row],[Large Provider Entity Code]]&amp;"; "&amp;R3320&amp;AS[[#This Row],[Age Band Code]]&amp;"; "&amp;S3320&amp;AS[[#This Row],[Sex Code]]</f>
        <v xml:space="preserve">Insurer Code ; Reporting Year ; Insurance Category Code ; Large Provider Entity Code ; Age Band Code ; Sex Code </v>
      </c>
      <c r="N3320" s="345" t="s">
        <v>207</v>
      </c>
      <c r="O3320" s="345" t="s">
        <v>208</v>
      </c>
      <c r="P3320" s="345" t="s">
        <v>209</v>
      </c>
      <c r="Q3320" s="345" t="s">
        <v>210</v>
      </c>
      <c r="R3320" s="345" t="s">
        <v>223</v>
      </c>
      <c r="S3320" s="345" t="s">
        <v>224</v>
      </c>
    </row>
    <row r="3321" spans="1:19" x14ac:dyDescent="0.25">
      <c r="A3321" s="311"/>
      <c r="B3321" s="312"/>
      <c r="C3321" s="312"/>
      <c r="D3321" s="312"/>
      <c r="E3321" s="312"/>
      <c r="F3321" s="312"/>
      <c r="G3321" s="328"/>
      <c r="H3321" s="337"/>
      <c r="I3321" s="334"/>
      <c r="J3321" s="314"/>
      <c r="K3321" s="449"/>
      <c r="M3321" s="349" t="str">
        <f>N3321&amp;AS[[#This Row],[Insurer Code]]&amp;"; "&amp;O3321&amp;AS[[#This Row],[Reporting Year]]&amp;"; "&amp;P3321&amp;AS[[#This Row],[Insurance Category Code]]&amp;"; "&amp;Q3321&amp;AS[[#This Row],[Large Provider Entity Code]]&amp;"; "&amp;R3321&amp;AS[[#This Row],[Age Band Code]]&amp;"; "&amp;S3321&amp;AS[[#This Row],[Sex Code]]</f>
        <v xml:space="preserve">Insurer Code ; Reporting Year ; Insurance Category Code ; Large Provider Entity Code ; Age Band Code ; Sex Code </v>
      </c>
      <c r="N3321" s="345" t="s">
        <v>207</v>
      </c>
      <c r="O3321" s="345" t="s">
        <v>208</v>
      </c>
      <c r="P3321" s="345" t="s">
        <v>209</v>
      </c>
      <c r="Q3321" s="345" t="s">
        <v>210</v>
      </c>
      <c r="R3321" s="345" t="s">
        <v>223</v>
      </c>
      <c r="S3321" s="345" t="s">
        <v>224</v>
      </c>
    </row>
    <row r="3322" spans="1:19" x14ac:dyDescent="0.25">
      <c r="A3322" s="311"/>
      <c r="B3322" s="312"/>
      <c r="C3322" s="312"/>
      <c r="D3322" s="312"/>
      <c r="E3322" s="312"/>
      <c r="F3322" s="312"/>
      <c r="G3322" s="328"/>
      <c r="H3322" s="337"/>
      <c r="I3322" s="334"/>
      <c r="J3322" s="314"/>
      <c r="K3322" s="449"/>
      <c r="M3322" s="349" t="str">
        <f>N3322&amp;AS[[#This Row],[Insurer Code]]&amp;"; "&amp;O3322&amp;AS[[#This Row],[Reporting Year]]&amp;"; "&amp;P3322&amp;AS[[#This Row],[Insurance Category Code]]&amp;"; "&amp;Q3322&amp;AS[[#This Row],[Large Provider Entity Code]]&amp;"; "&amp;R3322&amp;AS[[#This Row],[Age Band Code]]&amp;"; "&amp;S3322&amp;AS[[#This Row],[Sex Code]]</f>
        <v xml:space="preserve">Insurer Code ; Reporting Year ; Insurance Category Code ; Large Provider Entity Code ; Age Band Code ; Sex Code </v>
      </c>
      <c r="N3322" s="345" t="s">
        <v>207</v>
      </c>
      <c r="O3322" s="345" t="s">
        <v>208</v>
      </c>
      <c r="P3322" s="345" t="s">
        <v>209</v>
      </c>
      <c r="Q3322" s="345" t="s">
        <v>210</v>
      </c>
      <c r="R3322" s="345" t="s">
        <v>223</v>
      </c>
      <c r="S3322" s="345" t="s">
        <v>224</v>
      </c>
    </row>
    <row r="3323" spans="1:19" x14ac:dyDescent="0.25">
      <c r="A3323" s="311"/>
      <c r="B3323" s="312"/>
      <c r="C3323" s="312"/>
      <c r="D3323" s="312"/>
      <c r="E3323" s="312"/>
      <c r="F3323" s="312"/>
      <c r="G3323" s="328"/>
      <c r="H3323" s="337"/>
      <c r="I3323" s="334"/>
      <c r="J3323" s="314"/>
      <c r="K3323" s="449"/>
      <c r="M3323" s="349" t="str">
        <f>N3323&amp;AS[[#This Row],[Insurer Code]]&amp;"; "&amp;O3323&amp;AS[[#This Row],[Reporting Year]]&amp;"; "&amp;P3323&amp;AS[[#This Row],[Insurance Category Code]]&amp;"; "&amp;Q3323&amp;AS[[#This Row],[Large Provider Entity Code]]&amp;"; "&amp;R3323&amp;AS[[#This Row],[Age Band Code]]&amp;"; "&amp;S3323&amp;AS[[#This Row],[Sex Code]]</f>
        <v xml:space="preserve">Insurer Code ; Reporting Year ; Insurance Category Code ; Large Provider Entity Code ; Age Band Code ; Sex Code </v>
      </c>
      <c r="N3323" s="345" t="s">
        <v>207</v>
      </c>
      <c r="O3323" s="345" t="s">
        <v>208</v>
      </c>
      <c r="P3323" s="345" t="s">
        <v>209</v>
      </c>
      <c r="Q3323" s="345" t="s">
        <v>210</v>
      </c>
      <c r="R3323" s="345" t="s">
        <v>223</v>
      </c>
      <c r="S3323" s="345" t="s">
        <v>224</v>
      </c>
    </row>
    <row r="3324" spans="1:19" x14ac:dyDescent="0.25">
      <c r="A3324" s="311"/>
      <c r="B3324" s="312"/>
      <c r="C3324" s="312"/>
      <c r="D3324" s="312"/>
      <c r="E3324" s="312"/>
      <c r="F3324" s="312"/>
      <c r="G3324" s="328"/>
      <c r="H3324" s="337"/>
      <c r="I3324" s="334"/>
      <c r="J3324" s="314"/>
      <c r="K3324" s="449"/>
      <c r="M3324" s="349" t="str">
        <f>N3324&amp;AS[[#This Row],[Insurer Code]]&amp;"; "&amp;O3324&amp;AS[[#This Row],[Reporting Year]]&amp;"; "&amp;P3324&amp;AS[[#This Row],[Insurance Category Code]]&amp;"; "&amp;Q3324&amp;AS[[#This Row],[Large Provider Entity Code]]&amp;"; "&amp;R3324&amp;AS[[#This Row],[Age Band Code]]&amp;"; "&amp;S3324&amp;AS[[#This Row],[Sex Code]]</f>
        <v xml:space="preserve">Insurer Code ; Reporting Year ; Insurance Category Code ; Large Provider Entity Code ; Age Band Code ; Sex Code </v>
      </c>
      <c r="N3324" s="345" t="s">
        <v>207</v>
      </c>
      <c r="O3324" s="345" t="s">
        <v>208</v>
      </c>
      <c r="P3324" s="345" t="s">
        <v>209</v>
      </c>
      <c r="Q3324" s="345" t="s">
        <v>210</v>
      </c>
      <c r="R3324" s="345" t="s">
        <v>223</v>
      </c>
      <c r="S3324" s="345" t="s">
        <v>224</v>
      </c>
    </row>
    <row r="3325" spans="1:19" x14ac:dyDescent="0.25">
      <c r="A3325" s="311"/>
      <c r="B3325" s="312"/>
      <c r="C3325" s="312"/>
      <c r="D3325" s="312"/>
      <c r="E3325" s="312"/>
      <c r="F3325" s="312"/>
      <c r="G3325" s="328"/>
      <c r="H3325" s="337"/>
      <c r="I3325" s="334"/>
      <c r="J3325" s="314"/>
      <c r="K3325" s="449"/>
      <c r="M3325" s="349" t="str">
        <f>N3325&amp;AS[[#This Row],[Insurer Code]]&amp;"; "&amp;O3325&amp;AS[[#This Row],[Reporting Year]]&amp;"; "&amp;P3325&amp;AS[[#This Row],[Insurance Category Code]]&amp;"; "&amp;Q3325&amp;AS[[#This Row],[Large Provider Entity Code]]&amp;"; "&amp;R3325&amp;AS[[#This Row],[Age Band Code]]&amp;"; "&amp;S3325&amp;AS[[#This Row],[Sex Code]]</f>
        <v xml:space="preserve">Insurer Code ; Reporting Year ; Insurance Category Code ; Large Provider Entity Code ; Age Band Code ; Sex Code </v>
      </c>
      <c r="N3325" s="345" t="s">
        <v>207</v>
      </c>
      <c r="O3325" s="345" t="s">
        <v>208</v>
      </c>
      <c r="P3325" s="345" t="s">
        <v>209</v>
      </c>
      <c r="Q3325" s="345" t="s">
        <v>210</v>
      </c>
      <c r="R3325" s="345" t="s">
        <v>223</v>
      </c>
      <c r="S3325" s="345" t="s">
        <v>224</v>
      </c>
    </row>
    <row r="3326" spans="1:19" x14ac:dyDescent="0.25">
      <c r="A3326" s="311"/>
      <c r="B3326" s="312"/>
      <c r="C3326" s="312"/>
      <c r="D3326" s="312"/>
      <c r="E3326" s="312"/>
      <c r="F3326" s="312"/>
      <c r="G3326" s="328"/>
      <c r="H3326" s="337"/>
      <c r="I3326" s="334"/>
      <c r="J3326" s="314"/>
      <c r="K3326" s="449"/>
      <c r="M3326" s="349" t="str">
        <f>N3326&amp;AS[[#This Row],[Insurer Code]]&amp;"; "&amp;O3326&amp;AS[[#This Row],[Reporting Year]]&amp;"; "&amp;P3326&amp;AS[[#This Row],[Insurance Category Code]]&amp;"; "&amp;Q3326&amp;AS[[#This Row],[Large Provider Entity Code]]&amp;"; "&amp;R3326&amp;AS[[#This Row],[Age Band Code]]&amp;"; "&amp;S3326&amp;AS[[#This Row],[Sex Code]]</f>
        <v xml:space="preserve">Insurer Code ; Reporting Year ; Insurance Category Code ; Large Provider Entity Code ; Age Band Code ; Sex Code </v>
      </c>
      <c r="N3326" s="345" t="s">
        <v>207</v>
      </c>
      <c r="O3326" s="345" t="s">
        <v>208</v>
      </c>
      <c r="P3326" s="345" t="s">
        <v>209</v>
      </c>
      <c r="Q3326" s="345" t="s">
        <v>210</v>
      </c>
      <c r="R3326" s="345" t="s">
        <v>223</v>
      </c>
      <c r="S3326" s="345" t="s">
        <v>224</v>
      </c>
    </row>
    <row r="3327" spans="1:19" x14ac:dyDescent="0.25">
      <c r="A3327" s="311"/>
      <c r="B3327" s="312"/>
      <c r="C3327" s="312"/>
      <c r="D3327" s="312"/>
      <c r="E3327" s="312"/>
      <c r="F3327" s="312"/>
      <c r="G3327" s="328"/>
      <c r="H3327" s="337"/>
      <c r="I3327" s="334"/>
      <c r="J3327" s="314"/>
      <c r="K3327" s="449"/>
      <c r="M3327" s="349" t="str">
        <f>N3327&amp;AS[[#This Row],[Insurer Code]]&amp;"; "&amp;O3327&amp;AS[[#This Row],[Reporting Year]]&amp;"; "&amp;P3327&amp;AS[[#This Row],[Insurance Category Code]]&amp;"; "&amp;Q3327&amp;AS[[#This Row],[Large Provider Entity Code]]&amp;"; "&amp;R3327&amp;AS[[#This Row],[Age Band Code]]&amp;"; "&amp;S3327&amp;AS[[#This Row],[Sex Code]]</f>
        <v xml:space="preserve">Insurer Code ; Reporting Year ; Insurance Category Code ; Large Provider Entity Code ; Age Band Code ; Sex Code </v>
      </c>
      <c r="N3327" s="345" t="s">
        <v>207</v>
      </c>
      <c r="O3327" s="345" t="s">
        <v>208</v>
      </c>
      <c r="P3327" s="345" t="s">
        <v>209</v>
      </c>
      <c r="Q3327" s="345" t="s">
        <v>210</v>
      </c>
      <c r="R3327" s="345" t="s">
        <v>223</v>
      </c>
      <c r="S3327" s="345" t="s">
        <v>224</v>
      </c>
    </row>
    <row r="3328" spans="1:19" x14ac:dyDescent="0.25">
      <c r="A3328" s="311"/>
      <c r="B3328" s="312"/>
      <c r="C3328" s="312"/>
      <c r="D3328" s="312"/>
      <c r="E3328" s="312"/>
      <c r="F3328" s="312"/>
      <c r="G3328" s="328"/>
      <c r="H3328" s="337"/>
      <c r="I3328" s="334"/>
      <c r="J3328" s="314"/>
      <c r="K3328" s="449"/>
      <c r="M3328" s="349" t="str">
        <f>N3328&amp;AS[[#This Row],[Insurer Code]]&amp;"; "&amp;O3328&amp;AS[[#This Row],[Reporting Year]]&amp;"; "&amp;P3328&amp;AS[[#This Row],[Insurance Category Code]]&amp;"; "&amp;Q3328&amp;AS[[#This Row],[Large Provider Entity Code]]&amp;"; "&amp;R3328&amp;AS[[#This Row],[Age Band Code]]&amp;"; "&amp;S3328&amp;AS[[#This Row],[Sex Code]]</f>
        <v xml:space="preserve">Insurer Code ; Reporting Year ; Insurance Category Code ; Large Provider Entity Code ; Age Band Code ; Sex Code </v>
      </c>
      <c r="N3328" s="345" t="s">
        <v>207</v>
      </c>
      <c r="O3328" s="345" t="s">
        <v>208</v>
      </c>
      <c r="P3328" s="345" t="s">
        <v>209</v>
      </c>
      <c r="Q3328" s="345" t="s">
        <v>210</v>
      </c>
      <c r="R3328" s="345" t="s">
        <v>223</v>
      </c>
      <c r="S3328" s="345" t="s">
        <v>224</v>
      </c>
    </row>
    <row r="3329" spans="1:19" x14ac:dyDescent="0.25">
      <c r="A3329" s="311"/>
      <c r="B3329" s="312"/>
      <c r="C3329" s="312"/>
      <c r="D3329" s="312"/>
      <c r="E3329" s="312"/>
      <c r="F3329" s="312"/>
      <c r="G3329" s="328"/>
      <c r="H3329" s="337"/>
      <c r="I3329" s="334"/>
      <c r="J3329" s="314"/>
      <c r="K3329" s="449"/>
      <c r="M3329" s="349" t="str">
        <f>N3329&amp;AS[[#This Row],[Insurer Code]]&amp;"; "&amp;O3329&amp;AS[[#This Row],[Reporting Year]]&amp;"; "&amp;P3329&amp;AS[[#This Row],[Insurance Category Code]]&amp;"; "&amp;Q3329&amp;AS[[#This Row],[Large Provider Entity Code]]&amp;"; "&amp;R3329&amp;AS[[#This Row],[Age Band Code]]&amp;"; "&amp;S3329&amp;AS[[#This Row],[Sex Code]]</f>
        <v xml:space="preserve">Insurer Code ; Reporting Year ; Insurance Category Code ; Large Provider Entity Code ; Age Band Code ; Sex Code </v>
      </c>
      <c r="N3329" s="345" t="s">
        <v>207</v>
      </c>
      <c r="O3329" s="345" t="s">
        <v>208</v>
      </c>
      <c r="P3329" s="345" t="s">
        <v>209</v>
      </c>
      <c r="Q3329" s="345" t="s">
        <v>210</v>
      </c>
      <c r="R3329" s="345" t="s">
        <v>223</v>
      </c>
      <c r="S3329" s="345" t="s">
        <v>224</v>
      </c>
    </row>
    <row r="3330" spans="1:19" x14ac:dyDescent="0.25">
      <c r="A3330" s="311"/>
      <c r="B3330" s="312"/>
      <c r="C3330" s="312"/>
      <c r="D3330" s="312"/>
      <c r="E3330" s="312"/>
      <c r="F3330" s="312"/>
      <c r="G3330" s="328"/>
      <c r="H3330" s="337"/>
      <c r="I3330" s="334"/>
      <c r="J3330" s="314"/>
      <c r="K3330" s="449"/>
      <c r="M3330" s="349" t="str">
        <f>N3330&amp;AS[[#This Row],[Insurer Code]]&amp;"; "&amp;O3330&amp;AS[[#This Row],[Reporting Year]]&amp;"; "&amp;P3330&amp;AS[[#This Row],[Insurance Category Code]]&amp;"; "&amp;Q3330&amp;AS[[#This Row],[Large Provider Entity Code]]&amp;"; "&amp;R3330&amp;AS[[#This Row],[Age Band Code]]&amp;"; "&amp;S3330&amp;AS[[#This Row],[Sex Code]]</f>
        <v xml:space="preserve">Insurer Code ; Reporting Year ; Insurance Category Code ; Large Provider Entity Code ; Age Band Code ; Sex Code </v>
      </c>
      <c r="N3330" s="345" t="s">
        <v>207</v>
      </c>
      <c r="O3330" s="345" t="s">
        <v>208</v>
      </c>
      <c r="P3330" s="345" t="s">
        <v>209</v>
      </c>
      <c r="Q3330" s="345" t="s">
        <v>210</v>
      </c>
      <c r="R3330" s="345" t="s">
        <v>223</v>
      </c>
      <c r="S3330" s="345" t="s">
        <v>224</v>
      </c>
    </row>
    <row r="3331" spans="1:19" x14ac:dyDescent="0.25">
      <c r="A3331" s="311"/>
      <c r="B3331" s="312"/>
      <c r="C3331" s="312"/>
      <c r="D3331" s="312"/>
      <c r="E3331" s="312"/>
      <c r="F3331" s="312"/>
      <c r="G3331" s="328"/>
      <c r="H3331" s="453"/>
      <c r="I3331" s="334"/>
      <c r="J3331" s="314"/>
      <c r="K3331" s="454"/>
      <c r="M3331" s="349" t="str">
        <f>N3331&amp;AS[[#This Row],[Insurer Code]]&amp;"; "&amp;O3331&amp;AS[[#This Row],[Reporting Year]]&amp;"; "&amp;P3331&amp;AS[[#This Row],[Insurance Category Code]]&amp;"; "&amp;Q3331&amp;AS[[#This Row],[Large Provider Entity Code]]&amp;"; "&amp;R3331&amp;AS[[#This Row],[Age Band Code]]&amp;"; "&amp;S3331&amp;AS[[#This Row],[Sex Code]]</f>
        <v xml:space="preserve">Insurer Code ; Reporting Year ; Insurance Category Code ; Large Provider Entity Code ; Age Band Code ; Sex Code </v>
      </c>
      <c r="N3331" s="345" t="s">
        <v>207</v>
      </c>
      <c r="O3331" s="345" t="s">
        <v>208</v>
      </c>
      <c r="P3331" s="345" t="s">
        <v>209</v>
      </c>
      <c r="Q3331" s="345" t="s">
        <v>210</v>
      </c>
      <c r="R3331" s="345" t="s">
        <v>223</v>
      </c>
      <c r="S3331" s="345" t="s">
        <v>224</v>
      </c>
    </row>
    <row r="3332" spans="1:19" x14ac:dyDescent="0.25">
      <c r="A3332" s="311"/>
      <c r="B3332" s="312"/>
      <c r="C3332" s="312"/>
      <c r="D3332" s="312"/>
      <c r="E3332" s="312"/>
      <c r="F3332" s="312"/>
      <c r="G3332" s="328"/>
      <c r="H3332" s="453"/>
      <c r="I3332" s="334"/>
      <c r="J3332" s="314"/>
      <c r="K3332" s="454"/>
      <c r="M3332" s="349" t="str">
        <f>N3332&amp;AS[[#This Row],[Insurer Code]]&amp;"; "&amp;O3332&amp;AS[[#This Row],[Reporting Year]]&amp;"; "&amp;P3332&amp;AS[[#This Row],[Insurance Category Code]]&amp;"; "&amp;Q3332&amp;AS[[#This Row],[Large Provider Entity Code]]&amp;"; "&amp;R3332&amp;AS[[#This Row],[Age Band Code]]&amp;"; "&amp;S3332&amp;AS[[#This Row],[Sex Code]]</f>
        <v xml:space="preserve">Insurer Code ; Reporting Year ; Insurance Category Code ; Large Provider Entity Code ; Age Band Code ; Sex Code </v>
      </c>
      <c r="N3332" s="345" t="s">
        <v>207</v>
      </c>
      <c r="O3332" s="345" t="s">
        <v>208</v>
      </c>
      <c r="P3332" s="345" t="s">
        <v>209</v>
      </c>
      <c r="Q3332" s="345" t="s">
        <v>210</v>
      </c>
      <c r="R3332" s="345" t="s">
        <v>223</v>
      </c>
      <c r="S3332" s="345" t="s">
        <v>224</v>
      </c>
    </row>
    <row r="3333" spans="1:19" x14ac:dyDescent="0.25">
      <c r="A3333" s="311"/>
      <c r="B3333" s="312"/>
      <c r="C3333" s="312"/>
      <c r="D3333" s="312"/>
      <c r="E3333" s="312"/>
      <c r="F3333" s="312"/>
      <c r="G3333" s="328"/>
      <c r="H3333" s="453"/>
      <c r="I3333" s="334"/>
      <c r="J3333" s="314"/>
      <c r="K3333" s="454"/>
      <c r="M3333" s="349" t="str">
        <f>N3333&amp;AS[[#This Row],[Insurer Code]]&amp;"; "&amp;O3333&amp;AS[[#This Row],[Reporting Year]]&amp;"; "&amp;P3333&amp;AS[[#This Row],[Insurance Category Code]]&amp;"; "&amp;Q3333&amp;AS[[#This Row],[Large Provider Entity Code]]&amp;"; "&amp;R3333&amp;AS[[#This Row],[Age Band Code]]&amp;"; "&amp;S3333&amp;AS[[#This Row],[Sex Code]]</f>
        <v xml:space="preserve">Insurer Code ; Reporting Year ; Insurance Category Code ; Large Provider Entity Code ; Age Band Code ; Sex Code </v>
      </c>
      <c r="N3333" s="345" t="s">
        <v>207</v>
      </c>
      <c r="O3333" s="345" t="s">
        <v>208</v>
      </c>
      <c r="P3333" s="345" t="s">
        <v>209</v>
      </c>
      <c r="Q3333" s="345" t="s">
        <v>210</v>
      </c>
      <c r="R3333" s="345" t="s">
        <v>223</v>
      </c>
      <c r="S3333" s="345" t="s">
        <v>224</v>
      </c>
    </row>
    <row r="3334" spans="1:19" x14ac:dyDescent="0.25">
      <c r="A3334" s="311"/>
      <c r="B3334" s="312"/>
      <c r="C3334" s="312"/>
      <c r="D3334" s="312"/>
      <c r="E3334" s="312"/>
      <c r="F3334" s="312"/>
      <c r="G3334" s="328"/>
      <c r="H3334" s="453"/>
      <c r="I3334" s="334"/>
      <c r="J3334" s="314"/>
      <c r="K3334" s="454"/>
      <c r="M3334" s="349" t="str">
        <f>N3334&amp;AS[[#This Row],[Insurer Code]]&amp;"; "&amp;O3334&amp;AS[[#This Row],[Reporting Year]]&amp;"; "&amp;P3334&amp;AS[[#This Row],[Insurance Category Code]]&amp;"; "&amp;Q3334&amp;AS[[#This Row],[Large Provider Entity Code]]&amp;"; "&amp;R3334&amp;AS[[#This Row],[Age Band Code]]&amp;"; "&amp;S3334&amp;AS[[#This Row],[Sex Code]]</f>
        <v xml:space="preserve">Insurer Code ; Reporting Year ; Insurance Category Code ; Large Provider Entity Code ; Age Band Code ; Sex Code </v>
      </c>
      <c r="N3334" s="345" t="s">
        <v>207</v>
      </c>
      <c r="O3334" s="345" t="s">
        <v>208</v>
      </c>
      <c r="P3334" s="345" t="s">
        <v>209</v>
      </c>
      <c r="Q3334" s="345" t="s">
        <v>210</v>
      </c>
      <c r="R3334" s="345" t="s">
        <v>223</v>
      </c>
      <c r="S3334" s="345" t="s">
        <v>224</v>
      </c>
    </row>
    <row r="3335" spans="1:19" x14ac:dyDescent="0.25">
      <c r="A3335" s="311"/>
      <c r="B3335" s="312"/>
      <c r="C3335" s="312"/>
      <c r="D3335" s="312"/>
      <c r="E3335" s="312"/>
      <c r="F3335" s="312"/>
      <c r="G3335" s="328"/>
      <c r="H3335" s="453"/>
      <c r="I3335" s="334"/>
      <c r="J3335" s="314"/>
      <c r="K3335" s="454"/>
      <c r="M3335" s="349" t="str">
        <f>N3335&amp;AS[[#This Row],[Insurer Code]]&amp;"; "&amp;O3335&amp;AS[[#This Row],[Reporting Year]]&amp;"; "&amp;P3335&amp;AS[[#This Row],[Insurance Category Code]]&amp;"; "&amp;Q3335&amp;AS[[#This Row],[Large Provider Entity Code]]&amp;"; "&amp;R3335&amp;AS[[#This Row],[Age Band Code]]&amp;"; "&amp;S3335&amp;AS[[#This Row],[Sex Code]]</f>
        <v xml:space="preserve">Insurer Code ; Reporting Year ; Insurance Category Code ; Large Provider Entity Code ; Age Band Code ; Sex Code </v>
      </c>
      <c r="N3335" s="345" t="s">
        <v>207</v>
      </c>
      <c r="O3335" s="345" t="s">
        <v>208</v>
      </c>
      <c r="P3335" s="345" t="s">
        <v>209</v>
      </c>
      <c r="Q3335" s="345" t="s">
        <v>210</v>
      </c>
      <c r="R3335" s="345" t="s">
        <v>223</v>
      </c>
      <c r="S3335" s="345" t="s">
        <v>224</v>
      </c>
    </row>
    <row r="3336" spans="1:19" x14ac:dyDescent="0.25">
      <c r="A3336" s="311"/>
      <c r="B3336" s="312"/>
      <c r="C3336" s="312"/>
      <c r="D3336" s="312"/>
      <c r="E3336" s="312"/>
      <c r="F3336" s="312"/>
      <c r="G3336" s="328"/>
      <c r="H3336" s="453"/>
      <c r="I3336" s="334"/>
      <c r="J3336" s="314"/>
      <c r="K3336" s="454"/>
      <c r="M3336" s="349" t="str">
        <f>N3336&amp;AS[[#This Row],[Insurer Code]]&amp;"; "&amp;O3336&amp;AS[[#This Row],[Reporting Year]]&amp;"; "&amp;P3336&amp;AS[[#This Row],[Insurance Category Code]]&amp;"; "&amp;Q3336&amp;AS[[#This Row],[Large Provider Entity Code]]&amp;"; "&amp;R3336&amp;AS[[#This Row],[Age Band Code]]&amp;"; "&amp;S3336&amp;AS[[#This Row],[Sex Code]]</f>
        <v xml:space="preserve">Insurer Code ; Reporting Year ; Insurance Category Code ; Large Provider Entity Code ; Age Band Code ; Sex Code </v>
      </c>
      <c r="N3336" s="345" t="s">
        <v>207</v>
      </c>
      <c r="O3336" s="345" t="s">
        <v>208</v>
      </c>
      <c r="P3336" s="345" t="s">
        <v>209</v>
      </c>
      <c r="Q3336" s="345" t="s">
        <v>210</v>
      </c>
      <c r="R3336" s="345" t="s">
        <v>223</v>
      </c>
      <c r="S3336" s="345" t="s">
        <v>224</v>
      </c>
    </row>
    <row r="3337" spans="1:19" x14ac:dyDescent="0.25">
      <c r="A3337" s="311"/>
      <c r="B3337" s="312"/>
      <c r="C3337" s="312"/>
      <c r="D3337" s="312"/>
      <c r="E3337" s="312"/>
      <c r="F3337" s="312"/>
      <c r="G3337" s="328"/>
      <c r="H3337" s="453"/>
      <c r="I3337" s="334"/>
      <c r="J3337" s="314"/>
      <c r="K3337" s="454"/>
      <c r="M3337" s="349" t="str">
        <f>N3337&amp;AS[[#This Row],[Insurer Code]]&amp;"; "&amp;O3337&amp;AS[[#This Row],[Reporting Year]]&amp;"; "&amp;P3337&amp;AS[[#This Row],[Insurance Category Code]]&amp;"; "&amp;Q3337&amp;AS[[#This Row],[Large Provider Entity Code]]&amp;"; "&amp;R3337&amp;AS[[#This Row],[Age Band Code]]&amp;"; "&amp;S3337&amp;AS[[#This Row],[Sex Code]]</f>
        <v xml:space="preserve">Insurer Code ; Reporting Year ; Insurance Category Code ; Large Provider Entity Code ; Age Band Code ; Sex Code </v>
      </c>
      <c r="N3337" s="345" t="s">
        <v>207</v>
      </c>
      <c r="O3337" s="345" t="s">
        <v>208</v>
      </c>
      <c r="P3337" s="345" t="s">
        <v>209</v>
      </c>
      <c r="Q3337" s="345" t="s">
        <v>210</v>
      </c>
      <c r="R3337" s="345" t="s">
        <v>223</v>
      </c>
      <c r="S3337" s="345" t="s">
        <v>224</v>
      </c>
    </row>
    <row r="3338" spans="1:19" x14ac:dyDescent="0.25">
      <c r="A3338" s="311"/>
      <c r="B3338" s="312"/>
      <c r="C3338" s="312"/>
      <c r="D3338" s="312"/>
      <c r="E3338" s="312"/>
      <c r="F3338" s="312"/>
      <c r="G3338" s="328"/>
      <c r="H3338" s="453"/>
      <c r="I3338" s="334"/>
      <c r="J3338" s="314"/>
      <c r="K3338" s="454"/>
      <c r="M3338" s="349" t="str">
        <f>N3338&amp;AS[[#This Row],[Insurer Code]]&amp;"; "&amp;O3338&amp;AS[[#This Row],[Reporting Year]]&amp;"; "&amp;P3338&amp;AS[[#This Row],[Insurance Category Code]]&amp;"; "&amp;Q3338&amp;AS[[#This Row],[Large Provider Entity Code]]&amp;"; "&amp;R3338&amp;AS[[#This Row],[Age Band Code]]&amp;"; "&amp;S3338&amp;AS[[#This Row],[Sex Code]]</f>
        <v xml:space="preserve">Insurer Code ; Reporting Year ; Insurance Category Code ; Large Provider Entity Code ; Age Band Code ; Sex Code </v>
      </c>
      <c r="N3338" s="345" t="s">
        <v>207</v>
      </c>
      <c r="O3338" s="345" t="s">
        <v>208</v>
      </c>
      <c r="P3338" s="345" t="s">
        <v>209</v>
      </c>
      <c r="Q3338" s="345" t="s">
        <v>210</v>
      </c>
      <c r="R3338" s="345" t="s">
        <v>223</v>
      </c>
      <c r="S3338" s="345" t="s">
        <v>224</v>
      </c>
    </row>
    <row r="3339" spans="1:19" x14ac:dyDescent="0.25">
      <c r="A3339" s="311"/>
      <c r="B3339" s="312"/>
      <c r="C3339" s="312"/>
      <c r="D3339" s="312"/>
      <c r="E3339" s="312"/>
      <c r="F3339" s="312"/>
      <c r="G3339" s="328"/>
      <c r="H3339" s="453"/>
      <c r="I3339" s="334"/>
      <c r="J3339" s="314"/>
      <c r="K3339" s="454"/>
      <c r="M3339" s="349" t="str">
        <f>N3339&amp;AS[[#This Row],[Insurer Code]]&amp;"; "&amp;O3339&amp;AS[[#This Row],[Reporting Year]]&amp;"; "&amp;P3339&amp;AS[[#This Row],[Insurance Category Code]]&amp;"; "&amp;Q3339&amp;AS[[#This Row],[Large Provider Entity Code]]&amp;"; "&amp;R3339&amp;AS[[#This Row],[Age Band Code]]&amp;"; "&amp;S3339&amp;AS[[#This Row],[Sex Code]]</f>
        <v xml:space="preserve">Insurer Code ; Reporting Year ; Insurance Category Code ; Large Provider Entity Code ; Age Band Code ; Sex Code </v>
      </c>
      <c r="N3339" s="345" t="s">
        <v>207</v>
      </c>
      <c r="O3339" s="345" t="s">
        <v>208</v>
      </c>
      <c r="P3339" s="345" t="s">
        <v>209</v>
      </c>
      <c r="Q3339" s="345" t="s">
        <v>210</v>
      </c>
      <c r="R3339" s="345" t="s">
        <v>223</v>
      </c>
      <c r="S3339" s="345" t="s">
        <v>224</v>
      </c>
    </row>
    <row r="3340" spans="1:19" x14ac:dyDescent="0.25">
      <c r="A3340" s="311"/>
      <c r="B3340" s="312"/>
      <c r="C3340" s="312"/>
      <c r="D3340" s="312"/>
      <c r="E3340" s="312"/>
      <c r="F3340" s="312"/>
      <c r="G3340" s="328"/>
      <c r="H3340" s="453"/>
      <c r="I3340" s="334"/>
      <c r="J3340" s="314"/>
      <c r="K3340" s="454"/>
      <c r="M3340" s="349" t="str">
        <f>N3340&amp;AS[[#This Row],[Insurer Code]]&amp;"; "&amp;O3340&amp;AS[[#This Row],[Reporting Year]]&amp;"; "&amp;P3340&amp;AS[[#This Row],[Insurance Category Code]]&amp;"; "&amp;Q3340&amp;AS[[#This Row],[Large Provider Entity Code]]&amp;"; "&amp;R3340&amp;AS[[#This Row],[Age Band Code]]&amp;"; "&amp;S3340&amp;AS[[#This Row],[Sex Code]]</f>
        <v xml:space="preserve">Insurer Code ; Reporting Year ; Insurance Category Code ; Large Provider Entity Code ; Age Band Code ; Sex Code </v>
      </c>
      <c r="N3340" s="345" t="s">
        <v>207</v>
      </c>
      <c r="O3340" s="345" t="s">
        <v>208</v>
      </c>
      <c r="P3340" s="345" t="s">
        <v>209</v>
      </c>
      <c r="Q3340" s="345" t="s">
        <v>210</v>
      </c>
      <c r="R3340" s="345" t="s">
        <v>223</v>
      </c>
      <c r="S3340" s="345" t="s">
        <v>224</v>
      </c>
    </row>
    <row r="3341" spans="1:19" x14ac:dyDescent="0.25">
      <c r="A3341" s="311"/>
      <c r="B3341" s="312"/>
      <c r="C3341" s="312"/>
      <c r="D3341" s="312"/>
      <c r="E3341" s="333"/>
      <c r="F3341" s="333"/>
      <c r="G3341" s="313"/>
      <c r="H3341" s="314"/>
      <c r="I3341" s="334"/>
      <c r="J3341" s="314"/>
      <c r="K3341" s="449"/>
      <c r="M3341" s="349" t="str">
        <f>N3341&amp;AS[[#This Row],[Insurer Code]]&amp;"; "&amp;O3341&amp;AS[[#This Row],[Reporting Year]]&amp;"; "&amp;P3341&amp;AS[[#This Row],[Insurance Category Code]]&amp;"; "&amp;Q3341&amp;AS[[#This Row],[Large Provider Entity Code]]&amp;"; "&amp;R3341&amp;AS[[#This Row],[Age Band Code]]&amp;"; "&amp;S3341&amp;AS[[#This Row],[Sex Code]]</f>
        <v xml:space="preserve">Insurer Code ; Reporting Year ; Insurance Category Code ; Large Provider Entity Code ; Age Band Code ; Sex Code </v>
      </c>
      <c r="N3341" s="345" t="s">
        <v>207</v>
      </c>
      <c r="O3341" s="345" t="s">
        <v>208</v>
      </c>
      <c r="P3341" s="345" t="s">
        <v>209</v>
      </c>
      <c r="Q3341" s="345" t="s">
        <v>210</v>
      </c>
      <c r="R3341" s="345" t="s">
        <v>223</v>
      </c>
      <c r="S3341" s="345" t="s">
        <v>224</v>
      </c>
    </row>
    <row r="3342" spans="1:19" x14ac:dyDescent="0.25">
      <c r="A3342" s="311"/>
      <c r="B3342" s="312"/>
      <c r="C3342" s="312"/>
      <c r="D3342" s="312"/>
      <c r="E3342" s="333"/>
      <c r="F3342" s="333"/>
      <c r="G3342" s="313"/>
      <c r="H3342" s="314"/>
      <c r="I3342" s="334"/>
      <c r="J3342" s="314"/>
      <c r="K3342" s="449"/>
      <c r="M3342" s="349" t="str">
        <f>N3342&amp;AS[[#This Row],[Insurer Code]]&amp;"; "&amp;O3342&amp;AS[[#This Row],[Reporting Year]]&amp;"; "&amp;P3342&amp;AS[[#This Row],[Insurance Category Code]]&amp;"; "&amp;Q3342&amp;AS[[#This Row],[Large Provider Entity Code]]&amp;"; "&amp;R3342&amp;AS[[#This Row],[Age Band Code]]&amp;"; "&amp;S3342&amp;AS[[#This Row],[Sex Code]]</f>
        <v xml:space="preserve">Insurer Code ; Reporting Year ; Insurance Category Code ; Large Provider Entity Code ; Age Band Code ; Sex Code </v>
      </c>
      <c r="N3342" s="345" t="s">
        <v>207</v>
      </c>
      <c r="O3342" s="345" t="s">
        <v>208</v>
      </c>
      <c r="P3342" s="345" t="s">
        <v>209</v>
      </c>
      <c r="Q3342" s="345" t="s">
        <v>210</v>
      </c>
      <c r="R3342" s="345" t="s">
        <v>223</v>
      </c>
      <c r="S3342" s="345" t="s">
        <v>224</v>
      </c>
    </row>
    <row r="3343" spans="1:19" x14ac:dyDescent="0.25">
      <c r="A3343" s="311"/>
      <c r="B3343" s="312"/>
      <c r="C3343" s="312"/>
      <c r="D3343" s="312"/>
      <c r="E3343" s="333"/>
      <c r="F3343" s="333"/>
      <c r="G3343" s="313"/>
      <c r="H3343" s="314"/>
      <c r="I3343" s="334"/>
      <c r="J3343" s="314"/>
      <c r="K3343" s="449"/>
      <c r="M3343" s="349" t="str">
        <f>N3343&amp;AS[[#This Row],[Insurer Code]]&amp;"; "&amp;O3343&amp;AS[[#This Row],[Reporting Year]]&amp;"; "&amp;P3343&amp;AS[[#This Row],[Insurance Category Code]]&amp;"; "&amp;Q3343&amp;AS[[#This Row],[Large Provider Entity Code]]&amp;"; "&amp;R3343&amp;AS[[#This Row],[Age Band Code]]&amp;"; "&amp;S3343&amp;AS[[#This Row],[Sex Code]]</f>
        <v xml:space="preserve">Insurer Code ; Reporting Year ; Insurance Category Code ; Large Provider Entity Code ; Age Band Code ; Sex Code </v>
      </c>
      <c r="N3343" s="345" t="s">
        <v>207</v>
      </c>
      <c r="O3343" s="345" t="s">
        <v>208</v>
      </c>
      <c r="P3343" s="345" t="s">
        <v>209</v>
      </c>
      <c r="Q3343" s="345" t="s">
        <v>210</v>
      </c>
      <c r="R3343" s="345" t="s">
        <v>223</v>
      </c>
      <c r="S3343" s="345" t="s">
        <v>224</v>
      </c>
    </row>
    <row r="3344" spans="1:19" x14ac:dyDescent="0.25">
      <c r="A3344" s="311"/>
      <c r="B3344" s="312"/>
      <c r="C3344" s="312"/>
      <c r="D3344" s="312"/>
      <c r="E3344" s="333"/>
      <c r="F3344" s="333"/>
      <c r="G3344" s="313"/>
      <c r="H3344" s="314"/>
      <c r="I3344" s="334"/>
      <c r="J3344" s="314"/>
      <c r="K3344" s="449"/>
      <c r="M3344" s="349" t="str">
        <f>N3344&amp;AS[[#This Row],[Insurer Code]]&amp;"; "&amp;O3344&amp;AS[[#This Row],[Reporting Year]]&amp;"; "&amp;P3344&amp;AS[[#This Row],[Insurance Category Code]]&amp;"; "&amp;Q3344&amp;AS[[#This Row],[Large Provider Entity Code]]&amp;"; "&amp;R3344&amp;AS[[#This Row],[Age Band Code]]&amp;"; "&amp;S3344&amp;AS[[#This Row],[Sex Code]]</f>
        <v xml:space="preserve">Insurer Code ; Reporting Year ; Insurance Category Code ; Large Provider Entity Code ; Age Band Code ; Sex Code </v>
      </c>
      <c r="N3344" s="345" t="s">
        <v>207</v>
      </c>
      <c r="O3344" s="345" t="s">
        <v>208</v>
      </c>
      <c r="P3344" s="345" t="s">
        <v>209</v>
      </c>
      <c r="Q3344" s="345" t="s">
        <v>210</v>
      </c>
      <c r="R3344" s="345" t="s">
        <v>223</v>
      </c>
      <c r="S3344" s="345" t="s">
        <v>224</v>
      </c>
    </row>
    <row r="3345" spans="1:19" x14ac:dyDescent="0.25">
      <c r="A3345" s="311"/>
      <c r="B3345" s="312"/>
      <c r="C3345" s="312"/>
      <c r="D3345" s="312"/>
      <c r="E3345" s="333"/>
      <c r="F3345" s="333"/>
      <c r="G3345" s="313"/>
      <c r="H3345" s="314"/>
      <c r="I3345" s="334"/>
      <c r="J3345" s="314"/>
      <c r="K3345" s="449"/>
      <c r="M3345" s="349" t="str">
        <f>N3345&amp;AS[[#This Row],[Insurer Code]]&amp;"; "&amp;O3345&amp;AS[[#This Row],[Reporting Year]]&amp;"; "&amp;P3345&amp;AS[[#This Row],[Insurance Category Code]]&amp;"; "&amp;Q3345&amp;AS[[#This Row],[Large Provider Entity Code]]&amp;"; "&amp;R3345&amp;AS[[#This Row],[Age Band Code]]&amp;"; "&amp;S3345&amp;AS[[#This Row],[Sex Code]]</f>
        <v xml:space="preserve">Insurer Code ; Reporting Year ; Insurance Category Code ; Large Provider Entity Code ; Age Band Code ; Sex Code </v>
      </c>
      <c r="N3345" s="345" t="s">
        <v>207</v>
      </c>
      <c r="O3345" s="345" t="s">
        <v>208</v>
      </c>
      <c r="P3345" s="345" t="s">
        <v>209</v>
      </c>
      <c r="Q3345" s="345" t="s">
        <v>210</v>
      </c>
      <c r="R3345" s="345" t="s">
        <v>223</v>
      </c>
      <c r="S3345" s="345" t="s">
        <v>224</v>
      </c>
    </row>
    <row r="3346" spans="1:19" x14ac:dyDescent="0.25">
      <c r="A3346" s="311"/>
      <c r="B3346" s="312"/>
      <c r="C3346" s="312"/>
      <c r="D3346" s="312"/>
      <c r="E3346" s="333"/>
      <c r="F3346" s="333"/>
      <c r="G3346" s="313"/>
      <c r="H3346" s="314"/>
      <c r="I3346" s="334"/>
      <c r="J3346" s="314"/>
      <c r="K3346" s="449"/>
      <c r="M3346" s="349" t="str">
        <f>N3346&amp;AS[[#This Row],[Insurer Code]]&amp;"; "&amp;O3346&amp;AS[[#This Row],[Reporting Year]]&amp;"; "&amp;P3346&amp;AS[[#This Row],[Insurance Category Code]]&amp;"; "&amp;Q3346&amp;AS[[#This Row],[Large Provider Entity Code]]&amp;"; "&amp;R3346&amp;AS[[#This Row],[Age Band Code]]&amp;"; "&amp;S3346&amp;AS[[#This Row],[Sex Code]]</f>
        <v xml:space="preserve">Insurer Code ; Reporting Year ; Insurance Category Code ; Large Provider Entity Code ; Age Band Code ; Sex Code </v>
      </c>
      <c r="N3346" s="345" t="s">
        <v>207</v>
      </c>
      <c r="O3346" s="345" t="s">
        <v>208</v>
      </c>
      <c r="P3346" s="345" t="s">
        <v>209</v>
      </c>
      <c r="Q3346" s="345" t="s">
        <v>210</v>
      </c>
      <c r="R3346" s="345" t="s">
        <v>223</v>
      </c>
      <c r="S3346" s="345" t="s">
        <v>224</v>
      </c>
    </row>
    <row r="3347" spans="1:19" x14ac:dyDescent="0.25">
      <c r="A3347" s="311"/>
      <c r="B3347" s="312"/>
      <c r="C3347" s="312"/>
      <c r="D3347" s="312"/>
      <c r="E3347" s="333"/>
      <c r="F3347" s="333"/>
      <c r="G3347" s="313"/>
      <c r="H3347" s="314"/>
      <c r="I3347" s="334"/>
      <c r="J3347" s="314"/>
      <c r="K3347" s="449"/>
      <c r="M3347" s="349" t="str">
        <f>N3347&amp;AS[[#This Row],[Insurer Code]]&amp;"; "&amp;O3347&amp;AS[[#This Row],[Reporting Year]]&amp;"; "&amp;P3347&amp;AS[[#This Row],[Insurance Category Code]]&amp;"; "&amp;Q3347&amp;AS[[#This Row],[Large Provider Entity Code]]&amp;"; "&amp;R3347&amp;AS[[#This Row],[Age Band Code]]&amp;"; "&amp;S3347&amp;AS[[#This Row],[Sex Code]]</f>
        <v xml:space="preserve">Insurer Code ; Reporting Year ; Insurance Category Code ; Large Provider Entity Code ; Age Band Code ; Sex Code </v>
      </c>
      <c r="N3347" s="345" t="s">
        <v>207</v>
      </c>
      <c r="O3347" s="345" t="s">
        <v>208</v>
      </c>
      <c r="P3347" s="345" t="s">
        <v>209</v>
      </c>
      <c r="Q3347" s="345" t="s">
        <v>210</v>
      </c>
      <c r="R3347" s="345" t="s">
        <v>223</v>
      </c>
      <c r="S3347" s="345" t="s">
        <v>224</v>
      </c>
    </row>
    <row r="3348" spans="1:19" x14ac:dyDescent="0.25">
      <c r="A3348" s="311"/>
      <c r="B3348" s="312"/>
      <c r="C3348" s="312"/>
      <c r="D3348" s="312"/>
      <c r="E3348" s="333"/>
      <c r="F3348" s="333"/>
      <c r="G3348" s="313"/>
      <c r="H3348" s="314"/>
      <c r="I3348" s="334"/>
      <c r="J3348" s="314"/>
      <c r="K3348" s="449"/>
      <c r="M3348" s="349" t="str">
        <f>N3348&amp;AS[[#This Row],[Insurer Code]]&amp;"; "&amp;O3348&amp;AS[[#This Row],[Reporting Year]]&amp;"; "&amp;P3348&amp;AS[[#This Row],[Insurance Category Code]]&amp;"; "&amp;Q3348&amp;AS[[#This Row],[Large Provider Entity Code]]&amp;"; "&amp;R3348&amp;AS[[#This Row],[Age Band Code]]&amp;"; "&amp;S3348&amp;AS[[#This Row],[Sex Code]]</f>
        <v xml:space="preserve">Insurer Code ; Reporting Year ; Insurance Category Code ; Large Provider Entity Code ; Age Band Code ; Sex Code </v>
      </c>
      <c r="N3348" s="345" t="s">
        <v>207</v>
      </c>
      <c r="O3348" s="345" t="s">
        <v>208</v>
      </c>
      <c r="P3348" s="345" t="s">
        <v>209</v>
      </c>
      <c r="Q3348" s="345" t="s">
        <v>210</v>
      </c>
      <c r="R3348" s="345" t="s">
        <v>223</v>
      </c>
      <c r="S3348" s="345" t="s">
        <v>224</v>
      </c>
    </row>
    <row r="3349" spans="1:19" x14ac:dyDescent="0.25">
      <c r="A3349" s="311"/>
      <c r="B3349" s="312"/>
      <c r="C3349" s="312"/>
      <c r="D3349" s="312"/>
      <c r="E3349" s="333"/>
      <c r="F3349" s="333"/>
      <c r="G3349" s="313"/>
      <c r="H3349" s="314"/>
      <c r="I3349" s="334"/>
      <c r="J3349" s="314"/>
      <c r="K3349" s="449"/>
      <c r="M3349" s="349" t="str">
        <f>N3349&amp;AS[[#This Row],[Insurer Code]]&amp;"; "&amp;O3349&amp;AS[[#This Row],[Reporting Year]]&amp;"; "&amp;P3349&amp;AS[[#This Row],[Insurance Category Code]]&amp;"; "&amp;Q3349&amp;AS[[#This Row],[Large Provider Entity Code]]&amp;"; "&amp;R3349&amp;AS[[#This Row],[Age Band Code]]&amp;"; "&amp;S3349&amp;AS[[#This Row],[Sex Code]]</f>
        <v xml:space="preserve">Insurer Code ; Reporting Year ; Insurance Category Code ; Large Provider Entity Code ; Age Band Code ; Sex Code </v>
      </c>
      <c r="N3349" s="345" t="s">
        <v>207</v>
      </c>
      <c r="O3349" s="345" t="s">
        <v>208</v>
      </c>
      <c r="P3349" s="345" t="s">
        <v>209</v>
      </c>
      <c r="Q3349" s="345" t="s">
        <v>210</v>
      </c>
      <c r="R3349" s="345" t="s">
        <v>223</v>
      </c>
      <c r="S3349" s="345" t="s">
        <v>224</v>
      </c>
    </row>
    <row r="3350" spans="1:19" x14ac:dyDescent="0.25">
      <c r="A3350" s="311"/>
      <c r="B3350" s="312"/>
      <c r="C3350" s="312"/>
      <c r="D3350" s="312"/>
      <c r="E3350" s="333"/>
      <c r="F3350" s="333"/>
      <c r="G3350" s="313"/>
      <c r="H3350" s="314"/>
      <c r="I3350" s="334"/>
      <c r="J3350" s="314"/>
      <c r="K3350" s="449"/>
      <c r="M3350" s="349" t="str">
        <f>N3350&amp;AS[[#This Row],[Insurer Code]]&amp;"; "&amp;O3350&amp;AS[[#This Row],[Reporting Year]]&amp;"; "&amp;P3350&amp;AS[[#This Row],[Insurance Category Code]]&amp;"; "&amp;Q3350&amp;AS[[#This Row],[Large Provider Entity Code]]&amp;"; "&amp;R3350&amp;AS[[#This Row],[Age Band Code]]&amp;"; "&amp;S3350&amp;AS[[#This Row],[Sex Code]]</f>
        <v xml:space="preserve">Insurer Code ; Reporting Year ; Insurance Category Code ; Large Provider Entity Code ; Age Band Code ; Sex Code </v>
      </c>
      <c r="N3350" s="345" t="s">
        <v>207</v>
      </c>
      <c r="O3350" s="345" t="s">
        <v>208</v>
      </c>
      <c r="P3350" s="345" t="s">
        <v>209</v>
      </c>
      <c r="Q3350" s="345" t="s">
        <v>210</v>
      </c>
      <c r="R3350" s="345" t="s">
        <v>223</v>
      </c>
      <c r="S3350" s="345" t="s">
        <v>224</v>
      </c>
    </row>
    <row r="3351" spans="1:19" x14ac:dyDescent="0.25">
      <c r="A3351" s="311"/>
      <c r="B3351" s="312"/>
      <c r="C3351" s="312"/>
      <c r="D3351" s="312"/>
      <c r="E3351" s="312"/>
      <c r="F3351" s="312"/>
      <c r="G3351" s="328"/>
      <c r="H3351" s="337"/>
      <c r="I3351" s="334"/>
      <c r="J3351" s="314"/>
      <c r="K3351" s="449"/>
      <c r="M3351" s="349" t="str">
        <f>N3351&amp;AS[[#This Row],[Insurer Code]]&amp;"; "&amp;O3351&amp;AS[[#This Row],[Reporting Year]]&amp;"; "&amp;P3351&amp;AS[[#This Row],[Insurance Category Code]]&amp;"; "&amp;Q3351&amp;AS[[#This Row],[Large Provider Entity Code]]&amp;"; "&amp;R3351&amp;AS[[#This Row],[Age Band Code]]&amp;"; "&amp;S3351&amp;AS[[#This Row],[Sex Code]]</f>
        <v xml:space="preserve">Insurer Code ; Reporting Year ; Insurance Category Code ; Large Provider Entity Code ; Age Band Code ; Sex Code </v>
      </c>
      <c r="N3351" s="345" t="s">
        <v>207</v>
      </c>
      <c r="O3351" s="345" t="s">
        <v>208</v>
      </c>
      <c r="P3351" s="345" t="s">
        <v>209</v>
      </c>
      <c r="Q3351" s="345" t="s">
        <v>210</v>
      </c>
      <c r="R3351" s="345" t="s">
        <v>223</v>
      </c>
      <c r="S3351" s="345" t="s">
        <v>224</v>
      </c>
    </row>
    <row r="3352" spans="1:19" x14ac:dyDescent="0.25">
      <c r="A3352" s="311"/>
      <c r="B3352" s="312"/>
      <c r="C3352" s="312"/>
      <c r="D3352" s="312"/>
      <c r="E3352" s="312"/>
      <c r="F3352" s="312"/>
      <c r="G3352" s="328"/>
      <c r="H3352" s="337"/>
      <c r="I3352" s="334"/>
      <c r="J3352" s="314"/>
      <c r="K3352" s="449"/>
      <c r="M3352" s="349" t="str">
        <f>N3352&amp;AS[[#This Row],[Insurer Code]]&amp;"; "&amp;O3352&amp;AS[[#This Row],[Reporting Year]]&amp;"; "&amp;P3352&amp;AS[[#This Row],[Insurance Category Code]]&amp;"; "&amp;Q3352&amp;AS[[#This Row],[Large Provider Entity Code]]&amp;"; "&amp;R3352&amp;AS[[#This Row],[Age Band Code]]&amp;"; "&amp;S3352&amp;AS[[#This Row],[Sex Code]]</f>
        <v xml:space="preserve">Insurer Code ; Reporting Year ; Insurance Category Code ; Large Provider Entity Code ; Age Band Code ; Sex Code </v>
      </c>
      <c r="N3352" s="345" t="s">
        <v>207</v>
      </c>
      <c r="O3352" s="345" t="s">
        <v>208</v>
      </c>
      <c r="P3352" s="345" t="s">
        <v>209</v>
      </c>
      <c r="Q3352" s="345" t="s">
        <v>210</v>
      </c>
      <c r="R3352" s="345" t="s">
        <v>223</v>
      </c>
      <c r="S3352" s="345" t="s">
        <v>224</v>
      </c>
    </row>
    <row r="3353" spans="1:19" x14ac:dyDescent="0.25">
      <c r="A3353" s="311"/>
      <c r="B3353" s="312"/>
      <c r="C3353" s="312"/>
      <c r="D3353" s="312"/>
      <c r="E3353" s="312"/>
      <c r="F3353" s="312"/>
      <c r="G3353" s="328"/>
      <c r="H3353" s="337"/>
      <c r="I3353" s="334"/>
      <c r="J3353" s="314"/>
      <c r="K3353" s="449"/>
      <c r="M3353" s="349" t="str">
        <f>N3353&amp;AS[[#This Row],[Insurer Code]]&amp;"; "&amp;O3353&amp;AS[[#This Row],[Reporting Year]]&amp;"; "&amp;P3353&amp;AS[[#This Row],[Insurance Category Code]]&amp;"; "&amp;Q3353&amp;AS[[#This Row],[Large Provider Entity Code]]&amp;"; "&amp;R3353&amp;AS[[#This Row],[Age Band Code]]&amp;"; "&amp;S3353&amp;AS[[#This Row],[Sex Code]]</f>
        <v xml:space="preserve">Insurer Code ; Reporting Year ; Insurance Category Code ; Large Provider Entity Code ; Age Band Code ; Sex Code </v>
      </c>
      <c r="N3353" s="345" t="s">
        <v>207</v>
      </c>
      <c r="O3353" s="345" t="s">
        <v>208</v>
      </c>
      <c r="P3353" s="345" t="s">
        <v>209</v>
      </c>
      <c r="Q3353" s="345" t="s">
        <v>210</v>
      </c>
      <c r="R3353" s="345" t="s">
        <v>223</v>
      </c>
      <c r="S3353" s="345" t="s">
        <v>224</v>
      </c>
    </row>
    <row r="3354" spans="1:19" x14ac:dyDescent="0.25">
      <c r="A3354" s="311"/>
      <c r="B3354" s="312"/>
      <c r="C3354" s="312"/>
      <c r="D3354" s="312"/>
      <c r="E3354" s="312"/>
      <c r="F3354" s="312"/>
      <c r="G3354" s="328"/>
      <c r="H3354" s="337"/>
      <c r="I3354" s="334"/>
      <c r="J3354" s="314"/>
      <c r="K3354" s="449"/>
      <c r="M3354" s="349" t="str">
        <f>N3354&amp;AS[[#This Row],[Insurer Code]]&amp;"; "&amp;O3354&amp;AS[[#This Row],[Reporting Year]]&amp;"; "&amp;P3354&amp;AS[[#This Row],[Insurance Category Code]]&amp;"; "&amp;Q3354&amp;AS[[#This Row],[Large Provider Entity Code]]&amp;"; "&amp;R3354&amp;AS[[#This Row],[Age Band Code]]&amp;"; "&amp;S3354&amp;AS[[#This Row],[Sex Code]]</f>
        <v xml:space="preserve">Insurer Code ; Reporting Year ; Insurance Category Code ; Large Provider Entity Code ; Age Band Code ; Sex Code </v>
      </c>
      <c r="N3354" s="345" t="s">
        <v>207</v>
      </c>
      <c r="O3354" s="345" t="s">
        <v>208</v>
      </c>
      <c r="P3354" s="345" t="s">
        <v>209</v>
      </c>
      <c r="Q3354" s="345" t="s">
        <v>210</v>
      </c>
      <c r="R3354" s="345" t="s">
        <v>223</v>
      </c>
      <c r="S3354" s="345" t="s">
        <v>224</v>
      </c>
    </row>
    <row r="3355" spans="1:19" x14ac:dyDescent="0.25">
      <c r="A3355" s="311"/>
      <c r="B3355" s="312"/>
      <c r="C3355" s="312"/>
      <c r="D3355" s="312"/>
      <c r="E3355" s="312"/>
      <c r="F3355" s="312"/>
      <c r="G3355" s="328"/>
      <c r="H3355" s="337"/>
      <c r="I3355" s="334"/>
      <c r="J3355" s="314"/>
      <c r="K3355" s="449"/>
      <c r="M3355" s="349" t="str">
        <f>N3355&amp;AS[[#This Row],[Insurer Code]]&amp;"; "&amp;O3355&amp;AS[[#This Row],[Reporting Year]]&amp;"; "&amp;P3355&amp;AS[[#This Row],[Insurance Category Code]]&amp;"; "&amp;Q3355&amp;AS[[#This Row],[Large Provider Entity Code]]&amp;"; "&amp;R3355&amp;AS[[#This Row],[Age Band Code]]&amp;"; "&amp;S3355&amp;AS[[#This Row],[Sex Code]]</f>
        <v xml:space="preserve">Insurer Code ; Reporting Year ; Insurance Category Code ; Large Provider Entity Code ; Age Band Code ; Sex Code </v>
      </c>
      <c r="N3355" s="345" t="s">
        <v>207</v>
      </c>
      <c r="O3355" s="345" t="s">
        <v>208</v>
      </c>
      <c r="P3355" s="345" t="s">
        <v>209</v>
      </c>
      <c r="Q3355" s="345" t="s">
        <v>210</v>
      </c>
      <c r="R3355" s="345" t="s">
        <v>223</v>
      </c>
      <c r="S3355" s="345" t="s">
        <v>224</v>
      </c>
    </row>
    <row r="3356" spans="1:19" x14ac:dyDescent="0.25">
      <c r="A3356" s="311"/>
      <c r="B3356" s="312"/>
      <c r="C3356" s="312"/>
      <c r="D3356" s="312"/>
      <c r="E3356" s="312"/>
      <c r="F3356" s="312"/>
      <c r="G3356" s="328"/>
      <c r="H3356" s="337"/>
      <c r="I3356" s="334"/>
      <c r="J3356" s="314"/>
      <c r="K3356" s="449"/>
      <c r="M3356" s="349" t="str">
        <f>N3356&amp;AS[[#This Row],[Insurer Code]]&amp;"; "&amp;O3356&amp;AS[[#This Row],[Reporting Year]]&amp;"; "&amp;P3356&amp;AS[[#This Row],[Insurance Category Code]]&amp;"; "&amp;Q3356&amp;AS[[#This Row],[Large Provider Entity Code]]&amp;"; "&amp;R3356&amp;AS[[#This Row],[Age Band Code]]&amp;"; "&amp;S3356&amp;AS[[#This Row],[Sex Code]]</f>
        <v xml:space="preserve">Insurer Code ; Reporting Year ; Insurance Category Code ; Large Provider Entity Code ; Age Band Code ; Sex Code </v>
      </c>
      <c r="N3356" s="345" t="s">
        <v>207</v>
      </c>
      <c r="O3356" s="345" t="s">
        <v>208</v>
      </c>
      <c r="P3356" s="345" t="s">
        <v>209</v>
      </c>
      <c r="Q3356" s="345" t="s">
        <v>210</v>
      </c>
      <c r="R3356" s="345" t="s">
        <v>223</v>
      </c>
      <c r="S3356" s="345" t="s">
        <v>224</v>
      </c>
    </row>
    <row r="3357" spans="1:19" x14ac:dyDescent="0.25">
      <c r="A3357" s="311"/>
      <c r="B3357" s="312"/>
      <c r="C3357" s="312"/>
      <c r="D3357" s="312"/>
      <c r="E3357" s="312"/>
      <c r="F3357" s="312"/>
      <c r="G3357" s="328"/>
      <c r="H3357" s="337"/>
      <c r="I3357" s="334"/>
      <c r="J3357" s="314"/>
      <c r="K3357" s="449"/>
      <c r="M3357" s="349" t="str">
        <f>N3357&amp;AS[[#This Row],[Insurer Code]]&amp;"; "&amp;O3357&amp;AS[[#This Row],[Reporting Year]]&amp;"; "&amp;P3357&amp;AS[[#This Row],[Insurance Category Code]]&amp;"; "&amp;Q3357&amp;AS[[#This Row],[Large Provider Entity Code]]&amp;"; "&amp;R3357&amp;AS[[#This Row],[Age Band Code]]&amp;"; "&amp;S3357&amp;AS[[#This Row],[Sex Code]]</f>
        <v xml:space="preserve">Insurer Code ; Reporting Year ; Insurance Category Code ; Large Provider Entity Code ; Age Band Code ; Sex Code </v>
      </c>
      <c r="N3357" s="345" t="s">
        <v>207</v>
      </c>
      <c r="O3357" s="345" t="s">
        <v>208</v>
      </c>
      <c r="P3357" s="345" t="s">
        <v>209</v>
      </c>
      <c r="Q3357" s="345" t="s">
        <v>210</v>
      </c>
      <c r="R3357" s="345" t="s">
        <v>223</v>
      </c>
      <c r="S3357" s="345" t="s">
        <v>224</v>
      </c>
    </row>
    <row r="3358" spans="1:19" x14ac:dyDescent="0.25">
      <c r="A3358" s="311"/>
      <c r="B3358" s="312"/>
      <c r="C3358" s="312"/>
      <c r="D3358" s="312"/>
      <c r="E3358" s="312"/>
      <c r="F3358" s="312"/>
      <c r="G3358" s="328"/>
      <c r="H3358" s="337"/>
      <c r="I3358" s="334"/>
      <c r="J3358" s="314"/>
      <c r="K3358" s="449"/>
      <c r="M3358" s="349" t="str">
        <f>N3358&amp;AS[[#This Row],[Insurer Code]]&amp;"; "&amp;O3358&amp;AS[[#This Row],[Reporting Year]]&amp;"; "&amp;P3358&amp;AS[[#This Row],[Insurance Category Code]]&amp;"; "&amp;Q3358&amp;AS[[#This Row],[Large Provider Entity Code]]&amp;"; "&amp;R3358&amp;AS[[#This Row],[Age Band Code]]&amp;"; "&amp;S3358&amp;AS[[#This Row],[Sex Code]]</f>
        <v xml:space="preserve">Insurer Code ; Reporting Year ; Insurance Category Code ; Large Provider Entity Code ; Age Band Code ; Sex Code </v>
      </c>
      <c r="N3358" s="345" t="s">
        <v>207</v>
      </c>
      <c r="O3358" s="345" t="s">
        <v>208</v>
      </c>
      <c r="P3358" s="345" t="s">
        <v>209</v>
      </c>
      <c r="Q3358" s="345" t="s">
        <v>210</v>
      </c>
      <c r="R3358" s="345" t="s">
        <v>223</v>
      </c>
      <c r="S3358" s="345" t="s">
        <v>224</v>
      </c>
    </row>
    <row r="3359" spans="1:19" x14ac:dyDescent="0.25">
      <c r="A3359" s="311"/>
      <c r="B3359" s="312"/>
      <c r="C3359" s="312"/>
      <c r="D3359" s="312"/>
      <c r="E3359" s="312"/>
      <c r="F3359" s="312"/>
      <c r="G3359" s="328"/>
      <c r="H3359" s="337"/>
      <c r="I3359" s="334"/>
      <c r="J3359" s="314"/>
      <c r="K3359" s="449"/>
      <c r="M3359" s="349" t="str">
        <f>N3359&amp;AS[[#This Row],[Insurer Code]]&amp;"; "&amp;O3359&amp;AS[[#This Row],[Reporting Year]]&amp;"; "&amp;P3359&amp;AS[[#This Row],[Insurance Category Code]]&amp;"; "&amp;Q3359&amp;AS[[#This Row],[Large Provider Entity Code]]&amp;"; "&amp;R3359&amp;AS[[#This Row],[Age Band Code]]&amp;"; "&amp;S3359&amp;AS[[#This Row],[Sex Code]]</f>
        <v xml:space="preserve">Insurer Code ; Reporting Year ; Insurance Category Code ; Large Provider Entity Code ; Age Band Code ; Sex Code </v>
      </c>
      <c r="N3359" s="345" t="s">
        <v>207</v>
      </c>
      <c r="O3359" s="345" t="s">
        <v>208</v>
      </c>
      <c r="P3359" s="345" t="s">
        <v>209</v>
      </c>
      <c r="Q3359" s="345" t="s">
        <v>210</v>
      </c>
      <c r="R3359" s="345" t="s">
        <v>223</v>
      </c>
      <c r="S3359" s="345" t="s">
        <v>224</v>
      </c>
    </row>
    <row r="3360" spans="1:19" x14ac:dyDescent="0.25">
      <c r="A3360" s="311"/>
      <c r="B3360" s="312"/>
      <c r="C3360" s="312"/>
      <c r="D3360" s="312"/>
      <c r="E3360" s="312"/>
      <c r="F3360" s="312"/>
      <c r="G3360" s="328"/>
      <c r="H3360" s="337"/>
      <c r="I3360" s="334"/>
      <c r="J3360" s="314"/>
      <c r="K3360" s="449"/>
      <c r="M3360" s="349" t="str">
        <f>N3360&amp;AS[[#This Row],[Insurer Code]]&amp;"; "&amp;O3360&amp;AS[[#This Row],[Reporting Year]]&amp;"; "&amp;P3360&amp;AS[[#This Row],[Insurance Category Code]]&amp;"; "&amp;Q3360&amp;AS[[#This Row],[Large Provider Entity Code]]&amp;"; "&amp;R3360&amp;AS[[#This Row],[Age Band Code]]&amp;"; "&amp;S3360&amp;AS[[#This Row],[Sex Code]]</f>
        <v xml:space="preserve">Insurer Code ; Reporting Year ; Insurance Category Code ; Large Provider Entity Code ; Age Band Code ; Sex Code </v>
      </c>
      <c r="N3360" s="345" t="s">
        <v>207</v>
      </c>
      <c r="O3360" s="345" t="s">
        <v>208</v>
      </c>
      <c r="P3360" s="345" t="s">
        <v>209</v>
      </c>
      <c r="Q3360" s="345" t="s">
        <v>210</v>
      </c>
      <c r="R3360" s="345" t="s">
        <v>223</v>
      </c>
      <c r="S3360" s="345" t="s">
        <v>224</v>
      </c>
    </row>
    <row r="3361" spans="1:19" x14ac:dyDescent="0.25">
      <c r="A3361" s="311"/>
      <c r="B3361" s="312"/>
      <c r="C3361" s="312"/>
      <c r="D3361" s="312"/>
      <c r="E3361" s="312"/>
      <c r="F3361" s="312"/>
      <c r="G3361" s="328"/>
      <c r="H3361" s="337"/>
      <c r="I3361" s="334"/>
      <c r="J3361" s="314"/>
      <c r="K3361" s="449"/>
      <c r="M3361" s="349" t="str">
        <f>N3361&amp;AS[[#This Row],[Insurer Code]]&amp;"; "&amp;O3361&amp;AS[[#This Row],[Reporting Year]]&amp;"; "&amp;P3361&amp;AS[[#This Row],[Insurance Category Code]]&amp;"; "&amp;Q3361&amp;AS[[#This Row],[Large Provider Entity Code]]&amp;"; "&amp;R3361&amp;AS[[#This Row],[Age Band Code]]&amp;"; "&amp;S3361&amp;AS[[#This Row],[Sex Code]]</f>
        <v xml:space="preserve">Insurer Code ; Reporting Year ; Insurance Category Code ; Large Provider Entity Code ; Age Band Code ; Sex Code </v>
      </c>
      <c r="N3361" s="345" t="s">
        <v>207</v>
      </c>
      <c r="O3361" s="345" t="s">
        <v>208</v>
      </c>
      <c r="P3361" s="345" t="s">
        <v>209</v>
      </c>
      <c r="Q3361" s="345" t="s">
        <v>210</v>
      </c>
      <c r="R3361" s="345" t="s">
        <v>223</v>
      </c>
      <c r="S3361" s="345" t="s">
        <v>224</v>
      </c>
    </row>
    <row r="3362" spans="1:19" x14ac:dyDescent="0.25">
      <c r="A3362" s="311"/>
      <c r="B3362" s="312"/>
      <c r="C3362" s="312"/>
      <c r="D3362" s="312"/>
      <c r="E3362" s="312"/>
      <c r="F3362" s="312"/>
      <c r="G3362" s="328"/>
      <c r="H3362" s="337"/>
      <c r="I3362" s="334"/>
      <c r="J3362" s="314"/>
      <c r="K3362" s="449"/>
      <c r="M3362" s="349" t="str">
        <f>N3362&amp;AS[[#This Row],[Insurer Code]]&amp;"; "&amp;O3362&amp;AS[[#This Row],[Reporting Year]]&amp;"; "&amp;P3362&amp;AS[[#This Row],[Insurance Category Code]]&amp;"; "&amp;Q3362&amp;AS[[#This Row],[Large Provider Entity Code]]&amp;"; "&amp;R3362&amp;AS[[#This Row],[Age Band Code]]&amp;"; "&amp;S3362&amp;AS[[#This Row],[Sex Code]]</f>
        <v xml:space="preserve">Insurer Code ; Reporting Year ; Insurance Category Code ; Large Provider Entity Code ; Age Band Code ; Sex Code </v>
      </c>
      <c r="N3362" s="345" t="s">
        <v>207</v>
      </c>
      <c r="O3362" s="345" t="s">
        <v>208</v>
      </c>
      <c r="P3362" s="345" t="s">
        <v>209</v>
      </c>
      <c r="Q3362" s="345" t="s">
        <v>210</v>
      </c>
      <c r="R3362" s="345" t="s">
        <v>223</v>
      </c>
      <c r="S3362" s="345" t="s">
        <v>224</v>
      </c>
    </row>
    <row r="3363" spans="1:19" x14ac:dyDescent="0.25">
      <c r="A3363" s="311"/>
      <c r="B3363" s="312"/>
      <c r="C3363" s="312"/>
      <c r="D3363" s="312"/>
      <c r="E3363" s="312"/>
      <c r="F3363" s="312"/>
      <c r="G3363" s="328"/>
      <c r="H3363" s="337"/>
      <c r="I3363" s="334"/>
      <c r="J3363" s="314"/>
      <c r="K3363" s="449"/>
      <c r="M3363" s="349" t="str">
        <f>N3363&amp;AS[[#This Row],[Insurer Code]]&amp;"; "&amp;O3363&amp;AS[[#This Row],[Reporting Year]]&amp;"; "&amp;P3363&amp;AS[[#This Row],[Insurance Category Code]]&amp;"; "&amp;Q3363&amp;AS[[#This Row],[Large Provider Entity Code]]&amp;"; "&amp;R3363&amp;AS[[#This Row],[Age Band Code]]&amp;"; "&amp;S3363&amp;AS[[#This Row],[Sex Code]]</f>
        <v xml:space="preserve">Insurer Code ; Reporting Year ; Insurance Category Code ; Large Provider Entity Code ; Age Band Code ; Sex Code </v>
      </c>
      <c r="N3363" s="345" t="s">
        <v>207</v>
      </c>
      <c r="O3363" s="345" t="s">
        <v>208</v>
      </c>
      <c r="P3363" s="345" t="s">
        <v>209</v>
      </c>
      <c r="Q3363" s="345" t="s">
        <v>210</v>
      </c>
      <c r="R3363" s="345" t="s">
        <v>223</v>
      </c>
      <c r="S3363" s="345" t="s">
        <v>224</v>
      </c>
    </row>
    <row r="3364" spans="1:19" x14ac:dyDescent="0.25">
      <c r="A3364" s="311"/>
      <c r="B3364" s="312"/>
      <c r="C3364" s="312"/>
      <c r="D3364" s="312"/>
      <c r="E3364" s="312"/>
      <c r="F3364" s="312"/>
      <c r="G3364" s="328"/>
      <c r="H3364" s="337"/>
      <c r="I3364" s="334"/>
      <c r="J3364" s="314"/>
      <c r="K3364" s="449"/>
      <c r="M3364" s="349" t="str">
        <f>N3364&amp;AS[[#This Row],[Insurer Code]]&amp;"; "&amp;O3364&amp;AS[[#This Row],[Reporting Year]]&amp;"; "&amp;P3364&amp;AS[[#This Row],[Insurance Category Code]]&amp;"; "&amp;Q3364&amp;AS[[#This Row],[Large Provider Entity Code]]&amp;"; "&amp;R3364&amp;AS[[#This Row],[Age Band Code]]&amp;"; "&amp;S3364&amp;AS[[#This Row],[Sex Code]]</f>
        <v xml:space="preserve">Insurer Code ; Reporting Year ; Insurance Category Code ; Large Provider Entity Code ; Age Band Code ; Sex Code </v>
      </c>
      <c r="N3364" s="345" t="s">
        <v>207</v>
      </c>
      <c r="O3364" s="345" t="s">
        <v>208</v>
      </c>
      <c r="P3364" s="345" t="s">
        <v>209</v>
      </c>
      <c r="Q3364" s="345" t="s">
        <v>210</v>
      </c>
      <c r="R3364" s="345" t="s">
        <v>223</v>
      </c>
      <c r="S3364" s="345" t="s">
        <v>224</v>
      </c>
    </row>
    <row r="3365" spans="1:19" x14ac:dyDescent="0.25">
      <c r="A3365" s="311"/>
      <c r="B3365" s="312"/>
      <c r="C3365" s="312"/>
      <c r="D3365" s="312"/>
      <c r="E3365" s="312"/>
      <c r="F3365" s="312"/>
      <c r="G3365" s="328"/>
      <c r="H3365" s="337"/>
      <c r="I3365" s="334"/>
      <c r="J3365" s="314"/>
      <c r="K3365" s="449"/>
      <c r="M3365" s="349" t="str">
        <f>N3365&amp;AS[[#This Row],[Insurer Code]]&amp;"; "&amp;O3365&amp;AS[[#This Row],[Reporting Year]]&amp;"; "&amp;P3365&amp;AS[[#This Row],[Insurance Category Code]]&amp;"; "&amp;Q3365&amp;AS[[#This Row],[Large Provider Entity Code]]&amp;"; "&amp;R3365&amp;AS[[#This Row],[Age Band Code]]&amp;"; "&amp;S3365&amp;AS[[#This Row],[Sex Code]]</f>
        <v xml:space="preserve">Insurer Code ; Reporting Year ; Insurance Category Code ; Large Provider Entity Code ; Age Band Code ; Sex Code </v>
      </c>
      <c r="N3365" s="345" t="s">
        <v>207</v>
      </c>
      <c r="O3365" s="345" t="s">
        <v>208</v>
      </c>
      <c r="P3365" s="345" t="s">
        <v>209</v>
      </c>
      <c r="Q3365" s="345" t="s">
        <v>210</v>
      </c>
      <c r="R3365" s="345" t="s">
        <v>223</v>
      </c>
      <c r="S3365" s="345" t="s">
        <v>224</v>
      </c>
    </row>
    <row r="3366" spans="1:19" x14ac:dyDescent="0.25">
      <c r="A3366" s="311"/>
      <c r="B3366" s="312"/>
      <c r="C3366" s="312"/>
      <c r="D3366" s="312"/>
      <c r="E3366" s="312"/>
      <c r="F3366" s="312"/>
      <c r="G3366" s="328"/>
      <c r="H3366" s="337"/>
      <c r="I3366" s="334"/>
      <c r="J3366" s="314"/>
      <c r="K3366" s="449"/>
      <c r="M3366" s="349" t="str">
        <f>N3366&amp;AS[[#This Row],[Insurer Code]]&amp;"; "&amp;O3366&amp;AS[[#This Row],[Reporting Year]]&amp;"; "&amp;P3366&amp;AS[[#This Row],[Insurance Category Code]]&amp;"; "&amp;Q3366&amp;AS[[#This Row],[Large Provider Entity Code]]&amp;"; "&amp;R3366&amp;AS[[#This Row],[Age Band Code]]&amp;"; "&amp;S3366&amp;AS[[#This Row],[Sex Code]]</f>
        <v xml:space="preserve">Insurer Code ; Reporting Year ; Insurance Category Code ; Large Provider Entity Code ; Age Band Code ; Sex Code </v>
      </c>
      <c r="N3366" s="345" t="s">
        <v>207</v>
      </c>
      <c r="O3366" s="345" t="s">
        <v>208</v>
      </c>
      <c r="P3366" s="345" t="s">
        <v>209</v>
      </c>
      <c r="Q3366" s="345" t="s">
        <v>210</v>
      </c>
      <c r="R3366" s="345" t="s">
        <v>223</v>
      </c>
      <c r="S3366" s="345" t="s">
        <v>224</v>
      </c>
    </row>
    <row r="3367" spans="1:19" x14ac:dyDescent="0.25">
      <c r="A3367" s="311"/>
      <c r="B3367" s="312"/>
      <c r="C3367" s="312"/>
      <c r="D3367" s="312"/>
      <c r="E3367" s="312"/>
      <c r="F3367" s="312"/>
      <c r="G3367" s="328"/>
      <c r="H3367" s="337"/>
      <c r="I3367" s="334"/>
      <c r="J3367" s="314"/>
      <c r="K3367" s="449"/>
      <c r="M3367" s="349" t="str">
        <f>N3367&amp;AS[[#This Row],[Insurer Code]]&amp;"; "&amp;O3367&amp;AS[[#This Row],[Reporting Year]]&amp;"; "&amp;P3367&amp;AS[[#This Row],[Insurance Category Code]]&amp;"; "&amp;Q3367&amp;AS[[#This Row],[Large Provider Entity Code]]&amp;"; "&amp;R3367&amp;AS[[#This Row],[Age Band Code]]&amp;"; "&amp;S3367&amp;AS[[#This Row],[Sex Code]]</f>
        <v xml:space="preserve">Insurer Code ; Reporting Year ; Insurance Category Code ; Large Provider Entity Code ; Age Band Code ; Sex Code </v>
      </c>
      <c r="N3367" s="345" t="s">
        <v>207</v>
      </c>
      <c r="O3367" s="345" t="s">
        <v>208</v>
      </c>
      <c r="P3367" s="345" t="s">
        <v>209</v>
      </c>
      <c r="Q3367" s="345" t="s">
        <v>210</v>
      </c>
      <c r="R3367" s="345" t="s">
        <v>223</v>
      </c>
      <c r="S3367" s="345" t="s">
        <v>224</v>
      </c>
    </row>
    <row r="3368" spans="1:19" x14ac:dyDescent="0.25">
      <c r="A3368" s="311"/>
      <c r="B3368" s="312"/>
      <c r="C3368" s="312"/>
      <c r="D3368" s="312"/>
      <c r="E3368" s="312"/>
      <c r="F3368" s="312"/>
      <c r="G3368" s="328"/>
      <c r="H3368" s="337"/>
      <c r="I3368" s="334"/>
      <c r="J3368" s="314"/>
      <c r="K3368" s="449"/>
      <c r="M3368" s="349" t="str">
        <f>N3368&amp;AS[[#This Row],[Insurer Code]]&amp;"; "&amp;O3368&amp;AS[[#This Row],[Reporting Year]]&amp;"; "&amp;P3368&amp;AS[[#This Row],[Insurance Category Code]]&amp;"; "&amp;Q3368&amp;AS[[#This Row],[Large Provider Entity Code]]&amp;"; "&amp;R3368&amp;AS[[#This Row],[Age Band Code]]&amp;"; "&amp;S3368&amp;AS[[#This Row],[Sex Code]]</f>
        <v xml:space="preserve">Insurer Code ; Reporting Year ; Insurance Category Code ; Large Provider Entity Code ; Age Band Code ; Sex Code </v>
      </c>
      <c r="N3368" s="345" t="s">
        <v>207</v>
      </c>
      <c r="O3368" s="345" t="s">
        <v>208</v>
      </c>
      <c r="P3368" s="345" t="s">
        <v>209</v>
      </c>
      <c r="Q3368" s="345" t="s">
        <v>210</v>
      </c>
      <c r="R3368" s="345" t="s">
        <v>223</v>
      </c>
      <c r="S3368" s="345" t="s">
        <v>224</v>
      </c>
    </row>
    <row r="3369" spans="1:19" x14ac:dyDescent="0.25">
      <c r="A3369" s="311"/>
      <c r="B3369" s="312"/>
      <c r="C3369" s="312"/>
      <c r="D3369" s="312"/>
      <c r="E3369" s="312"/>
      <c r="F3369" s="312"/>
      <c r="G3369" s="328"/>
      <c r="H3369" s="337"/>
      <c r="I3369" s="334"/>
      <c r="J3369" s="314"/>
      <c r="K3369" s="449"/>
      <c r="M3369" s="349" t="str">
        <f>N3369&amp;AS[[#This Row],[Insurer Code]]&amp;"; "&amp;O3369&amp;AS[[#This Row],[Reporting Year]]&amp;"; "&amp;P3369&amp;AS[[#This Row],[Insurance Category Code]]&amp;"; "&amp;Q3369&amp;AS[[#This Row],[Large Provider Entity Code]]&amp;"; "&amp;R3369&amp;AS[[#This Row],[Age Band Code]]&amp;"; "&amp;S3369&amp;AS[[#This Row],[Sex Code]]</f>
        <v xml:space="preserve">Insurer Code ; Reporting Year ; Insurance Category Code ; Large Provider Entity Code ; Age Band Code ; Sex Code </v>
      </c>
      <c r="N3369" s="345" t="s">
        <v>207</v>
      </c>
      <c r="O3369" s="345" t="s">
        <v>208</v>
      </c>
      <c r="P3369" s="345" t="s">
        <v>209</v>
      </c>
      <c r="Q3369" s="345" t="s">
        <v>210</v>
      </c>
      <c r="R3369" s="345" t="s">
        <v>223</v>
      </c>
      <c r="S3369" s="345" t="s">
        <v>224</v>
      </c>
    </row>
    <row r="3370" spans="1:19" x14ac:dyDescent="0.25">
      <c r="A3370" s="311"/>
      <c r="B3370" s="312"/>
      <c r="C3370" s="312"/>
      <c r="D3370" s="312"/>
      <c r="E3370" s="312"/>
      <c r="F3370" s="312"/>
      <c r="G3370" s="328"/>
      <c r="H3370" s="337"/>
      <c r="I3370" s="334"/>
      <c r="J3370" s="314"/>
      <c r="K3370" s="449"/>
      <c r="M3370" s="349" t="str">
        <f>N3370&amp;AS[[#This Row],[Insurer Code]]&amp;"; "&amp;O3370&amp;AS[[#This Row],[Reporting Year]]&amp;"; "&amp;P3370&amp;AS[[#This Row],[Insurance Category Code]]&amp;"; "&amp;Q3370&amp;AS[[#This Row],[Large Provider Entity Code]]&amp;"; "&amp;R3370&amp;AS[[#This Row],[Age Band Code]]&amp;"; "&amp;S3370&amp;AS[[#This Row],[Sex Code]]</f>
        <v xml:space="preserve">Insurer Code ; Reporting Year ; Insurance Category Code ; Large Provider Entity Code ; Age Band Code ; Sex Code </v>
      </c>
      <c r="N3370" s="345" t="s">
        <v>207</v>
      </c>
      <c r="O3370" s="345" t="s">
        <v>208</v>
      </c>
      <c r="P3370" s="345" t="s">
        <v>209</v>
      </c>
      <c r="Q3370" s="345" t="s">
        <v>210</v>
      </c>
      <c r="R3370" s="345" t="s">
        <v>223</v>
      </c>
      <c r="S3370" s="345" t="s">
        <v>224</v>
      </c>
    </row>
    <row r="3371" spans="1:19" x14ac:dyDescent="0.25">
      <c r="A3371" s="311"/>
      <c r="B3371" s="312"/>
      <c r="C3371" s="312"/>
      <c r="D3371" s="312"/>
      <c r="E3371" s="312"/>
      <c r="F3371" s="312"/>
      <c r="G3371" s="328"/>
      <c r="H3371" s="337"/>
      <c r="I3371" s="334"/>
      <c r="J3371" s="314"/>
      <c r="K3371" s="449"/>
      <c r="M3371" s="349" t="str">
        <f>N3371&amp;AS[[#This Row],[Insurer Code]]&amp;"; "&amp;O3371&amp;AS[[#This Row],[Reporting Year]]&amp;"; "&amp;P3371&amp;AS[[#This Row],[Insurance Category Code]]&amp;"; "&amp;Q3371&amp;AS[[#This Row],[Large Provider Entity Code]]&amp;"; "&amp;R3371&amp;AS[[#This Row],[Age Band Code]]&amp;"; "&amp;S3371&amp;AS[[#This Row],[Sex Code]]</f>
        <v xml:space="preserve">Insurer Code ; Reporting Year ; Insurance Category Code ; Large Provider Entity Code ; Age Band Code ; Sex Code </v>
      </c>
      <c r="N3371" s="345" t="s">
        <v>207</v>
      </c>
      <c r="O3371" s="345" t="s">
        <v>208</v>
      </c>
      <c r="P3371" s="345" t="s">
        <v>209</v>
      </c>
      <c r="Q3371" s="345" t="s">
        <v>210</v>
      </c>
      <c r="R3371" s="345" t="s">
        <v>223</v>
      </c>
      <c r="S3371" s="345" t="s">
        <v>224</v>
      </c>
    </row>
    <row r="3372" spans="1:19" x14ac:dyDescent="0.25">
      <c r="A3372" s="311"/>
      <c r="B3372" s="312"/>
      <c r="C3372" s="312"/>
      <c r="D3372" s="312"/>
      <c r="E3372" s="312"/>
      <c r="F3372" s="312"/>
      <c r="G3372" s="328"/>
      <c r="H3372" s="337"/>
      <c r="I3372" s="334"/>
      <c r="J3372" s="314"/>
      <c r="K3372" s="449"/>
      <c r="M3372" s="349" t="str">
        <f>N3372&amp;AS[[#This Row],[Insurer Code]]&amp;"; "&amp;O3372&amp;AS[[#This Row],[Reporting Year]]&amp;"; "&amp;P3372&amp;AS[[#This Row],[Insurance Category Code]]&amp;"; "&amp;Q3372&amp;AS[[#This Row],[Large Provider Entity Code]]&amp;"; "&amp;R3372&amp;AS[[#This Row],[Age Band Code]]&amp;"; "&amp;S3372&amp;AS[[#This Row],[Sex Code]]</f>
        <v xml:space="preserve">Insurer Code ; Reporting Year ; Insurance Category Code ; Large Provider Entity Code ; Age Band Code ; Sex Code </v>
      </c>
      <c r="N3372" s="345" t="s">
        <v>207</v>
      </c>
      <c r="O3372" s="345" t="s">
        <v>208</v>
      </c>
      <c r="P3372" s="345" t="s">
        <v>209</v>
      </c>
      <c r="Q3372" s="345" t="s">
        <v>210</v>
      </c>
      <c r="R3372" s="345" t="s">
        <v>223</v>
      </c>
      <c r="S3372" s="345" t="s">
        <v>224</v>
      </c>
    </row>
    <row r="3373" spans="1:19" x14ac:dyDescent="0.25">
      <c r="A3373" s="311"/>
      <c r="B3373" s="312"/>
      <c r="C3373" s="312"/>
      <c r="D3373" s="312"/>
      <c r="E3373" s="312"/>
      <c r="F3373" s="312"/>
      <c r="G3373" s="328"/>
      <c r="H3373" s="337"/>
      <c r="I3373" s="334"/>
      <c r="J3373" s="314"/>
      <c r="K3373" s="449"/>
      <c r="M3373" s="349" t="str">
        <f>N3373&amp;AS[[#This Row],[Insurer Code]]&amp;"; "&amp;O3373&amp;AS[[#This Row],[Reporting Year]]&amp;"; "&amp;P3373&amp;AS[[#This Row],[Insurance Category Code]]&amp;"; "&amp;Q3373&amp;AS[[#This Row],[Large Provider Entity Code]]&amp;"; "&amp;R3373&amp;AS[[#This Row],[Age Band Code]]&amp;"; "&amp;S3373&amp;AS[[#This Row],[Sex Code]]</f>
        <v xml:space="preserve">Insurer Code ; Reporting Year ; Insurance Category Code ; Large Provider Entity Code ; Age Band Code ; Sex Code </v>
      </c>
      <c r="N3373" s="345" t="s">
        <v>207</v>
      </c>
      <c r="O3373" s="345" t="s">
        <v>208</v>
      </c>
      <c r="P3373" s="345" t="s">
        <v>209</v>
      </c>
      <c r="Q3373" s="345" t="s">
        <v>210</v>
      </c>
      <c r="R3373" s="345" t="s">
        <v>223</v>
      </c>
      <c r="S3373" s="345" t="s">
        <v>224</v>
      </c>
    </row>
    <row r="3374" spans="1:19" x14ac:dyDescent="0.25">
      <c r="A3374" s="311"/>
      <c r="B3374" s="312"/>
      <c r="C3374" s="312"/>
      <c r="D3374" s="312"/>
      <c r="E3374" s="312"/>
      <c r="F3374" s="312"/>
      <c r="G3374" s="328"/>
      <c r="H3374" s="337"/>
      <c r="I3374" s="334"/>
      <c r="J3374" s="314"/>
      <c r="K3374" s="449"/>
      <c r="M3374" s="349" t="str">
        <f>N3374&amp;AS[[#This Row],[Insurer Code]]&amp;"; "&amp;O3374&amp;AS[[#This Row],[Reporting Year]]&amp;"; "&amp;P3374&amp;AS[[#This Row],[Insurance Category Code]]&amp;"; "&amp;Q3374&amp;AS[[#This Row],[Large Provider Entity Code]]&amp;"; "&amp;R3374&amp;AS[[#This Row],[Age Band Code]]&amp;"; "&amp;S3374&amp;AS[[#This Row],[Sex Code]]</f>
        <v xml:space="preserve">Insurer Code ; Reporting Year ; Insurance Category Code ; Large Provider Entity Code ; Age Band Code ; Sex Code </v>
      </c>
      <c r="N3374" s="345" t="s">
        <v>207</v>
      </c>
      <c r="O3374" s="345" t="s">
        <v>208</v>
      </c>
      <c r="P3374" s="345" t="s">
        <v>209</v>
      </c>
      <c r="Q3374" s="345" t="s">
        <v>210</v>
      </c>
      <c r="R3374" s="345" t="s">
        <v>223</v>
      </c>
      <c r="S3374" s="345" t="s">
        <v>224</v>
      </c>
    </row>
    <row r="3375" spans="1:19" x14ac:dyDescent="0.25">
      <c r="A3375" s="311"/>
      <c r="B3375" s="312"/>
      <c r="C3375" s="312"/>
      <c r="D3375" s="312"/>
      <c r="E3375" s="312"/>
      <c r="F3375" s="312"/>
      <c r="G3375" s="328"/>
      <c r="H3375" s="337"/>
      <c r="I3375" s="334"/>
      <c r="J3375" s="314"/>
      <c r="K3375" s="449"/>
      <c r="M3375" s="349" t="str">
        <f>N3375&amp;AS[[#This Row],[Insurer Code]]&amp;"; "&amp;O3375&amp;AS[[#This Row],[Reporting Year]]&amp;"; "&amp;P3375&amp;AS[[#This Row],[Insurance Category Code]]&amp;"; "&amp;Q3375&amp;AS[[#This Row],[Large Provider Entity Code]]&amp;"; "&amp;R3375&amp;AS[[#This Row],[Age Band Code]]&amp;"; "&amp;S3375&amp;AS[[#This Row],[Sex Code]]</f>
        <v xml:space="preserve">Insurer Code ; Reporting Year ; Insurance Category Code ; Large Provider Entity Code ; Age Band Code ; Sex Code </v>
      </c>
      <c r="N3375" s="345" t="s">
        <v>207</v>
      </c>
      <c r="O3375" s="345" t="s">
        <v>208</v>
      </c>
      <c r="P3375" s="345" t="s">
        <v>209</v>
      </c>
      <c r="Q3375" s="345" t="s">
        <v>210</v>
      </c>
      <c r="R3375" s="345" t="s">
        <v>223</v>
      </c>
      <c r="S3375" s="345" t="s">
        <v>224</v>
      </c>
    </row>
    <row r="3376" spans="1:19" x14ac:dyDescent="0.25">
      <c r="A3376" s="311"/>
      <c r="B3376" s="312"/>
      <c r="C3376" s="312"/>
      <c r="D3376" s="312"/>
      <c r="E3376" s="312"/>
      <c r="F3376" s="312"/>
      <c r="G3376" s="328"/>
      <c r="H3376" s="337"/>
      <c r="I3376" s="334"/>
      <c r="J3376" s="314"/>
      <c r="K3376" s="449"/>
      <c r="M3376" s="349" t="str">
        <f>N3376&amp;AS[[#This Row],[Insurer Code]]&amp;"; "&amp;O3376&amp;AS[[#This Row],[Reporting Year]]&amp;"; "&amp;P3376&amp;AS[[#This Row],[Insurance Category Code]]&amp;"; "&amp;Q3376&amp;AS[[#This Row],[Large Provider Entity Code]]&amp;"; "&amp;R3376&amp;AS[[#This Row],[Age Band Code]]&amp;"; "&amp;S3376&amp;AS[[#This Row],[Sex Code]]</f>
        <v xml:space="preserve">Insurer Code ; Reporting Year ; Insurance Category Code ; Large Provider Entity Code ; Age Band Code ; Sex Code </v>
      </c>
      <c r="N3376" s="345" t="s">
        <v>207</v>
      </c>
      <c r="O3376" s="345" t="s">
        <v>208</v>
      </c>
      <c r="P3376" s="345" t="s">
        <v>209</v>
      </c>
      <c r="Q3376" s="345" t="s">
        <v>210</v>
      </c>
      <c r="R3376" s="345" t="s">
        <v>223</v>
      </c>
      <c r="S3376" s="345" t="s">
        <v>224</v>
      </c>
    </row>
    <row r="3377" spans="1:19" x14ac:dyDescent="0.25">
      <c r="A3377" s="311"/>
      <c r="B3377" s="312"/>
      <c r="C3377" s="312"/>
      <c r="D3377" s="312"/>
      <c r="E3377" s="312"/>
      <c r="F3377" s="312"/>
      <c r="G3377" s="328"/>
      <c r="H3377" s="337"/>
      <c r="I3377" s="334"/>
      <c r="J3377" s="314"/>
      <c r="K3377" s="449"/>
      <c r="M3377" s="349" t="str">
        <f>N3377&amp;AS[[#This Row],[Insurer Code]]&amp;"; "&amp;O3377&amp;AS[[#This Row],[Reporting Year]]&amp;"; "&amp;P3377&amp;AS[[#This Row],[Insurance Category Code]]&amp;"; "&amp;Q3377&amp;AS[[#This Row],[Large Provider Entity Code]]&amp;"; "&amp;R3377&amp;AS[[#This Row],[Age Band Code]]&amp;"; "&amp;S3377&amp;AS[[#This Row],[Sex Code]]</f>
        <v xml:space="preserve">Insurer Code ; Reporting Year ; Insurance Category Code ; Large Provider Entity Code ; Age Band Code ; Sex Code </v>
      </c>
      <c r="N3377" s="345" t="s">
        <v>207</v>
      </c>
      <c r="O3377" s="345" t="s">
        <v>208</v>
      </c>
      <c r="P3377" s="345" t="s">
        <v>209</v>
      </c>
      <c r="Q3377" s="345" t="s">
        <v>210</v>
      </c>
      <c r="R3377" s="345" t="s">
        <v>223</v>
      </c>
      <c r="S3377" s="345" t="s">
        <v>224</v>
      </c>
    </row>
    <row r="3378" spans="1:19" x14ac:dyDescent="0.25">
      <c r="A3378" s="311"/>
      <c r="B3378" s="312"/>
      <c r="C3378" s="312"/>
      <c r="D3378" s="312"/>
      <c r="E3378" s="312"/>
      <c r="F3378" s="312"/>
      <c r="G3378" s="328"/>
      <c r="H3378" s="337"/>
      <c r="I3378" s="334"/>
      <c r="J3378" s="314"/>
      <c r="K3378" s="449"/>
      <c r="M3378" s="349" t="str">
        <f>N3378&amp;AS[[#This Row],[Insurer Code]]&amp;"; "&amp;O3378&amp;AS[[#This Row],[Reporting Year]]&amp;"; "&amp;P3378&amp;AS[[#This Row],[Insurance Category Code]]&amp;"; "&amp;Q3378&amp;AS[[#This Row],[Large Provider Entity Code]]&amp;"; "&amp;R3378&amp;AS[[#This Row],[Age Band Code]]&amp;"; "&amp;S3378&amp;AS[[#This Row],[Sex Code]]</f>
        <v xml:space="preserve">Insurer Code ; Reporting Year ; Insurance Category Code ; Large Provider Entity Code ; Age Band Code ; Sex Code </v>
      </c>
      <c r="N3378" s="345" t="s">
        <v>207</v>
      </c>
      <c r="O3378" s="345" t="s">
        <v>208</v>
      </c>
      <c r="P3378" s="345" t="s">
        <v>209</v>
      </c>
      <c r="Q3378" s="345" t="s">
        <v>210</v>
      </c>
      <c r="R3378" s="345" t="s">
        <v>223</v>
      </c>
      <c r="S3378" s="345" t="s">
        <v>224</v>
      </c>
    </row>
    <row r="3379" spans="1:19" x14ac:dyDescent="0.25">
      <c r="A3379" s="311"/>
      <c r="B3379" s="312"/>
      <c r="C3379" s="312"/>
      <c r="D3379" s="312"/>
      <c r="E3379" s="312"/>
      <c r="F3379" s="312"/>
      <c r="G3379" s="328"/>
      <c r="H3379" s="337"/>
      <c r="I3379" s="334"/>
      <c r="J3379" s="314"/>
      <c r="K3379" s="449"/>
      <c r="M3379" s="349" t="str">
        <f>N3379&amp;AS[[#This Row],[Insurer Code]]&amp;"; "&amp;O3379&amp;AS[[#This Row],[Reporting Year]]&amp;"; "&amp;P3379&amp;AS[[#This Row],[Insurance Category Code]]&amp;"; "&amp;Q3379&amp;AS[[#This Row],[Large Provider Entity Code]]&amp;"; "&amp;R3379&amp;AS[[#This Row],[Age Band Code]]&amp;"; "&amp;S3379&amp;AS[[#This Row],[Sex Code]]</f>
        <v xml:space="preserve">Insurer Code ; Reporting Year ; Insurance Category Code ; Large Provider Entity Code ; Age Band Code ; Sex Code </v>
      </c>
      <c r="N3379" s="345" t="s">
        <v>207</v>
      </c>
      <c r="O3379" s="345" t="s">
        <v>208</v>
      </c>
      <c r="P3379" s="345" t="s">
        <v>209</v>
      </c>
      <c r="Q3379" s="345" t="s">
        <v>210</v>
      </c>
      <c r="R3379" s="345" t="s">
        <v>223</v>
      </c>
      <c r="S3379" s="345" t="s">
        <v>224</v>
      </c>
    </row>
    <row r="3380" spans="1:19" x14ac:dyDescent="0.25">
      <c r="A3380" s="311"/>
      <c r="B3380" s="312"/>
      <c r="C3380" s="312"/>
      <c r="D3380" s="312"/>
      <c r="E3380" s="312"/>
      <c r="F3380" s="312"/>
      <c r="G3380" s="328"/>
      <c r="H3380" s="337"/>
      <c r="I3380" s="334"/>
      <c r="J3380" s="314"/>
      <c r="K3380" s="449"/>
      <c r="M3380" s="349" t="str">
        <f>N3380&amp;AS[[#This Row],[Insurer Code]]&amp;"; "&amp;O3380&amp;AS[[#This Row],[Reporting Year]]&amp;"; "&amp;P3380&amp;AS[[#This Row],[Insurance Category Code]]&amp;"; "&amp;Q3380&amp;AS[[#This Row],[Large Provider Entity Code]]&amp;"; "&amp;R3380&amp;AS[[#This Row],[Age Band Code]]&amp;"; "&amp;S3380&amp;AS[[#This Row],[Sex Code]]</f>
        <v xml:space="preserve">Insurer Code ; Reporting Year ; Insurance Category Code ; Large Provider Entity Code ; Age Band Code ; Sex Code </v>
      </c>
      <c r="N3380" s="345" t="s">
        <v>207</v>
      </c>
      <c r="O3380" s="345" t="s">
        <v>208</v>
      </c>
      <c r="P3380" s="345" t="s">
        <v>209</v>
      </c>
      <c r="Q3380" s="345" t="s">
        <v>210</v>
      </c>
      <c r="R3380" s="345" t="s">
        <v>223</v>
      </c>
      <c r="S3380" s="345" t="s">
        <v>224</v>
      </c>
    </row>
    <row r="3381" spans="1:19" x14ac:dyDescent="0.25">
      <c r="A3381" s="311"/>
      <c r="B3381" s="312"/>
      <c r="C3381" s="312"/>
      <c r="D3381" s="312"/>
      <c r="E3381" s="312"/>
      <c r="F3381" s="312"/>
      <c r="G3381" s="328"/>
      <c r="H3381" s="337"/>
      <c r="I3381" s="334"/>
      <c r="J3381" s="314"/>
      <c r="K3381" s="449"/>
      <c r="M3381" s="349" t="str">
        <f>N3381&amp;AS[[#This Row],[Insurer Code]]&amp;"; "&amp;O3381&amp;AS[[#This Row],[Reporting Year]]&amp;"; "&amp;P3381&amp;AS[[#This Row],[Insurance Category Code]]&amp;"; "&amp;Q3381&amp;AS[[#This Row],[Large Provider Entity Code]]&amp;"; "&amp;R3381&amp;AS[[#This Row],[Age Band Code]]&amp;"; "&amp;S3381&amp;AS[[#This Row],[Sex Code]]</f>
        <v xml:space="preserve">Insurer Code ; Reporting Year ; Insurance Category Code ; Large Provider Entity Code ; Age Band Code ; Sex Code </v>
      </c>
      <c r="N3381" s="345" t="s">
        <v>207</v>
      </c>
      <c r="O3381" s="345" t="s">
        <v>208</v>
      </c>
      <c r="P3381" s="345" t="s">
        <v>209</v>
      </c>
      <c r="Q3381" s="345" t="s">
        <v>210</v>
      </c>
      <c r="R3381" s="345" t="s">
        <v>223</v>
      </c>
      <c r="S3381" s="345" t="s">
        <v>224</v>
      </c>
    </row>
    <row r="3382" spans="1:19" x14ac:dyDescent="0.25">
      <c r="A3382" s="311"/>
      <c r="B3382" s="312"/>
      <c r="C3382" s="312"/>
      <c r="D3382" s="312"/>
      <c r="E3382" s="312"/>
      <c r="F3382" s="312"/>
      <c r="G3382" s="328"/>
      <c r="H3382" s="337"/>
      <c r="I3382" s="334"/>
      <c r="J3382" s="314"/>
      <c r="K3382" s="449"/>
      <c r="M3382" s="349" t="str">
        <f>N3382&amp;AS[[#This Row],[Insurer Code]]&amp;"; "&amp;O3382&amp;AS[[#This Row],[Reporting Year]]&amp;"; "&amp;P3382&amp;AS[[#This Row],[Insurance Category Code]]&amp;"; "&amp;Q3382&amp;AS[[#This Row],[Large Provider Entity Code]]&amp;"; "&amp;R3382&amp;AS[[#This Row],[Age Band Code]]&amp;"; "&amp;S3382&amp;AS[[#This Row],[Sex Code]]</f>
        <v xml:space="preserve">Insurer Code ; Reporting Year ; Insurance Category Code ; Large Provider Entity Code ; Age Band Code ; Sex Code </v>
      </c>
      <c r="N3382" s="345" t="s">
        <v>207</v>
      </c>
      <c r="O3382" s="345" t="s">
        <v>208</v>
      </c>
      <c r="P3382" s="345" t="s">
        <v>209</v>
      </c>
      <c r="Q3382" s="345" t="s">
        <v>210</v>
      </c>
      <c r="R3382" s="345" t="s">
        <v>223</v>
      </c>
      <c r="S3382" s="345" t="s">
        <v>224</v>
      </c>
    </row>
    <row r="3383" spans="1:19" x14ac:dyDescent="0.25">
      <c r="A3383" s="311"/>
      <c r="B3383" s="312"/>
      <c r="C3383" s="312"/>
      <c r="D3383" s="312"/>
      <c r="E3383" s="312"/>
      <c r="F3383" s="312"/>
      <c r="G3383" s="328"/>
      <c r="H3383" s="337"/>
      <c r="I3383" s="334"/>
      <c r="J3383" s="314"/>
      <c r="K3383" s="449"/>
      <c r="M3383" s="349" t="str">
        <f>N3383&amp;AS[[#This Row],[Insurer Code]]&amp;"; "&amp;O3383&amp;AS[[#This Row],[Reporting Year]]&amp;"; "&amp;P3383&amp;AS[[#This Row],[Insurance Category Code]]&amp;"; "&amp;Q3383&amp;AS[[#This Row],[Large Provider Entity Code]]&amp;"; "&amp;R3383&amp;AS[[#This Row],[Age Band Code]]&amp;"; "&amp;S3383&amp;AS[[#This Row],[Sex Code]]</f>
        <v xml:space="preserve">Insurer Code ; Reporting Year ; Insurance Category Code ; Large Provider Entity Code ; Age Band Code ; Sex Code </v>
      </c>
      <c r="N3383" s="345" t="s">
        <v>207</v>
      </c>
      <c r="O3383" s="345" t="s">
        <v>208</v>
      </c>
      <c r="P3383" s="345" t="s">
        <v>209</v>
      </c>
      <c r="Q3383" s="345" t="s">
        <v>210</v>
      </c>
      <c r="R3383" s="345" t="s">
        <v>223</v>
      </c>
      <c r="S3383" s="345" t="s">
        <v>224</v>
      </c>
    </row>
    <row r="3384" spans="1:19" x14ac:dyDescent="0.25">
      <c r="A3384" s="311"/>
      <c r="B3384" s="312"/>
      <c r="C3384" s="312"/>
      <c r="D3384" s="312"/>
      <c r="E3384" s="312"/>
      <c r="F3384" s="312"/>
      <c r="G3384" s="328"/>
      <c r="H3384" s="337"/>
      <c r="I3384" s="334"/>
      <c r="J3384" s="314"/>
      <c r="K3384" s="449"/>
      <c r="M3384" s="349" t="str">
        <f>N3384&amp;AS[[#This Row],[Insurer Code]]&amp;"; "&amp;O3384&amp;AS[[#This Row],[Reporting Year]]&amp;"; "&amp;P3384&amp;AS[[#This Row],[Insurance Category Code]]&amp;"; "&amp;Q3384&amp;AS[[#This Row],[Large Provider Entity Code]]&amp;"; "&amp;R3384&amp;AS[[#This Row],[Age Band Code]]&amp;"; "&amp;S3384&amp;AS[[#This Row],[Sex Code]]</f>
        <v xml:space="preserve">Insurer Code ; Reporting Year ; Insurance Category Code ; Large Provider Entity Code ; Age Band Code ; Sex Code </v>
      </c>
      <c r="N3384" s="345" t="s">
        <v>207</v>
      </c>
      <c r="O3384" s="345" t="s">
        <v>208</v>
      </c>
      <c r="P3384" s="345" t="s">
        <v>209</v>
      </c>
      <c r="Q3384" s="345" t="s">
        <v>210</v>
      </c>
      <c r="R3384" s="345" t="s">
        <v>223</v>
      </c>
      <c r="S3384" s="345" t="s">
        <v>224</v>
      </c>
    </row>
    <row r="3385" spans="1:19" x14ac:dyDescent="0.25">
      <c r="A3385" s="311"/>
      <c r="B3385" s="312"/>
      <c r="C3385" s="312"/>
      <c r="D3385" s="312"/>
      <c r="E3385" s="312"/>
      <c r="F3385" s="312"/>
      <c r="G3385" s="328"/>
      <c r="H3385" s="337"/>
      <c r="I3385" s="334"/>
      <c r="J3385" s="314"/>
      <c r="K3385" s="449"/>
      <c r="M3385" s="349" t="str">
        <f>N3385&amp;AS[[#This Row],[Insurer Code]]&amp;"; "&amp;O3385&amp;AS[[#This Row],[Reporting Year]]&amp;"; "&amp;P3385&amp;AS[[#This Row],[Insurance Category Code]]&amp;"; "&amp;Q3385&amp;AS[[#This Row],[Large Provider Entity Code]]&amp;"; "&amp;R3385&amp;AS[[#This Row],[Age Band Code]]&amp;"; "&amp;S3385&amp;AS[[#This Row],[Sex Code]]</f>
        <v xml:space="preserve">Insurer Code ; Reporting Year ; Insurance Category Code ; Large Provider Entity Code ; Age Band Code ; Sex Code </v>
      </c>
      <c r="N3385" s="345" t="s">
        <v>207</v>
      </c>
      <c r="O3385" s="345" t="s">
        <v>208</v>
      </c>
      <c r="P3385" s="345" t="s">
        <v>209</v>
      </c>
      <c r="Q3385" s="345" t="s">
        <v>210</v>
      </c>
      <c r="R3385" s="345" t="s">
        <v>223</v>
      </c>
      <c r="S3385" s="345" t="s">
        <v>224</v>
      </c>
    </row>
    <row r="3386" spans="1:19" x14ac:dyDescent="0.25">
      <c r="A3386" s="311"/>
      <c r="B3386" s="312"/>
      <c r="C3386" s="312"/>
      <c r="D3386" s="312"/>
      <c r="E3386" s="312"/>
      <c r="F3386" s="312"/>
      <c r="G3386" s="328"/>
      <c r="H3386" s="337"/>
      <c r="I3386" s="334"/>
      <c r="J3386" s="314"/>
      <c r="K3386" s="449"/>
      <c r="M3386" s="349" t="str">
        <f>N3386&amp;AS[[#This Row],[Insurer Code]]&amp;"; "&amp;O3386&amp;AS[[#This Row],[Reporting Year]]&amp;"; "&amp;P3386&amp;AS[[#This Row],[Insurance Category Code]]&amp;"; "&amp;Q3386&amp;AS[[#This Row],[Large Provider Entity Code]]&amp;"; "&amp;R3386&amp;AS[[#This Row],[Age Band Code]]&amp;"; "&amp;S3386&amp;AS[[#This Row],[Sex Code]]</f>
        <v xml:space="preserve">Insurer Code ; Reporting Year ; Insurance Category Code ; Large Provider Entity Code ; Age Band Code ; Sex Code </v>
      </c>
      <c r="N3386" s="345" t="s">
        <v>207</v>
      </c>
      <c r="O3386" s="345" t="s">
        <v>208</v>
      </c>
      <c r="P3386" s="345" t="s">
        <v>209</v>
      </c>
      <c r="Q3386" s="345" t="s">
        <v>210</v>
      </c>
      <c r="R3386" s="345" t="s">
        <v>223</v>
      </c>
      <c r="S3386" s="345" t="s">
        <v>224</v>
      </c>
    </row>
    <row r="3387" spans="1:19" x14ac:dyDescent="0.25">
      <c r="A3387" s="311"/>
      <c r="B3387" s="312"/>
      <c r="C3387" s="312"/>
      <c r="D3387" s="312"/>
      <c r="E3387" s="312"/>
      <c r="F3387" s="312"/>
      <c r="G3387" s="328"/>
      <c r="H3387" s="337"/>
      <c r="I3387" s="334"/>
      <c r="J3387" s="314"/>
      <c r="K3387" s="449"/>
      <c r="M3387" s="349" t="str">
        <f>N3387&amp;AS[[#This Row],[Insurer Code]]&amp;"; "&amp;O3387&amp;AS[[#This Row],[Reporting Year]]&amp;"; "&amp;P3387&amp;AS[[#This Row],[Insurance Category Code]]&amp;"; "&amp;Q3387&amp;AS[[#This Row],[Large Provider Entity Code]]&amp;"; "&amp;R3387&amp;AS[[#This Row],[Age Band Code]]&amp;"; "&amp;S3387&amp;AS[[#This Row],[Sex Code]]</f>
        <v xml:space="preserve">Insurer Code ; Reporting Year ; Insurance Category Code ; Large Provider Entity Code ; Age Band Code ; Sex Code </v>
      </c>
      <c r="N3387" s="345" t="s">
        <v>207</v>
      </c>
      <c r="O3387" s="345" t="s">
        <v>208</v>
      </c>
      <c r="P3387" s="345" t="s">
        <v>209</v>
      </c>
      <c r="Q3387" s="345" t="s">
        <v>210</v>
      </c>
      <c r="R3387" s="345" t="s">
        <v>223</v>
      </c>
      <c r="S3387" s="345" t="s">
        <v>224</v>
      </c>
    </row>
    <row r="3388" spans="1:19" x14ac:dyDescent="0.25">
      <c r="A3388" s="311"/>
      <c r="B3388" s="312"/>
      <c r="C3388" s="312"/>
      <c r="D3388" s="312"/>
      <c r="E3388" s="312"/>
      <c r="F3388" s="312"/>
      <c r="G3388" s="328"/>
      <c r="H3388" s="337"/>
      <c r="I3388" s="334"/>
      <c r="J3388" s="314"/>
      <c r="K3388" s="449"/>
      <c r="M3388" s="349" t="str">
        <f>N3388&amp;AS[[#This Row],[Insurer Code]]&amp;"; "&amp;O3388&amp;AS[[#This Row],[Reporting Year]]&amp;"; "&amp;P3388&amp;AS[[#This Row],[Insurance Category Code]]&amp;"; "&amp;Q3388&amp;AS[[#This Row],[Large Provider Entity Code]]&amp;"; "&amp;R3388&amp;AS[[#This Row],[Age Band Code]]&amp;"; "&amp;S3388&amp;AS[[#This Row],[Sex Code]]</f>
        <v xml:space="preserve">Insurer Code ; Reporting Year ; Insurance Category Code ; Large Provider Entity Code ; Age Band Code ; Sex Code </v>
      </c>
      <c r="N3388" s="345" t="s">
        <v>207</v>
      </c>
      <c r="O3388" s="345" t="s">
        <v>208</v>
      </c>
      <c r="P3388" s="345" t="s">
        <v>209</v>
      </c>
      <c r="Q3388" s="345" t="s">
        <v>210</v>
      </c>
      <c r="R3388" s="345" t="s">
        <v>223</v>
      </c>
      <c r="S3388" s="345" t="s">
        <v>224</v>
      </c>
    </row>
    <row r="3389" spans="1:19" x14ac:dyDescent="0.25">
      <c r="A3389" s="311"/>
      <c r="B3389" s="312"/>
      <c r="C3389" s="312"/>
      <c r="D3389" s="312"/>
      <c r="E3389" s="312"/>
      <c r="F3389" s="312"/>
      <c r="G3389" s="328"/>
      <c r="H3389" s="337"/>
      <c r="I3389" s="334"/>
      <c r="J3389" s="314"/>
      <c r="K3389" s="449"/>
      <c r="M3389" s="349" t="str">
        <f>N3389&amp;AS[[#This Row],[Insurer Code]]&amp;"; "&amp;O3389&amp;AS[[#This Row],[Reporting Year]]&amp;"; "&amp;P3389&amp;AS[[#This Row],[Insurance Category Code]]&amp;"; "&amp;Q3389&amp;AS[[#This Row],[Large Provider Entity Code]]&amp;"; "&amp;R3389&amp;AS[[#This Row],[Age Band Code]]&amp;"; "&amp;S3389&amp;AS[[#This Row],[Sex Code]]</f>
        <v xml:space="preserve">Insurer Code ; Reporting Year ; Insurance Category Code ; Large Provider Entity Code ; Age Band Code ; Sex Code </v>
      </c>
      <c r="N3389" s="345" t="s">
        <v>207</v>
      </c>
      <c r="O3389" s="345" t="s">
        <v>208</v>
      </c>
      <c r="P3389" s="345" t="s">
        <v>209</v>
      </c>
      <c r="Q3389" s="345" t="s">
        <v>210</v>
      </c>
      <c r="R3389" s="345" t="s">
        <v>223</v>
      </c>
      <c r="S3389" s="345" t="s">
        <v>224</v>
      </c>
    </row>
    <row r="3390" spans="1:19" x14ac:dyDescent="0.25">
      <c r="A3390" s="311"/>
      <c r="B3390" s="312"/>
      <c r="C3390" s="312"/>
      <c r="D3390" s="312"/>
      <c r="E3390" s="312"/>
      <c r="F3390" s="312"/>
      <c r="G3390" s="328"/>
      <c r="H3390" s="337"/>
      <c r="I3390" s="334"/>
      <c r="J3390" s="314"/>
      <c r="K3390" s="449"/>
      <c r="M3390" s="349" t="str">
        <f>N3390&amp;AS[[#This Row],[Insurer Code]]&amp;"; "&amp;O3390&amp;AS[[#This Row],[Reporting Year]]&amp;"; "&amp;P3390&amp;AS[[#This Row],[Insurance Category Code]]&amp;"; "&amp;Q3390&amp;AS[[#This Row],[Large Provider Entity Code]]&amp;"; "&amp;R3390&amp;AS[[#This Row],[Age Band Code]]&amp;"; "&amp;S3390&amp;AS[[#This Row],[Sex Code]]</f>
        <v xml:space="preserve">Insurer Code ; Reporting Year ; Insurance Category Code ; Large Provider Entity Code ; Age Band Code ; Sex Code </v>
      </c>
      <c r="N3390" s="345" t="s">
        <v>207</v>
      </c>
      <c r="O3390" s="345" t="s">
        <v>208</v>
      </c>
      <c r="P3390" s="345" t="s">
        <v>209</v>
      </c>
      <c r="Q3390" s="345" t="s">
        <v>210</v>
      </c>
      <c r="R3390" s="345" t="s">
        <v>223</v>
      </c>
      <c r="S3390" s="345" t="s">
        <v>224</v>
      </c>
    </row>
    <row r="3391" spans="1:19" x14ac:dyDescent="0.25">
      <c r="A3391" s="311"/>
      <c r="B3391" s="312"/>
      <c r="C3391" s="312"/>
      <c r="D3391" s="312"/>
      <c r="E3391" s="312"/>
      <c r="F3391" s="312"/>
      <c r="G3391" s="328"/>
      <c r="H3391" s="337"/>
      <c r="I3391" s="334"/>
      <c r="J3391" s="314"/>
      <c r="K3391" s="449"/>
      <c r="M3391" s="349" t="str">
        <f>N3391&amp;AS[[#This Row],[Insurer Code]]&amp;"; "&amp;O3391&amp;AS[[#This Row],[Reporting Year]]&amp;"; "&amp;P3391&amp;AS[[#This Row],[Insurance Category Code]]&amp;"; "&amp;Q3391&amp;AS[[#This Row],[Large Provider Entity Code]]&amp;"; "&amp;R3391&amp;AS[[#This Row],[Age Band Code]]&amp;"; "&amp;S3391&amp;AS[[#This Row],[Sex Code]]</f>
        <v xml:space="preserve">Insurer Code ; Reporting Year ; Insurance Category Code ; Large Provider Entity Code ; Age Band Code ; Sex Code </v>
      </c>
      <c r="N3391" s="345" t="s">
        <v>207</v>
      </c>
      <c r="O3391" s="345" t="s">
        <v>208</v>
      </c>
      <c r="P3391" s="345" t="s">
        <v>209</v>
      </c>
      <c r="Q3391" s="345" t="s">
        <v>210</v>
      </c>
      <c r="R3391" s="345" t="s">
        <v>223</v>
      </c>
      <c r="S3391" s="345" t="s">
        <v>224</v>
      </c>
    </row>
    <row r="3392" spans="1:19" x14ac:dyDescent="0.25">
      <c r="A3392" s="311"/>
      <c r="B3392" s="312"/>
      <c r="C3392" s="312"/>
      <c r="D3392" s="312"/>
      <c r="E3392" s="312"/>
      <c r="F3392" s="312"/>
      <c r="G3392" s="328"/>
      <c r="H3392" s="337"/>
      <c r="I3392" s="334"/>
      <c r="J3392" s="314"/>
      <c r="K3392" s="449"/>
      <c r="M3392" s="349" t="str">
        <f>N3392&amp;AS[[#This Row],[Insurer Code]]&amp;"; "&amp;O3392&amp;AS[[#This Row],[Reporting Year]]&amp;"; "&amp;P3392&amp;AS[[#This Row],[Insurance Category Code]]&amp;"; "&amp;Q3392&amp;AS[[#This Row],[Large Provider Entity Code]]&amp;"; "&amp;R3392&amp;AS[[#This Row],[Age Band Code]]&amp;"; "&amp;S3392&amp;AS[[#This Row],[Sex Code]]</f>
        <v xml:space="preserve">Insurer Code ; Reporting Year ; Insurance Category Code ; Large Provider Entity Code ; Age Band Code ; Sex Code </v>
      </c>
      <c r="N3392" s="345" t="s">
        <v>207</v>
      </c>
      <c r="O3392" s="345" t="s">
        <v>208</v>
      </c>
      <c r="P3392" s="345" t="s">
        <v>209</v>
      </c>
      <c r="Q3392" s="345" t="s">
        <v>210</v>
      </c>
      <c r="R3392" s="345" t="s">
        <v>223</v>
      </c>
      <c r="S3392" s="345" t="s">
        <v>224</v>
      </c>
    </row>
    <row r="3393" spans="1:19" x14ac:dyDescent="0.25">
      <c r="A3393" s="311"/>
      <c r="B3393" s="312"/>
      <c r="C3393" s="312"/>
      <c r="D3393" s="312"/>
      <c r="E3393" s="312"/>
      <c r="F3393" s="312"/>
      <c r="G3393" s="328"/>
      <c r="H3393" s="337"/>
      <c r="I3393" s="334"/>
      <c r="J3393" s="314"/>
      <c r="K3393" s="449"/>
      <c r="M3393" s="349" t="str">
        <f>N3393&amp;AS[[#This Row],[Insurer Code]]&amp;"; "&amp;O3393&amp;AS[[#This Row],[Reporting Year]]&amp;"; "&amp;P3393&amp;AS[[#This Row],[Insurance Category Code]]&amp;"; "&amp;Q3393&amp;AS[[#This Row],[Large Provider Entity Code]]&amp;"; "&amp;R3393&amp;AS[[#This Row],[Age Band Code]]&amp;"; "&amp;S3393&amp;AS[[#This Row],[Sex Code]]</f>
        <v xml:space="preserve">Insurer Code ; Reporting Year ; Insurance Category Code ; Large Provider Entity Code ; Age Band Code ; Sex Code </v>
      </c>
      <c r="N3393" s="345" t="s">
        <v>207</v>
      </c>
      <c r="O3393" s="345" t="s">
        <v>208</v>
      </c>
      <c r="P3393" s="345" t="s">
        <v>209</v>
      </c>
      <c r="Q3393" s="345" t="s">
        <v>210</v>
      </c>
      <c r="R3393" s="345" t="s">
        <v>223</v>
      </c>
      <c r="S3393" s="345" t="s">
        <v>224</v>
      </c>
    </row>
    <row r="3394" spans="1:19" x14ac:dyDescent="0.25">
      <c r="A3394" s="311"/>
      <c r="B3394" s="312"/>
      <c r="C3394" s="312"/>
      <c r="D3394" s="312"/>
      <c r="E3394" s="312"/>
      <c r="F3394" s="312"/>
      <c r="G3394" s="328"/>
      <c r="H3394" s="337"/>
      <c r="I3394" s="334"/>
      <c r="J3394" s="314"/>
      <c r="K3394" s="449"/>
      <c r="M3394" s="349" t="str">
        <f>N3394&amp;AS[[#This Row],[Insurer Code]]&amp;"; "&amp;O3394&amp;AS[[#This Row],[Reporting Year]]&amp;"; "&amp;P3394&amp;AS[[#This Row],[Insurance Category Code]]&amp;"; "&amp;Q3394&amp;AS[[#This Row],[Large Provider Entity Code]]&amp;"; "&amp;R3394&amp;AS[[#This Row],[Age Band Code]]&amp;"; "&amp;S3394&amp;AS[[#This Row],[Sex Code]]</f>
        <v xml:space="preserve">Insurer Code ; Reporting Year ; Insurance Category Code ; Large Provider Entity Code ; Age Band Code ; Sex Code </v>
      </c>
      <c r="N3394" s="345" t="s">
        <v>207</v>
      </c>
      <c r="O3394" s="345" t="s">
        <v>208</v>
      </c>
      <c r="P3394" s="345" t="s">
        <v>209</v>
      </c>
      <c r="Q3394" s="345" t="s">
        <v>210</v>
      </c>
      <c r="R3394" s="345" t="s">
        <v>223</v>
      </c>
      <c r="S3394" s="345" t="s">
        <v>224</v>
      </c>
    </row>
    <row r="3395" spans="1:19" x14ac:dyDescent="0.25">
      <c r="A3395" s="311"/>
      <c r="B3395" s="312"/>
      <c r="C3395" s="312"/>
      <c r="D3395" s="312"/>
      <c r="E3395" s="312"/>
      <c r="F3395" s="312"/>
      <c r="G3395" s="328"/>
      <c r="H3395" s="337"/>
      <c r="I3395" s="334"/>
      <c r="J3395" s="314"/>
      <c r="K3395" s="449"/>
      <c r="M3395" s="349" t="str">
        <f>N3395&amp;AS[[#This Row],[Insurer Code]]&amp;"; "&amp;O3395&amp;AS[[#This Row],[Reporting Year]]&amp;"; "&amp;P3395&amp;AS[[#This Row],[Insurance Category Code]]&amp;"; "&amp;Q3395&amp;AS[[#This Row],[Large Provider Entity Code]]&amp;"; "&amp;R3395&amp;AS[[#This Row],[Age Band Code]]&amp;"; "&amp;S3395&amp;AS[[#This Row],[Sex Code]]</f>
        <v xml:space="preserve">Insurer Code ; Reporting Year ; Insurance Category Code ; Large Provider Entity Code ; Age Band Code ; Sex Code </v>
      </c>
      <c r="N3395" s="345" t="s">
        <v>207</v>
      </c>
      <c r="O3395" s="345" t="s">
        <v>208</v>
      </c>
      <c r="P3395" s="345" t="s">
        <v>209</v>
      </c>
      <c r="Q3395" s="345" t="s">
        <v>210</v>
      </c>
      <c r="R3395" s="345" t="s">
        <v>223</v>
      </c>
      <c r="S3395" s="345" t="s">
        <v>224</v>
      </c>
    </row>
    <row r="3396" spans="1:19" x14ac:dyDescent="0.25">
      <c r="A3396" s="311"/>
      <c r="B3396" s="312"/>
      <c r="C3396" s="312"/>
      <c r="D3396" s="312"/>
      <c r="E3396" s="312"/>
      <c r="F3396" s="312"/>
      <c r="G3396" s="328"/>
      <c r="H3396" s="337"/>
      <c r="I3396" s="334"/>
      <c r="J3396" s="314"/>
      <c r="K3396" s="449"/>
      <c r="M3396" s="349" t="str">
        <f>N3396&amp;AS[[#This Row],[Insurer Code]]&amp;"; "&amp;O3396&amp;AS[[#This Row],[Reporting Year]]&amp;"; "&amp;P3396&amp;AS[[#This Row],[Insurance Category Code]]&amp;"; "&amp;Q3396&amp;AS[[#This Row],[Large Provider Entity Code]]&amp;"; "&amp;R3396&amp;AS[[#This Row],[Age Band Code]]&amp;"; "&amp;S3396&amp;AS[[#This Row],[Sex Code]]</f>
        <v xml:space="preserve">Insurer Code ; Reporting Year ; Insurance Category Code ; Large Provider Entity Code ; Age Band Code ; Sex Code </v>
      </c>
      <c r="N3396" s="345" t="s">
        <v>207</v>
      </c>
      <c r="O3396" s="345" t="s">
        <v>208</v>
      </c>
      <c r="P3396" s="345" t="s">
        <v>209</v>
      </c>
      <c r="Q3396" s="345" t="s">
        <v>210</v>
      </c>
      <c r="R3396" s="345" t="s">
        <v>223</v>
      </c>
      <c r="S3396" s="345" t="s">
        <v>224</v>
      </c>
    </row>
    <row r="3397" spans="1:19" x14ac:dyDescent="0.25">
      <c r="A3397" s="311"/>
      <c r="B3397" s="312"/>
      <c r="C3397" s="312"/>
      <c r="D3397" s="312"/>
      <c r="E3397" s="312"/>
      <c r="F3397" s="312"/>
      <c r="G3397" s="328"/>
      <c r="H3397" s="337"/>
      <c r="I3397" s="334"/>
      <c r="J3397" s="314"/>
      <c r="K3397" s="449"/>
      <c r="M3397" s="349" t="str">
        <f>N3397&amp;AS[[#This Row],[Insurer Code]]&amp;"; "&amp;O3397&amp;AS[[#This Row],[Reporting Year]]&amp;"; "&amp;P3397&amp;AS[[#This Row],[Insurance Category Code]]&amp;"; "&amp;Q3397&amp;AS[[#This Row],[Large Provider Entity Code]]&amp;"; "&amp;R3397&amp;AS[[#This Row],[Age Band Code]]&amp;"; "&amp;S3397&amp;AS[[#This Row],[Sex Code]]</f>
        <v xml:space="preserve">Insurer Code ; Reporting Year ; Insurance Category Code ; Large Provider Entity Code ; Age Band Code ; Sex Code </v>
      </c>
      <c r="N3397" s="345" t="s">
        <v>207</v>
      </c>
      <c r="O3397" s="345" t="s">
        <v>208</v>
      </c>
      <c r="P3397" s="345" t="s">
        <v>209</v>
      </c>
      <c r="Q3397" s="345" t="s">
        <v>210</v>
      </c>
      <c r="R3397" s="345" t="s">
        <v>223</v>
      </c>
      <c r="S3397" s="345" t="s">
        <v>224</v>
      </c>
    </row>
    <row r="3398" spans="1:19" x14ac:dyDescent="0.25">
      <c r="A3398" s="311"/>
      <c r="B3398" s="312"/>
      <c r="C3398" s="312"/>
      <c r="D3398" s="312"/>
      <c r="E3398" s="312"/>
      <c r="F3398" s="312"/>
      <c r="G3398" s="328"/>
      <c r="H3398" s="337"/>
      <c r="I3398" s="334"/>
      <c r="J3398" s="314"/>
      <c r="K3398" s="449"/>
      <c r="M3398" s="349" t="str">
        <f>N3398&amp;AS[[#This Row],[Insurer Code]]&amp;"; "&amp;O3398&amp;AS[[#This Row],[Reporting Year]]&amp;"; "&amp;P3398&amp;AS[[#This Row],[Insurance Category Code]]&amp;"; "&amp;Q3398&amp;AS[[#This Row],[Large Provider Entity Code]]&amp;"; "&amp;R3398&amp;AS[[#This Row],[Age Band Code]]&amp;"; "&amp;S3398&amp;AS[[#This Row],[Sex Code]]</f>
        <v xml:space="preserve">Insurer Code ; Reporting Year ; Insurance Category Code ; Large Provider Entity Code ; Age Band Code ; Sex Code </v>
      </c>
      <c r="N3398" s="345" t="s">
        <v>207</v>
      </c>
      <c r="O3398" s="345" t="s">
        <v>208</v>
      </c>
      <c r="P3398" s="345" t="s">
        <v>209</v>
      </c>
      <c r="Q3398" s="345" t="s">
        <v>210</v>
      </c>
      <c r="R3398" s="345" t="s">
        <v>223</v>
      </c>
      <c r="S3398" s="345" t="s">
        <v>224</v>
      </c>
    </row>
    <row r="3399" spans="1:19" x14ac:dyDescent="0.25">
      <c r="A3399" s="311"/>
      <c r="B3399" s="312"/>
      <c r="C3399" s="312"/>
      <c r="D3399" s="312"/>
      <c r="E3399" s="312"/>
      <c r="F3399" s="312"/>
      <c r="G3399" s="328"/>
      <c r="H3399" s="337"/>
      <c r="I3399" s="334"/>
      <c r="J3399" s="314"/>
      <c r="K3399" s="449"/>
      <c r="M3399" s="349" t="str">
        <f>N3399&amp;AS[[#This Row],[Insurer Code]]&amp;"; "&amp;O3399&amp;AS[[#This Row],[Reporting Year]]&amp;"; "&amp;P3399&amp;AS[[#This Row],[Insurance Category Code]]&amp;"; "&amp;Q3399&amp;AS[[#This Row],[Large Provider Entity Code]]&amp;"; "&amp;R3399&amp;AS[[#This Row],[Age Band Code]]&amp;"; "&amp;S3399&amp;AS[[#This Row],[Sex Code]]</f>
        <v xml:space="preserve">Insurer Code ; Reporting Year ; Insurance Category Code ; Large Provider Entity Code ; Age Band Code ; Sex Code </v>
      </c>
      <c r="N3399" s="345" t="s">
        <v>207</v>
      </c>
      <c r="O3399" s="345" t="s">
        <v>208</v>
      </c>
      <c r="P3399" s="345" t="s">
        <v>209</v>
      </c>
      <c r="Q3399" s="345" t="s">
        <v>210</v>
      </c>
      <c r="R3399" s="345" t="s">
        <v>223</v>
      </c>
      <c r="S3399" s="345" t="s">
        <v>224</v>
      </c>
    </row>
    <row r="3400" spans="1:19" x14ac:dyDescent="0.25">
      <c r="A3400" s="311"/>
      <c r="B3400" s="312"/>
      <c r="C3400" s="312"/>
      <c r="D3400" s="312"/>
      <c r="E3400" s="312"/>
      <c r="F3400" s="312"/>
      <c r="G3400" s="328"/>
      <c r="H3400" s="337"/>
      <c r="I3400" s="334"/>
      <c r="J3400" s="314"/>
      <c r="K3400" s="449"/>
      <c r="M3400" s="349" t="str">
        <f>N3400&amp;AS[[#This Row],[Insurer Code]]&amp;"; "&amp;O3400&amp;AS[[#This Row],[Reporting Year]]&amp;"; "&amp;P3400&amp;AS[[#This Row],[Insurance Category Code]]&amp;"; "&amp;Q3400&amp;AS[[#This Row],[Large Provider Entity Code]]&amp;"; "&amp;R3400&amp;AS[[#This Row],[Age Band Code]]&amp;"; "&amp;S3400&amp;AS[[#This Row],[Sex Code]]</f>
        <v xml:space="preserve">Insurer Code ; Reporting Year ; Insurance Category Code ; Large Provider Entity Code ; Age Band Code ; Sex Code </v>
      </c>
      <c r="N3400" s="345" t="s">
        <v>207</v>
      </c>
      <c r="O3400" s="345" t="s">
        <v>208</v>
      </c>
      <c r="P3400" s="345" t="s">
        <v>209</v>
      </c>
      <c r="Q3400" s="345" t="s">
        <v>210</v>
      </c>
      <c r="R3400" s="345" t="s">
        <v>223</v>
      </c>
      <c r="S3400" s="345" t="s">
        <v>224</v>
      </c>
    </row>
    <row r="3401" spans="1:19" x14ac:dyDescent="0.25">
      <c r="A3401" s="311"/>
      <c r="B3401" s="312"/>
      <c r="C3401" s="312"/>
      <c r="D3401" s="312"/>
      <c r="E3401" s="312"/>
      <c r="F3401" s="312"/>
      <c r="G3401" s="328"/>
      <c r="H3401" s="337"/>
      <c r="I3401" s="334"/>
      <c r="J3401" s="314"/>
      <c r="K3401" s="449"/>
      <c r="M3401" s="349" t="str">
        <f>N3401&amp;AS[[#This Row],[Insurer Code]]&amp;"; "&amp;O3401&amp;AS[[#This Row],[Reporting Year]]&amp;"; "&amp;P3401&amp;AS[[#This Row],[Insurance Category Code]]&amp;"; "&amp;Q3401&amp;AS[[#This Row],[Large Provider Entity Code]]&amp;"; "&amp;R3401&amp;AS[[#This Row],[Age Band Code]]&amp;"; "&amp;S3401&amp;AS[[#This Row],[Sex Code]]</f>
        <v xml:space="preserve">Insurer Code ; Reporting Year ; Insurance Category Code ; Large Provider Entity Code ; Age Band Code ; Sex Code </v>
      </c>
      <c r="N3401" s="345" t="s">
        <v>207</v>
      </c>
      <c r="O3401" s="345" t="s">
        <v>208</v>
      </c>
      <c r="P3401" s="345" t="s">
        <v>209</v>
      </c>
      <c r="Q3401" s="345" t="s">
        <v>210</v>
      </c>
      <c r="R3401" s="345" t="s">
        <v>223</v>
      </c>
      <c r="S3401" s="345" t="s">
        <v>224</v>
      </c>
    </row>
    <row r="3402" spans="1:19" x14ac:dyDescent="0.25">
      <c r="A3402" s="311"/>
      <c r="B3402" s="312"/>
      <c r="C3402" s="312"/>
      <c r="D3402" s="312"/>
      <c r="E3402" s="312"/>
      <c r="F3402" s="312"/>
      <c r="G3402" s="328"/>
      <c r="H3402" s="337"/>
      <c r="I3402" s="334"/>
      <c r="J3402" s="314"/>
      <c r="K3402" s="449"/>
      <c r="M3402" s="349" t="str">
        <f>N3402&amp;AS[[#This Row],[Insurer Code]]&amp;"; "&amp;O3402&amp;AS[[#This Row],[Reporting Year]]&amp;"; "&amp;P3402&amp;AS[[#This Row],[Insurance Category Code]]&amp;"; "&amp;Q3402&amp;AS[[#This Row],[Large Provider Entity Code]]&amp;"; "&amp;R3402&amp;AS[[#This Row],[Age Band Code]]&amp;"; "&amp;S3402&amp;AS[[#This Row],[Sex Code]]</f>
        <v xml:space="preserve">Insurer Code ; Reporting Year ; Insurance Category Code ; Large Provider Entity Code ; Age Band Code ; Sex Code </v>
      </c>
      <c r="N3402" s="345" t="s">
        <v>207</v>
      </c>
      <c r="O3402" s="345" t="s">
        <v>208</v>
      </c>
      <c r="P3402" s="345" t="s">
        <v>209</v>
      </c>
      <c r="Q3402" s="345" t="s">
        <v>210</v>
      </c>
      <c r="R3402" s="345" t="s">
        <v>223</v>
      </c>
      <c r="S3402" s="345" t="s">
        <v>224</v>
      </c>
    </row>
    <row r="3403" spans="1:19" x14ac:dyDescent="0.25">
      <c r="A3403" s="311"/>
      <c r="B3403" s="312"/>
      <c r="C3403" s="312"/>
      <c r="D3403" s="312"/>
      <c r="E3403" s="312"/>
      <c r="F3403" s="312"/>
      <c r="G3403" s="328"/>
      <c r="H3403" s="337"/>
      <c r="I3403" s="334"/>
      <c r="J3403" s="314"/>
      <c r="K3403" s="449"/>
      <c r="M3403" s="349" t="str">
        <f>N3403&amp;AS[[#This Row],[Insurer Code]]&amp;"; "&amp;O3403&amp;AS[[#This Row],[Reporting Year]]&amp;"; "&amp;P3403&amp;AS[[#This Row],[Insurance Category Code]]&amp;"; "&amp;Q3403&amp;AS[[#This Row],[Large Provider Entity Code]]&amp;"; "&amp;R3403&amp;AS[[#This Row],[Age Band Code]]&amp;"; "&amp;S3403&amp;AS[[#This Row],[Sex Code]]</f>
        <v xml:space="preserve">Insurer Code ; Reporting Year ; Insurance Category Code ; Large Provider Entity Code ; Age Band Code ; Sex Code </v>
      </c>
      <c r="N3403" s="345" t="s">
        <v>207</v>
      </c>
      <c r="O3403" s="345" t="s">
        <v>208</v>
      </c>
      <c r="P3403" s="345" t="s">
        <v>209</v>
      </c>
      <c r="Q3403" s="345" t="s">
        <v>210</v>
      </c>
      <c r="R3403" s="345" t="s">
        <v>223</v>
      </c>
      <c r="S3403" s="345" t="s">
        <v>224</v>
      </c>
    </row>
    <row r="3404" spans="1:19" x14ac:dyDescent="0.25">
      <c r="A3404" s="311"/>
      <c r="B3404" s="312"/>
      <c r="C3404" s="312"/>
      <c r="D3404" s="312"/>
      <c r="E3404" s="312"/>
      <c r="F3404" s="312"/>
      <c r="G3404" s="328"/>
      <c r="H3404" s="337"/>
      <c r="I3404" s="334"/>
      <c r="J3404" s="314"/>
      <c r="K3404" s="449"/>
      <c r="M3404" s="349" t="str">
        <f>N3404&amp;AS[[#This Row],[Insurer Code]]&amp;"; "&amp;O3404&amp;AS[[#This Row],[Reporting Year]]&amp;"; "&amp;P3404&amp;AS[[#This Row],[Insurance Category Code]]&amp;"; "&amp;Q3404&amp;AS[[#This Row],[Large Provider Entity Code]]&amp;"; "&amp;R3404&amp;AS[[#This Row],[Age Band Code]]&amp;"; "&amp;S3404&amp;AS[[#This Row],[Sex Code]]</f>
        <v xml:space="preserve">Insurer Code ; Reporting Year ; Insurance Category Code ; Large Provider Entity Code ; Age Band Code ; Sex Code </v>
      </c>
      <c r="N3404" s="345" t="s">
        <v>207</v>
      </c>
      <c r="O3404" s="345" t="s">
        <v>208</v>
      </c>
      <c r="P3404" s="345" t="s">
        <v>209</v>
      </c>
      <c r="Q3404" s="345" t="s">
        <v>210</v>
      </c>
      <c r="R3404" s="345" t="s">
        <v>223</v>
      </c>
      <c r="S3404" s="345" t="s">
        <v>224</v>
      </c>
    </row>
    <row r="3405" spans="1:19" x14ac:dyDescent="0.25">
      <c r="A3405" s="311"/>
      <c r="B3405" s="312"/>
      <c r="C3405" s="312"/>
      <c r="D3405" s="312"/>
      <c r="E3405" s="312"/>
      <c r="F3405" s="312"/>
      <c r="G3405" s="328"/>
      <c r="H3405" s="337"/>
      <c r="I3405" s="334"/>
      <c r="J3405" s="314"/>
      <c r="K3405" s="449"/>
      <c r="M3405" s="349" t="str">
        <f>N3405&amp;AS[[#This Row],[Insurer Code]]&amp;"; "&amp;O3405&amp;AS[[#This Row],[Reporting Year]]&amp;"; "&amp;P3405&amp;AS[[#This Row],[Insurance Category Code]]&amp;"; "&amp;Q3405&amp;AS[[#This Row],[Large Provider Entity Code]]&amp;"; "&amp;R3405&amp;AS[[#This Row],[Age Band Code]]&amp;"; "&amp;S3405&amp;AS[[#This Row],[Sex Code]]</f>
        <v xml:space="preserve">Insurer Code ; Reporting Year ; Insurance Category Code ; Large Provider Entity Code ; Age Band Code ; Sex Code </v>
      </c>
      <c r="N3405" s="345" t="s">
        <v>207</v>
      </c>
      <c r="O3405" s="345" t="s">
        <v>208</v>
      </c>
      <c r="P3405" s="345" t="s">
        <v>209</v>
      </c>
      <c r="Q3405" s="345" t="s">
        <v>210</v>
      </c>
      <c r="R3405" s="345" t="s">
        <v>223</v>
      </c>
      <c r="S3405" s="345" t="s">
        <v>224</v>
      </c>
    </row>
    <row r="3406" spans="1:19" x14ac:dyDescent="0.25">
      <c r="A3406" s="311"/>
      <c r="B3406" s="312"/>
      <c r="C3406" s="312"/>
      <c r="D3406" s="312"/>
      <c r="E3406" s="312"/>
      <c r="F3406" s="312"/>
      <c r="G3406" s="328"/>
      <c r="H3406" s="337"/>
      <c r="I3406" s="334"/>
      <c r="J3406" s="314"/>
      <c r="K3406" s="449"/>
      <c r="M3406" s="349" t="str">
        <f>N3406&amp;AS[[#This Row],[Insurer Code]]&amp;"; "&amp;O3406&amp;AS[[#This Row],[Reporting Year]]&amp;"; "&amp;P3406&amp;AS[[#This Row],[Insurance Category Code]]&amp;"; "&amp;Q3406&amp;AS[[#This Row],[Large Provider Entity Code]]&amp;"; "&amp;R3406&amp;AS[[#This Row],[Age Band Code]]&amp;"; "&amp;S3406&amp;AS[[#This Row],[Sex Code]]</f>
        <v xml:space="preserve">Insurer Code ; Reporting Year ; Insurance Category Code ; Large Provider Entity Code ; Age Band Code ; Sex Code </v>
      </c>
      <c r="N3406" s="345" t="s">
        <v>207</v>
      </c>
      <c r="O3406" s="345" t="s">
        <v>208</v>
      </c>
      <c r="P3406" s="345" t="s">
        <v>209</v>
      </c>
      <c r="Q3406" s="345" t="s">
        <v>210</v>
      </c>
      <c r="R3406" s="345" t="s">
        <v>223</v>
      </c>
      <c r="S3406" s="345" t="s">
        <v>224</v>
      </c>
    </row>
    <row r="3407" spans="1:19" x14ac:dyDescent="0.25">
      <c r="A3407" s="311"/>
      <c r="B3407" s="312"/>
      <c r="C3407" s="312"/>
      <c r="D3407" s="312"/>
      <c r="E3407" s="312"/>
      <c r="F3407" s="312"/>
      <c r="G3407" s="328"/>
      <c r="H3407" s="337"/>
      <c r="I3407" s="334"/>
      <c r="J3407" s="314"/>
      <c r="K3407" s="449"/>
      <c r="M3407" s="349" t="str">
        <f>N3407&amp;AS[[#This Row],[Insurer Code]]&amp;"; "&amp;O3407&amp;AS[[#This Row],[Reporting Year]]&amp;"; "&amp;P3407&amp;AS[[#This Row],[Insurance Category Code]]&amp;"; "&amp;Q3407&amp;AS[[#This Row],[Large Provider Entity Code]]&amp;"; "&amp;R3407&amp;AS[[#This Row],[Age Band Code]]&amp;"; "&amp;S3407&amp;AS[[#This Row],[Sex Code]]</f>
        <v xml:space="preserve">Insurer Code ; Reporting Year ; Insurance Category Code ; Large Provider Entity Code ; Age Band Code ; Sex Code </v>
      </c>
      <c r="N3407" s="345" t="s">
        <v>207</v>
      </c>
      <c r="O3407" s="345" t="s">
        <v>208</v>
      </c>
      <c r="P3407" s="345" t="s">
        <v>209</v>
      </c>
      <c r="Q3407" s="345" t="s">
        <v>210</v>
      </c>
      <c r="R3407" s="345" t="s">
        <v>223</v>
      </c>
      <c r="S3407" s="345" t="s">
        <v>224</v>
      </c>
    </row>
    <row r="3408" spans="1:19" x14ac:dyDescent="0.25">
      <c r="A3408" s="311"/>
      <c r="B3408" s="312"/>
      <c r="C3408" s="312"/>
      <c r="D3408" s="312"/>
      <c r="E3408" s="312"/>
      <c r="F3408" s="312"/>
      <c r="G3408" s="328"/>
      <c r="H3408" s="337"/>
      <c r="I3408" s="334"/>
      <c r="J3408" s="314"/>
      <c r="K3408" s="449"/>
      <c r="M3408" s="349" t="str">
        <f>N3408&amp;AS[[#This Row],[Insurer Code]]&amp;"; "&amp;O3408&amp;AS[[#This Row],[Reporting Year]]&amp;"; "&amp;P3408&amp;AS[[#This Row],[Insurance Category Code]]&amp;"; "&amp;Q3408&amp;AS[[#This Row],[Large Provider Entity Code]]&amp;"; "&amp;R3408&amp;AS[[#This Row],[Age Band Code]]&amp;"; "&amp;S3408&amp;AS[[#This Row],[Sex Code]]</f>
        <v xml:space="preserve">Insurer Code ; Reporting Year ; Insurance Category Code ; Large Provider Entity Code ; Age Band Code ; Sex Code </v>
      </c>
      <c r="N3408" s="345" t="s">
        <v>207</v>
      </c>
      <c r="O3408" s="345" t="s">
        <v>208</v>
      </c>
      <c r="P3408" s="345" t="s">
        <v>209</v>
      </c>
      <c r="Q3408" s="345" t="s">
        <v>210</v>
      </c>
      <c r="R3408" s="345" t="s">
        <v>223</v>
      </c>
      <c r="S3408" s="345" t="s">
        <v>224</v>
      </c>
    </row>
    <row r="3409" spans="1:19" x14ac:dyDescent="0.25">
      <c r="A3409" s="311"/>
      <c r="B3409" s="312"/>
      <c r="C3409" s="312"/>
      <c r="D3409" s="312"/>
      <c r="E3409" s="312"/>
      <c r="F3409" s="312"/>
      <c r="G3409" s="328"/>
      <c r="H3409" s="337"/>
      <c r="I3409" s="334"/>
      <c r="J3409" s="314"/>
      <c r="K3409" s="449"/>
      <c r="M3409" s="349" t="str">
        <f>N3409&amp;AS[[#This Row],[Insurer Code]]&amp;"; "&amp;O3409&amp;AS[[#This Row],[Reporting Year]]&amp;"; "&amp;P3409&amp;AS[[#This Row],[Insurance Category Code]]&amp;"; "&amp;Q3409&amp;AS[[#This Row],[Large Provider Entity Code]]&amp;"; "&amp;R3409&amp;AS[[#This Row],[Age Band Code]]&amp;"; "&amp;S3409&amp;AS[[#This Row],[Sex Code]]</f>
        <v xml:space="preserve">Insurer Code ; Reporting Year ; Insurance Category Code ; Large Provider Entity Code ; Age Band Code ; Sex Code </v>
      </c>
      <c r="N3409" s="345" t="s">
        <v>207</v>
      </c>
      <c r="O3409" s="345" t="s">
        <v>208</v>
      </c>
      <c r="P3409" s="345" t="s">
        <v>209</v>
      </c>
      <c r="Q3409" s="345" t="s">
        <v>210</v>
      </c>
      <c r="R3409" s="345" t="s">
        <v>223</v>
      </c>
      <c r="S3409" s="345" t="s">
        <v>224</v>
      </c>
    </row>
    <row r="3410" spans="1:19" x14ac:dyDescent="0.25">
      <c r="A3410" s="311"/>
      <c r="B3410" s="312"/>
      <c r="C3410" s="312"/>
      <c r="D3410" s="312"/>
      <c r="E3410" s="312"/>
      <c r="F3410" s="312"/>
      <c r="G3410" s="328"/>
      <c r="H3410" s="337"/>
      <c r="I3410" s="334"/>
      <c r="J3410" s="314"/>
      <c r="K3410" s="449"/>
      <c r="M3410" s="349" t="str">
        <f>N3410&amp;AS[[#This Row],[Insurer Code]]&amp;"; "&amp;O3410&amp;AS[[#This Row],[Reporting Year]]&amp;"; "&amp;P3410&amp;AS[[#This Row],[Insurance Category Code]]&amp;"; "&amp;Q3410&amp;AS[[#This Row],[Large Provider Entity Code]]&amp;"; "&amp;R3410&amp;AS[[#This Row],[Age Band Code]]&amp;"; "&amp;S3410&amp;AS[[#This Row],[Sex Code]]</f>
        <v xml:space="preserve">Insurer Code ; Reporting Year ; Insurance Category Code ; Large Provider Entity Code ; Age Band Code ; Sex Code </v>
      </c>
      <c r="N3410" s="345" t="s">
        <v>207</v>
      </c>
      <c r="O3410" s="345" t="s">
        <v>208</v>
      </c>
      <c r="P3410" s="345" t="s">
        <v>209</v>
      </c>
      <c r="Q3410" s="345" t="s">
        <v>210</v>
      </c>
      <c r="R3410" s="345" t="s">
        <v>223</v>
      </c>
      <c r="S3410" s="345" t="s">
        <v>224</v>
      </c>
    </row>
    <row r="3411" spans="1:19" x14ac:dyDescent="0.25">
      <c r="A3411" s="311"/>
      <c r="B3411" s="312"/>
      <c r="C3411" s="312"/>
      <c r="D3411" s="312"/>
      <c r="E3411" s="312"/>
      <c r="F3411" s="312"/>
      <c r="G3411" s="328"/>
      <c r="H3411" s="337"/>
      <c r="I3411" s="334"/>
      <c r="J3411" s="314"/>
      <c r="K3411" s="449"/>
      <c r="M3411" s="349" t="str">
        <f>N3411&amp;AS[[#This Row],[Insurer Code]]&amp;"; "&amp;O3411&amp;AS[[#This Row],[Reporting Year]]&amp;"; "&amp;P3411&amp;AS[[#This Row],[Insurance Category Code]]&amp;"; "&amp;Q3411&amp;AS[[#This Row],[Large Provider Entity Code]]&amp;"; "&amp;R3411&amp;AS[[#This Row],[Age Band Code]]&amp;"; "&amp;S3411&amp;AS[[#This Row],[Sex Code]]</f>
        <v xml:space="preserve">Insurer Code ; Reporting Year ; Insurance Category Code ; Large Provider Entity Code ; Age Band Code ; Sex Code </v>
      </c>
      <c r="N3411" s="345" t="s">
        <v>207</v>
      </c>
      <c r="O3411" s="345" t="s">
        <v>208</v>
      </c>
      <c r="P3411" s="345" t="s">
        <v>209</v>
      </c>
      <c r="Q3411" s="345" t="s">
        <v>210</v>
      </c>
      <c r="R3411" s="345" t="s">
        <v>223</v>
      </c>
      <c r="S3411" s="345" t="s">
        <v>224</v>
      </c>
    </row>
    <row r="3412" spans="1:19" x14ac:dyDescent="0.25">
      <c r="A3412" s="311"/>
      <c r="B3412" s="312"/>
      <c r="C3412" s="312"/>
      <c r="D3412" s="312"/>
      <c r="E3412" s="312"/>
      <c r="F3412" s="312"/>
      <c r="G3412" s="328"/>
      <c r="H3412" s="337"/>
      <c r="I3412" s="334"/>
      <c r="J3412" s="314"/>
      <c r="K3412" s="449"/>
      <c r="M3412" s="349" t="str">
        <f>N3412&amp;AS[[#This Row],[Insurer Code]]&amp;"; "&amp;O3412&amp;AS[[#This Row],[Reporting Year]]&amp;"; "&amp;P3412&amp;AS[[#This Row],[Insurance Category Code]]&amp;"; "&amp;Q3412&amp;AS[[#This Row],[Large Provider Entity Code]]&amp;"; "&amp;R3412&amp;AS[[#This Row],[Age Band Code]]&amp;"; "&amp;S3412&amp;AS[[#This Row],[Sex Code]]</f>
        <v xml:space="preserve">Insurer Code ; Reporting Year ; Insurance Category Code ; Large Provider Entity Code ; Age Band Code ; Sex Code </v>
      </c>
      <c r="N3412" s="345" t="s">
        <v>207</v>
      </c>
      <c r="O3412" s="345" t="s">
        <v>208</v>
      </c>
      <c r="P3412" s="345" t="s">
        <v>209</v>
      </c>
      <c r="Q3412" s="345" t="s">
        <v>210</v>
      </c>
      <c r="R3412" s="345" t="s">
        <v>223</v>
      </c>
      <c r="S3412" s="345" t="s">
        <v>224</v>
      </c>
    </row>
    <row r="3413" spans="1:19" x14ac:dyDescent="0.25">
      <c r="A3413" s="311"/>
      <c r="B3413" s="312"/>
      <c r="C3413" s="312"/>
      <c r="D3413" s="312"/>
      <c r="E3413" s="312"/>
      <c r="F3413" s="312"/>
      <c r="G3413" s="328"/>
      <c r="H3413" s="337"/>
      <c r="I3413" s="334"/>
      <c r="J3413" s="314"/>
      <c r="K3413" s="449"/>
      <c r="M3413" s="349" t="str">
        <f>N3413&amp;AS[[#This Row],[Insurer Code]]&amp;"; "&amp;O3413&amp;AS[[#This Row],[Reporting Year]]&amp;"; "&amp;P3413&amp;AS[[#This Row],[Insurance Category Code]]&amp;"; "&amp;Q3413&amp;AS[[#This Row],[Large Provider Entity Code]]&amp;"; "&amp;R3413&amp;AS[[#This Row],[Age Band Code]]&amp;"; "&amp;S3413&amp;AS[[#This Row],[Sex Code]]</f>
        <v xml:space="preserve">Insurer Code ; Reporting Year ; Insurance Category Code ; Large Provider Entity Code ; Age Band Code ; Sex Code </v>
      </c>
      <c r="N3413" s="345" t="s">
        <v>207</v>
      </c>
      <c r="O3413" s="345" t="s">
        <v>208</v>
      </c>
      <c r="P3413" s="345" t="s">
        <v>209</v>
      </c>
      <c r="Q3413" s="345" t="s">
        <v>210</v>
      </c>
      <c r="R3413" s="345" t="s">
        <v>223</v>
      </c>
      <c r="S3413" s="345" t="s">
        <v>224</v>
      </c>
    </row>
    <row r="3414" spans="1:19" x14ac:dyDescent="0.25">
      <c r="A3414" s="311"/>
      <c r="B3414" s="312"/>
      <c r="C3414" s="312"/>
      <c r="D3414" s="312"/>
      <c r="E3414" s="312"/>
      <c r="F3414" s="312"/>
      <c r="G3414" s="328"/>
      <c r="H3414" s="337"/>
      <c r="I3414" s="334"/>
      <c r="J3414" s="314"/>
      <c r="K3414" s="449"/>
      <c r="M3414" s="349" t="str">
        <f>N3414&amp;AS[[#This Row],[Insurer Code]]&amp;"; "&amp;O3414&amp;AS[[#This Row],[Reporting Year]]&amp;"; "&amp;P3414&amp;AS[[#This Row],[Insurance Category Code]]&amp;"; "&amp;Q3414&amp;AS[[#This Row],[Large Provider Entity Code]]&amp;"; "&amp;R3414&amp;AS[[#This Row],[Age Band Code]]&amp;"; "&amp;S3414&amp;AS[[#This Row],[Sex Code]]</f>
        <v xml:space="preserve">Insurer Code ; Reporting Year ; Insurance Category Code ; Large Provider Entity Code ; Age Band Code ; Sex Code </v>
      </c>
      <c r="N3414" s="345" t="s">
        <v>207</v>
      </c>
      <c r="O3414" s="345" t="s">
        <v>208</v>
      </c>
      <c r="P3414" s="345" t="s">
        <v>209</v>
      </c>
      <c r="Q3414" s="345" t="s">
        <v>210</v>
      </c>
      <c r="R3414" s="345" t="s">
        <v>223</v>
      </c>
      <c r="S3414" s="345" t="s">
        <v>224</v>
      </c>
    </row>
    <row r="3415" spans="1:19" x14ac:dyDescent="0.25">
      <c r="A3415" s="311"/>
      <c r="B3415" s="312"/>
      <c r="C3415" s="312"/>
      <c r="D3415" s="312"/>
      <c r="E3415" s="312"/>
      <c r="F3415" s="312"/>
      <c r="G3415" s="328"/>
      <c r="H3415" s="337"/>
      <c r="I3415" s="334"/>
      <c r="J3415" s="314"/>
      <c r="K3415" s="449"/>
      <c r="M3415" s="349" t="str">
        <f>N3415&amp;AS[[#This Row],[Insurer Code]]&amp;"; "&amp;O3415&amp;AS[[#This Row],[Reporting Year]]&amp;"; "&amp;P3415&amp;AS[[#This Row],[Insurance Category Code]]&amp;"; "&amp;Q3415&amp;AS[[#This Row],[Large Provider Entity Code]]&amp;"; "&amp;R3415&amp;AS[[#This Row],[Age Band Code]]&amp;"; "&amp;S3415&amp;AS[[#This Row],[Sex Code]]</f>
        <v xml:space="preserve">Insurer Code ; Reporting Year ; Insurance Category Code ; Large Provider Entity Code ; Age Band Code ; Sex Code </v>
      </c>
      <c r="N3415" s="345" t="s">
        <v>207</v>
      </c>
      <c r="O3415" s="345" t="s">
        <v>208</v>
      </c>
      <c r="P3415" s="345" t="s">
        <v>209</v>
      </c>
      <c r="Q3415" s="345" t="s">
        <v>210</v>
      </c>
      <c r="R3415" s="345" t="s">
        <v>223</v>
      </c>
      <c r="S3415" s="345" t="s">
        <v>224</v>
      </c>
    </row>
    <row r="3416" spans="1:19" x14ac:dyDescent="0.25">
      <c r="A3416" s="311"/>
      <c r="B3416" s="312"/>
      <c r="C3416" s="312"/>
      <c r="D3416" s="312"/>
      <c r="E3416" s="312"/>
      <c r="F3416" s="312"/>
      <c r="G3416" s="328"/>
      <c r="H3416" s="337"/>
      <c r="I3416" s="334"/>
      <c r="J3416" s="314"/>
      <c r="K3416" s="449"/>
      <c r="M3416" s="349" t="str">
        <f>N3416&amp;AS[[#This Row],[Insurer Code]]&amp;"; "&amp;O3416&amp;AS[[#This Row],[Reporting Year]]&amp;"; "&amp;P3416&amp;AS[[#This Row],[Insurance Category Code]]&amp;"; "&amp;Q3416&amp;AS[[#This Row],[Large Provider Entity Code]]&amp;"; "&amp;R3416&amp;AS[[#This Row],[Age Band Code]]&amp;"; "&amp;S3416&amp;AS[[#This Row],[Sex Code]]</f>
        <v xml:space="preserve">Insurer Code ; Reporting Year ; Insurance Category Code ; Large Provider Entity Code ; Age Band Code ; Sex Code </v>
      </c>
      <c r="N3416" s="345" t="s">
        <v>207</v>
      </c>
      <c r="O3416" s="345" t="s">
        <v>208</v>
      </c>
      <c r="P3416" s="345" t="s">
        <v>209</v>
      </c>
      <c r="Q3416" s="345" t="s">
        <v>210</v>
      </c>
      <c r="R3416" s="345" t="s">
        <v>223</v>
      </c>
      <c r="S3416" s="345" t="s">
        <v>224</v>
      </c>
    </row>
    <row r="3417" spans="1:19" x14ac:dyDescent="0.25">
      <c r="A3417" s="311"/>
      <c r="B3417" s="312"/>
      <c r="C3417" s="312"/>
      <c r="D3417" s="312"/>
      <c r="E3417" s="312"/>
      <c r="F3417" s="312"/>
      <c r="G3417" s="328"/>
      <c r="H3417" s="337"/>
      <c r="I3417" s="334"/>
      <c r="J3417" s="314"/>
      <c r="K3417" s="449"/>
      <c r="M3417" s="349" t="str">
        <f>N3417&amp;AS[[#This Row],[Insurer Code]]&amp;"; "&amp;O3417&amp;AS[[#This Row],[Reporting Year]]&amp;"; "&amp;P3417&amp;AS[[#This Row],[Insurance Category Code]]&amp;"; "&amp;Q3417&amp;AS[[#This Row],[Large Provider Entity Code]]&amp;"; "&amp;R3417&amp;AS[[#This Row],[Age Band Code]]&amp;"; "&amp;S3417&amp;AS[[#This Row],[Sex Code]]</f>
        <v xml:space="preserve">Insurer Code ; Reporting Year ; Insurance Category Code ; Large Provider Entity Code ; Age Band Code ; Sex Code </v>
      </c>
      <c r="N3417" s="345" t="s">
        <v>207</v>
      </c>
      <c r="O3417" s="345" t="s">
        <v>208</v>
      </c>
      <c r="P3417" s="345" t="s">
        <v>209</v>
      </c>
      <c r="Q3417" s="345" t="s">
        <v>210</v>
      </c>
      <c r="R3417" s="345" t="s">
        <v>223</v>
      </c>
      <c r="S3417" s="345" t="s">
        <v>224</v>
      </c>
    </row>
    <row r="3418" spans="1:19" x14ac:dyDescent="0.25">
      <c r="A3418" s="311"/>
      <c r="B3418" s="312"/>
      <c r="C3418" s="312"/>
      <c r="D3418" s="312"/>
      <c r="E3418" s="312"/>
      <c r="F3418" s="312"/>
      <c r="G3418" s="328"/>
      <c r="H3418" s="337"/>
      <c r="I3418" s="334"/>
      <c r="J3418" s="314"/>
      <c r="K3418" s="449"/>
      <c r="M3418" s="349" t="str">
        <f>N3418&amp;AS[[#This Row],[Insurer Code]]&amp;"; "&amp;O3418&amp;AS[[#This Row],[Reporting Year]]&amp;"; "&amp;P3418&amp;AS[[#This Row],[Insurance Category Code]]&amp;"; "&amp;Q3418&amp;AS[[#This Row],[Large Provider Entity Code]]&amp;"; "&amp;R3418&amp;AS[[#This Row],[Age Band Code]]&amp;"; "&amp;S3418&amp;AS[[#This Row],[Sex Code]]</f>
        <v xml:space="preserve">Insurer Code ; Reporting Year ; Insurance Category Code ; Large Provider Entity Code ; Age Band Code ; Sex Code </v>
      </c>
      <c r="N3418" s="345" t="s">
        <v>207</v>
      </c>
      <c r="O3418" s="345" t="s">
        <v>208</v>
      </c>
      <c r="P3418" s="345" t="s">
        <v>209</v>
      </c>
      <c r="Q3418" s="345" t="s">
        <v>210</v>
      </c>
      <c r="R3418" s="345" t="s">
        <v>223</v>
      </c>
      <c r="S3418" s="345" t="s">
        <v>224</v>
      </c>
    </row>
    <row r="3419" spans="1:19" x14ac:dyDescent="0.25">
      <c r="A3419" s="311"/>
      <c r="B3419" s="312"/>
      <c r="C3419" s="312"/>
      <c r="D3419" s="312"/>
      <c r="E3419" s="312"/>
      <c r="F3419" s="312"/>
      <c r="G3419" s="328"/>
      <c r="H3419" s="337"/>
      <c r="I3419" s="334"/>
      <c r="J3419" s="314"/>
      <c r="K3419" s="449"/>
      <c r="M3419" s="349" t="str">
        <f>N3419&amp;AS[[#This Row],[Insurer Code]]&amp;"; "&amp;O3419&amp;AS[[#This Row],[Reporting Year]]&amp;"; "&amp;P3419&amp;AS[[#This Row],[Insurance Category Code]]&amp;"; "&amp;Q3419&amp;AS[[#This Row],[Large Provider Entity Code]]&amp;"; "&amp;R3419&amp;AS[[#This Row],[Age Band Code]]&amp;"; "&amp;S3419&amp;AS[[#This Row],[Sex Code]]</f>
        <v xml:space="preserve">Insurer Code ; Reporting Year ; Insurance Category Code ; Large Provider Entity Code ; Age Band Code ; Sex Code </v>
      </c>
      <c r="N3419" s="345" t="s">
        <v>207</v>
      </c>
      <c r="O3419" s="345" t="s">
        <v>208</v>
      </c>
      <c r="P3419" s="345" t="s">
        <v>209</v>
      </c>
      <c r="Q3419" s="345" t="s">
        <v>210</v>
      </c>
      <c r="R3419" s="345" t="s">
        <v>223</v>
      </c>
      <c r="S3419" s="345" t="s">
        <v>224</v>
      </c>
    </row>
    <row r="3420" spans="1:19" x14ac:dyDescent="0.25">
      <c r="A3420" s="311"/>
      <c r="B3420" s="312"/>
      <c r="C3420" s="312"/>
      <c r="D3420" s="312"/>
      <c r="E3420" s="312"/>
      <c r="F3420" s="312"/>
      <c r="G3420" s="328"/>
      <c r="H3420" s="337"/>
      <c r="I3420" s="334"/>
      <c r="J3420" s="314"/>
      <c r="K3420" s="449"/>
      <c r="M3420" s="349" t="str">
        <f>N3420&amp;AS[[#This Row],[Insurer Code]]&amp;"; "&amp;O3420&amp;AS[[#This Row],[Reporting Year]]&amp;"; "&amp;P3420&amp;AS[[#This Row],[Insurance Category Code]]&amp;"; "&amp;Q3420&amp;AS[[#This Row],[Large Provider Entity Code]]&amp;"; "&amp;R3420&amp;AS[[#This Row],[Age Band Code]]&amp;"; "&amp;S3420&amp;AS[[#This Row],[Sex Code]]</f>
        <v xml:space="preserve">Insurer Code ; Reporting Year ; Insurance Category Code ; Large Provider Entity Code ; Age Band Code ; Sex Code </v>
      </c>
      <c r="N3420" s="345" t="s">
        <v>207</v>
      </c>
      <c r="O3420" s="345" t="s">
        <v>208</v>
      </c>
      <c r="P3420" s="345" t="s">
        <v>209</v>
      </c>
      <c r="Q3420" s="345" t="s">
        <v>210</v>
      </c>
      <c r="R3420" s="345" t="s">
        <v>223</v>
      </c>
      <c r="S3420" s="345" t="s">
        <v>224</v>
      </c>
    </row>
    <row r="3421" spans="1:19" x14ac:dyDescent="0.25">
      <c r="A3421" s="311"/>
      <c r="B3421" s="312"/>
      <c r="C3421" s="312"/>
      <c r="D3421" s="312"/>
      <c r="E3421" s="312"/>
      <c r="F3421" s="312"/>
      <c r="G3421" s="328"/>
      <c r="H3421" s="337"/>
      <c r="I3421" s="334"/>
      <c r="J3421" s="314"/>
      <c r="K3421" s="449"/>
      <c r="M3421" s="349" t="str">
        <f>N3421&amp;AS[[#This Row],[Insurer Code]]&amp;"; "&amp;O3421&amp;AS[[#This Row],[Reporting Year]]&amp;"; "&amp;P3421&amp;AS[[#This Row],[Insurance Category Code]]&amp;"; "&amp;Q3421&amp;AS[[#This Row],[Large Provider Entity Code]]&amp;"; "&amp;R3421&amp;AS[[#This Row],[Age Band Code]]&amp;"; "&amp;S3421&amp;AS[[#This Row],[Sex Code]]</f>
        <v xml:space="preserve">Insurer Code ; Reporting Year ; Insurance Category Code ; Large Provider Entity Code ; Age Band Code ; Sex Code </v>
      </c>
      <c r="N3421" s="345" t="s">
        <v>207</v>
      </c>
      <c r="O3421" s="345" t="s">
        <v>208</v>
      </c>
      <c r="P3421" s="345" t="s">
        <v>209</v>
      </c>
      <c r="Q3421" s="345" t="s">
        <v>210</v>
      </c>
      <c r="R3421" s="345" t="s">
        <v>223</v>
      </c>
      <c r="S3421" s="345" t="s">
        <v>224</v>
      </c>
    </row>
    <row r="3422" spans="1:19" x14ac:dyDescent="0.25">
      <c r="A3422" s="311"/>
      <c r="B3422" s="312"/>
      <c r="C3422" s="312"/>
      <c r="D3422" s="312"/>
      <c r="E3422" s="312"/>
      <c r="F3422" s="312"/>
      <c r="G3422" s="328"/>
      <c r="H3422" s="337"/>
      <c r="I3422" s="334"/>
      <c r="J3422" s="314"/>
      <c r="K3422" s="449"/>
      <c r="M3422" s="349" t="str">
        <f>N3422&amp;AS[[#This Row],[Insurer Code]]&amp;"; "&amp;O3422&amp;AS[[#This Row],[Reporting Year]]&amp;"; "&amp;P3422&amp;AS[[#This Row],[Insurance Category Code]]&amp;"; "&amp;Q3422&amp;AS[[#This Row],[Large Provider Entity Code]]&amp;"; "&amp;R3422&amp;AS[[#This Row],[Age Band Code]]&amp;"; "&amp;S3422&amp;AS[[#This Row],[Sex Code]]</f>
        <v xml:space="preserve">Insurer Code ; Reporting Year ; Insurance Category Code ; Large Provider Entity Code ; Age Band Code ; Sex Code </v>
      </c>
      <c r="N3422" s="345" t="s">
        <v>207</v>
      </c>
      <c r="O3422" s="345" t="s">
        <v>208</v>
      </c>
      <c r="P3422" s="345" t="s">
        <v>209</v>
      </c>
      <c r="Q3422" s="345" t="s">
        <v>210</v>
      </c>
      <c r="R3422" s="345" t="s">
        <v>223</v>
      </c>
      <c r="S3422" s="345" t="s">
        <v>224</v>
      </c>
    </row>
    <row r="3423" spans="1:19" x14ac:dyDescent="0.25">
      <c r="A3423" s="311"/>
      <c r="B3423" s="312"/>
      <c r="C3423" s="312"/>
      <c r="D3423" s="312"/>
      <c r="E3423" s="312"/>
      <c r="F3423" s="312"/>
      <c r="G3423" s="328"/>
      <c r="H3423" s="337"/>
      <c r="I3423" s="334"/>
      <c r="J3423" s="314"/>
      <c r="K3423" s="449"/>
      <c r="M3423" s="349" t="str">
        <f>N3423&amp;AS[[#This Row],[Insurer Code]]&amp;"; "&amp;O3423&amp;AS[[#This Row],[Reporting Year]]&amp;"; "&amp;P3423&amp;AS[[#This Row],[Insurance Category Code]]&amp;"; "&amp;Q3423&amp;AS[[#This Row],[Large Provider Entity Code]]&amp;"; "&amp;R3423&amp;AS[[#This Row],[Age Band Code]]&amp;"; "&amp;S3423&amp;AS[[#This Row],[Sex Code]]</f>
        <v xml:space="preserve">Insurer Code ; Reporting Year ; Insurance Category Code ; Large Provider Entity Code ; Age Band Code ; Sex Code </v>
      </c>
      <c r="N3423" s="345" t="s">
        <v>207</v>
      </c>
      <c r="O3423" s="345" t="s">
        <v>208</v>
      </c>
      <c r="P3423" s="345" t="s">
        <v>209</v>
      </c>
      <c r="Q3423" s="345" t="s">
        <v>210</v>
      </c>
      <c r="R3423" s="345" t="s">
        <v>223</v>
      </c>
      <c r="S3423" s="345" t="s">
        <v>224</v>
      </c>
    </row>
    <row r="3424" spans="1:19" x14ac:dyDescent="0.25">
      <c r="A3424" s="311"/>
      <c r="B3424" s="312"/>
      <c r="C3424" s="312"/>
      <c r="D3424" s="312"/>
      <c r="E3424" s="312"/>
      <c r="F3424" s="312"/>
      <c r="G3424" s="328"/>
      <c r="H3424" s="337"/>
      <c r="I3424" s="334"/>
      <c r="J3424" s="314"/>
      <c r="K3424" s="449"/>
      <c r="M3424" s="349" t="str">
        <f>N3424&amp;AS[[#This Row],[Insurer Code]]&amp;"; "&amp;O3424&amp;AS[[#This Row],[Reporting Year]]&amp;"; "&amp;P3424&amp;AS[[#This Row],[Insurance Category Code]]&amp;"; "&amp;Q3424&amp;AS[[#This Row],[Large Provider Entity Code]]&amp;"; "&amp;R3424&amp;AS[[#This Row],[Age Band Code]]&amp;"; "&amp;S3424&amp;AS[[#This Row],[Sex Code]]</f>
        <v xml:space="preserve">Insurer Code ; Reporting Year ; Insurance Category Code ; Large Provider Entity Code ; Age Band Code ; Sex Code </v>
      </c>
      <c r="N3424" s="345" t="s">
        <v>207</v>
      </c>
      <c r="O3424" s="345" t="s">
        <v>208</v>
      </c>
      <c r="P3424" s="345" t="s">
        <v>209</v>
      </c>
      <c r="Q3424" s="345" t="s">
        <v>210</v>
      </c>
      <c r="R3424" s="345" t="s">
        <v>223</v>
      </c>
      <c r="S3424" s="345" t="s">
        <v>224</v>
      </c>
    </row>
    <row r="3425" spans="1:19" x14ac:dyDescent="0.25">
      <c r="A3425" s="311"/>
      <c r="B3425" s="312"/>
      <c r="C3425" s="312"/>
      <c r="D3425" s="312"/>
      <c r="E3425" s="312"/>
      <c r="F3425" s="312"/>
      <c r="G3425" s="328"/>
      <c r="H3425" s="337"/>
      <c r="I3425" s="334"/>
      <c r="J3425" s="314"/>
      <c r="K3425" s="449"/>
      <c r="M3425" s="349" t="str">
        <f>N3425&amp;AS[[#This Row],[Insurer Code]]&amp;"; "&amp;O3425&amp;AS[[#This Row],[Reporting Year]]&amp;"; "&amp;P3425&amp;AS[[#This Row],[Insurance Category Code]]&amp;"; "&amp;Q3425&amp;AS[[#This Row],[Large Provider Entity Code]]&amp;"; "&amp;R3425&amp;AS[[#This Row],[Age Band Code]]&amp;"; "&amp;S3425&amp;AS[[#This Row],[Sex Code]]</f>
        <v xml:space="preserve">Insurer Code ; Reporting Year ; Insurance Category Code ; Large Provider Entity Code ; Age Band Code ; Sex Code </v>
      </c>
      <c r="N3425" s="345" t="s">
        <v>207</v>
      </c>
      <c r="O3425" s="345" t="s">
        <v>208</v>
      </c>
      <c r="P3425" s="345" t="s">
        <v>209</v>
      </c>
      <c r="Q3425" s="345" t="s">
        <v>210</v>
      </c>
      <c r="R3425" s="345" t="s">
        <v>223</v>
      </c>
      <c r="S3425" s="345" t="s">
        <v>224</v>
      </c>
    </row>
    <row r="3426" spans="1:19" x14ac:dyDescent="0.25">
      <c r="A3426" s="311"/>
      <c r="B3426" s="312"/>
      <c r="C3426" s="312"/>
      <c r="D3426" s="312"/>
      <c r="E3426" s="312"/>
      <c r="F3426" s="312"/>
      <c r="G3426" s="328"/>
      <c r="H3426" s="337"/>
      <c r="I3426" s="334"/>
      <c r="J3426" s="314"/>
      <c r="K3426" s="449"/>
      <c r="M3426" s="349" t="str">
        <f>N3426&amp;AS[[#This Row],[Insurer Code]]&amp;"; "&amp;O3426&amp;AS[[#This Row],[Reporting Year]]&amp;"; "&amp;P3426&amp;AS[[#This Row],[Insurance Category Code]]&amp;"; "&amp;Q3426&amp;AS[[#This Row],[Large Provider Entity Code]]&amp;"; "&amp;R3426&amp;AS[[#This Row],[Age Band Code]]&amp;"; "&amp;S3426&amp;AS[[#This Row],[Sex Code]]</f>
        <v xml:space="preserve">Insurer Code ; Reporting Year ; Insurance Category Code ; Large Provider Entity Code ; Age Band Code ; Sex Code </v>
      </c>
      <c r="N3426" s="345" t="s">
        <v>207</v>
      </c>
      <c r="O3426" s="345" t="s">
        <v>208</v>
      </c>
      <c r="P3426" s="345" t="s">
        <v>209</v>
      </c>
      <c r="Q3426" s="345" t="s">
        <v>210</v>
      </c>
      <c r="R3426" s="345" t="s">
        <v>223</v>
      </c>
      <c r="S3426" s="345" t="s">
        <v>224</v>
      </c>
    </row>
    <row r="3427" spans="1:19" x14ac:dyDescent="0.25">
      <c r="A3427" s="311"/>
      <c r="B3427" s="312"/>
      <c r="C3427" s="312"/>
      <c r="D3427" s="312"/>
      <c r="E3427" s="312"/>
      <c r="F3427" s="312"/>
      <c r="G3427" s="328"/>
      <c r="H3427" s="337"/>
      <c r="I3427" s="334"/>
      <c r="J3427" s="314"/>
      <c r="K3427" s="449"/>
      <c r="M3427" s="349" t="str">
        <f>N3427&amp;AS[[#This Row],[Insurer Code]]&amp;"; "&amp;O3427&amp;AS[[#This Row],[Reporting Year]]&amp;"; "&amp;P3427&amp;AS[[#This Row],[Insurance Category Code]]&amp;"; "&amp;Q3427&amp;AS[[#This Row],[Large Provider Entity Code]]&amp;"; "&amp;R3427&amp;AS[[#This Row],[Age Band Code]]&amp;"; "&amp;S3427&amp;AS[[#This Row],[Sex Code]]</f>
        <v xml:space="preserve">Insurer Code ; Reporting Year ; Insurance Category Code ; Large Provider Entity Code ; Age Band Code ; Sex Code </v>
      </c>
      <c r="N3427" s="345" t="s">
        <v>207</v>
      </c>
      <c r="O3427" s="345" t="s">
        <v>208</v>
      </c>
      <c r="P3427" s="345" t="s">
        <v>209</v>
      </c>
      <c r="Q3427" s="345" t="s">
        <v>210</v>
      </c>
      <c r="R3427" s="345" t="s">
        <v>223</v>
      </c>
      <c r="S3427" s="345" t="s">
        <v>224</v>
      </c>
    </row>
    <row r="3428" spans="1:19" x14ac:dyDescent="0.25">
      <c r="A3428" s="311"/>
      <c r="B3428" s="312"/>
      <c r="C3428" s="312"/>
      <c r="D3428" s="312"/>
      <c r="E3428" s="312"/>
      <c r="F3428" s="312"/>
      <c r="G3428" s="328"/>
      <c r="H3428" s="337"/>
      <c r="I3428" s="334"/>
      <c r="J3428" s="314"/>
      <c r="K3428" s="449"/>
      <c r="M3428" s="349" t="str">
        <f>N3428&amp;AS[[#This Row],[Insurer Code]]&amp;"; "&amp;O3428&amp;AS[[#This Row],[Reporting Year]]&amp;"; "&amp;P3428&amp;AS[[#This Row],[Insurance Category Code]]&amp;"; "&amp;Q3428&amp;AS[[#This Row],[Large Provider Entity Code]]&amp;"; "&amp;R3428&amp;AS[[#This Row],[Age Band Code]]&amp;"; "&amp;S3428&amp;AS[[#This Row],[Sex Code]]</f>
        <v xml:space="preserve">Insurer Code ; Reporting Year ; Insurance Category Code ; Large Provider Entity Code ; Age Band Code ; Sex Code </v>
      </c>
      <c r="N3428" s="345" t="s">
        <v>207</v>
      </c>
      <c r="O3428" s="345" t="s">
        <v>208</v>
      </c>
      <c r="P3428" s="345" t="s">
        <v>209</v>
      </c>
      <c r="Q3428" s="345" t="s">
        <v>210</v>
      </c>
      <c r="R3428" s="345" t="s">
        <v>223</v>
      </c>
      <c r="S3428" s="345" t="s">
        <v>224</v>
      </c>
    </row>
    <row r="3429" spans="1:19" x14ac:dyDescent="0.25">
      <c r="A3429" s="311"/>
      <c r="B3429" s="312"/>
      <c r="C3429" s="312"/>
      <c r="D3429" s="312"/>
      <c r="E3429" s="312"/>
      <c r="F3429" s="312"/>
      <c r="G3429" s="328"/>
      <c r="H3429" s="337"/>
      <c r="I3429" s="334"/>
      <c r="J3429" s="314"/>
      <c r="K3429" s="449"/>
      <c r="M3429" s="349" t="str">
        <f>N3429&amp;AS[[#This Row],[Insurer Code]]&amp;"; "&amp;O3429&amp;AS[[#This Row],[Reporting Year]]&amp;"; "&amp;P3429&amp;AS[[#This Row],[Insurance Category Code]]&amp;"; "&amp;Q3429&amp;AS[[#This Row],[Large Provider Entity Code]]&amp;"; "&amp;R3429&amp;AS[[#This Row],[Age Band Code]]&amp;"; "&amp;S3429&amp;AS[[#This Row],[Sex Code]]</f>
        <v xml:space="preserve">Insurer Code ; Reporting Year ; Insurance Category Code ; Large Provider Entity Code ; Age Band Code ; Sex Code </v>
      </c>
      <c r="N3429" s="345" t="s">
        <v>207</v>
      </c>
      <c r="O3429" s="345" t="s">
        <v>208</v>
      </c>
      <c r="P3429" s="345" t="s">
        <v>209</v>
      </c>
      <c r="Q3429" s="345" t="s">
        <v>210</v>
      </c>
      <c r="R3429" s="345" t="s">
        <v>223</v>
      </c>
      <c r="S3429" s="345" t="s">
        <v>224</v>
      </c>
    </row>
    <row r="3430" spans="1:19" x14ac:dyDescent="0.25">
      <c r="A3430" s="311"/>
      <c r="B3430" s="312"/>
      <c r="C3430" s="312"/>
      <c r="D3430" s="312"/>
      <c r="E3430" s="312"/>
      <c r="F3430" s="312"/>
      <c r="G3430" s="328"/>
      <c r="H3430" s="337"/>
      <c r="I3430" s="334"/>
      <c r="J3430" s="314"/>
      <c r="K3430" s="449"/>
      <c r="M3430" s="349" t="str">
        <f>N3430&amp;AS[[#This Row],[Insurer Code]]&amp;"; "&amp;O3430&amp;AS[[#This Row],[Reporting Year]]&amp;"; "&amp;P3430&amp;AS[[#This Row],[Insurance Category Code]]&amp;"; "&amp;Q3430&amp;AS[[#This Row],[Large Provider Entity Code]]&amp;"; "&amp;R3430&amp;AS[[#This Row],[Age Band Code]]&amp;"; "&amp;S3430&amp;AS[[#This Row],[Sex Code]]</f>
        <v xml:space="preserve">Insurer Code ; Reporting Year ; Insurance Category Code ; Large Provider Entity Code ; Age Band Code ; Sex Code </v>
      </c>
      <c r="N3430" s="345" t="s">
        <v>207</v>
      </c>
      <c r="O3430" s="345" t="s">
        <v>208</v>
      </c>
      <c r="P3430" s="345" t="s">
        <v>209</v>
      </c>
      <c r="Q3430" s="345" t="s">
        <v>210</v>
      </c>
      <c r="R3430" s="345" t="s">
        <v>223</v>
      </c>
      <c r="S3430" s="345" t="s">
        <v>224</v>
      </c>
    </row>
    <row r="3431" spans="1:19" x14ac:dyDescent="0.25">
      <c r="A3431" s="311"/>
      <c r="B3431" s="312"/>
      <c r="C3431" s="312"/>
      <c r="D3431" s="312"/>
      <c r="E3431" s="312"/>
      <c r="F3431" s="312"/>
      <c r="G3431" s="328"/>
      <c r="H3431" s="337"/>
      <c r="I3431" s="334"/>
      <c r="J3431" s="314"/>
      <c r="K3431" s="449"/>
      <c r="M3431" s="349" t="str">
        <f>N3431&amp;AS[[#This Row],[Insurer Code]]&amp;"; "&amp;O3431&amp;AS[[#This Row],[Reporting Year]]&amp;"; "&amp;P3431&amp;AS[[#This Row],[Insurance Category Code]]&amp;"; "&amp;Q3431&amp;AS[[#This Row],[Large Provider Entity Code]]&amp;"; "&amp;R3431&amp;AS[[#This Row],[Age Band Code]]&amp;"; "&amp;S3431&amp;AS[[#This Row],[Sex Code]]</f>
        <v xml:space="preserve">Insurer Code ; Reporting Year ; Insurance Category Code ; Large Provider Entity Code ; Age Band Code ; Sex Code </v>
      </c>
      <c r="N3431" s="345" t="s">
        <v>207</v>
      </c>
      <c r="O3431" s="345" t="s">
        <v>208</v>
      </c>
      <c r="P3431" s="345" t="s">
        <v>209</v>
      </c>
      <c r="Q3431" s="345" t="s">
        <v>210</v>
      </c>
      <c r="R3431" s="345" t="s">
        <v>223</v>
      </c>
      <c r="S3431" s="345" t="s">
        <v>224</v>
      </c>
    </row>
    <row r="3432" spans="1:19" x14ac:dyDescent="0.25">
      <c r="A3432" s="311"/>
      <c r="B3432" s="312"/>
      <c r="C3432" s="312"/>
      <c r="D3432" s="312"/>
      <c r="E3432" s="312"/>
      <c r="F3432" s="312"/>
      <c r="G3432" s="328"/>
      <c r="H3432" s="337"/>
      <c r="I3432" s="334"/>
      <c r="J3432" s="314"/>
      <c r="K3432" s="449"/>
      <c r="M3432" s="349" t="str">
        <f>N3432&amp;AS[[#This Row],[Insurer Code]]&amp;"; "&amp;O3432&amp;AS[[#This Row],[Reporting Year]]&amp;"; "&amp;P3432&amp;AS[[#This Row],[Insurance Category Code]]&amp;"; "&amp;Q3432&amp;AS[[#This Row],[Large Provider Entity Code]]&amp;"; "&amp;R3432&amp;AS[[#This Row],[Age Band Code]]&amp;"; "&amp;S3432&amp;AS[[#This Row],[Sex Code]]</f>
        <v xml:space="preserve">Insurer Code ; Reporting Year ; Insurance Category Code ; Large Provider Entity Code ; Age Band Code ; Sex Code </v>
      </c>
      <c r="N3432" s="345" t="s">
        <v>207</v>
      </c>
      <c r="O3432" s="345" t="s">
        <v>208</v>
      </c>
      <c r="P3432" s="345" t="s">
        <v>209</v>
      </c>
      <c r="Q3432" s="345" t="s">
        <v>210</v>
      </c>
      <c r="R3432" s="345" t="s">
        <v>223</v>
      </c>
      <c r="S3432" s="345" t="s">
        <v>224</v>
      </c>
    </row>
    <row r="3433" spans="1:19" x14ac:dyDescent="0.25">
      <c r="A3433" s="311"/>
      <c r="B3433" s="312"/>
      <c r="C3433" s="312"/>
      <c r="D3433" s="312"/>
      <c r="E3433" s="312"/>
      <c r="F3433" s="312"/>
      <c r="G3433" s="328"/>
      <c r="H3433" s="337"/>
      <c r="I3433" s="334"/>
      <c r="J3433" s="314"/>
      <c r="K3433" s="449"/>
      <c r="M3433" s="349" t="str">
        <f>N3433&amp;AS[[#This Row],[Insurer Code]]&amp;"; "&amp;O3433&amp;AS[[#This Row],[Reporting Year]]&amp;"; "&amp;P3433&amp;AS[[#This Row],[Insurance Category Code]]&amp;"; "&amp;Q3433&amp;AS[[#This Row],[Large Provider Entity Code]]&amp;"; "&amp;R3433&amp;AS[[#This Row],[Age Band Code]]&amp;"; "&amp;S3433&amp;AS[[#This Row],[Sex Code]]</f>
        <v xml:space="preserve">Insurer Code ; Reporting Year ; Insurance Category Code ; Large Provider Entity Code ; Age Band Code ; Sex Code </v>
      </c>
      <c r="N3433" s="345" t="s">
        <v>207</v>
      </c>
      <c r="O3433" s="345" t="s">
        <v>208</v>
      </c>
      <c r="P3433" s="345" t="s">
        <v>209</v>
      </c>
      <c r="Q3433" s="345" t="s">
        <v>210</v>
      </c>
      <c r="R3433" s="345" t="s">
        <v>223</v>
      </c>
      <c r="S3433" s="345" t="s">
        <v>224</v>
      </c>
    </row>
    <row r="3434" spans="1:19" x14ac:dyDescent="0.25">
      <c r="A3434" s="311"/>
      <c r="B3434" s="312"/>
      <c r="C3434" s="312"/>
      <c r="D3434" s="312"/>
      <c r="E3434" s="312"/>
      <c r="F3434" s="312"/>
      <c r="G3434" s="328"/>
      <c r="H3434" s="337"/>
      <c r="I3434" s="334"/>
      <c r="J3434" s="314"/>
      <c r="K3434" s="449"/>
      <c r="M3434" s="349" t="str">
        <f>N3434&amp;AS[[#This Row],[Insurer Code]]&amp;"; "&amp;O3434&amp;AS[[#This Row],[Reporting Year]]&amp;"; "&amp;P3434&amp;AS[[#This Row],[Insurance Category Code]]&amp;"; "&amp;Q3434&amp;AS[[#This Row],[Large Provider Entity Code]]&amp;"; "&amp;R3434&amp;AS[[#This Row],[Age Band Code]]&amp;"; "&amp;S3434&amp;AS[[#This Row],[Sex Code]]</f>
        <v xml:space="preserve">Insurer Code ; Reporting Year ; Insurance Category Code ; Large Provider Entity Code ; Age Band Code ; Sex Code </v>
      </c>
      <c r="N3434" s="345" t="s">
        <v>207</v>
      </c>
      <c r="O3434" s="345" t="s">
        <v>208</v>
      </c>
      <c r="P3434" s="345" t="s">
        <v>209</v>
      </c>
      <c r="Q3434" s="345" t="s">
        <v>210</v>
      </c>
      <c r="R3434" s="345" t="s">
        <v>223</v>
      </c>
      <c r="S3434" s="345" t="s">
        <v>224</v>
      </c>
    </row>
    <row r="3435" spans="1:19" x14ac:dyDescent="0.25">
      <c r="A3435" s="311"/>
      <c r="B3435" s="312"/>
      <c r="C3435" s="312"/>
      <c r="D3435" s="312"/>
      <c r="E3435" s="312"/>
      <c r="F3435" s="312"/>
      <c r="G3435" s="328"/>
      <c r="H3435" s="337"/>
      <c r="I3435" s="334"/>
      <c r="J3435" s="314"/>
      <c r="K3435" s="449"/>
      <c r="M3435" s="349" t="str">
        <f>N3435&amp;AS[[#This Row],[Insurer Code]]&amp;"; "&amp;O3435&amp;AS[[#This Row],[Reporting Year]]&amp;"; "&amp;P3435&amp;AS[[#This Row],[Insurance Category Code]]&amp;"; "&amp;Q3435&amp;AS[[#This Row],[Large Provider Entity Code]]&amp;"; "&amp;R3435&amp;AS[[#This Row],[Age Band Code]]&amp;"; "&amp;S3435&amp;AS[[#This Row],[Sex Code]]</f>
        <v xml:space="preserve">Insurer Code ; Reporting Year ; Insurance Category Code ; Large Provider Entity Code ; Age Band Code ; Sex Code </v>
      </c>
      <c r="N3435" s="345" t="s">
        <v>207</v>
      </c>
      <c r="O3435" s="345" t="s">
        <v>208</v>
      </c>
      <c r="P3435" s="345" t="s">
        <v>209</v>
      </c>
      <c r="Q3435" s="345" t="s">
        <v>210</v>
      </c>
      <c r="R3435" s="345" t="s">
        <v>223</v>
      </c>
      <c r="S3435" s="345" t="s">
        <v>224</v>
      </c>
    </row>
    <row r="3436" spans="1:19" x14ac:dyDescent="0.25">
      <c r="A3436" s="311"/>
      <c r="B3436" s="312"/>
      <c r="C3436" s="312"/>
      <c r="D3436" s="312"/>
      <c r="E3436" s="312"/>
      <c r="F3436" s="312"/>
      <c r="G3436" s="328"/>
      <c r="H3436" s="337"/>
      <c r="I3436" s="334"/>
      <c r="J3436" s="314"/>
      <c r="K3436" s="449"/>
      <c r="M3436" s="349" t="str">
        <f>N3436&amp;AS[[#This Row],[Insurer Code]]&amp;"; "&amp;O3436&amp;AS[[#This Row],[Reporting Year]]&amp;"; "&amp;P3436&amp;AS[[#This Row],[Insurance Category Code]]&amp;"; "&amp;Q3436&amp;AS[[#This Row],[Large Provider Entity Code]]&amp;"; "&amp;R3436&amp;AS[[#This Row],[Age Band Code]]&amp;"; "&amp;S3436&amp;AS[[#This Row],[Sex Code]]</f>
        <v xml:space="preserve">Insurer Code ; Reporting Year ; Insurance Category Code ; Large Provider Entity Code ; Age Band Code ; Sex Code </v>
      </c>
      <c r="N3436" s="345" t="s">
        <v>207</v>
      </c>
      <c r="O3436" s="345" t="s">
        <v>208</v>
      </c>
      <c r="P3436" s="345" t="s">
        <v>209</v>
      </c>
      <c r="Q3436" s="345" t="s">
        <v>210</v>
      </c>
      <c r="R3436" s="345" t="s">
        <v>223</v>
      </c>
      <c r="S3436" s="345" t="s">
        <v>224</v>
      </c>
    </row>
    <row r="3437" spans="1:19" x14ac:dyDescent="0.25">
      <c r="A3437" s="311"/>
      <c r="B3437" s="312"/>
      <c r="C3437" s="312"/>
      <c r="D3437" s="312"/>
      <c r="E3437" s="312"/>
      <c r="F3437" s="312"/>
      <c r="G3437" s="328"/>
      <c r="H3437" s="337"/>
      <c r="I3437" s="334"/>
      <c r="J3437" s="314"/>
      <c r="K3437" s="449"/>
      <c r="M3437" s="349" t="str">
        <f>N3437&amp;AS[[#This Row],[Insurer Code]]&amp;"; "&amp;O3437&amp;AS[[#This Row],[Reporting Year]]&amp;"; "&amp;P3437&amp;AS[[#This Row],[Insurance Category Code]]&amp;"; "&amp;Q3437&amp;AS[[#This Row],[Large Provider Entity Code]]&amp;"; "&amp;R3437&amp;AS[[#This Row],[Age Band Code]]&amp;"; "&amp;S3437&amp;AS[[#This Row],[Sex Code]]</f>
        <v xml:space="preserve">Insurer Code ; Reporting Year ; Insurance Category Code ; Large Provider Entity Code ; Age Band Code ; Sex Code </v>
      </c>
      <c r="N3437" s="345" t="s">
        <v>207</v>
      </c>
      <c r="O3437" s="345" t="s">
        <v>208</v>
      </c>
      <c r="P3437" s="345" t="s">
        <v>209</v>
      </c>
      <c r="Q3437" s="345" t="s">
        <v>210</v>
      </c>
      <c r="R3437" s="345" t="s">
        <v>223</v>
      </c>
      <c r="S3437" s="345" t="s">
        <v>224</v>
      </c>
    </row>
    <row r="3438" spans="1:19" x14ac:dyDescent="0.25">
      <c r="A3438" s="311"/>
      <c r="B3438" s="312"/>
      <c r="C3438" s="312"/>
      <c r="D3438" s="312"/>
      <c r="E3438" s="312"/>
      <c r="F3438" s="312"/>
      <c r="G3438" s="328"/>
      <c r="H3438" s="337"/>
      <c r="I3438" s="334"/>
      <c r="J3438" s="314"/>
      <c r="K3438" s="449"/>
      <c r="M3438" s="349" t="str">
        <f>N3438&amp;AS[[#This Row],[Insurer Code]]&amp;"; "&amp;O3438&amp;AS[[#This Row],[Reporting Year]]&amp;"; "&amp;P3438&amp;AS[[#This Row],[Insurance Category Code]]&amp;"; "&amp;Q3438&amp;AS[[#This Row],[Large Provider Entity Code]]&amp;"; "&amp;R3438&amp;AS[[#This Row],[Age Band Code]]&amp;"; "&amp;S3438&amp;AS[[#This Row],[Sex Code]]</f>
        <v xml:space="preserve">Insurer Code ; Reporting Year ; Insurance Category Code ; Large Provider Entity Code ; Age Band Code ; Sex Code </v>
      </c>
      <c r="N3438" s="345" t="s">
        <v>207</v>
      </c>
      <c r="O3438" s="345" t="s">
        <v>208</v>
      </c>
      <c r="P3438" s="345" t="s">
        <v>209</v>
      </c>
      <c r="Q3438" s="345" t="s">
        <v>210</v>
      </c>
      <c r="R3438" s="345" t="s">
        <v>223</v>
      </c>
      <c r="S3438" s="345" t="s">
        <v>224</v>
      </c>
    </row>
    <row r="3439" spans="1:19" x14ac:dyDescent="0.25">
      <c r="A3439" s="311"/>
      <c r="B3439" s="312"/>
      <c r="C3439" s="312"/>
      <c r="D3439" s="312"/>
      <c r="E3439" s="312"/>
      <c r="F3439" s="312"/>
      <c r="G3439" s="328"/>
      <c r="H3439" s="337"/>
      <c r="I3439" s="334"/>
      <c r="J3439" s="314"/>
      <c r="K3439" s="449"/>
      <c r="M3439" s="349" t="str">
        <f>N3439&amp;AS[[#This Row],[Insurer Code]]&amp;"; "&amp;O3439&amp;AS[[#This Row],[Reporting Year]]&amp;"; "&amp;P3439&amp;AS[[#This Row],[Insurance Category Code]]&amp;"; "&amp;Q3439&amp;AS[[#This Row],[Large Provider Entity Code]]&amp;"; "&amp;R3439&amp;AS[[#This Row],[Age Band Code]]&amp;"; "&amp;S3439&amp;AS[[#This Row],[Sex Code]]</f>
        <v xml:space="preserve">Insurer Code ; Reporting Year ; Insurance Category Code ; Large Provider Entity Code ; Age Band Code ; Sex Code </v>
      </c>
      <c r="N3439" s="345" t="s">
        <v>207</v>
      </c>
      <c r="O3439" s="345" t="s">
        <v>208</v>
      </c>
      <c r="P3439" s="345" t="s">
        <v>209</v>
      </c>
      <c r="Q3439" s="345" t="s">
        <v>210</v>
      </c>
      <c r="R3439" s="345" t="s">
        <v>223</v>
      </c>
      <c r="S3439" s="345" t="s">
        <v>224</v>
      </c>
    </row>
    <row r="3440" spans="1:19" x14ac:dyDescent="0.25">
      <c r="A3440" s="311"/>
      <c r="B3440" s="312"/>
      <c r="C3440" s="312"/>
      <c r="D3440" s="312"/>
      <c r="E3440" s="312"/>
      <c r="F3440" s="312"/>
      <c r="G3440" s="328"/>
      <c r="H3440" s="337"/>
      <c r="I3440" s="334"/>
      <c r="J3440" s="314"/>
      <c r="K3440" s="449"/>
      <c r="M3440" s="349" t="str">
        <f>N3440&amp;AS[[#This Row],[Insurer Code]]&amp;"; "&amp;O3440&amp;AS[[#This Row],[Reporting Year]]&amp;"; "&amp;P3440&amp;AS[[#This Row],[Insurance Category Code]]&amp;"; "&amp;Q3440&amp;AS[[#This Row],[Large Provider Entity Code]]&amp;"; "&amp;R3440&amp;AS[[#This Row],[Age Band Code]]&amp;"; "&amp;S3440&amp;AS[[#This Row],[Sex Code]]</f>
        <v xml:space="preserve">Insurer Code ; Reporting Year ; Insurance Category Code ; Large Provider Entity Code ; Age Band Code ; Sex Code </v>
      </c>
      <c r="N3440" s="345" t="s">
        <v>207</v>
      </c>
      <c r="O3440" s="345" t="s">
        <v>208</v>
      </c>
      <c r="P3440" s="345" t="s">
        <v>209</v>
      </c>
      <c r="Q3440" s="345" t="s">
        <v>210</v>
      </c>
      <c r="R3440" s="345" t="s">
        <v>223</v>
      </c>
      <c r="S3440" s="345" t="s">
        <v>224</v>
      </c>
    </row>
    <row r="3441" spans="1:19" x14ac:dyDescent="0.25">
      <c r="A3441" s="311"/>
      <c r="B3441" s="312"/>
      <c r="C3441" s="312"/>
      <c r="D3441" s="312"/>
      <c r="E3441" s="312"/>
      <c r="F3441" s="312"/>
      <c r="G3441" s="328"/>
      <c r="H3441" s="337"/>
      <c r="I3441" s="334"/>
      <c r="J3441" s="314"/>
      <c r="K3441" s="449"/>
      <c r="M3441" s="349" t="str">
        <f>N3441&amp;AS[[#This Row],[Insurer Code]]&amp;"; "&amp;O3441&amp;AS[[#This Row],[Reporting Year]]&amp;"; "&amp;P3441&amp;AS[[#This Row],[Insurance Category Code]]&amp;"; "&amp;Q3441&amp;AS[[#This Row],[Large Provider Entity Code]]&amp;"; "&amp;R3441&amp;AS[[#This Row],[Age Band Code]]&amp;"; "&amp;S3441&amp;AS[[#This Row],[Sex Code]]</f>
        <v xml:space="preserve">Insurer Code ; Reporting Year ; Insurance Category Code ; Large Provider Entity Code ; Age Band Code ; Sex Code </v>
      </c>
      <c r="N3441" s="345" t="s">
        <v>207</v>
      </c>
      <c r="O3441" s="345" t="s">
        <v>208</v>
      </c>
      <c r="P3441" s="345" t="s">
        <v>209</v>
      </c>
      <c r="Q3441" s="345" t="s">
        <v>210</v>
      </c>
      <c r="R3441" s="345" t="s">
        <v>223</v>
      </c>
      <c r="S3441" s="345" t="s">
        <v>224</v>
      </c>
    </row>
    <row r="3442" spans="1:19" x14ac:dyDescent="0.25">
      <c r="A3442" s="311"/>
      <c r="B3442" s="312"/>
      <c r="C3442" s="312"/>
      <c r="D3442" s="312"/>
      <c r="E3442" s="312"/>
      <c r="F3442" s="312"/>
      <c r="G3442" s="328"/>
      <c r="H3442" s="337"/>
      <c r="I3442" s="334"/>
      <c r="J3442" s="314"/>
      <c r="K3442" s="449"/>
      <c r="M3442" s="349" t="str">
        <f>N3442&amp;AS[[#This Row],[Insurer Code]]&amp;"; "&amp;O3442&amp;AS[[#This Row],[Reporting Year]]&amp;"; "&amp;P3442&amp;AS[[#This Row],[Insurance Category Code]]&amp;"; "&amp;Q3442&amp;AS[[#This Row],[Large Provider Entity Code]]&amp;"; "&amp;R3442&amp;AS[[#This Row],[Age Band Code]]&amp;"; "&amp;S3442&amp;AS[[#This Row],[Sex Code]]</f>
        <v xml:space="preserve">Insurer Code ; Reporting Year ; Insurance Category Code ; Large Provider Entity Code ; Age Band Code ; Sex Code </v>
      </c>
      <c r="N3442" s="345" t="s">
        <v>207</v>
      </c>
      <c r="O3442" s="345" t="s">
        <v>208</v>
      </c>
      <c r="P3442" s="345" t="s">
        <v>209</v>
      </c>
      <c r="Q3442" s="345" t="s">
        <v>210</v>
      </c>
      <c r="R3442" s="345" t="s">
        <v>223</v>
      </c>
      <c r="S3442" s="345" t="s">
        <v>224</v>
      </c>
    </row>
    <row r="3443" spans="1:19" x14ac:dyDescent="0.25">
      <c r="A3443" s="311"/>
      <c r="B3443" s="312"/>
      <c r="C3443" s="312"/>
      <c r="D3443" s="312"/>
      <c r="E3443" s="312"/>
      <c r="F3443" s="312"/>
      <c r="G3443" s="328"/>
      <c r="H3443" s="337"/>
      <c r="I3443" s="334"/>
      <c r="J3443" s="314"/>
      <c r="K3443" s="449"/>
      <c r="M3443" s="349" t="str">
        <f>N3443&amp;AS[[#This Row],[Insurer Code]]&amp;"; "&amp;O3443&amp;AS[[#This Row],[Reporting Year]]&amp;"; "&amp;P3443&amp;AS[[#This Row],[Insurance Category Code]]&amp;"; "&amp;Q3443&amp;AS[[#This Row],[Large Provider Entity Code]]&amp;"; "&amp;R3443&amp;AS[[#This Row],[Age Band Code]]&amp;"; "&amp;S3443&amp;AS[[#This Row],[Sex Code]]</f>
        <v xml:space="preserve">Insurer Code ; Reporting Year ; Insurance Category Code ; Large Provider Entity Code ; Age Band Code ; Sex Code </v>
      </c>
      <c r="N3443" s="345" t="s">
        <v>207</v>
      </c>
      <c r="O3443" s="345" t="s">
        <v>208</v>
      </c>
      <c r="P3443" s="345" t="s">
        <v>209</v>
      </c>
      <c r="Q3443" s="345" t="s">
        <v>210</v>
      </c>
      <c r="R3443" s="345" t="s">
        <v>223</v>
      </c>
      <c r="S3443" s="345" t="s">
        <v>224</v>
      </c>
    </row>
    <row r="3444" spans="1:19" x14ac:dyDescent="0.25">
      <c r="A3444" s="311"/>
      <c r="B3444" s="312"/>
      <c r="C3444" s="312"/>
      <c r="D3444" s="312"/>
      <c r="E3444" s="312"/>
      <c r="F3444" s="312"/>
      <c r="G3444" s="328"/>
      <c r="H3444" s="337"/>
      <c r="I3444" s="334"/>
      <c r="J3444" s="314"/>
      <c r="K3444" s="449"/>
      <c r="M3444" s="349" t="str">
        <f>N3444&amp;AS[[#This Row],[Insurer Code]]&amp;"; "&amp;O3444&amp;AS[[#This Row],[Reporting Year]]&amp;"; "&amp;P3444&amp;AS[[#This Row],[Insurance Category Code]]&amp;"; "&amp;Q3444&amp;AS[[#This Row],[Large Provider Entity Code]]&amp;"; "&amp;R3444&amp;AS[[#This Row],[Age Band Code]]&amp;"; "&amp;S3444&amp;AS[[#This Row],[Sex Code]]</f>
        <v xml:space="preserve">Insurer Code ; Reporting Year ; Insurance Category Code ; Large Provider Entity Code ; Age Band Code ; Sex Code </v>
      </c>
      <c r="N3444" s="345" t="s">
        <v>207</v>
      </c>
      <c r="O3444" s="345" t="s">
        <v>208</v>
      </c>
      <c r="P3444" s="345" t="s">
        <v>209</v>
      </c>
      <c r="Q3444" s="345" t="s">
        <v>210</v>
      </c>
      <c r="R3444" s="345" t="s">
        <v>223</v>
      </c>
      <c r="S3444" s="345" t="s">
        <v>224</v>
      </c>
    </row>
    <row r="3445" spans="1:19" x14ac:dyDescent="0.25">
      <c r="A3445" s="311"/>
      <c r="B3445" s="312"/>
      <c r="C3445" s="312"/>
      <c r="D3445" s="312"/>
      <c r="E3445" s="312"/>
      <c r="F3445" s="312"/>
      <c r="G3445" s="328"/>
      <c r="H3445" s="337"/>
      <c r="I3445" s="334"/>
      <c r="J3445" s="314"/>
      <c r="K3445" s="449"/>
      <c r="M3445" s="349" t="str">
        <f>N3445&amp;AS[[#This Row],[Insurer Code]]&amp;"; "&amp;O3445&amp;AS[[#This Row],[Reporting Year]]&amp;"; "&amp;P3445&amp;AS[[#This Row],[Insurance Category Code]]&amp;"; "&amp;Q3445&amp;AS[[#This Row],[Large Provider Entity Code]]&amp;"; "&amp;R3445&amp;AS[[#This Row],[Age Band Code]]&amp;"; "&amp;S3445&amp;AS[[#This Row],[Sex Code]]</f>
        <v xml:space="preserve">Insurer Code ; Reporting Year ; Insurance Category Code ; Large Provider Entity Code ; Age Band Code ; Sex Code </v>
      </c>
      <c r="N3445" s="345" t="s">
        <v>207</v>
      </c>
      <c r="O3445" s="345" t="s">
        <v>208</v>
      </c>
      <c r="P3445" s="345" t="s">
        <v>209</v>
      </c>
      <c r="Q3445" s="345" t="s">
        <v>210</v>
      </c>
      <c r="R3445" s="345" t="s">
        <v>223</v>
      </c>
      <c r="S3445" s="345" t="s">
        <v>224</v>
      </c>
    </row>
    <row r="3446" spans="1:19" x14ac:dyDescent="0.25">
      <c r="A3446" s="311"/>
      <c r="B3446" s="312"/>
      <c r="C3446" s="312"/>
      <c r="D3446" s="312"/>
      <c r="E3446" s="312"/>
      <c r="F3446" s="312"/>
      <c r="G3446" s="328"/>
      <c r="H3446" s="337"/>
      <c r="I3446" s="334"/>
      <c r="J3446" s="314"/>
      <c r="K3446" s="449"/>
      <c r="M3446" s="349" t="str">
        <f>N3446&amp;AS[[#This Row],[Insurer Code]]&amp;"; "&amp;O3446&amp;AS[[#This Row],[Reporting Year]]&amp;"; "&amp;P3446&amp;AS[[#This Row],[Insurance Category Code]]&amp;"; "&amp;Q3446&amp;AS[[#This Row],[Large Provider Entity Code]]&amp;"; "&amp;R3446&amp;AS[[#This Row],[Age Band Code]]&amp;"; "&amp;S3446&amp;AS[[#This Row],[Sex Code]]</f>
        <v xml:space="preserve">Insurer Code ; Reporting Year ; Insurance Category Code ; Large Provider Entity Code ; Age Band Code ; Sex Code </v>
      </c>
      <c r="N3446" s="345" t="s">
        <v>207</v>
      </c>
      <c r="O3446" s="345" t="s">
        <v>208</v>
      </c>
      <c r="P3446" s="345" t="s">
        <v>209</v>
      </c>
      <c r="Q3446" s="345" t="s">
        <v>210</v>
      </c>
      <c r="R3446" s="345" t="s">
        <v>223</v>
      </c>
      <c r="S3446" s="345" t="s">
        <v>224</v>
      </c>
    </row>
    <row r="3447" spans="1:19" x14ac:dyDescent="0.25">
      <c r="A3447" s="311"/>
      <c r="B3447" s="312"/>
      <c r="C3447" s="312"/>
      <c r="D3447" s="312"/>
      <c r="E3447" s="312"/>
      <c r="F3447" s="312"/>
      <c r="G3447" s="328"/>
      <c r="H3447" s="337"/>
      <c r="I3447" s="334"/>
      <c r="J3447" s="314"/>
      <c r="K3447" s="449"/>
      <c r="M3447" s="349" t="str">
        <f>N3447&amp;AS[[#This Row],[Insurer Code]]&amp;"; "&amp;O3447&amp;AS[[#This Row],[Reporting Year]]&amp;"; "&amp;P3447&amp;AS[[#This Row],[Insurance Category Code]]&amp;"; "&amp;Q3447&amp;AS[[#This Row],[Large Provider Entity Code]]&amp;"; "&amp;R3447&amp;AS[[#This Row],[Age Band Code]]&amp;"; "&amp;S3447&amp;AS[[#This Row],[Sex Code]]</f>
        <v xml:space="preserve">Insurer Code ; Reporting Year ; Insurance Category Code ; Large Provider Entity Code ; Age Band Code ; Sex Code </v>
      </c>
      <c r="N3447" s="345" t="s">
        <v>207</v>
      </c>
      <c r="O3447" s="345" t="s">
        <v>208</v>
      </c>
      <c r="P3447" s="345" t="s">
        <v>209</v>
      </c>
      <c r="Q3447" s="345" t="s">
        <v>210</v>
      </c>
      <c r="R3447" s="345" t="s">
        <v>223</v>
      </c>
      <c r="S3447" s="345" t="s">
        <v>224</v>
      </c>
    </row>
    <row r="3448" spans="1:19" x14ac:dyDescent="0.25">
      <c r="A3448" s="311"/>
      <c r="B3448" s="312"/>
      <c r="C3448" s="312"/>
      <c r="D3448" s="312"/>
      <c r="E3448" s="312"/>
      <c r="F3448" s="312"/>
      <c r="G3448" s="328"/>
      <c r="H3448" s="337"/>
      <c r="I3448" s="334"/>
      <c r="J3448" s="314"/>
      <c r="K3448" s="449"/>
      <c r="M3448" s="349" t="str">
        <f>N3448&amp;AS[[#This Row],[Insurer Code]]&amp;"; "&amp;O3448&amp;AS[[#This Row],[Reporting Year]]&amp;"; "&amp;P3448&amp;AS[[#This Row],[Insurance Category Code]]&amp;"; "&amp;Q3448&amp;AS[[#This Row],[Large Provider Entity Code]]&amp;"; "&amp;R3448&amp;AS[[#This Row],[Age Band Code]]&amp;"; "&amp;S3448&amp;AS[[#This Row],[Sex Code]]</f>
        <v xml:space="preserve">Insurer Code ; Reporting Year ; Insurance Category Code ; Large Provider Entity Code ; Age Band Code ; Sex Code </v>
      </c>
      <c r="N3448" s="345" t="s">
        <v>207</v>
      </c>
      <c r="O3448" s="345" t="s">
        <v>208</v>
      </c>
      <c r="P3448" s="345" t="s">
        <v>209</v>
      </c>
      <c r="Q3448" s="345" t="s">
        <v>210</v>
      </c>
      <c r="R3448" s="345" t="s">
        <v>223</v>
      </c>
      <c r="S3448" s="345" t="s">
        <v>224</v>
      </c>
    </row>
    <row r="3449" spans="1:19" x14ac:dyDescent="0.25">
      <c r="A3449" s="311"/>
      <c r="B3449" s="312"/>
      <c r="C3449" s="312"/>
      <c r="D3449" s="312"/>
      <c r="E3449" s="312"/>
      <c r="F3449" s="312"/>
      <c r="G3449" s="328"/>
      <c r="H3449" s="337"/>
      <c r="I3449" s="334"/>
      <c r="J3449" s="314"/>
      <c r="K3449" s="449"/>
      <c r="M3449" s="349" t="str">
        <f>N3449&amp;AS[[#This Row],[Insurer Code]]&amp;"; "&amp;O3449&amp;AS[[#This Row],[Reporting Year]]&amp;"; "&amp;P3449&amp;AS[[#This Row],[Insurance Category Code]]&amp;"; "&amp;Q3449&amp;AS[[#This Row],[Large Provider Entity Code]]&amp;"; "&amp;R3449&amp;AS[[#This Row],[Age Band Code]]&amp;"; "&amp;S3449&amp;AS[[#This Row],[Sex Code]]</f>
        <v xml:space="preserve">Insurer Code ; Reporting Year ; Insurance Category Code ; Large Provider Entity Code ; Age Band Code ; Sex Code </v>
      </c>
      <c r="N3449" s="345" t="s">
        <v>207</v>
      </c>
      <c r="O3449" s="345" t="s">
        <v>208</v>
      </c>
      <c r="P3449" s="345" t="s">
        <v>209</v>
      </c>
      <c r="Q3449" s="345" t="s">
        <v>210</v>
      </c>
      <c r="R3449" s="345" t="s">
        <v>223</v>
      </c>
      <c r="S3449" s="345" t="s">
        <v>224</v>
      </c>
    </row>
    <row r="3450" spans="1:19" x14ac:dyDescent="0.25">
      <c r="A3450" s="311"/>
      <c r="B3450" s="312"/>
      <c r="C3450" s="312"/>
      <c r="D3450" s="312"/>
      <c r="E3450" s="312"/>
      <c r="F3450" s="312"/>
      <c r="G3450" s="328"/>
      <c r="H3450" s="337"/>
      <c r="I3450" s="334"/>
      <c r="J3450" s="314"/>
      <c r="K3450" s="449"/>
      <c r="M3450" s="349" t="str">
        <f>N3450&amp;AS[[#This Row],[Insurer Code]]&amp;"; "&amp;O3450&amp;AS[[#This Row],[Reporting Year]]&amp;"; "&amp;P3450&amp;AS[[#This Row],[Insurance Category Code]]&amp;"; "&amp;Q3450&amp;AS[[#This Row],[Large Provider Entity Code]]&amp;"; "&amp;R3450&amp;AS[[#This Row],[Age Band Code]]&amp;"; "&amp;S3450&amp;AS[[#This Row],[Sex Code]]</f>
        <v xml:space="preserve">Insurer Code ; Reporting Year ; Insurance Category Code ; Large Provider Entity Code ; Age Band Code ; Sex Code </v>
      </c>
      <c r="N3450" s="345" t="s">
        <v>207</v>
      </c>
      <c r="O3450" s="345" t="s">
        <v>208</v>
      </c>
      <c r="P3450" s="345" t="s">
        <v>209</v>
      </c>
      <c r="Q3450" s="345" t="s">
        <v>210</v>
      </c>
      <c r="R3450" s="345" t="s">
        <v>223</v>
      </c>
      <c r="S3450" s="345" t="s">
        <v>224</v>
      </c>
    </row>
    <row r="3451" spans="1:19" x14ac:dyDescent="0.25">
      <c r="A3451" s="311"/>
      <c r="B3451" s="312"/>
      <c r="C3451" s="312"/>
      <c r="D3451" s="312"/>
      <c r="E3451" s="312"/>
      <c r="F3451" s="312"/>
      <c r="G3451" s="328"/>
      <c r="H3451" s="337"/>
      <c r="I3451" s="334"/>
      <c r="J3451" s="314"/>
      <c r="K3451" s="449"/>
      <c r="M3451" s="349" t="str">
        <f>N3451&amp;AS[[#This Row],[Insurer Code]]&amp;"; "&amp;O3451&amp;AS[[#This Row],[Reporting Year]]&amp;"; "&amp;P3451&amp;AS[[#This Row],[Insurance Category Code]]&amp;"; "&amp;Q3451&amp;AS[[#This Row],[Large Provider Entity Code]]&amp;"; "&amp;R3451&amp;AS[[#This Row],[Age Band Code]]&amp;"; "&amp;S3451&amp;AS[[#This Row],[Sex Code]]</f>
        <v xml:space="preserve">Insurer Code ; Reporting Year ; Insurance Category Code ; Large Provider Entity Code ; Age Band Code ; Sex Code </v>
      </c>
      <c r="N3451" s="345" t="s">
        <v>207</v>
      </c>
      <c r="O3451" s="345" t="s">
        <v>208</v>
      </c>
      <c r="P3451" s="345" t="s">
        <v>209</v>
      </c>
      <c r="Q3451" s="345" t="s">
        <v>210</v>
      </c>
      <c r="R3451" s="345" t="s">
        <v>223</v>
      </c>
      <c r="S3451" s="345" t="s">
        <v>224</v>
      </c>
    </row>
    <row r="3452" spans="1:19" x14ac:dyDescent="0.25">
      <c r="A3452" s="311"/>
      <c r="B3452" s="312"/>
      <c r="C3452" s="312"/>
      <c r="D3452" s="312"/>
      <c r="E3452" s="312"/>
      <c r="F3452" s="312"/>
      <c r="G3452" s="328"/>
      <c r="H3452" s="337"/>
      <c r="I3452" s="334"/>
      <c r="J3452" s="314"/>
      <c r="K3452" s="449"/>
      <c r="M3452" s="349" t="str">
        <f>N3452&amp;AS[[#This Row],[Insurer Code]]&amp;"; "&amp;O3452&amp;AS[[#This Row],[Reporting Year]]&amp;"; "&amp;P3452&amp;AS[[#This Row],[Insurance Category Code]]&amp;"; "&amp;Q3452&amp;AS[[#This Row],[Large Provider Entity Code]]&amp;"; "&amp;R3452&amp;AS[[#This Row],[Age Band Code]]&amp;"; "&amp;S3452&amp;AS[[#This Row],[Sex Code]]</f>
        <v xml:space="preserve">Insurer Code ; Reporting Year ; Insurance Category Code ; Large Provider Entity Code ; Age Band Code ; Sex Code </v>
      </c>
      <c r="N3452" s="345" t="s">
        <v>207</v>
      </c>
      <c r="O3452" s="345" t="s">
        <v>208</v>
      </c>
      <c r="P3452" s="345" t="s">
        <v>209</v>
      </c>
      <c r="Q3452" s="345" t="s">
        <v>210</v>
      </c>
      <c r="R3452" s="345" t="s">
        <v>223</v>
      </c>
      <c r="S3452" s="345" t="s">
        <v>224</v>
      </c>
    </row>
    <row r="3453" spans="1:19" x14ac:dyDescent="0.25">
      <c r="A3453" s="311"/>
      <c r="B3453" s="312"/>
      <c r="C3453" s="312"/>
      <c r="D3453" s="312"/>
      <c r="E3453" s="312"/>
      <c r="F3453" s="312"/>
      <c r="G3453" s="328"/>
      <c r="H3453" s="337"/>
      <c r="I3453" s="334"/>
      <c r="J3453" s="314"/>
      <c r="K3453" s="449"/>
      <c r="M3453" s="349" t="str">
        <f>N3453&amp;AS[[#This Row],[Insurer Code]]&amp;"; "&amp;O3453&amp;AS[[#This Row],[Reporting Year]]&amp;"; "&amp;P3453&amp;AS[[#This Row],[Insurance Category Code]]&amp;"; "&amp;Q3453&amp;AS[[#This Row],[Large Provider Entity Code]]&amp;"; "&amp;R3453&amp;AS[[#This Row],[Age Band Code]]&amp;"; "&amp;S3453&amp;AS[[#This Row],[Sex Code]]</f>
        <v xml:space="preserve">Insurer Code ; Reporting Year ; Insurance Category Code ; Large Provider Entity Code ; Age Band Code ; Sex Code </v>
      </c>
      <c r="N3453" s="345" t="s">
        <v>207</v>
      </c>
      <c r="O3453" s="345" t="s">
        <v>208</v>
      </c>
      <c r="P3453" s="345" t="s">
        <v>209</v>
      </c>
      <c r="Q3453" s="345" t="s">
        <v>210</v>
      </c>
      <c r="R3453" s="345" t="s">
        <v>223</v>
      </c>
      <c r="S3453" s="345" t="s">
        <v>224</v>
      </c>
    </row>
    <row r="3454" spans="1:19" x14ac:dyDescent="0.25">
      <c r="A3454" s="311"/>
      <c r="B3454" s="312"/>
      <c r="C3454" s="312"/>
      <c r="D3454" s="312"/>
      <c r="E3454" s="312"/>
      <c r="F3454" s="312"/>
      <c r="G3454" s="328"/>
      <c r="H3454" s="337"/>
      <c r="I3454" s="334"/>
      <c r="J3454" s="314"/>
      <c r="K3454" s="449"/>
      <c r="M3454" s="349" t="str">
        <f>N3454&amp;AS[[#This Row],[Insurer Code]]&amp;"; "&amp;O3454&amp;AS[[#This Row],[Reporting Year]]&amp;"; "&amp;P3454&amp;AS[[#This Row],[Insurance Category Code]]&amp;"; "&amp;Q3454&amp;AS[[#This Row],[Large Provider Entity Code]]&amp;"; "&amp;R3454&amp;AS[[#This Row],[Age Band Code]]&amp;"; "&amp;S3454&amp;AS[[#This Row],[Sex Code]]</f>
        <v xml:space="preserve">Insurer Code ; Reporting Year ; Insurance Category Code ; Large Provider Entity Code ; Age Band Code ; Sex Code </v>
      </c>
      <c r="N3454" s="345" t="s">
        <v>207</v>
      </c>
      <c r="O3454" s="345" t="s">
        <v>208</v>
      </c>
      <c r="P3454" s="345" t="s">
        <v>209</v>
      </c>
      <c r="Q3454" s="345" t="s">
        <v>210</v>
      </c>
      <c r="R3454" s="345" t="s">
        <v>223</v>
      </c>
      <c r="S3454" s="345" t="s">
        <v>224</v>
      </c>
    </row>
    <row r="3455" spans="1:19" x14ac:dyDescent="0.25">
      <c r="A3455" s="311"/>
      <c r="B3455" s="312"/>
      <c r="C3455" s="312"/>
      <c r="D3455" s="312"/>
      <c r="E3455" s="312"/>
      <c r="F3455" s="312"/>
      <c r="G3455" s="328"/>
      <c r="H3455" s="337"/>
      <c r="I3455" s="334"/>
      <c r="J3455" s="314"/>
      <c r="K3455" s="449"/>
      <c r="M3455" s="349" t="str">
        <f>N3455&amp;AS[[#This Row],[Insurer Code]]&amp;"; "&amp;O3455&amp;AS[[#This Row],[Reporting Year]]&amp;"; "&amp;P3455&amp;AS[[#This Row],[Insurance Category Code]]&amp;"; "&amp;Q3455&amp;AS[[#This Row],[Large Provider Entity Code]]&amp;"; "&amp;R3455&amp;AS[[#This Row],[Age Band Code]]&amp;"; "&amp;S3455&amp;AS[[#This Row],[Sex Code]]</f>
        <v xml:space="preserve">Insurer Code ; Reporting Year ; Insurance Category Code ; Large Provider Entity Code ; Age Band Code ; Sex Code </v>
      </c>
      <c r="N3455" s="345" t="s">
        <v>207</v>
      </c>
      <c r="O3455" s="345" t="s">
        <v>208</v>
      </c>
      <c r="P3455" s="345" t="s">
        <v>209</v>
      </c>
      <c r="Q3455" s="345" t="s">
        <v>210</v>
      </c>
      <c r="R3455" s="345" t="s">
        <v>223</v>
      </c>
      <c r="S3455" s="345" t="s">
        <v>224</v>
      </c>
    </row>
    <row r="3456" spans="1:19" x14ac:dyDescent="0.25">
      <c r="A3456" s="311"/>
      <c r="B3456" s="312"/>
      <c r="C3456" s="312"/>
      <c r="D3456" s="312"/>
      <c r="E3456" s="312"/>
      <c r="F3456" s="312"/>
      <c r="G3456" s="328"/>
      <c r="H3456" s="337"/>
      <c r="I3456" s="334"/>
      <c r="J3456" s="314"/>
      <c r="K3456" s="449"/>
      <c r="M3456" s="349" t="str">
        <f>N3456&amp;AS[[#This Row],[Insurer Code]]&amp;"; "&amp;O3456&amp;AS[[#This Row],[Reporting Year]]&amp;"; "&amp;P3456&amp;AS[[#This Row],[Insurance Category Code]]&amp;"; "&amp;Q3456&amp;AS[[#This Row],[Large Provider Entity Code]]&amp;"; "&amp;R3456&amp;AS[[#This Row],[Age Band Code]]&amp;"; "&amp;S3456&amp;AS[[#This Row],[Sex Code]]</f>
        <v xml:space="preserve">Insurer Code ; Reporting Year ; Insurance Category Code ; Large Provider Entity Code ; Age Band Code ; Sex Code </v>
      </c>
      <c r="N3456" s="345" t="s">
        <v>207</v>
      </c>
      <c r="O3456" s="345" t="s">
        <v>208</v>
      </c>
      <c r="P3456" s="345" t="s">
        <v>209</v>
      </c>
      <c r="Q3456" s="345" t="s">
        <v>210</v>
      </c>
      <c r="R3456" s="345" t="s">
        <v>223</v>
      </c>
      <c r="S3456" s="345" t="s">
        <v>224</v>
      </c>
    </row>
    <row r="3457" spans="1:19" x14ac:dyDescent="0.25">
      <c r="A3457" s="311"/>
      <c r="B3457" s="312"/>
      <c r="C3457" s="312"/>
      <c r="D3457" s="312"/>
      <c r="E3457" s="312"/>
      <c r="F3457" s="312"/>
      <c r="G3457" s="328"/>
      <c r="H3457" s="337"/>
      <c r="I3457" s="334"/>
      <c r="J3457" s="314"/>
      <c r="K3457" s="449"/>
      <c r="M3457" s="349" t="str">
        <f>N3457&amp;AS[[#This Row],[Insurer Code]]&amp;"; "&amp;O3457&amp;AS[[#This Row],[Reporting Year]]&amp;"; "&amp;P3457&amp;AS[[#This Row],[Insurance Category Code]]&amp;"; "&amp;Q3457&amp;AS[[#This Row],[Large Provider Entity Code]]&amp;"; "&amp;R3457&amp;AS[[#This Row],[Age Band Code]]&amp;"; "&amp;S3457&amp;AS[[#This Row],[Sex Code]]</f>
        <v xml:space="preserve">Insurer Code ; Reporting Year ; Insurance Category Code ; Large Provider Entity Code ; Age Band Code ; Sex Code </v>
      </c>
      <c r="N3457" s="345" t="s">
        <v>207</v>
      </c>
      <c r="O3457" s="345" t="s">
        <v>208</v>
      </c>
      <c r="P3457" s="345" t="s">
        <v>209</v>
      </c>
      <c r="Q3457" s="345" t="s">
        <v>210</v>
      </c>
      <c r="R3457" s="345" t="s">
        <v>223</v>
      </c>
      <c r="S3457" s="345" t="s">
        <v>224</v>
      </c>
    </row>
    <row r="3458" spans="1:19" x14ac:dyDescent="0.25">
      <c r="A3458" s="311"/>
      <c r="B3458" s="312"/>
      <c r="C3458" s="312"/>
      <c r="D3458" s="312"/>
      <c r="E3458" s="312"/>
      <c r="F3458" s="312"/>
      <c r="G3458" s="328"/>
      <c r="H3458" s="337"/>
      <c r="I3458" s="334"/>
      <c r="J3458" s="314"/>
      <c r="K3458" s="449"/>
      <c r="M3458" s="349" t="str">
        <f>N3458&amp;AS[[#This Row],[Insurer Code]]&amp;"; "&amp;O3458&amp;AS[[#This Row],[Reporting Year]]&amp;"; "&amp;P3458&amp;AS[[#This Row],[Insurance Category Code]]&amp;"; "&amp;Q3458&amp;AS[[#This Row],[Large Provider Entity Code]]&amp;"; "&amp;R3458&amp;AS[[#This Row],[Age Band Code]]&amp;"; "&amp;S3458&amp;AS[[#This Row],[Sex Code]]</f>
        <v xml:space="preserve">Insurer Code ; Reporting Year ; Insurance Category Code ; Large Provider Entity Code ; Age Band Code ; Sex Code </v>
      </c>
      <c r="N3458" s="345" t="s">
        <v>207</v>
      </c>
      <c r="O3458" s="345" t="s">
        <v>208</v>
      </c>
      <c r="P3458" s="345" t="s">
        <v>209</v>
      </c>
      <c r="Q3458" s="345" t="s">
        <v>210</v>
      </c>
      <c r="R3458" s="345" t="s">
        <v>223</v>
      </c>
      <c r="S3458" s="345" t="s">
        <v>224</v>
      </c>
    </row>
    <row r="3459" spans="1:19" x14ac:dyDescent="0.25">
      <c r="A3459" s="311"/>
      <c r="B3459" s="312"/>
      <c r="C3459" s="312"/>
      <c r="D3459" s="312"/>
      <c r="E3459" s="312"/>
      <c r="F3459" s="312"/>
      <c r="G3459" s="328"/>
      <c r="H3459" s="337"/>
      <c r="I3459" s="334"/>
      <c r="J3459" s="314"/>
      <c r="K3459" s="449"/>
      <c r="M3459" s="349" t="str">
        <f>N3459&amp;AS[[#This Row],[Insurer Code]]&amp;"; "&amp;O3459&amp;AS[[#This Row],[Reporting Year]]&amp;"; "&amp;P3459&amp;AS[[#This Row],[Insurance Category Code]]&amp;"; "&amp;Q3459&amp;AS[[#This Row],[Large Provider Entity Code]]&amp;"; "&amp;R3459&amp;AS[[#This Row],[Age Band Code]]&amp;"; "&amp;S3459&amp;AS[[#This Row],[Sex Code]]</f>
        <v xml:space="preserve">Insurer Code ; Reporting Year ; Insurance Category Code ; Large Provider Entity Code ; Age Band Code ; Sex Code </v>
      </c>
      <c r="N3459" s="345" t="s">
        <v>207</v>
      </c>
      <c r="O3459" s="345" t="s">
        <v>208</v>
      </c>
      <c r="P3459" s="345" t="s">
        <v>209</v>
      </c>
      <c r="Q3459" s="345" t="s">
        <v>210</v>
      </c>
      <c r="R3459" s="345" t="s">
        <v>223</v>
      </c>
      <c r="S3459" s="345" t="s">
        <v>224</v>
      </c>
    </row>
    <row r="3460" spans="1:19" x14ac:dyDescent="0.25">
      <c r="A3460" s="311"/>
      <c r="B3460" s="312"/>
      <c r="C3460" s="312"/>
      <c r="D3460" s="312"/>
      <c r="E3460" s="312"/>
      <c r="F3460" s="312"/>
      <c r="G3460" s="328"/>
      <c r="H3460" s="337"/>
      <c r="I3460" s="334"/>
      <c r="J3460" s="314"/>
      <c r="K3460" s="449"/>
      <c r="M3460" s="349" t="str">
        <f>N3460&amp;AS[[#This Row],[Insurer Code]]&amp;"; "&amp;O3460&amp;AS[[#This Row],[Reporting Year]]&amp;"; "&amp;P3460&amp;AS[[#This Row],[Insurance Category Code]]&amp;"; "&amp;Q3460&amp;AS[[#This Row],[Large Provider Entity Code]]&amp;"; "&amp;R3460&amp;AS[[#This Row],[Age Band Code]]&amp;"; "&amp;S3460&amp;AS[[#This Row],[Sex Code]]</f>
        <v xml:space="preserve">Insurer Code ; Reporting Year ; Insurance Category Code ; Large Provider Entity Code ; Age Band Code ; Sex Code </v>
      </c>
      <c r="N3460" s="345" t="s">
        <v>207</v>
      </c>
      <c r="O3460" s="345" t="s">
        <v>208</v>
      </c>
      <c r="P3460" s="345" t="s">
        <v>209</v>
      </c>
      <c r="Q3460" s="345" t="s">
        <v>210</v>
      </c>
      <c r="R3460" s="345" t="s">
        <v>223</v>
      </c>
      <c r="S3460" s="345" t="s">
        <v>224</v>
      </c>
    </row>
    <row r="3461" spans="1:19" x14ac:dyDescent="0.25">
      <c r="A3461" s="311"/>
      <c r="B3461" s="312"/>
      <c r="C3461" s="312"/>
      <c r="D3461" s="312"/>
      <c r="E3461" s="312"/>
      <c r="F3461" s="312"/>
      <c r="G3461" s="328"/>
      <c r="H3461" s="337"/>
      <c r="I3461" s="334"/>
      <c r="J3461" s="314"/>
      <c r="K3461" s="449"/>
      <c r="M3461" s="349" t="str">
        <f>N3461&amp;AS[[#This Row],[Insurer Code]]&amp;"; "&amp;O3461&amp;AS[[#This Row],[Reporting Year]]&amp;"; "&amp;P3461&amp;AS[[#This Row],[Insurance Category Code]]&amp;"; "&amp;Q3461&amp;AS[[#This Row],[Large Provider Entity Code]]&amp;"; "&amp;R3461&amp;AS[[#This Row],[Age Band Code]]&amp;"; "&amp;S3461&amp;AS[[#This Row],[Sex Code]]</f>
        <v xml:space="preserve">Insurer Code ; Reporting Year ; Insurance Category Code ; Large Provider Entity Code ; Age Band Code ; Sex Code </v>
      </c>
      <c r="N3461" s="345" t="s">
        <v>207</v>
      </c>
      <c r="O3461" s="345" t="s">
        <v>208</v>
      </c>
      <c r="P3461" s="345" t="s">
        <v>209</v>
      </c>
      <c r="Q3461" s="345" t="s">
        <v>210</v>
      </c>
      <c r="R3461" s="345" t="s">
        <v>223</v>
      </c>
      <c r="S3461" s="345" t="s">
        <v>224</v>
      </c>
    </row>
    <row r="3462" spans="1:19" x14ac:dyDescent="0.25">
      <c r="A3462" s="311"/>
      <c r="B3462" s="312"/>
      <c r="C3462" s="312"/>
      <c r="D3462" s="312"/>
      <c r="E3462" s="312"/>
      <c r="F3462" s="312"/>
      <c r="G3462" s="328"/>
      <c r="H3462" s="337"/>
      <c r="I3462" s="334"/>
      <c r="J3462" s="314"/>
      <c r="K3462" s="449"/>
      <c r="M3462" s="349" t="str">
        <f>N3462&amp;AS[[#This Row],[Insurer Code]]&amp;"; "&amp;O3462&amp;AS[[#This Row],[Reporting Year]]&amp;"; "&amp;P3462&amp;AS[[#This Row],[Insurance Category Code]]&amp;"; "&amp;Q3462&amp;AS[[#This Row],[Large Provider Entity Code]]&amp;"; "&amp;R3462&amp;AS[[#This Row],[Age Band Code]]&amp;"; "&amp;S3462&amp;AS[[#This Row],[Sex Code]]</f>
        <v xml:space="preserve">Insurer Code ; Reporting Year ; Insurance Category Code ; Large Provider Entity Code ; Age Band Code ; Sex Code </v>
      </c>
      <c r="N3462" s="345" t="s">
        <v>207</v>
      </c>
      <c r="O3462" s="345" t="s">
        <v>208</v>
      </c>
      <c r="P3462" s="345" t="s">
        <v>209</v>
      </c>
      <c r="Q3462" s="345" t="s">
        <v>210</v>
      </c>
      <c r="R3462" s="345" t="s">
        <v>223</v>
      </c>
      <c r="S3462" s="345" t="s">
        <v>224</v>
      </c>
    </row>
    <row r="3463" spans="1:19" x14ac:dyDescent="0.25">
      <c r="A3463" s="311"/>
      <c r="B3463" s="312"/>
      <c r="C3463" s="312"/>
      <c r="D3463" s="312"/>
      <c r="E3463" s="312"/>
      <c r="F3463" s="312"/>
      <c r="G3463" s="328"/>
      <c r="H3463" s="337"/>
      <c r="I3463" s="334"/>
      <c r="J3463" s="314"/>
      <c r="K3463" s="449"/>
      <c r="M3463" s="349" t="str">
        <f>N3463&amp;AS[[#This Row],[Insurer Code]]&amp;"; "&amp;O3463&amp;AS[[#This Row],[Reporting Year]]&amp;"; "&amp;P3463&amp;AS[[#This Row],[Insurance Category Code]]&amp;"; "&amp;Q3463&amp;AS[[#This Row],[Large Provider Entity Code]]&amp;"; "&amp;R3463&amp;AS[[#This Row],[Age Band Code]]&amp;"; "&amp;S3463&amp;AS[[#This Row],[Sex Code]]</f>
        <v xml:space="preserve">Insurer Code ; Reporting Year ; Insurance Category Code ; Large Provider Entity Code ; Age Band Code ; Sex Code </v>
      </c>
      <c r="N3463" s="345" t="s">
        <v>207</v>
      </c>
      <c r="O3463" s="345" t="s">
        <v>208</v>
      </c>
      <c r="P3463" s="345" t="s">
        <v>209</v>
      </c>
      <c r="Q3463" s="345" t="s">
        <v>210</v>
      </c>
      <c r="R3463" s="345" t="s">
        <v>223</v>
      </c>
      <c r="S3463" s="345" t="s">
        <v>224</v>
      </c>
    </row>
    <row r="3464" spans="1:19" x14ac:dyDescent="0.25">
      <c r="A3464" s="311"/>
      <c r="B3464" s="312"/>
      <c r="C3464" s="312"/>
      <c r="D3464" s="312"/>
      <c r="E3464" s="312"/>
      <c r="F3464" s="312"/>
      <c r="G3464" s="328"/>
      <c r="H3464" s="337"/>
      <c r="I3464" s="334"/>
      <c r="J3464" s="314"/>
      <c r="K3464" s="449"/>
      <c r="M3464" s="349" t="str">
        <f>N3464&amp;AS[[#This Row],[Insurer Code]]&amp;"; "&amp;O3464&amp;AS[[#This Row],[Reporting Year]]&amp;"; "&amp;P3464&amp;AS[[#This Row],[Insurance Category Code]]&amp;"; "&amp;Q3464&amp;AS[[#This Row],[Large Provider Entity Code]]&amp;"; "&amp;R3464&amp;AS[[#This Row],[Age Band Code]]&amp;"; "&amp;S3464&amp;AS[[#This Row],[Sex Code]]</f>
        <v xml:space="preserve">Insurer Code ; Reporting Year ; Insurance Category Code ; Large Provider Entity Code ; Age Band Code ; Sex Code </v>
      </c>
      <c r="N3464" s="345" t="s">
        <v>207</v>
      </c>
      <c r="O3464" s="345" t="s">
        <v>208</v>
      </c>
      <c r="P3464" s="345" t="s">
        <v>209</v>
      </c>
      <c r="Q3464" s="345" t="s">
        <v>210</v>
      </c>
      <c r="R3464" s="345" t="s">
        <v>223</v>
      </c>
      <c r="S3464" s="345" t="s">
        <v>224</v>
      </c>
    </row>
    <row r="3465" spans="1:19" x14ac:dyDescent="0.25">
      <c r="A3465" s="311"/>
      <c r="B3465" s="312"/>
      <c r="C3465" s="312"/>
      <c r="D3465" s="312"/>
      <c r="E3465" s="312"/>
      <c r="F3465" s="312"/>
      <c r="G3465" s="328"/>
      <c r="H3465" s="337"/>
      <c r="I3465" s="334"/>
      <c r="J3465" s="314"/>
      <c r="K3465" s="449"/>
      <c r="M3465" s="349" t="str">
        <f>N3465&amp;AS[[#This Row],[Insurer Code]]&amp;"; "&amp;O3465&amp;AS[[#This Row],[Reporting Year]]&amp;"; "&amp;P3465&amp;AS[[#This Row],[Insurance Category Code]]&amp;"; "&amp;Q3465&amp;AS[[#This Row],[Large Provider Entity Code]]&amp;"; "&amp;R3465&amp;AS[[#This Row],[Age Band Code]]&amp;"; "&amp;S3465&amp;AS[[#This Row],[Sex Code]]</f>
        <v xml:space="preserve">Insurer Code ; Reporting Year ; Insurance Category Code ; Large Provider Entity Code ; Age Band Code ; Sex Code </v>
      </c>
      <c r="N3465" s="345" t="s">
        <v>207</v>
      </c>
      <c r="O3465" s="345" t="s">
        <v>208</v>
      </c>
      <c r="P3465" s="345" t="s">
        <v>209</v>
      </c>
      <c r="Q3465" s="345" t="s">
        <v>210</v>
      </c>
      <c r="R3465" s="345" t="s">
        <v>223</v>
      </c>
      <c r="S3465" s="345" t="s">
        <v>224</v>
      </c>
    </row>
    <row r="3466" spans="1:19" x14ac:dyDescent="0.25">
      <c r="A3466" s="311"/>
      <c r="B3466" s="312"/>
      <c r="C3466" s="312"/>
      <c r="D3466" s="312"/>
      <c r="E3466" s="312"/>
      <c r="F3466" s="312"/>
      <c r="G3466" s="328"/>
      <c r="H3466" s="337"/>
      <c r="I3466" s="334"/>
      <c r="J3466" s="314"/>
      <c r="K3466" s="449"/>
      <c r="M3466" s="349" t="str">
        <f>N3466&amp;AS[[#This Row],[Insurer Code]]&amp;"; "&amp;O3466&amp;AS[[#This Row],[Reporting Year]]&amp;"; "&amp;P3466&amp;AS[[#This Row],[Insurance Category Code]]&amp;"; "&amp;Q3466&amp;AS[[#This Row],[Large Provider Entity Code]]&amp;"; "&amp;R3466&amp;AS[[#This Row],[Age Band Code]]&amp;"; "&amp;S3466&amp;AS[[#This Row],[Sex Code]]</f>
        <v xml:space="preserve">Insurer Code ; Reporting Year ; Insurance Category Code ; Large Provider Entity Code ; Age Band Code ; Sex Code </v>
      </c>
      <c r="N3466" s="345" t="s">
        <v>207</v>
      </c>
      <c r="O3466" s="345" t="s">
        <v>208</v>
      </c>
      <c r="P3466" s="345" t="s">
        <v>209</v>
      </c>
      <c r="Q3466" s="345" t="s">
        <v>210</v>
      </c>
      <c r="R3466" s="345" t="s">
        <v>223</v>
      </c>
      <c r="S3466" s="345" t="s">
        <v>224</v>
      </c>
    </row>
    <row r="3467" spans="1:19" x14ac:dyDescent="0.25">
      <c r="A3467" s="311"/>
      <c r="B3467" s="312"/>
      <c r="C3467" s="312"/>
      <c r="D3467" s="312"/>
      <c r="E3467" s="312"/>
      <c r="F3467" s="312"/>
      <c r="G3467" s="328"/>
      <c r="H3467" s="337"/>
      <c r="I3467" s="334"/>
      <c r="J3467" s="314"/>
      <c r="K3467" s="449"/>
      <c r="M3467" s="349" t="str">
        <f>N3467&amp;AS[[#This Row],[Insurer Code]]&amp;"; "&amp;O3467&amp;AS[[#This Row],[Reporting Year]]&amp;"; "&amp;P3467&amp;AS[[#This Row],[Insurance Category Code]]&amp;"; "&amp;Q3467&amp;AS[[#This Row],[Large Provider Entity Code]]&amp;"; "&amp;R3467&amp;AS[[#This Row],[Age Band Code]]&amp;"; "&amp;S3467&amp;AS[[#This Row],[Sex Code]]</f>
        <v xml:space="preserve">Insurer Code ; Reporting Year ; Insurance Category Code ; Large Provider Entity Code ; Age Band Code ; Sex Code </v>
      </c>
      <c r="N3467" s="345" t="s">
        <v>207</v>
      </c>
      <c r="O3467" s="345" t="s">
        <v>208</v>
      </c>
      <c r="P3467" s="345" t="s">
        <v>209</v>
      </c>
      <c r="Q3467" s="345" t="s">
        <v>210</v>
      </c>
      <c r="R3467" s="345" t="s">
        <v>223</v>
      </c>
      <c r="S3467" s="345" t="s">
        <v>224</v>
      </c>
    </row>
    <row r="3468" spans="1:19" x14ac:dyDescent="0.25">
      <c r="A3468" s="311"/>
      <c r="B3468" s="312"/>
      <c r="C3468" s="312"/>
      <c r="D3468" s="312"/>
      <c r="E3468" s="312"/>
      <c r="F3468" s="312"/>
      <c r="G3468" s="328"/>
      <c r="H3468" s="337"/>
      <c r="I3468" s="334"/>
      <c r="J3468" s="314"/>
      <c r="K3468" s="449"/>
      <c r="M3468" s="349" t="str">
        <f>N3468&amp;AS[[#This Row],[Insurer Code]]&amp;"; "&amp;O3468&amp;AS[[#This Row],[Reporting Year]]&amp;"; "&amp;P3468&amp;AS[[#This Row],[Insurance Category Code]]&amp;"; "&amp;Q3468&amp;AS[[#This Row],[Large Provider Entity Code]]&amp;"; "&amp;R3468&amp;AS[[#This Row],[Age Band Code]]&amp;"; "&amp;S3468&amp;AS[[#This Row],[Sex Code]]</f>
        <v xml:space="preserve">Insurer Code ; Reporting Year ; Insurance Category Code ; Large Provider Entity Code ; Age Band Code ; Sex Code </v>
      </c>
      <c r="N3468" s="345" t="s">
        <v>207</v>
      </c>
      <c r="O3468" s="345" t="s">
        <v>208</v>
      </c>
      <c r="P3468" s="345" t="s">
        <v>209</v>
      </c>
      <c r="Q3468" s="345" t="s">
        <v>210</v>
      </c>
      <c r="R3468" s="345" t="s">
        <v>223</v>
      </c>
      <c r="S3468" s="345" t="s">
        <v>224</v>
      </c>
    </row>
    <row r="3469" spans="1:19" x14ac:dyDescent="0.25">
      <c r="A3469" s="311"/>
      <c r="B3469" s="312"/>
      <c r="C3469" s="312"/>
      <c r="D3469" s="312"/>
      <c r="E3469" s="312"/>
      <c r="F3469" s="312"/>
      <c r="G3469" s="328"/>
      <c r="H3469" s="337"/>
      <c r="I3469" s="334"/>
      <c r="J3469" s="314"/>
      <c r="K3469" s="449"/>
      <c r="M3469" s="349" t="str">
        <f>N3469&amp;AS[[#This Row],[Insurer Code]]&amp;"; "&amp;O3469&amp;AS[[#This Row],[Reporting Year]]&amp;"; "&amp;P3469&amp;AS[[#This Row],[Insurance Category Code]]&amp;"; "&amp;Q3469&amp;AS[[#This Row],[Large Provider Entity Code]]&amp;"; "&amp;R3469&amp;AS[[#This Row],[Age Band Code]]&amp;"; "&amp;S3469&amp;AS[[#This Row],[Sex Code]]</f>
        <v xml:space="preserve">Insurer Code ; Reporting Year ; Insurance Category Code ; Large Provider Entity Code ; Age Band Code ; Sex Code </v>
      </c>
      <c r="N3469" s="345" t="s">
        <v>207</v>
      </c>
      <c r="O3469" s="345" t="s">
        <v>208</v>
      </c>
      <c r="P3469" s="345" t="s">
        <v>209</v>
      </c>
      <c r="Q3469" s="345" t="s">
        <v>210</v>
      </c>
      <c r="R3469" s="345" t="s">
        <v>223</v>
      </c>
      <c r="S3469" s="345" t="s">
        <v>224</v>
      </c>
    </row>
    <row r="3470" spans="1:19" x14ac:dyDescent="0.25">
      <c r="A3470" s="311"/>
      <c r="B3470" s="312"/>
      <c r="C3470" s="312"/>
      <c r="D3470" s="312"/>
      <c r="E3470" s="312"/>
      <c r="F3470" s="312"/>
      <c r="G3470" s="328"/>
      <c r="H3470" s="337"/>
      <c r="I3470" s="334"/>
      <c r="J3470" s="314"/>
      <c r="K3470" s="449"/>
      <c r="M3470" s="349" t="str">
        <f>N3470&amp;AS[[#This Row],[Insurer Code]]&amp;"; "&amp;O3470&amp;AS[[#This Row],[Reporting Year]]&amp;"; "&amp;P3470&amp;AS[[#This Row],[Insurance Category Code]]&amp;"; "&amp;Q3470&amp;AS[[#This Row],[Large Provider Entity Code]]&amp;"; "&amp;R3470&amp;AS[[#This Row],[Age Band Code]]&amp;"; "&amp;S3470&amp;AS[[#This Row],[Sex Code]]</f>
        <v xml:space="preserve">Insurer Code ; Reporting Year ; Insurance Category Code ; Large Provider Entity Code ; Age Band Code ; Sex Code </v>
      </c>
      <c r="N3470" s="345" t="s">
        <v>207</v>
      </c>
      <c r="O3470" s="345" t="s">
        <v>208</v>
      </c>
      <c r="P3470" s="345" t="s">
        <v>209</v>
      </c>
      <c r="Q3470" s="345" t="s">
        <v>210</v>
      </c>
      <c r="R3470" s="345" t="s">
        <v>223</v>
      </c>
      <c r="S3470" s="345" t="s">
        <v>224</v>
      </c>
    </row>
    <row r="3471" spans="1:19" x14ac:dyDescent="0.25">
      <c r="A3471" s="311"/>
      <c r="B3471" s="312"/>
      <c r="C3471" s="312"/>
      <c r="D3471" s="312"/>
      <c r="E3471" s="312"/>
      <c r="F3471" s="312"/>
      <c r="G3471" s="328"/>
      <c r="H3471" s="337"/>
      <c r="I3471" s="334"/>
      <c r="J3471" s="314"/>
      <c r="K3471" s="449"/>
      <c r="M3471" s="349" t="str">
        <f>N3471&amp;AS[[#This Row],[Insurer Code]]&amp;"; "&amp;O3471&amp;AS[[#This Row],[Reporting Year]]&amp;"; "&amp;P3471&amp;AS[[#This Row],[Insurance Category Code]]&amp;"; "&amp;Q3471&amp;AS[[#This Row],[Large Provider Entity Code]]&amp;"; "&amp;R3471&amp;AS[[#This Row],[Age Band Code]]&amp;"; "&amp;S3471&amp;AS[[#This Row],[Sex Code]]</f>
        <v xml:space="preserve">Insurer Code ; Reporting Year ; Insurance Category Code ; Large Provider Entity Code ; Age Band Code ; Sex Code </v>
      </c>
      <c r="N3471" s="345" t="s">
        <v>207</v>
      </c>
      <c r="O3471" s="345" t="s">
        <v>208</v>
      </c>
      <c r="P3471" s="345" t="s">
        <v>209</v>
      </c>
      <c r="Q3471" s="345" t="s">
        <v>210</v>
      </c>
      <c r="R3471" s="345" t="s">
        <v>223</v>
      </c>
      <c r="S3471" s="345" t="s">
        <v>224</v>
      </c>
    </row>
    <row r="3472" spans="1:19" x14ac:dyDescent="0.25">
      <c r="A3472" s="311"/>
      <c r="B3472" s="312"/>
      <c r="C3472" s="312"/>
      <c r="D3472" s="312"/>
      <c r="E3472" s="312"/>
      <c r="F3472" s="312"/>
      <c r="G3472" s="328"/>
      <c r="H3472" s="337"/>
      <c r="I3472" s="334"/>
      <c r="J3472" s="314"/>
      <c r="K3472" s="449"/>
      <c r="M3472" s="349" t="str">
        <f>N3472&amp;AS[[#This Row],[Insurer Code]]&amp;"; "&amp;O3472&amp;AS[[#This Row],[Reporting Year]]&amp;"; "&amp;P3472&amp;AS[[#This Row],[Insurance Category Code]]&amp;"; "&amp;Q3472&amp;AS[[#This Row],[Large Provider Entity Code]]&amp;"; "&amp;R3472&amp;AS[[#This Row],[Age Band Code]]&amp;"; "&amp;S3472&amp;AS[[#This Row],[Sex Code]]</f>
        <v xml:space="preserve">Insurer Code ; Reporting Year ; Insurance Category Code ; Large Provider Entity Code ; Age Band Code ; Sex Code </v>
      </c>
      <c r="N3472" s="345" t="s">
        <v>207</v>
      </c>
      <c r="O3472" s="345" t="s">
        <v>208</v>
      </c>
      <c r="P3472" s="345" t="s">
        <v>209</v>
      </c>
      <c r="Q3472" s="345" t="s">
        <v>210</v>
      </c>
      <c r="R3472" s="345" t="s">
        <v>223</v>
      </c>
      <c r="S3472" s="345" t="s">
        <v>224</v>
      </c>
    </row>
    <row r="3473" spans="1:19" x14ac:dyDescent="0.25">
      <c r="A3473" s="311"/>
      <c r="B3473" s="312"/>
      <c r="C3473" s="312"/>
      <c r="D3473" s="312"/>
      <c r="E3473" s="312"/>
      <c r="F3473" s="312"/>
      <c r="G3473" s="328"/>
      <c r="H3473" s="337"/>
      <c r="I3473" s="334"/>
      <c r="J3473" s="314"/>
      <c r="K3473" s="449"/>
      <c r="M3473" s="349" t="str">
        <f>N3473&amp;AS[[#This Row],[Insurer Code]]&amp;"; "&amp;O3473&amp;AS[[#This Row],[Reporting Year]]&amp;"; "&amp;P3473&amp;AS[[#This Row],[Insurance Category Code]]&amp;"; "&amp;Q3473&amp;AS[[#This Row],[Large Provider Entity Code]]&amp;"; "&amp;R3473&amp;AS[[#This Row],[Age Band Code]]&amp;"; "&amp;S3473&amp;AS[[#This Row],[Sex Code]]</f>
        <v xml:space="preserve">Insurer Code ; Reporting Year ; Insurance Category Code ; Large Provider Entity Code ; Age Band Code ; Sex Code </v>
      </c>
      <c r="N3473" s="345" t="s">
        <v>207</v>
      </c>
      <c r="O3473" s="345" t="s">
        <v>208</v>
      </c>
      <c r="P3473" s="345" t="s">
        <v>209</v>
      </c>
      <c r="Q3473" s="345" t="s">
        <v>210</v>
      </c>
      <c r="R3473" s="345" t="s">
        <v>223</v>
      </c>
      <c r="S3473" s="345" t="s">
        <v>224</v>
      </c>
    </row>
    <row r="3474" spans="1:19" x14ac:dyDescent="0.25">
      <c r="A3474" s="311"/>
      <c r="B3474" s="312"/>
      <c r="C3474" s="312"/>
      <c r="D3474" s="312"/>
      <c r="E3474" s="312"/>
      <c r="F3474" s="312"/>
      <c r="G3474" s="328"/>
      <c r="H3474" s="337"/>
      <c r="I3474" s="334"/>
      <c r="J3474" s="314"/>
      <c r="K3474" s="449"/>
      <c r="M3474" s="349" t="str">
        <f>N3474&amp;AS[[#This Row],[Insurer Code]]&amp;"; "&amp;O3474&amp;AS[[#This Row],[Reporting Year]]&amp;"; "&amp;P3474&amp;AS[[#This Row],[Insurance Category Code]]&amp;"; "&amp;Q3474&amp;AS[[#This Row],[Large Provider Entity Code]]&amp;"; "&amp;R3474&amp;AS[[#This Row],[Age Band Code]]&amp;"; "&amp;S3474&amp;AS[[#This Row],[Sex Code]]</f>
        <v xml:space="preserve">Insurer Code ; Reporting Year ; Insurance Category Code ; Large Provider Entity Code ; Age Band Code ; Sex Code </v>
      </c>
      <c r="N3474" s="345" t="s">
        <v>207</v>
      </c>
      <c r="O3474" s="345" t="s">
        <v>208</v>
      </c>
      <c r="P3474" s="345" t="s">
        <v>209</v>
      </c>
      <c r="Q3474" s="345" t="s">
        <v>210</v>
      </c>
      <c r="R3474" s="345" t="s">
        <v>223</v>
      </c>
      <c r="S3474" s="345" t="s">
        <v>224</v>
      </c>
    </row>
    <row r="3475" spans="1:19" x14ac:dyDescent="0.25">
      <c r="A3475" s="311"/>
      <c r="B3475" s="312"/>
      <c r="C3475" s="312"/>
      <c r="D3475" s="312"/>
      <c r="E3475" s="312"/>
      <c r="F3475" s="312"/>
      <c r="G3475" s="328"/>
      <c r="H3475" s="337"/>
      <c r="I3475" s="334"/>
      <c r="J3475" s="314"/>
      <c r="K3475" s="449"/>
      <c r="M3475" s="349" t="str">
        <f>N3475&amp;AS[[#This Row],[Insurer Code]]&amp;"; "&amp;O3475&amp;AS[[#This Row],[Reporting Year]]&amp;"; "&amp;P3475&amp;AS[[#This Row],[Insurance Category Code]]&amp;"; "&amp;Q3475&amp;AS[[#This Row],[Large Provider Entity Code]]&amp;"; "&amp;R3475&amp;AS[[#This Row],[Age Band Code]]&amp;"; "&amp;S3475&amp;AS[[#This Row],[Sex Code]]</f>
        <v xml:space="preserve">Insurer Code ; Reporting Year ; Insurance Category Code ; Large Provider Entity Code ; Age Band Code ; Sex Code </v>
      </c>
      <c r="N3475" s="345" t="s">
        <v>207</v>
      </c>
      <c r="O3475" s="345" t="s">
        <v>208</v>
      </c>
      <c r="P3475" s="345" t="s">
        <v>209</v>
      </c>
      <c r="Q3475" s="345" t="s">
        <v>210</v>
      </c>
      <c r="R3475" s="345" t="s">
        <v>223</v>
      </c>
      <c r="S3475" s="345" t="s">
        <v>224</v>
      </c>
    </row>
    <row r="3476" spans="1:19" x14ac:dyDescent="0.25">
      <c r="A3476" s="311"/>
      <c r="B3476" s="312"/>
      <c r="C3476" s="312"/>
      <c r="D3476" s="312"/>
      <c r="E3476" s="312"/>
      <c r="F3476" s="312"/>
      <c r="G3476" s="328"/>
      <c r="H3476" s="337"/>
      <c r="I3476" s="334"/>
      <c r="J3476" s="314"/>
      <c r="K3476" s="449"/>
      <c r="M3476" s="349" t="str">
        <f>N3476&amp;AS[[#This Row],[Insurer Code]]&amp;"; "&amp;O3476&amp;AS[[#This Row],[Reporting Year]]&amp;"; "&amp;P3476&amp;AS[[#This Row],[Insurance Category Code]]&amp;"; "&amp;Q3476&amp;AS[[#This Row],[Large Provider Entity Code]]&amp;"; "&amp;R3476&amp;AS[[#This Row],[Age Band Code]]&amp;"; "&amp;S3476&amp;AS[[#This Row],[Sex Code]]</f>
        <v xml:space="preserve">Insurer Code ; Reporting Year ; Insurance Category Code ; Large Provider Entity Code ; Age Band Code ; Sex Code </v>
      </c>
      <c r="N3476" s="345" t="s">
        <v>207</v>
      </c>
      <c r="O3476" s="345" t="s">
        <v>208</v>
      </c>
      <c r="P3476" s="345" t="s">
        <v>209</v>
      </c>
      <c r="Q3476" s="345" t="s">
        <v>210</v>
      </c>
      <c r="R3476" s="345" t="s">
        <v>223</v>
      </c>
      <c r="S3476" s="345" t="s">
        <v>224</v>
      </c>
    </row>
    <row r="3477" spans="1:19" x14ac:dyDescent="0.25">
      <c r="A3477" s="311"/>
      <c r="B3477" s="312"/>
      <c r="C3477" s="312"/>
      <c r="D3477" s="312"/>
      <c r="E3477" s="312"/>
      <c r="F3477" s="312"/>
      <c r="G3477" s="328"/>
      <c r="H3477" s="337"/>
      <c r="I3477" s="334"/>
      <c r="J3477" s="314"/>
      <c r="K3477" s="449"/>
      <c r="M3477" s="349" t="str">
        <f>N3477&amp;AS[[#This Row],[Insurer Code]]&amp;"; "&amp;O3477&amp;AS[[#This Row],[Reporting Year]]&amp;"; "&amp;P3477&amp;AS[[#This Row],[Insurance Category Code]]&amp;"; "&amp;Q3477&amp;AS[[#This Row],[Large Provider Entity Code]]&amp;"; "&amp;R3477&amp;AS[[#This Row],[Age Band Code]]&amp;"; "&amp;S3477&amp;AS[[#This Row],[Sex Code]]</f>
        <v xml:space="preserve">Insurer Code ; Reporting Year ; Insurance Category Code ; Large Provider Entity Code ; Age Band Code ; Sex Code </v>
      </c>
      <c r="N3477" s="345" t="s">
        <v>207</v>
      </c>
      <c r="O3477" s="345" t="s">
        <v>208</v>
      </c>
      <c r="P3477" s="345" t="s">
        <v>209</v>
      </c>
      <c r="Q3477" s="345" t="s">
        <v>210</v>
      </c>
      <c r="R3477" s="345" t="s">
        <v>223</v>
      </c>
      <c r="S3477" s="345" t="s">
        <v>224</v>
      </c>
    </row>
    <row r="3478" spans="1:19" x14ac:dyDescent="0.25">
      <c r="A3478" s="311"/>
      <c r="B3478" s="312"/>
      <c r="C3478" s="312"/>
      <c r="D3478" s="312"/>
      <c r="E3478" s="312"/>
      <c r="F3478" s="312"/>
      <c r="G3478" s="328"/>
      <c r="H3478" s="337"/>
      <c r="I3478" s="334"/>
      <c r="J3478" s="314"/>
      <c r="K3478" s="449"/>
      <c r="M3478" s="349" t="str">
        <f>N3478&amp;AS[[#This Row],[Insurer Code]]&amp;"; "&amp;O3478&amp;AS[[#This Row],[Reporting Year]]&amp;"; "&amp;P3478&amp;AS[[#This Row],[Insurance Category Code]]&amp;"; "&amp;Q3478&amp;AS[[#This Row],[Large Provider Entity Code]]&amp;"; "&amp;R3478&amp;AS[[#This Row],[Age Band Code]]&amp;"; "&amp;S3478&amp;AS[[#This Row],[Sex Code]]</f>
        <v xml:space="preserve">Insurer Code ; Reporting Year ; Insurance Category Code ; Large Provider Entity Code ; Age Band Code ; Sex Code </v>
      </c>
      <c r="N3478" s="345" t="s">
        <v>207</v>
      </c>
      <c r="O3478" s="345" t="s">
        <v>208</v>
      </c>
      <c r="P3478" s="345" t="s">
        <v>209</v>
      </c>
      <c r="Q3478" s="345" t="s">
        <v>210</v>
      </c>
      <c r="R3478" s="345" t="s">
        <v>223</v>
      </c>
      <c r="S3478" s="345" t="s">
        <v>224</v>
      </c>
    </row>
    <row r="3479" spans="1:19" x14ac:dyDescent="0.25">
      <c r="A3479" s="311"/>
      <c r="B3479" s="312"/>
      <c r="C3479" s="312"/>
      <c r="D3479" s="312"/>
      <c r="E3479" s="312"/>
      <c r="F3479" s="312"/>
      <c r="G3479" s="328"/>
      <c r="H3479" s="337"/>
      <c r="I3479" s="334"/>
      <c r="J3479" s="314"/>
      <c r="K3479" s="449"/>
      <c r="M3479" s="349" t="str">
        <f>N3479&amp;AS[[#This Row],[Insurer Code]]&amp;"; "&amp;O3479&amp;AS[[#This Row],[Reporting Year]]&amp;"; "&amp;P3479&amp;AS[[#This Row],[Insurance Category Code]]&amp;"; "&amp;Q3479&amp;AS[[#This Row],[Large Provider Entity Code]]&amp;"; "&amp;R3479&amp;AS[[#This Row],[Age Band Code]]&amp;"; "&amp;S3479&amp;AS[[#This Row],[Sex Code]]</f>
        <v xml:space="preserve">Insurer Code ; Reporting Year ; Insurance Category Code ; Large Provider Entity Code ; Age Band Code ; Sex Code </v>
      </c>
      <c r="N3479" s="345" t="s">
        <v>207</v>
      </c>
      <c r="O3479" s="345" t="s">
        <v>208</v>
      </c>
      <c r="P3479" s="345" t="s">
        <v>209</v>
      </c>
      <c r="Q3479" s="345" t="s">
        <v>210</v>
      </c>
      <c r="R3479" s="345" t="s">
        <v>223</v>
      </c>
      <c r="S3479" s="345" t="s">
        <v>224</v>
      </c>
    </row>
    <row r="3480" spans="1:19" x14ac:dyDescent="0.25">
      <c r="A3480" s="311"/>
      <c r="B3480" s="312"/>
      <c r="C3480" s="312"/>
      <c r="D3480" s="312"/>
      <c r="E3480" s="312"/>
      <c r="F3480" s="312"/>
      <c r="G3480" s="328"/>
      <c r="H3480" s="337"/>
      <c r="I3480" s="334"/>
      <c r="J3480" s="314"/>
      <c r="K3480" s="449"/>
      <c r="M3480" s="349" t="str">
        <f>N3480&amp;AS[[#This Row],[Insurer Code]]&amp;"; "&amp;O3480&amp;AS[[#This Row],[Reporting Year]]&amp;"; "&amp;P3480&amp;AS[[#This Row],[Insurance Category Code]]&amp;"; "&amp;Q3480&amp;AS[[#This Row],[Large Provider Entity Code]]&amp;"; "&amp;R3480&amp;AS[[#This Row],[Age Band Code]]&amp;"; "&amp;S3480&amp;AS[[#This Row],[Sex Code]]</f>
        <v xml:space="preserve">Insurer Code ; Reporting Year ; Insurance Category Code ; Large Provider Entity Code ; Age Band Code ; Sex Code </v>
      </c>
      <c r="N3480" s="345" t="s">
        <v>207</v>
      </c>
      <c r="O3480" s="345" t="s">
        <v>208</v>
      </c>
      <c r="P3480" s="345" t="s">
        <v>209</v>
      </c>
      <c r="Q3480" s="345" t="s">
        <v>210</v>
      </c>
      <c r="R3480" s="345" t="s">
        <v>223</v>
      </c>
      <c r="S3480" s="345" t="s">
        <v>224</v>
      </c>
    </row>
    <row r="3481" spans="1:19" x14ac:dyDescent="0.25">
      <c r="A3481" s="311"/>
      <c r="B3481" s="312"/>
      <c r="C3481" s="312"/>
      <c r="D3481" s="312"/>
      <c r="E3481" s="312"/>
      <c r="F3481" s="312"/>
      <c r="G3481" s="328"/>
      <c r="H3481" s="337"/>
      <c r="I3481" s="334"/>
      <c r="J3481" s="314"/>
      <c r="K3481" s="449"/>
      <c r="M3481" s="349" t="str">
        <f>N3481&amp;AS[[#This Row],[Insurer Code]]&amp;"; "&amp;O3481&amp;AS[[#This Row],[Reporting Year]]&amp;"; "&amp;P3481&amp;AS[[#This Row],[Insurance Category Code]]&amp;"; "&amp;Q3481&amp;AS[[#This Row],[Large Provider Entity Code]]&amp;"; "&amp;R3481&amp;AS[[#This Row],[Age Band Code]]&amp;"; "&amp;S3481&amp;AS[[#This Row],[Sex Code]]</f>
        <v xml:space="preserve">Insurer Code ; Reporting Year ; Insurance Category Code ; Large Provider Entity Code ; Age Band Code ; Sex Code </v>
      </c>
      <c r="N3481" s="345" t="s">
        <v>207</v>
      </c>
      <c r="O3481" s="345" t="s">
        <v>208</v>
      </c>
      <c r="P3481" s="345" t="s">
        <v>209</v>
      </c>
      <c r="Q3481" s="345" t="s">
        <v>210</v>
      </c>
      <c r="R3481" s="345" t="s">
        <v>223</v>
      </c>
      <c r="S3481" s="345" t="s">
        <v>224</v>
      </c>
    </row>
    <row r="3482" spans="1:19" x14ac:dyDescent="0.25">
      <c r="A3482" s="311"/>
      <c r="B3482" s="312"/>
      <c r="C3482" s="312"/>
      <c r="D3482" s="312"/>
      <c r="E3482" s="312"/>
      <c r="F3482" s="312"/>
      <c r="G3482" s="328"/>
      <c r="H3482" s="337"/>
      <c r="I3482" s="334"/>
      <c r="J3482" s="314"/>
      <c r="K3482" s="449"/>
      <c r="M3482" s="349" t="str">
        <f>N3482&amp;AS[[#This Row],[Insurer Code]]&amp;"; "&amp;O3482&amp;AS[[#This Row],[Reporting Year]]&amp;"; "&amp;P3482&amp;AS[[#This Row],[Insurance Category Code]]&amp;"; "&amp;Q3482&amp;AS[[#This Row],[Large Provider Entity Code]]&amp;"; "&amp;R3482&amp;AS[[#This Row],[Age Band Code]]&amp;"; "&amp;S3482&amp;AS[[#This Row],[Sex Code]]</f>
        <v xml:space="preserve">Insurer Code ; Reporting Year ; Insurance Category Code ; Large Provider Entity Code ; Age Band Code ; Sex Code </v>
      </c>
      <c r="N3482" s="345" t="s">
        <v>207</v>
      </c>
      <c r="O3482" s="345" t="s">
        <v>208</v>
      </c>
      <c r="P3482" s="345" t="s">
        <v>209</v>
      </c>
      <c r="Q3482" s="345" t="s">
        <v>210</v>
      </c>
      <c r="R3482" s="345" t="s">
        <v>223</v>
      </c>
      <c r="S3482" s="345" t="s">
        <v>224</v>
      </c>
    </row>
    <row r="3483" spans="1:19" x14ac:dyDescent="0.25">
      <c r="A3483" s="311"/>
      <c r="B3483" s="312"/>
      <c r="C3483" s="312"/>
      <c r="D3483" s="312"/>
      <c r="E3483" s="312"/>
      <c r="F3483" s="312"/>
      <c r="G3483" s="328"/>
      <c r="H3483" s="337"/>
      <c r="I3483" s="334"/>
      <c r="J3483" s="314"/>
      <c r="K3483" s="449"/>
      <c r="M3483" s="349" t="str">
        <f>N3483&amp;AS[[#This Row],[Insurer Code]]&amp;"; "&amp;O3483&amp;AS[[#This Row],[Reporting Year]]&amp;"; "&amp;P3483&amp;AS[[#This Row],[Insurance Category Code]]&amp;"; "&amp;Q3483&amp;AS[[#This Row],[Large Provider Entity Code]]&amp;"; "&amp;R3483&amp;AS[[#This Row],[Age Band Code]]&amp;"; "&amp;S3483&amp;AS[[#This Row],[Sex Code]]</f>
        <v xml:space="preserve">Insurer Code ; Reporting Year ; Insurance Category Code ; Large Provider Entity Code ; Age Band Code ; Sex Code </v>
      </c>
      <c r="N3483" s="345" t="s">
        <v>207</v>
      </c>
      <c r="O3483" s="345" t="s">
        <v>208</v>
      </c>
      <c r="P3483" s="345" t="s">
        <v>209</v>
      </c>
      <c r="Q3483" s="345" t="s">
        <v>210</v>
      </c>
      <c r="R3483" s="345" t="s">
        <v>223</v>
      </c>
      <c r="S3483" s="345" t="s">
        <v>224</v>
      </c>
    </row>
    <row r="3484" spans="1:19" x14ac:dyDescent="0.25">
      <c r="A3484" s="311"/>
      <c r="B3484" s="312"/>
      <c r="C3484" s="312"/>
      <c r="D3484" s="312"/>
      <c r="E3484" s="312"/>
      <c r="F3484" s="312"/>
      <c r="G3484" s="328"/>
      <c r="H3484" s="337"/>
      <c r="I3484" s="334"/>
      <c r="J3484" s="314"/>
      <c r="K3484" s="449"/>
      <c r="M3484" s="349" t="str">
        <f>N3484&amp;AS[[#This Row],[Insurer Code]]&amp;"; "&amp;O3484&amp;AS[[#This Row],[Reporting Year]]&amp;"; "&amp;P3484&amp;AS[[#This Row],[Insurance Category Code]]&amp;"; "&amp;Q3484&amp;AS[[#This Row],[Large Provider Entity Code]]&amp;"; "&amp;R3484&amp;AS[[#This Row],[Age Band Code]]&amp;"; "&amp;S3484&amp;AS[[#This Row],[Sex Code]]</f>
        <v xml:space="preserve">Insurer Code ; Reporting Year ; Insurance Category Code ; Large Provider Entity Code ; Age Band Code ; Sex Code </v>
      </c>
      <c r="N3484" s="345" t="s">
        <v>207</v>
      </c>
      <c r="O3484" s="345" t="s">
        <v>208</v>
      </c>
      <c r="P3484" s="345" t="s">
        <v>209</v>
      </c>
      <c r="Q3484" s="345" t="s">
        <v>210</v>
      </c>
      <c r="R3484" s="345" t="s">
        <v>223</v>
      </c>
      <c r="S3484" s="345" t="s">
        <v>224</v>
      </c>
    </row>
    <row r="3485" spans="1:19" x14ac:dyDescent="0.25">
      <c r="A3485" s="311"/>
      <c r="B3485" s="312"/>
      <c r="C3485" s="312"/>
      <c r="D3485" s="312"/>
      <c r="E3485" s="312"/>
      <c r="F3485" s="312"/>
      <c r="G3485" s="328"/>
      <c r="H3485" s="337"/>
      <c r="I3485" s="334"/>
      <c r="J3485" s="314"/>
      <c r="K3485" s="449"/>
      <c r="M3485" s="349" t="str">
        <f>N3485&amp;AS[[#This Row],[Insurer Code]]&amp;"; "&amp;O3485&amp;AS[[#This Row],[Reporting Year]]&amp;"; "&amp;P3485&amp;AS[[#This Row],[Insurance Category Code]]&amp;"; "&amp;Q3485&amp;AS[[#This Row],[Large Provider Entity Code]]&amp;"; "&amp;R3485&amp;AS[[#This Row],[Age Band Code]]&amp;"; "&amp;S3485&amp;AS[[#This Row],[Sex Code]]</f>
        <v xml:space="preserve">Insurer Code ; Reporting Year ; Insurance Category Code ; Large Provider Entity Code ; Age Band Code ; Sex Code </v>
      </c>
      <c r="N3485" s="345" t="s">
        <v>207</v>
      </c>
      <c r="O3485" s="345" t="s">
        <v>208</v>
      </c>
      <c r="P3485" s="345" t="s">
        <v>209</v>
      </c>
      <c r="Q3485" s="345" t="s">
        <v>210</v>
      </c>
      <c r="R3485" s="345" t="s">
        <v>223</v>
      </c>
      <c r="S3485" s="345" t="s">
        <v>224</v>
      </c>
    </row>
    <row r="3486" spans="1:19" x14ac:dyDescent="0.25">
      <c r="A3486" s="311"/>
      <c r="B3486" s="312"/>
      <c r="C3486" s="312"/>
      <c r="D3486" s="312"/>
      <c r="E3486" s="312"/>
      <c r="F3486" s="312"/>
      <c r="G3486" s="328"/>
      <c r="H3486" s="337"/>
      <c r="I3486" s="334"/>
      <c r="J3486" s="314"/>
      <c r="K3486" s="449"/>
      <c r="M3486" s="349" t="str">
        <f>N3486&amp;AS[[#This Row],[Insurer Code]]&amp;"; "&amp;O3486&amp;AS[[#This Row],[Reporting Year]]&amp;"; "&amp;P3486&amp;AS[[#This Row],[Insurance Category Code]]&amp;"; "&amp;Q3486&amp;AS[[#This Row],[Large Provider Entity Code]]&amp;"; "&amp;R3486&amp;AS[[#This Row],[Age Band Code]]&amp;"; "&amp;S3486&amp;AS[[#This Row],[Sex Code]]</f>
        <v xml:space="preserve">Insurer Code ; Reporting Year ; Insurance Category Code ; Large Provider Entity Code ; Age Band Code ; Sex Code </v>
      </c>
      <c r="N3486" s="345" t="s">
        <v>207</v>
      </c>
      <c r="O3486" s="345" t="s">
        <v>208</v>
      </c>
      <c r="P3486" s="345" t="s">
        <v>209</v>
      </c>
      <c r="Q3486" s="345" t="s">
        <v>210</v>
      </c>
      <c r="R3486" s="345" t="s">
        <v>223</v>
      </c>
      <c r="S3486" s="345" t="s">
        <v>224</v>
      </c>
    </row>
    <row r="3487" spans="1:19" x14ac:dyDescent="0.25">
      <c r="A3487" s="311"/>
      <c r="B3487" s="312"/>
      <c r="C3487" s="312"/>
      <c r="D3487" s="312"/>
      <c r="E3487" s="312"/>
      <c r="F3487" s="312"/>
      <c r="G3487" s="328"/>
      <c r="H3487" s="337"/>
      <c r="I3487" s="334"/>
      <c r="J3487" s="314"/>
      <c r="K3487" s="449"/>
      <c r="M3487" s="349" t="str">
        <f>N3487&amp;AS[[#This Row],[Insurer Code]]&amp;"; "&amp;O3487&amp;AS[[#This Row],[Reporting Year]]&amp;"; "&amp;P3487&amp;AS[[#This Row],[Insurance Category Code]]&amp;"; "&amp;Q3487&amp;AS[[#This Row],[Large Provider Entity Code]]&amp;"; "&amp;R3487&amp;AS[[#This Row],[Age Band Code]]&amp;"; "&amp;S3487&amp;AS[[#This Row],[Sex Code]]</f>
        <v xml:space="preserve">Insurer Code ; Reporting Year ; Insurance Category Code ; Large Provider Entity Code ; Age Band Code ; Sex Code </v>
      </c>
      <c r="N3487" s="345" t="s">
        <v>207</v>
      </c>
      <c r="O3487" s="345" t="s">
        <v>208</v>
      </c>
      <c r="P3487" s="345" t="s">
        <v>209</v>
      </c>
      <c r="Q3487" s="345" t="s">
        <v>210</v>
      </c>
      <c r="R3487" s="345" t="s">
        <v>223</v>
      </c>
      <c r="S3487" s="345" t="s">
        <v>224</v>
      </c>
    </row>
    <row r="3488" spans="1:19" x14ac:dyDescent="0.25">
      <c r="A3488" s="311"/>
      <c r="B3488" s="312"/>
      <c r="C3488" s="312"/>
      <c r="D3488" s="312"/>
      <c r="E3488" s="312"/>
      <c r="F3488" s="312"/>
      <c r="G3488" s="328"/>
      <c r="H3488" s="337"/>
      <c r="I3488" s="334"/>
      <c r="J3488" s="314"/>
      <c r="K3488" s="449"/>
      <c r="M3488" s="349" t="str">
        <f>N3488&amp;AS[[#This Row],[Insurer Code]]&amp;"; "&amp;O3488&amp;AS[[#This Row],[Reporting Year]]&amp;"; "&amp;P3488&amp;AS[[#This Row],[Insurance Category Code]]&amp;"; "&amp;Q3488&amp;AS[[#This Row],[Large Provider Entity Code]]&amp;"; "&amp;R3488&amp;AS[[#This Row],[Age Band Code]]&amp;"; "&amp;S3488&amp;AS[[#This Row],[Sex Code]]</f>
        <v xml:space="preserve">Insurer Code ; Reporting Year ; Insurance Category Code ; Large Provider Entity Code ; Age Band Code ; Sex Code </v>
      </c>
      <c r="N3488" s="345" t="s">
        <v>207</v>
      </c>
      <c r="O3488" s="345" t="s">
        <v>208</v>
      </c>
      <c r="P3488" s="345" t="s">
        <v>209</v>
      </c>
      <c r="Q3488" s="345" t="s">
        <v>210</v>
      </c>
      <c r="R3488" s="345" t="s">
        <v>223</v>
      </c>
      <c r="S3488" s="345" t="s">
        <v>224</v>
      </c>
    </row>
    <row r="3489" spans="1:19" x14ac:dyDescent="0.25">
      <c r="A3489" s="311"/>
      <c r="B3489" s="312"/>
      <c r="C3489" s="312"/>
      <c r="D3489" s="312"/>
      <c r="E3489" s="312"/>
      <c r="F3489" s="312"/>
      <c r="G3489" s="328"/>
      <c r="H3489" s="337"/>
      <c r="I3489" s="334"/>
      <c r="J3489" s="314"/>
      <c r="K3489" s="449"/>
      <c r="M3489" s="349" t="str">
        <f>N3489&amp;AS[[#This Row],[Insurer Code]]&amp;"; "&amp;O3489&amp;AS[[#This Row],[Reporting Year]]&amp;"; "&amp;P3489&amp;AS[[#This Row],[Insurance Category Code]]&amp;"; "&amp;Q3489&amp;AS[[#This Row],[Large Provider Entity Code]]&amp;"; "&amp;R3489&amp;AS[[#This Row],[Age Band Code]]&amp;"; "&amp;S3489&amp;AS[[#This Row],[Sex Code]]</f>
        <v xml:space="preserve">Insurer Code ; Reporting Year ; Insurance Category Code ; Large Provider Entity Code ; Age Band Code ; Sex Code </v>
      </c>
      <c r="N3489" s="345" t="s">
        <v>207</v>
      </c>
      <c r="O3489" s="345" t="s">
        <v>208</v>
      </c>
      <c r="P3489" s="345" t="s">
        <v>209</v>
      </c>
      <c r="Q3489" s="345" t="s">
        <v>210</v>
      </c>
      <c r="R3489" s="345" t="s">
        <v>223</v>
      </c>
      <c r="S3489" s="345" t="s">
        <v>224</v>
      </c>
    </row>
    <row r="3490" spans="1:19" x14ac:dyDescent="0.25">
      <c r="A3490" s="311"/>
      <c r="B3490" s="312"/>
      <c r="C3490" s="312"/>
      <c r="D3490" s="312"/>
      <c r="E3490" s="312"/>
      <c r="F3490" s="312"/>
      <c r="G3490" s="328"/>
      <c r="H3490" s="337"/>
      <c r="I3490" s="334"/>
      <c r="J3490" s="314"/>
      <c r="K3490" s="449"/>
      <c r="M3490" s="349" t="str">
        <f>N3490&amp;AS[[#This Row],[Insurer Code]]&amp;"; "&amp;O3490&amp;AS[[#This Row],[Reporting Year]]&amp;"; "&amp;P3490&amp;AS[[#This Row],[Insurance Category Code]]&amp;"; "&amp;Q3490&amp;AS[[#This Row],[Large Provider Entity Code]]&amp;"; "&amp;R3490&amp;AS[[#This Row],[Age Band Code]]&amp;"; "&amp;S3490&amp;AS[[#This Row],[Sex Code]]</f>
        <v xml:space="preserve">Insurer Code ; Reporting Year ; Insurance Category Code ; Large Provider Entity Code ; Age Band Code ; Sex Code </v>
      </c>
      <c r="N3490" s="345" t="s">
        <v>207</v>
      </c>
      <c r="O3490" s="345" t="s">
        <v>208</v>
      </c>
      <c r="P3490" s="345" t="s">
        <v>209</v>
      </c>
      <c r="Q3490" s="345" t="s">
        <v>210</v>
      </c>
      <c r="R3490" s="345" t="s">
        <v>223</v>
      </c>
      <c r="S3490" s="345" t="s">
        <v>224</v>
      </c>
    </row>
    <row r="3491" spans="1:19" x14ac:dyDescent="0.25">
      <c r="A3491" s="311"/>
      <c r="B3491" s="312"/>
      <c r="C3491" s="312"/>
      <c r="D3491" s="312"/>
      <c r="E3491" s="312"/>
      <c r="F3491" s="312"/>
      <c r="G3491" s="328"/>
      <c r="H3491" s="337"/>
      <c r="I3491" s="334"/>
      <c r="J3491" s="314"/>
      <c r="K3491" s="449"/>
      <c r="M3491" s="349" t="str">
        <f>N3491&amp;AS[[#This Row],[Insurer Code]]&amp;"; "&amp;O3491&amp;AS[[#This Row],[Reporting Year]]&amp;"; "&amp;P3491&amp;AS[[#This Row],[Insurance Category Code]]&amp;"; "&amp;Q3491&amp;AS[[#This Row],[Large Provider Entity Code]]&amp;"; "&amp;R3491&amp;AS[[#This Row],[Age Band Code]]&amp;"; "&amp;S3491&amp;AS[[#This Row],[Sex Code]]</f>
        <v xml:space="preserve">Insurer Code ; Reporting Year ; Insurance Category Code ; Large Provider Entity Code ; Age Band Code ; Sex Code </v>
      </c>
      <c r="N3491" s="345" t="s">
        <v>207</v>
      </c>
      <c r="O3491" s="345" t="s">
        <v>208</v>
      </c>
      <c r="P3491" s="345" t="s">
        <v>209</v>
      </c>
      <c r="Q3491" s="345" t="s">
        <v>210</v>
      </c>
      <c r="R3491" s="345" t="s">
        <v>223</v>
      </c>
      <c r="S3491" s="345" t="s">
        <v>224</v>
      </c>
    </row>
    <row r="3492" spans="1:19" x14ac:dyDescent="0.25">
      <c r="A3492" s="311"/>
      <c r="B3492" s="312"/>
      <c r="C3492" s="312"/>
      <c r="D3492" s="312"/>
      <c r="E3492" s="312"/>
      <c r="F3492" s="312"/>
      <c r="G3492" s="328"/>
      <c r="H3492" s="337"/>
      <c r="I3492" s="334"/>
      <c r="J3492" s="314"/>
      <c r="K3492" s="449"/>
      <c r="M3492" s="349" t="str">
        <f>N3492&amp;AS[[#This Row],[Insurer Code]]&amp;"; "&amp;O3492&amp;AS[[#This Row],[Reporting Year]]&amp;"; "&amp;P3492&amp;AS[[#This Row],[Insurance Category Code]]&amp;"; "&amp;Q3492&amp;AS[[#This Row],[Large Provider Entity Code]]&amp;"; "&amp;R3492&amp;AS[[#This Row],[Age Band Code]]&amp;"; "&amp;S3492&amp;AS[[#This Row],[Sex Code]]</f>
        <v xml:space="preserve">Insurer Code ; Reporting Year ; Insurance Category Code ; Large Provider Entity Code ; Age Band Code ; Sex Code </v>
      </c>
      <c r="N3492" s="345" t="s">
        <v>207</v>
      </c>
      <c r="O3492" s="345" t="s">
        <v>208</v>
      </c>
      <c r="P3492" s="345" t="s">
        <v>209</v>
      </c>
      <c r="Q3492" s="345" t="s">
        <v>210</v>
      </c>
      <c r="R3492" s="345" t="s">
        <v>223</v>
      </c>
      <c r="S3492" s="345" t="s">
        <v>224</v>
      </c>
    </row>
    <row r="3493" spans="1:19" x14ac:dyDescent="0.25">
      <c r="A3493" s="311"/>
      <c r="B3493" s="312"/>
      <c r="C3493" s="312"/>
      <c r="D3493" s="312"/>
      <c r="E3493" s="312"/>
      <c r="F3493" s="312"/>
      <c r="G3493" s="328"/>
      <c r="H3493" s="337"/>
      <c r="I3493" s="334"/>
      <c r="J3493" s="314"/>
      <c r="K3493" s="449"/>
      <c r="M3493" s="349" t="str">
        <f>N3493&amp;AS[[#This Row],[Insurer Code]]&amp;"; "&amp;O3493&amp;AS[[#This Row],[Reporting Year]]&amp;"; "&amp;P3493&amp;AS[[#This Row],[Insurance Category Code]]&amp;"; "&amp;Q3493&amp;AS[[#This Row],[Large Provider Entity Code]]&amp;"; "&amp;R3493&amp;AS[[#This Row],[Age Band Code]]&amp;"; "&amp;S3493&amp;AS[[#This Row],[Sex Code]]</f>
        <v xml:space="preserve">Insurer Code ; Reporting Year ; Insurance Category Code ; Large Provider Entity Code ; Age Band Code ; Sex Code </v>
      </c>
      <c r="N3493" s="345" t="s">
        <v>207</v>
      </c>
      <c r="O3493" s="345" t="s">
        <v>208</v>
      </c>
      <c r="P3493" s="345" t="s">
        <v>209</v>
      </c>
      <c r="Q3493" s="345" t="s">
        <v>210</v>
      </c>
      <c r="R3493" s="345" t="s">
        <v>223</v>
      </c>
      <c r="S3493" s="345" t="s">
        <v>224</v>
      </c>
    </row>
    <row r="3494" spans="1:19" x14ac:dyDescent="0.25">
      <c r="A3494" s="311"/>
      <c r="B3494" s="312"/>
      <c r="C3494" s="312"/>
      <c r="D3494" s="312"/>
      <c r="E3494" s="312"/>
      <c r="F3494" s="312"/>
      <c r="G3494" s="328"/>
      <c r="H3494" s="337"/>
      <c r="I3494" s="334"/>
      <c r="J3494" s="314"/>
      <c r="K3494" s="449"/>
      <c r="M3494" s="349" t="str">
        <f>N3494&amp;AS[[#This Row],[Insurer Code]]&amp;"; "&amp;O3494&amp;AS[[#This Row],[Reporting Year]]&amp;"; "&amp;P3494&amp;AS[[#This Row],[Insurance Category Code]]&amp;"; "&amp;Q3494&amp;AS[[#This Row],[Large Provider Entity Code]]&amp;"; "&amp;R3494&amp;AS[[#This Row],[Age Band Code]]&amp;"; "&amp;S3494&amp;AS[[#This Row],[Sex Code]]</f>
        <v xml:space="preserve">Insurer Code ; Reporting Year ; Insurance Category Code ; Large Provider Entity Code ; Age Band Code ; Sex Code </v>
      </c>
      <c r="N3494" s="345" t="s">
        <v>207</v>
      </c>
      <c r="O3494" s="345" t="s">
        <v>208</v>
      </c>
      <c r="P3494" s="345" t="s">
        <v>209</v>
      </c>
      <c r="Q3494" s="345" t="s">
        <v>210</v>
      </c>
      <c r="R3494" s="345" t="s">
        <v>223</v>
      </c>
      <c r="S3494" s="345" t="s">
        <v>224</v>
      </c>
    </row>
    <row r="3495" spans="1:19" x14ac:dyDescent="0.25">
      <c r="A3495" s="311"/>
      <c r="B3495" s="312"/>
      <c r="C3495" s="312"/>
      <c r="D3495" s="312"/>
      <c r="E3495" s="312"/>
      <c r="F3495" s="312"/>
      <c r="G3495" s="328"/>
      <c r="H3495" s="337"/>
      <c r="I3495" s="334"/>
      <c r="J3495" s="314"/>
      <c r="K3495" s="449"/>
      <c r="M3495" s="349" t="str">
        <f>N3495&amp;AS[[#This Row],[Insurer Code]]&amp;"; "&amp;O3495&amp;AS[[#This Row],[Reporting Year]]&amp;"; "&amp;P3495&amp;AS[[#This Row],[Insurance Category Code]]&amp;"; "&amp;Q3495&amp;AS[[#This Row],[Large Provider Entity Code]]&amp;"; "&amp;R3495&amp;AS[[#This Row],[Age Band Code]]&amp;"; "&amp;S3495&amp;AS[[#This Row],[Sex Code]]</f>
        <v xml:space="preserve">Insurer Code ; Reporting Year ; Insurance Category Code ; Large Provider Entity Code ; Age Band Code ; Sex Code </v>
      </c>
      <c r="N3495" s="345" t="s">
        <v>207</v>
      </c>
      <c r="O3495" s="345" t="s">
        <v>208</v>
      </c>
      <c r="P3495" s="345" t="s">
        <v>209</v>
      </c>
      <c r="Q3495" s="345" t="s">
        <v>210</v>
      </c>
      <c r="R3495" s="345" t="s">
        <v>223</v>
      </c>
      <c r="S3495" s="345" t="s">
        <v>224</v>
      </c>
    </row>
    <row r="3496" spans="1:19" x14ac:dyDescent="0.25">
      <c r="A3496" s="311"/>
      <c r="B3496" s="312"/>
      <c r="C3496" s="312"/>
      <c r="D3496" s="312"/>
      <c r="E3496" s="312"/>
      <c r="F3496" s="312"/>
      <c r="G3496" s="328"/>
      <c r="H3496" s="337"/>
      <c r="I3496" s="334"/>
      <c r="J3496" s="314"/>
      <c r="K3496" s="449"/>
      <c r="M3496" s="349" t="str">
        <f>N3496&amp;AS[[#This Row],[Insurer Code]]&amp;"; "&amp;O3496&amp;AS[[#This Row],[Reporting Year]]&amp;"; "&amp;P3496&amp;AS[[#This Row],[Insurance Category Code]]&amp;"; "&amp;Q3496&amp;AS[[#This Row],[Large Provider Entity Code]]&amp;"; "&amp;R3496&amp;AS[[#This Row],[Age Band Code]]&amp;"; "&amp;S3496&amp;AS[[#This Row],[Sex Code]]</f>
        <v xml:space="preserve">Insurer Code ; Reporting Year ; Insurance Category Code ; Large Provider Entity Code ; Age Band Code ; Sex Code </v>
      </c>
      <c r="N3496" s="345" t="s">
        <v>207</v>
      </c>
      <c r="O3496" s="345" t="s">
        <v>208</v>
      </c>
      <c r="P3496" s="345" t="s">
        <v>209</v>
      </c>
      <c r="Q3496" s="345" t="s">
        <v>210</v>
      </c>
      <c r="R3496" s="345" t="s">
        <v>223</v>
      </c>
      <c r="S3496" s="345" t="s">
        <v>224</v>
      </c>
    </row>
    <row r="3497" spans="1:19" x14ac:dyDescent="0.25">
      <c r="A3497" s="311"/>
      <c r="B3497" s="312"/>
      <c r="C3497" s="312"/>
      <c r="D3497" s="312"/>
      <c r="E3497" s="312"/>
      <c r="F3497" s="312"/>
      <c r="G3497" s="328"/>
      <c r="H3497" s="337"/>
      <c r="I3497" s="334"/>
      <c r="J3497" s="314"/>
      <c r="K3497" s="449"/>
      <c r="M3497" s="349" t="str">
        <f>N3497&amp;AS[[#This Row],[Insurer Code]]&amp;"; "&amp;O3497&amp;AS[[#This Row],[Reporting Year]]&amp;"; "&amp;P3497&amp;AS[[#This Row],[Insurance Category Code]]&amp;"; "&amp;Q3497&amp;AS[[#This Row],[Large Provider Entity Code]]&amp;"; "&amp;R3497&amp;AS[[#This Row],[Age Band Code]]&amp;"; "&amp;S3497&amp;AS[[#This Row],[Sex Code]]</f>
        <v xml:space="preserve">Insurer Code ; Reporting Year ; Insurance Category Code ; Large Provider Entity Code ; Age Band Code ; Sex Code </v>
      </c>
      <c r="N3497" s="345" t="s">
        <v>207</v>
      </c>
      <c r="O3497" s="345" t="s">
        <v>208</v>
      </c>
      <c r="P3497" s="345" t="s">
        <v>209</v>
      </c>
      <c r="Q3497" s="345" t="s">
        <v>210</v>
      </c>
      <c r="R3497" s="345" t="s">
        <v>223</v>
      </c>
      <c r="S3497" s="345" t="s">
        <v>224</v>
      </c>
    </row>
    <row r="3498" spans="1:19" x14ac:dyDescent="0.25">
      <c r="A3498" s="311"/>
      <c r="B3498" s="312"/>
      <c r="C3498" s="312"/>
      <c r="D3498" s="312"/>
      <c r="E3498" s="312"/>
      <c r="F3498" s="312"/>
      <c r="G3498" s="328"/>
      <c r="H3498" s="337"/>
      <c r="I3498" s="334"/>
      <c r="J3498" s="314"/>
      <c r="K3498" s="449"/>
      <c r="M3498" s="349" t="str">
        <f>N3498&amp;AS[[#This Row],[Insurer Code]]&amp;"; "&amp;O3498&amp;AS[[#This Row],[Reporting Year]]&amp;"; "&amp;P3498&amp;AS[[#This Row],[Insurance Category Code]]&amp;"; "&amp;Q3498&amp;AS[[#This Row],[Large Provider Entity Code]]&amp;"; "&amp;R3498&amp;AS[[#This Row],[Age Band Code]]&amp;"; "&amp;S3498&amp;AS[[#This Row],[Sex Code]]</f>
        <v xml:space="preserve">Insurer Code ; Reporting Year ; Insurance Category Code ; Large Provider Entity Code ; Age Band Code ; Sex Code </v>
      </c>
      <c r="N3498" s="345" t="s">
        <v>207</v>
      </c>
      <c r="O3498" s="345" t="s">
        <v>208</v>
      </c>
      <c r="P3498" s="345" t="s">
        <v>209</v>
      </c>
      <c r="Q3498" s="345" t="s">
        <v>210</v>
      </c>
      <c r="R3498" s="345" t="s">
        <v>223</v>
      </c>
      <c r="S3498" s="345" t="s">
        <v>224</v>
      </c>
    </row>
    <row r="3499" spans="1:19" x14ac:dyDescent="0.25">
      <c r="A3499" s="311"/>
      <c r="B3499" s="312"/>
      <c r="C3499" s="312"/>
      <c r="D3499" s="312"/>
      <c r="E3499" s="312"/>
      <c r="F3499" s="312"/>
      <c r="G3499" s="328"/>
      <c r="H3499" s="337"/>
      <c r="I3499" s="334"/>
      <c r="J3499" s="314"/>
      <c r="K3499" s="449"/>
      <c r="M3499" s="349" t="str">
        <f>N3499&amp;AS[[#This Row],[Insurer Code]]&amp;"; "&amp;O3499&amp;AS[[#This Row],[Reporting Year]]&amp;"; "&amp;P3499&amp;AS[[#This Row],[Insurance Category Code]]&amp;"; "&amp;Q3499&amp;AS[[#This Row],[Large Provider Entity Code]]&amp;"; "&amp;R3499&amp;AS[[#This Row],[Age Band Code]]&amp;"; "&amp;S3499&amp;AS[[#This Row],[Sex Code]]</f>
        <v xml:space="preserve">Insurer Code ; Reporting Year ; Insurance Category Code ; Large Provider Entity Code ; Age Band Code ; Sex Code </v>
      </c>
      <c r="N3499" s="345" t="s">
        <v>207</v>
      </c>
      <c r="O3499" s="345" t="s">
        <v>208</v>
      </c>
      <c r="P3499" s="345" t="s">
        <v>209</v>
      </c>
      <c r="Q3499" s="345" t="s">
        <v>210</v>
      </c>
      <c r="R3499" s="345" t="s">
        <v>223</v>
      </c>
      <c r="S3499" s="345" t="s">
        <v>224</v>
      </c>
    </row>
    <row r="3500" spans="1:19" x14ac:dyDescent="0.25">
      <c r="A3500" s="311"/>
      <c r="B3500" s="312"/>
      <c r="C3500" s="312"/>
      <c r="D3500" s="312"/>
      <c r="E3500" s="312"/>
      <c r="F3500" s="312"/>
      <c r="G3500" s="328"/>
      <c r="H3500" s="337"/>
      <c r="I3500" s="334"/>
      <c r="J3500" s="314"/>
      <c r="K3500" s="449"/>
      <c r="M3500" s="349" t="str">
        <f>N3500&amp;AS[[#This Row],[Insurer Code]]&amp;"; "&amp;O3500&amp;AS[[#This Row],[Reporting Year]]&amp;"; "&amp;P3500&amp;AS[[#This Row],[Insurance Category Code]]&amp;"; "&amp;Q3500&amp;AS[[#This Row],[Large Provider Entity Code]]&amp;"; "&amp;R3500&amp;AS[[#This Row],[Age Band Code]]&amp;"; "&amp;S3500&amp;AS[[#This Row],[Sex Code]]</f>
        <v xml:space="preserve">Insurer Code ; Reporting Year ; Insurance Category Code ; Large Provider Entity Code ; Age Band Code ; Sex Code </v>
      </c>
      <c r="N3500" s="345" t="s">
        <v>207</v>
      </c>
      <c r="O3500" s="345" t="s">
        <v>208</v>
      </c>
      <c r="P3500" s="345" t="s">
        <v>209</v>
      </c>
      <c r="Q3500" s="345" t="s">
        <v>210</v>
      </c>
      <c r="R3500" s="345" t="s">
        <v>223</v>
      </c>
      <c r="S3500" s="345" t="s">
        <v>224</v>
      </c>
    </row>
    <row r="3501" spans="1:19" x14ac:dyDescent="0.25">
      <c r="A3501" s="311"/>
      <c r="B3501" s="312"/>
      <c r="C3501" s="312"/>
      <c r="D3501" s="312"/>
      <c r="E3501" s="312"/>
      <c r="F3501" s="312"/>
      <c r="G3501" s="328"/>
      <c r="H3501" s="337"/>
      <c r="I3501" s="334"/>
      <c r="J3501" s="314"/>
      <c r="K3501" s="449"/>
      <c r="M3501" s="349" t="str">
        <f>N3501&amp;AS[[#This Row],[Insurer Code]]&amp;"; "&amp;O3501&amp;AS[[#This Row],[Reporting Year]]&amp;"; "&amp;P3501&amp;AS[[#This Row],[Insurance Category Code]]&amp;"; "&amp;Q3501&amp;AS[[#This Row],[Large Provider Entity Code]]&amp;"; "&amp;R3501&amp;AS[[#This Row],[Age Band Code]]&amp;"; "&amp;S3501&amp;AS[[#This Row],[Sex Code]]</f>
        <v xml:space="preserve">Insurer Code ; Reporting Year ; Insurance Category Code ; Large Provider Entity Code ; Age Band Code ; Sex Code </v>
      </c>
      <c r="N3501" s="345" t="s">
        <v>207</v>
      </c>
      <c r="O3501" s="345" t="s">
        <v>208</v>
      </c>
      <c r="P3501" s="345" t="s">
        <v>209</v>
      </c>
      <c r="Q3501" s="345" t="s">
        <v>210</v>
      </c>
      <c r="R3501" s="345" t="s">
        <v>223</v>
      </c>
      <c r="S3501" s="345" t="s">
        <v>224</v>
      </c>
    </row>
    <row r="3502" spans="1:19" x14ac:dyDescent="0.25">
      <c r="A3502" s="311"/>
      <c r="B3502" s="312"/>
      <c r="C3502" s="312"/>
      <c r="D3502" s="312"/>
      <c r="E3502" s="312"/>
      <c r="F3502" s="312"/>
      <c r="G3502" s="328"/>
      <c r="H3502" s="337"/>
      <c r="I3502" s="334"/>
      <c r="J3502" s="314"/>
      <c r="K3502" s="449"/>
      <c r="M3502" s="349" t="str">
        <f>N3502&amp;AS[[#This Row],[Insurer Code]]&amp;"; "&amp;O3502&amp;AS[[#This Row],[Reporting Year]]&amp;"; "&amp;P3502&amp;AS[[#This Row],[Insurance Category Code]]&amp;"; "&amp;Q3502&amp;AS[[#This Row],[Large Provider Entity Code]]&amp;"; "&amp;R3502&amp;AS[[#This Row],[Age Band Code]]&amp;"; "&amp;S3502&amp;AS[[#This Row],[Sex Code]]</f>
        <v xml:space="preserve">Insurer Code ; Reporting Year ; Insurance Category Code ; Large Provider Entity Code ; Age Band Code ; Sex Code </v>
      </c>
      <c r="N3502" s="345" t="s">
        <v>207</v>
      </c>
      <c r="O3502" s="345" t="s">
        <v>208</v>
      </c>
      <c r="P3502" s="345" t="s">
        <v>209</v>
      </c>
      <c r="Q3502" s="345" t="s">
        <v>210</v>
      </c>
      <c r="R3502" s="345" t="s">
        <v>223</v>
      </c>
      <c r="S3502" s="345" t="s">
        <v>224</v>
      </c>
    </row>
    <row r="3503" spans="1:19" x14ac:dyDescent="0.25">
      <c r="A3503" s="311"/>
      <c r="B3503" s="312"/>
      <c r="C3503" s="312"/>
      <c r="D3503" s="312"/>
      <c r="E3503" s="312"/>
      <c r="F3503" s="312"/>
      <c r="G3503" s="328"/>
      <c r="H3503" s="337"/>
      <c r="I3503" s="334"/>
      <c r="J3503" s="314"/>
      <c r="K3503" s="449"/>
      <c r="M3503" s="349" t="str">
        <f>N3503&amp;AS[[#This Row],[Insurer Code]]&amp;"; "&amp;O3503&amp;AS[[#This Row],[Reporting Year]]&amp;"; "&amp;P3503&amp;AS[[#This Row],[Insurance Category Code]]&amp;"; "&amp;Q3503&amp;AS[[#This Row],[Large Provider Entity Code]]&amp;"; "&amp;R3503&amp;AS[[#This Row],[Age Band Code]]&amp;"; "&amp;S3503&amp;AS[[#This Row],[Sex Code]]</f>
        <v xml:space="preserve">Insurer Code ; Reporting Year ; Insurance Category Code ; Large Provider Entity Code ; Age Band Code ; Sex Code </v>
      </c>
      <c r="N3503" s="345" t="s">
        <v>207</v>
      </c>
      <c r="O3503" s="345" t="s">
        <v>208</v>
      </c>
      <c r="P3503" s="345" t="s">
        <v>209</v>
      </c>
      <c r="Q3503" s="345" t="s">
        <v>210</v>
      </c>
      <c r="R3503" s="345" t="s">
        <v>223</v>
      </c>
      <c r="S3503" s="345" t="s">
        <v>224</v>
      </c>
    </row>
    <row r="3504" spans="1:19" x14ac:dyDescent="0.25">
      <c r="A3504" s="311"/>
      <c r="B3504" s="312"/>
      <c r="C3504" s="312"/>
      <c r="D3504" s="312"/>
      <c r="E3504" s="312"/>
      <c r="F3504" s="312"/>
      <c r="G3504" s="328"/>
      <c r="H3504" s="337"/>
      <c r="I3504" s="334"/>
      <c r="J3504" s="314"/>
      <c r="K3504" s="449"/>
      <c r="M3504" s="349" t="str">
        <f>N3504&amp;AS[[#This Row],[Insurer Code]]&amp;"; "&amp;O3504&amp;AS[[#This Row],[Reporting Year]]&amp;"; "&amp;P3504&amp;AS[[#This Row],[Insurance Category Code]]&amp;"; "&amp;Q3504&amp;AS[[#This Row],[Large Provider Entity Code]]&amp;"; "&amp;R3504&amp;AS[[#This Row],[Age Band Code]]&amp;"; "&amp;S3504&amp;AS[[#This Row],[Sex Code]]</f>
        <v xml:space="preserve">Insurer Code ; Reporting Year ; Insurance Category Code ; Large Provider Entity Code ; Age Band Code ; Sex Code </v>
      </c>
      <c r="N3504" s="345" t="s">
        <v>207</v>
      </c>
      <c r="O3504" s="345" t="s">
        <v>208</v>
      </c>
      <c r="P3504" s="345" t="s">
        <v>209</v>
      </c>
      <c r="Q3504" s="345" t="s">
        <v>210</v>
      </c>
      <c r="R3504" s="345" t="s">
        <v>223</v>
      </c>
      <c r="S3504" s="345" t="s">
        <v>224</v>
      </c>
    </row>
    <row r="3505" spans="1:19" x14ac:dyDescent="0.25">
      <c r="A3505" s="311"/>
      <c r="B3505" s="312"/>
      <c r="C3505" s="312"/>
      <c r="D3505" s="312"/>
      <c r="E3505" s="312"/>
      <c r="F3505" s="312"/>
      <c r="G3505" s="328"/>
      <c r="H3505" s="337"/>
      <c r="I3505" s="334"/>
      <c r="J3505" s="314"/>
      <c r="K3505" s="449"/>
      <c r="M3505" s="349" t="str">
        <f>N3505&amp;AS[[#This Row],[Insurer Code]]&amp;"; "&amp;O3505&amp;AS[[#This Row],[Reporting Year]]&amp;"; "&amp;P3505&amp;AS[[#This Row],[Insurance Category Code]]&amp;"; "&amp;Q3505&amp;AS[[#This Row],[Large Provider Entity Code]]&amp;"; "&amp;R3505&amp;AS[[#This Row],[Age Band Code]]&amp;"; "&amp;S3505&amp;AS[[#This Row],[Sex Code]]</f>
        <v xml:space="preserve">Insurer Code ; Reporting Year ; Insurance Category Code ; Large Provider Entity Code ; Age Band Code ; Sex Code </v>
      </c>
      <c r="N3505" s="345" t="s">
        <v>207</v>
      </c>
      <c r="O3505" s="345" t="s">
        <v>208</v>
      </c>
      <c r="P3505" s="345" t="s">
        <v>209</v>
      </c>
      <c r="Q3505" s="345" t="s">
        <v>210</v>
      </c>
      <c r="R3505" s="345" t="s">
        <v>223</v>
      </c>
      <c r="S3505" s="345" t="s">
        <v>224</v>
      </c>
    </row>
    <row r="3506" spans="1:19" x14ac:dyDescent="0.25">
      <c r="A3506" s="311"/>
      <c r="B3506" s="312"/>
      <c r="C3506" s="312"/>
      <c r="D3506" s="312"/>
      <c r="E3506" s="312"/>
      <c r="F3506" s="312"/>
      <c r="G3506" s="328"/>
      <c r="H3506" s="337"/>
      <c r="I3506" s="334"/>
      <c r="J3506" s="314"/>
      <c r="K3506" s="449"/>
      <c r="M3506" s="349" t="str">
        <f>N3506&amp;AS[[#This Row],[Insurer Code]]&amp;"; "&amp;O3506&amp;AS[[#This Row],[Reporting Year]]&amp;"; "&amp;P3506&amp;AS[[#This Row],[Insurance Category Code]]&amp;"; "&amp;Q3506&amp;AS[[#This Row],[Large Provider Entity Code]]&amp;"; "&amp;R3506&amp;AS[[#This Row],[Age Band Code]]&amp;"; "&amp;S3506&amp;AS[[#This Row],[Sex Code]]</f>
        <v xml:space="preserve">Insurer Code ; Reporting Year ; Insurance Category Code ; Large Provider Entity Code ; Age Band Code ; Sex Code </v>
      </c>
      <c r="N3506" s="345" t="s">
        <v>207</v>
      </c>
      <c r="O3506" s="345" t="s">
        <v>208</v>
      </c>
      <c r="P3506" s="345" t="s">
        <v>209</v>
      </c>
      <c r="Q3506" s="345" t="s">
        <v>210</v>
      </c>
      <c r="R3506" s="345" t="s">
        <v>223</v>
      </c>
      <c r="S3506" s="345" t="s">
        <v>224</v>
      </c>
    </row>
    <row r="3507" spans="1:19" x14ac:dyDescent="0.25">
      <c r="A3507" s="311"/>
      <c r="B3507" s="312"/>
      <c r="C3507" s="312"/>
      <c r="D3507" s="312"/>
      <c r="E3507" s="312"/>
      <c r="F3507" s="312"/>
      <c r="G3507" s="328"/>
      <c r="H3507" s="337"/>
      <c r="I3507" s="334"/>
      <c r="J3507" s="314"/>
      <c r="K3507" s="449"/>
      <c r="M3507" s="349" t="str">
        <f>N3507&amp;AS[[#This Row],[Insurer Code]]&amp;"; "&amp;O3507&amp;AS[[#This Row],[Reporting Year]]&amp;"; "&amp;P3507&amp;AS[[#This Row],[Insurance Category Code]]&amp;"; "&amp;Q3507&amp;AS[[#This Row],[Large Provider Entity Code]]&amp;"; "&amp;R3507&amp;AS[[#This Row],[Age Band Code]]&amp;"; "&amp;S3507&amp;AS[[#This Row],[Sex Code]]</f>
        <v xml:space="preserve">Insurer Code ; Reporting Year ; Insurance Category Code ; Large Provider Entity Code ; Age Band Code ; Sex Code </v>
      </c>
      <c r="N3507" s="345" t="s">
        <v>207</v>
      </c>
      <c r="O3507" s="345" t="s">
        <v>208</v>
      </c>
      <c r="P3507" s="345" t="s">
        <v>209</v>
      </c>
      <c r="Q3507" s="345" t="s">
        <v>210</v>
      </c>
      <c r="R3507" s="345" t="s">
        <v>223</v>
      </c>
      <c r="S3507" s="345" t="s">
        <v>224</v>
      </c>
    </row>
    <row r="3508" spans="1:19" x14ac:dyDescent="0.25">
      <c r="A3508" s="311"/>
      <c r="B3508" s="312"/>
      <c r="C3508" s="312"/>
      <c r="D3508" s="312"/>
      <c r="E3508" s="312"/>
      <c r="F3508" s="312"/>
      <c r="G3508" s="328"/>
      <c r="H3508" s="337"/>
      <c r="I3508" s="334"/>
      <c r="J3508" s="314"/>
      <c r="K3508" s="449"/>
      <c r="M3508" s="349" t="str">
        <f>N3508&amp;AS[[#This Row],[Insurer Code]]&amp;"; "&amp;O3508&amp;AS[[#This Row],[Reporting Year]]&amp;"; "&amp;P3508&amp;AS[[#This Row],[Insurance Category Code]]&amp;"; "&amp;Q3508&amp;AS[[#This Row],[Large Provider Entity Code]]&amp;"; "&amp;R3508&amp;AS[[#This Row],[Age Band Code]]&amp;"; "&amp;S3508&amp;AS[[#This Row],[Sex Code]]</f>
        <v xml:space="preserve">Insurer Code ; Reporting Year ; Insurance Category Code ; Large Provider Entity Code ; Age Band Code ; Sex Code </v>
      </c>
      <c r="N3508" s="345" t="s">
        <v>207</v>
      </c>
      <c r="O3508" s="345" t="s">
        <v>208</v>
      </c>
      <c r="P3508" s="345" t="s">
        <v>209</v>
      </c>
      <c r="Q3508" s="345" t="s">
        <v>210</v>
      </c>
      <c r="R3508" s="345" t="s">
        <v>223</v>
      </c>
      <c r="S3508" s="345" t="s">
        <v>224</v>
      </c>
    </row>
    <row r="3509" spans="1:19" x14ac:dyDescent="0.25">
      <c r="A3509" s="311"/>
      <c r="B3509" s="312"/>
      <c r="C3509" s="312"/>
      <c r="D3509" s="312"/>
      <c r="E3509" s="312"/>
      <c r="F3509" s="312"/>
      <c r="G3509" s="328"/>
      <c r="H3509" s="337"/>
      <c r="I3509" s="334"/>
      <c r="J3509" s="314"/>
      <c r="K3509" s="449"/>
      <c r="M3509" s="349" t="str">
        <f>N3509&amp;AS[[#This Row],[Insurer Code]]&amp;"; "&amp;O3509&amp;AS[[#This Row],[Reporting Year]]&amp;"; "&amp;P3509&amp;AS[[#This Row],[Insurance Category Code]]&amp;"; "&amp;Q3509&amp;AS[[#This Row],[Large Provider Entity Code]]&amp;"; "&amp;R3509&amp;AS[[#This Row],[Age Band Code]]&amp;"; "&amp;S3509&amp;AS[[#This Row],[Sex Code]]</f>
        <v xml:space="preserve">Insurer Code ; Reporting Year ; Insurance Category Code ; Large Provider Entity Code ; Age Band Code ; Sex Code </v>
      </c>
      <c r="N3509" s="345" t="s">
        <v>207</v>
      </c>
      <c r="O3509" s="345" t="s">
        <v>208</v>
      </c>
      <c r="P3509" s="345" t="s">
        <v>209</v>
      </c>
      <c r="Q3509" s="345" t="s">
        <v>210</v>
      </c>
      <c r="R3509" s="345" t="s">
        <v>223</v>
      </c>
      <c r="S3509" s="345" t="s">
        <v>224</v>
      </c>
    </row>
    <row r="3510" spans="1:19" x14ac:dyDescent="0.25">
      <c r="A3510" s="311"/>
      <c r="B3510" s="312"/>
      <c r="C3510" s="312"/>
      <c r="D3510" s="312"/>
      <c r="E3510" s="312"/>
      <c r="F3510" s="312"/>
      <c r="G3510" s="328"/>
      <c r="H3510" s="337"/>
      <c r="I3510" s="334"/>
      <c r="J3510" s="314"/>
      <c r="K3510" s="449"/>
      <c r="M3510" s="349" t="str">
        <f>N3510&amp;AS[[#This Row],[Insurer Code]]&amp;"; "&amp;O3510&amp;AS[[#This Row],[Reporting Year]]&amp;"; "&amp;P3510&amp;AS[[#This Row],[Insurance Category Code]]&amp;"; "&amp;Q3510&amp;AS[[#This Row],[Large Provider Entity Code]]&amp;"; "&amp;R3510&amp;AS[[#This Row],[Age Band Code]]&amp;"; "&amp;S3510&amp;AS[[#This Row],[Sex Code]]</f>
        <v xml:space="preserve">Insurer Code ; Reporting Year ; Insurance Category Code ; Large Provider Entity Code ; Age Band Code ; Sex Code </v>
      </c>
      <c r="N3510" s="345" t="s">
        <v>207</v>
      </c>
      <c r="O3510" s="345" t="s">
        <v>208</v>
      </c>
      <c r="P3510" s="345" t="s">
        <v>209</v>
      </c>
      <c r="Q3510" s="345" t="s">
        <v>210</v>
      </c>
      <c r="R3510" s="345" t="s">
        <v>223</v>
      </c>
      <c r="S3510" s="345" t="s">
        <v>224</v>
      </c>
    </row>
    <row r="3511" spans="1:19" x14ac:dyDescent="0.25">
      <c r="A3511" s="311"/>
      <c r="B3511" s="312"/>
      <c r="C3511" s="312"/>
      <c r="D3511" s="312"/>
      <c r="E3511" s="312"/>
      <c r="F3511" s="312"/>
      <c r="G3511" s="328"/>
      <c r="H3511" s="337"/>
      <c r="I3511" s="334"/>
      <c r="J3511" s="314"/>
      <c r="K3511" s="449"/>
      <c r="M3511" s="349" t="str">
        <f>N3511&amp;AS[[#This Row],[Insurer Code]]&amp;"; "&amp;O3511&amp;AS[[#This Row],[Reporting Year]]&amp;"; "&amp;P3511&amp;AS[[#This Row],[Insurance Category Code]]&amp;"; "&amp;Q3511&amp;AS[[#This Row],[Large Provider Entity Code]]&amp;"; "&amp;R3511&amp;AS[[#This Row],[Age Band Code]]&amp;"; "&amp;S3511&amp;AS[[#This Row],[Sex Code]]</f>
        <v xml:space="preserve">Insurer Code ; Reporting Year ; Insurance Category Code ; Large Provider Entity Code ; Age Band Code ; Sex Code </v>
      </c>
      <c r="N3511" s="345" t="s">
        <v>207</v>
      </c>
      <c r="O3511" s="345" t="s">
        <v>208</v>
      </c>
      <c r="P3511" s="345" t="s">
        <v>209</v>
      </c>
      <c r="Q3511" s="345" t="s">
        <v>210</v>
      </c>
      <c r="R3511" s="345" t="s">
        <v>223</v>
      </c>
      <c r="S3511" s="345" t="s">
        <v>224</v>
      </c>
    </row>
    <row r="3512" spans="1:19" x14ac:dyDescent="0.25">
      <c r="A3512" s="311"/>
      <c r="B3512" s="312"/>
      <c r="C3512" s="312"/>
      <c r="D3512" s="312"/>
      <c r="E3512" s="312"/>
      <c r="F3512" s="312"/>
      <c r="G3512" s="328"/>
      <c r="H3512" s="453"/>
      <c r="I3512" s="334"/>
      <c r="J3512" s="314"/>
      <c r="K3512" s="454"/>
      <c r="M3512" s="349" t="str">
        <f>N3512&amp;AS[[#This Row],[Insurer Code]]&amp;"; "&amp;O3512&amp;AS[[#This Row],[Reporting Year]]&amp;"; "&amp;P3512&amp;AS[[#This Row],[Insurance Category Code]]&amp;"; "&amp;Q3512&amp;AS[[#This Row],[Large Provider Entity Code]]&amp;"; "&amp;R3512&amp;AS[[#This Row],[Age Band Code]]&amp;"; "&amp;S3512&amp;AS[[#This Row],[Sex Code]]</f>
        <v xml:space="preserve">Insurer Code ; Reporting Year ; Insurance Category Code ; Large Provider Entity Code ; Age Band Code ; Sex Code </v>
      </c>
      <c r="N3512" s="345" t="s">
        <v>207</v>
      </c>
      <c r="O3512" s="345" t="s">
        <v>208</v>
      </c>
      <c r="P3512" s="345" t="s">
        <v>209</v>
      </c>
      <c r="Q3512" s="345" t="s">
        <v>210</v>
      </c>
      <c r="R3512" s="345" t="s">
        <v>223</v>
      </c>
      <c r="S3512" s="345" t="s">
        <v>224</v>
      </c>
    </row>
    <row r="3513" spans="1:19" x14ac:dyDescent="0.25">
      <c r="A3513" s="311"/>
      <c r="B3513" s="312"/>
      <c r="C3513" s="312"/>
      <c r="D3513" s="312"/>
      <c r="E3513" s="312"/>
      <c r="F3513" s="312"/>
      <c r="G3513" s="328"/>
      <c r="H3513" s="453"/>
      <c r="I3513" s="334"/>
      <c r="J3513" s="314"/>
      <c r="K3513" s="454"/>
      <c r="M3513" s="349" t="str">
        <f>N3513&amp;AS[[#This Row],[Insurer Code]]&amp;"; "&amp;O3513&amp;AS[[#This Row],[Reporting Year]]&amp;"; "&amp;P3513&amp;AS[[#This Row],[Insurance Category Code]]&amp;"; "&amp;Q3513&amp;AS[[#This Row],[Large Provider Entity Code]]&amp;"; "&amp;R3513&amp;AS[[#This Row],[Age Band Code]]&amp;"; "&amp;S3513&amp;AS[[#This Row],[Sex Code]]</f>
        <v xml:space="preserve">Insurer Code ; Reporting Year ; Insurance Category Code ; Large Provider Entity Code ; Age Band Code ; Sex Code </v>
      </c>
      <c r="N3513" s="345" t="s">
        <v>207</v>
      </c>
      <c r="O3513" s="345" t="s">
        <v>208</v>
      </c>
      <c r="P3513" s="345" t="s">
        <v>209</v>
      </c>
      <c r="Q3513" s="345" t="s">
        <v>210</v>
      </c>
      <c r="R3513" s="345" t="s">
        <v>223</v>
      </c>
      <c r="S3513" s="345" t="s">
        <v>224</v>
      </c>
    </row>
    <row r="3514" spans="1:19" x14ac:dyDescent="0.25">
      <c r="A3514" s="311"/>
      <c r="B3514" s="312"/>
      <c r="C3514" s="312"/>
      <c r="D3514" s="312"/>
      <c r="E3514" s="312"/>
      <c r="F3514" s="312"/>
      <c r="G3514" s="328"/>
      <c r="H3514" s="453"/>
      <c r="I3514" s="334"/>
      <c r="J3514" s="314"/>
      <c r="K3514" s="454"/>
      <c r="M3514" s="349" t="str">
        <f>N3514&amp;AS[[#This Row],[Insurer Code]]&amp;"; "&amp;O3514&amp;AS[[#This Row],[Reporting Year]]&amp;"; "&amp;P3514&amp;AS[[#This Row],[Insurance Category Code]]&amp;"; "&amp;Q3514&amp;AS[[#This Row],[Large Provider Entity Code]]&amp;"; "&amp;R3514&amp;AS[[#This Row],[Age Band Code]]&amp;"; "&amp;S3514&amp;AS[[#This Row],[Sex Code]]</f>
        <v xml:space="preserve">Insurer Code ; Reporting Year ; Insurance Category Code ; Large Provider Entity Code ; Age Band Code ; Sex Code </v>
      </c>
      <c r="N3514" s="345" t="s">
        <v>207</v>
      </c>
      <c r="O3514" s="345" t="s">
        <v>208</v>
      </c>
      <c r="P3514" s="345" t="s">
        <v>209</v>
      </c>
      <c r="Q3514" s="345" t="s">
        <v>210</v>
      </c>
      <c r="R3514" s="345" t="s">
        <v>223</v>
      </c>
      <c r="S3514" s="345" t="s">
        <v>224</v>
      </c>
    </row>
    <row r="3515" spans="1:19" x14ac:dyDescent="0.25">
      <c r="A3515" s="311"/>
      <c r="B3515" s="312"/>
      <c r="C3515" s="312"/>
      <c r="D3515" s="312"/>
      <c r="E3515" s="312"/>
      <c r="F3515" s="312"/>
      <c r="G3515" s="328"/>
      <c r="H3515" s="453"/>
      <c r="I3515" s="334"/>
      <c r="J3515" s="314"/>
      <c r="K3515" s="454"/>
      <c r="M3515" s="349" t="str">
        <f>N3515&amp;AS[[#This Row],[Insurer Code]]&amp;"; "&amp;O3515&amp;AS[[#This Row],[Reporting Year]]&amp;"; "&amp;P3515&amp;AS[[#This Row],[Insurance Category Code]]&amp;"; "&amp;Q3515&amp;AS[[#This Row],[Large Provider Entity Code]]&amp;"; "&amp;R3515&amp;AS[[#This Row],[Age Band Code]]&amp;"; "&amp;S3515&amp;AS[[#This Row],[Sex Code]]</f>
        <v xml:space="preserve">Insurer Code ; Reporting Year ; Insurance Category Code ; Large Provider Entity Code ; Age Band Code ; Sex Code </v>
      </c>
      <c r="N3515" s="345" t="s">
        <v>207</v>
      </c>
      <c r="O3515" s="345" t="s">
        <v>208</v>
      </c>
      <c r="P3515" s="345" t="s">
        <v>209</v>
      </c>
      <c r="Q3515" s="345" t="s">
        <v>210</v>
      </c>
      <c r="R3515" s="345" t="s">
        <v>223</v>
      </c>
      <c r="S3515" s="345" t="s">
        <v>224</v>
      </c>
    </row>
    <row r="3516" spans="1:19" x14ac:dyDescent="0.25">
      <c r="A3516" s="311"/>
      <c r="B3516" s="312"/>
      <c r="C3516" s="312"/>
      <c r="D3516" s="312"/>
      <c r="E3516" s="312"/>
      <c r="F3516" s="312"/>
      <c r="G3516" s="328"/>
      <c r="H3516" s="453"/>
      <c r="I3516" s="334"/>
      <c r="J3516" s="314"/>
      <c r="K3516" s="454"/>
      <c r="M3516" s="349" t="str">
        <f>N3516&amp;AS[[#This Row],[Insurer Code]]&amp;"; "&amp;O3516&amp;AS[[#This Row],[Reporting Year]]&amp;"; "&amp;P3516&amp;AS[[#This Row],[Insurance Category Code]]&amp;"; "&amp;Q3516&amp;AS[[#This Row],[Large Provider Entity Code]]&amp;"; "&amp;R3516&amp;AS[[#This Row],[Age Band Code]]&amp;"; "&amp;S3516&amp;AS[[#This Row],[Sex Code]]</f>
        <v xml:space="preserve">Insurer Code ; Reporting Year ; Insurance Category Code ; Large Provider Entity Code ; Age Band Code ; Sex Code </v>
      </c>
      <c r="N3516" s="345" t="s">
        <v>207</v>
      </c>
      <c r="O3516" s="345" t="s">
        <v>208</v>
      </c>
      <c r="P3516" s="345" t="s">
        <v>209</v>
      </c>
      <c r="Q3516" s="345" t="s">
        <v>210</v>
      </c>
      <c r="R3516" s="345" t="s">
        <v>223</v>
      </c>
      <c r="S3516" s="345" t="s">
        <v>224</v>
      </c>
    </row>
    <row r="3517" spans="1:19" x14ac:dyDescent="0.25">
      <c r="A3517" s="311"/>
      <c r="B3517" s="312"/>
      <c r="C3517" s="312"/>
      <c r="D3517" s="312"/>
      <c r="E3517" s="312"/>
      <c r="F3517" s="312"/>
      <c r="G3517" s="328"/>
      <c r="H3517" s="453"/>
      <c r="I3517" s="334"/>
      <c r="J3517" s="314"/>
      <c r="K3517" s="454"/>
      <c r="M3517" s="349" t="str">
        <f>N3517&amp;AS[[#This Row],[Insurer Code]]&amp;"; "&amp;O3517&amp;AS[[#This Row],[Reporting Year]]&amp;"; "&amp;P3517&amp;AS[[#This Row],[Insurance Category Code]]&amp;"; "&amp;Q3517&amp;AS[[#This Row],[Large Provider Entity Code]]&amp;"; "&amp;R3517&amp;AS[[#This Row],[Age Band Code]]&amp;"; "&amp;S3517&amp;AS[[#This Row],[Sex Code]]</f>
        <v xml:space="preserve">Insurer Code ; Reporting Year ; Insurance Category Code ; Large Provider Entity Code ; Age Band Code ; Sex Code </v>
      </c>
      <c r="N3517" s="345" t="s">
        <v>207</v>
      </c>
      <c r="O3517" s="345" t="s">
        <v>208</v>
      </c>
      <c r="P3517" s="345" t="s">
        <v>209</v>
      </c>
      <c r="Q3517" s="345" t="s">
        <v>210</v>
      </c>
      <c r="R3517" s="345" t="s">
        <v>223</v>
      </c>
      <c r="S3517" s="345" t="s">
        <v>224</v>
      </c>
    </row>
    <row r="3518" spans="1:19" x14ac:dyDescent="0.25">
      <c r="A3518" s="311"/>
      <c r="B3518" s="312"/>
      <c r="C3518" s="312"/>
      <c r="D3518" s="312"/>
      <c r="E3518" s="312"/>
      <c r="F3518" s="312"/>
      <c r="G3518" s="328"/>
      <c r="H3518" s="453"/>
      <c r="I3518" s="334"/>
      <c r="J3518" s="314"/>
      <c r="K3518" s="454"/>
      <c r="M3518" s="349" t="str">
        <f>N3518&amp;AS[[#This Row],[Insurer Code]]&amp;"; "&amp;O3518&amp;AS[[#This Row],[Reporting Year]]&amp;"; "&amp;P3518&amp;AS[[#This Row],[Insurance Category Code]]&amp;"; "&amp;Q3518&amp;AS[[#This Row],[Large Provider Entity Code]]&amp;"; "&amp;R3518&amp;AS[[#This Row],[Age Band Code]]&amp;"; "&amp;S3518&amp;AS[[#This Row],[Sex Code]]</f>
        <v xml:space="preserve">Insurer Code ; Reporting Year ; Insurance Category Code ; Large Provider Entity Code ; Age Band Code ; Sex Code </v>
      </c>
      <c r="N3518" s="345" t="s">
        <v>207</v>
      </c>
      <c r="O3518" s="345" t="s">
        <v>208</v>
      </c>
      <c r="P3518" s="345" t="s">
        <v>209</v>
      </c>
      <c r="Q3518" s="345" t="s">
        <v>210</v>
      </c>
      <c r="R3518" s="345" t="s">
        <v>223</v>
      </c>
      <c r="S3518" s="345" t="s">
        <v>224</v>
      </c>
    </row>
    <row r="3519" spans="1:19" x14ac:dyDescent="0.25">
      <c r="A3519" s="311"/>
      <c r="B3519" s="312"/>
      <c r="C3519" s="312"/>
      <c r="D3519" s="312"/>
      <c r="E3519" s="312"/>
      <c r="F3519" s="312"/>
      <c r="G3519" s="328"/>
      <c r="H3519" s="453"/>
      <c r="I3519" s="334"/>
      <c r="J3519" s="314"/>
      <c r="K3519" s="454"/>
      <c r="M3519" s="349" t="str">
        <f>N3519&amp;AS[[#This Row],[Insurer Code]]&amp;"; "&amp;O3519&amp;AS[[#This Row],[Reporting Year]]&amp;"; "&amp;P3519&amp;AS[[#This Row],[Insurance Category Code]]&amp;"; "&amp;Q3519&amp;AS[[#This Row],[Large Provider Entity Code]]&amp;"; "&amp;R3519&amp;AS[[#This Row],[Age Band Code]]&amp;"; "&amp;S3519&amp;AS[[#This Row],[Sex Code]]</f>
        <v xml:space="preserve">Insurer Code ; Reporting Year ; Insurance Category Code ; Large Provider Entity Code ; Age Band Code ; Sex Code </v>
      </c>
      <c r="N3519" s="345" t="s">
        <v>207</v>
      </c>
      <c r="O3519" s="345" t="s">
        <v>208</v>
      </c>
      <c r="P3519" s="345" t="s">
        <v>209</v>
      </c>
      <c r="Q3519" s="345" t="s">
        <v>210</v>
      </c>
      <c r="R3519" s="345" t="s">
        <v>223</v>
      </c>
      <c r="S3519" s="345" t="s">
        <v>224</v>
      </c>
    </row>
    <row r="3520" spans="1:19" x14ac:dyDescent="0.25">
      <c r="A3520" s="311"/>
      <c r="B3520" s="312"/>
      <c r="C3520" s="312"/>
      <c r="D3520" s="312"/>
      <c r="E3520" s="312"/>
      <c r="F3520" s="312"/>
      <c r="G3520" s="328"/>
      <c r="H3520" s="453"/>
      <c r="I3520" s="334"/>
      <c r="J3520" s="314"/>
      <c r="K3520" s="454"/>
      <c r="M3520" s="349" t="str">
        <f>N3520&amp;AS[[#This Row],[Insurer Code]]&amp;"; "&amp;O3520&amp;AS[[#This Row],[Reporting Year]]&amp;"; "&amp;P3520&amp;AS[[#This Row],[Insurance Category Code]]&amp;"; "&amp;Q3520&amp;AS[[#This Row],[Large Provider Entity Code]]&amp;"; "&amp;R3520&amp;AS[[#This Row],[Age Band Code]]&amp;"; "&amp;S3520&amp;AS[[#This Row],[Sex Code]]</f>
        <v xml:space="preserve">Insurer Code ; Reporting Year ; Insurance Category Code ; Large Provider Entity Code ; Age Band Code ; Sex Code </v>
      </c>
      <c r="N3520" s="345" t="s">
        <v>207</v>
      </c>
      <c r="O3520" s="345" t="s">
        <v>208</v>
      </c>
      <c r="P3520" s="345" t="s">
        <v>209</v>
      </c>
      <c r="Q3520" s="345" t="s">
        <v>210</v>
      </c>
      <c r="R3520" s="345" t="s">
        <v>223</v>
      </c>
      <c r="S3520" s="345" t="s">
        <v>224</v>
      </c>
    </row>
    <row r="3521" spans="1:19" x14ac:dyDescent="0.25">
      <c r="A3521" s="311"/>
      <c r="B3521" s="312"/>
      <c r="C3521" s="312"/>
      <c r="D3521" s="312"/>
      <c r="E3521" s="312"/>
      <c r="F3521" s="312"/>
      <c r="G3521" s="328"/>
      <c r="H3521" s="453"/>
      <c r="I3521" s="334"/>
      <c r="J3521" s="314"/>
      <c r="K3521" s="454"/>
      <c r="M3521" s="349" t="str">
        <f>N3521&amp;AS[[#This Row],[Insurer Code]]&amp;"; "&amp;O3521&amp;AS[[#This Row],[Reporting Year]]&amp;"; "&amp;P3521&amp;AS[[#This Row],[Insurance Category Code]]&amp;"; "&amp;Q3521&amp;AS[[#This Row],[Large Provider Entity Code]]&amp;"; "&amp;R3521&amp;AS[[#This Row],[Age Band Code]]&amp;"; "&amp;S3521&amp;AS[[#This Row],[Sex Code]]</f>
        <v xml:space="preserve">Insurer Code ; Reporting Year ; Insurance Category Code ; Large Provider Entity Code ; Age Band Code ; Sex Code </v>
      </c>
      <c r="N3521" s="345" t="s">
        <v>207</v>
      </c>
      <c r="O3521" s="345" t="s">
        <v>208</v>
      </c>
      <c r="P3521" s="345" t="s">
        <v>209</v>
      </c>
      <c r="Q3521" s="345" t="s">
        <v>210</v>
      </c>
      <c r="R3521" s="345" t="s">
        <v>223</v>
      </c>
      <c r="S3521" s="345" t="s">
        <v>224</v>
      </c>
    </row>
    <row r="3522" spans="1:19" x14ac:dyDescent="0.25">
      <c r="A3522" s="311"/>
      <c r="B3522" s="312"/>
      <c r="C3522" s="312"/>
      <c r="D3522" s="312"/>
      <c r="E3522" s="312"/>
      <c r="F3522" s="312"/>
      <c r="G3522" s="328"/>
      <c r="H3522" s="453"/>
      <c r="I3522" s="334"/>
      <c r="J3522" s="314"/>
      <c r="K3522" s="454"/>
      <c r="M3522" s="349" t="str">
        <f>N3522&amp;AS[[#This Row],[Insurer Code]]&amp;"; "&amp;O3522&amp;AS[[#This Row],[Reporting Year]]&amp;"; "&amp;P3522&amp;AS[[#This Row],[Insurance Category Code]]&amp;"; "&amp;Q3522&amp;AS[[#This Row],[Large Provider Entity Code]]&amp;"; "&amp;R3522&amp;AS[[#This Row],[Age Band Code]]&amp;"; "&amp;S3522&amp;AS[[#This Row],[Sex Code]]</f>
        <v xml:space="preserve">Insurer Code ; Reporting Year ; Insurance Category Code ; Large Provider Entity Code ; Age Band Code ; Sex Code </v>
      </c>
      <c r="N3522" s="345" t="s">
        <v>207</v>
      </c>
      <c r="O3522" s="345" t="s">
        <v>208</v>
      </c>
      <c r="P3522" s="345" t="s">
        <v>209</v>
      </c>
      <c r="Q3522" s="345" t="s">
        <v>210</v>
      </c>
      <c r="R3522" s="345" t="s">
        <v>223</v>
      </c>
      <c r="S3522" s="345" t="s">
        <v>224</v>
      </c>
    </row>
    <row r="3523" spans="1:19" x14ac:dyDescent="0.25">
      <c r="A3523" s="311"/>
      <c r="B3523" s="312"/>
      <c r="C3523" s="312"/>
      <c r="D3523" s="312"/>
      <c r="E3523" s="333"/>
      <c r="F3523" s="333"/>
      <c r="G3523" s="313"/>
      <c r="H3523" s="314"/>
      <c r="I3523" s="334"/>
      <c r="J3523" s="314"/>
      <c r="K3523" s="449"/>
      <c r="M3523" s="349" t="str">
        <f>N3523&amp;AS[[#This Row],[Insurer Code]]&amp;"; "&amp;O3523&amp;AS[[#This Row],[Reporting Year]]&amp;"; "&amp;P3523&amp;AS[[#This Row],[Insurance Category Code]]&amp;"; "&amp;Q3523&amp;AS[[#This Row],[Large Provider Entity Code]]&amp;"; "&amp;R3523&amp;AS[[#This Row],[Age Band Code]]&amp;"; "&amp;S3523&amp;AS[[#This Row],[Sex Code]]</f>
        <v xml:space="preserve">Insurer Code ; Reporting Year ; Insurance Category Code ; Large Provider Entity Code ; Age Band Code ; Sex Code </v>
      </c>
      <c r="N3523" s="345" t="s">
        <v>207</v>
      </c>
      <c r="O3523" s="345" t="s">
        <v>208</v>
      </c>
      <c r="P3523" s="345" t="s">
        <v>209</v>
      </c>
      <c r="Q3523" s="345" t="s">
        <v>210</v>
      </c>
      <c r="R3523" s="345" t="s">
        <v>223</v>
      </c>
      <c r="S3523" s="345" t="s">
        <v>224</v>
      </c>
    </row>
    <row r="3524" spans="1:19" x14ac:dyDescent="0.25">
      <c r="A3524" s="311"/>
      <c r="B3524" s="312"/>
      <c r="C3524" s="312"/>
      <c r="D3524" s="312"/>
      <c r="E3524" s="333"/>
      <c r="F3524" s="333"/>
      <c r="G3524" s="313"/>
      <c r="H3524" s="314"/>
      <c r="I3524" s="334"/>
      <c r="J3524" s="314"/>
      <c r="K3524" s="449"/>
      <c r="M3524" s="349" t="str">
        <f>N3524&amp;AS[[#This Row],[Insurer Code]]&amp;"; "&amp;O3524&amp;AS[[#This Row],[Reporting Year]]&amp;"; "&amp;P3524&amp;AS[[#This Row],[Insurance Category Code]]&amp;"; "&amp;Q3524&amp;AS[[#This Row],[Large Provider Entity Code]]&amp;"; "&amp;R3524&amp;AS[[#This Row],[Age Band Code]]&amp;"; "&amp;S3524&amp;AS[[#This Row],[Sex Code]]</f>
        <v xml:space="preserve">Insurer Code ; Reporting Year ; Insurance Category Code ; Large Provider Entity Code ; Age Band Code ; Sex Code </v>
      </c>
      <c r="N3524" s="345" t="s">
        <v>207</v>
      </c>
      <c r="O3524" s="345" t="s">
        <v>208</v>
      </c>
      <c r="P3524" s="345" t="s">
        <v>209</v>
      </c>
      <c r="Q3524" s="345" t="s">
        <v>210</v>
      </c>
      <c r="R3524" s="345" t="s">
        <v>223</v>
      </c>
      <c r="S3524" s="345" t="s">
        <v>224</v>
      </c>
    </row>
    <row r="3525" spans="1:19" x14ac:dyDescent="0.25">
      <c r="A3525" s="311"/>
      <c r="B3525" s="312"/>
      <c r="C3525" s="312"/>
      <c r="D3525" s="312"/>
      <c r="E3525" s="333"/>
      <c r="F3525" s="333"/>
      <c r="G3525" s="313"/>
      <c r="H3525" s="314"/>
      <c r="I3525" s="334"/>
      <c r="J3525" s="314"/>
      <c r="K3525" s="449"/>
      <c r="M3525" s="349" t="str">
        <f>N3525&amp;AS[[#This Row],[Insurer Code]]&amp;"; "&amp;O3525&amp;AS[[#This Row],[Reporting Year]]&amp;"; "&amp;P3525&amp;AS[[#This Row],[Insurance Category Code]]&amp;"; "&amp;Q3525&amp;AS[[#This Row],[Large Provider Entity Code]]&amp;"; "&amp;R3525&amp;AS[[#This Row],[Age Band Code]]&amp;"; "&amp;S3525&amp;AS[[#This Row],[Sex Code]]</f>
        <v xml:space="preserve">Insurer Code ; Reporting Year ; Insurance Category Code ; Large Provider Entity Code ; Age Band Code ; Sex Code </v>
      </c>
      <c r="N3525" s="345" t="s">
        <v>207</v>
      </c>
      <c r="O3525" s="345" t="s">
        <v>208</v>
      </c>
      <c r="P3525" s="345" t="s">
        <v>209</v>
      </c>
      <c r="Q3525" s="345" t="s">
        <v>210</v>
      </c>
      <c r="R3525" s="345" t="s">
        <v>223</v>
      </c>
      <c r="S3525" s="345" t="s">
        <v>224</v>
      </c>
    </row>
    <row r="3526" spans="1:19" x14ac:dyDescent="0.25">
      <c r="A3526" s="311"/>
      <c r="B3526" s="312"/>
      <c r="C3526" s="312"/>
      <c r="D3526" s="312"/>
      <c r="E3526" s="333"/>
      <c r="F3526" s="333"/>
      <c r="G3526" s="313"/>
      <c r="H3526" s="314"/>
      <c r="I3526" s="334"/>
      <c r="J3526" s="314"/>
      <c r="K3526" s="449"/>
      <c r="M3526" s="349" t="str">
        <f>N3526&amp;AS[[#This Row],[Insurer Code]]&amp;"; "&amp;O3526&amp;AS[[#This Row],[Reporting Year]]&amp;"; "&amp;P3526&amp;AS[[#This Row],[Insurance Category Code]]&amp;"; "&amp;Q3526&amp;AS[[#This Row],[Large Provider Entity Code]]&amp;"; "&amp;R3526&amp;AS[[#This Row],[Age Band Code]]&amp;"; "&amp;S3526&amp;AS[[#This Row],[Sex Code]]</f>
        <v xml:space="preserve">Insurer Code ; Reporting Year ; Insurance Category Code ; Large Provider Entity Code ; Age Band Code ; Sex Code </v>
      </c>
      <c r="N3526" s="345" t="s">
        <v>207</v>
      </c>
      <c r="O3526" s="345" t="s">
        <v>208</v>
      </c>
      <c r="P3526" s="345" t="s">
        <v>209</v>
      </c>
      <c r="Q3526" s="345" t="s">
        <v>210</v>
      </c>
      <c r="R3526" s="345" t="s">
        <v>223</v>
      </c>
      <c r="S3526" s="345" t="s">
        <v>224</v>
      </c>
    </row>
    <row r="3527" spans="1:19" x14ac:dyDescent="0.25">
      <c r="A3527" s="311"/>
      <c r="B3527" s="312"/>
      <c r="C3527" s="312"/>
      <c r="D3527" s="312"/>
      <c r="E3527" s="333"/>
      <c r="F3527" s="333"/>
      <c r="G3527" s="313"/>
      <c r="H3527" s="314"/>
      <c r="I3527" s="334"/>
      <c r="J3527" s="314"/>
      <c r="K3527" s="449"/>
      <c r="M3527" s="349" t="str">
        <f>N3527&amp;AS[[#This Row],[Insurer Code]]&amp;"; "&amp;O3527&amp;AS[[#This Row],[Reporting Year]]&amp;"; "&amp;P3527&amp;AS[[#This Row],[Insurance Category Code]]&amp;"; "&amp;Q3527&amp;AS[[#This Row],[Large Provider Entity Code]]&amp;"; "&amp;R3527&amp;AS[[#This Row],[Age Band Code]]&amp;"; "&amp;S3527&amp;AS[[#This Row],[Sex Code]]</f>
        <v xml:space="preserve">Insurer Code ; Reporting Year ; Insurance Category Code ; Large Provider Entity Code ; Age Band Code ; Sex Code </v>
      </c>
      <c r="N3527" s="345" t="s">
        <v>207</v>
      </c>
      <c r="O3527" s="345" t="s">
        <v>208</v>
      </c>
      <c r="P3527" s="345" t="s">
        <v>209</v>
      </c>
      <c r="Q3527" s="345" t="s">
        <v>210</v>
      </c>
      <c r="R3527" s="345" t="s">
        <v>223</v>
      </c>
      <c r="S3527" s="345" t="s">
        <v>224</v>
      </c>
    </row>
    <row r="3528" spans="1:19" x14ac:dyDescent="0.25">
      <c r="A3528" s="311"/>
      <c r="B3528" s="312"/>
      <c r="C3528" s="312"/>
      <c r="D3528" s="312"/>
      <c r="E3528" s="333"/>
      <c r="F3528" s="333"/>
      <c r="G3528" s="313"/>
      <c r="H3528" s="314"/>
      <c r="I3528" s="334"/>
      <c r="J3528" s="314"/>
      <c r="K3528" s="449"/>
      <c r="M3528" s="349" t="str">
        <f>N3528&amp;AS[[#This Row],[Insurer Code]]&amp;"; "&amp;O3528&amp;AS[[#This Row],[Reporting Year]]&amp;"; "&amp;P3528&amp;AS[[#This Row],[Insurance Category Code]]&amp;"; "&amp;Q3528&amp;AS[[#This Row],[Large Provider Entity Code]]&amp;"; "&amp;R3528&amp;AS[[#This Row],[Age Band Code]]&amp;"; "&amp;S3528&amp;AS[[#This Row],[Sex Code]]</f>
        <v xml:space="preserve">Insurer Code ; Reporting Year ; Insurance Category Code ; Large Provider Entity Code ; Age Band Code ; Sex Code </v>
      </c>
      <c r="N3528" s="345" t="s">
        <v>207</v>
      </c>
      <c r="O3528" s="345" t="s">
        <v>208</v>
      </c>
      <c r="P3528" s="345" t="s">
        <v>209</v>
      </c>
      <c r="Q3528" s="345" t="s">
        <v>210</v>
      </c>
      <c r="R3528" s="345" t="s">
        <v>223</v>
      </c>
      <c r="S3528" s="345" t="s">
        <v>224</v>
      </c>
    </row>
    <row r="3529" spans="1:19" x14ac:dyDescent="0.25">
      <c r="A3529" s="311"/>
      <c r="B3529" s="312"/>
      <c r="C3529" s="312"/>
      <c r="D3529" s="312"/>
      <c r="E3529" s="333"/>
      <c r="F3529" s="333"/>
      <c r="G3529" s="313"/>
      <c r="H3529" s="314"/>
      <c r="I3529" s="334"/>
      <c r="J3529" s="314"/>
      <c r="K3529" s="449"/>
      <c r="M3529" s="349" t="str">
        <f>N3529&amp;AS[[#This Row],[Insurer Code]]&amp;"; "&amp;O3529&amp;AS[[#This Row],[Reporting Year]]&amp;"; "&amp;P3529&amp;AS[[#This Row],[Insurance Category Code]]&amp;"; "&amp;Q3529&amp;AS[[#This Row],[Large Provider Entity Code]]&amp;"; "&amp;R3529&amp;AS[[#This Row],[Age Band Code]]&amp;"; "&amp;S3529&amp;AS[[#This Row],[Sex Code]]</f>
        <v xml:space="preserve">Insurer Code ; Reporting Year ; Insurance Category Code ; Large Provider Entity Code ; Age Band Code ; Sex Code </v>
      </c>
      <c r="N3529" s="345" t="s">
        <v>207</v>
      </c>
      <c r="O3529" s="345" t="s">
        <v>208</v>
      </c>
      <c r="P3529" s="345" t="s">
        <v>209</v>
      </c>
      <c r="Q3529" s="345" t="s">
        <v>210</v>
      </c>
      <c r="R3529" s="345" t="s">
        <v>223</v>
      </c>
      <c r="S3529" s="345" t="s">
        <v>224</v>
      </c>
    </row>
    <row r="3530" spans="1:19" x14ac:dyDescent="0.25">
      <c r="A3530" s="311"/>
      <c r="B3530" s="312"/>
      <c r="C3530" s="312"/>
      <c r="D3530" s="312"/>
      <c r="E3530" s="333"/>
      <c r="F3530" s="333"/>
      <c r="G3530" s="313"/>
      <c r="H3530" s="314"/>
      <c r="I3530" s="334"/>
      <c r="J3530" s="314"/>
      <c r="K3530" s="449"/>
      <c r="M3530" s="349" t="str">
        <f>N3530&amp;AS[[#This Row],[Insurer Code]]&amp;"; "&amp;O3530&amp;AS[[#This Row],[Reporting Year]]&amp;"; "&amp;P3530&amp;AS[[#This Row],[Insurance Category Code]]&amp;"; "&amp;Q3530&amp;AS[[#This Row],[Large Provider Entity Code]]&amp;"; "&amp;R3530&amp;AS[[#This Row],[Age Band Code]]&amp;"; "&amp;S3530&amp;AS[[#This Row],[Sex Code]]</f>
        <v xml:space="preserve">Insurer Code ; Reporting Year ; Insurance Category Code ; Large Provider Entity Code ; Age Band Code ; Sex Code </v>
      </c>
      <c r="N3530" s="345" t="s">
        <v>207</v>
      </c>
      <c r="O3530" s="345" t="s">
        <v>208</v>
      </c>
      <c r="P3530" s="345" t="s">
        <v>209</v>
      </c>
      <c r="Q3530" s="345" t="s">
        <v>210</v>
      </c>
      <c r="R3530" s="345" t="s">
        <v>223</v>
      </c>
      <c r="S3530" s="345" t="s">
        <v>224</v>
      </c>
    </row>
    <row r="3531" spans="1:19" x14ac:dyDescent="0.25">
      <c r="A3531" s="311"/>
      <c r="B3531" s="312"/>
      <c r="C3531" s="312"/>
      <c r="D3531" s="312"/>
      <c r="E3531" s="312"/>
      <c r="F3531" s="312"/>
      <c r="G3531" s="335"/>
      <c r="H3531" s="336"/>
      <c r="I3531" s="334"/>
      <c r="J3531" s="332"/>
      <c r="K3531" s="449"/>
      <c r="M3531" s="349" t="str">
        <f>N3531&amp;AS[[#This Row],[Insurer Code]]&amp;"; "&amp;O3531&amp;AS[[#This Row],[Reporting Year]]&amp;"; "&amp;P3531&amp;AS[[#This Row],[Insurance Category Code]]&amp;"; "&amp;Q3531&amp;AS[[#This Row],[Large Provider Entity Code]]&amp;"; "&amp;R3531&amp;AS[[#This Row],[Age Band Code]]&amp;"; "&amp;S3531&amp;AS[[#This Row],[Sex Code]]</f>
        <v xml:space="preserve">Insurer Code ; Reporting Year ; Insurance Category Code ; Large Provider Entity Code ; Age Band Code ; Sex Code </v>
      </c>
      <c r="N3531" s="345" t="s">
        <v>207</v>
      </c>
      <c r="O3531" s="345" t="s">
        <v>208</v>
      </c>
      <c r="P3531" s="345" t="s">
        <v>209</v>
      </c>
      <c r="Q3531" s="345" t="s">
        <v>210</v>
      </c>
      <c r="R3531" s="345" t="s">
        <v>223</v>
      </c>
      <c r="S3531" s="345" t="s">
        <v>224</v>
      </c>
    </row>
    <row r="3532" spans="1:19" x14ac:dyDescent="0.25">
      <c r="A3532" s="311"/>
      <c r="B3532" s="312"/>
      <c r="C3532" s="312"/>
      <c r="D3532" s="312"/>
      <c r="E3532" s="312"/>
      <c r="F3532" s="312"/>
      <c r="G3532" s="313"/>
      <c r="H3532" s="336"/>
      <c r="I3532" s="334"/>
      <c r="J3532" s="332"/>
      <c r="K3532" s="449"/>
      <c r="M3532" s="349" t="str">
        <f>N3532&amp;AS[[#This Row],[Insurer Code]]&amp;"; "&amp;O3532&amp;AS[[#This Row],[Reporting Year]]&amp;"; "&amp;P3532&amp;AS[[#This Row],[Insurance Category Code]]&amp;"; "&amp;Q3532&amp;AS[[#This Row],[Large Provider Entity Code]]&amp;"; "&amp;R3532&amp;AS[[#This Row],[Age Band Code]]&amp;"; "&amp;S3532&amp;AS[[#This Row],[Sex Code]]</f>
        <v xml:space="preserve">Insurer Code ; Reporting Year ; Insurance Category Code ; Large Provider Entity Code ; Age Band Code ; Sex Code </v>
      </c>
      <c r="N3532" s="345" t="s">
        <v>207</v>
      </c>
      <c r="O3532" s="345" t="s">
        <v>208</v>
      </c>
      <c r="P3532" s="345" t="s">
        <v>209</v>
      </c>
      <c r="Q3532" s="345" t="s">
        <v>210</v>
      </c>
      <c r="R3532" s="345" t="s">
        <v>223</v>
      </c>
      <c r="S3532" s="345" t="s">
        <v>224</v>
      </c>
    </row>
    <row r="3533" spans="1:19" x14ac:dyDescent="0.25">
      <c r="A3533" s="311"/>
      <c r="B3533" s="312"/>
      <c r="C3533" s="312"/>
      <c r="D3533" s="312"/>
      <c r="E3533" s="312"/>
      <c r="F3533" s="312"/>
      <c r="G3533" s="335"/>
      <c r="H3533" s="336"/>
      <c r="I3533" s="334"/>
      <c r="J3533" s="332"/>
      <c r="K3533" s="449"/>
      <c r="M3533" s="349" t="str">
        <f>N3533&amp;AS[[#This Row],[Insurer Code]]&amp;"; "&amp;O3533&amp;AS[[#This Row],[Reporting Year]]&amp;"; "&amp;P3533&amp;AS[[#This Row],[Insurance Category Code]]&amp;"; "&amp;Q3533&amp;AS[[#This Row],[Large Provider Entity Code]]&amp;"; "&amp;R3533&amp;AS[[#This Row],[Age Band Code]]&amp;"; "&amp;S3533&amp;AS[[#This Row],[Sex Code]]</f>
        <v xml:space="preserve">Insurer Code ; Reporting Year ; Insurance Category Code ; Large Provider Entity Code ; Age Band Code ; Sex Code </v>
      </c>
      <c r="N3533" s="345" t="s">
        <v>207</v>
      </c>
      <c r="O3533" s="345" t="s">
        <v>208</v>
      </c>
      <c r="P3533" s="345" t="s">
        <v>209</v>
      </c>
      <c r="Q3533" s="345" t="s">
        <v>210</v>
      </c>
      <c r="R3533" s="345" t="s">
        <v>223</v>
      </c>
      <c r="S3533" s="345" t="s">
        <v>224</v>
      </c>
    </row>
    <row r="3534" spans="1:19" x14ac:dyDescent="0.25">
      <c r="A3534" s="311"/>
      <c r="B3534" s="312"/>
      <c r="C3534" s="312"/>
      <c r="D3534" s="312"/>
      <c r="E3534" s="312"/>
      <c r="F3534" s="312"/>
      <c r="G3534" s="328"/>
      <c r="H3534" s="337"/>
      <c r="I3534" s="334"/>
      <c r="J3534" s="314"/>
      <c r="K3534" s="449"/>
      <c r="M3534" s="349" t="str">
        <f>N3534&amp;AS[[#This Row],[Insurer Code]]&amp;"; "&amp;O3534&amp;AS[[#This Row],[Reporting Year]]&amp;"; "&amp;P3534&amp;AS[[#This Row],[Insurance Category Code]]&amp;"; "&amp;Q3534&amp;AS[[#This Row],[Large Provider Entity Code]]&amp;"; "&amp;R3534&amp;AS[[#This Row],[Age Band Code]]&amp;"; "&amp;S3534&amp;AS[[#This Row],[Sex Code]]</f>
        <v xml:space="preserve">Insurer Code ; Reporting Year ; Insurance Category Code ; Large Provider Entity Code ; Age Band Code ; Sex Code </v>
      </c>
      <c r="N3534" s="345" t="s">
        <v>207</v>
      </c>
      <c r="O3534" s="345" t="s">
        <v>208</v>
      </c>
      <c r="P3534" s="345" t="s">
        <v>209</v>
      </c>
      <c r="Q3534" s="345" t="s">
        <v>210</v>
      </c>
      <c r="R3534" s="345" t="s">
        <v>223</v>
      </c>
      <c r="S3534" s="345" t="s">
        <v>224</v>
      </c>
    </row>
    <row r="3535" spans="1:19" x14ac:dyDescent="0.25">
      <c r="A3535" s="311"/>
      <c r="B3535" s="312"/>
      <c r="C3535" s="312"/>
      <c r="D3535" s="312"/>
      <c r="E3535" s="312"/>
      <c r="F3535" s="312"/>
      <c r="G3535" s="328"/>
      <c r="H3535" s="337"/>
      <c r="I3535" s="334"/>
      <c r="J3535" s="314"/>
      <c r="K3535" s="449"/>
      <c r="M3535" s="349" t="str">
        <f>N3535&amp;AS[[#This Row],[Insurer Code]]&amp;"; "&amp;O3535&amp;AS[[#This Row],[Reporting Year]]&amp;"; "&amp;P3535&amp;AS[[#This Row],[Insurance Category Code]]&amp;"; "&amp;Q3535&amp;AS[[#This Row],[Large Provider Entity Code]]&amp;"; "&amp;R3535&amp;AS[[#This Row],[Age Band Code]]&amp;"; "&amp;S3535&amp;AS[[#This Row],[Sex Code]]</f>
        <v xml:space="preserve">Insurer Code ; Reporting Year ; Insurance Category Code ; Large Provider Entity Code ; Age Band Code ; Sex Code </v>
      </c>
      <c r="N3535" s="345" t="s">
        <v>207</v>
      </c>
      <c r="O3535" s="345" t="s">
        <v>208</v>
      </c>
      <c r="P3535" s="345" t="s">
        <v>209</v>
      </c>
      <c r="Q3535" s="345" t="s">
        <v>210</v>
      </c>
      <c r="R3535" s="345" t="s">
        <v>223</v>
      </c>
      <c r="S3535" s="345" t="s">
        <v>224</v>
      </c>
    </row>
    <row r="3536" spans="1:19" x14ac:dyDescent="0.25">
      <c r="A3536" s="311"/>
      <c r="B3536" s="312"/>
      <c r="C3536" s="312"/>
      <c r="D3536" s="312"/>
      <c r="E3536" s="312"/>
      <c r="F3536" s="312"/>
      <c r="G3536" s="328"/>
      <c r="H3536" s="337"/>
      <c r="I3536" s="334"/>
      <c r="J3536" s="314"/>
      <c r="K3536" s="449"/>
      <c r="M3536" s="349" t="str">
        <f>N3536&amp;AS[[#This Row],[Insurer Code]]&amp;"; "&amp;O3536&amp;AS[[#This Row],[Reporting Year]]&amp;"; "&amp;P3536&amp;AS[[#This Row],[Insurance Category Code]]&amp;"; "&amp;Q3536&amp;AS[[#This Row],[Large Provider Entity Code]]&amp;"; "&amp;R3536&amp;AS[[#This Row],[Age Band Code]]&amp;"; "&amp;S3536&amp;AS[[#This Row],[Sex Code]]</f>
        <v xml:space="preserve">Insurer Code ; Reporting Year ; Insurance Category Code ; Large Provider Entity Code ; Age Band Code ; Sex Code </v>
      </c>
      <c r="N3536" s="345" t="s">
        <v>207</v>
      </c>
      <c r="O3536" s="345" t="s">
        <v>208</v>
      </c>
      <c r="P3536" s="345" t="s">
        <v>209</v>
      </c>
      <c r="Q3536" s="345" t="s">
        <v>210</v>
      </c>
      <c r="R3536" s="345" t="s">
        <v>223</v>
      </c>
      <c r="S3536" s="345" t="s">
        <v>224</v>
      </c>
    </row>
    <row r="3537" spans="1:19" x14ac:dyDescent="0.25">
      <c r="A3537" s="311"/>
      <c r="B3537" s="312"/>
      <c r="C3537" s="312"/>
      <c r="D3537" s="312"/>
      <c r="E3537" s="312"/>
      <c r="F3537" s="312"/>
      <c r="G3537" s="328"/>
      <c r="H3537" s="337"/>
      <c r="I3537" s="334"/>
      <c r="J3537" s="314"/>
      <c r="K3537" s="449"/>
      <c r="M3537" s="349" t="str">
        <f>N3537&amp;AS[[#This Row],[Insurer Code]]&amp;"; "&amp;O3537&amp;AS[[#This Row],[Reporting Year]]&amp;"; "&amp;P3537&amp;AS[[#This Row],[Insurance Category Code]]&amp;"; "&amp;Q3537&amp;AS[[#This Row],[Large Provider Entity Code]]&amp;"; "&amp;R3537&amp;AS[[#This Row],[Age Band Code]]&amp;"; "&amp;S3537&amp;AS[[#This Row],[Sex Code]]</f>
        <v xml:space="preserve">Insurer Code ; Reporting Year ; Insurance Category Code ; Large Provider Entity Code ; Age Band Code ; Sex Code </v>
      </c>
      <c r="N3537" s="345" t="s">
        <v>207</v>
      </c>
      <c r="O3537" s="345" t="s">
        <v>208</v>
      </c>
      <c r="P3537" s="345" t="s">
        <v>209</v>
      </c>
      <c r="Q3537" s="345" t="s">
        <v>210</v>
      </c>
      <c r="R3537" s="345" t="s">
        <v>223</v>
      </c>
      <c r="S3537" s="345" t="s">
        <v>224</v>
      </c>
    </row>
    <row r="3538" spans="1:19" x14ac:dyDescent="0.25">
      <c r="A3538" s="311"/>
      <c r="B3538" s="312"/>
      <c r="C3538" s="312"/>
      <c r="D3538" s="312"/>
      <c r="E3538" s="312"/>
      <c r="F3538" s="312"/>
      <c r="G3538" s="328"/>
      <c r="H3538" s="337"/>
      <c r="I3538" s="334"/>
      <c r="J3538" s="314"/>
      <c r="K3538" s="449"/>
      <c r="M3538" s="349" t="str">
        <f>N3538&amp;AS[[#This Row],[Insurer Code]]&amp;"; "&amp;O3538&amp;AS[[#This Row],[Reporting Year]]&amp;"; "&amp;P3538&amp;AS[[#This Row],[Insurance Category Code]]&amp;"; "&amp;Q3538&amp;AS[[#This Row],[Large Provider Entity Code]]&amp;"; "&amp;R3538&amp;AS[[#This Row],[Age Band Code]]&amp;"; "&amp;S3538&amp;AS[[#This Row],[Sex Code]]</f>
        <v xml:space="preserve">Insurer Code ; Reporting Year ; Insurance Category Code ; Large Provider Entity Code ; Age Band Code ; Sex Code </v>
      </c>
      <c r="N3538" s="345" t="s">
        <v>207</v>
      </c>
      <c r="O3538" s="345" t="s">
        <v>208</v>
      </c>
      <c r="P3538" s="345" t="s">
        <v>209</v>
      </c>
      <c r="Q3538" s="345" t="s">
        <v>210</v>
      </c>
      <c r="R3538" s="345" t="s">
        <v>223</v>
      </c>
      <c r="S3538" s="345" t="s">
        <v>224</v>
      </c>
    </row>
    <row r="3539" spans="1:19" x14ac:dyDescent="0.25">
      <c r="A3539" s="311"/>
      <c r="B3539" s="312"/>
      <c r="C3539" s="312"/>
      <c r="D3539" s="312"/>
      <c r="E3539" s="312"/>
      <c r="F3539" s="312"/>
      <c r="G3539" s="328"/>
      <c r="H3539" s="337"/>
      <c r="I3539" s="334"/>
      <c r="J3539" s="314"/>
      <c r="K3539" s="449"/>
      <c r="M3539" s="349" t="str">
        <f>N3539&amp;AS[[#This Row],[Insurer Code]]&amp;"; "&amp;O3539&amp;AS[[#This Row],[Reporting Year]]&amp;"; "&amp;P3539&amp;AS[[#This Row],[Insurance Category Code]]&amp;"; "&amp;Q3539&amp;AS[[#This Row],[Large Provider Entity Code]]&amp;"; "&amp;R3539&amp;AS[[#This Row],[Age Band Code]]&amp;"; "&amp;S3539&amp;AS[[#This Row],[Sex Code]]</f>
        <v xml:space="preserve">Insurer Code ; Reporting Year ; Insurance Category Code ; Large Provider Entity Code ; Age Band Code ; Sex Code </v>
      </c>
      <c r="N3539" s="345" t="s">
        <v>207</v>
      </c>
      <c r="O3539" s="345" t="s">
        <v>208</v>
      </c>
      <c r="P3539" s="345" t="s">
        <v>209</v>
      </c>
      <c r="Q3539" s="345" t="s">
        <v>210</v>
      </c>
      <c r="R3539" s="345" t="s">
        <v>223</v>
      </c>
      <c r="S3539" s="345" t="s">
        <v>224</v>
      </c>
    </row>
    <row r="3540" spans="1:19" x14ac:dyDescent="0.25">
      <c r="A3540" s="311"/>
      <c r="B3540" s="312"/>
      <c r="C3540" s="312"/>
      <c r="D3540" s="312"/>
      <c r="E3540" s="312"/>
      <c r="F3540" s="312"/>
      <c r="G3540" s="328"/>
      <c r="H3540" s="337"/>
      <c r="I3540" s="334"/>
      <c r="J3540" s="314"/>
      <c r="K3540" s="449"/>
      <c r="M3540" s="349" t="str">
        <f>N3540&amp;AS[[#This Row],[Insurer Code]]&amp;"; "&amp;O3540&amp;AS[[#This Row],[Reporting Year]]&amp;"; "&amp;P3540&amp;AS[[#This Row],[Insurance Category Code]]&amp;"; "&amp;Q3540&amp;AS[[#This Row],[Large Provider Entity Code]]&amp;"; "&amp;R3540&amp;AS[[#This Row],[Age Band Code]]&amp;"; "&amp;S3540&amp;AS[[#This Row],[Sex Code]]</f>
        <v xml:space="preserve">Insurer Code ; Reporting Year ; Insurance Category Code ; Large Provider Entity Code ; Age Band Code ; Sex Code </v>
      </c>
      <c r="N3540" s="345" t="s">
        <v>207</v>
      </c>
      <c r="O3540" s="345" t="s">
        <v>208</v>
      </c>
      <c r="P3540" s="345" t="s">
        <v>209</v>
      </c>
      <c r="Q3540" s="345" t="s">
        <v>210</v>
      </c>
      <c r="R3540" s="345" t="s">
        <v>223</v>
      </c>
      <c r="S3540" s="345" t="s">
        <v>224</v>
      </c>
    </row>
    <row r="3541" spans="1:19" x14ac:dyDescent="0.25">
      <c r="A3541" s="311"/>
      <c r="B3541" s="312"/>
      <c r="C3541" s="312"/>
      <c r="D3541" s="312"/>
      <c r="E3541" s="312"/>
      <c r="F3541" s="312"/>
      <c r="G3541" s="328"/>
      <c r="H3541" s="337"/>
      <c r="I3541" s="334"/>
      <c r="J3541" s="314"/>
      <c r="K3541" s="449"/>
      <c r="M3541" s="349" t="str">
        <f>N3541&amp;AS[[#This Row],[Insurer Code]]&amp;"; "&amp;O3541&amp;AS[[#This Row],[Reporting Year]]&amp;"; "&amp;P3541&amp;AS[[#This Row],[Insurance Category Code]]&amp;"; "&amp;Q3541&amp;AS[[#This Row],[Large Provider Entity Code]]&amp;"; "&amp;R3541&amp;AS[[#This Row],[Age Band Code]]&amp;"; "&amp;S3541&amp;AS[[#This Row],[Sex Code]]</f>
        <v xml:space="preserve">Insurer Code ; Reporting Year ; Insurance Category Code ; Large Provider Entity Code ; Age Band Code ; Sex Code </v>
      </c>
      <c r="N3541" s="345" t="s">
        <v>207</v>
      </c>
      <c r="O3541" s="345" t="s">
        <v>208</v>
      </c>
      <c r="P3541" s="345" t="s">
        <v>209</v>
      </c>
      <c r="Q3541" s="345" t="s">
        <v>210</v>
      </c>
      <c r="R3541" s="345" t="s">
        <v>223</v>
      </c>
      <c r="S3541" s="345" t="s">
        <v>224</v>
      </c>
    </row>
    <row r="3542" spans="1:19" x14ac:dyDescent="0.25">
      <c r="A3542" s="311"/>
      <c r="B3542" s="312"/>
      <c r="C3542" s="312"/>
      <c r="D3542" s="312"/>
      <c r="E3542" s="312"/>
      <c r="F3542" s="312"/>
      <c r="G3542" s="328"/>
      <c r="H3542" s="337"/>
      <c r="I3542" s="334"/>
      <c r="J3542" s="314"/>
      <c r="K3542" s="449"/>
      <c r="M3542" s="349" t="str">
        <f>N3542&amp;AS[[#This Row],[Insurer Code]]&amp;"; "&amp;O3542&amp;AS[[#This Row],[Reporting Year]]&amp;"; "&amp;P3542&amp;AS[[#This Row],[Insurance Category Code]]&amp;"; "&amp;Q3542&amp;AS[[#This Row],[Large Provider Entity Code]]&amp;"; "&amp;R3542&amp;AS[[#This Row],[Age Band Code]]&amp;"; "&amp;S3542&amp;AS[[#This Row],[Sex Code]]</f>
        <v xml:space="preserve">Insurer Code ; Reporting Year ; Insurance Category Code ; Large Provider Entity Code ; Age Band Code ; Sex Code </v>
      </c>
      <c r="N3542" s="345" t="s">
        <v>207</v>
      </c>
      <c r="O3542" s="345" t="s">
        <v>208</v>
      </c>
      <c r="P3542" s="345" t="s">
        <v>209</v>
      </c>
      <c r="Q3542" s="345" t="s">
        <v>210</v>
      </c>
      <c r="R3542" s="345" t="s">
        <v>223</v>
      </c>
      <c r="S3542" s="345" t="s">
        <v>224</v>
      </c>
    </row>
    <row r="3543" spans="1:19" x14ac:dyDescent="0.25">
      <c r="A3543" s="311"/>
      <c r="B3543" s="312"/>
      <c r="C3543" s="312"/>
      <c r="D3543" s="312"/>
      <c r="E3543" s="312"/>
      <c r="F3543" s="312"/>
      <c r="G3543" s="328"/>
      <c r="H3543" s="337"/>
      <c r="I3543" s="334"/>
      <c r="J3543" s="314"/>
      <c r="K3543" s="449"/>
      <c r="M3543" s="349" t="str">
        <f>N3543&amp;AS[[#This Row],[Insurer Code]]&amp;"; "&amp;O3543&amp;AS[[#This Row],[Reporting Year]]&amp;"; "&amp;P3543&amp;AS[[#This Row],[Insurance Category Code]]&amp;"; "&amp;Q3543&amp;AS[[#This Row],[Large Provider Entity Code]]&amp;"; "&amp;R3543&amp;AS[[#This Row],[Age Band Code]]&amp;"; "&amp;S3543&amp;AS[[#This Row],[Sex Code]]</f>
        <v xml:space="preserve">Insurer Code ; Reporting Year ; Insurance Category Code ; Large Provider Entity Code ; Age Band Code ; Sex Code </v>
      </c>
      <c r="N3543" s="345" t="s">
        <v>207</v>
      </c>
      <c r="O3543" s="345" t="s">
        <v>208</v>
      </c>
      <c r="P3543" s="345" t="s">
        <v>209</v>
      </c>
      <c r="Q3543" s="345" t="s">
        <v>210</v>
      </c>
      <c r="R3543" s="345" t="s">
        <v>223</v>
      </c>
      <c r="S3543" s="345" t="s">
        <v>224</v>
      </c>
    </row>
    <row r="3544" spans="1:19" x14ac:dyDescent="0.25">
      <c r="A3544" s="311"/>
      <c r="B3544" s="312"/>
      <c r="C3544" s="312"/>
      <c r="D3544" s="312"/>
      <c r="E3544" s="312"/>
      <c r="F3544" s="312"/>
      <c r="G3544" s="328"/>
      <c r="H3544" s="337"/>
      <c r="I3544" s="334"/>
      <c r="J3544" s="314"/>
      <c r="K3544" s="449"/>
      <c r="M3544" s="349" t="str">
        <f>N3544&amp;AS[[#This Row],[Insurer Code]]&amp;"; "&amp;O3544&amp;AS[[#This Row],[Reporting Year]]&amp;"; "&amp;P3544&amp;AS[[#This Row],[Insurance Category Code]]&amp;"; "&amp;Q3544&amp;AS[[#This Row],[Large Provider Entity Code]]&amp;"; "&amp;R3544&amp;AS[[#This Row],[Age Band Code]]&amp;"; "&amp;S3544&amp;AS[[#This Row],[Sex Code]]</f>
        <v xml:space="preserve">Insurer Code ; Reporting Year ; Insurance Category Code ; Large Provider Entity Code ; Age Band Code ; Sex Code </v>
      </c>
      <c r="N3544" s="345" t="s">
        <v>207</v>
      </c>
      <c r="O3544" s="345" t="s">
        <v>208</v>
      </c>
      <c r="P3544" s="345" t="s">
        <v>209</v>
      </c>
      <c r="Q3544" s="345" t="s">
        <v>210</v>
      </c>
      <c r="R3544" s="345" t="s">
        <v>223</v>
      </c>
      <c r="S3544" s="345" t="s">
        <v>224</v>
      </c>
    </row>
    <row r="3545" spans="1:19" x14ac:dyDescent="0.25">
      <c r="A3545" s="311"/>
      <c r="B3545" s="312"/>
      <c r="C3545" s="312"/>
      <c r="D3545" s="312"/>
      <c r="E3545" s="312"/>
      <c r="F3545" s="312"/>
      <c r="G3545" s="328"/>
      <c r="H3545" s="337"/>
      <c r="I3545" s="334"/>
      <c r="J3545" s="314"/>
      <c r="K3545" s="449"/>
      <c r="M3545" s="349" t="str">
        <f>N3545&amp;AS[[#This Row],[Insurer Code]]&amp;"; "&amp;O3545&amp;AS[[#This Row],[Reporting Year]]&amp;"; "&amp;P3545&amp;AS[[#This Row],[Insurance Category Code]]&amp;"; "&amp;Q3545&amp;AS[[#This Row],[Large Provider Entity Code]]&amp;"; "&amp;R3545&amp;AS[[#This Row],[Age Band Code]]&amp;"; "&amp;S3545&amp;AS[[#This Row],[Sex Code]]</f>
        <v xml:space="preserve">Insurer Code ; Reporting Year ; Insurance Category Code ; Large Provider Entity Code ; Age Band Code ; Sex Code </v>
      </c>
      <c r="N3545" s="345" t="s">
        <v>207</v>
      </c>
      <c r="O3545" s="345" t="s">
        <v>208</v>
      </c>
      <c r="P3545" s="345" t="s">
        <v>209</v>
      </c>
      <c r="Q3545" s="345" t="s">
        <v>210</v>
      </c>
      <c r="R3545" s="345" t="s">
        <v>223</v>
      </c>
      <c r="S3545" s="345" t="s">
        <v>224</v>
      </c>
    </row>
    <row r="3546" spans="1:19" x14ac:dyDescent="0.25">
      <c r="A3546" s="311"/>
      <c r="B3546" s="312"/>
      <c r="C3546" s="312"/>
      <c r="D3546" s="312"/>
      <c r="E3546" s="312"/>
      <c r="F3546" s="312"/>
      <c r="G3546" s="328"/>
      <c r="H3546" s="337"/>
      <c r="I3546" s="334"/>
      <c r="J3546" s="314"/>
      <c r="K3546" s="449"/>
      <c r="M3546" s="349" t="str">
        <f>N3546&amp;AS[[#This Row],[Insurer Code]]&amp;"; "&amp;O3546&amp;AS[[#This Row],[Reporting Year]]&amp;"; "&amp;P3546&amp;AS[[#This Row],[Insurance Category Code]]&amp;"; "&amp;Q3546&amp;AS[[#This Row],[Large Provider Entity Code]]&amp;"; "&amp;R3546&amp;AS[[#This Row],[Age Band Code]]&amp;"; "&amp;S3546&amp;AS[[#This Row],[Sex Code]]</f>
        <v xml:space="preserve">Insurer Code ; Reporting Year ; Insurance Category Code ; Large Provider Entity Code ; Age Band Code ; Sex Code </v>
      </c>
      <c r="N3546" s="345" t="s">
        <v>207</v>
      </c>
      <c r="O3546" s="345" t="s">
        <v>208</v>
      </c>
      <c r="P3546" s="345" t="s">
        <v>209</v>
      </c>
      <c r="Q3546" s="345" t="s">
        <v>210</v>
      </c>
      <c r="R3546" s="345" t="s">
        <v>223</v>
      </c>
      <c r="S3546" s="345" t="s">
        <v>224</v>
      </c>
    </row>
    <row r="3547" spans="1:19" x14ac:dyDescent="0.25">
      <c r="A3547" s="311"/>
      <c r="B3547" s="312"/>
      <c r="C3547" s="312"/>
      <c r="D3547" s="312"/>
      <c r="E3547" s="312"/>
      <c r="F3547" s="312"/>
      <c r="G3547" s="328"/>
      <c r="H3547" s="337"/>
      <c r="I3547" s="334"/>
      <c r="J3547" s="314"/>
      <c r="K3547" s="449"/>
      <c r="M3547" s="349" t="str">
        <f>N3547&amp;AS[[#This Row],[Insurer Code]]&amp;"; "&amp;O3547&amp;AS[[#This Row],[Reporting Year]]&amp;"; "&amp;P3547&amp;AS[[#This Row],[Insurance Category Code]]&amp;"; "&amp;Q3547&amp;AS[[#This Row],[Large Provider Entity Code]]&amp;"; "&amp;R3547&amp;AS[[#This Row],[Age Band Code]]&amp;"; "&amp;S3547&amp;AS[[#This Row],[Sex Code]]</f>
        <v xml:space="preserve">Insurer Code ; Reporting Year ; Insurance Category Code ; Large Provider Entity Code ; Age Band Code ; Sex Code </v>
      </c>
      <c r="N3547" s="345" t="s">
        <v>207</v>
      </c>
      <c r="O3547" s="345" t="s">
        <v>208</v>
      </c>
      <c r="P3547" s="345" t="s">
        <v>209</v>
      </c>
      <c r="Q3547" s="345" t="s">
        <v>210</v>
      </c>
      <c r="R3547" s="345" t="s">
        <v>223</v>
      </c>
      <c r="S3547" s="345" t="s">
        <v>224</v>
      </c>
    </row>
    <row r="3548" spans="1:19" x14ac:dyDescent="0.25">
      <c r="A3548" s="311"/>
      <c r="B3548" s="312"/>
      <c r="C3548" s="312"/>
      <c r="D3548" s="312"/>
      <c r="E3548" s="312"/>
      <c r="F3548" s="312"/>
      <c r="G3548" s="328"/>
      <c r="H3548" s="337"/>
      <c r="I3548" s="334"/>
      <c r="J3548" s="314"/>
      <c r="K3548" s="449"/>
      <c r="M3548" s="349" t="str">
        <f>N3548&amp;AS[[#This Row],[Insurer Code]]&amp;"; "&amp;O3548&amp;AS[[#This Row],[Reporting Year]]&amp;"; "&amp;P3548&amp;AS[[#This Row],[Insurance Category Code]]&amp;"; "&amp;Q3548&amp;AS[[#This Row],[Large Provider Entity Code]]&amp;"; "&amp;R3548&amp;AS[[#This Row],[Age Band Code]]&amp;"; "&amp;S3548&amp;AS[[#This Row],[Sex Code]]</f>
        <v xml:space="preserve">Insurer Code ; Reporting Year ; Insurance Category Code ; Large Provider Entity Code ; Age Band Code ; Sex Code </v>
      </c>
      <c r="N3548" s="345" t="s">
        <v>207</v>
      </c>
      <c r="O3548" s="345" t="s">
        <v>208</v>
      </c>
      <c r="P3548" s="345" t="s">
        <v>209</v>
      </c>
      <c r="Q3548" s="345" t="s">
        <v>210</v>
      </c>
      <c r="R3548" s="345" t="s">
        <v>223</v>
      </c>
      <c r="S3548" s="345" t="s">
        <v>224</v>
      </c>
    </row>
    <row r="3549" spans="1:19" x14ac:dyDescent="0.25">
      <c r="A3549" s="311"/>
      <c r="B3549" s="312"/>
      <c r="C3549" s="312"/>
      <c r="D3549" s="312"/>
      <c r="E3549" s="312"/>
      <c r="F3549" s="312"/>
      <c r="G3549" s="328"/>
      <c r="H3549" s="337"/>
      <c r="I3549" s="334"/>
      <c r="J3549" s="314"/>
      <c r="K3549" s="449"/>
      <c r="M3549" s="349" t="str">
        <f>N3549&amp;AS[[#This Row],[Insurer Code]]&amp;"; "&amp;O3549&amp;AS[[#This Row],[Reporting Year]]&amp;"; "&amp;P3549&amp;AS[[#This Row],[Insurance Category Code]]&amp;"; "&amp;Q3549&amp;AS[[#This Row],[Large Provider Entity Code]]&amp;"; "&amp;R3549&amp;AS[[#This Row],[Age Band Code]]&amp;"; "&amp;S3549&amp;AS[[#This Row],[Sex Code]]</f>
        <v xml:space="preserve">Insurer Code ; Reporting Year ; Insurance Category Code ; Large Provider Entity Code ; Age Band Code ; Sex Code </v>
      </c>
      <c r="N3549" s="345" t="s">
        <v>207</v>
      </c>
      <c r="O3549" s="345" t="s">
        <v>208</v>
      </c>
      <c r="P3549" s="345" t="s">
        <v>209</v>
      </c>
      <c r="Q3549" s="345" t="s">
        <v>210</v>
      </c>
      <c r="R3549" s="345" t="s">
        <v>223</v>
      </c>
      <c r="S3549" s="345" t="s">
        <v>224</v>
      </c>
    </row>
    <row r="3550" spans="1:19" x14ac:dyDescent="0.25">
      <c r="A3550" s="311"/>
      <c r="B3550" s="312"/>
      <c r="C3550" s="312"/>
      <c r="D3550" s="312"/>
      <c r="E3550" s="312"/>
      <c r="F3550" s="312"/>
      <c r="G3550" s="328"/>
      <c r="H3550" s="337"/>
      <c r="I3550" s="334"/>
      <c r="J3550" s="314"/>
      <c r="K3550" s="449"/>
      <c r="M3550" s="349" t="str">
        <f>N3550&amp;AS[[#This Row],[Insurer Code]]&amp;"; "&amp;O3550&amp;AS[[#This Row],[Reporting Year]]&amp;"; "&amp;P3550&amp;AS[[#This Row],[Insurance Category Code]]&amp;"; "&amp;Q3550&amp;AS[[#This Row],[Large Provider Entity Code]]&amp;"; "&amp;R3550&amp;AS[[#This Row],[Age Band Code]]&amp;"; "&amp;S3550&amp;AS[[#This Row],[Sex Code]]</f>
        <v xml:space="preserve">Insurer Code ; Reporting Year ; Insurance Category Code ; Large Provider Entity Code ; Age Band Code ; Sex Code </v>
      </c>
      <c r="N3550" s="345" t="s">
        <v>207</v>
      </c>
      <c r="O3550" s="345" t="s">
        <v>208</v>
      </c>
      <c r="P3550" s="345" t="s">
        <v>209</v>
      </c>
      <c r="Q3550" s="345" t="s">
        <v>210</v>
      </c>
      <c r="R3550" s="345" t="s">
        <v>223</v>
      </c>
      <c r="S3550" s="345" t="s">
        <v>224</v>
      </c>
    </row>
    <row r="3551" spans="1:19" x14ac:dyDescent="0.25">
      <c r="A3551" s="311"/>
      <c r="B3551" s="312"/>
      <c r="C3551" s="312"/>
      <c r="D3551" s="312"/>
      <c r="E3551" s="312"/>
      <c r="F3551" s="312"/>
      <c r="G3551" s="328"/>
      <c r="H3551" s="337"/>
      <c r="I3551" s="334"/>
      <c r="J3551" s="314"/>
      <c r="K3551" s="449"/>
      <c r="M3551" s="349" t="str">
        <f>N3551&amp;AS[[#This Row],[Insurer Code]]&amp;"; "&amp;O3551&amp;AS[[#This Row],[Reporting Year]]&amp;"; "&amp;P3551&amp;AS[[#This Row],[Insurance Category Code]]&amp;"; "&amp;Q3551&amp;AS[[#This Row],[Large Provider Entity Code]]&amp;"; "&amp;R3551&amp;AS[[#This Row],[Age Band Code]]&amp;"; "&amp;S3551&amp;AS[[#This Row],[Sex Code]]</f>
        <v xml:space="preserve">Insurer Code ; Reporting Year ; Insurance Category Code ; Large Provider Entity Code ; Age Band Code ; Sex Code </v>
      </c>
      <c r="N3551" s="345" t="s">
        <v>207</v>
      </c>
      <c r="O3551" s="345" t="s">
        <v>208</v>
      </c>
      <c r="P3551" s="345" t="s">
        <v>209</v>
      </c>
      <c r="Q3551" s="345" t="s">
        <v>210</v>
      </c>
      <c r="R3551" s="345" t="s">
        <v>223</v>
      </c>
      <c r="S3551" s="345" t="s">
        <v>224</v>
      </c>
    </row>
    <row r="3552" spans="1:19" x14ac:dyDescent="0.25">
      <c r="A3552" s="311"/>
      <c r="B3552" s="312"/>
      <c r="C3552" s="312"/>
      <c r="D3552" s="312"/>
      <c r="E3552" s="312"/>
      <c r="F3552" s="312"/>
      <c r="G3552" s="328"/>
      <c r="H3552" s="337"/>
      <c r="I3552" s="334"/>
      <c r="J3552" s="314"/>
      <c r="K3552" s="449"/>
      <c r="M3552" s="349" t="str">
        <f>N3552&amp;AS[[#This Row],[Insurer Code]]&amp;"; "&amp;O3552&amp;AS[[#This Row],[Reporting Year]]&amp;"; "&amp;P3552&amp;AS[[#This Row],[Insurance Category Code]]&amp;"; "&amp;Q3552&amp;AS[[#This Row],[Large Provider Entity Code]]&amp;"; "&amp;R3552&amp;AS[[#This Row],[Age Band Code]]&amp;"; "&amp;S3552&amp;AS[[#This Row],[Sex Code]]</f>
        <v xml:space="preserve">Insurer Code ; Reporting Year ; Insurance Category Code ; Large Provider Entity Code ; Age Band Code ; Sex Code </v>
      </c>
      <c r="N3552" s="345" t="s">
        <v>207</v>
      </c>
      <c r="O3552" s="345" t="s">
        <v>208</v>
      </c>
      <c r="P3552" s="345" t="s">
        <v>209</v>
      </c>
      <c r="Q3552" s="345" t="s">
        <v>210</v>
      </c>
      <c r="R3552" s="345" t="s">
        <v>223</v>
      </c>
      <c r="S3552" s="345" t="s">
        <v>224</v>
      </c>
    </row>
    <row r="3553" spans="1:19" x14ac:dyDescent="0.25">
      <c r="A3553" s="311"/>
      <c r="B3553" s="312"/>
      <c r="C3553" s="312"/>
      <c r="D3553" s="312"/>
      <c r="E3553" s="312"/>
      <c r="F3553" s="312"/>
      <c r="G3553" s="328"/>
      <c r="H3553" s="337"/>
      <c r="I3553" s="334"/>
      <c r="J3553" s="314"/>
      <c r="K3553" s="449"/>
      <c r="M3553" s="349" t="str">
        <f>N3553&amp;AS[[#This Row],[Insurer Code]]&amp;"; "&amp;O3553&amp;AS[[#This Row],[Reporting Year]]&amp;"; "&amp;P3553&amp;AS[[#This Row],[Insurance Category Code]]&amp;"; "&amp;Q3553&amp;AS[[#This Row],[Large Provider Entity Code]]&amp;"; "&amp;R3553&amp;AS[[#This Row],[Age Band Code]]&amp;"; "&amp;S3553&amp;AS[[#This Row],[Sex Code]]</f>
        <v xml:space="preserve">Insurer Code ; Reporting Year ; Insurance Category Code ; Large Provider Entity Code ; Age Band Code ; Sex Code </v>
      </c>
      <c r="N3553" s="345" t="s">
        <v>207</v>
      </c>
      <c r="O3553" s="345" t="s">
        <v>208</v>
      </c>
      <c r="P3553" s="345" t="s">
        <v>209</v>
      </c>
      <c r="Q3553" s="345" t="s">
        <v>210</v>
      </c>
      <c r="R3553" s="345" t="s">
        <v>223</v>
      </c>
      <c r="S3553" s="345" t="s">
        <v>224</v>
      </c>
    </row>
    <row r="3554" spans="1:19" x14ac:dyDescent="0.25">
      <c r="A3554" s="311"/>
      <c r="B3554" s="312"/>
      <c r="C3554" s="312"/>
      <c r="D3554" s="312"/>
      <c r="E3554" s="312"/>
      <c r="F3554" s="312"/>
      <c r="G3554" s="328"/>
      <c r="H3554" s="337"/>
      <c r="I3554" s="334"/>
      <c r="J3554" s="314"/>
      <c r="K3554" s="449"/>
      <c r="M3554" s="349" t="str">
        <f>N3554&amp;AS[[#This Row],[Insurer Code]]&amp;"; "&amp;O3554&amp;AS[[#This Row],[Reporting Year]]&amp;"; "&amp;P3554&amp;AS[[#This Row],[Insurance Category Code]]&amp;"; "&amp;Q3554&amp;AS[[#This Row],[Large Provider Entity Code]]&amp;"; "&amp;R3554&amp;AS[[#This Row],[Age Band Code]]&amp;"; "&amp;S3554&amp;AS[[#This Row],[Sex Code]]</f>
        <v xml:space="preserve">Insurer Code ; Reporting Year ; Insurance Category Code ; Large Provider Entity Code ; Age Band Code ; Sex Code </v>
      </c>
      <c r="N3554" s="345" t="s">
        <v>207</v>
      </c>
      <c r="O3554" s="345" t="s">
        <v>208</v>
      </c>
      <c r="P3554" s="345" t="s">
        <v>209</v>
      </c>
      <c r="Q3554" s="345" t="s">
        <v>210</v>
      </c>
      <c r="R3554" s="345" t="s">
        <v>223</v>
      </c>
      <c r="S3554" s="345" t="s">
        <v>224</v>
      </c>
    </row>
    <row r="3555" spans="1:19" x14ac:dyDescent="0.25">
      <c r="A3555" s="311"/>
      <c r="B3555" s="312"/>
      <c r="C3555" s="312"/>
      <c r="D3555" s="312"/>
      <c r="E3555" s="312"/>
      <c r="F3555" s="312"/>
      <c r="G3555" s="328"/>
      <c r="H3555" s="337"/>
      <c r="I3555" s="334"/>
      <c r="J3555" s="314"/>
      <c r="K3555" s="449"/>
      <c r="M3555" s="349" t="str">
        <f>N3555&amp;AS[[#This Row],[Insurer Code]]&amp;"; "&amp;O3555&amp;AS[[#This Row],[Reporting Year]]&amp;"; "&amp;P3555&amp;AS[[#This Row],[Insurance Category Code]]&amp;"; "&amp;Q3555&amp;AS[[#This Row],[Large Provider Entity Code]]&amp;"; "&amp;R3555&amp;AS[[#This Row],[Age Band Code]]&amp;"; "&amp;S3555&amp;AS[[#This Row],[Sex Code]]</f>
        <v xml:space="preserve">Insurer Code ; Reporting Year ; Insurance Category Code ; Large Provider Entity Code ; Age Band Code ; Sex Code </v>
      </c>
      <c r="N3555" s="345" t="s">
        <v>207</v>
      </c>
      <c r="O3555" s="345" t="s">
        <v>208</v>
      </c>
      <c r="P3555" s="345" t="s">
        <v>209</v>
      </c>
      <c r="Q3555" s="345" t="s">
        <v>210</v>
      </c>
      <c r="R3555" s="345" t="s">
        <v>223</v>
      </c>
      <c r="S3555" s="345" t="s">
        <v>224</v>
      </c>
    </row>
    <row r="3556" spans="1:19" x14ac:dyDescent="0.25">
      <c r="A3556" s="311"/>
      <c r="B3556" s="312"/>
      <c r="C3556" s="312"/>
      <c r="D3556" s="312"/>
      <c r="E3556" s="312"/>
      <c r="F3556" s="312"/>
      <c r="G3556" s="328"/>
      <c r="H3556" s="337"/>
      <c r="I3556" s="334"/>
      <c r="J3556" s="314"/>
      <c r="K3556" s="449"/>
      <c r="M3556" s="349" t="str">
        <f>N3556&amp;AS[[#This Row],[Insurer Code]]&amp;"; "&amp;O3556&amp;AS[[#This Row],[Reporting Year]]&amp;"; "&amp;P3556&amp;AS[[#This Row],[Insurance Category Code]]&amp;"; "&amp;Q3556&amp;AS[[#This Row],[Large Provider Entity Code]]&amp;"; "&amp;R3556&amp;AS[[#This Row],[Age Band Code]]&amp;"; "&amp;S3556&amp;AS[[#This Row],[Sex Code]]</f>
        <v xml:space="preserve">Insurer Code ; Reporting Year ; Insurance Category Code ; Large Provider Entity Code ; Age Band Code ; Sex Code </v>
      </c>
      <c r="N3556" s="345" t="s">
        <v>207</v>
      </c>
      <c r="O3556" s="345" t="s">
        <v>208</v>
      </c>
      <c r="P3556" s="345" t="s">
        <v>209</v>
      </c>
      <c r="Q3556" s="345" t="s">
        <v>210</v>
      </c>
      <c r="R3556" s="345" t="s">
        <v>223</v>
      </c>
      <c r="S3556" s="345" t="s">
        <v>224</v>
      </c>
    </row>
    <row r="3557" spans="1:19" x14ac:dyDescent="0.25">
      <c r="A3557" s="311"/>
      <c r="B3557" s="312"/>
      <c r="C3557" s="312"/>
      <c r="D3557" s="312"/>
      <c r="E3557" s="312"/>
      <c r="F3557" s="312"/>
      <c r="G3557" s="328"/>
      <c r="H3557" s="337"/>
      <c r="I3557" s="334"/>
      <c r="J3557" s="314"/>
      <c r="K3557" s="449"/>
      <c r="M3557" s="349" t="str">
        <f>N3557&amp;AS[[#This Row],[Insurer Code]]&amp;"; "&amp;O3557&amp;AS[[#This Row],[Reporting Year]]&amp;"; "&amp;P3557&amp;AS[[#This Row],[Insurance Category Code]]&amp;"; "&amp;Q3557&amp;AS[[#This Row],[Large Provider Entity Code]]&amp;"; "&amp;R3557&amp;AS[[#This Row],[Age Band Code]]&amp;"; "&amp;S3557&amp;AS[[#This Row],[Sex Code]]</f>
        <v xml:space="preserve">Insurer Code ; Reporting Year ; Insurance Category Code ; Large Provider Entity Code ; Age Band Code ; Sex Code </v>
      </c>
      <c r="N3557" s="345" t="s">
        <v>207</v>
      </c>
      <c r="O3557" s="345" t="s">
        <v>208</v>
      </c>
      <c r="P3557" s="345" t="s">
        <v>209</v>
      </c>
      <c r="Q3557" s="345" t="s">
        <v>210</v>
      </c>
      <c r="R3557" s="345" t="s">
        <v>223</v>
      </c>
      <c r="S3557" s="345" t="s">
        <v>224</v>
      </c>
    </row>
    <row r="3558" spans="1:19" x14ac:dyDescent="0.25">
      <c r="A3558" s="311"/>
      <c r="B3558" s="312"/>
      <c r="C3558" s="312"/>
      <c r="D3558" s="312"/>
      <c r="E3558" s="312"/>
      <c r="F3558" s="312"/>
      <c r="G3558" s="328"/>
      <c r="H3558" s="337"/>
      <c r="I3558" s="334"/>
      <c r="J3558" s="314"/>
      <c r="K3558" s="449"/>
      <c r="M3558" s="349" t="str">
        <f>N3558&amp;AS[[#This Row],[Insurer Code]]&amp;"; "&amp;O3558&amp;AS[[#This Row],[Reporting Year]]&amp;"; "&amp;P3558&amp;AS[[#This Row],[Insurance Category Code]]&amp;"; "&amp;Q3558&amp;AS[[#This Row],[Large Provider Entity Code]]&amp;"; "&amp;R3558&amp;AS[[#This Row],[Age Band Code]]&amp;"; "&amp;S3558&amp;AS[[#This Row],[Sex Code]]</f>
        <v xml:space="preserve">Insurer Code ; Reporting Year ; Insurance Category Code ; Large Provider Entity Code ; Age Band Code ; Sex Code </v>
      </c>
      <c r="N3558" s="345" t="s">
        <v>207</v>
      </c>
      <c r="O3558" s="345" t="s">
        <v>208</v>
      </c>
      <c r="P3558" s="345" t="s">
        <v>209</v>
      </c>
      <c r="Q3558" s="345" t="s">
        <v>210</v>
      </c>
      <c r="R3558" s="345" t="s">
        <v>223</v>
      </c>
      <c r="S3558" s="345" t="s">
        <v>224</v>
      </c>
    </row>
    <row r="3559" spans="1:19" x14ac:dyDescent="0.25">
      <c r="A3559" s="311"/>
      <c r="B3559" s="312"/>
      <c r="C3559" s="312"/>
      <c r="D3559" s="312"/>
      <c r="E3559" s="312"/>
      <c r="F3559" s="312"/>
      <c r="G3559" s="328"/>
      <c r="H3559" s="337"/>
      <c r="I3559" s="334"/>
      <c r="J3559" s="314"/>
      <c r="K3559" s="449"/>
      <c r="M3559" s="349" t="str">
        <f>N3559&amp;AS[[#This Row],[Insurer Code]]&amp;"; "&amp;O3559&amp;AS[[#This Row],[Reporting Year]]&amp;"; "&amp;P3559&amp;AS[[#This Row],[Insurance Category Code]]&amp;"; "&amp;Q3559&amp;AS[[#This Row],[Large Provider Entity Code]]&amp;"; "&amp;R3559&amp;AS[[#This Row],[Age Band Code]]&amp;"; "&amp;S3559&amp;AS[[#This Row],[Sex Code]]</f>
        <v xml:space="preserve">Insurer Code ; Reporting Year ; Insurance Category Code ; Large Provider Entity Code ; Age Band Code ; Sex Code </v>
      </c>
      <c r="N3559" s="345" t="s">
        <v>207</v>
      </c>
      <c r="O3559" s="345" t="s">
        <v>208</v>
      </c>
      <c r="P3559" s="345" t="s">
        <v>209</v>
      </c>
      <c r="Q3559" s="345" t="s">
        <v>210</v>
      </c>
      <c r="R3559" s="345" t="s">
        <v>223</v>
      </c>
      <c r="S3559" s="345" t="s">
        <v>224</v>
      </c>
    </row>
    <row r="3560" spans="1:19" x14ac:dyDescent="0.25">
      <c r="A3560" s="311"/>
      <c r="B3560" s="312"/>
      <c r="C3560" s="312"/>
      <c r="D3560" s="312"/>
      <c r="E3560" s="312"/>
      <c r="F3560" s="312"/>
      <c r="G3560" s="328"/>
      <c r="H3560" s="337"/>
      <c r="I3560" s="334"/>
      <c r="J3560" s="314"/>
      <c r="K3560" s="449"/>
      <c r="M3560" s="349" t="str">
        <f>N3560&amp;AS[[#This Row],[Insurer Code]]&amp;"; "&amp;O3560&amp;AS[[#This Row],[Reporting Year]]&amp;"; "&amp;P3560&amp;AS[[#This Row],[Insurance Category Code]]&amp;"; "&amp;Q3560&amp;AS[[#This Row],[Large Provider Entity Code]]&amp;"; "&amp;R3560&amp;AS[[#This Row],[Age Band Code]]&amp;"; "&amp;S3560&amp;AS[[#This Row],[Sex Code]]</f>
        <v xml:space="preserve">Insurer Code ; Reporting Year ; Insurance Category Code ; Large Provider Entity Code ; Age Band Code ; Sex Code </v>
      </c>
      <c r="N3560" s="345" t="s">
        <v>207</v>
      </c>
      <c r="O3560" s="345" t="s">
        <v>208</v>
      </c>
      <c r="P3560" s="345" t="s">
        <v>209</v>
      </c>
      <c r="Q3560" s="345" t="s">
        <v>210</v>
      </c>
      <c r="R3560" s="345" t="s">
        <v>223</v>
      </c>
      <c r="S3560" s="345" t="s">
        <v>224</v>
      </c>
    </row>
    <row r="3561" spans="1:19" x14ac:dyDescent="0.25">
      <c r="A3561" s="311"/>
      <c r="B3561" s="312"/>
      <c r="C3561" s="312"/>
      <c r="D3561" s="312"/>
      <c r="E3561" s="312"/>
      <c r="F3561" s="312"/>
      <c r="G3561" s="328"/>
      <c r="H3561" s="337"/>
      <c r="I3561" s="334"/>
      <c r="J3561" s="314"/>
      <c r="K3561" s="449"/>
      <c r="M3561" s="349" t="str">
        <f>N3561&amp;AS[[#This Row],[Insurer Code]]&amp;"; "&amp;O3561&amp;AS[[#This Row],[Reporting Year]]&amp;"; "&amp;P3561&amp;AS[[#This Row],[Insurance Category Code]]&amp;"; "&amp;Q3561&amp;AS[[#This Row],[Large Provider Entity Code]]&amp;"; "&amp;R3561&amp;AS[[#This Row],[Age Band Code]]&amp;"; "&amp;S3561&amp;AS[[#This Row],[Sex Code]]</f>
        <v xml:space="preserve">Insurer Code ; Reporting Year ; Insurance Category Code ; Large Provider Entity Code ; Age Band Code ; Sex Code </v>
      </c>
      <c r="N3561" s="345" t="s">
        <v>207</v>
      </c>
      <c r="O3561" s="345" t="s">
        <v>208</v>
      </c>
      <c r="P3561" s="345" t="s">
        <v>209</v>
      </c>
      <c r="Q3561" s="345" t="s">
        <v>210</v>
      </c>
      <c r="R3561" s="345" t="s">
        <v>223</v>
      </c>
      <c r="S3561" s="345" t="s">
        <v>224</v>
      </c>
    </row>
    <row r="3562" spans="1:19" x14ac:dyDescent="0.25">
      <c r="A3562" s="311"/>
      <c r="B3562" s="312"/>
      <c r="C3562" s="312"/>
      <c r="D3562" s="312"/>
      <c r="E3562" s="312"/>
      <c r="F3562" s="312"/>
      <c r="G3562" s="328"/>
      <c r="H3562" s="337"/>
      <c r="I3562" s="334"/>
      <c r="J3562" s="314"/>
      <c r="K3562" s="449"/>
      <c r="M3562" s="349" t="str">
        <f>N3562&amp;AS[[#This Row],[Insurer Code]]&amp;"; "&amp;O3562&amp;AS[[#This Row],[Reporting Year]]&amp;"; "&amp;P3562&amp;AS[[#This Row],[Insurance Category Code]]&amp;"; "&amp;Q3562&amp;AS[[#This Row],[Large Provider Entity Code]]&amp;"; "&amp;R3562&amp;AS[[#This Row],[Age Band Code]]&amp;"; "&amp;S3562&amp;AS[[#This Row],[Sex Code]]</f>
        <v xml:space="preserve">Insurer Code ; Reporting Year ; Insurance Category Code ; Large Provider Entity Code ; Age Band Code ; Sex Code </v>
      </c>
      <c r="N3562" s="345" t="s">
        <v>207</v>
      </c>
      <c r="O3562" s="345" t="s">
        <v>208</v>
      </c>
      <c r="P3562" s="345" t="s">
        <v>209</v>
      </c>
      <c r="Q3562" s="345" t="s">
        <v>210</v>
      </c>
      <c r="R3562" s="345" t="s">
        <v>223</v>
      </c>
      <c r="S3562" s="345" t="s">
        <v>224</v>
      </c>
    </row>
    <row r="3563" spans="1:19" x14ac:dyDescent="0.25">
      <c r="A3563" s="311"/>
      <c r="B3563" s="312"/>
      <c r="C3563" s="312"/>
      <c r="D3563" s="312"/>
      <c r="E3563" s="312"/>
      <c r="F3563" s="312"/>
      <c r="G3563" s="328"/>
      <c r="H3563" s="337"/>
      <c r="I3563" s="334"/>
      <c r="J3563" s="314"/>
      <c r="K3563" s="449"/>
      <c r="M3563" s="349" t="str">
        <f>N3563&amp;AS[[#This Row],[Insurer Code]]&amp;"; "&amp;O3563&amp;AS[[#This Row],[Reporting Year]]&amp;"; "&amp;P3563&amp;AS[[#This Row],[Insurance Category Code]]&amp;"; "&amp;Q3563&amp;AS[[#This Row],[Large Provider Entity Code]]&amp;"; "&amp;R3563&amp;AS[[#This Row],[Age Band Code]]&amp;"; "&amp;S3563&amp;AS[[#This Row],[Sex Code]]</f>
        <v xml:space="preserve">Insurer Code ; Reporting Year ; Insurance Category Code ; Large Provider Entity Code ; Age Band Code ; Sex Code </v>
      </c>
      <c r="N3563" s="345" t="s">
        <v>207</v>
      </c>
      <c r="O3563" s="345" t="s">
        <v>208</v>
      </c>
      <c r="P3563" s="345" t="s">
        <v>209</v>
      </c>
      <c r="Q3563" s="345" t="s">
        <v>210</v>
      </c>
      <c r="R3563" s="345" t="s">
        <v>223</v>
      </c>
      <c r="S3563" s="345" t="s">
        <v>224</v>
      </c>
    </row>
    <row r="3564" spans="1:19" x14ac:dyDescent="0.25">
      <c r="A3564" s="311"/>
      <c r="B3564" s="312"/>
      <c r="C3564" s="312"/>
      <c r="D3564" s="312"/>
      <c r="E3564" s="312"/>
      <c r="F3564" s="312"/>
      <c r="G3564" s="328"/>
      <c r="H3564" s="337"/>
      <c r="I3564" s="334"/>
      <c r="J3564" s="314"/>
      <c r="K3564" s="449"/>
      <c r="M3564" s="349" t="str">
        <f>N3564&amp;AS[[#This Row],[Insurer Code]]&amp;"; "&amp;O3564&amp;AS[[#This Row],[Reporting Year]]&amp;"; "&amp;P3564&amp;AS[[#This Row],[Insurance Category Code]]&amp;"; "&amp;Q3564&amp;AS[[#This Row],[Large Provider Entity Code]]&amp;"; "&amp;R3564&amp;AS[[#This Row],[Age Band Code]]&amp;"; "&amp;S3564&amp;AS[[#This Row],[Sex Code]]</f>
        <v xml:space="preserve">Insurer Code ; Reporting Year ; Insurance Category Code ; Large Provider Entity Code ; Age Band Code ; Sex Code </v>
      </c>
      <c r="N3564" s="345" t="s">
        <v>207</v>
      </c>
      <c r="O3564" s="345" t="s">
        <v>208</v>
      </c>
      <c r="P3564" s="345" t="s">
        <v>209</v>
      </c>
      <c r="Q3564" s="345" t="s">
        <v>210</v>
      </c>
      <c r="R3564" s="345" t="s">
        <v>223</v>
      </c>
      <c r="S3564" s="345" t="s">
        <v>224</v>
      </c>
    </row>
    <row r="3565" spans="1:19" x14ac:dyDescent="0.25">
      <c r="A3565" s="311"/>
      <c r="B3565" s="312"/>
      <c r="C3565" s="312"/>
      <c r="D3565" s="312"/>
      <c r="E3565" s="312"/>
      <c r="F3565" s="312"/>
      <c r="G3565" s="328"/>
      <c r="H3565" s="337"/>
      <c r="I3565" s="334"/>
      <c r="J3565" s="314"/>
      <c r="K3565" s="449"/>
      <c r="M3565" s="349" t="str">
        <f>N3565&amp;AS[[#This Row],[Insurer Code]]&amp;"; "&amp;O3565&amp;AS[[#This Row],[Reporting Year]]&amp;"; "&amp;P3565&amp;AS[[#This Row],[Insurance Category Code]]&amp;"; "&amp;Q3565&amp;AS[[#This Row],[Large Provider Entity Code]]&amp;"; "&amp;R3565&amp;AS[[#This Row],[Age Band Code]]&amp;"; "&amp;S3565&amp;AS[[#This Row],[Sex Code]]</f>
        <v xml:space="preserve">Insurer Code ; Reporting Year ; Insurance Category Code ; Large Provider Entity Code ; Age Band Code ; Sex Code </v>
      </c>
      <c r="N3565" s="345" t="s">
        <v>207</v>
      </c>
      <c r="O3565" s="345" t="s">
        <v>208</v>
      </c>
      <c r="P3565" s="345" t="s">
        <v>209</v>
      </c>
      <c r="Q3565" s="345" t="s">
        <v>210</v>
      </c>
      <c r="R3565" s="345" t="s">
        <v>223</v>
      </c>
      <c r="S3565" s="345" t="s">
        <v>224</v>
      </c>
    </row>
    <row r="3566" spans="1:19" x14ac:dyDescent="0.25">
      <c r="A3566" s="311"/>
      <c r="B3566" s="312"/>
      <c r="C3566" s="312"/>
      <c r="D3566" s="312"/>
      <c r="E3566" s="312"/>
      <c r="F3566" s="312"/>
      <c r="G3566" s="328"/>
      <c r="H3566" s="337"/>
      <c r="I3566" s="334"/>
      <c r="J3566" s="314"/>
      <c r="K3566" s="449"/>
      <c r="M3566" s="349" t="str">
        <f>N3566&amp;AS[[#This Row],[Insurer Code]]&amp;"; "&amp;O3566&amp;AS[[#This Row],[Reporting Year]]&amp;"; "&amp;P3566&amp;AS[[#This Row],[Insurance Category Code]]&amp;"; "&amp;Q3566&amp;AS[[#This Row],[Large Provider Entity Code]]&amp;"; "&amp;R3566&amp;AS[[#This Row],[Age Band Code]]&amp;"; "&amp;S3566&amp;AS[[#This Row],[Sex Code]]</f>
        <v xml:space="preserve">Insurer Code ; Reporting Year ; Insurance Category Code ; Large Provider Entity Code ; Age Band Code ; Sex Code </v>
      </c>
      <c r="N3566" s="345" t="s">
        <v>207</v>
      </c>
      <c r="O3566" s="345" t="s">
        <v>208</v>
      </c>
      <c r="P3566" s="345" t="s">
        <v>209</v>
      </c>
      <c r="Q3566" s="345" t="s">
        <v>210</v>
      </c>
      <c r="R3566" s="345" t="s">
        <v>223</v>
      </c>
      <c r="S3566" s="345" t="s">
        <v>224</v>
      </c>
    </row>
    <row r="3567" spans="1:19" x14ac:dyDescent="0.25">
      <c r="A3567" s="311"/>
      <c r="B3567" s="312"/>
      <c r="C3567" s="312"/>
      <c r="D3567" s="312"/>
      <c r="E3567" s="312"/>
      <c r="F3567" s="312"/>
      <c r="G3567" s="328"/>
      <c r="H3567" s="337"/>
      <c r="I3567" s="334"/>
      <c r="J3567" s="314"/>
      <c r="K3567" s="449"/>
      <c r="M3567" s="349" t="str">
        <f>N3567&amp;AS[[#This Row],[Insurer Code]]&amp;"; "&amp;O3567&amp;AS[[#This Row],[Reporting Year]]&amp;"; "&amp;P3567&amp;AS[[#This Row],[Insurance Category Code]]&amp;"; "&amp;Q3567&amp;AS[[#This Row],[Large Provider Entity Code]]&amp;"; "&amp;R3567&amp;AS[[#This Row],[Age Band Code]]&amp;"; "&amp;S3567&amp;AS[[#This Row],[Sex Code]]</f>
        <v xml:space="preserve">Insurer Code ; Reporting Year ; Insurance Category Code ; Large Provider Entity Code ; Age Band Code ; Sex Code </v>
      </c>
      <c r="N3567" s="345" t="s">
        <v>207</v>
      </c>
      <c r="O3567" s="345" t="s">
        <v>208</v>
      </c>
      <c r="P3567" s="345" t="s">
        <v>209</v>
      </c>
      <c r="Q3567" s="345" t="s">
        <v>210</v>
      </c>
      <c r="R3567" s="345" t="s">
        <v>223</v>
      </c>
      <c r="S3567" s="345" t="s">
        <v>224</v>
      </c>
    </row>
    <row r="3568" spans="1:19" x14ac:dyDescent="0.25">
      <c r="A3568" s="311"/>
      <c r="B3568" s="312"/>
      <c r="C3568" s="312"/>
      <c r="D3568" s="312"/>
      <c r="E3568" s="312"/>
      <c r="F3568" s="312"/>
      <c r="G3568" s="328"/>
      <c r="H3568" s="337"/>
      <c r="I3568" s="334"/>
      <c r="J3568" s="314"/>
      <c r="K3568" s="449"/>
      <c r="M3568" s="349" t="str">
        <f>N3568&amp;AS[[#This Row],[Insurer Code]]&amp;"; "&amp;O3568&amp;AS[[#This Row],[Reporting Year]]&amp;"; "&amp;P3568&amp;AS[[#This Row],[Insurance Category Code]]&amp;"; "&amp;Q3568&amp;AS[[#This Row],[Large Provider Entity Code]]&amp;"; "&amp;R3568&amp;AS[[#This Row],[Age Band Code]]&amp;"; "&amp;S3568&amp;AS[[#This Row],[Sex Code]]</f>
        <v xml:space="preserve">Insurer Code ; Reporting Year ; Insurance Category Code ; Large Provider Entity Code ; Age Band Code ; Sex Code </v>
      </c>
      <c r="N3568" s="345" t="s">
        <v>207</v>
      </c>
      <c r="O3568" s="345" t="s">
        <v>208</v>
      </c>
      <c r="P3568" s="345" t="s">
        <v>209</v>
      </c>
      <c r="Q3568" s="345" t="s">
        <v>210</v>
      </c>
      <c r="R3568" s="345" t="s">
        <v>223</v>
      </c>
      <c r="S3568" s="345" t="s">
        <v>224</v>
      </c>
    </row>
    <row r="3569" spans="1:19" x14ac:dyDescent="0.25">
      <c r="A3569" s="311"/>
      <c r="B3569" s="312"/>
      <c r="C3569" s="312"/>
      <c r="D3569" s="312"/>
      <c r="E3569" s="312"/>
      <c r="F3569" s="312"/>
      <c r="G3569" s="328"/>
      <c r="H3569" s="337"/>
      <c r="I3569" s="334"/>
      <c r="J3569" s="314"/>
      <c r="K3569" s="449"/>
      <c r="M3569" s="349" t="str">
        <f>N3569&amp;AS[[#This Row],[Insurer Code]]&amp;"; "&amp;O3569&amp;AS[[#This Row],[Reporting Year]]&amp;"; "&amp;P3569&amp;AS[[#This Row],[Insurance Category Code]]&amp;"; "&amp;Q3569&amp;AS[[#This Row],[Large Provider Entity Code]]&amp;"; "&amp;R3569&amp;AS[[#This Row],[Age Band Code]]&amp;"; "&amp;S3569&amp;AS[[#This Row],[Sex Code]]</f>
        <v xml:space="preserve">Insurer Code ; Reporting Year ; Insurance Category Code ; Large Provider Entity Code ; Age Band Code ; Sex Code </v>
      </c>
      <c r="N3569" s="345" t="s">
        <v>207</v>
      </c>
      <c r="O3569" s="345" t="s">
        <v>208</v>
      </c>
      <c r="P3569" s="345" t="s">
        <v>209</v>
      </c>
      <c r="Q3569" s="345" t="s">
        <v>210</v>
      </c>
      <c r="R3569" s="345" t="s">
        <v>223</v>
      </c>
      <c r="S3569" s="345" t="s">
        <v>224</v>
      </c>
    </row>
    <row r="3570" spans="1:19" x14ac:dyDescent="0.25">
      <c r="A3570" s="311"/>
      <c r="B3570" s="312"/>
      <c r="C3570" s="312"/>
      <c r="D3570" s="312"/>
      <c r="E3570" s="312"/>
      <c r="F3570" s="312"/>
      <c r="G3570" s="328"/>
      <c r="H3570" s="337"/>
      <c r="I3570" s="334"/>
      <c r="J3570" s="314"/>
      <c r="K3570" s="449"/>
      <c r="M3570" s="349" t="str">
        <f>N3570&amp;AS[[#This Row],[Insurer Code]]&amp;"; "&amp;O3570&amp;AS[[#This Row],[Reporting Year]]&amp;"; "&amp;P3570&amp;AS[[#This Row],[Insurance Category Code]]&amp;"; "&amp;Q3570&amp;AS[[#This Row],[Large Provider Entity Code]]&amp;"; "&amp;R3570&amp;AS[[#This Row],[Age Band Code]]&amp;"; "&amp;S3570&amp;AS[[#This Row],[Sex Code]]</f>
        <v xml:space="preserve">Insurer Code ; Reporting Year ; Insurance Category Code ; Large Provider Entity Code ; Age Band Code ; Sex Code </v>
      </c>
      <c r="N3570" s="345" t="s">
        <v>207</v>
      </c>
      <c r="O3570" s="345" t="s">
        <v>208</v>
      </c>
      <c r="P3570" s="345" t="s">
        <v>209</v>
      </c>
      <c r="Q3570" s="345" t="s">
        <v>210</v>
      </c>
      <c r="R3570" s="345" t="s">
        <v>223</v>
      </c>
      <c r="S3570" s="345" t="s">
        <v>224</v>
      </c>
    </row>
    <row r="3571" spans="1:19" x14ac:dyDescent="0.25">
      <c r="A3571" s="311"/>
      <c r="B3571" s="312"/>
      <c r="C3571" s="312"/>
      <c r="D3571" s="312"/>
      <c r="E3571" s="312"/>
      <c r="F3571" s="312"/>
      <c r="G3571" s="328"/>
      <c r="H3571" s="337"/>
      <c r="I3571" s="334"/>
      <c r="J3571" s="314"/>
      <c r="K3571" s="449"/>
      <c r="M3571" s="349" t="str">
        <f>N3571&amp;AS[[#This Row],[Insurer Code]]&amp;"; "&amp;O3571&amp;AS[[#This Row],[Reporting Year]]&amp;"; "&amp;P3571&amp;AS[[#This Row],[Insurance Category Code]]&amp;"; "&amp;Q3571&amp;AS[[#This Row],[Large Provider Entity Code]]&amp;"; "&amp;R3571&amp;AS[[#This Row],[Age Band Code]]&amp;"; "&amp;S3571&amp;AS[[#This Row],[Sex Code]]</f>
        <v xml:space="preserve">Insurer Code ; Reporting Year ; Insurance Category Code ; Large Provider Entity Code ; Age Band Code ; Sex Code </v>
      </c>
      <c r="N3571" s="345" t="s">
        <v>207</v>
      </c>
      <c r="O3571" s="345" t="s">
        <v>208</v>
      </c>
      <c r="P3571" s="345" t="s">
        <v>209</v>
      </c>
      <c r="Q3571" s="345" t="s">
        <v>210</v>
      </c>
      <c r="R3571" s="345" t="s">
        <v>223</v>
      </c>
      <c r="S3571" s="345" t="s">
        <v>224</v>
      </c>
    </row>
    <row r="3572" spans="1:19" x14ac:dyDescent="0.25">
      <c r="A3572" s="311"/>
      <c r="B3572" s="312"/>
      <c r="C3572" s="312"/>
      <c r="D3572" s="312"/>
      <c r="E3572" s="312"/>
      <c r="F3572" s="312"/>
      <c r="G3572" s="328"/>
      <c r="H3572" s="337"/>
      <c r="I3572" s="334"/>
      <c r="J3572" s="314"/>
      <c r="K3572" s="449"/>
      <c r="M3572" s="349" t="str">
        <f>N3572&amp;AS[[#This Row],[Insurer Code]]&amp;"; "&amp;O3572&amp;AS[[#This Row],[Reporting Year]]&amp;"; "&amp;P3572&amp;AS[[#This Row],[Insurance Category Code]]&amp;"; "&amp;Q3572&amp;AS[[#This Row],[Large Provider Entity Code]]&amp;"; "&amp;R3572&amp;AS[[#This Row],[Age Band Code]]&amp;"; "&amp;S3572&amp;AS[[#This Row],[Sex Code]]</f>
        <v xml:space="preserve">Insurer Code ; Reporting Year ; Insurance Category Code ; Large Provider Entity Code ; Age Band Code ; Sex Code </v>
      </c>
      <c r="N3572" s="345" t="s">
        <v>207</v>
      </c>
      <c r="O3572" s="345" t="s">
        <v>208</v>
      </c>
      <c r="P3572" s="345" t="s">
        <v>209</v>
      </c>
      <c r="Q3572" s="345" t="s">
        <v>210</v>
      </c>
      <c r="R3572" s="345" t="s">
        <v>223</v>
      </c>
      <c r="S3572" s="345" t="s">
        <v>224</v>
      </c>
    </row>
    <row r="3573" spans="1:19" x14ac:dyDescent="0.25">
      <c r="A3573" s="311"/>
      <c r="B3573" s="312"/>
      <c r="C3573" s="312"/>
      <c r="D3573" s="312"/>
      <c r="E3573" s="312"/>
      <c r="F3573" s="312"/>
      <c r="G3573" s="328"/>
      <c r="H3573" s="337"/>
      <c r="I3573" s="334"/>
      <c r="J3573" s="314"/>
      <c r="K3573" s="449"/>
      <c r="M3573" s="349" t="str">
        <f>N3573&amp;AS[[#This Row],[Insurer Code]]&amp;"; "&amp;O3573&amp;AS[[#This Row],[Reporting Year]]&amp;"; "&amp;P3573&amp;AS[[#This Row],[Insurance Category Code]]&amp;"; "&amp;Q3573&amp;AS[[#This Row],[Large Provider Entity Code]]&amp;"; "&amp;R3573&amp;AS[[#This Row],[Age Band Code]]&amp;"; "&amp;S3573&amp;AS[[#This Row],[Sex Code]]</f>
        <v xml:space="preserve">Insurer Code ; Reporting Year ; Insurance Category Code ; Large Provider Entity Code ; Age Band Code ; Sex Code </v>
      </c>
      <c r="N3573" s="345" t="s">
        <v>207</v>
      </c>
      <c r="O3573" s="345" t="s">
        <v>208</v>
      </c>
      <c r="P3573" s="345" t="s">
        <v>209</v>
      </c>
      <c r="Q3573" s="345" t="s">
        <v>210</v>
      </c>
      <c r="R3573" s="345" t="s">
        <v>223</v>
      </c>
      <c r="S3573" s="345" t="s">
        <v>224</v>
      </c>
    </row>
    <row r="3574" spans="1:19" x14ac:dyDescent="0.25">
      <c r="A3574" s="311"/>
      <c r="B3574" s="312"/>
      <c r="C3574" s="312"/>
      <c r="D3574" s="312"/>
      <c r="E3574" s="312"/>
      <c r="F3574" s="312"/>
      <c r="G3574" s="328"/>
      <c r="H3574" s="337"/>
      <c r="I3574" s="334"/>
      <c r="J3574" s="314"/>
      <c r="K3574" s="449"/>
      <c r="M3574" s="349" t="str">
        <f>N3574&amp;AS[[#This Row],[Insurer Code]]&amp;"; "&amp;O3574&amp;AS[[#This Row],[Reporting Year]]&amp;"; "&amp;P3574&amp;AS[[#This Row],[Insurance Category Code]]&amp;"; "&amp;Q3574&amp;AS[[#This Row],[Large Provider Entity Code]]&amp;"; "&amp;R3574&amp;AS[[#This Row],[Age Band Code]]&amp;"; "&amp;S3574&amp;AS[[#This Row],[Sex Code]]</f>
        <v xml:space="preserve">Insurer Code ; Reporting Year ; Insurance Category Code ; Large Provider Entity Code ; Age Band Code ; Sex Code </v>
      </c>
      <c r="N3574" s="345" t="s">
        <v>207</v>
      </c>
      <c r="O3574" s="345" t="s">
        <v>208</v>
      </c>
      <c r="P3574" s="345" t="s">
        <v>209</v>
      </c>
      <c r="Q3574" s="345" t="s">
        <v>210</v>
      </c>
      <c r="R3574" s="345" t="s">
        <v>223</v>
      </c>
      <c r="S3574" s="345" t="s">
        <v>224</v>
      </c>
    </row>
    <row r="3575" spans="1:19" x14ac:dyDescent="0.25">
      <c r="A3575" s="311"/>
      <c r="B3575" s="312"/>
      <c r="C3575" s="312"/>
      <c r="D3575" s="312"/>
      <c r="E3575" s="312"/>
      <c r="F3575" s="312"/>
      <c r="G3575" s="328"/>
      <c r="H3575" s="337"/>
      <c r="I3575" s="334"/>
      <c r="J3575" s="314"/>
      <c r="K3575" s="449"/>
      <c r="M3575" s="349" t="str">
        <f>N3575&amp;AS[[#This Row],[Insurer Code]]&amp;"; "&amp;O3575&amp;AS[[#This Row],[Reporting Year]]&amp;"; "&amp;P3575&amp;AS[[#This Row],[Insurance Category Code]]&amp;"; "&amp;Q3575&amp;AS[[#This Row],[Large Provider Entity Code]]&amp;"; "&amp;R3575&amp;AS[[#This Row],[Age Band Code]]&amp;"; "&amp;S3575&amp;AS[[#This Row],[Sex Code]]</f>
        <v xml:space="preserve">Insurer Code ; Reporting Year ; Insurance Category Code ; Large Provider Entity Code ; Age Band Code ; Sex Code </v>
      </c>
      <c r="N3575" s="345" t="s">
        <v>207</v>
      </c>
      <c r="O3575" s="345" t="s">
        <v>208</v>
      </c>
      <c r="P3575" s="345" t="s">
        <v>209</v>
      </c>
      <c r="Q3575" s="345" t="s">
        <v>210</v>
      </c>
      <c r="R3575" s="345" t="s">
        <v>223</v>
      </c>
      <c r="S3575" s="345" t="s">
        <v>224</v>
      </c>
    </row>
    <row r="3576" spans="1:19" x14ac:dyDescent="0.25">
      <c r="A3576" s="311"/>
      <c r="B3576" s="312"/>
      <c r="C3576" s="312"/>
      <c r="D3576" s="312"/>
      <c r="E3576" s="312"/>
      <c r="F3576" s="312"/>
      <c r="G3576" s="328"/>
      <c r="H3576" s="337"/>
      <c r="I3576" s="334"/>
      <c r="J3576" s="314"/>
      <c r="K3576" s="449"/>
      <c r="M3576" s="349" t="str">
        <f>N3576&amp;AS[[#This Row],[Insurer Code]]&amp;"; "&amp;O3576&amp;AS[[#This Row],[Reporting Year]]&amp;"; "&amp;P3576&amp;AS[[#This Row],[Insurance Category Code]]&amp;"; "&amp;Q3576&amp;AS[[#This Row],[Large Provider Entity Code]]&amp;"; "&amp;R3576&amp;AS[[#This Row],[Age Band Code]]&amp;"; "&amp;S3576&amp;AS[[#This Row],[Sex Code]]</f>
        <v xml:space="preserve">Insurer Code ; Reporting Year ; Insurance Category Code ; Large Provider Entity Code ; Age Band Code ; Sex Code </v>
      </c>
      <c r="N3576" s="345" t="s">
        <v>207</v>
      </c>
      <c r="O3576" s="345" t="s">
        <v>208</v>
      </c>
      <c r="P3576" s="345" t="s">
        <v>209</v>
      </c>
      <c r="Q3576" s="345" t="s">
        <v>210</v>
      </c>
      <c r="R3576" s="345" t="s">
        <v>223</v>
      </c>
      <c r="S3576" s="345" t="s">
        <v>224</v>
      </c>
    </row>
    <row r="3577" spans="1:19" x14ac:dyDescent="0.25">
      <c r="A3577" s="311"/>
      <c r="B3577" s="312"/>
      <c r="C3577" s="312"/>
      <c r="D3577" s="312"/>
      <c r="E3577" s="312"/>
      <c r="F3577" s="312"/>
      <c r="G3577" s="328"/>
      <c r="H3577" s="337"/>
      <c r="I3577" s="334"/>
      <c r="J3577" s="314"/>
      <c r="K3577" s="449"/>
      <c r="M3577" s="349" t="str">
        <f>N3577&amp;AS[[#This Row],[Insurer Code]]&amp;"; "&amp;O3577&amp;AS[[#This Row],[Reporting Year]]&amp;"; "&amp;P3577&amp;AS[[#This Row],[Insurance Category Code]]&amp;"; "&amp;Q3577&amp;AS[[#This Row],[Large Provider Entity Code]]&amp;"; "&amp;R3577&amp;AS[[#This Row],[Age Band Code]]&amp;"; "&amp;S3577&amp;AS[[#This Row],[Sex Code]]</f>
        <v xml:space="preserve">Insurer Code ; Reporting Year ; Insurance Category Code ; Large Provider Entity Code ; Age Band Code ; Sex Code </v>
      </c>
      <c r="N3577" s="345" t="s">
        <v>207</v>
      </c>
      <c r="O3577" s="345" t="s">
        <v>208</v>
      </c>
      <c r="P3577" s="345" t="s">
        <v>209</v>
      </c>
      <c r="Q3577" s="345" t="s">
        <v>210</v>
      </c>
      <c r="R3577" s="345" t="s">
        <v>223</v>
      </c>
      <c r="S3577" s="345" t="s">
        <v>224</v>
      </c>
    </row>
    <row r="3578" spans="1:19" x14ac:dyDescent="0.25">
      <c r="A3578" s="311"/>
      <c r="B3578" s="312"/>
      <c r="C3578" s="312"/>
      <c r="D3578" s="312"/>
      <c r="E3578" s="312"/>
      <c r="F3578" s="312"/>
      <c r="G3578" s="328"/>
      <c r="H3578" s="337"/>
      <c r="I3578" s="334"/>
      <c r="J3578" s="314"/>
      <c r="K3578" s="449"/>
      <c r="M3578" s="349" t="str">
        <f>N3578&amp;AS[[#This Row],[Insurer Code]]&amp;"; "&amp;O3578&amp;AS[[#This Row],[Reporting Year]]&amp;"; "&amp;P3578&amp;AS[[#This Row],[Insurance Category Code]]&amp;"; "&amp;Q3578&amp;AS[[#This Row],[Large Provider Entity Code]]&amp;"; "&amp;R3578&amp;AS[[#This Row],[Age Band Code]]&amp;"; "&amp;S3578&amp;AS[[#This Row],[Sex Code]]</f>
        <v xml:space="preserve">Insurer Code ; Reporting Year ; Insurance Category Code ; Large Provider Entity Code ; Age Band Code ; Sex Code </v>
      </c>
      <c r="N3578" s="345" t="s">
        <v>207</v>
      </c>
      <c r="O3578" s="345" t="s">
        <v>208</v>
      </c>
      <c r="P3578" s="345" t="s">
        <v>209</v>
      </c>
      <c r="Q3578" s="345" t="s">
        <v>210</v>
      </c>
      <c r="R3578" s="345" t="s">
        <v>223</v>
      </c>
      <c r="S3578" s="345" t="s">
        <v>224</v>
      </c>
    </row>
    <row r="3579" spans="1:19" x14ac:dyDescent="0.25">
      <c r="A3579" s="311"/>
      <c r="B3579" s="312"/>
      <c r="C3579" s="312"/>
      <c r="D3579" s="312"/>
      <c r="E3579" s="312"/>
      <c r="F3579" s="312"/>
      <c r="G3579" s="328"/>
      <c r="H3579" s="337"/>
      <c r="I3579" s="334"/>
      <c r="J3579" s="314"/>
      <c r="K3579" s="449"/>
      <c r="M3579" s="349" t="str">
        <f>N3579&amp;AS[[#This Row],[Insurer Code]]&amp;"; "&amp;O3579&amp;AS[[#This Row],[Reporting Year]]&amp;"; "&amp;P3579&amp;AS[[#This Row],[Insurance Category Code]]&amp;"; "&amp;Q3579&amp;AS[[#This Row],[Large Provider Entity Code]]&amp;"; "&amp;R3579&amp;AS[[#This Row],[Age Band Code]]&amp;"; "&amp;S3579&amp;AS[[#This Row],[Sex Code]]</f>
        <v xml:space="preserve">Insurer Code ; Reporting Year ; Insurance Category Code ; Large Provider Entity Code ; Age Band Code ; Sex Code </v>
      </c>
      <c r="N3579" s="345" t="s">
        <v>207</v>
      </c>
      <c r="O3579" s="345" t="s">
        <v>208</v>
      </c>
      <c r="P3579" s="345" t="s">
        <v>209</v>
      </c>
      <c r="Q3579" s="345" t="s">
        <v>210</v>
      </c>
      <c r="R3579" s="345" t="s">
        <v>223</v>
      </c>
      <c r="S3579" s="345" t="s">
        <v>224</v>
      </c>
    </row>
    <row r="3580" spans="1:19" x14ac:dyDescent="0.25">
      <c r="A3580" s="311"/>
      <c r="B3580" s="312"/>
      <c r="C3580" s="312"/>
      <c r="D3580" s="312"/>
      <c r="E3580" s="312"/>
      <c r="F3580" s="312"/>
      <c r="G3580" s="328"/>
      <c r="H3580" s="337"/>
      <c r="I3580" s="334"/>
      <c r="J3580" s="314"/>
      <c r="K3580" s="449"/>
      <c r="M3580" s="349" t="str">
        <f>N3580&amp;AS[[#This Row],[Insurer Code]]&amp;"; "&amp;O3580&amp;AS[[#This Row],[Reporting Year]]&amp;"; "&amp;P3580&amp;AS[[#This Row],[Insurance Category Code]]&amp;"; "&amp;Q3580&amp;AS[[#This Row],[Large Provider Entity Code]]&amp;"; "&amp;R3580&amp;AS[[#This Row],[Age Band Code]]&amp;"; "&amp;S3580&amp;AS[[#This Row],[Sex Code]]</f>
        <v xml:space="preserve">Insurer Code ; Reporting Year ; Insurance Category Code ; Large Provider Entity Code ; Age Band Code ; Sex Code </v>
      </c>
      <c r="N3580" s="345" t="s">
        <v>207</v>
      </c>
      <c r="O3580" s="345" t="s">
        <v>208</v>
      </c>
      <c r="P3580" s="345" t="s">
        <v>209</v>
      </c>
      <c r="Q3580" s="345" t="s">
        <v>210</v>
      </c>
      <c r="R3580" s="345" t="s">
        <v>223</v>
      </c>
      <c r="S3580" s="345" t="s">
        <v>224</v>
      </c>
    </row>
    <row r="3581" spans="1:19" x14ac:dyDescent="0.25">
      <c r="A3581" s="311"/>
      <c r="B3581" s="312"/>
      <c r="C3581" s="312"/>
      <c r="D3581" s="312"/>
      <c r="E3581" s="312"/>
      <c r="F3581" s="312"/>
      <c r="G3581" s="328"/>
      <c r="H3581" s="337"/>
      <c r="I3581" s="334"/>
      <c r="J3581" s="314"/>
      <c r="K3581" s="449"/>
      <c r="M3581" s="349" t="str">
        <f>N3581&amp;AS[[#This Row],[Insurer Code]]&amp;"; "&amp;O3581&amp;AS[[#This Row],[Reporting Year]]&amp;"; "&amp;P3581&amp;AS[[#This Row],[Insurance Category Code]]&amp;"; "&amp;Q3581&amp;AS[[#This Row],[Large Provider Entity Code]]&amp;"; "&amp;R3581&amp;AS[[#This Row],[Age Band Code]]&amp;"; "&amp;S3581&amp;AS[[#This Row],[Sex Code]]</f>
        <v xml:space="preserve">Insurer Code ; Reporting Year ; Insurance Category Code ; Large Provider Entity Code ; Age Band Code ; Sex Code </v>
      </c>
      <c r="N3581" s="345" t="s">
        <v>207</v>
      </c>
      <c r="O3581" s="345" t="s">
        <v>208</v>
      </c>
      <c r="P3581" s="345" t="s">
        <v>209</v>
      </c>
      <c r="Q3581" s="345" t="s">
        <v>210</v>
      </c>
      <c r="R3581" s="345" t="s">
        <v>223</v>
      </c>
      <c r="S3581" s="345" t="s">
        <v>224</v>
      </c>
    </row>
    <row r="3582" spans="1:19" x14ac:dyDescent="0.25">
      <c r="A3582" s="311"/>
      <c r="B3582" s="312"/>
      <c r="C3582" s="312"/>
      <c r="D3582" s="312"/>
      <c r="E3582" s="312"/>
      <c r="F3582" s="312"/>
      <c r="G3582" s="328"/>
      <c r="H3582" s="337"/>
      <c r="I3582" s="334"/>
      <c r="J3582" s="314"/>
      <c r="K3582" s="449"/>
      <c r="M3582" s="349" t="str">
        <f>N3582&amp;AS[[#This Row],[Insurer Code]]&amp;"; "&amp;O3582&amp;AS[[#This Row],[Reporting Year]]&amp;"; "&amp;P3582&amp;AS[[#This Row],[Insurance Category Code]]&amp;"; "&amp;Q3582&amp;AS[[#This Row],[Large Provider Entity Code]]&amp;"; "&amp;R3582&amp;AS[[#This Row],[Age Band Code]]&amp;"; "&amp;S3582&amp;AS[[#This Row],[Sex Code]]</f>
        <v xml:space="preserve">Insurer Code ; Reporting Year ; Insurance Category Code ; Large Provider Entity Code ; Age Band Code ; Sex Code </v>
      </c>
      <c r="N3582" s="345" t="s">
        <v>207</v>
      </c>
      <c r="O3582" s="345" t="s">
        <v>208</v>
      </c>
      <c r="P3582" s="345" t="s">
        <v>209</v>
      </c>
      <c r="Q3582" s="345" t="s">
        <v>210</v>
      </c>
      <c r="R3582" s="345" t="s">
        <v>223</v>
      </c>
      <c r="S3582" s="345" t="s">
        <v>224</v>
      </c>
    </row>
    <row r="3583" spans="1:19" x14ac:dyDescent="0.25">
      <c r="A3583" s="311"/>
      <c r="B3583" s="312"/>
      <c r="C3583" s="312"/>
      <c r="D3583" s="312"/>
      <c r="E3583" s="312"/>
      <c r="F3583" s="312"/>
      <c r="G3583" s="328"/>
      <c r="H3583" s="337"/>
      <c r="I3583" s="334"/>
      <c r="J3583" s="314"/>
      <c r="K3583" s="449"/>
      <c r="M3583" s="349" t="str">
        <f>N3583&amp;AS[[#This Row],[Insurer Code]]&amp;"; "&amp;O3583&amp;AS[[#This Row],[Reporting Year]]&amp;"; "&amp;P3583&amp;AS[[#This Row],[Insurance Category Code]]&amp;"; "&amp;Q3583&amp;AS[[#This Row],[Large Provider Entity Code]]&amp;"; "&amp;R3583&amp;AS[[#This Row],[Age Band Code]]&amp;"; "&amp;S3583&amp;AS[[#This Row],[Sex Code]]</f>
        <v xml:space="preserve">Insurer Code ; Reporting Year ; Insurance Category Code ; Large Provider Entity Code ; Age Band Code ; Sex Code </v>
      </c>
      <c r="N3583" s="345" t="s">
        <v>207</v>
      </c>
      <c r="O3583" s="345" t="s">
        <v>208</v>
      </c>
      <c r="P3583" s="345" t="s">
        <v>209</v>
      </c>
      <c r="Q3583" s="345" t="s">
        <v>210</v>
      </c>
      <c r="R3583" s="345" t="s">
        <v>223</v>
      </c>
      <c r="S3583" s="345" t="s">
        <v>224</v>
      </c>
    </row>
    <row r="3584" spans="1:19" x14ac:dyDescent="0.25">
      <c r="A3584" s="311"/>
      <c r="B3584" s="312"/>
      <c r="C3584" s="312"/>
      <c r="D3584" s="312"/>
      <c r="E3584" s="312"/>
      <c r="F3584" s="312"/>
      <c r="G3584" s="328"/>
      <c r="H3584" s="337"/>
      <c r="I3584" s="334"/>
      <c r="J3584" s="314"/>
      <c r="K3584" s="449"/>
      <c r="M3584" s="349" t="str">
        <f>N3584&amp;AS[[#This Row],[Insurer Code]]&amp;"; "&amp;O3584&amp;AS[[#This Row],[Reporting Year]]&amp;"; "&amp;P3584&amp;AS[[#This Row],[Insurance Category Code]]&amp;"; "&amp;Q3584&amp;AS[[#This Row],[Large Provider Entity Code]]&amp;"; "&amp;R3584&amp;AS[[#This Row],[Age Band Code]]&amp;"; "&amp;S3584&amp;AS[[#This Row],[Sex Code]]</f>
        <v xml:space="preserve">Insurer Code ; Reporting Year ; Insurance Category Code ; Large Provider Entity Code ; Age Band Code ; Sex Code </v>
      </c>
      <c r="N3584" s="345" t="s">
        <v>207</v>
      </c>
      <c r="O3584" s="345" t="s">
        <v>208</v>
      </c>
      <c r="P3584" s="345" t="s">
        <v>209</v>
      </c>
      <c r="Q3584" s="345" t="s">
        <v>210</v>
      </c>
      <c r="R3584" s="345" t="s">
        <v>223</v>
      </c>
      <c r="S3584" s="345" t="s">
        <v>224</v>
      </c>
    </row>
    <row r="3585" spans="1:19" x14ac:dyDescent="0.25">
      <c r="A3585" s="311"/>
      <c r="B3585" s="312"/>
      <c r="C3585" s="312"/>
      <c r="D3585" s="312"/>
      <c r="E3585" s="312"/>
      <c r="F3585" s="312"/>
      <c r="G3585" s="328"/>
      <c r="H3585" s="337"/>
      <c r="I3585" s="334"/>
      <c r="J3585" s="314"/>
      <c r="K3585" s="449"/>
      <c r="M3585" s="349" t="str">
        <f>N3585&amp;AS[[#This Row],[Insurer Code]]&amp;"; "&amp;O3585&amp;AS[[#This Row],[Reporting Year]]&amp;"; "&amp;P3585&amp;AS[[#This Row],[Insurance Category Code]]&amp;"; "&amp;Q3585&amp;AS[[#This Row],[Large Provider Entity Code]]&amp;"; "&amp;R3585&amp;AS[[#This Row],[Age Band Code]]&amp;"; "&amp;S3585&amp;AS[[#This Row],[Sex Code]]</f>
        <v xml:space="preserve">Insurer Code ; Reporting Year ; Insurance Category Code ; Large Provider Entity Code ; Age Band Code ; Sex Code </v>
      </c>
      <c r="N3585" s="345" t="s">
        <v>207</v>
      </c>
      <c r="O3585" s="345" t="s">
        <v>208</v>
      </c>
      <c r="P3585" s="345" t="s">
        <v>209</v>
      </c>
      <c r="Q3585" s="345" t="s">
        <v>210</v>
      </c>
      <c r="R3585" s="345" t="s">
        <v>223</v>
      </c>
      <c r="S3585" s="345" t="s">
        <v>224</v>
      </c>
    </row>
    <row r="3586" spans="1:19" x14ac:dyDescent="0.25">
      <c r="A3586" s="311"/>
      <c r="B3586" s="312"/>
      <c r="C3586" s="312"/>
      <c r="D3586" s="312"/>
      <c r="E3586" s="312"/>
      <c r="F3586" s="312"/>
      <c r="G3586" s="328"/>
      <c r="H3586" s="337"/>
      <c r="I3586" s="334"/>
      <c r="J3586" s="314"/>
      <c r="K3586" s="449"/>
      <c r="M3586" s="349" t="str">
        <f>N3586&amp;AS[[#This Row],[Insurer Code]]&amp;"; "&amp;O3586&amp;AS[[#This Row],[Reporting Year]]&amp;"; "&amp;P3586&amp;AS[[#This Row],[Insurance Category Code]]&amp;"; "&amp;Q3586&amp;AS[[#This Row],[Large Provider Entity Code]]&amp;"; "&amp;R3586&amp;AS[[#This Row],[Age Band Code]]&amp;"; "&amp;S3586&amp;AS[[#This Row],[Sex Code]]</f>
        <v xml:space="preserve">Insurer Code ; Reporting Year ; Insurance Category Code ; Large Provider Entity Code ; Age Band Code ; Sex Code </v>
      </c>
      <c r="N3586" s="345" t="s">
        <v>207</v>
      </c>
      <c r="O3586" s="345" t="s">
        <v>208</v>
      </c>
      <c r="P3586" s="345" t="s">
        <v>209</v>
      </c>
      <c r="Q3586" s="345" t="s">
        <v>210</v>
      </c>
      <c r="R3586" s="345" t="s">
        <v>223</v>
      </c>
      <c r="S3586" s="345" t="s">
        <v>224</v>
      </c>
    </row>
    <row r="3587" spans="1:19" x14ac:dyDescent="0.25">
      <c r="A3587" s="311"/>
      <c r="B3587" s="312"/>
      <c r="C3587" s="312"/>
      <c r="D3587" s="312"/>
      <c r="E3587" s="312"/>
      <c r="F3587" s="312"/>
      <c r="G3587" s="328"/>
      <c r="H3587" s="337"/>
      <c r="I3587" s="334"/>
      <c r="J3587" s="314"/>
      <c r="K3587" s="449"/>
      <c r="M3587" s="349" t="str">
        <f>N3587&amp;AS[[#This Row],[Insurer Code]]&amp;"; "&amp;O3587&amp;AS[[#This Row],[Reporting Year]]&amp;"; "&amp;P3587&amp;AS[[#This Row],[Insurance Category Code]]&amp;"; "&amp;Q3587&amp;AS[[#This Row],[Large Provider Entity Code]]&amp;"; "&amp;R3587&amp;AS[[#This Row],[Age Band Code]]&amp;"; "&amp;S3587&amp;AS[[#This Row],[Sex Code]]</f>
        <v xml:space="preserve">Insurer Code ; Reporting Year ; Insurance Category Code ; Large Provider Entity Code ; Age Band Code ; Sex Code </v>
      </c>
      <c r="N3587" s="345" t="s">
        <v>207</v>
      </c>
      <c r="O3587" s="345" t="s">
        <v>208</v>
      </c>
      <c r="P3587" s="345" t="s">
        <v>209</v>
      </c>
      <c r="Q3587" s="345" t="s">
        <v>210</v>
      </c>
      <c r="R3587" s="345" t="s">
        <v>223</v>
      </c>
      <c r="S3587" s="345" t="s">
        <v>224</v>
      </c>
    </row>
    <row r="3588" spans="1:19" x14ac:dyDescent="0.25">
      <c r="A3588" s="311"/>
      <c r="B3588" s="312"/>
      <c r="C3588" s="312"/>
      <c r="D3588" s="312"/>
      <c r="E3588" s="312"/>
      <c r="F3588" s="312"/>
      <c r="G3588" s="328"/>
      <c r="H3588" s="337"/>
      <c r="I3588" s="334"/>
      <c r="J3588" s="314"/>
      <c r="K3588" s="449"/>
      <c r="M3588" s="349" t="str">
        <f>N3588&amp;AS[[#This Row],[Insurer Code]]&amp;"; "&amp;O3588&amp;AS[[#This Row],[Reporting Year]]&amp;"; "&amp;P3588&amp;AS[[#This Row],[Insurance Category Code]]&amp;"; "&amp;Q3588&amp;AS[[#This Row],[Large Provider Entity Code]]&amp;"; "&amp;R3588&amp;AS[[#This Row],[Age Band Code]]&amp;"; "&amp;S3588&amp;AS[[#This Row],[Sex Code]]</f>
        <v xml:space="preserve">Insurer Code ; Reporting Year ; Insurance Category Code ; Large Provider Entity Code ; Age Band Code ; Sex Code </v>
      </c>
      <c r="N3588" s="345" t="s">
        <v>207</v>
      </c>
      <c r="O3588" s="345" t="s">
        <v>208</v>
      </c>
      <c r="P3588" s="345" t="s">
        <v>209</v>
      </c>
      <c r="Q3588" s="345" t="s">
        <v>210</v>
      </c>
      <c r="R3588" s="345" t="s">
        <v>223</v>
      </c>
      <c r="S3588" s="345" t="s">
        <v>224</v>
      </c>
    </row>
    <row r="3589" spans="1:19" x14ac:dyDescent="0.25">
      <c r="A3589" s="311"/>
      <c r="B3589" s="312"/>
      <c r="C3589" s="312"/>
      <c r="D3589" s="312"/>
      <c r="E3589" s="312"/>
      <c r="F3589" s="312"/>
      <c r="G3589" s="328"/>
      <c r="H3589" s="337"/>
      <c r="I3589" s="334"/>
      <c r="J3589" s="314"/>
      <c r="K3589" s="449"/>
      <c r="M3589" s="349" t="str">
        <f>N3589&amp;AS[[#This Row],[Insurer Code]]&amp;"; "&amp;O3589&amp;AS[[#This Row],[Reporting Year]]&amp;"; "&amp;P3589&amp;AS[[#This Row],[Insurance Category Code]]&amp;"; "&amp;Q3589&amp;AS[[#This Row],[Large Provider Entity Code]]&amp;"; "&amp;R3589&amp;AS[[#This Row],[Age Band Code]]&amp;"; "&amp;S3589&amp;AS[[#This Row],[Sex Code]]</f>
        <v xml:space="preserve">Insurer Code ; Reporting Year ; Insurance Category Code ; Large Provider Entity Code ; Age Band Code ; Sex Code </v>
      </c>
      <c r="N3589" s="345" t="s">
        <v>207</v>
      </c>
      <c r="O3589" s="345" t="s">
        <v>208</v>
      </c>
      <c r="P3589" s="345" t="s">
        <v>209</v>
      </c>
      <c r="Q3589" s="345" t="s">
        <v>210</v>
      </c>
      <c r="R3589" s="345" t="s">
        <v>223</v>
      </c>
      <c r="S3589" s="345" t="s">
        <v>224</v>
      </c>
    </row>
    <row r="3590" spans="1:19" x14ac:dyDescent="0.25">
      <c r="A3590" s="311"/>
      <c r="B3590" s="312"/>
      <c r="C3590" s="312"/>
      <c r="D3590" s="312"/>
      <c r="E3590" s="312"/>
      <c r="F3590" s="312"/>
      <c r="G3590" s="328"/>
      <c r="H3590" s="337"/>
      <c r="I3590" s="334"/>
      <c r="J3590" s="314"/>
      <c r="K3590" s="449"/>
      <c r="M3590" s="349" t="str">
        <f>N3590&amp;AS[[#This Row],[Insurer Code]]&amp;"; "&amp;O3590&amp;AS[[#This Row],[Reporting Year]]&amp;"; "&amp;P3590&amp;AS[[#This Row],[Insurance Category Code]]&amp;"; "&amp;Q3590&amp;AS[[#This Row],[Large Provider Entity Code]]&amp;"; "&amp;R3590&amp;AS[[#This Row],[Age Band Code]]&amp;"; "&amp;S3590&amp;AS[[#This Row],[Sex Code]]</f>
        <v xml:space="preserve">Insurer Code ; Reporting Year ; Insurance Category Code ; Large Provider Entity Code ; Age Band Code ; Sex Code </v>
      </c>
      <c r="N3590" s="345" t="s">
        <v>207</v>
      </c>
      <c r="O3590" s="345" t="s">
        <v>208</v>
      </c>
      <c r="P3590" s="345" t="s">
        <v>209</v>
      </c>
      <c r="Q3590" s="345" t="s">
        <v>210</v>
      </c>
      <c r="R3590" s="345" t="s">
        <v>223</v>
      </c>
      <c r="S3590" s="345" t="s">
        <v>224</v>
      </c>
    </row>
    <row r="3591" spans="1:19" x14ac:dyDescent="0.25">
      <c r="A3591" s="311"/>
      <c r="B3591" s="312"/>
      <c r="C3591" s="312"/>
      <c r="D3591" s="312"/>
      <c r="E3591" s="312"/>
      <c r="F3591" s="312"/>
      <c r="G3591" s="328"/>
      <c r="H3591" s="337"/>
      <c r="I3591" s="334"/>
      <c r="J3591" s="314"/>
      <c r="K3591" s="449"/>
      <c r="M3591" s="349" t="str">
        <f>N3591&amp;AS[[#This Row],[Insurer Code]]&amp;"; "&amp;O3591&amp;AS[[#This Row],[Reporting Year]]&amp;"; "&amp;P3591&amp;AS[[#This Row],[Insurance Category Code]]&amp;"; "&amp;Q3591&amp;AS[[#This Row],[Large Provider Entity Code]]&amp;"; "&amp;R3591&amp;AS[[#This Row],[Age Band Code]]&amp;"; "&amp;S3591&amp;AS[[#This Row],[Sex Code]]</f>
        <v xml:space="preserve">Insurer Code ; Reporting Year ; Insurance Category Code ; Large Provider Entity Code ; Age Band Code ; Sex Code </v>
      </c>
      <c r="N3591" s="345" t="s">
        <v>207</v>
      </c>
      <c r="O3591" s="345" t="s">
        <v>208</v>
      </c>
      <c r="P3591" s="345" t="s">
        <v>209</v>
      </c>
      <c r="Q3591" s="345" t="s">
        <v>210</v>
      </c>
      <c r="R3591" s="345" t="s">
        <v>223</v>
      </c>
      <c r="S3591" s="345" t="s">
        <v>224</v>
      </c>
    </row>
    <row r="3592" spans="1:19" x14ac:dyDescent="0.25">
      <c r="A3592" s="311"/>
      <c r="B3592" s="312"/>
      <c r="C3592" s="312"/>
      <c r="D3592" s="312"/>
      <c r="E3592" s="312"/>
      <c r="F3592" s="312"/>
      <c r="G3592" s="328"/>
      <c r="H3592" s="337"/>
      <c r="I3592" s="334"/>
      <c r="J3592" s="314"/>
      <c r="K3592" s="449"/>
      <c r="M3592" s="349" t="str">
        <f>N3592&amp;AS[[#This Row],[Insurer Code]]&amp;"; "&amp;O3592&amp;AS[[#This Row],[Reporting Year]]&amp;"; "&amp;P3592&amp;AS[[#This Row],[Insurance Category Code]]&amp;"; "&amp;Q3592&amp;AS[[#This Row],[Large Provider Entity Code]]&amp;"; "&amp;R3592&amp;AS[[#This Row],[Age Band Code]]&amp;"; "&amp;S3592&amp;AS[[#This Row],[Sex Code]]</f>
        <v xml:space="preserve">Insurer Code ; Reporting Year ; Insurance Category Code ; Large Provider Entity Code ; Age Band Code ; Sex Code </v>
      </c>
      <c r="N3592" s="345" t="s">
        <v>207</v>
      </c>
      <c r="O3592" s="345" t="s">
        <v>208</v>
      </c>
      <c r="P3592" s="345" t="s">
        <v>209</v>
      </c>
      <c r="Q3592" s="345" t="s">
        <v>210</v>
      </c>
      <c r="R3592" s="345" t="s">
        <v>223</v>
      </c>
      <c r="S3592" s="345" t="s">
        <v>224</v>
      </c>
    </row>
    <row r="3593" spans="1:19" x14ac:dyDescent="0.25">
      <c r="A3593" s="311"/>
      <c r="B3593" s="312"/>
      <c r="C3593" s="312"/>
      <c r="D3593" s="312"/>
      <c r="E3593" s="312"/>
      <c r="F3593" s="312"/>
      <c r="G3593" s="328"/>
      <c r="H3593" s="337"/>
      <c r="I3593" s="334"/>
      <c r="J3593" s="314"/>
      <c r="K3593" s="449"/>
      <c r="M3593" s="349" t="str">
        <f>N3593&amp;AS[[#This Row],[Insurer Code]]&amp;"; "&amp;O3593&amp;AS[[#This Row],[Reporting Year]]&amp;"; "&amp;P3593&amp;AS[[#This Row],[Insurance Category Code]]&amp;"; "&amp;Q3593&amp;AS[[#This Row],[Large Provider Entity Code]]&amp;"; "&amp;R3593&amp;AS[[#This Row],[Age Band Code]]&amp;"; "&amp;S3593&amp;AS[[#This Row],[Sex Code]]</f>
        <v xml:space="preserve">Insurer Code ; Reporting Year ; Insurance Category Code ; Large Provider Entity Code ; Age Band Code ; Sex Code </v>
      </c>
      <c r="N3593" s="345" t="s">
        <v>207</v>
      </c>
      <c r="O3593" s="345" t="s">
        <v>208</v>
      </c>
      <c r="P3593" s="345" t="s">
        <v>209</v>
      </c>
      <c r="Q3593" s="345" t="s">
        <v>210</v>
      </c>
      <c r="R3593" s="345" t="s">
        <v>223</v>
      </c>
      <c r="S3593" s="345" t="s">
        <v>224</v>
      </c>
    </row>
    <row r="3594" spans="1:19" x14ac:dyDescent="0.25">
      <c r="A3594" s="311"/>
      <c r="B3594" s="312"/>
      <c r="C3594" s="312"/>
      <c r="D3594" s="312"/>
      <c r="E3594" s="312"/>
      <c r="F3594" s="312"/>
      <c r="G3594" s="328"/>
      <c r="H3594" s="337"/>
      <c r="I3594" s="334"/>
      <c r="J3594" s="314"/>
      <c r="K3594" s="449"/>
      <c r="M3594" s="349" t="str">
        <f>N3594&amp;AS[[#This Row],[Insurer Code]]&amp;"; "&amp;O3594&amp;AS[[#This Row],[Reporting Year]]&amp;"; "&amp;P3594&amp;AS[[#This Row],[Insurance Category Code]]&amp;"; "&amp;Q3594&amp;AS[[#This Row],[Large Provider Entity Code]]&amp;"; "&amp;R3594&amp;AS[[#This Row],[Age Band Code]]&amp;"; "&amp;S3594&amp;AS[[#This Row],[Sex Code]]</f>
        <v xml:space="preserve">Insurer Code ; Reporting Year ; Insurance Category Code ; Large Provider Entity Code ; Age Band Code ; Sex Code </v>
      </c>
      <c r="N3594" s="345" t="s">
        <v>207</v>
      </c>
      <c r="O3594" s="345" t="s">
        <v>208</v>
      </c>
      <c r="P3594" s="345" t="s">
        <v>209</v>
      </c>
      <c r="Q3594" s="345" t="s">
        <v>210</v>
      </c>
      <c r="R3594" s="345" t="s">
        <v>223</v>
      </c>
      <c r="S3594" s="345" t="s">
        <v>224</v>
      </c>
    </row>
    <row r="3595" spans="1:19" x14ac:dyDescent="0.25">
      <c r="A3595" s="311"/>
      <c r="B3595" s="312"/>
      <c r="C3595" s="312"/>
      <c r="D3595" s="312"/>
      <c r="E3595" s="312"/>
      <c r="F3595" s="312"/>
      <c r="G3595" s="328"/>
      <c r="H3595" s="337"/>
      <c r="I3595" s="334"/>
      <c r="J3595" s="314"/>
      <c r="K3595" s="449"/>
      <c r="M3595" s="349" t="str">
        <f>N3595&amp;AS[[#This Row],[Insurer Code]]&amp;"; "&amp;O3595&amp;AS[[#This Row],[Reporting Year]]&amp;"; "&amp;P3595&amp;AS[[#This Row],[Insurance Category Code]]&amp;"; "&amp;Q3595&amp;AS[[#This Row],[Large Provider Entity Code]]&amp;"; "&amp;R3595&amp;AS[[#This Row],[Age Band Code]]&amp;"; "&amp;S3595&amp;AS[[#This Row],[Sex Code]]</f>
        <v xml:space="preserve">Insurer Code ; Reporting Year ; Insurance Category Code ; Large Provider Entity Code ; Age Band Code ; Sex Code </v>
      </c>
      <c r="N3595" s="345" t="s">
        <v>207</v>
      </c>
      <c r="O3595" s="345" t="s">
        <v>208</v>
      </c>
      <c r="P3595" s="345" t="s">
        <v>209</v>
      </c>
      <c r="Q3595" s="345" t="s">
        <v>210</v>
      </c>
      <c r="R3595" s="345" t="s">
        <v>223</v>
      </c>
      <c r="S3595" s="345" t="s">
        <v>224</v>
      </c>
    </row>
    <row r="3596" spans="1:19" x14ac:dyDescent="0.25">
      <c r="A3596" s="311"/>
      <c r="B3596" s="312"/>
      <c r="C3596" s="312"/>
      <c r="D3596" s="312"/>
      <c r="E3596" s="312"/>
      <c r="F3596" s="312"/>
      <c r="G3596" s="328"/>
      <c r="H3596" s="337"/>
      <c r="I3596" s="334"/>
      <c r="J3596" s="314"/>
      <c r="K3596" s="449"/>
      <c r="M3596" s="349" t="str">
        <f>N3596&amp;AS[[#This Row],[Insurer Code]]&amp;"; "&amp;O3596&amp;AS[[#This Row],[Reporting Year]]&amp;"; "&amp;P3596&amp;AS[[#This Row],[Insurance Category Code]]&amp;"; "&amp;Q3596&amp;AS[[#This Row],[Large Provider Entity Code]]&amp;"; "&amp;R3596&amp;AS[[#This Row],[Age Band Code]]&amp;"; "&amp;S3596&amp;AS[[#This Row],[Sex Code]]</f>
        <v xml:space="preserve">Insurer Code ; Reporting Year ; Insurance Category Code ; Large Provider Entity Code ; Age Band Code ; Sex Code </v>
      </c>
      <c r="N3596" s="345" t="s">
        <v>207</v>
      </c>
      <c r="O3596" s="345" t="s">
        <v>208</v>
      </c>
      <c r="P3596" s="345" t="s">
        <v>209</v>
      </c>
      <c r="Q3596" s="345" t="s">
        <v>210</v>
      </c>
      <c r="R3596" s="345" t="s">
        <v>223</v>
      </c>
      <c r="S3596" s="345" t="s">
        <v>224</v>
      </c>
    </row>
    <row r="3597" spans="1:19" x14ac:dyDescent="0.25">
      <c r="A3597" s="311"/>
      <c r="B3597" s="312"/>
      <c r="C3597" s="312"/>
      <c r="D3597" s="312"/>
      <c r="E3597" s="312"/>
      <c r="F3597" s="312"/>
      <c r="G3597" s="328"/>
      <c r="H3597" s="337"/>
      <c r="I3597" s="334"/>
      <c r="J3597" s="314"/>
      <c r="K3597" s="449"/>
      <c r="M3597" s="349" t="str">
        <f>N3597&amp;AS[[#This Row],[Insurer Code]]&amp;"; "&amp;O3597&amp;AS[[#This Row],[Reporting Year]]&amp;"; "&amp;P3597&amp;AS[[#This Row],[Insurance Category Code]]&amp;"; "&amp;Q3597&amp;AS[[#This Row],[Large Provider Entity Code]]&amp;"; "&amp;R3597&amp;AS[[#This Row],[Age Band Code]]&amp;"; "&amp;S3597&amp;AS[[#This Row],[Sex Code]]</f>
        <v xml:space="preserve">Insurer Code ; Reporting Year ; Insurance Category Code ; Large Provider Entity Code ; Age Band Code ; Sex Code </v>
      </c>
      <c r="N3597" s="345" t="s">
        <v>207</v>
      </c>
      <c r="O3597" s="345" t="s">
        <v>208</v>
      </c>
      <c r="P3597" s="345" t="s">
        <v>209</v>
      </c>
      <c r="Q3597" s="345" t="s">
        <v>210</v>
      </c>
      <c r="R3597" s="345" t="s">
        <v>223</v>
      </c>
      <c r="S3597" s="345" t="s">
        <v>224</v>
      </c>
    </row>
    <row r="3598" spans="1:19" x14ac:dyDescent="0.25">
      <c r="A3598" s="311"/>
      <c r="B3598" s="312"/>
      <c r="C3598" s="312"/>
      <c r="D3598" s="312"/>
      <c r="E3598" s="312"/>
      <c r="F3598" s="312"/>
      <c r="G3598" s="328"/>
      <c r="H3598" s="337"/>
      <c r="I3598" s="334"/>
      <c r="J3598" s="314"/>
      <c r="K3598" s="449"/>
      <c r="M3598" s="349" t="str">
        <f>N3598&amp;AS[[#This Row],[Insurer Code]]&amp;"; "&amp;O3598&amp;AS[[#This Row],[Reporting Year]]&amp;"; "&amp;P3598&amp;AS[[#This Row],[Insurance Category Code]]&amp;"; "&amp;Q3598&amp;AS[[#This Row],[Large Provider Entity Code]]&amp;"; "&amp;R3598&amp;AS[[#This Row],[Age Band Code]]&amp;"; "&amp;S3598&amp;AS[[#This Row],[Sex Code]]</f>
        <v xml:space="preserve">Insurer Code ; Reporting Year ; Insurance Category Code ; Large Provider Entity Code ; Age Band Code ; Sex Code </v>
      </c>
      <c r="N3598" s="345" t="s">
        <v>207</v>
      </c>
      <c r="O3598" s="345" t="s">
        <v>208</v>
      </c>
      <c r="P3598" s="345" t="s">
        <v>209</v>
      </c>
      <c r="Q3598" s="345" t="s">
        <v>210</v>
      </c>
      <c r="R3598" s="345" t="s">
        <v>223</v>
      </c>
      <c r="S3598" s="345" t="s">
        <v>224</v>
      </c>
    </row>
    <row r="3599" spans="1:19" x14ac:dyDescent="0.25">
      <c r="A3599" s="311"/>
      <c r="B3599" s="312"/>
      <c r="C3599" s="312"/>
      <c r="D3599" s="312"/>
      <c r="E3599" s="312"/>
      <c r="F3599" s="312"/>
      <c r="G3599" s="328"/>
      <c r="H3599" s="337"/>
      <c r="I3599" s="334"/>
      <c r="J3599" s="314"/>
      <c r="K3599" s="449"/>
      <c r="M3599" s="349" t="str">
        <f>N3599&amp;AS[[#This Row],[Insurer Code]]&amp;"; "&amp;O3599&amp;AS[[#This Row],[Reporting Year]]&amp;"; "&amp;P3599&amp;AS[[#This Row],[Insurance Category Code]]&amp;"; "&amp;Q3599&amp;AS[[#This Row],[Large Provider Entity Code]]&amp;"; "&amp;R3599&amp;AS[[#This Row],[Age Band Code]]&amp;"; "&amp;S3599&amp;AS[[#This Row],[Sex Code]]</f>
        <v xml:space="preserve">Insurer Code ; Reporting Year ; Insurance Category Code ; Large Provider Entity Code ; Age Band Code ; Sex Code </v>
      </c>
      <c r="N3599" s="345" t="s">
        <v>207</v>
      </c>
      <c r="O3599" s="345" t="s">
        <v>208</v>
      </c>
      <c r="P3599" s="345" t="s">
        <v>209</v>
      </c>
      <c r="Q3599" s="345" t="s">
        <v>210</v>
      </c>
      <c r="R3599" s="345" t="s">
        <v>223</v>
      </c>
      <c r="S3599" s="345" t="s">
        <v>224</v>
      </c>
    </row>
    <row r="3600" spans="1:19" x14ac:dyDescent="0.25">
      <c r="A3600" s="311"/>
      <c r="B3600" s="312"/>
      <c r="C3600" s="312"/>
      <c r="D3600" s="312"/>
      <c r="E3600" s="312"/>
      <c r="F3600" s="312"/>
      <c r="G3600" s="328"/>
      <c r="H3600" s="337"/>
      <c r="I3600" s="334"/>
      <c r="J3600" s="314"/>
      <c r="K3600" s="449"/>
      <c r="M3600" s="349" t="str">
        <f>N3600&amp;AS[[#This Row],[Insurer Code]]&amp;"; "&amp;O3600&amp;AS[[#This Row],[Reporting Year]]&amp;"; "&amp;P3600&amp;AS[[#This Row],[Insurance Category Code]]&amp;"; "&amp;Q3600&amp;AS[[#This Row],[Large Provider Entity Code]]&amp;"; "&amp;R3600&amp;AS[[#This Row],[Age Band Code]]&amp;"; "&amp;S3600&amp;AS[[#This Row],[Sex Code]]</f>
        <v xml:space="preserve">Insurer Code ; Reporting Year ; Insurance Category Code ; Large Provider Entity Code ; Age Band Code ; Sex Code </v>
      </c>
      <c r="N3600" s="345" t="s">
        <v>207</v>
      </c>
      <c r="O3600" s="345" t="s">
        <v>208</v>
      </c>
      <c r="P3600" s="345" t="s">
        <v>209</v>
      </c>
      <c r="Q3600" s="345" t="s">
        <v>210</v>
      </c>
      <c r="R3600" s="345" t="s">
        <v>223</v>
      </c>
      <c r="S3600" s="345" t="s">
        <v>224</v>
      </c>
    </row>
    <row r="3601" spans="1:19" x14ac:dyDescent="0.25">
      <c r="A3601" s="311"/>
      <c r="B3601" s="312"/>
      <c r="C3601" s="312"/>
      <c r="D3601" s="312"/>
      <c r="E3601" s="312"/>
      <c r="F3601" s="312"/>
      <c r="G3601" s="328"/>
      <c r="H3601" s="337"/>
      <c r="I3601" s="334"/>
      <c r="J3601" s="314"/>
      <c r="K3601" s="449"/>
      <c r="M3601" s="349" t="str">
        <f>N3601&amp;AS[[#This Row],[Insurer Code]]&amp;"; "&amp;O3601&amp;AS[[#This Row],[Reporting Year]]&amp;"; "&amp;P3601&amp;AS[[#This Row],[Insurance Category Code]]&amp;"; "&amp;Q3601&amp;AS[[#This Row],[Large Provider Entity Code]]&amp;"; "&amp;R3601&amp;AS[[#This Row],[Age Band Code]]&amp;"; "&amp;S3601&amp;AS[[#This Row],[Sex Code]]</f>
        <v xml:space="preserve">Insurer Code ; Reporting Year ; Insurance Category Code ; Large Provider Entity Code ; Age Band Code ; Sex Code </v>
      </c>
      <c r="N3601" s="345" t="s">
        <v>207</v>
      </c>
      <c r="O3601" s="345" t="s">
        <v>208</v>
      </c>
      <c r="P3601" s="345" t="s">
        <v>209</v>
      </c>
      <c r="Q3601" s="345" t="s">
        <v>210</v>
      </c>
      <c r="R3601" s="345" t="s">
        <v>223</v>
      </c>
      <c r="S3601" s="345" t="s">
        <v>224</v>
      </c>
    </row>
    <row r="3602" spans="1:19" x14ac:dyDescent="0.25">
      <c r="A3602" s="311"/>
      <c r="B3602" s="312"/>
      <c r="C3602" s="312"/>
      <c r="D3602" s="312"/>
      <c r="E3602" s="312"/>
      <c r="F3602" s="312"/>
      <c r="G3602" s="328"/>
      <c r="H3602" s="337"/>
      <c r="I3602" s="334"/>
      <c r="J3602" s="314"/>
      <c r="K3602" s="449"/>
      <c r="M3602" s="349" t="str">
        <f>N3602&amp;AS[[#This Row],[Insurer Code]]&amp;"; "&amp;O3602&amp;AS[[#This Row],[Reporting Year]]&amp;"; "&amp;P3602&amp;AS[[#This Row],[Insurance Category Code]]&amp;"; "&amp;Q3602&amp;AS[[#This Row],[Large Provider Entity Code]]&amp;"; "&amp;R3602&amp;AS[[#This Row],[Age Band Code]]&amp;"; "&amp;S3602&amp;AS[[#This Row],[Sex Code]]</f>
        <v xml:space="preserve">Insurer Code ; Reporting Year ; Insurance Category Code ; Large Provider Entity Code ; Age Band Code ; Sex Code </v>
      </c>
      <c r="N3602" s="345" t="s">
        <v>207</v>
      </c>
      <c r="O3602" s="345" t="s">
        <v>208</v>
      </c>
      <c r="P3602" s="345" t="s">
        <v>209</v>
      </c>
      <c r="Q3602" s="345" t="s">
        <v>210</v>
      </c>
      <c r="R3602" s="345" t="s">
        <v>223</v>
      </c>
      <c r="S3602" s="345" t="s">
        <v>224</v>
      </c>
    </row>
    <row r="3603" spans="1:19" x14ac:dyDescent="0.25">
      <c r="A3603" s="311"/>
      <c r="B3603" s="312"/>
      <c r="C3603" s="312"/>
      <c r="D3603" s="312"/>
      <c r="E3603" s="312"/>
      <c r="F3603" s="312"/>
      <c r="G3603" s="328"/>
      <c r="H3603" s="337"/>
      <c r="I3603" s="334"/>
      <c r="J3603" s="314"/>
      <c r="K3603" s="449"/>
      <c r="M3603" s="349" t="str">
        <f>N3603&amp;AS[[#This Row],[Insurer Code]]&amp;"; "&amp;O3603&amp;AS[[#This Row],[Reporting Year]]&amp;"; "&amp;P3603&amp;AS[[#This Row],[Insurance Category Code]]&amp;"; "&amp;Q3603&amp;AS[[#This Row],[Large Provider Entity Code]]&amp;"; "&amp;R3603&amp;AS[[#This Row],[Age Band Code]]&amp;"; "&amp;S3603&amp;AS[[#This Row],[Sex Code]]</f>
        <v xml:space="preserve">Insurer Code ; Reporting Year ; Insurance Category Code ; Large Provider Entity Code ; Age Band Code ; Sex Code </v>
      </c>
      <c r="N3603" s="345" t="s">
        <v>207</v>
      </c>
      <c r="O3603" s="345" t="s">
        <v>208</v>
      </c>
      <c r="P3603" s="345" t="s">
        <v>209</v>
      </c>
      <c r="Q3603" s="345" t="s">
        <v>210</v>
      </c>
      <c r="R3603" s="345" t="s">
        <v>223</v>
      </c>
      <c r="S3603" s="345" t="s">
        <v>224</v>
      </c>
    </row>
    <row r="3604" spans="1:19" x14ac:dyDescent="0.25">
      <c r="A3604" s="311"/>
      <c r="B3604" s="312"/>
      <c r="C3604" s="312"/>
      <c r="D3604" s="312"/>
      <c r="E3604" s="312"/>
      <c r="F3604" s="312"/>
      <c r="G3604" s="328"/>
      <c r="H3604" s="337"/>
      <c r="I3604" s="334"/>
      <c r="J3604" s="314"/>
      <c r="K3604" s="449"/>
      <c r="M3604" s="349" t="str">
        <f>N3604&amp;AS[[#This Row],[Insurer Code]]&amp;"; "&amp;O3604&amp;AS[[#This Row],[Reporting Year]]&amp;"; "&amp;P3604&amp;AS[[#This Row],[Insurance Category Code]]&amp;"; "&amp;Q3604&amp;AS[[#This Row],[Large Provider Entity Code]]&amp;"; "&amp;R3604&amp;AS[[#This Row],[Age Band Code]]&amp;"; "&amp;S3604&amp;AS[[#This Row],[Sex Code]]</f>
        <v xml:space="preserve">Insurer Code ; Reporting Year ; Insurance Category Code ; Large Provider Entity Code ; Age Band Code ; Sex Code </v>
      </c>
      <c r="N3604" s="345" t="s">
        <v>207</v>
      </c>
      <c r="O3604" s="345" t="s">
        <v>208</v>
      </c>
      <c r="P3604" s="345" t="s">
        <v>209</v>
      </c>
      <c r="Q3604" s="345" t="s">
        <v>210</v>
      </c>
      <c r="R3604" s="345" t="s">
        <v>223</v>
      </c>
      <c r="S3604" s="345" t="s">
        <v>224</v>
      </c>
    </row>
    <row r="3605" spans="1:19" x14ac:dyDescent="0.25">
      <c r="A3605" s="311"/>
      <c r="B3605" s="312"/>
      <c r="C3605" s="312"/>
      <c r="D3605" s="312"/>
      <c r="E3605" s="312"/>
      <c r="F3605" s="312"/>
      <c r="G3605" s="328"/>
      <c r="H3605" s="337"/>
      <c r="I3605" s="334"/>
      <c r="J3605" s="314"/>
      <c r="K3605" s="449"/>
      <c r="M3605" s="349" t="str">
        <f>N3605&amp;AS[[#This Row],[Insurer Code]]&amp;"; "&amp;O3605&amp;AS[[#This Row],[Reporting Year]]&amp;"; "&amp;P3605&amp;AS[[#This Row],[Insurance Category Code]]&amp;"; "&amp;Q3605&amp;AS[[#This Row],[Large Provider Entity Code]]&amp;"; "&amp;R3605&amp;AS[[#This Row],[Age Band Code]]&amp;"; "&amp;S3605&amp;AS[[#This Row],[Sex Code]]</f>
        <v xml:space="preserve">Insurer Code ; Reporting Year ; Insurance Category Code ; Large Provider Entity Code ; Age Band Code ; Sex Code </v>
      </c>
      <c r="N3605" s="345" t="s">
        <v>207</v>
      </c>
      <c r="O3605" s="345" t="s">
        <v>208</v>
      </c>
      <c r="P3605" s="345" t="s">
        <v>209</v>
      </c>
      <c r="Q3605" s="345" t="s">
        <v>210</v>
      </c>
      <c r="R3605" s="345" t="s">
        <v>223</v>
      </c>
      <c r="S3605" s="345" t="s">
        <v>224</v>
      </c>
    </row>
    <row r="3606" spans="1:19" x14ac:dyDescent="0.25">
      <c r="A3606" s="311"/>
      <c r="B3606" s="312"/>
      <c r="C3606" s="312"/>
      <c r="D3606" s="312"/>
      <c r="E3606" s="312"/>
      <c r="F3606" s="312"/>
      <c r="G3606" s="328"/>
      <c r="H3606" s="337"/>
      <c r="I3606" s="334"/>
      <c r="J3606" s="314"/>
      <c r="K3606" s="449"/>
      <c r="M3606" s="349" t="str">
        <f>N3606&amp;AS[[#This Row],[Insurer Code]]&amp;"; "&amp;O3606&amp;AS[[#This Row],[Reporting Year]]&amp;"; "&amp;P3606&amp;AS[[#This Row],[Insurance Category Code]]&amp;"; "&amp;Q3606&amp;AS[[#This Row],[Large Provider Entity Code]]&amp;"; "&amp;R3606&amp;AS[[#This Row],[Age Band Code]]&amp;"; "&amp;S3606&amp;AS[[#This Row],[Sex Code]]</f>
        <v xml:space="preserve">Insurer Code ; Reporting Year ; Insurance Category Code ; Large Provider Entity Code ; Age Band Code ; Sex Code </v>
      </c>
      <c r="N3606" s="345" t="s">
        <v>207</v>
      </c>
      <c r="O3606" s="345" t="s">
        <v>208</v>
      </c>
      <c r="P3606" s="345" t="s">
        <v>209</v>
      </c>
      <c r="Q3606" s="345" t="s">
        <v>210</v>
      </c>
      <c r="R3606" s="345" t="s">
        <v>223</v>
      </c>
      <c r="S3606" s="345" t="s">
        <v>224</v>
      </c>
    </row>
    <row r="3607" spans="1:19" x14ac:dyDescent="0.25">
      <c r="A3607" s="311"/>
      <c r="B3607" s="312"/>
      <c r="C3607" s="312"/>
      <c r="D3607" s="312"/>
      <c r="E3607" s="312"/>
      <c r="F3607" s="312"/>
      <c r="G3607" s="328"/>
      <c r="H3607" s="337"/>
      <c r="I3607" s="334"/>
      <c r="J3607" s="314"/>
      <c r="K3607" s="449"/>
      <c r="M3607" s="349" t="str">
        <f>N3607&amp;AS[[#This Row],[Insurer Code]]&amp;"; "&amp;O3607&amp;AS[[#This Row],[Reporting Year]]&amp;"; "&amp;P3607&amp;AS[[#This Row],[Insurance Category Code]]&amp;"; "&amp;Q3607&amp;AS[[#This Row],[Large Provider Entity Code]]&amp;"; "&amp;R3607&amp;AS[[#This Row],[Age Band Code]]&amp;"; "&amp;S3607&amp;AS[[#This Row],[Sex Code]]</f>
        <v xml:space="preserve">Insurer Code ; Reporting Year ; Insurance Category Code ; Large Provider Entity Code ; Age Band Code ; Sex Code </v>
      </c>
      <c r="N3607" s="345" t="s">
        <v>207</v>
      </c>
      <c r="O3607" s="345" t="s">
        <v>208</v>
      </c>
      <c r="P3607" s="345" t="s">
        <v>209</v>
      </c>
      <c r="Q3607" s="345" t="s">
        <v>210</v>
      </c>
      <c r="R3607" s="345" t="s">
        <v>223</v>
      </c>
      <c r="S3607" s="345" t="s">
        <v>224</v>
      </c>
    </row>
    <row r="3608" spans="1:19" x14ac:dyDescent="0.25">
      <c r="A3608" s="311"/>
      <c r="B3608" s="312"/>
      <c r="C3608" s="312"/>
      <c r="D3608" s="312"/>
      <c r="E3608" s="312"/>
      <c r="F3608" s="312"/>
      <c r="G3608" s="328"/>
      <c r="H3608" s="337"/>
      <c r="I3608" s="334"/>
      <c r="J3608" s="314"/>
      <c r="K3608" s="449"/>
      <c r="M3608" s="349" t="str">
        <f>N3608&amp;AS[[#This Row],[Insurer Code]]&amp;"; "&amp;O3608&amp;AS[[#This Row],[Reporting Year]]&amp;"; "&amp;P3608&amp;AS[[#This Row],[Insurance Category Code]]&amp;"; "&amp;Q3608&amp;AS[[#This Row],[Large Provider Entity Code]]&amp;"; "&amp;R3608&amp;AS[[#This Row],[Age Band Code]]&amp;"; "&amp;S3608&amp;AS[[#This Row],[Sex Code]]</f>
        <v xml:space="preserve">Insurer Code ; Reporting Year ; Insurance Category Code ; Large Provider Entity Code ; Age Band Code ; Sex Code </v>
      </c>
      <c r="N3608" s="345" t="s">
        <v>207</v>
      </c>
      <c r="O3608" s="345" t="s">
        <v>208</v>
      </c>
      <c r="P3608" s="345" t="s">
        <v>209</v>
      </c>
      <c r="Q3608" s="345" t="s">
        <v>210</v>
      </c>
      <c r="R3608" s="345" t="s">
        <v>223</v>
      </c>
      <c r="S3608" s="345" t="s">
        <v>224</v>
      </c>
    </row>
    <row r="3609" spans="1:19" x14ac:dyDescent="0.25">
      <c r="A3609" s="311"/>
      <c r="B3609" s="312"/>
      <c r="C3609" s="312"/>
      <c r="D3609" s="312"/>
      <c r="E3609" s="312"/>
      <c r="F3609" s="312"/>
      <c r="G3609" s="328"/>
      <c r="H3609" s="337"/>
      <c r="I3609" s="334"/>
      <c r="J3609" s="314"/>
      <c r="K3609" s="449"/>
      <c r="M3609" s="349" t="str">
        <f>N3609&amp;AS[[#This Row],[Insurer Code]]&amp;"; "&amp;O3609&amp;AS[[#This Row],[Reporting Year]]&amp;"; "&amp;P3609&amp;AS[[#This Row],[Insurance Category Code]]&amp;"; "&amp;Q3609&amp;AS[[#This Row],[Large Provider Entity Code]]&amp;"; "&amp;R3609&amp;AS[[#This Row],[Age Band Code]]&amp;"; "&amp;S3609&amp;AS[[#This Row],[Sex Code]]</f>
        <v xml:space="preserve">Insurer Code ; Reporting Year ; Insurance Category Code ; Large Provider Entity Code ; Age Band Code ; Sex Code </v>
      </c>
      <c r="N3609" s="345" t="s">
        <v>207</v>
      </c>
      <c r="O3609" s="345" t="s">
        <v>208</v>
      </c>
      <c r="P3609" s="345" t="s">
        <v>209</v>
      </c>
      <c r="Q3609" s="345" t="s">
        <v>210</v>
      </c>
      <c r="R3609" s="345" t="s">
        <v>223</v>
      </c>
      <c r="S3609" s="345" t="s">
        <v>224</v>
      </c>
    </row>
    <row r="3610" spans="1:19" x14ac:dyDescent="0.25">
      <c r="A3610" s="311"/>
      <c r="B3610" s="312"/>
      <c r="C3610" s="312"/>
      <c r="D3610" s="312"/>
      <c r="E3610" s="312"/>
      <c r="F3610" s="312"/>
      <c r="G3610" s="328"/>
      <c r="H3610" s="337"/>
      <c r="I3610" s="334"/>
      <c r="J3610" s="314"/>
      <c r="K3610" s="449"/>
      <c r="M3610" s="349" t="str">
        <f>N3610&amp;AS[[#This Row],[Insurer Code]]&amp;"; "&amp;O3610&amp;AS[[#This Row],[Reporting Year]]&amp;"; "&amp;P3610&amp;AS[[#This Row],[Insurance Category Code]]&amp;"; "&amp;Q3610&amp;AS[[#This Row],[Large Provider Entity Code]]&amp;"; "&amp;R3610&amp;AS[[#This Row],[Age Band Code]]&amp;"; "&amp;S3610&amp;AS[[#This Row],[Sex Code]]</f>
        <v xml:space="preserve">Insurer Code ; Reporting Year ; Insurance Category Code ; Large Provider Entity Code ; Age Band Code ; Sex Code </v>
      </c>
      <c r="N3610" s="345" t="s">
        <v>207</v>
      </c>
      <c r="O3610" s="345" t="s">
        <v>208</v>
      </c>
      <c r="P3610" s="345" t="s">
        <v>209</v>
      </c>
      <c r="Q3610" s="345" t="s">
        <v>210</v>
      </c>
      <c r="R3610" s="345" t="s">
        <v>223</v>
      </c>
      <c r="S3610" s="345" t="s">
        <v>224</v>
      </c>
    </row>
    <row r="3611" spans="1:19" x14ac:dyDescent="0.25">
      <c r="A3611" s="311"/>
      <c r="B3611" s="312"/>
      <c r="C3611" s="312"/>
      <c r="D3611" s="312"/>
      <c r="E3611" s="312"/>
      <c r="F3611" s="312"/>
      <c r="G3611" s="328"/>
      <c r="H3611" s="337"/>
      <c r="I3611" s="334"/>
      <c r="J3611" s="314"/>
      <c r="K3611" s="449"/>
      <c r="M3611" s="349" t="str">
        <f>N3611&amp;AS[[#This Row],[Insurer Code]]&amp;"; "&amp;O3611&amp;AS[[#This Row],[Reporting Year]]&amp;"; "&amp;P3611&amp;AS[[#This Row],[Insurance Category Code]]&amp;"; "&amp;Q3611&amp;AS[[#This Row],[Large Provider Entity Code]]&amp;"; "&amp;R3611&amp;AS[[#This Row],[Age Band Code]]&amp;"; "&amp;S3611&amp;AS[[#This Row],[Sex Code]]</f>
        <v xml:space="preserve">Insurer Code ; Reporting Year ; Insurance Category Code ; Large Provider Entity Code ; Age Band Code ; Sex Code </v>
      </c>
      <c r="N3611" s="345" t="s">
        <v>207</v>
      </c>
      <c r="O3611" s="345" t="s">
        <v>208</v>
      </c>
      <c r="P3611" s="345" t="s">
        <v>209</v>
      </c>
      <c r="Q3611" s="345" t="s">
        <v>210</v>
      </c>
      <c r="R3611" s="345" t="s">
        <v>223</v>
      </c>
      <c r="S3611" s="345" t="s">
        <v>224</v>
      </c>
    </row>
    <row r="3612" spans="1:19" x14ac:dyDescent="0.25">
      <c r="A3612" s="311"/>
      <c r="B3612" s="312"/>
      <c r="C3612" s="312"/>
      <c r="D3612" s="312"/>
      <c r="E3612" s="312"/>
      <c r="F3612" s="312"/>
      <c r="G3612" s="328"/>
      <c r="H3612" s="337"/>
      <c r="I3612" s="334"/>
      <c r="J3612" s="314"/>
      <c r="K3612" s="449"/>
      <c r="M3612" s="349" t="str">
        <f>N3612&amp;AS[[#This Row],[Insurer Code]]&amp;"; "&amp;O3612&amp;AS[[#This Row],[Reporting Year]]&amp;"; "&amp;P3612&amp;AS[[#This Row],[Insurance Category Code]]&amp;"; "&amp;Q3612&amp;AS[[#This Row],[Large Provider Entity Code]]&amp;"; "&amp;R3612&amp;AS[[#This Row],[Age Band Code]]&amp;"; "&amp;S3612&amp;AS[[#This Row],[Sex Code]]</f>
        <v xml:space="preserve">Insurer Code ; Reporting Year ; Insurance Category Code ; Large Provider Entity Code ; Age Band Code ; Sex Code </v>
      </c>
      <c r="N3612" s="345" t="s">
        <v>207</v>
      </c>
      <c r="O3612" s="345" t="s">
        <v>208</v>
      </c>
      <c r="P3612" s="345" t="s">
        <v>209</v>
      </c>
      <c r="Q3612" s="345" t="s">
        <v>210</v>
      </c>
      <c r="R3612" s="345" t="s">
        <v>223</v>
      </c>
      <c r="S3612" s="345" t="s">
        <v>224</v>
      </c>
    </row>
    <row r="3613" spans="1:19" x14ac:dyDescent="0.25">
      <c r="A3613" s="311"/>
      <c r="B3613" s="312"/>
      <c r="C3613" s="312"/>
      <c r="D3613" s="312"/>
      <c r="E3613" s="312"/>
      <c r="F3613" s="312"/>
      <c r="G3613" s="328"/>
      <c r="H3613" s="337"/>
      <c r="I3613" s="334"/>
      <c r="J3613" s="314"/>
      <c r="K3613" s="449"/>
      <c r="M3613" s="349" t="str">
        <f>N3613&amp;AS[[#This Row],[Insurer Code]]&amp;"; "&amp;O3613&amp;AS[[#This Row],[Reporting Year]]&amp;"; "&amp;P3613&amp;AS[[#This Row],[Insurance Category Code]]&amp;"; "&amp;Q3613&amp;AS[[#This Row],[Large Provider Entity Code]]&amp;"; "&amp;R3613&amp;AS[[#This Row],[Age Band Code]]&amp;"; "&amp;S3613&amp;AS[[#This Row],[Sex Code]]</f>
        <v xml:space="preserve">Insurer Code ; Reporting Year ; Insurance Category Code ; Large Provider Entity Code ; Age Band Code ; Sex Code </v>
      </c>
      <c r="N3613" s="345" t="s">
        <v>207</v>
      </c>
      <c r="O3613" s="345" t="s">
        <v>208</v>
      </c>
      <c r="P3613" s="345" t="s">
        <v>209</v>
      </c>
      <c r="Q3613" s="345" t="s">
        <v>210</v>
      </c>
      <c r="R3613" s="345" t="s">
        <v>223</v>
      </c>
      <c r="S3613" s="345" t="s">
        <v>224</v>
      </c>
    </row>
    <row r="3614" spans="1:19" x14ac:dyDescent="0.25">
      <c r="A3614" s="311"/>
      <c r="B3614" s="312"/>
      <c r="C3614" s="312"/>
      <c r="D3614" s="312"/>
      <c r="E3614" s="312"/>
      <c r="F3614" s="312"/>
      <c r="G3614" s="328"/>
      <c r="H3614" s="337"/>
      <c r="I3614" s="334"/>
      <c r="J3614" s="314"/>
      <c r="K3614" s="449"/>
      <c r="M3614" s="349" t="str">
        <f>N3614&amp;AS[[#This Row],[Insurer Code]]&amp;"; "&amp;O3614&amp;AS[[#This Row],[Reporting Year]]&amp;"; "&amp;P3614&amp;AS[[#This Row],[Insurance Category Code]]&amp;"; "&amp;Q3614&amp;AS[[#This Row],[Large Provider Entity Code]]&amp;"; "&amp;R3614&amp;AS[[#This Row],[Age Band Code]]&amp;"; "&amp;S3614&amp;AS[[#This Row],[Sex Code]]</f>
        <v xml:space="preserve">Insurer Code ; Reporting Year ; Insurance Category Code ; Large Provider Entity Code ; Age Band Code ; Sex Code </v>
      </c>
      <c r="N3614" s="345" t="s">
        <v>207</v>
      </c>
      <c r="O3614" s="345" t="s">
        <v>208</v>
      </c>
      <c r="P3614" s="345" t="s">
        <v>209</v>
      </c>
      <c r="Q3614" s="345" t="s">
        <v>210</v>
      </c>
      <c r="R3614" s="345" t="s">
        <v>223</v>
      </c>
      <c r="S3614" s="345" t="s">
        <v>224</v>
      </c>
    </row>
    <row r="3615" spans="1:19" x14ac:dyDescent="0.25">
      <c r="A3615" s="311"/>
      <c r="B3615" s="312"/>
      <c r="C3615" s="312"/>
      <c r="D3615" s="312"/>
      <c r="E3615" s="312"/>
      <c r="F3615" s="312"/>
      <c r="G3615" s="328"/>
      <c r="H3615" s="337"/>
      <c r="I3615" s="334"/>
      <c r="J3615" s="314"/>
      <c r="K3615" s="449"/>
      <c r="M3615" s="349" t="str">
        <f>N3615&amp;AS[[#This Row],[Insurer Code]]&amp;"; "&amp;O3615&amp;AS[[#This Row],[Reporting Year]]&amp;"; "&amp;P3615&amp;AS[[#This Row],[Insurance Category Code]]&amp;"; "&amp;Q3615&amp;AS[[#This Row],[Large Provider Entity Code]]&amp;"; "&amp;R3615&amp;AS[[#This Row],[Age Band Code]]&amp;"; "&amp;S3615&amp;AS[[#This Row],[Sex Code]]</f>
        <v xml:space="preserve">Insurer Code ; Reporting Year ; Insurance Category Code ; Large Provider Entity Code ; Age Band Code ; Sex Code </v>
      </c>
      <c r="N3615" s="345" t="s">
        <v>207</v>
      </c>
      <c r="O3615" s="345" t="s">
        <v>208</v>
      </c>
      <c r="P3615" s="345" t="s">
        <v>209</v>
      </c>
      <c r="Q3615" s="345" t="s">
        <v>210</v>
      </c>
      <c r="R3615" s="345" t="s">
        <v>223</v>
      </c>
      <c r="S3615" s="345" t="s">
        <v>224</v>
      </c>
    </row>
    <row r="3616" spans="1:19" x14ac:dyDescent="0.25">
      <c r="A3616" s="311"/>
      <c r="B3616" s="312"/>
      <c r="C3616" s="312"/>
      <c r="D3616" s="312"/>
      <c r="E3616" s="312"/>
      <c r="F3616" s="312"/>
      <c r="G3616" s="328"/>
      <c r="H3616" s="337"/>
      <c r="I3616" s="334"/>
      <c r="J3616" s="314"/>
      <c r="K3616" s="449"/>
      <c r="M3616" s="349" t="str">
        <f>N3616&amp;AS[[#This Row],[Insurer Code]]&amp;"; "&amp;O3616&amp;AS[[#This Row],[Reporting Year]]&amp;"; "&amp;P3616&amp;AS[[#This Row],[Insurance Category Code]]&amp;"; "&amp;Q3616&amp;AS[[#This Row],[Large Provider Entity Code]]&amp;"; "&amp;R3616&amp;AS[[#This Row],[Age Band Code]]&amp;"; "&amp;S3616&amp;AS[[#This Row],[Sex Code]]</f>
        <v xml:space="preserve">Insurer Code ; Reporting Year ; Insurance Category Code ; Large Provider Entity Code ; Age Band Code ; Sex Code </v>
      </c>
      <c r="N3616" s="345" t="s">
        <v>207</v>
      </c>
      <c r="O3616" s="345" t="s">
        <v>208</v>
      </c>
      <c r="P3616" s="345" t="s">
        <v>209</v>
      </c>
      <c r="Q3616" s="345" t="s">
        <v>210</v>
      </c>
      <c r="R3616" s="345" t="s">
        <v>223</v>
      </c>
      <c r="S3616" s="345" t="s">
        <v>224</v>
      </c>
    </row>
    <row r="3617" spans="1:19" x14ac:dyDescent="0.25">
      <c r="A3617" s="311"/>
      <c r="B3617" s="312"/>
      <c r="C3617" s="312"/>
      <c r="D3617" s="312"/>
      <c r="E3617" s="312"/>
      <c r="F3617" s="312"/>
      <c r="G3617" s="328"/>
      <c r="H3617" s="337"/>
      <c r="I3617" s="334"/>
      <c r="J3617" s="314"/>
      <c r="K3617" s="449"/>
      <c r="M3617" s="349" t="str">
        <f>N3617&amp;AS[[#This Row],[Insurer Code]]&amp;"; "&amp;O3617&amp;AS[[#This Row],[Reporting Year]]&amp;"; "&amp;P3617&amp;AS[[#This Row],[Insurance Category Code]]&amp;"; "&amp;Q3617&amp;AS[[#This Row],[Large Provider Entity Code]]&amp;"; "&amp;R3617&amp;AS[[#This Row],[Age Band Code]]&amp;"; "&amp;S3617&amp;AS[[#This Row],[Sex Code]]</f>
        <v xml:space="preserve">Insurer Code ; Reporting Year ; Insurance Category Code ; Large Provider Entity Code ; Age Band Code ; Sex Code </v>
      </c>
      <c r="N3617" s="345" t="s">
        <v>207</v>
      </c>
      <c r="O3617" s="345" t="s">
        <v>208</v>
      </c>
      <c r="P3617" s="345" t="s">
        <v>209</v>
      </c>
      <c r="Q3617" s="345" t="s">
        <v>210</v>
      </c>
      <c r="R3617" s="345" t="s">
        <v>223</v>
      </c>
      <c r="S3617" s="345" t="s">
        <v>224</v>
      </c>
    </row>
    <row r="3618" spans="1:19" x14ac:dyDescent="0.25">
      <c r="A3618" s="311"/>
      <c r="B3618" s="312"/>
      <c r="C3618" s="312"/>
      <c r="D3618" s="312"/>
      <c r="E3618" s="312"/>
      <c r="F3618" s="312"/>
      <c r="G3618" s="328"/>
      <c r="H3618" s="337"/>
      <c r="I3618" s="334"/>
      <c r="J3618" s="314"/>
      <c r="K3618" s="449"/>
      <c r="M3618" s="349" t="str">
        <f>N3618&amp;AS[[#This Row],[Insurer Code]]&amp;"; "&amp;O3618&amp;AS[[#This Row],[Reporting Year]]&amp;"; "&amp;P3618&amp;AS[[#This Row],[Insurance Category Code]]&amp;"; "&amp;Q3618&amp;AS[[#This Row],[Large Provider Entity Code]]&amp;"; "&amp;R3618&amp;AS[[#This Row],[Age Band Code]]&amp;"; "&amp;S3618&amp;AS[[#This Row],[Sex Code]]</f>
        <v xml:space="preserve">Insurer Code ; Reporting Year ; Insurance Category Code ; Large Provider Entity Code ; Age Band Code ; Sex Code </v>
      </c>
      <c r="N3618" s="345" t="s">
        <v>207</v>
      </c>
      <c r="O3618" s="345" t="s">
        <v>208</v>
      </c>
      <c r="P3618" s="345" t="s">
        <v>209</v>
      </c>
      <c r="Q3618" s="345" t="s">
        <v>210</v>
      </c>
      <c r="R3618" s="345" t="s">
        <v>223</v>
      </c>
      <c r="S3618" s="345" t="s">
        <v>224</v>
      </c>
    </row>
    <row r="3619" spans="1:19" x14ac:dyDescent="0.25">
      <c r="A3619" s="311"/>
      <c r="B3619" s="312"/>
      <c r="C3619" s="312"/>
      <c r="D3619" s="312"/>
      <c r="E3619" s="312"/>
      <c r="F3619" s="312"/>
      <c r="G3619" s="328"/>
      <c r="H3619" s="337"/>
      <c r="I3619" s="334"/>
      <c r="J3619" s="314"/>
      <c r="K3619" s="449"/>
      <c r="M3619" s="349" t="str">
        <f>N3619&amp;AS[[#This Row],[Insurer Code]]&amp;"; "&amp;O3619&amp;AS[[#This Row],[Reporting Year]]&amp;"; "&amp;P3619&amp;AS[[#This Row],[Insurance Category Code]]&amp;"; "&amp;Q3619&amp;AS[[#This Row],[Large Provider Entity Code]]&amp;"; "&amp;R3619&amp;AS[[#This Row],[Age Band Code]]&amp;"; "&amp;S3619&amp;AS[[#This Row],[Sex Code]]</f>
        <v xml:space="preserve">Insurer Code ; Reporting Year ; Insurance Category Code ; Large Provider Entity Code ; Age Band Code ; Sex Code </v>
      </c>
      <c r="N3619" s="345" t="s">
        <v>207</v>
      </c>
      <c r="O3619" s="345" t="s">
        <v>208</v>
      </c>
      <c r="P3619" s="345" t="s">
        <v>209</v>
      </c>
      <c r="Q3619" s="345" t="s">
        <v>210</v>
      </c>
      <c r="R3619" s="345" t="s">
        <v>223</v>
      </c>
      <c r="S3619" s="345" t="s">
        <v>224</v>
      </c>
    </row>
    <row r="3620" spans="1:19" x14ac:dyDescent="0.25">
      <c r="A3620" s="311"/>
      <c r="B3620" s="312"/>
      <c r="C3620" s="312"/>
      <c r="D3620" s="312"/>
      <c r="E3620" s="312"/>
      <c r="F3620" s="312"/>
      <c r="G3620" s="328"/>
      <c r="H3620" s="337"/>
      <c r="I3620" s="334"/>
      <c r="J3620" s="314"/>
      <c r="K3620" s="449"/>
      <c r="M3620" s="349" t="str">
        <f>N3620&amp;AS[[#This Row],[Insurer Code]]&amp;"; "&amp;O3620&amp;AS[[#This Row],[Reporting Year]]&amp;"; "&amp;P3620&amp;AS[[#This Row],[Insurance Category Code]]&amp;"; "&amp;Q3620&amp;AS[[#This Row],[Large Provider Entity Code]]&amp;"; "&amp;R3620&amp;AS[[#This Row],[Age Band Code]]&amp;"; "&amp;S3620&amp;AS[[#This Row],[Sex Code]]</f>
        <v xml:space="preserve">Insurer Code ; Reporting Year ; Insurance Category Code ; Large Provider Entity Code ; Age Band Code ; Sex Code </v>
      </c>
      <c r="N3620" s="345" t="s">
        <v>207</v>
      </c>
      <c r="O3620" s="345" t="s">
        <v>208</v>
      </c>
      <c r="P3620" s="345" t="s">
        <v>209</v>
      </c>
      <c r="Q3620" s="345" t="s">
        <v>210</v>
      </c>
      <c r="R3620" s="345" t="s">
        <v>223</v>
      </c>
      <c r="S3620" s="345" t="s">
        <v>224</v>
      </c>
    </row>
    <row r="3621" spans="1:19" x14ac:dyDescent="0.25">
      <c r="A3621" s="311"/>
      <c r="B3621" s="312"/>
      <c r="C3621" s="312"/>
      <c r="D3621" s="312"/>
      <c r="E3621" s="312"/>
      <c r="F3621" s="312"/>
      <c r="G3621" s="328"/>
      <c r="H3621" s="337"/>
      <c r="I3621" s="334"/>
      <c r="J3621" s="314"/>
      <c r="K3621" s="449"/>
      <c r="M3621" s="349" t="str">
        <f>N3621&amp;AS[[#This Row],[Insurer Code]]&amp;"; "&amp;O3621&amp;AS[[#This Row],[Reporting Year]]&amp;"; "&amp;P3621&amp;AS[[#This Row],[Insurance Category Code]]&amp;"; "&amp;Q3621&amp;AS[[#This Row],[Large Provider Entity Code]]&amp;"; "&amp;R3621&amp;AS[[#This Row],[Age Band Code]]&amp;"; "&amp;S3621&amp;AS[[#This Row],[Sex Code]]</f>
        <v xml:space="preserve">Insurer Code ; Reporting Year ; Insurance Category Code ; Large Provider Entity Code ; Age Band Code ; Sex Code </v>
      </c>
      <c r="N3621" s="345" t="s">
        <v>207</v>
      </c>
      <c r="O3621" s="345" t="s">
        <v>208</v>
      </c>
      <c r="P3621" s="345" t="s">
        <v>209</v>
      </c>
      <c r="Q3621" s="345" t="s">
        <v>210</v>
      </c>
      <c r="R3621" s="345" t="s">
        <v>223</v>
      </c>
      <c r="S3621" s="345" t="s">
        <v>224</v>
      </c>
    </row>
    <row r="3622" spans="1:19" x14ac:dyDescent="0.25">
      <c r="A3622" s="311"/>
      <c r="B3622" s="312"/>
      <c r="C3622" s="312"/>
      <c r="D3622" s="312"/>
      <c r="E3622" s="312"/>
      <c r="F3622" s="312"/>
      <c r="G3622" s="328"/>
      <c r="H3622" s="337"/>
      <c r="I3622" s="334"/>
      <c r="J3622" s="314"/>
      <c r="K3622" s="449"/>
      <c r="M3622" s="349" t="str">
        <f>N3622&amp;AS[[#This Row],[Insurer Code]]&amp;"; "&amp;O3622&amp;AS[[#This Row],[Reporting Year]]&amp;"; "&amp;P3622&amp;AS[[#This Row],[Insurance Category Code]]&amp;"; "&amp;Q3622&amp;AS[[#This Row],[Large Provider Entity Code]]&amp;"; "&amp;R3622&amp;AS[[#This Row],[Age Band Code]]&amp;"; "&amp;S3622&amp;AS[[#This Row],[Sex Code]]</f>
        <v xml:space="preserve">Insurer Code ; Reporting Year ; Insurance Category Code ; Large Provider Entity Code ; Age Band Code ; Sex Code </v>
      </c>
      <c r="N3622" s="345" t="s">
        <v>207</v>
      </c>
      <c r="O3622" s="345" t="s">
        <v>208</v>
      </c>
      <c r="P3622" s="345" t="s">
        <v>209</v>
      </c>
      <c r="Q3622" s="345" t="s">
        <v>210</v>
      </c>
      <c r="R3622" s="345" t="s">
        <v>223</v>
      </c>
      <c r="S3622" s="345" t="s">
        <v>224</v>
      </c>
    </row>
    <row r="3623" spans="1:19" x14ac:dyDescent="0.25">
      <c r="A3623" s="311"/>
      <c r="B3623" s="312"/>
      <c r="C3623" s="312"/>
      <c r="D3623" s="312"/>
      <c r="E3623" s="312"/>
      <c r="F3623" s="312"/>
      <c r="G3623" s="328"/>
      <c r="H3623" s="337"/>
      <c r="I3623" s="334"/>
      <c r="J3623" s="314"/>
      <c r="K3623" s="449"/>
      <c r="M3623" s="349" t="str">
        <f>N3623&amp;AS[[#This Row],[Insurer Code]]&amp;"; "&amp;O3623&amp;AS[[#This Row],[Reporting Year]]&amp;"; "&amp;P3623&amp;AS[[#This Row],[Insurance Category Code]]&amp;"; "&amp;Q3623&amp;AS[[#This Row],[Large Provider Entity Code]]&amp;"; "&amp;R3623&amp;AS[[#This Row],[Age Band Code]]&amp;"; "&amp;S3623&amp;AS[[#This Row],[Sex Code]]</f>
        <v xml:space="preserve">Insurer Code ; Reporting Year ; Insurance Category Code ; Large Provider Entity Code ; Age Band Code ; Sex Code </v>
      </c>
      <c r="N3623" s="345" t="s">
        <v>207</v>
      </c>
      <c r="O3623" s="345" t="s">
        <v>208</v>
      </c>
      <c r="P3623" s="345" t="s">
        <v>209</v>
      </c>
      <c r="Q3623" s="345" t="s">
        <v>210</v>
      </c>
      <c r="R3623" s="345" t="s">
        <v>223</v>
      </c>
      <c r="S3623" s="345" t="s">
        <v>224</v>
      </c>
    </row>
    <row r="3624" spans="1:19" x14ac:dyDescent="0.25">
      <c r="A3624" s="311"/>
      <c r="B3624" s="312"/>
      <c r="C3624" s="312"/>
      <c r="D3624" s="312"/>
      <c r="E3624" s="312"/>
      <c r="F3624" s="312"/>
      <c r="G3624" s="328"/>
      <c r="H3624" s="337"/>
      <c r="I3624" s="334"/>
      <c r="J3624" s="314"/>
      <c r="K3624" s="449"/>
      <c r="M3624" s="349" t="str">
        <f>N3624&amp;AS[[#This Row],[Insurer Code]]&amp;"; "&amp;O3624&amp;AS[[#This Row],[Reporting Year]]&amp;"; "&amp;P3624&amp;AS[[#This Row],[Insurance Category Code]]&amp;"; "&amp;Q3624&amp;AS[[#This Row],[Large Provider Entity Code]]&amp;"; "&amp;R3624&amp;AS[[#This Row],[Age Band Code]]&amp;"; "&amp;S3624&amp;AS[[#This Row],[Sex Code]]</f>
        <v xml:space="preserve">Insurer Code ; Reporting Year ; Insurance Category Code ; Large Provider Entity Code ; Age Band Code ; Sex Code </v>
      </c>
      <c r="N3624" s="345" t="s">
        <v>207</v>
      </c>
      <c r="O3624" s="345" t="s">
        <v>208</v>
      </c>
      <c r="P3624" s="345" t="s">
        <v>209</v>
      </c>
      <c r="Q3624" s="345" t="s">
        <v>210</v>
      </c>
      <c r="R3624" s="345" t="s">
        <v>223</v>
      </c>
      <c r="S3624" s="345" t="s">
        <v>224</v>
      </c>
    </row>
    <row r="3625" spans="1:19" x14ac:dyDescent="0.25">
      <c r="A3625" s="311"/>
      <c r="B3625" s="312"/>
      <c r="C3625" s="312"/>
      <c r="D3625" s="312"/>
      <c r="E3625" s="312"/>
      <c r="F3625" s="312"/>
      <c r="G3625" s="328"/>
      <c r="H3625" s="337"/>
      <c r="I3625" s="334"/>
      <c r="J3625" s="314"/>
      <c r="K3625" s="449"/>
      <c r="M3625" s="349" t="str">
        <f>N3625&amp;AS[[#This Row],[Insurer Code]]&amp;"; "&amp;O3625&amp;AS[[#This Row],[Reporting Year]]&amp;"; "&amp;P3625&amp;AS[[#This Row],[Insurance Category Code]]&amp;"; "&amp;Q3625&amp;AS[[#This Row],[Large Provider Entity Code]]&amp;"; "&amp;R3625&amp;AS[[#This Row],[Age Band Code]]&amp;"; "&amp;S3625&amp;AS[[#This Row],[Sex Code]]</f>
        <v xml:space="preserve">Insurer Code ; Reporting Year ; Insurance Category Code ; Large Provider Entity Code ; Age Band Code ; Sex Code </v>
      </c>
      <c r="N3625" s="345" t="s">
        <v>207</v>
      </c>
      <c r="O3625" s="345" t="s">
        <v>208</v>
      </c>
      <c r="P3625" s="345" t="s">
        <v>209</v>
      </c>
      <c r="Q3625" s="345" t="s">
        <v>210</v>
      </c>
      <c r="R3625" s="345" t="s">
        <v>223</v>
      </c>
      <c r="S3625" s="345" t="s">
        <v>224</v>
      </c>
    </row>
    <row r="3626" spans="1:19" x14ac:dyDescent="0.25">
      <c r="A3626" s="311"/>
      <c r="B3626" s="312"/>
      <c r="C3626" s="312"/>
      <c r="D3626" s="312"/>
      <c r="E3626" s="312"/>
      <c r="F3626" s="312"/>
      <c r="G3626" s="328"/>
      <c r="H3626" s="337"/>
      <c r="I3626" s="334"/>
      <c r="J3626" s="314"/>
      <c r="K3626" s="449"/>
      <c r="M3626" s="349" t="str">
        <f>N3626&amp;AS[[#This Row],[Insurer Code]]&amp;"; "&amp;O3626&amp;AS[[#This Row],[Reporting Year]]&amp;"; "&amp;P3626&amp;AS[[#This Row],[Insurance Category Code]]&amp;"; "&amp;Q3626&amp;AS[[#This Row],[Large Provider Entity Code]]&amp;"; "&amp;R3626&amp;AS[[#This Row],[Age Band Code]]&amp;"; "&amp;S3626&amp;AS[[#This Row],[Sex Code]]</f>
        <v xml:space="preserve">Insurer Code ; Reporting Year ; Insurance Category Code ; Large Provider Entity Code ; Age Band Code ; Sex Code </v>
      </c>
      <c r="N3626" s="345" t="s">
        <v>207</v>
      </c>
      <c r="O3626" s="345" t="s">
        <v>208</v>
      </c>
      <c r="P3626" s="345" t="s">
        <v>209</v>
      </c>
      <c r="Q3626" s="345" t="s">
        <v>210</v>
      </c>
      <c r="R3626" s="345" t="s">
        <v>223</v>
      </c>
      <c r="S3626" s="345" t="s">
        <v>224</v>
      </c>
    </row>
    <row r="3627" spans="1:19" x14ac:dyDescent="0.25">
      <c r="A3627" s="311"/>
      <c r="B3627" s="312"/>
      <c r="C3627" s="312"/>
      <c r="D3627" s="312"/>
      <c r="E3627" s="312"/>
      <c r="F3627" s="312"/>
      <c r="G3627" s="328"/>
      <c r="H3627" s="337"/>
      <c r="I3627" s="334"/>
      <c r="J3627" s="314"/>
      <c r="K3627" s="449"/>
      <c r="M3627" s="349" t="str">
        <f>N3627&amp;AS[[#This Row],[Insurer Code]]&amp;"; "&amp;O3627&amp;AS[[#This Row],[Reporting Year]]&amp;"; "&amp;P3627&amp;AS[[#This Row],[Insurance Category Code]]&amp;"; "&amp;Q3627&amp;AS[[#This Row],[Large Provider Entity Code]]&amp;"; "&amp;R3627&amp;AS[[#This Row],[Age Band Code]]&amp;"; "&amp;S3627&amp;AS[[#This Row],[Sex Code]]</f>
        <v xml:space="preserve">Insurer Code ; Reporting Year ; Insurance Category Code ; Large Provider Entity Code ; Age Band Code ; Sex Code </v>
      </c>
      <c r="N3627" s="345" t="s">
        <v>207</v>
      </c>
      <c r="O3627" s="345" t="s">
        <v>208</v>
      </c>
      <c r="P3627" s="345" t="s">
        <v>209</v>
      </c>
      <c r="Q3627" s="345" t="s">
        <v>210</v>
      </c>
      <c r="R3627" s="345" t="s">
        <v>223</v>
      </c>
      <c r="S3627" s="345" t="s">
        <v>224</v>
      </c>
    </row>
    <row r="3628" spans="1:19" x14ac:dyDescent="0.25">
      <c r="A3628" s="311"/>
      <c r="B3628" s="312"/>
      <c r="C3628" s="312"/>
      <c r="D3628" s="312"/>
      <c r="E3628" s="312"/>
      <c r="F3628" s="312"/>
      <c r="G3628" s="328"/>
      <c r="H3628" s="337"/>
      <c r="I3628" s="334"/>
      <c r="J3628" s="314"/>
      <c r="K3628" s="449"/>
      <c r="M3628" s="349" t="str">
        <f>N3628&amp;AS[[#This Row],[Insurer Code]]&amp;"; "&amp;O3628&amp;AS[[#This Row],[Reporting Year]]&amp;"; "&amp;P3628&amp;AS[[#This Row],[Insurance Category Code]]&amp;"; "&amp;Q3628&amp;AS[[#This Row],[Large Provider Entity Code]]&amp;"; "&amp;R3628&amp;AS[[#This Row],[Age Band Code]]&amp;"; "&amp;S3628&amp;AS[[#This Row],[Sex Code]]</f>
        <v xml:space="preserve">Insurer Code ; Reporting Year ; Insurance Category Code ; Large Provider Entity Code ; Age Band Code ; Sex Code </v>
      </c>
      <c r="N3628" s="345" t="s">
        <v>207</v>
      </c>
      <c r="O3628" s="345" t="s">
        <v>208</v>
      </c>
      <c r="P3628" s="345" t="s">
        <v>209</v>
      </c>
      <c r="Q3628" s="345" t="s">
        <v>210</v>
      </c>
      <c r="R3628" s="345" t="s">
        <v>223</v>
      </c>
      <c r="S3628" s="345" t="s">
        <v>224</v>
      </c>
    </row>
    <row r="3629" spans="1:19" x14ac:dyDescent="0.25">
      <c r="A3629" s="311"/>
      <c r="B3629" s="312"/>
      <c r="C3629" s="312"/>
      <c r="D3629" s="312"/>
      <c r="E3629" s="312"/>
      <c r="F3629" s="312"/>
      <c r="G3629" s="328"/>
      <c r="H3629" s="337"/>
      <c r="I3629" s="334"/>
      <c r="J3629" s="314"/>
      <c r="K3629" s="449"/>
      <c r="M3629" s="349" t="str">
        <f>N3629&amp;AS[[#This Row],[Insurer Code]]&amp;"; "&amp;O3629&amp;AS[[#This Row],[Reporting Year]]&amp;"; "&amp;P3629&amp;AS[[#This Row],[Insurance Category Code]]&amp;"; "&amp;Q3629&amp;AS[[#This Row],[Large Provider Entity Code]]&amp;"; "&amp;R3629&amp;AS[[#This Row],[Age Band Code]]&amp;"; "&amp;S3629&amp;AS[[#This Row],[Sex Code]]</f>
        <v xml:space="preserve">Insurer Code ; Reporting Year ; Insurance Category Code ; Large Provider Entity Code ; Age Band Code ; Sex Code </v>
      </c>
      <c r="N3629" s="345" t="s">
        <v>207</v>
      </c>
      <c r="O3629" s="345" t="s">
        <v>208</v>
      </c>
      <c r="P3629" s="345" t="s">
        <v>209</v>
      </c>
      <c r="Q3629" s="345" t="s">
        <v>210</v>
      </c>
      <c r="R3629" s="345" t="s">
        <v>223</v>
      </c>
      <c r="S3629" s="345" t="s">
        <v>224</v>
      </c>
    </row>
    <row r="3630" spans="1:19" x14ac:dyDescent="0.25">
      <c r="A3630" s="311"/>
      <c r="B3630" s="312"/>
      <c r="C3630" s="312"/>
      <c r="D3630" s="312"/>
      <c r="E3630" s="312"/>
      <c r="F3630" s="312"/>
      <c r="G3630" s="328"/>
      <c r="H3630" s="337"/>
      <c r="I3630" s="334"/>
      <c r="J3630" s="314"/>
      <c r="K3630" s="449"/>
      <c r="M3630" s="349" t="str">
        <f>N3630&amp;AS[[#This Row],[Insurer Code]]&amp;"; "&amp;O3630&amp;AS[[#This Row],[Reporting Year]]&amp;"; "&amp;P3630&amp;AS[[#This Row],[Insurance Category Code]]&amp;"; "&amp;Q3630&amp;AS[[#This Row],[Large Provider Entity Code]]&amp;"; "&amp;R3630&amp;AS[[#This Row],[Age Band Code]]&amp;"; "&amp;S3630&amp;AS[[#This Row],[Sex Code]]</f>
        <v xml:space="preserve">Insurer Code ; Reporting Year ; Insurance Category Code ; Large Provider Entity Code ; Age Band Code ; Sex Code </v>
      </c>
      <c r="N3630" s="345" t="s">
        <v>207</v>
      </c>
      <c r="O3630" s="345" t="s">
        <v>208</v>
      </c>
      <c r="P3630" s="345" t="s">
        <v>209</v>
      </c>
      <c r="Q3630" s="345" t="s">
        <v>210</v>
      </c>
      <c r="R3630" s="345" t="s">
        <v>223</v>
      </c>
      <c r="S3630" s="345" t="s">
        <v>224</v>
      </c>
    </row>
    <row r="3631" spans="1:19" x14ac:dyDescent="0.25">
      <c r="A3631" s="311"/>
      <c r="B3631" s="312"/>
      <c r="C3631" s="312"/>
      <c r="D3631" s="312"/>
      <c r="E3631" s="312"/>
      <c r="F3631" s="312"/>
      <c r="G3631" s="328"/>
      <c r="H3631" s="337"/>
      <c r="I3631" s="334"/>
      <c r="J3631" s="314"/>
      <c r="K3631" s="449"/>
      <c r="M3631" s="349" t="str">
        <f>N3631&amp;AS[[#This Row],[Insurer Code]]&amp;"; "&amp;O3631&amp;AS[[#This Row],[Reporting Year]]&amp;"; "&amp;P3631&amp;AS[[#This Row],[Insurance Category Code]]&amp;"; "&amp;Q3631&amp;AS[[#This Row],[Large Provider Entity Code]]&amp;"; "&amp;R3631&amp;AS[[#This Row],[Age Band Code]]&amp;"; "&amp;S3631&amp;AS[[#This Row],[Sex Code]]</f>
        <v xml:space="preserve">Insurer Code ; Reporting Year ; Insurance Category Code ; Large Provider Entity Code ; Age Band Code ; Sex Code </v>
      </c>
      <c r="N3631" s="345" t="s">
        <v>207</v>
      </c>
      <c r="O3631" s="345" t="s">
        <v>208</v>
      </c>
      <c r="P3631" s="345" t="s">
        <v>209</v>
      </c>
      <c r="Q3631" s="345" t="s">
        <v>210</v>
      </c>
      <c r="R3631" s="345" t="s">
        <v>223</v>
      </c>
      <c r="S3631" s="345" t="s">
        <v>224</v>
      </c>
    </row>
    <row r="3632" spans="1:19" x14ac:dyDescent="0.25">
      <c r="A3632" s="311"/>
      <c r="B3632" s="312"/>
      <c r="C3632" s="312"/>
      <c r="D3632" s="312"/>
      <c r="E3632" s="312"/>
      <c r="F3632" s="312"/>
      <c r="G3632" s="328"/>
      <c r="H3632" s="337"/>
      <c r="I3632" s="334"/>
      <c r="J3632" s="314"/>
      <c r="K3632" s="449"/>
      <c r="M3632" s="349" t="str">
        <f>N3632&amp;AS[[#This Row],[Insurer Code]]&amp;"; "&amp;O3632&amp;AS[[#This Row],[Reporting Year]]&amp;"; "&amp;P3632&amp;AS[[#This Row],[Insurance Category Code]]&amp;"; "&amp;Q3632&amp;AS[[#This Row],[Large Provider Entity Code]]&amp;"; "&amp;R3632&amp;AS[[#This Row],[Age Band Code]]&amp;"; "&amp;S3632&amp;AS[[#This Row],[Sex Code]]</f>
        <v xml:space="preserve">Insurer Code ; Reporting Year ; Insurance Category Code ; Large Provider Entity Code ; Age Band Code ; Sex Code </v>
      </c>
      <c r="N3632" s="345" t="s">
        <v>207</v>
      </c>
      <c r="O3632" s="345" t="s">
        <v>208</v>
      </c>
      <c r="P3632" s="345" t="s">
        <v>209</v>
      </c>
      <c r="Q3632" s="345" t="s">
        <v>210</v>
      </c>
      <c r="R3632" s="345" t="s">
        <v>223</v>
      </c>
      <c r="S3632" s="345" t="s">
        <v>224</v>
      </c>
    </row>
    <row r="3633" spans="1:19" x14ac:dyDescent="0.25">
      <c r="A3633" s="311"/>
      <c r="B3633" s="312"/>
      <c r="C3633" s="312"/>
      <c r="D3633" s="312"/>
      <c r="E3633" s="312"/>
      <c r="F3633" s="312"/>
      <c r="G3633" s="328"/>
      <c r="H3633" s="337"/>
      <c r="I3633" s="334"/>
      <c r="J3633" s="314"/>
      <c r="K3633" s="449"/>
      <c r="M3633" s="349" t="str">
        <f>N3633&amp;AS[[#This Row],[Insurer Code]]&amp;"; "&amp;O3633&amp;AS[[#This Row],[Reporting Year]]&amp;"; "&amp;P3633&amp;AS[[#This Row],[Insurance Category Code]]&amp;"; "&amp;Q3633&amp;AS[[#This Row],[Large Provider Entity Code]]&amp;"; "&amp;R3633&amp;AS[[#This Row],[Age Band Code]]&amp;"; "&amp;S3633&amp;AS[[#This Row],[Sex Code]]</f>
        <v xml:space="preserve">Insurer Code ; Reporting Year ; Insurance Category Code ; Large Provider Entity Code ; Age Band Code ; Sex Code </v>
      </c>
      <c r="N3633" s="345" t="s">
        <v>207</v>
      </c>
      <c r="O3633" s="345" t="s">
        <v>208</v>
      </c>
      <c r="P3633" s="345" t="s">
        <v>209</v>
      </c>
      <c r="Q3633" s="345" t="s">
        <v>210</v>
      </c>
      <c r="R3633" s="345" t="s">
        <v>223</v>
      </c>
      <c r="S3633" s="345" t="s">
        <v>224</v>
      </c>
    </row>
    <row r="3634" spans="1:19" x14ac:dyDescent="0.25">
      <c r="A3634" s="311"/>
      <c r="B3634" s="312"/>
      <c r="C3634" s="312"/>
      <c r="D3634" s="312"/>
      <c r="E3634" s="312"/>
      <c r="F3634" s="312"/>
      <c r="G3634" s="328"/>
      <c r="H3634" s="337"/>
      <c r="I3634" s="334"/>
      <c r="J3634" s="314"/>
      <c r="K3634" s="449"/>
      <c r="M3634" s="349" t="str">
        <f>N3634&amp;AS[[#This Row],[Insurer Code]]&amp;"; "&amp;O3634&amp;AS[[#This Row],[Reporting Year]]&amp;"; "&amp;P3634&amp;AS[[#This Row],[Insurance Category Code]]&amp;"; "&amp;Q3634&amp;AS[[#This Row],[Large Provider Entity Code]]&amp;"; "&amp;R3634&amp;AS[[#This Row],[Age Band Code]]&amp;"; "&amp;S3634&amp;AS[[#This Row],[Sex Code]]</f>
        <v xml:space="preserve">Insurer Code ; Reporting Year ; Insurance Category Code ; Large Provider Entity Code ; Age Band Code ; Sex Code </v>
      </c>
      <c r="N3634" s="345" t="s">
        <v>207</v>
      </c>
      <c r="O3634" s="345" t="s">
        <v>208</v>
      </c>
      <c r="P3634" s="345" t="s">
        <v>209</v>
      </c>
      <c r="Q3634" s="345" t="s">
        <v>210</v>
      </c>
      <c r="R3634" s="345" t="s">
        <v>223</v>
      </c>
      <c r="S3634" s="345" t="s">
        <v>224</v>
      </c>
    </row>
    <row r="3635" spans="1:19" x14ac:dyDescent="0.25">
      <c r="A3635" s="311"/>
      <c r="B3635" s="312"/>
      <c r="C3635" s="312"/>
      <c r="D3635" s="312"/>
      <c r="E3635" s="312"/>
      <c r="F3635" s="312"/>
      <c r="G3635" s="328"/>
      <c r="H3635" s="337"/>
      <c r="I3635" s="334"/>
      <c r="J3635" s="314"/>
      <c r="K3635" s="449"/>
      <c r="M3635" s="349" t="str">
        <f>N3635&amp;AS[[#This Row],[Insurer Code]]&amp;"; "&amp;O3635&amp;AS[[#This Row],[Reporting Year]]&amp;"; "&amp;P3635&amp;AS[[#This Row],[Insurance Category Code]]&amp;"; "&amp;Q3635&amp;AS[[#This Row],[Large Provider Entity Code]]&amp;"; "&amp;R3635&amp;AS[[#This Row],[Age Band Code]]&amp;"; "&amp;S3635&amp;AS[[#This Row],[Sex Code]]</f>
        <v xml:space="preserve">Insurer Code ; Reporting Year ; Insurance Category Code ; Large Provider Entity Code ; Age Band Code ; Sex Code </v>
      </c>
      <c r="N3635" s="345" t="s">
        <v>207</v>
      </c>
      <c r="O3635" s="345" t="s">
        <v>208</v>
      </c>
      <c r="P3635" s="345" t="s">
        <v>209</v>
      </c>
      <c r="Q3635" s="345" t="s">
        <v>210</v>
      </c>
      <c r="R3635" s="345" t="s">
        <v>223</v>
      </c>
      <c r="S3635" s="345" t="s">
        <v>224</v>
      </c>
    </row>
    <row r="3636" spans="1:19" x14ac:dyDescent="0.25">
      <c r="A3636" s="311"/>
      <c r="B3636" s="312"/>
      <c r="C3636" s="312"/>
      <c r="D3636" s="312"/>
      <c r="E3636" s="312"/>
      <c r="F3636" s="312"/>
      <c r="G3636" s="328"/>
      <c r="H3636" s="337"/>
      <c r="I3636" s="334"/>
      <c r="J3636" s="314"/>
      <c r="K3636" s="449"/>
      <c r="M3636" s="349" t="str">
        <f>N3636&amp;AS[[#This Row],[Insurer Code]]&amp;"; "&amp;O3636&amp;AS[[#This Row],[Reporting Year]]&amp;"; "&amp;P3636&amp;AS[[#This Row],[Insurance Category Code]]&amp;"; "&amp;Q3636&amp;AS[[#This Row],[Large Provider Entity Code]]&amp;"; "&amp;R3636&amp;AS[[#This Row],[Age Band Code]]&amp;"; "&amp;S3636&amp;AS[[#This Row],[Sex Code]]</f>
        <v xml:space="preserve">Insurer Code ; Reporting Year ; Insurance Category Code ; Large Provider Entity Code ; Age Band Code ; Sex Code </v>
      </c>
      <c r="N3636" s="345" t="s">
        <v>207</v>
      </c>
      <c r="O3636" s="345" t="s">
        <v>208</v>
      </c>
      <c r="P3636" s="345" t="s">
        <v>209</v>
      </c>
      <c r="Q3636" s="345" t="s">
        <v>210</v>
      </c>
      <c r="R3636" s="345" t="s">
        <v>223</v>
      </c>
      <c r="S3636" s="345" t="s">
        <v>224</v>
      </c>
    </row>
    <row r="3637" spans="1:19" x14ac:dyDescent="0.25">
      <c r="A3637" s="311"/>
      <c r="B3637" s="312"/>
      <c r="C3637" s="312"/>
      <c r="D3637" s="312"/>
      <c r="E3637" s="312"/>
      <c r="F3637" s="312"/>
      <c r="G3637" s="328"/>
      <c r="H3637" s="337"/>
      <c r="I3637" s="334"/>
      <c r="J3637" s="314"/>
      <c r="K3637" s="449"/>
      <c r="M3637" s="349" t="str">
        <f>N3637&amp;AS[[#This Row],[Insurer Code]]&amp;"; "&amp;O3637&amp;AS[[#This Row],[Reporting Year]]&amp;"; "&amp;P3637&amp;AS[[#This Row],[Insurance Category Code]]&amp;"; "&amp;Q3637&amp;AS[[#This Row],[Large Provider Entity Code]]&amp;"; "&amp;R3637&amp;AS[[#This Row],[Age Band Code]]&amp;"; "&amp;S3637&amp;AS[[#This Row],[Sex Code]]</f>
        <v xml:space="preserve">Insurer Code ; Reporting Year ; Insurance Category Code ; Large Provider Entity Code ; Age Band Code ; Sex Code </v>
      </c>
      <c r="N3637" s="345" t="s">
        <v>207</v>
      </c>
      <c r="O3637" s="345" t="s">
        <v>208</v>
      </c>
      <c r="P3637" s="345" t="s">
        <v>209</v>
      </c>
      <c r="Q3637" s="345" t="s">
        <v>210</v>
      </c>
      <c r="R3637" s="345" t="s">
        <v>223</v>
      </c>
      <c r="S3637" s="345" t="s">
        <v>224</v>
      </c>
    </row>
    <row r="3638" spans="1:19" x14ac:dyDescent="0.25">
      <c r="A3638" s="311"/>
      <c r="B3638" s="312"/>
      <c r="C3638" s="312"/>
      <c r="D3638" s="312"/>
      <c r="E3638" s="312"/>
      <c r="F3638" s="312"/>
      <c r="G3638" s="328"/>
      <c r="H3638" s="337"/>
      <c r="I3638" s="334"/>
      <c r="J3638" s="314"/>
      <c r="K3638" s="449"/>
      <c r="M3638" s="349" t="str">
        <f>N3638&amp;AS[[#This Row],[Insurer Code]]&amp;"; "&amp;O3638&amp;AS[[#This Row],[Reporting Year]]&amp;"; "&amp;P3638&amp;AS[[#This Row],[Insurance Category Code]]&amp;"; "&amp;Q3638&amp;AS[[#This Row],[Large Provider Entity Code]]&amp;"; "&amp;R3638&amp;AS[[#This Row],[Age Band Code]]&amp;"; "&amp;S3638&amp;AS[[#This Row],[Sex Code]]</f>
        <v xml:space="preserve">Insurer Code ; Reporting Year ; Insurance Category Code ; Large Provider Entity Code ; Age Band Code ; Sex Code </v>
      </c>
      <c r="N3638" s="345" t="s">
        <v>207</v>
      </c>
      <c r="O3638" s="345" t="s">
        <v>208</v>
      </c>
      <c r="P3638" s="345" t="s">
        <v>209</v>
      </c>
      <c r="Q3638" s="345" t="s">
        <v>210</v>
      </c>
      <c r="R3638" s="345" t="s">
        <v>223</v>
      </c>
      <c r="S3638" s="345" t="s">
        <v>224</v>
      </c>
    </row>
    <row r="3639" spans="1:19" x14ac:dyDescent="0.25">
      <c r="A3639" s="311"/>
      <c r="B3639" s="312"/>
      <c r="C3639" s="312"/>
      <c r="D3639" s="312"/>
      <c r="E3639" s="312"/>
      <c r="F3639" s="312"/>
      <c r="G3639" s="328"/>
      <c r="H3639" s="337"/>
      <c r="I3639" s="334"/>
      <c r="J3639" s="314"/>
      <c r="K3639" s="449"/>
      <c r="M3639" s="349" t="str">
        <f>N3639&amp;AS[[#This Row],[Insurer Code]]&amp;"; "&amp;O3639&amp;AS[[#This Row],[Reporting Year]]&amp;"; "&amp;P3639&amp;AS[[#This Row],[Insurance Category Code]]&amp;"; "&amp;Q3639&amp;AS[[#This Row],[Large Provider Entity Code]]&amp;"; "&amp;R3639&amp;AS[[#This Row],[Age Band Code]]&amp;"; "&amp;S3639&amp;AS[[#This Row],[Sex Code]]</f>
        <v xml:space="preserve">Insurer Code ; Reporting Year ; Insurance Category Code ; Large Provider Entity Code ; Age Band Code ; Sex Code </v>
      </c>
      <c r="N3639" s="345" t="s">
        <v>207</v>
      </c>
      <c r="O3639" s="345" t="s">
        <v>208</v>
      </c>
      <c r="P3639" s="345" t="s">
        <v>209</v>
      </c>
      <c r="Q3639" s="345" t="s">
        <v>210</v>
      </c>
      <c r="R3639" s="345" t="s">
        <v>223</v>
      </c>
      <c r="S3639" s="345" t="s">
        <v>224</v>
      </c>
    </row>
    <row r="3640" spans="1:19" x14ac:dyDescent="0.25">
      <c r="A3640" s="311"/>
      <c r="B3640" s="312"/>
      <c r="C3640" s="312"/>
      <c r="D3640" s="312"/>
      <c r="E3640" s="312"/>
      <c r="F3640" s="312"/>
      <c r="G3640" s="328"/>
      <c r="H3640" s="337"/>
      <c r="I3640" s="334"/>
      <c r="J3640" s="314"/>
      <c r="K3640" s="449"/>
      <c r="M3640" s="349" t="str">
        <f>N3640&amp;AS[[#This Row],[Insurer Code]]&amp;"; "&amp;O3640&amp;AS[[#This Row],[Reporting Year]]&amp;"; "&amp;P3640&amp;AS[[#This Row],[Insurance Category Code]]&amp;"; "&amp;Q3640&amp;AS[[#This Row],[Large Provider Entity Code]]&amp;"; "&amp;R3640&amp;AS[[#This Row],[Age Band Code]]&amp;"; "&amp;S3640&amp;AS[[#This Row],[Sex Code]]</f>
        <v xml:space="preserve">Insurer Code ; Reporting Year ; Insurance Category Code ; Large Provider Entity Code ; Age Band Code ; Sex Code </v>
      </c>
      <c r="N3640" s="345" t="s">
        <v>207</v>
      </c>
      <c r="O3640" s="345" t="s">
        <v>208</v>
      </c>
      <c r="P3640" s="345" t="s">
        <v>209</v>
      </c>
      <c r="Q3640" s="345" t="s">
        <v>210</v>
      </c>
      <c r="R3640" s="345" t="s">
        <v>223</v>
      </c>
      <c r="S3640" s="345" t="s">
        <v>224</v>
      </c>
    </row>
    <row r="3641" spans="1:19" x14ac:dyDescent="0.25">
      <c r="A3641" s="311"/>
      <c r="B3641" s="312"/>
      <c r="C3641" s="312"/>
      <c r="D3641" s="312"/>
      <c r="E3641" s="312"/>
      <c r="F3641" s="312"/>
      <c r="G3641" s="328"/>
      <c r="H3641" s="337"/>
      <c r="I3641" s="334"/>
      <c r="J3641" s="314"/>
      <c r="K3641" s="449"/>
      <c r="M3641" s="349" t="str">
        <f>N3641&amp;AS[[#This Row],[Insurer Code]]&amp;"; "&amp;O3641&amp;AS[[#This Row],[Reporting Year]]&amp;"; "&amp;P3641&amp;AS[[#This Row],[Insurance Category Code]]&amp;"; "&amp;Q3641&amp;AS[[#This Row],[Large Provider Entity Code]]&amp;"; "&amp;R3641&amp;AS[[#This Row],[Age Band Code]]&amp;"; "&amp;S3641&amp;AS[[#This Row],[Sex Code]]</f>
        <v xml:space="preserve">Insurer Code ; Reporting Year ; Insurance Category Code ; Large Provider Entity Code ; Age Band Code ; Sex Code </v>
      </c>
      <c r="N3641" s="345" t="s">
        <v>207</v>
      </c>
      <c r="O3641" s="345" t="s">
        <v>208</v>
      </c>
      <c r="P3641" s="345" t="s">
        <v>209</v>
      </c>
      <c r="Q3641" s="345" t="s">
        <v>210</v>
      </c>
      <c r="R3641" s="345" t="s">
        <v>223</v>
      </c>
      <c r="S3641" s="345" t="s">
        <v>224</v>
      </c>
    </row>
    <row r="3642" spans="1:19" x14ac:dyDescent="0.25">
      <c r="A3642" s="311"/>
      <c r="B3642" s="312"/>
      <c r="C3642" s="312"/>
      <c r="D3642" s="312"/>
      <c r="E3642" s="312"/>
      <c r="F3642" s="312"/>
      <c r="G3642" s="328"/>
      <c r="H3642" s="337"/>
      <c r="I3642" s="334"/>
      <c r="J3642" s="314"/>
      <c r="K3642" s="449"/>
      <c r="M3642" s="349" t="str">
        <f>N3642&amp;AS[[#This Row],[Insurer Code]]&amp;"; "&amp;O3642&amp;AS[[#This Row],[Reporting Year]]&amp;"; "&amp;P3642&amp;AS[[#This Row],[Insurance Category Code]]&amp;"; "&amp;Q3642&amp;AS[[#This Row],[Large Provider Entity Code]]&amp;"; "&amp;R3642&amp;AS[[#This Row],[Age Band Code]]&amp;"; "&amp;S3642&amp;AS[[#This Row],[Sex Code]]</f>
        <v xml:space="preserve">Insurer Code ; Reporting Year ; Insurance Category Code ; Large Provider Entity Code ; Age Band Code ; Sex Code </v>
      </c>
      <c r="N3642" s="345" t="s">
        <v>207</v>
      </c>
      <c r="O3642" s="345" t="s">
        <v>208</v>
      </c>
      <c r="P3642" s="345" t="s">
        <v>209</v>
      </c>
      <c r="Q3642" s="345" t="s">
        <v>210</v>
      </c>
      <c r="R3642" s="345" t="s">
        <v>223</v>
      </c>
      <c r="S3642" s="345" t="s">
        <v>224</v>
      </c>
    </row>
    <row r="3643" spans="1:19" x14ac:dyDescent="0.25">
      <c r="A3643" s="311"/>
      <c r="B3643" s="312"/>
      <c r="C3643" s="312"/>
      <c r="D3643" s="312"/>
      <c r="E3643" s="312"/>
      <c r="F3643" s="312"/>
      <c r="G3643" s="328"/>
      <c r="H3643" s="337"/>
      <c r="I3643" s="334"/>
      <c r="J3643" s="314"/>
      <c r="K3643" s="449"/>
      <c r="M3643" s="349" t="str">
        <f>N3643&amp;AS[[#This Row],[Insurer Code]]&amp;"; "&amp;O3643&amp;AS[[#This Row],[Reporting Year]]&amp;"; "&amp;P3643&amp;AS[[#This Row],[Insurance Category Code]]&amp;"; "&amp;Q3643&amp;AS[[#This Row],[Large Provider Entity Code]]&amp;"; "&amp;R3643&amp;AS[[#This Row],[Age Band Code]]&amp;"; "&amp;S3643&amp;AS[[#This Row],[Sex Code]]</f>
        <v xml:space="preserve">Insurer Code ; Reporting Year ; Insurance Category Code ; Large Provider Entity Code ; Age Band Code ; Sex Code </v>
      </c>
      <c r="N3643" s="345" t="s">
        <v>207</v>
      </c>
      <c r="O3643" s="345" t="s">
        <v>208</v>
      </c>
      <c r="P3643" s="345" t="s">
        <v>209</v>
      </c>
      <c r="Q3643" s="345" t="s">
        <v>210</v>
      </c>
      <c r="R3643" s="345" t="s">
        <v>223</v>
      </c>
      <c r="S3643" s="345" t="s">
        <v>224</v>
      </c>
    </row>
    <row r="3644" spans="1:19" x14ac:dyDescent="0.25">
      <c r="A3644" s="311"/>
      <c r="B3644" s="312"/>
      <c r="C3644" s="312"/>
      <c r="D3644" s="312"/>
      <c r="E3644" s="312"/>
      <c r="F3644" s="312"/>
      <c r="G3644" s="328"/>
      <c r="H3644" s="337"/>
      <c r="I3644" s="334"/>
      <c r="J3644" s="314"/>
      <c r="K3644" s="449"/>
      <c r="M3644" s="349" t="str">
        <f>N3644&amp;AS[[#This Row],[Insurer Code]]&amp;"; "&amp;O3644&amp;AS[[#This Row],[Reporting Year]]&amp;"; "&amp;P3644&amp;AS[[#This Row],[Insurance Category Code]]&amp;"; "&amp;Q3644&amp;AS[[#This Row],[Large Provider Entity Code]]&amp;"; "&amp;R3644&amp;AS[[#This Row],[Age Band Code]]&amp;"; "&amp;S3644&amp;AS[[#This Row],[Sex Code]]</f>
        <v xml:space="preserve">Insurer Code ; Reporting Year ; Insurance Category Code ; Large Provider Entity Code ; Age Band Code ; Sex Code </v>
      </c>
      <c r="N3644" s="345" t="s">
        <v>207</v>
      </c>
      <c r="O3644" s="345" t="s">
        <v>208</v>
      </c>
      <c r="P3644" s="345" t="s">
        <v>209</v>
      </c>
      <c r="Q3644" s="345" t="s">
        <v>210</v>
      </c>
      <c r="R3644" s="345" t="s">
        <v>223</v>
      </c>
      <c r="S3644" s="345" t="s">
        <v>224</v>
      </c>
    </row>
    <row r="3645" spans="1:19" x14ac:dyDescent="0.25">
      <c r="A3645" s="311"/>
      <c r="B3645" s="312"/>
      <c r="C3645" s="312"/>
      <c r="D3645" s="312"/>
      <c r="E3645" s="312"/>
      <c r="F3645" s="312"/>
      <c r="G3645" s="328"/>
      <c r="H3645" s="337"/>
      <c r="I3645" s="334"/>
      <c r="J3645" s="314"/>
      <c r="K3645" s="449"/>
      <c r="M3645" s="349" t="str">
        <f>N3645&amp;AS[[#This Row],[Insurer Code]]&amp;"; "&amp;O3645&amp;AS[[#This Row],[Reporting Year]]&amp;"; "&amp;P3645&amp;AS[[#This Row],[Insurance Category Code]]&amp;"; "&amp;Q3645&amp;AS[[#This Row],[Large Provider Entity Code]]&amp;"; "&amp;R3645&amp;AS[[#This Row],[Age Band Code]]&amp;"; "&amp;S3645&amp;AS[[#This Row],[Sex Code]]</f>
        <v xml:space="preserve">Insurer Code ; Reporting Year ; Insurance Category Code ; Large Provider Entity Code ; Age Band Code ; Sex Code </v>
      </c>
      <c r="N3645" s="345" t="s">
        <v>207</v>
      </c>
      <c r="O3645" s="345" t="s">
        <v>208</v>
      </c>
      <c r="P3645" s="345" t="s">
        <v>209</v>
      </c>
      <c r="Q3645" s="345" t="s">
        <v>210</v>
      </c>
      <c r="R3645" s="345" t="s">
        <v>223</v>
      </c>
      <c r="S3645" s="345" t="s">
        <v>224</v>
      </c>
    </row>
    <row r="3646" spans="1:19" x14ac:dyDescent="0.25">
      <c r="A3646" s="311"/>
      <c r="B3646" s="312"/>
      <c r="C3646" s="312"/>
      <c r="D3646" s="312"/>
      <c r="E3646" s="312"/>
      <c r="F3646" s="312"/>
      <c r="G3646" s="328"/>
      <c r="H3646" s="337"/>
      <c r="I3646" s="334"/>
      <c r="J3646" s="314"/>
      <c r="K3646" s="449"/>
      <c r="M3646" s="349" t="str">
        <f>N3646&amp;AS[[#This Row],[Insurer Code]]&amp;"; "&amp;O3646&amp;AS[[#This Row],[Reporting Year]]&amp;"; "&amp;P3646&amp;AS[[#This Row],[Insurance Category Code]]&amp;"; "&amp;Q3646&amp;AS[[#This Row],[Large Provider Entity Code]]&amp;"; "&amp;R3646&amp;AS[[#This Row],[Age Band Code]]&amp;"; "&amp;S3646&amp;AS[[#This Row],[Sex Code]]</f>
        <v xml:space="preserve">Insurer Code ; Reporting Year ; Insurance Category Code ; Large Provider Entity Code ; Age Band Code ; Sex Code </v>
      </c>
      <c r="N3646" s="345" t="s">
        <v>207</v>
      </c>
      <c r="O3646" s="345" t="s">
        <v>208</v>
      </c>
      <c r="P3646" s="345" t="s">
        <v>209</v>
      </c>
      <c r="Q3646" s="345" t="s">
        <v>210</v>
      </c>
      <c r="R3646" s="345" t="s">
        <v>223</v>
      </c>
      <c r="S3646" s="345" t="s">
        <v>224</v>
      </c>
    </row>
    <row r="3647" spans="1:19" x14ac:dyDescent="0.25">
      <c r="A3647" s="311"/>
      <c r="B3647" s="312"/>
      <c r="C3647" s="312"/>
      <c r="D3647" s="312"/>
      <c r="E3647" s="312"/>
      <c r="F3647" s="312"/>
      <c r="G3647" s="328"/>
      <c r="H3647" s="337"/>
      <c r="I3647" s="334"/>
      <c r="J3647" s="314"/>
      <c r="K3647" s="449"/>
      <c r="M3647" s="349" t="str">
        <f>N3647&amp;AS[[#This Row],[Insurer Code]]&amp;"; "&amp;O3647&amp;AS[[#This Row],[Reporting Year]]&amp;"; "&amp;P3647&amp;AS[[#This Row],[Insurance Category Code]]&amp;"; "&amp;Q3647&amp;AS[[#This Row],[Large Provider Entity Code]]&amp;"; "&amp;R3647&amp;AS[[#This Row],[Age Band Code]]&amp;"; "&amp;S3647&amp;AS[[#This Row],[Sex Code]]</f>
        <v xml:space="preserve">Insurer Code ; Reporting Year ; Insurance Category Code ; Large Provider Entity Code ; Age Band Code ; Sex Code </v>
      </c>
      <c r="N3647" s="345" t="s">
        <v>207</v>
      </c>
      <c r="O3647" s="345" t="s">
        <v>208</v>
      </c>
      <c r="P3647" s="345" t="s">
        <v>209</v>
      </c>
      <c r="Q3647" s="345" t="s">
        <v>210</v>
      </c>
      <c r="R3647" s="345" t="s">
        <v>223</v>
      </c>
      <c r="S3647" s="345" t="s">
        <v>224</v>
      </c>
    </row>
    <row r="3648" spans="1:19" x14ac:dyDescent="0.25">
      <c r="A3648" s="311"/>
      <c r="B3648" s="312"/>
      <c r="C3648" s="312"/>
      <c r="D3648" s="312"/>
      <c r="E3648" s="312"/>
      <c r="F3648" s="312"/>
      <c r="G3648" s="328"/>
      <c r="H3648" s="337"/>
      <c r="I3648" s="334"/>
      <c r="J3648" s="314"/>
      <c r="K3648" s="449"/>
      <c r="M3648" s="349" t="str">
        <f>N3648&amp;AS[[#This Row],[Insurer Code]]&amp;"; "&amp;O3648&amp;AS[[#This Row],[Reporting Year]]&amp;"; "&amp;P3648&amp;AS[[#This Row],[Insurance Category Code]]&amp;"; "&amp;Q3648&amp;AS[[#This Row],[Large Provider Entity Code]]&amp;"; "&amp;R3648&amp;AS[[#This Row],[Age Band Code]]&amp;"; "&amp;S3648&amp;AS[[#This Row],[Sex Code]]</f>
        <v xml:space="preserve">Insurer Code ; Reporting Year ; Insurance Category Code ; Large Provider Entity Code ; Age Band Code ; Sex Code </v>
      </c>
      <c r="N3648" s="345" t="s">
        <v>207</v>
      </c>
      <c r="O3648" s="345" t="s">
        <v>208</v>
      </c>
      <c r="P3648" s="345" t="s">
        <v>209</v>
      </c>
      <c r="Q3648" s="345" t="s">
        <v>210</v>
      </c>
      <c r="R3648" s="345" t="s">
        <v>223</v>
      </c>
      <c r="S3648" s="345" t="s">
        <v>224</v>
      </c>
    </row>
    <row r="3649" spans="1:19" x14ac:dyDescent="0.25">
      <c r="A3649" s="311"/>
      <c r="B3649" s="312"/>
      <c r="C3649" s="312"/>
      <c r="D3649" s="312"/>
      <c r="E3649" s="312"/>
      <c r="F3649" s="312"/>
      <c r="G3649" s="328"/>
      <c r="H3649" s="337"/>
      <c r="I3649" s="334"/>
      <c r="J3649" s="314"/>
      <c r="K3649" s="449"/>
      <c r="M3649" s="349" t="str">
        <f>N3649&amp;AS[[#This Row],[Insurer Code]]&amp;"; "&amp;O3649&amp;AS[[#This Row],[Reporting Year]]&amp;"; "&amp;P3649&amp;AS[[#This Row],[Insurance Category Code]]&amp;"; "&amp;Q3649&amp;AS[[#This Row],[Large Provider Entity Code]]&amp;"; "&amp;R3649&amp;AS[[#This Row],[Age Band Code]]&amp;"; "&amp;S3649&amp;AS[[#This Row],[Sex Code]]</f>
        <v xml:space="preserve">Insurer Code ; Reporting Year ; Insurance Category Code ; Large Provider Entity Code ; Age Band Code ; Sex Code </v>
      </c>
      <c r="N3649" s="345" t="s">
        <v>207</v>
      </c>
      <c r="O3649" s="345" t="s">
        <v>208</v>
      </c>
      <c r="P3649" s="345" t="s">
        <v>209</v>
      </c>
      <c r="Q3649" s="345" t="s">
        <v>210</v>
      </c>
      <c r="R3649" s="345" t="s">
        <v>223</v>
      </c>
      <c r="S3649" s="345" t="s">
        <v>224</v>
      </c>
    </row>
    <row r="3650" spans="1:19" x14ac:dyDescent="0.25">
      <c r="A3650" s="311"/>
      <c r="B3650" s="312"/>
      <c r="C3650" s="312"/>
      <c r="D3650" s="312"/>
      <c r="E3650" s="312"/>
      <c r="F3650" s="312"/>
      <c r="G3650" s="328"/>
      <c r="H3650" s="337"/>
      <c r="I3650" s="334"/>
      <c r="J3650" s="314"/>
      <c r="K3650" s="449"/>
      <c r="M3650" s="349" t="str">
        <f>N3650&amp;AS[[#This Row],[Insurer Code]]&amp;"; "&amp;O3650&amp;AS[[#This Row],[Reporting Year]]&amp;"; "&amp;P3650&amp;AS[[#This Row],[Insurance Category Code]]&amp;"; "&amp;Q3650&amp;AS[[#This Row],[Large Provider Entity Code]]&amp;"; "&amp;R3650&amp;AS[[#This Row],[Age Band Code]]&amp;"; "&amp;S3650&amp;AS[[#This Row],[Sex Code]]</f>
        <v xml:space="preserve">Insurer Code ; Reporting Year ; Insurance Category Code ; Large Provider Entity Code ; Age Band Code ; Sex Code </v>
      </c>
      <c r="N3650" s="345" t="s">
        <v>207</v>
      </c>
      <c r="O3650" s="345" t="s">
        <v>208</v>
      </c>
      <c r="P3650" s="345" t="s">
        <v>209</v>
      </c>
      <c r="Q3650" s="345" t="s">
        <v>210</v>
      </c>
      <c r="R3650" s="345" t="s">
        <v>223</v>
      </c>
      <c r="S3650" s="345" t="s">
        <v>224</v>
      </c>
    </row>
    <row r="3651" spans="1:19" x14ac:dyDescent="0.25">
      <c r="A3651" s="311"/>
      <c r="B3651" s="312"/>
      <c r="C3651" s="312"/>
      <c r="D3651" s="312"/>
      <c r="E3651" s="312"/>
      <c r="F3651" s="312"/>
      <c r="G3651" s="328"/>
      <c r="H3651" s="337"/>
      <c r="I3651" s="334"/>
      <c r="J3651" s="314"/>
      <c r="K3651" s="449"/>
      <c r="M3651" s="349" t="str">
        <f>N3651&amp;AS[[#This Row],[Insurer Code]]&amp;"; "&amp;O3651&amp;AS[[#This Row],[Reporting Year]]&amp;"; "&amp;P3651&amp;AS[[#This Row],[Insurance Category Code]]&amp;"; "&amp;Q3651&amp;AS[[#This Row],[Large Provider Entity Code]]&amp;"; "&amp;R3651&amp;AS[[#This Row],[Age Band Code]]&amp;"; "&amp;S3651&amp;AS[[#This Row],[Sex Code]]</f>
        <v xml:space="preserve">Insurer Code ; Reporting Year ; Insurance Category Code ; Large Provider Entity Code ; Age Band Code ; Sex Code </v>
      </c>
      <c r="N3651" s="345" t="s">
        <v>207</v>
      </c>
      <c r="O3651" s="345" t="s">
        <v>208</v>
      </c>
      <c r="P3651" s="345" t="s">
        <v>209</v>
      </c>
      <c r="Q3651" s="345" t="s">
        <v>210</v>
      </c>
      <c r="R3651" s="345" t="s">
        <v>223</v>
      </c>
      <c r="S3651" s="345" t="s">
        <v>224</v>
      </c>
    </row>
    <row r="3652" spans="1:19" x14ac:dyDescent="0.25">
      <c r="A3652" s="311"/>
      <c r="B3652" s="312"/>
      <c r="C3652" s="312"/>
      <c r="D3652" s="312"/>
      <c r="E3652" s="312"/>
      <c r="F3652" s="312"/>
      <c r="G3652" s="328"/>
      <c r="H3652" s="337"/>
      <c r="I3652" s="334"/>
      <c r="J3652" s="314"/>
      <c r="K3652" s="449"/>
      <c r="M3652" s="349" t="str">
        <f>N3652&amp;AS[[#This Row],[Insurer Code]]&amp;"; "&amp;O3652&amp;AS[[#This Row],[Reporting Year]]&amp;"; "&amp;P3652&amp;AS[[#This Row],[Insurance Category Code]]&amp;"; "&amp;Q3652&amp;AS[[#This Row],[Large Provider Entity Code]]&amp;"; "&amp;R3652&amp;AS[[#This Row],[Age Band Code]]&amp;"; "&amp;S3652&amp;AS[[#This Row],[Sex Code]]</f>
        <v xml:space="preserve">Insurer Code ; Reporting Year ; Insurance Category Code ; Large Provider Entity Code ; Age Band Code ; Sex Code </v>
      </c>
      <c r="N3652" s="345" t="s">
        <v>207</v>
      </c>
      <c r="O3652" s="345" t="s">
        <v>208</v>
      </c>
      <c r="P3652" s="345" t="s">
        <v>209</v>
      </c>
      <c r="Q3652" s="345" t="s">
        <v>210</v>
      </c>
      <c r="R3652" s="345" t="s">
        <v>223</v>
      </c>
      <c r="S3652" s="345" t="s">
        <v>224</v>
      </c>
    </row>
    <row r="3653" spans="1:19" x14ac:dyDescent="0.25">
      <c r="A3653" s="311"/>
      <c r="B3653" s="312"/>
      <c r="C3653" s="312"/>
      <c r="D3653" s="312"/>
      <c r="E3653" s="312"/>
      <c r="F3653" s="312"/>
      <c r="G3653" s="328"/>
      <c r="H3653" s="337"/>
      <c r="I3653" s="334"/>
      <c r="J3653" s="314"/>
      <c r="K3653" s="449"/>
      <c r="M3653" s="349" t="str">
        <f>N3653&amp;AS[[#This Row],[Insurer Code]]&amp;"; "&amp;O3653&amp;AS[[#This Row],[Reporting Year]]&amp;"; "&amp;P3653&amp;AS[[#This Row],[Insurance Category Code]]&amp;"; "&amp;Q3653&amp;AS[[#This Row],[Large Provider Entity Code]]&amp;"; "&amp;R3653&amp;AS[[#This Row],[Age Band Code]]&amp;"; "&amp;S3653&amp;AS[[#This Row],[Sex Code]]</f>
        <v xml:space="preserve">Insurer Code ; Reporting Year ; Insurance Category Code ; Large Provider Entity Code ; Age Band Code ; Sex Code </v>
      </c>
      <c r="N3653" s="345" t="s">
        <v>207</v>
      </c>
      <c r="O3653" s="345" t="s">
        <v>208</v>
      </c>
      <c r="P3653" s="345" t="s">
        <v>209</v>
      </c>
      <c r="Q3653" s="345" t="s">
        <v>210</v>
      </c>
      <c r="R3653" s="345" t="s">
        <v>223</v>
      </c>
      <c r="S3653" s="345" t="s">
        <v>224</v>
      </c>
    </row>
    <row r="3654" spans="1:19" x14ac:dyDescent="0.25">
      <c r="A3654" s="311"/>
      <c r="B3654" s="312"/>
      <c r="C3654" s="312"/>
      <c r="D3654" s="312"/>
      <c r="E3654" s="312"/>
      <c r="F3654" s="312"/>
      <c r="G3654" s="328"/>
      <c r="H3654" s="337"/>
      <c r="I3654" s="334"/>
      <c r="J3654" s="314"/>
      <c r="K3654" s="449"/>
      <c r="M3654" s="349" t="str">
        <f>N3654&amp;AS[[#This Row],[Insurer Code]]&amp;"; "&amp;O3654&amp;AS[[#This Row],[Reporting Year]]&amp;"; "&amp;P3654&amp;AS[[#This Row],[Insurance Category Code]]&amp;"; "&amp;Q3654&amp;AS[[#This Row],[Large Provider Entity Code]]&amp;"; "&amp;R3654&amp;AS[[#This Row],[Age Band Code]]&amp;"; "&amp;S3654&amp;AS[[#This Row],[Sex Code]]</f>
        <v xml:space="preserve">Insurer Code ; Reporting Year ; Insurance Category Code ; Large Provider Entity Code ; Age Band Code ; Sex Code </v>
      </c>
      <c r="N3654" s="345" t="s">
        <v>207</v>
      </c>
      <c r="O3654" s="345" t="s">
        <v>208</v>
      </c>
      <c r="P3654" s="345" t="s">
        <v>209</v>
      </c>
      <c r="Q3654" s="345" t="s">
        <v>210</v>
      </c>
      <c r="R3654" s="345" t="s">
        <v>223</v>
      </c>
      <c r="S3654" s="345" t="s">
        <v>224</v>
      </c>
    </row>
    <row r="3655" spans="1:19" x14ac:dyDescent="0.25">
      <c r="A3655" s="311"/>
      <c r="B3655" s="312"/>
      <c r="C3655" s="312"/>
      <c r="D3655" s="312"/>
      <c r="E3655" s="312"/>
      <c r="F3655" s="312"/>
      <c r="G3655" s="328"/>
      <c r="H3655" s="337"/>
      <c r="I3655" s="334"/>
      <c r="J3655" s="314"/>
      <c r="K3655" s="449"/>
      <c r="M3655" s="349" t="str">
        <f>N3655&amp;AS[[#This Row],[Insurer Code]]&amp;"; "&amp;O3655&amp;AS[[#This Row],[Reporting Year]]&amp;"; "&amp;P3655&amp;AS[[#This Row],[Insurance Category Code]]&amp;"; "&amp;Q3655&amp;AS[[#This Row],[Large Provider Entity Code]]&amp;"; "&amp;R3655&amp;AS[[#This Row],[Age Band Code]]&amp;"; "&amp;S3655&amp;AS[[#This Row],[Sex Code]]</f>
        <v xml:space="preserve">Insurer Code ; Reporting Year ; Insurance Category Code ; Large Provider Entity Code ; Age Band Code ; Sex Code </v>
      </c>
      <c r="N3655" s="345" t="s">
        <v>207</v>
      </c>
      <c r="O3655" s="345" t="s">
        <v>208</v>
      </c>
      <c r="P3655" s="345" t="s">
        <v>209</v>
      </c>
      <c r="Q3655" s="345" t="s">
        <v>210</v>
      </c>
      <c r="R3655" s="345" t="s">
        <v>223</v>
      </c>
      <c r="S3655" s="345" t="s">
        <v>224</v>
      </c>
    </row>
    <row r="3656" spans="1:19" x14ac:dyDescent="0.25">
      <c r="A3656" s="311"/>
      <c r="B3656" s="312"/>
      <c r="C3656" s="312"/>
      <c r="D3656" s="312"/>
      <c r="E3656" s="312"/>
      <c r="F3656" s="312"/>
      <c r="G3656" s="328"/>
      <c r="H3656" s="337"/>
      <c r="I3656" s="334"/>
      <c r="J3656" s="314"/>
      <c r="K3656" s="449"/>
      <c r="M3656" s="349" t="str">
        <f>N3656&amp;AS[[#This Row],[Insurer Code]]&amp;"; "&amp;O3656&amp;AS[[#This Row],[Reporting Year]]&amp;"; "&amp;P3656&amp;AS[[#This Row],[Insurance Category Code]]&amp;"; "&amp;Q3656&amp;AS[[#This Row],[Large Provider Entity Code]]&amp;"; "&amp;R3656&amp;AS[[#This Row],[Age Band Code]]&amp;"; "&amp;S3656&amp;AS[[#This Row],[Sex Code]]</f>
        <v xml:space="preserve">Insurer Code ; Reporting Year ; Insurance Category Code ; Large Provider Entity Code ; Age Band Code ; Sex Code </v>
      </c>
      <c r="N3656" s="345" t="s">
        <v>207</v>
      </c>
      <c r="O3656" s="345" t="s">
        <v>208</v>
      </c>
      <c r="P3656" s="345" t="s">
        <v>209</v>
      </c>
      <c r="Q3656" s="345" t="s">
        <v>210</v>
      </c>
      <c r="R3656" s="345" t="s">
        <v>223</v>
      </c>
      <c r="S3656" s="345" t="s">
        <v>224</v>
      </c>
    </row>
    <row r="3657" spans="1:19" x14ac:dyDescent="0.25">
      <c r="A3657" s="311"/>
      <c r="B3657" s="312"/>
      <c r="C3657" s="312"/>
      <c r="D3657" s="312"/>
      <c r="E3657" s="312"/>
      <c r="F3657" s="312"/>
      <c r="G3657" s="328"/>
      <c r="H3657" s="337"/>
      <c r="I3657" s="334"/>
      <c r="J3657" s="314"/>
      <c r="K3657" s="449"/>
      <c r="M3657" s="349" t="str">
        <f>N3657&amp;AS[[#This Row],[Insurer Code]]&amp;"; "&amp;O3657&amp;AS[[#This Row],[Reporting Year]]&amp;"; "&amp;P3657&amp;AS[[#This Row],[Insurance Category Code]]&amp;"; "&amp;Q3657&amp;AS[[#This Row],[Large Provider Entity Code]]&amp;"; "&amp;R3657&amp;AS[[#This Row],[Age Band Code]]&amp;"; "&amp;S3657&amp;AS[[#This Row],[Sex Code]]</f>
        <v xml:space="preserve">Insurer Code ; Reporting Year ; Insurance Category Code ; Large Provider Entity Code ; Age Band Code ; Sex Code </v>
      </c>
      <c r="N3657" s="345" t="s">
        <v>207</v>
      </c>
      <c r="O3657" s="345" t="s">
        <v>208</v>
      </c>
      <c r="P3657" s="345" t="s">
        <v>209</v>
      </c>
      <c r="Q3657" s="345" t="s">
        <v>210</v>
      </c>
      <c r="R3657" s="345" t="s">
        <v>223</v>
      </c>
      <c r="S3657" s="345" t="s">
        <v>224</v>
      </c>
    </row>
    <row r="3658" spans="1:19" x14ac:dyDescent="0.25">
      <c r="A3658" s="311"/>
      <c r="B3658" s="312"/>
      <c r="C3658" s="312"/>
      <c r="D3658" s="312"/>
      <c r="E3658" s="312"/>
      <c r="F3658" s="312"/>
      <c r="G3658" s="328"/>
      <c r="H3658" s="337"/>
      <c r="I3658" s="334"/>
      <c r="J3658" s="314"/>
      <c r="K3658" s="449"/>
      <c r="M3658" s="349" t="str">
        <f>N3658&amp;AS[[#This Row],[Insurer Code]]&amp;"; "&amp;O3658&amp;AS[[#This Row],[Reporting Year]]&amp;"; "&amp;P3658&amp;AS[[#This Row],[Insurance Category Code]]&amp;"; "&amp;Q3658&amp;AS[[#This Row],[Large Provider Entity Code]]&amp;"; "&amp;R3658&amp;AS[[#This Row],[Age Band Code]]&amp;"; "&amp;S3658&amp;AS[[#This Row],[Sex Code]]</f>
        <v xml:space="preserve">Insurer Code ; Reporting Year ; Insurance Category Code ; Large Provider Entity Code ; Age Band Code ; Sex Code </v>
      </c>
      <c r="N3658" s="345" t="s">
        <v>207</v>
      </c>
      <c r="O3658" s="345" t="s">
        <v>208</v>
      </c>
      <c r="P3658" s="345" t="s">
        <v>209</v>
      </c>
      <c r="Q3658" s="345" t="s">
        <v>210</v>
      </c>
      <c r="R3658" s="345" t="s">
        <v>223</v>
      </c>
      <c r="S3658" s="345" t="s">
        <v>224</v>
      </c>
    </row>
    <row r="3659" spans="1:19" x14ac:dyDescent="0.25">
      <c r="A3659" s="311"/>
      <c r="B3659" s="312"/>
      <c r="C3659" s="312"/>
      <c r="D3659" s="312"/>
      <c r="E3659" s="312"/>
      <c r="F3659" s="312"/>
      <c r="G3659" s="328"/>
      <c r="H3659" s="337"/>
      <c r="I3659" s="334"/>
      <c r="J3659" s="314"/>
      <c r="K3659" s="449"/>
      <c r="M3659" s="349" t="str">
        <f>N3659&amp;AS[[#This Row],[Insurer Code]]&amp;"; "&amp;O3659&amp;AS[[#This Row],[Reporting Year]]&amp;"; "&amp;P3659&amp;AS[[#This Row],[Insurance Category Code]]&amp;"; "&amp;Q3659&amp;AS[[#This Row],[Large Provider Entity Code]]&amp;"; "&amp;R3659&amp;AS[[#This Row],[Age Band Code]]&amp;"; "&amp;S3659&amp;AS[[#This Row],[Sex Code]]</f>
        <v xml:space="preserve">Insurer Code ; Reporting Year ; Insurance Category Code ; Large Provider Entity Code ; Age Band Code ; Sex Code </v>
      </c>
      <c r="N3659" s="345" t="s">
        <v>207</v>
      </c>
      <c r="O3659" s="345" t="s">
        <v>208</v>
      </c>
      <c r="P3659" s="345" t="s">
        <v>209</v>
      </c>
      <c r="Q3659" s="345" t="s">
        <v>210</v>
      </c>
      <c r="R3659" s="345" t="s">
        <v>223</v>
      </c>
      <c r="S3659" s="345" t="s">
        <v>224</v>
      </c>
    </row>
    <row r="3660" spans="1:19" x14ac:dyDescent="0.25">
      <c r="A3660" s="311"/>
      <c r="B3660" s="312"/>
      <c r="C3660" s="312"/>
      <c r="D3660" s="312"/>
      <c r="E3660" s="312"/>
      <c r="F3660" s="312"/>
      <c r="G3660" s="328"/>
      <c r="H3660" s="337"/>
      <c r="I3660" s="334"/>
      <c r="J3660" s="314"/>
      <c r="K3660" s="449"/>
      <c r="M3660" s="349" t="str">
        <f>N3660&amp;AS[[#This Row],[Insurer Code]]&amp;"; "&amp;O3660&amp;AS[[#This Row],[Reporting Year]]&amp;"; "&amp;P3660&amp;AS[[#This Row],[Insurance Category Code]]&amp;"; "&amp;Q3660&amp;AS[[#This Row],[Large Provider Entity Code]]&amp;"; "&amp;R3660&amp;AS[[#This Row],[Age Band Code]]&amp;"; "&amp;S3660&amp;AS[[#This Row],[Sex Code]]</f>
        <v xml:space="preserve">Insurer Code ; Reporting Year ; Insurance Category Code ; Large Provider Entity Code ; Age Band Code ; Sex Code </v>
      </c>
      <c r="N3660" s="345" t="s">
        <v>207</v>
      </c>
      <c r="O3660" s="345" t="s">
        <v>208</v>
      </c>
      <c r="P3660" s="345" t="s">
        <v>209</v>
      </c>
      <c r="Q3660" s="345" t="s">
        <v>210</v>
      </c>
      <c r="R3660" s="345" t="s">
        <v>223</v>
      </c>
      <c r="S3660" s="345" t="s">
        <v>224</v>
      </c>
    </row>
    <row r="3661" spans="1:19" x14ac:dyDescent="0.25">
      <c r="A3661" s="311"/>
      <c r="B3661" s="312"/>
      <c r="C3661" s="312"/>
      <c r="D3661" s="312"/>
      <c r="E3661" s="312"/>
      <c r="F3661" s="312"/>
      <c r="G3661" s="328"/>
      <c r="H3661" s="337"/>
      <c r="I3661" s="334"/>
      <c r="J3661" s="314"/>
      <c r="K3661" s="449"/>
      <c r="M3661" s="349" t="str">
        <f>N3661&amp;AS[[#This Row],[Insurer Code]]&amp;"; "&amp;O3661&amp;AS[[#This Row],[Reporting Year]]&amp;"; "&amp;P3661&amp;AS[[#This Row],[Insurance Category Code]]&amp;"; "&amp;Q3661&amp;AS[[#This Row],[Large Provider Entity Code]]&amp;"; "&amp;R3661&amp;AS[[#This Row],[Age Band Code]]&amp;"; "&amp;S3661&amp;AS[[#This Row],[Sex Code]]</f>
        <v xml:space="preserve">Insurer Code ; Reporting Year ; Insurance Category Code ; Large Provider Entity Code ; Age Band Code ; Sex Code </v>
      </c>
      <c r="N3661" s="345" t="s">
        <v>207</v>
      </c>
      <c r="O3661" s="345" t="s">
        <v>208</v>
      </c>
      <c r="P3661" s="345" t="s">
        <v>209</v>
      </c>
      <c r="Q3661" s="345" t="s">
        <v>210</v>
      </c>
      <c r="R3661" s="345" t="s">
        <v>223</v>
      </c>
      <c r="S3661" s="345" t="s">
        <v>224</v>
      </c>
    </row>
    <row r="3662" spans="1:19" x14ac:dyDescent="0.25">
      <c r="A3662" s="311"/>
      <c r="B3662" s="312"/>
      <c r="C3662" s="312"/>
      <c r="D3662" s="312"/>
      <c r="E3662" s="312"/>
      <c r="F3662" s="312"/>
      <c r="G3662" s="328"/>
      <c r="H3662" s="337"/>
      <c r="I3662" s="334"/>
      <c r="J3662" s="314"/>
      <c r="K3662" s="449"/>
      <c r="M3662" s="349" t="str">
        <f>N3662&amp;AS[[#This Row],[Insurer Code]]&amp;"; "&amp;O3662&amp;AS[[#This Row],[Reporting Year]]&amp;"; "&amp;P3662&amp;AS[[#This Row],[Insurance Category Code]]&amp;"; "&amp;Q3662&amp;AS[[#This Row],[Large Provider Entity Code]]&amp;"; "&amp;R3662&amp;AS[[#This Row],[Age Band Code]]&amp;"; "&amp;S3662&amp;AS[[#This Row],[Sex Code]]</f>
        <v xml:space="preserve">Insurer Code ; Reporting Year ; Insurance Category Code ; Large Provider Entity Code ; Age Band Code ; Sex Code </v>
      </c>
      <c r="N3662" s="345" t="s">
        <v>207</v>
      </c>
      <c r="O3662" s="345" t="s">
        <v>208</v>
      </c>
      <c r="P3662" s="345" t="s">
        <v>209</v>
      </c>
      <c r="Q3662" s="345" t="s">
        <v>210</v>
      </c>
      <c r="R3662" s="345" t="s">
        <v>223</v>
      </c>
      <c r="S3662" s="345" t="s">
        <v>224</v>
      </c>
    </row>
    <row r="3663" spans="1:19" x14ac:dyDescent="0.25">
      <c r="A3663" s="311"/>
      <c r="B3663" s="312"/>
      <c r="C3663" s="312"/>
      <c r="D3663" s="312"/>
      <c r="E3663" s="312"/>
      <c r="F3663" s="312"/>
      <c r="G3663" s="328"/>
      <c r="H3663" s="337"/>
      <c r="I3663" s="334"/>
      <c r="J3663" s="314"/>
      <c r="K3663" s="449"/>
      <c r="M3663" s="349" t="str">
        <f>N3663&amp;AS[[#This Row],[Insurer Code]]&amp;"; "&amp;O3663&amp;AS[[#This Row],[Reporting Year]]&amp;"; "&amp;P3663&amp;AS[[#This Row],[Insurance Category Code]]&amp;"; "&amp;Q3663&amp;AS[[#This Row],[Large Provider Entity Code]]&amp;"; "&amp;R3663&amp;AS[[#This Row],[Age Band Code]]&amp;"; "&amp;S3663&amp;AS[[#This Row],[Sex Code]]</f>
        <v xml:space="preserve">Insurer Code ; Reporting Year ; Insurance Category Code ; Large Provider Entity Code ; Age Band Code ; Sex Code </v>
      </c>
      <c r="N3663" s="345" t="s">
        <v>207</v>
      </c>
      <c r="O3663" s="345" t="s">
        <v>208</v>
      </c>
      <c r="P3663" s="345" t="s">
        <v>209</v>
      </c>
      <c r="Q3663" s="345" t="s">
        <v>210</v>
      </c>
      <c r="R3663" s="345" t="s">
        <v>223</v>
      </c>
      <c r="S3663" s="345" t="s">
        <v>224</v>
      </c>
    </row>
    <row r="3664" spans="1:19" x14ac:dyDescent="0.25">
      <c r="A3664" s="311"/>
      <c r="B3664" s="312"/>
      <c r="C3664" s="312"/>
      <c r="D3664" s="312"/>
      <c r="E3664" s="312"/>
      <c r="F3664" s="312"/>
      <c r="G3664" s="328"/>
      <c r="H3664" s="337"/>
      <c r="I3664" s="334"/>
      <c r="J3664" s="314"/>
      <c r="K3664" s="449"/>
      <c r="M3664" s="349" t="str">
        <f>N3664&amp;AS[[#This Row],[Insurer Code]]&amp;"; "&amp;O3664&amp;AS[[#This Row],[Reporting Year]]&amp;"; "&amp;P3664&amp;AS[[#This Row],[Insurance Category Code]]&amp;"; "&amp;Q3664&amp;AS[[#This Row],[Large Provider Entity Code]]&amp;"; "&amp;R3664&amp;AS[[#This Row],[Age Band Code]]&amp;"; "&amp;S3664&amp;AS[[#This Row],[Sex Code]]</f>
        <v xml:space="preserve">Insurer Code ; Reporting Year ; Insurance Category Code ; Large Provider Entity Code ; Age Band Code ; Sex Code </v>
      </c>
      <c r="N3664" s="345" t="s">
        <v>207</v>
      </c>
      <c r="O3664" s="345" t="s">
        <v>208</v>
      </c>
      <c r="P3664" s="345" t="s">
        <v>209</v>
      </c>
      <c r="Q3664" s="345" t="s">
        <v>210</v>
      </c>
      <c r="R3664" s="345" t="s">
        <v>223</v>
      </c>
      <c r="S3664" s="345" t="s">
        <v>224</v>
      </c>
    </row>
    <row r="3665" spans="1:19" x14ac:dyDescent="0.25">
      <c r="A3665" s="311"/>
      <c r="B3665" s="312"/>
      <c r="C3665" s="312"/>
      <c r="D3665" s="312"/>
      <c r="E3665" s="312"/>
      <c r="F3665" s="312"/>
      <c r="G3665" s="328"/>
      <c r="H3665" s="337"/>
      <c r="I3665" s="334"/>
      <c r="J3665" s="314"/>
      <c r="K3665" s="449"/>
      <c r="M3665" s="349" t="str">
        <f>N3665&amp;AS[[#This Row],[Insurer Code]]&amp;"; "&amp;O3665&amp;AS[[#This Row],[Reporting Year]]&amp;"; "&amp;P3665&amp;AS[[#This Row],[Insurance Category Code]]&amp;"; "&amp;Q3665&amp;AS[[#This Row],[Large Provider Entity Code]]&amp;"; "&amp;R3665&amp;AS[[#This Row],[Age Band Code]]&amp;"; "&amp;S3665&amp;AS[[#This Row],[Sex Code]]</f>
        <v xml:space="preserve">Insurer Code ; Reporting Year ; Insurance Category Code ; Large Provider Entity Code ; Age Band Code ; Sex Code </v>
      </c>
      <c r="N3665" s="345" t="s">
        <v>207</v>
      </c>
      <c r="O3665" s="345" t="s">
        <v>208</v>
      </c>
      <c r="P3665" s="345" t="s">
        <v>209</v>
      </c>
      <c r="Q3665" s="345" t="s">
        <v>210</v>
      </c>
      <c r="R3665" s="345" t="s">
        <v>223</v>
      </c>
      <c r="S3665" s="345" t="s">
        <v>224</v>
      </c>
    </row>
    <row r="3666" spans="1:19" x14ac:dyDescent="0.25">
      <c r="A3666" s="311"/>
      <c r="B3666" s="312"/>
      <c r="C3666" s="312"/>
      <c r="D3666" s="312"/>
      <c r="E3666" s="312"/>
      <c r="F3666" s="312"/>
      <c r="G3666" s="328"/>
      <c r="H3666" s="337"/>
      <c r="I3666" s="334"/>
      <c r="J3666" s="314"/>
      <c r="K3666" s="449"/>
      <c r="M3666" s="349" t="str">
        <f>N3666&amp;AS[[#This Row],[Insurer Code]]&amp;"; "&amp;O3666&amp;AS[[#This Row],[Reporting Year]]&amp;"; "&amp;P3666&amp;AS[[#This Row],[Insurance Category Code]]&amp;"; "&amp;Q3666&amp;AS[[#This Row],[Large Provider Entity Code]]&amp;"; "&amp;R3666&amp;AS[[#This Row],[Age Band Code]]&amp;"; "&amp;S3666&amp;AS[[#This Row],[Sex Code]]</f>
        <v xml:space="preserve">Insurer Code ; Reporting Year ; Insurance Category Code ; Large Provider Entity Code ; Age Band Code ; Sex Code </v>
      </c>
      <c r="N3666" s="345" t="s">
        <v>207</v>
      </c>
      <c r="O3666" s="345" t="s">
        <v>208</v>
      </c>
      <c r="P3666" s="345" t="s">
        <v>209</v>
      </c>
      <c r="Q3666" s="345" t="s">
        <v>210</v>
      </c>
      <c r="R3666" s="345" t="s">
        <v>223</v>
      </c>
      <c r="S3666" s="345" t="s">
        <v>224</v>
      </c>
    </row>
    <row r="3667" spans="1:19" x14ac:dyDescent="0.25">
      <c r="A3667" s="311"/>
      <c r="B3667" s="312"/>
      <c r="C3667" s="312"/>
      <c r="D3667" s="312"/>
      <c r="E3667" s="312"/>
      <c r="F3667" s="312"/>
      <c r="G3667" s="328"/>
      <c r="H3667" s="337"/>
      <c r="I3667" s="334"/>
      <c r="J3667" s="314"/>
      <c r="K3667" s="449"/>
      <c r="M3667" s="349" t="str">
        <f>N3667&amp;AS[[#This Row],[Insurer Code]]&amp;"; "&amp;O3667&amp;AS[[#This Row],[Reporting Year]]&amp;"; "&amp;P3667&amp;AS[[#This Row],[Insurance Category Code]]&amp;"; "&amp;Q3667&amp;AS[[#This Row],[Large Provider Entity Code]]&amp;"; "&amp;R3667&amp;AS[[#This Row],[Age Band Code]]&amp;"; "&amp;S3667&amp;AS[[#This Row],[Sex Code]]</f>
        <v xml:space="preserve">Insurer Code ; Reporting Year ; Insurance Category Code ; Large Provider Entity Code ; Age Band Code ; Sex Code </v>
      </c>
      <c r="N3667" s="345" t="s">
        <v>207</v>
      </c>
      <c r="O3667" s="345" t="s">
        <v>208</v>
      </c>
      <c r="P3667" s="345" t="s">
        <v>209</v>
      </c>
      <c r="Q3667" s="345" t="s">
        <v>210</v>
      </c>
      <c r="R3667" s="345" t="s">
        <v>223</v>
      </c>
      <c r="S3667" s="345" t="s">
        <v>224</v>
      </c>
    </row>
    <row r="3668" spans="1:19" x14ac:dyDescent="0.25">
      <c r="A3668" s="311"/>
      <c r="B3668" s="312"/>
      <c r="C3668" s="312"/>
      <c r="D3668" s="312"/>
      <c r="E3668" s="312"/>
      <c r="F3668" s="312"/>
      <c r="G3668" s="328"/>
      <c r="H3668" s="337"/>
      <c r="I3668" s="334"/>
      <c r="J3668" s="314"/>
      <c r="K3668" s="449"/>
      <c r="M3668" s="349" t="str">
        <f>N3668&amp;AS[[#This Row],[Insurer Code]]&amp;"; "&amp;O3668&amp;AS[[#This Row],[Reporting Year]]&amp;"; "&amp;P3668&amp;AS[[#This Row],[Insurance Category Code]]&amp;"; "&amp;Q3668&amp;AS[[#This Row],[Large Provider Entity Code]]&amp;"; "&amp;R3668&amp;AS[[#This Row],[Age Band Code]]&amp;"; "&amp;S3668&amp;AS[[#This Row],[Sex Code]]</f>
        <v xml:space="preserve">Insurer Code ; Reporting Year ; Insurance Category Code ; Large Provider Entity Code ; Age Band Code ; Sex Code </v>
      </c>
      <c r="N3668" s="345" t="s">
        <v>207</v>
      </c>
      <c r="O3668" s="345" t="s">
        <v>208</v>
      </c>
      <c r="P3668" s="345" t="s">
        <v>209</v>
      </c>
      <c r="Q3668" s="345" t="s">
        <v>210</v>
      </c>
      <c r="R3668" s="345" t="s">
        <v>223</v>
      </c>
      <c r="S3668" s="345" t="s">
        <v>224</v>
      </c>
    </row>
    <row r="3669" spans="1:19" x14ac:dyDescent="0.25">
      <c r="A3669" s="311"/>
      <c r="B3669" s="312"/>
      <c r="C3669" s="312"/>
      <c r="D3669" s="312"/>
      <c r="E3669" s="312"/>
      <c r="F3669" s="312"/>
      <c r="G3669" s="328"/>
      <c r="H3669" s="337"/>
      <c r="I3669" s="334"/>
      <c r="J3669" s="314"/>
      <c r="K3669" s="449"/>
      <c r="M3669" s="349" t="str">
        <f>N3669&amp;AS[[#This Row],[Insurer Code]]&amp;"; "&amp;O3669&amp;AS[[#This Row],[Reporting Year]]&amp;"; "&amp;P3669&amp;AS[[#This Row],[Insurance Category Code]]&amp;"; "&amp;Q3669&amp;AS[[#This Row],[Large Provider Entity Code]]&amp;"; "&amp;R3669&amp;AS[[#This Row],[Age Band Code]]&amp;"; "&amp;S3669&amp;AS[[#This Row],[Sex Code]]</f>
        <v xml:space="preserve">Insurer Code ; Reporting Year ; Insurance Category Code ; Large Provider Entity Code ; Age Band Code ; Sex Code </v>
      </c>
      <c r="N3669" s="345" t="s">
        <v>207</v>
      </c>
      <c r="O3669" s="345" t="s">
        <v>208</v>
      </c>
      <c r="P3669" s="345" t="s">
        <v>209</v>
      </c>
      <c r="Q3669" s="345" t="s">
        <v>210</v>
      </c>
      <c r="R3669" s="345" t="s">
        <v>223</v>
      </c>
      <c r="S3669" s="345" t="s">
        <v>224</v>
      </c>
    </row>
    <row r="3670" spans="1:19" x14ac:dyDescent="0.25">
      <c r="A3670" s="311"/>
      <c r="B3670" s="312"/>
      <c r="C3670" s="312"/>
      <c r="D3670" s="312"/>
      <c r="E3670" s="312"/>
      <c r="F3670" s="312"/>
      <c r="G3670" s="328"/>
      <c r="H3670" s="337"/>
      <c r="I3670" s="334"/>
      <c r="J3670" s="314"/>
      <c r="K3670" s="449"/>
      <c r="M3670" s="349" t="str">
        <f>N3670&amp;AS[[#This Row],[Insurer Code]]&amp;"; "&amp;O3670&amp;AS[[#This Row],[Reporting Year]]&amp;"; "&amp;P3670&amp;AS[[#This Row],[Insurance Category Code]]&amp;"; "&amp;Q3670&amp;AS[[#This Row],[Large Provider Entity Code]]&amp;"; "&amp;R3670&amp;AS[[#This Row],[Age Band Code]]&amp;"; "&amp;S3670&amp;AS[[#This Row],[Sex Code]]</f>
        <v xml:space="preserve">Insurer Code ; Reporting Year ; Insurance Category Code ; Large Provider Entity Code ; Age Band Code ; Sex Code </v>
      </c>
      <c r="N3670" s="345" t="s">
        <v>207</v>
      </c>
      <c r="O3670" s="345" t="s">
        <v>208</v>
      </c>
      <c r="P3670" s="345" t="s">
        <v>209</v>
      </c>
      <c r="Q3670" s="345" t="s">
        <v>210</v>
      </c>
      <c r="R3670" s="345" t="s">
        <v>223</v>
      </c>
      <c r="S3670" s="345" t="s">
        <v>224</v>
      </c>
    </row>
    <row r="3671" spans="1:19" x14ac:dyDescent="0.25">
      <c r="A3671" s="311"/>
      <c r="B3671" s="312"/>
      <c r="C3671" s="312"/>
      <c r="D3671" s="312"/>
      <c r="E3671" s="312"/>
      <c r="F3671" s="312"/>
      <c r="G3671" s="328"/>
      <c r="H3671" s="337"/>
      <c r="I3671" s="334"/>
      <c r="J3671" s="314"/>
      <c r="K3671" s="449"/>
      <c r="M3671" s="349" t="str">
        <f>N3671&amp;AS[[#This Row],[Insurer Code]]&amp;"; "&amp;O3671&amp;AS[[#This Row],[Reporting Year]]&amp;"; "&amp;P3671&amp;AS[[#This Row],[Insurance Category Code]]&amp;"; "&amp;Q3671&amp;AS[[#This Row],[Large Provider Entity Code]]&amp;"; "&amp;R3671&amp;AS[[#This Row],[Age Band Code]]&amp;"; "&amp;S3671&amp;AS[[#This Row],[Sex Code]]</f>
        <v xml:space="preserve">Insurer Code ; Reporting Year ; Insurance Category Code ; Large Provider Entity Code ; Age Band Code ; Sex Code </v>
      </c>
      <c r="N3671" s="345" t="s">
        <v>207</v>
      </c>
      <c r="O3671" s="345" t="s">
        <v>208</v>
      </c>
      <c r="P3671" s="345" t="s">
        <v>209</v>
      </c>
      <c r="Q3671" s="345" t="s">
        <v>210</v>
      </c>
      <c r="R3671" s="345" t="s">
        <v>223</v>
      </c>
      <c r="S3671" s="345" t="s">
        <v>224</v>
      </c>
    </row>
    <row r="3672" spans="1:19" x14ac:dyDescent="0.25">
      <c r="A3672" s="311"/>
      <c r="B3672" s="312"/>
      <c r="C3672" s="312"/>
      <c r="D3672" s="312"/>
      <c r="E3672" s="312"/>
      <c r="F3672" s="312"/>
      <c r="G3672" s="328"/>
      <c r="H3672" s="337"/>
      <c r="I3672" s="334"/>
      <c r="J3672" s="314"/>
      <c r="K3672" s="449"/>
      <c r="M3672" s="349" t="str">
        <f>N3672&amp;AS[[#This Row],[Insurer Code]]&amp;"; "&amp;O3672&amp;AS[[#This Row],[Reporting Year]]&amp;"; "&amp;P3672&amp;AS[[#This Row],[Insurance Category Code]]&amp;"; "&amp;Q3672&amp;AS[[#This Row],[Large Provider Entity Code]]&amp;"; "&amp;R3672&amp;AS[[#This Row],[Age Band Code]]&amp;"; "&amp;S3672&amp;AS[[#This Row],[Sex Code]]</f>
        <v xml:space="preserve">Insurer Code ; Reporting Year ; Insurance Category Code ; Large Provider Entity Code ; Age Band Code ; Sex Code </v>
      </c>
      <c r="N3672" s="345" t="s">
        <v>207</v>
      </c>
      <c r="O3672" s="345" t="s">
        <v>208</v>
      </c>
      <c r="P3672" s="345" t="s">
        <v>209</v>
      </c>
      <c r="Q3672" s="345" t="s">
        <v>210</v>
      </c>
      <c r="R3672" s="345" t="s">
        <v>223</v>
      </c>
      <c r="S3672" s="345" t="s">
        <v>224</v>
      </c>
    </row>
    <row r="3673" spans="1:19" x14ac:dyDescent="0.25">
      <c r="A3673" s="311"/>
      <c r="B3673" s="312"/>
      <c r="C3673" s="312"/>
      <c r="D3673" s="312"/>
      <c r="E3673" s="312"/>
      <c r="F3673" s="312"/>
      <c r="G3673" s="328"/>
      <c r="H3673" s="337"/>
      <c r="I3673" s="334"/>
      <c r="J3673" s="314"/>
      <c r="K3673" s="449"/>
      <c r="M3673" s="349" t="str">
        <f>N3673&amp;AS[[#This Row],[Insurer Code]]&amp;"; "&amp;O3673&amp;AS[[#This Row],[Reporting Year]]&amp;"; "&amp;P3673&amp;AS[[#This Row],[Insurance Category Code]]&amp;"; "&amp;Q3673&amp;AS[[#This Row],[Large Provider Entity Code]]&amp;"; "&amp;R3673&amp;AS[[#This Row],[Age Band Code]]&amp;"; "&amp;S3673&amp;AS[[#This Row],[Sex Code]]</f>
        <v xml:space="preserve">Insurer Code ; Reporting Year ; Insurance Category Code ; Large Provider Entity Code ; Age Band Code ; Sex Code </v>
      </c>
      <c r="N3673" s="345" t="s">
        <v>207</v>
      </c>
      <c r="O3673" s="345" t="s">
        <v>208</v>
      </c>
      <c r="P3673" s="345" t="s">
        <v>209</v>
      </c>
      <c r="Q3673" s="345" t="s">
        <v>210</v>
      </c>
      <c r="R3673" s="345" t="s">
        <v>223</v>
      </c>
      <c r="S3673" s="345" t="s">
        <v>224</v>
      </c>
    </row>
    <row r="3674" spans="1:19" x14ac:dyDescent="0.25">
      <c r="A3674" s="311"/>
      <c r="B3674" s="312"/>
      <c r="C3674" s="312"/>
      <c r="D3674" s="312"/>
      <c r="E3674" s="312"/>
      <c r="F3674" s="312"/>
      <c r="G3674" s="328"/>
      <c r="H3674" s="337"/>
      <c r="I3674" s="334"/>
      <c r="J3674" s="314"/>
      <c r="K3674" s="449"/>
      <c r="M3674" s="349" t="str">
        <f>N3674&amp;AS[[#This Row],[Insurer Code]]&amp;"; "&amp;O3674&amp;AS[[#This Row],[Reporting Year]]&amp;"; "&amp;P3674&amp;AS[[#This Row],[Insurance Category Code]]&amp;"; "&amp;Q3674&amp;AS[[#This Row],[Large Provider Entity Code]]&amp;"; "&amp;R3674&amp;AS[[#This Row],[Age Band Code]]&amp;"; "&amp;S3674&amp;AS[[#This Row],[Sex Code]]</f>
        <v xml:space="preserve">Insurer Code ; Reporting Year ; Insurance Category Code ; Large Provider Entity Code ; Age Band Code ; Sex Code </v>
      </c>
      <c r="N3674" s="345" t="s">
        <v>207</v>
      </c>
      <c r="O3674" s="345" t="s">
        <v>208</v>
      </c>
      <c r="P3674" s="345" t="s">
        <v>209</v>
      </c>
      <c r="Q3674" s="345" t="s">
        <v>210</v>
      </c>
      <c r="R3674" s="345" t="s">
        <v>223</v>
      </c>
      <c r="S3674" s="345" t="s">
        <v>224</v>
      </c>
    </row>
    <row r="3675" spans="1:19" x14ac:dyDescent="0.25">
      <c r="A3675" s="311"/>
      <c r="B3675" s="312"/>
      <c r="C3675" s="312"/>
      <c r="D3675" s="312"/>
      <c r="E3675" s="312"/>
      <c r="F3675" s="312"/>
      <c r="G3675" s="328"/>
      <c r="H3675" s="337"/>
      <c r="I3675" s="334"/>
      <c r="J3675" s="314"/>
      <c r="K3675" s="449"/>
      <c r="M3675" s="349" t="str">
        <f>N3675&amp;AS[[#This Row],[Insurer Code]]&amp;"; "&amp;O3675&amp;AS[[#This Row],[Reporting Year]]&amp;"; "&amp;P3675&amp;AS[[#This Row],[Insurance Category Code]]&amp;"; "&amp;Q3675&amp;AS[[#This Row],[Large Provider Entity Code]]&amp;"; "&amp;R3675&amp;AS[[#This Row],[Age Band Code]]&amp;"; "&amp;S3675&amp;AS[[#This Row],[Sex Code]]</f>
        <v xml:space="preserve">Insurer Code ; Reporting Year ; Insurance Category Code ; Large Provider Entity Code ; Age Band Code ; Sex Code </v>
      </c>
      <c r="N3675" s="345" t="s">
        <v>207</v>
      </c>
      <c r="O3675" s="345" t="s">
        <v>208</v>
      </c>
      <c r="P3675" s="345" t="s">
        <v>209</v>
      </c>
      <c r="Q3675" s="345" t="s">
        <v>210</v>
      </c>
      <c r="R3675" s="345" t="s">
        <v>223</v>
      </c>
      <c r="S3675" s="345" t="s">
        <v>224</v>
      </c>
    </row>
    <row r="3676" spans="1:19" x14ac:dyDescent="0.25">
      <c r="A3676" s="311"/>
      <c r="B3676" s="312"/>
      <c r="C3676" s="312"/>
      <c r="D3676" s="312"/>
      <c r="E3676" s="312"/>
      <c r="F3676" s="312"/>
      <c r="G3676" s="328"/>
      <c r="H3676" s="337"/>
      <c r="I3676" s="334"/>
      <c r="J3676" s="314"/>
      <c r="K3676" s="449"/>
      <c r="M3676" s="349" t="str">
        <f>N3676&amp;AS[[#This Row],[Insurer Code]]&amp;"; "&amp;O3676&amp;AS[[#This Row],[Reporting Year]]&amp;"; "&amp;P3676&amp;AS[[#This Row],[Insurance Category Code]]&amp;"; "&amp;Q3676&amp;AS[[#This Row],[Large Provider Entity Code]]&amp;"; "&amp;R3676&amp;AS[[#This Row],[Age Band Code]]&amp;"; "&amp;S3676&amp;AS[[#This Row],[Sex Code]]</f>
        <v xml:space="preserve">Insurer Code ; Reporting Year ; Insurance Category Code ; Large Provider Entity Code ; Age Band Code ; Sex Code </v>
      </c>
      <c r="N3676" s="345" t="s">
        <v>207</v>
      </c>
      <c r="O3676" s="345" t="s">
        <v>208</v>
      </c>
      <c r="P3676" s="345" t="s">
        <v>209</v>
      </c>
      <c r="Q3676" s="345" t="s">
        <v>210</v>
      </c>
      <c r="R3676" s="345" t="s">
        <v>223</v>
      </c>
      <c r="S3676" s="345" t="s">
        <v>224</v>
      </c>
    </row>
    <row r="3677" spans="1:19" x14ac:dyDescent="0.25">
      <c r="A3677" s="311"/>
      <c r="B3677" s="312"/>
      <c r="C3677" s="312"/>
      <c r="D3677" s="312"/>
      <c r="E3677" s="312"/>
      <c r="F3677" s="312"/>
      <c r="G3677" s="328"/>
      <c r="H3677" s="337"/>
      <c r="I3677" s="334"/>
      <c r="J3677" s="314"/>
      <c r="K3677" s="449"/>
      <c r="M3677" s="349" t="str">
        <f>N3677&amp;AS[[#This Row],[Insurer Code]]&amp;"; "&amp;O3677&amp;AS[[#This Row],[Reporting Year]]&amp;"; "&amp;P3677&amp;AS[[#This Row],[Insurance Category Code]]&amp;"; "&amp;Q3677&amp;AS[[#This Row],[Large Provider Entity Code]]&amp;"; "&amp;R3677&amp;AS[[#This Row],[Age Band Code]]&amp;"; "&amp;S3677&amp;AS[[#This Row],[Sex Code]]</f>
        <v xml:space="preserve">Insurer Code ; Reporting Year ; Insurance Category Code ; Large Provider Entity Code ; Age Band Code ; Sex Code </v>
      </c>
      <c r="N3677" s="345" t="s">
        <v>207</v>
      </c>
      <c r="O3677" s="345" t="s">
        <v>208</v>
      </c>
      <c r="P3677" s="345" t="s">
        <v>209</v>
      </c>
      <c r="Q3677" s="345" t="s">
        <v>210</v>
      </c>
      <c r="R3677" s="345" t="s">
        <v>223</v>
      </c>
      <c r="S3677" s="345" t="s">
        <v>224</v>
      </c>
    </row>
    <row r="3678" spans="1:19" x14ac:dyDescent="0.25">
      <c r="A3678" s="311"/>
      <c r="B3678" s="312"/>
      <c r="C3678" s="312"/>
      <c r="D3678" s="312"/>
      <c r="E3678" s="312"/>
      <c r="F3678" s="312"/>
      <c r="G3678" s="328"/>
      <c r="H3678" s="337"/>
      <c r="I3678" s="334"/>
      <c r="J3678" s="314"/>
      <c r="K3678" s="449"/>
      <c r="M3678" s="349" t="str">
        <f>N3678&amp;AS[[#This Row],[Insurer Code]]&amp;"; "&amp;O3678&amp;AS[[#This Row],[Reporting Year]]&amp;"; "&amp;P3678&amp;AS[[#This Row],[Insurance Category Code]]&amp;"; "&amp;Q3678&amp;AS[[#This Row],[Large Provider Entity Code]]&amp;"; "&amp;R3678&amp;AS[[#This Row],[Age Band Code]]&amp;"; "&amp;S3678&amp;AS[[#This Row],[Sex Code]]</f>
        <v xml:space="preserve">Insurer Code ; Reporting Year ; Insurance Category Code ; Large Provider Entity Code ; Age Band Code ; Sex Code </v>
      </c>
      <c r="N3678" s="345" t="s">
        <v>207</v>
      </c>
      <c r="O3678" s="345" t="s">
        <v>208</v>
      </c>
      <c r="P3678" s="345" t="s">
        <v>209</v>
      </c>
      <c r="Q3678" s="345" t="s">
        <v>210</v>
      </c>
      <c r="R3678" s="345" t="s">
        <v>223</v>
      </c>
      <c r="S3678" s="345" t="s">
        <v>224</v>
      </c>
    </row>
    <row r="3679" spans="1:19" x14ac:dyDescent="0.25">
      <c r="A3679" s="311"/>
      <c r="B3679" s="312"/>
      <c r="C3679" s="312"/>
      <c r="D3679" s="312"/>
      <c r="E3679" s="312"/>
      <c r="F3679" s="312"/>
      <c r="G3679" s="328"/>
      <c r="H3679" s="337"/>
      <c r="I3679" s="334"/>
      <c r="J3679" s="314"/>
      <c r="K3679" s="449"/>
      <c r="M3679" s="349" t="str">
        <f>N3679&amp;AS[[#This Row],[Insurer Code]]&amp;"; "&amp;O3679&amp;AS[[#This Row],[Reporting Year]]&amp;"; "&amp;P3679&amp;AS[[#This Row],[Insurance Category Code]]&amp;"; "&amp;Q3679&amp;AS[[#This Row],[Large Provider Entity Code]]&amp;"; "&amp;R3679&amp;AS[[#This Row],[Age Band Code]]&amp;"; "&amp;S3679&amp;AS[[#This Row],[Sex Code]]</f>
        <v xml:space="preserve">Insurer Code ; Reporting Year ; Insurance Category Code ; Large Provider Entity Code ; Age Band Code ; Sex Code </v>
      </c>
      <c r="N3679" s="345" t="s">
        <v>207</v>
      </c>
      <c r="O3679" s="345" t="s">
        <v>208</v>
      </c>
      <c r="P3679" s="345" t="s">
        <v>209</v>
      </c>
      <c r="Q3679" s="345" t="s">
        <v>210</v>
      </c>
      <c r="R3679" s="345" t="s">
        <v>223</v>
      </c>
      <c r="S3679" s="345" t="s">
        <v>224</v>
      </c>
    </row>
    <row r="3680" spans="1:19" x14ac:dyDescent="0.25">
      <c r="A3680" s="311"/>
      <c r="B3680" s="312"/>
      <c r="C3680" s="312"/>
      <c r="D3680" s="312"/>
      <c r="E3680" s="312"/>
      <c r="F3680" s="312"/>
      <c r="G3680" s="328"/>
      <c r="H3680" s="337"/>
      <c r="I3680" s="334"/>
      <c r="J3680" s="314"/>
      <c r="K3680" s="449"/>
      <c r="M3680" s="349" t="str">
        <f>N3680&amp;AS[[#This Row],[Insurer Code]]&amp;"; "&amp;O3680&amp;AS[[#This Row],[Reporting Year]]&amp;"; "&amp;P3680&amp;AS[[#This Row],[Insurance Category Code]]&amp;"; "&amp;Q3680&amp;AS[[#This Row],[Large Provider Entity Code]]&amp;"; "&amp;R3680&amp;AS[[#This Row],[Age Band Code]]&amp;"; "&amp;S3680&amp;AS[[#This Row],[Sex Code]]</f>
        <v xml:space="preserve">Insurer Code ; Reporting Year ; Insurance Category Code ; Large Provider Entity Code ; Age Band Code ; Sex Code </v>
      </c>
      <c r="N3680" s="345" t="s">
        <v>207</v>
      </c>
      <c r="O3680" s="345" t="s">
        <v>208</v>
      </c>
      <c r="P3680" s="345" t="s">
        <v>209</v>
      </c>
      <c r="Q3680" s="345" t="s">
        <v>210</v>
      </c>
      <c r="R3680" s="345" t="s">
        <v>223</v>
      </c>
      <c r="S3680" s="345" t="s">
        <v>224</v>
      </c>
    </row>
    <row r="3681" spans="1:19" x14ac:dyDescent="0.25">
      <c r="A3681" s="311"/>
      <c r="B3681" s="312"/>
      <c r="C3681" s="312"/>
      <c r="D3681" s="312"/>
      <c r="E3681" s="312"/>
      <c r="F3681" s="312"/>
      <c r="G3681" s="328"/>
      <c r="H3681" s="337"/>
      <c r="I3681" s="334"/>
      <c r="J3681" s="314"/>
      <c r="K3681" s="449"/>
      <c r="M3681" s="349" t="str">
        <f>N3681&amp;AS[[#This Row],[Insurer Code]]&amp;"; "&amp;O3681&amp;AS[[#This Row],[Reporting Year]]&amp;"; "&amp;P3681&amp;AS[[#This Row],[Insurance Category Code]]&amp;"; "&amp;Q3681&amp;AS[[#This Row],[Large Provider Entity Code]]&amp;"; "&amp;R3681&amp;AS[[#This Row],[Age Band Code]]&amp;"; "&amp;S3681&amp;AS[[#This Row],[Sex Code]]</f>
        <v xml:space="preserve">Insurer Code ; Reporting Year ; Insurance Category Code ; Large Provider Entity Code ; Age Band Code ; Sex Code </v>
      </c>
      <c r="N3681" s="345" t="s">
        <v>207</v>
      </c>
      <c r="O3681" s="345" t="s">
        <v>208</v>
      </c>
      <c r="P3681" s="345" t="s">
        <v>209</v>
      </c>
      <c r="Q3681" s="345" t="s">
        <v>210</v>
      </c>
      <c r="R3681" s="345" t="s">
        <v>223</v>
      </c>
      <c r="S3681" s="345" t="s">
        <v>224</v>
      </c>
    </row>
    <row r="3682" spans="1:19" x14ac:dyDescent="0.25">
      <c r="A3682" s="311"/>
      <c r="B3682" s="312"/>
      <c r="C3682" s="312"/>
      <c r="D3682" s="312"/>
      <c r="E3682" s="312"/>
      <c r="F3682" s="312"/>
      <c r="G3682" s="328"/>
      <c r="H3682" s="337"/>
      <c r="I3682" s="334"/>
      <c r="J3682" s="314"/>
      <c r="K3682" s="449"/>
      <c r="M3682" s="349" t="str">
        <f>N3682&amp;AS[[#This Row],[Insurer Code]]&amp;"; "&amp;O3682&amp;AS[[#This Row],[Reporting Year]]&amp;"; "&amp;P3682&amp;AS[[#This Row],[Insurance Category Code]]&amp;"; "&amp;Q3682&amp;AS[[#This Row],[Large Provider Entity Code]]&amp;"; "&amp;R3682&amp;AS[[#This Row],[Age Band Code]]&amp;"; "&amp;S3682&amp;AS[[#This Row],[Sex Code]]</f>
        <v xml:space="preserve">Insurer Code ; Reporting Year ; Insurance Category Code ; Large Provider Entity Code ; Age Band Code ; Sex Code </v>
      </c>
      <c r="N3682" s="345" t="s">
        <v>207</v>
      </c>
      <c r="O3682" s="345" t="s">
        <v>208</v>
      </c>
      <c r="P3682" s="345" t="s">
        <v>209</v>
      </c>
      <c r="Q3682" s="345" t="s">
        <v>210</v>
      </c>
      <c r="R3682" s="345" t="s">
        <v>223</v>
      </c>
      <c r="S3682" s="345" t="s">
        <v>224</v>
      </c>
    </row>
    <row r="3683" spans="1:19" x14ac:dyDescent="0.25">
      <c r="A3683" s="311"/>
      <c r="B3683" s="312"/>
      <c r="C3683" s="312"/>
      <c r="D3683" s="312"/>
      <c r="E3683" s="312"/>
      <c r="F3683" s="312"/>
      <c r="G3683" s="328"/>
      <c r="H3683" s="337"/>
      <c r="I3683" s="334"/>
      <c r="J3683" s="314"/>
      <c r="K3683" s="449"/>
      <c r="M3683" s="349" t="str">
        <f>N3683&amp;AS[[#This Row],[Insurer Code]]&amp;"; "&amp;O3683&amp;AS[[#This Row],[Reporting Year]]&amp;"; "&amp;P3683&amp;AS[[#This Row],[Insurance Category Code]]&amp;"; "&amp;Q3683&amp;AS[[#This Row],[Large Provider Entity Code]]&amp;"; "&amp;R3683&amp;AS[[#This Row],[Age Band Code]]&amp;"; "&amp;S3683&amp;AS[[#This Row],[Sex Code]]</f>
        <v xml:space="preserve">Insurer Code ; Reporting Year ; Insurance Category Code ; Large Provider Entity Code ; Age Band Code ; Sex Code </v>
      </c>
      <c r="N3683" s="345" t="s">
        <v>207</v>
      </c>
      <c r="O3683" s="345" t="s">
        <v>208</v>
      </c>
      <c r="P3683" s="345" t="s">
        <v>209</v>
      </c>
      <c r="Q3683" s="345" t="s">
        <v>210</v>
      </c>
      <c r="R3683" s="345" t="s">
        <v>223</v>
      </c>
      <c r="S3683" s="345" t="s">
        <v>224</v>
      </c>
    </row>
    <row r="3684" spans="1:19" x14ac:dyDescent="0.25">
      <c r="A3684" s="311"/>
      <c r="B3684" s="312"/>
      <c r="C3684" s="312"/>
      <c r="D3684" s="312"/>
      <c r="E3684" s="312"/>
      <c r="F3684" s="312"/>
      <c r="G3684" s="328"/>
      <c r="H3684" s="337"/>
      <c r="I3684" s="334"/>
      <c r="J3684" s="314"/>
      <c r="K3684" s="449"/>
      <c r="M3684" s="349" t="str">
        <f>N3684&amp;AS[[#This Row],[Insurer Code]]&amp;"; "&amp;O3684&amp;AS[[#This Row],[Reporting Year]]&amp;"; "&amp;P3684&amp;AS[[#This Row],[Insurance Category Code]]&amp;"; "&amp;Q3684&amp;AS[[#This Row],[Large Provider Entity Code]]&amp;"; "&amp;R3684&amp;AS[[#This Row],[Age Band Code]]&amp;"; "&amp;S3684&amp;AS[[#This Row],[Sex Code]]</f>
        <v xml:space="preserve">Insurer Code ; Reporting Year ; Insurance Category Code ; Large Provider Entity Code ; Age Band Code ; Sex Code </v>
      </c>
      <c r="N3684" s="345" t="s">
        <v>207</v>
      </c>
      <c r="O3684" s="345" t="s">
        <v>208</v>
      </c>
      <c r="P3684" s="345" t="s">
        <v>209</v>
      </c>
      <c r="Q3684" s="345" t="s">
        <v>210</v>
      </c>
      <c r="R3684" s="345" t="s">
        <v>223</v>
      </c>
      <c r="S3684" s="345" t="s">
        <v>224</v>
      </c>
    </row>
    <row r="3685" spans="1:19" x14ac:dyDescent="0.25">
      <c r="A3685" s="311"/>
      <c r="B3685" s="312"/>
      <c r="C3685" s="312"/>
      <c r="D3685" s="312"/>
      <c r="E3685" s="312"/>
      <c r="F3685" s="312"/>
      <c r="G3685" s="328"/>
      <c r="H3685" s="337"/>
      <c r="I3685" s="334"/>
      <c r="J3685" s="314"/>
      <c r="K3685" s="449"/>
      <c r="M3685" s="349" t="str">
        <f>N3685&amp;AS[[#This Row],[Insurer Code]]&amp;"; "&amp;O3685&amp;AS[[#This Row],[Reporting Year]]&amp;"; "&amp;P3685&amp;AS[[#This Row],[Insurance Category Code]]&amp;"; "&amp;Q3685&amp;AS[[#This Row],[Large Provider Entity Code]]&amp;"; "&amp;R3685&amp;AS[[#This Row],[Age Band Code]]&amp;"; "&amp;S3685&amp;AS[[#This Row],[Sex Code]]</f>
        <v xml:space="preserve">Insurer Code ; Reporting Year ; Insurance Category Code ; Large Provider Entity Code ; Age Band Code ; Sex Code </v>
      </c>
      <c r="N3685" s="345" t="s">
        <v>207</v>
      </c>
      <c r="O3685" s="345" t="s">
        <v>208</v>
      </c>
      <c r="P3685" s="345" t="s">
        <v>209</v>
      </c>
      <c r="Q3685" s="345" t="s">
        <v>210</v>
      </c>
      <c r="R3685" s="345" t="s">
        <v>223</v>
      </c>
      <c r="S3685" s="345" t="s">
        <v>224</v>
      </c>
    </row>
    <row r="3686" spans="1:19" x14ac:dyDescent="0.25">
      <c r="A3686" s="311"/>
      <c r="B3686" s="312"/>
      <c r="C3686" s="312"/>
      <c r="D3686" s="312"/>
      <c r="E3686" s="312"/>
      <c r="F3686" s="312"/>
      <c r="G3686" s="328"/>
      <c r="H3686" s="337"/>
      <c r="I3686" s="334"/>
      <c r="J3686" s="314"/>
      <c r="K3686" s="449"/>
      <c r="M3686" s="349" t="str">
        <f>N3686&amp;AS[[#This Row],[Insurer Code]]&amp;"; "&amp;O3686&amp;AS[[#This Row],[Reporting Year]]&amp;"; "&amp;P3686&amp;AS[[#This Row],[Insurance Category Code]]&amp;"; "&amp;Q3686&amp;AS[[#This Row],[Large Provider Entity Code]]&amp;"; "&amp;R3686&amp;AS[[#This Row],[Age Band Code]]&amp;"; "&amp;S3686&amp;AS[[#This Row],[Sex Code]]</f>
        <v xml:space="preserve">Insurer Code ; Reporting Year ; Insurance Category Code ; Large Provider Entity Code ; Age Band Code ; Sex Code </v>
      </c>
      <c r="N3686" s="345" t="s">
        <v>207</v>
      </c>
      <c r="O3686" s="345" t="s">
        <v>208</v>
      </c>
      <c r="P3686" s="345" t="s">
        <v>209</v>
      </c>
      <c r="Q3686" s="345" t="s">
        <v>210</v>
      </c>
      <c r="R3686" s="345" t="s">
        <v>223</v>
      </c>
      <c r="S3686" s="345" t="s">
        <v>224</v>
      </c>
    </row>
    <row r="3687" spans="1:19" x14ac:dyDescent="0.25">
      <c r="A3687" s="311"/>
      <c r="B3687" s="312"/>
      <c r="C3687" s="312"/>
      <c r="D3687" s="312"/>
      <c r="E3687" s="312"/>
      <c r="F3687" s="312"/>
      <c r="G3687" s="328"/>
      <c r="H3687" s="337"/>
      <c r="I3687" s="334"/>
      <c r="J3687" s="314"/>
      <c r="K3687" s="449"/>
      <c r="M3687" s="349" t="str">
        <f>N3687&amp;AS[[#This Row],[Insurer Code]]&amp;"; "&amp;O3687&amp;AS[[#This Row],[Reporting Year]]&amp;"; "&amp;P3687&amp;AS[[#This Row],[Insurance Category Code]]&amp;"; "&amp;Q3687&amp;AS[[#This Row],[Large Provider Entity Code]]&amp;"; "&amp;R3687&amp;AS[[#This Row],[Age Band Code]]&amp;"; "&amp;S3687&amp;AS[[#This Row],[Sex Code]]</f>
        <v xml:space="preserve">Insurer Code ; Reporting Year ; Insurance Category Code ; Large Provider Entity Code ; Age Band Code ; Sex Code </v>
      </c>
      <c r="N3687" s="345" t="s">
        <v>207</v>
      </c>
      <c r="O3687" s="345" t="s">
        <v>208</v>
      </c>
      <c r="P3687" s="345" t="s">
        <v>209</v>
      </c>
      <c r="Q3687" s="345" t="s">
        <v>210</v>
      </c>
      <c r="R3687" s="345" t="s">
        <v>223</v>
      </c>
      <c r="S3687" s="345" t="s">
        <v>224</v>
      </c>
    </row>
    <row r="3688" spans="1:19" x14ac:dyDescent="0.25">
      <c r="A3688" s="311"/>
      <c r="B3688" s="312"/>
      <c r="C3688" s="312"/>
      <c r="D3688" s="312"/>
      <c r="E3688" s="312"/>
      <c r="F3688" s="312"/>
      <c r="G3688" s="328"/>
      <c r="H3688" s="337"/>
      <c r="I3688" s="334"/>
      <c r="J3688" s="314"/>
      <c r="K3688" s="449"/>
      <c r="M3688" s="349" t="str">
        <f>N3688&amp;AS[[#This Row],[Insurer Code]]&amp;"; "&amp;O3688&amp;AS[[#This Row],[Reporting Year]]&amp;"; "&amp;P3688&amp;AS[[#This Row],[Insurance Category Code]]&amp;"; "&amp;Q3688&amp;AS[[#This Row],[Large Provider Entity Code]]&amp;"; "&amp;R3688&amp;AS[[#This Row],[Age Band Code]]&amp;"; "&amp;S3688&amp;AS[[#This Row],[Sex Code]]</f>
        <v xml:space="preserve">Insurer Code ; Reporting Year ; Insurance Category Code ; Large Provider Entity Code ; Age Band Code ; Sex Code </v>
      </c>
      <c r="N3688" s="345" t="s">
        <v>207</v>
      </c>
      <c r="O3688" s="345" t="s">
        <v>208</v>
      </c>
      <c r="P3688" s="345" t="s">
        <v>209</v>
      </c>
      <c r="Q3688" s="345" t="s">
        <v>210</v>
      </c>
      <c r="R3688" s="345" t="s">
        <v>223</v>
      </c>
      <c r="S3688" s="345" t="s">
        <v>224</v>
      </c>
    </row>
    <row r="3689" spans="1:19" x14ac:dyDescent="0.25">
      <c r="A3689" s="311"/>
      <c r="B3689" s="312"/>
      <c r="C3689" s="312"/>
      <c r="D3689" s="312"/>
      <c r="E3689" s="312"/>
      <c r="F3689" s="312"/>
      <c r="G3689" s="328"/>
      <c r="H3689" s="337"/>
      <c r="I3689" s="334"/>
      <c r="J3689" s="314"/>
      <c r="K3689" s="449"/>
      <c r="M3689" s="349" t="str">
        <f>N3689&amp;AS[[#This Row],[Insurer Code]]&amp;"; "&amp;O3689&amp;AS[[#This Row],[Reporting Year]]&amp;"; "&amp;P3689&amp;AS[[#This Row],[Insurance Category Code]]&amp;"; "&amp;Q3689&amp;AS[[#This Row],[Large Provider Entity Code]]&amp;"; "&amp;R3689&amp;AS[[#This Row],[Age Band Code]]&amp;"; "&amp;S3689&amp;AS[[#This Row],[Sex Code]]</f>
        <v xml:space="preserve">Insurer Code ; Reporting Year ; Insurance Category Code ; Large Provider Entity Code ; Age Band Code ; Sex Code </v>
      </c>
      <c r="N3689" s="345" t="s">
        <v>207</v>
      </c>
      <c r="O3689" s="345" t="s">
        <v>208</v>
      </c>
      <c r="P3689" s="345" t="s">
        <v>209</v>
      </c>
      <c r="Q3689" s="345" t="s">
        <v>210</v>
      </c>
      <c r="R3689" s="345" t="s">
        <v>223</v>
      </c>
      <c r="S3689" s="345" t="s">
        <v>224</v>
      </c>
    </row>
    <row r="3690" spans="1:19" x14ac:dyDescent="0.25">
      <c r="A3690" s="311"/>
      <c r="B3690" s="312"/>
      <c r="C3690" s="312"/>
      <c r="D3690" s="312"/>
      <c r="E3690" s="312"/>
      <c r="F3690" s="312"/>
      <c r="G3690" s="328"/>
      <c r="H3690" s="337"/>
      <c r="I3690" s="334"/>
      <c r="J3690" s="314"/>
      <c r="K3690" s="449"/>
      <c r="M3690" s="349" t="str">
        <f>N3690&amp;AS[[#This Row],[Insurer Code]]&amp;"; "&amp;O3690&amp;AS[[#This Row],[Reporting Year]]&amp;"; "&amp;P3690&amp;AS[[#This Row],[Insurance Category Code]]&amp;"; "&amp;Q3690&amp;AS[[#This Row],[Large Provider Entity Code]]&amp;"; "&amp;R3690&amp;AS[[#This Row],[Age Band Code]]&amp;"; "&amp;S3690&amp;AS[[#This Row],[Sex Code]]</f>
        <v xml:space="preserve">Insurer Code ; Reporting Year ; Insurance Category Code ; Large Provider Entity Code ; Age Band Code ; Sex Code </v>
      </c>
      <c r="N3690" s="345" t="s">
        <v>207</v>
      </c>
      <c r="O3690" s="345" t="s">
        <v>208</v>
      </c>
      <c r="P3690" s="345" t="s">
        <v>209</v>
      </c>
      <c r="Q3690" s="345" t="s">
        <v>210</v>
      </c>
      <c r="R3690" s="345" t="s">
        <v>223</v>
      </c>
      <c r="S3690" s="345" t="s">
        <v>224</v>
      </c>
    </row>
    <row r="3691" spans="1:19" x14ac:dyDescent="0.25">
      <c r="A3691" s="311"/>
      <c r="B3691" s="312"/>
      <c r="C3691" s="312"/>
      <c r="D3691" s="312"/>
      <c r="E3691" s="312"/>
      <c r="F3691" s="312"/>
      <c r="G3691" s="328"/>
      <c r="H3691" s="337"/>
      <c r="I3691" s="334"/>
      <c r="J3691" s="314"/>
      <c r="K3691" s="449"/>
      <c r="M3691" s="349" t="str">
        <f>N3691&amp;AS[[#This Row],[Insurer Code]]&amp;"; "&amp;O3691&amp;AS[[#This Row],[Reporting Year]]&amp;"; "&amp;P3691&amp;AS[[#This Row],[Insurance Category Code]]&amp;"; "&amp;Q3691&amp;AS[[#This Row],[Large Provider Entity Code]]&amp;"; "&amp;R3691&amp;AS[[#This Row],[Age Band Code]]&amp;"; "&amp;S3691&amp;AS[[#This Row],[Sex Code]]</f>
        <v xml:space="preserve">Insurer Code ; Reporting Year ; Insurance Category Code ; Large Provider Entity Code ; Age Band Code ; Sex Code </v>
      </c>
      <c r="N3691" s="345" t="s">
        <v>207</v>
      </c>
      <c r="O3691" s="345" t="s">
        <v>208</v>
      </c>
      <c r="P3691" s="345" t="s">
        <v>209</v>
      </c>
      <c r="Q3691" s="345" t="s">
        <v>210</v>
      </c>
      <c r="R3691" s="345" t="s">
        <v>223</v>
      </c>
      <c r="S3691" s="345" t="s">
        <v>224</v>
      </c>
    </row>
    <row r="3692" spans="1:19" x14ac:dyDescent="0.25">
      <c r="A3692" s="311"/>
      <c r="B3692" s="312"/>
      <c r="C3692" s="312"/>
      <c r="D3692" s="312"/>
      <c r="E3692" s="312"/>
      <c r="F3692" s="312"/>
      <c r="G3692" s="328"/>
      <c r="H3692" s="337"/>
      <c r="I3692" s="334"/>
      <c r="J3692" s="314"/>
      <c r="K3692" s="449"/>
      <c r="M3692" s="349" t="str">
        <f>N3692&amp;AS[[#This Row],[Insurer Code]]&amp;"; "&amp;O3692&amp;AS[[#This Row],[Reporting Year]]&amp;"; "&amp;P3692&amp;AS[[#This Row],[Insurance Category Code]]&amp;"; "&amp;Q3692&amp;AS[[#This Row],[Large Provider Entity Code]]&amp;"; "&amp;R3692&amp;AS[[#This Row],[Age Band Code]]&amp;"; "&amp;S3692&amp;AS[[#This Row],[Sex Code]]</f>
        <v xml:space="preserve">Insurer Code ; Reporting Year ; Insurance Category Code ; Large Provider Entity Code ; Age Band Code ; Sex Code </v>
      </c>
      <c r="N3692" s="345" t="s">
        <v>207</v>
      </c>
      <c r="O3692" s="345" t="s">
        <v>208</v>
      </c>
      <c r="P3692" s="345" t="s">
        <v>209</v>
      </c>
      <c r="Q3692" s="345" t="s">
        <v>210</v>
      </c>
      <c r="R3692" s="345" t="s">
        <v>223</v>
      </c>
      <c r="S3692" s="345" t="s">
        <v>224</v>
      </c>
    </row>
    <row r="3693" spans="1:19" x14ac:dyDescent="0.25">
      <c r="A3693" s="311"/>
      <c r="B3693" s="312"/>
      <c r="C3693" s="312"/>
      <c r="D3693" s="312"/>
      <c r="E3693" s="312"/>
      <c r="F3693" s="312"/>
      <c r="G3693" s="328"/>
      <c r="H3693" s="337"/>
      <c r="I3693" s="334"/>
      <c r="J3693" s="314"/>
      <c r="K3693" s="449"/>
      <c r="M3693" s="349" t="str">
        <f>N3693&amp;AS[[#This Row],[Insurer Code]]&amp;"; "&amp;O3693&amp;AS[[#This Row],[Reporting Year]]&amp;"; "&amp;P3693&amp;AS[[#This Row],[Insurance Category Code]]&amp;"; "&amp;Q3693&amp;AS[[#This Row],[Large Provider Entity Code]]&amp;"; "&amp;R3693&amp;AS[[#This Row],[Age Band Code]]&amp;"; "&amp;S3693&amp;AS[[#This Row],[Sex Code]]</f>
        <v xml:space="preserve">Insurer Code ; Reporting Year ; Insurance Category Code ; Large Provider Entity Code ; Age Band Code ; Sex Code </v>
      </c>
      <c r="N3693" s="345" t="s">
        <v>207</v>
      </c>
      <c r="O3693" s="345" t="s">
        <v>208</v>
      </c>
      <c r="P3693" s="345" t="s">
        <v>209</v>
      </c>
      <c r="Q3693" s="345" t="s">
        <v>210</v>
      </c>
      <c r="R3693" s="345" t="s">
        <v>223</v>
      </c>
      <c r="S3693" s="345" t="s">
        <v>224</v>
      </c>
    </row>
    <row r="3694" spans="1:19" x14ac:dyDescent="0.25">
      <c r="A3694" s="311"/>
      <c r="B3694" s="312"/>
      <c r="C3694" s="312"/>
      <c r="D3694" s="312"/>
      <c r="E3694" s="312"/>
      <c r="F3694" s="312"/>
      <c r="G3694" s="328"/>
      <c r="H3694" s="337"/>
      <c r="I3694" s="334"/>
      <c r="J3694" s="314"/>
      <c r="K3694" s="449"/>
      <c r="M3694" s="349" t="str">
        <f>N3694&amp;AS[[#This Row],[Insurer Code]]&amp;"; "&amp;O3694&amp;AS[[#This Row],[Reporting Year]]&amp;"; "&amp;P3694&amp;AS[[#This Row],[Insurance Category Code]]&amp;"; "&amp;Q3694&amp;AS[[#This Row],[Large Provider Entity Code]]&amp;"; "&amp;R3694&amp;AS[[#This Row],[Age Band Code]]&amp;"; "&amp;S3694&amp;AS[[#This Row],[Sex Code]]</f>
        <v xml:space="preserve">Insurer Code ; Reporting Year ; Insurance Category Code ; Large Provider Entity Code ; Age Band Code ; Sex Code </v>
      </c>
      <c r="N3694" s="345" t="s">
        <v>207</v>
      </c>
      <c r="O3694" s="345" t="s">
        <v>208</v>
      </c>
      <c r="P3694" s="345" t="s">
        <v>209</v>
      </c>
      <c r="Q3694" s="345" t="s">
        <v>210</v>
      </c>
      <c r="R3694" s="345" t="s">
        <v>223</v>
      </c>
      <c r="S3694" s="345" t="s">
        <v>224</v>
      </c>
    </row>
    <row r="3695" spans="1:19" x14ac:dyDescent="0.25">
      <c r="A3695" s="311"/>
      <c r="B3695" s="312"/>
      <c r="C3695" s="312"/>
      <c r="D3695" s="312"/>
      <c r="E3695" s="312"/>
      <c r="F3695" s="312"/>
      <c r="G3695" s="328"/>
      <c r="H3695" s="337"/>
      <c r="I3695" s="334"/>
      <c r="J3695" s="314"/>
      <c r="K3695" s="449"/>
      <c r="M3695" s="349" t="str">
        <f>N3695&amp;AS[[#This Row],[Insurer Code]]&amp;"; "&amp;O3695&amp;AS[[#This Row],[Reporting Year]]&amp;"; "&amp;P3695&amp;AS[[#This Row],[Insurance Category Code]]&amp;"; "&amp;Q3695&amp;AS[[#This Row],[Large Provider Entity Code]]&amp;"; "&amp;R3695&amp;AS[[#This Row],[Age Band Code]]&amp;"; "&amp;S3695&amp;AS[[#This Row],[Sex Code]]</f>
        <v xml:space="preserve">Insurer Code ; Reporting Year ; Insurance Category Code ; Large Provider Entity Code ; Age Band Code ; Sex Code </v>
      </c>
      <c r="N3695" s="345" t="s">
        <v>207</v>
      </c>
      <c r="O3695" s="345" t="s">
        <v>208</v>
      </c>
      <c r="P3695" s="345" t="s">
        <v>209</v>
      </c>
      <c r="Q3695" s="345" t="s">
        <v>210</v>
      </c>
      <c r="R3695" s="345" t="s">
        <v>223</v>
      </c>
      <c r="S3695" s="345" t="s">
        <v>224</v>
      </c>
    </row>
    <row r="3696" spans="1:19" x14ac:dyDescent="0.25">
      <c r="A3696" s="311"/>
      <c r="B3696" s="312"/>
      <c r="C3696" s="312"/>
      <c r="D3696" s="312"/>
      <c r="E3696" s="312"/>
      <c r="F3696" s="312"/>
      <c r="G3696" s="328"/>
      <c r="H3696" s="337"/>
      <c r="I3696" s="334"/>
      <c r="J3696" s="314"/>
      <c r="K3696" s="449"/>
      <c r="M3696" s="349" t="str">
        <f>N3696&amp;AS[[#This Row],[Insurer Code]]&amp;"; "&amp;O3696&amp;AS[[#This Row],[Reporting Year]]&amp;"; "&amp;P3696&amp;AS[[#This Row],[Insurance Category Code]]&amp;"; "&amp;Q3696&amp;AS[[#This Row],[Large Provider Entity Code]]&amp;"; "&amp;R3696&amp;AS[[#This Row],[Age Band Code]]&amp;"; "&amp;S3696&amp;AS[[#This Row],[Sex Code]]</f>
        <v xml:space="preserve">Insurer Code ; Reporting Year ; Insurance Category Code ; Large Provider Entity Code ; Age Band Code ; Sex Code </v>
      </c>
      <c r="N3696" s="345" t="s">
        <v>207</v>
      </c>
      <c r="O3696" s="345" t="s">
        <v>208</v>
      </c>
      <c r="P3696" s="345" t="s">
        <v>209</v>
      </c>
      <c r="Q3696" s="345" t="s">
        <v>210</v>
      </c>
      <c r="R3696" s="345" t="s">
        <v>223</v>
      </c>
      <c r="S3696" s="345" t="s">
        <v>224</v>
      </c>
    </row>
    <row r="3697" spans="1:19" x14ac:dyDescent="0.25">
      <c r="A3697" s="311"/>
      <c r="B3697" s="312"/>
      <c r="C3697" s="312"/>
      <c r="D3697" s="312"/>
      <c r="E3697" s="312"/>
      <c r="F3697" s="312"/>
      <c r="G3697" s="328"/>
      <c r="H3697" s="337"/>
      <c r="I3697" s="334"/>
      <c r="J3697" s="314"/>
      <c r="K3697" s="449"/>
      <c r="M3697" s="349" t="str">
        <f>N3697&amp;AS[[#This Row],[Insurer Code]]&amp;"; "&amp;O3697&amp;AS[[#This Row],[Reporting Year]]&amp;"; "&amp;P3697&amp;AS[[#This Row],[Insurance Category Code]]&amp;"; "&amp;Q3697&amp;AS[[#This Row],[Large Provider Entity Code]]&amp;"; "&amp;R3697&amp;AS[[#This Row],[Age Band Code]]&amp;"; "&amp;S3697&amp;AS[[#This Row],[Sex Code]]</f>
        <v xml:space="preserve">Insurer Code ; Reporting Year ; Insurance Category Code ; Large Provider Entity Code ; Age Band Code ; Sex Code </v>
      </c>
      <c r="N3697" s="345" t="s">
        <v>207</v>
      </c>
      <c r="O3697" s="345" t="s">
        <v>208</v>
      </c>
      <c r="P3697" s="345" t="s">
        <v>209</v>
      </c>
      <c r="Q3697" s="345" t="s">
        <v>210</v>
      </c>
      <c r="R3697" s="345" t="s">
        <v>223</v>
      </c>
      <c r="S3697" s="345" t="s">
        <v>224</v>
      </c>
    </row>
    <row r="3698" spans="1:19" x14ac:dyDescent="0.25">
      <c r="A3698" s="311"/>
      <c r="B3698" s="312"/>
      <c r="C3698" s="312"/>
      <c r="D3698" s="312"/>
      <c r="E3698" s="312"/>
      <c r="F3698" s="312"/>
      <c r="G3698" s="328"/>
      <c r="H3698" s="337"/>
      <c r="I3698" s="334"/>
      <c r="J3698" s="314"/>
      <c r="K3698" s="449"/>
      <c r="M3698" s="349" t="str">
        <f>N3698&amp;AS[[#This Row],[Insurer Code]]&amp;"; "&amp;O3698&amp;AS[[#This Row],[Reporting Year]]&amp;"; "&amp;P3698&amp;AS[[#This Row],[Insurance Category Code]]&amp;"; "&amp;Q3698&amp;AS[[#This Row],[Large Provider Entity Code]]&amp;"; "&amp;R3698&amp;AS[[#This Row],[Age Band Code]]&amp;"; "&amp;S3698&amp;AS[[#This Row],[Sex Code]]</f>
        <v xml:space="preserve">Insurer Code ; Reporting Year ; Insurance Category Code ; Large Provider Entity Code ; Age Band Code ; Sex Code </v>
      </c>
      <c r="N3698" s="345" t="s">
        <v>207</v>
      </c>
      <c r="O3698" s="345" t="s">
        <v>208</v>
      </c>
      <c r="P3698" s="345" t="s">
        <v>209</v>
      </c>
      <c r="Q3698" s="345" t="s">
        <v>210</v>
      </c>
      <c r="R3698" s="345" t="s">
        <v>223</v>
      </c>
      <c r="S3698" s="345" t="s">
        <v>224</v>
      </c>
    </row>
    <row r="3699" spans="1:19" x14ac:dyDescent="0.25">
      <c r="A3699" s="311"/>
      <c r="B3699" s="312"/>
      <c r="C3699" s="312"/>
      <c r="D3699" s="312"/>
      <c r="E3699" s="312"/>
      <c r="F3699" s="312"/>
      <c r="G3699" s="328"/>
      <c r="H3699" s="337"/>
      <c r="I3699" s="334"/>
      <c r="J3699" s="314"/>
      <c r="K3699" s="449"/>
      <c r="M3699" s="349" t="str">
        <f>N3699&amp;AS[[#This Row],[Insurer Code]]&amp;"; "&amp;O3699&amp;AS[[#This Row],[Reporting Year]]&amp;"; "&amp;P3699&amp;AS[[#This Row],[Insurance Category Code]]&amp;"; "&amp;Q3699&amp;AS[[#This Row],[Large Provider Entity Code]]&amp;"; "&amp;R3699&amp;AS[[#This Row],[Age Band Code]]&amp;"; "&amp;S3699&amp;AS[[#This Row],[Sex Code]]</f>
        <v xml:space="preserve">Insurer Code ; Reporting Year ; Insurance Category Code ; Large Provider Entity Code ; Age Band Code ; Sex Code </v>
      </c>
      <c r="N3699" s="345" t="s">
        <v>207</v>
      </c>
      <c r="O3699" s="345" t="s">
        <v>208</v>
      </c>
      <c r="P3699" s="345" t="s">
        <v>209</v>
      </c>
      <c r="Q3699" s="345" t="s">
        <v>210</v>
      </c>
      <c r="R3699" s="345" t="s">
        <v>223</v>
      </c>
      <c r="S3699" s="345" t="s">
        <v>224</v>
      </c>
    </row>
    <row r="3700" spans="1:19" x14ac:dyDescent="0.25">
      <c r="A3700" s="311"/>
      <c r="B3700" s="312"/>
      <c r="C3700" s="312"/>
      <c r="D3700" s="312"/>
      <c r="E3700" s="312"/>
      <c r="F3700" s="312"/>
      <c r="G3700" s="328"/>
      <c r="H3700" s="337"/>
      <c r="I3700" s="334"/>
      <c r="J3700" s="314"/>
      <c r="K3700" s="449"/>
      <c r="M3700" s="349" t="str">
        <f>N3700&amp;AS[[#This Row],[Insurer Code]]&amp;"; "&amp;O3700&amp;AS[[#This Row],[Reporting Year]]&amp;"; "&amp;P3700&amp;AS[[#This Row],[Insurance Category Code]]&amp;"; "&amp;Q3700&amp;AS[[#This Row],[Large Provider Entity Code]]&amp;"; "&amp;R3700&amp;AS[[#This Row],[Age Band Code]]&amp;"; "&amp;S3700&amp;AS[[#This Row],[Sex Code]]</f>
        <v xml:space="preserve">Insurer Code ; Reporting Year ; Insurance Category Code ; Large Provider Entity Code ; Age Band Code ; Sex Code </v>
      </c>
      <c r="N3700" s="345" t="s">
        <v>207</v>
      </c>
      <c r="O3700" s="345" t="s">
        <v>208</v>
      </c>
      <c r="P3700" s="345" t="s">
        <v>209</v>
      </c>
      <c r="Q3700" s="345" t="s">
        <v>210</v>
      </c>
      <c r="R3700" s="345" t="s">
        <v>223</v>
      </c>
      <c r="S3700" s="345" t="s">
        <v>224</v>
      </c>
    </row>
    <row r="3701" spans="1:19" x14ac:dyDescent="0.25">
      <c r="A3701" s="311"/>
      <c r="B3701" s="312"/>
      <c r="C3701" s="312"/>
      <c r="D3701" s="312"/>
      <c r="E3701" s="312"/>
      <c r="F3701" s="312"/>
      <c r="G3701" s="328"/>
      <c r="H3701" s="337"/>
      <c r="I3701" s="334"/>
      <c r="J3701" s="314"/>
      <c r="K3701" s="449"/>
      <c r="M3701" s="349" t="str">
        <f>N3701&amp;AS[[#This Row],[Insurer Code]]&amp;"; "&amp;O3701&amp;AS[[#This Row],[Reporting Year]]&amp;"; "&amp;P3701&amp;AS[[#This Row],[Insurance Category Code]]&amp;"; "&amp;Q3701&amp;AS[[#This Row],[Large Provider Entity Code]]&amp;"; "&amp;R3701&amp;AS[[#This Row],[Age Band Code]]&amp;"; "&amp;S3701&amp;AS[[#This Row],[Sex Code]]</f>
        <v xml:space="preserve">Insurer Code ; Reporting Year ; Insurance Category Code ; Large Provider Entity Code ; Age Band Code ; Sex Code </v>
      </c>
      <c r="N3701" s="345" t="s">
        <v>207</v>
      </c>
      <c r="O3701" s="345" t="s">
        <v>208</v>
      </c>
      <c r="P3701" s="345" t="s">
        <v>209</v>
      </c>
      <c r="Q3701" s="345" t="s">
        <v>210</v>
      </c>
      <c r="R3701" s="345" t="s">
        <v>223</v>
      </c>
      <c r="S3701" s="345" t="s">
        <v>224</v>
      </c>
    </row>
    <row r="3702" spans="1:19" x14ac:dyDescent="0.25">
      <c r="A3702" s="311"/>
      <c r="B3702" s="312"/>
      <c r="C3702" s="312"/>
      <c r="D3702" s="312"/>
      <c r="E3702" s="312"/>
      <c r="F3702" s="312"/>
      <c r="G3702" s="328"/>
      <c r="H3702" s="337"/>
      <c r="I3702" s="334"/>
      <c r="J3702" s="314"/>
      <c r="K3702" s="449"/>
      <c r="M3702" s="349" t="str">
        <f>N3702&amp;AS[[#This Row],[Insurer Code]]&amp;"; "&amp;O3702&amp;AS[[#This Row],[Reporting Year]]&amp;"; "&amp;P3702&amp;AS[[#This Row],[Insurance Category Code]]&amp;"; "&amp;Q3702&amp;AS[[#This Row],[Large Provider Entity Code]]&amp;"; "&amp;R3702&amp;AS[[#This Row],[Age Band Code]]&amp;"; "&amp;S3702&amp;AS[[#This Row],[Sex Code]]</f>
        <v xml:space="preserve">Insurer Code ; Reporting Year ; Insurance Category Code ; Large Provider Entity Code ; Age Band Code ; Sex Code </v>
      </c>
      <c r="N3702" s="345" t="s">
        <v>207</v>
      </c>
      <c r="O3702" s="345" t="s">
        <v>208</v>
      </c>
      <c r="P3702" s="345" t="s">
        <v>209</v>
      </c>
      <c r="Q3702" s="345" t="s">
        <v>210</v>
      </c>
      <c r="R3702" s="345" t="s">
        <v>223</v>
      </c>
      <c r="S3702" s="345" t="s">
        <v>224</v>
      </c>
    </row>
    <row r="3703" spans="1:19" x14ac:dyDescent="0.25">
      <c r="A3703" s="311"/>
      <c r="B3703" s="312"/>
      <c r="C3703" s="312"/>
      <c r="D3703" s="312"/>
      <c r="E3703" s="312"/>
      <c r="F3703" s="312"/>
      <c r="G3703" s="328"/>
      <c r="H3703" s="337"/>
      <c r="I3703" s="334"/>
      <c r="J3703" s="314"/>
      <c r="K3703" s="449"/>
      <c r="M3703" s="349" t="str">
        <f>N3703&amp;AS[[#This Row],[Insurer Code]]&amp;"; "&amp;O3703&amp;AS[[#This Row],[Reporting Year]]&amp;"; "&amp;P3703&amp;AS[[#This Row],[Insurance Category Code]]&amp;"; "&amp;Q3703&amp;AS[[#This Row],[Large Provider Entity Code]]&amp;"; "&amp;R3703&amp;AS[[#This Row],[Age Band Code]]&amp;"; "&amp;S3703&amp;AS[[#This Row],[Sex Code]]</f>
        <v xml:space="preserve">Insurer Code ; Reporting Year ; Insurance Category Code ; Large Provider Entity Code ; Age Band Code ; Sex Code </v>
      </c>
      <c r="N3703" s="345" t="s">
        <v>207</v>
      </c>
      <c r="O3703" s="345" t="s">
        <v>208</v>
      </c>
      <c r="P3703" s="345" t="s">
        <v>209</v>
      </c>
      <c r="Q3703" s="345" t="s">
        <v>210</v>
      </c>
      <c r="R3703" s="345" t="s">
        <v>223</v>
      </c>
      <c r="S3703" s="345" t="s">
        <v>224</v>
      </c>
    </row>
    <row r="3704" spans="1:19" x14ac:dyDescent="0.25">
      <c r="A3704" s="311"/>
      <c r="B3704" s="312"/>
      <c r="C3704" s="312"/>
      <c r="D3704" s="312"/>
      <c r="E3704" s="312"/>
      <c r="F3704" s="312"/>
      <c r="G3704" s="328"/>
      <c r="H3704" s="337"/>
      <c r="I3704" s="334"/>
      <c r="J3704" s="314"/>
      <c r="K3704" s="449"/>
      <c r="M3704" s="349" t="str">
        <f>N3704&amp;AS[[#This Row],[Insurer Code]]&amp;"; "&amp;O3704&amp;AS[[#This Row],[Reporting Year]]&amp;"; "&amp;P3704&amp;AS[[#This Row],[Insurance Category Code]]&amp;"; "&amp;Q3704&amp;AS[[#This Row],[Large Provider Entity Code]]&amp;"; "&amp;R3704&amp;AS[[#This Row],[Age Band Code]]&amp;"; "&amp;S3704&amp;AS[[#This Row],[Sex Code]]</f>
        <v xml:space="preserve">Insurer Code ; Reporting Year ; Insurance Category Code ; Large Provider Entity Code ; Age Band Code ; Sex Code </v>
      </c>
      <c r="N3704" s="345" t="s">
        <v>207</v>
      </c>
      <c r="O3704" s="345" t="s">
        <v>208</v>
      </c>
      <c r="P3704" s="345" t="s">
        <v>209</v>
      </c>
      <c r="Q3704" s="345" t="s">
        <v>210</v>
      </c>
      <c r="R3704" s="345" t="s">
        <v>223</v>
      </c>
      <c r="S3704" s="345" t="s">
        <v>224</v>
      </c>
    </row>
    <row r="3705" spans="1:19" x14ac:dyDescent="0.25">
      <c r="A3705" s="311"/>
      <c r="B3705" s="312"/>
      <c r="C3705" s="312"/>
      <c r="D3705" s="312"/>
      <c r="E3705" s="312"/>
      <c r="F3705" s="312"/>
      <c r="G3705" s="328"/>
      <c r="H3705" s="337"/>
      <c r="I3705" s="334"/>
      <c r="J3705" s="314"/>
      <c r="K3705" s="449"/>
      <c r="M3705" s="349" t="str">
        <f>N3705&amp;AS[[#This Row],[Insurer Code]]&amp;"; "&amp;O3705&amp;AS[[#This Row],[Reporting Year]]&amp;"; "&amp;P3705&amp;AS[[#This Row],[Insurance Category Code]]&amp;"; "&amp;Q3705&amp;AS[[#This Row],[Large Provider Entity Code]]&amp;"; "&amp;R3705&amp;AS[[#This Row],[Age Band Code]]&amp;"; "&amp;S3705&amp;AS[[#This Row],[Sex Code]]</f>
        <v xml:space="preserve">Insurer Code ; Reporting Year ; Insurance Category Code ; Large Provider Entity Code ; Age Band Code ; Sex Code </v>
      </c>
      <c r="N3705" s="345" t="s">
        <v>207</v>
      </c>
      <c r="O3705" s="345" t="s">
        <v>208</v>
      </c>
      <c r="P3705" s="345" t="s">
        <v>209</v>
      </c>
      <c r="Q3705" s="345" t="s">
        <v>210</v>
      </c>
      <c r="R3705" s="345" t="s">
        <v>223</v>
      </c>
      <c r="S3705" s="345" t="s">
        <v>224</v>
      </c>
    </row>
    <row r="3706" spans="1:19" x14ac:dyDescent="0.25">
      <c r="A3706" s="311"/>
      <c r="B3706" s="312"/>
      <c r="C3706" s="312"/>
      <c r="D3706" s="312"/>
      <c r="E3706" s="312"/>
      <c r="F3706" s="312"/>
      <c r="G3706" s="328"/>
      <c r="H3706" s="337"/>
      <c r="I3706" s="334"/>
      <c r="J3706" s="314"/>
      <c r="K3706" s="449"/>
      <c r="M3706" s="349" t="str">
        <f>N3706&amp;AS[[#This Row],[Insurer Code]]&amp;"; "&amp;O3706&amp;AS[[#This Row],[Reporting Year]]&amp;"; "&amp;P3706&amp;AS[[#This Row],[Insurance Category Code]]&amp;"; "&amp;Q3706&amp;AS[[#This Row],[Large Provider Entity Code]]&amp;"; "&amp;R3706&amp;AS[[#This Row],[Age Band Code]]&amp;"; "&amp;S3706&amp;AS[[#This Row],[Sex Code]]</f>
        <v xml:space="preserve">Insurer Code ; Reporting Year ; Insurance Category Code ; Large Provider Entity Code ; Age Band Code ; Sex Code </v>
      </c>
      <c r="N3706" s="345" t="s">
        <v>207</v>
      </c>
      <c r="O3706" s="345" t="s">
        <v>208</v>
      </c>
      <c r="P3706" s="345" t="s">
        <v>209</v>
      </c>
      <c r="Q3706" s="345" t="s">
        <v>210</v>
      </c>
      <c r="R3706" s="345" t="s">
        <v>223</v>
      </c>
      <c r="S3706" s="345" t="s">
        <v>224</v>
      </c>
    </row>
    <row r="3707" spans="1:19" x14ac:dyDescent="0.25">
      <c r="A3707" s="311"/>
      <c r="B3707" s="312"/>
      <c r="C3707" s="312"/>
      <c r="D3707" s="312"/>
      <c r="E3707" s="312"/>
      <c r="F3707" s="312"/>
      <c r="G3707" s="328"/>
      <c r="H3707" s="337"/>
      <c r="I3707" s="334"/>
      <c r="J3707" s="314"/>
      <c r="K3707" s="449"/>
      <c r="M3707" s="349" t="str">
        <f>N3707&amp;AS[[#This Row],[Insurer Code]]&amp;"; "&amp;O3707&amp;AS[[#This Row],[Reporting Year]]&amp;"; "&amp;P3707&amp;AS[[#This Row],[Insurance Category Code]]&amp;"; "&amp;Q3707&amp;AS[[#This Row],[Large Provider Entity Code]]&amp;"; "&amp;R3707&amp;AS[[#This Row],[Age Band Code]]&amp;"; "&amp;S3707&amp;AS[[#This Row],[Sex Code]]</f>
        <v xml:space="preserve">Insurer Code ; Reporting Year ; Insurance Category Code ; Large Provider Entity Code ; Age Band Code ; Sex Code </v>
      </c>
      <c r="N3707" s="345" t="s">
        <v>207</v>
      </c>
      <c r="O3707" s="345" t="s">
        <v>208</v>
      </c>
      <c r="P3707" s="345" t="s">
        <v>209</v>
      </c>
      <c r="Q3707" s="345" t="s">
        <v>210</v>
      </c>
      <c r="R3707" s="345" t="s">
        <v>223</v>
      </c>
      <c r="S3707" s="345" t="s">
        <v>224</v>
      </c>
    </row>
    <row r="3708" spans="1:19" x14ac:dyDescent="0.25">
      <c r="A3708" s="311"/>
      <c r="B3708" s="312"/>
      <c r="C3708" s="312"/>
      <c r="D3708" s="312"/>
      <c r="E3708" s="312"/>
      <c r="F3708" s="312"/>
      <c r="G3708" s="328"/>
      <c r="H3708" s="337"/>
      <c r="I3708" s="334"/>
      <c r="J3708" s="314"/>
      <c r="K3708" s="449"/>
      <c r="M3708" s="349" t="str">
        <f>N3708&amp;AS[[#This Row],[Insurer Code]]&amp;"; "&amp;O3708&amp;AS[[#This Row],[Reporting Year]]&amp;"; "&amp;P3708&amp;AS[[#This Row],[Insurance Category Code]]&amp;"; "&amp;Q3708&amp;AS[[#This Row],[Large Provider Entity Code]]&amp;"; "&amp;R3708&amp;AS[[#This Row],[Age Band Code]]&amp;"; "&amp;S3708&amp;AS[[#This Row],[Sex Code]]</f>
        <v xml:space="preserve">Insurer Code ; Reporting Year ; Insurance Category Code ; Large Provider Entity Code ; Age Band Code ; Sex Code </v>
      </c>
      <c r="N3708" s="345" t="s">
        <v>207</v>
      </c>
      <c r="O3708" s="345" t="s">
        <v>208</v>
      </c>
      <c r="P3708" s="345" t="s">
        <v>209</v>
      </c>
      <c r="Q3708" s="345" t="s">
        <v>210</v>
      </c>
      <c r="R3708" s="345" t="s">
        <v>223</v>
      </c>
      <c r="S3708" s="345" t="s">
        <v>224</v>
      </c>
    </row>
    <row r="3709" spans="1:19" x14ac:dyDescent="0.25">
      <c r="A3709" s="311"/>
      <c r="B3709" s="312"/>
      <c r="C3709" s="312"/>
      <c r="D3709" s="312"/>
      <c r="E3709" s="312"/>
      <c r="F3709" s="312"/>
      <c r="G3709" s="328"/>
      <c r="H3709" s="337"/>
      <c r="I3709" s="334"/>
      <c r="J3709" s="314"/>
      <c r="K3709" s="449"/>
      <c r="M3709" s="349" t="str">
        <f>N3709&amp;AS[[#This Row],[Insurer Code]]&amp;"; "&amp;O3709&amp;AS[[#This Row],[Reporting Year]]&amp;"; "&amp;P3709&amp;AS[[#This Row],[Insurance Category Code]]&amp;"; "&amp;Q3709&amp;AS[[#This Row],[Large Provider Entity Code]]&amp;"; "&amp;R3709&amp;AS[[#This Row],[Age Band Code]]&amp;"; "&amp;S3709&amp;AS[[#This Row],[Sex Code]]</f>
        <v xml:space="preserve">Insurer Code ; Reporting Year ; Insurance Category Code ; Large Provider Entity Code ; Age Band Code ; Sex Code </v>
      </c>
      <c r="N3709" s="345" t="s">
        <v>207</v>
      </c>
      <c r="O3709" s="345" t="s">
        <v>208</v>
      </c>
      <c r="P3709" s="345" t="s">
        <v>209</v>
      </c>
      <c r="Q3709" s="345" t="s">
        <v>210</v>
      </c>
      <c r="R3709" s="345" t="s">
        <v>223</v>
      </c>
      <c r="S3709" s="345" t="s">
        <v>224</v>
      </c>
    </row>
    <row r="3710" spans="1:19" x14ac:dyDescent="0.25">
      <c r="A3710" s="311"/>
      <c r="B3710" s="312"/>
      <c r="C3710" s="312"/>
      <c r="D3710" s="312"/>
      <c r="E3710" s="312"/>
      <c r="F3710" s="312"/>
      <c r="G3710" s="328"/>
      <c r="H3710" s="337"/>
      <c r="I3710" s="334"/>
      <c r="J3710" s="314"/>
      <c r="K3710" s="449"/>
      <c r="M3710" s="349" t="str">
        <f>N3710&amp;AS[[#This Row],[Insurer Code]]&amp;"; "&amp;O3710&amp;AS[[#This Row],[Reporting Year]]&amp;"; "&amp;P3710&amp;AS[[#This Row],[Insurance Category Code]]&amp;"; "&amp;Q3710&amp;AS[[#This Row],[Large Provider Entity Code]]&amp;"; "&amp;R3710&amp;AS[[#This Row],[Age Band Code]]&amp;"; "&amp;S3710&amp;AS[[#This Row],[Sex Code]]</f>
        <v xml:space="preserve">Insurer Code ; Reporting Year ; Insurance Category Code ; Large Provider Entity Code ; Age Band Code ; Sex Code </v>
      </c>
      <c r="N3710" s="345" t="s">
        <v>207</v>
      </c>
      <c r="O3710" s="345" t="s">
        <v>208</v>
      </c>
      <c r="P3710" s="345" t="s">
        <v>209</v>
      </c>
      <c r="Q3710" s="345" t="s">
        <v>210</v>
      </c>
      <c r="R3710" s="345" t="s">
        <v>223</v>
      </c>
      <c r="S3710" s="345" t="s">
        <v>224</v>
      </c>
    </row>
    <row r="3711" spans="1:19" x14ac:dyDescent="0.25">
      <c r="A3711" s="311"/>
      <c r="B3711" s="312"/>
      <c r="C3711" s="312"/>
      <c r="D3711" s="312"/>
      <c r="E3711" s="312"/>
      <c r="F3711" s="312"/>
      <c r="G3711" s="328"/>
      <c r="H3711" s="337"/>
      <c r="I3711" s="334"/>
      <c r="J3711" s="314"/>
      <c r="K3711" s="449"/>
      <c r="M3711" s="349" t="str">
        <f>N3711&amp;AS[[#This Row],[Insurer Code]]&amp;"; "&amp;O3711&amp;AS[[#This Row],[Reporting Year]]&amp;"; "&amp;P3711&amp;AS[[#This Row],[Insurance Category Code]]&amp;"; "&amp;Q3711&amp;AS[[#This Row],[Large Provider Entity Code]]&amp;"; "&amp;R3711&amp;AS[[#This Row],[Age Band Code]]&amp;"; "&amp;S3711&amp;AS[[#This Row],[Sex Code]]</f>
        <v xml:space="preserve">Insurer Code ; Reporting Year ; Insurance Category Code ; Large Provider Entity Code ; Age Band Code ; Sex Code </v>
      </c>
      <c r="N3711" s="345" t="s">
        <v>207</v>
      </c>
      <c r="O3711" s="345" t="s">
        <v>208</v>
      </c>
      <c r="P3711" s="345" t="s">
        <v>209</v>
      </c>
      <c r="Q3711" s="345" t="s">
        <v>210</v>
      </c>
      <c r="R3711" s="345" t="s">
        <v>223</v>
      </c>
      <c r="S3711" s="345" t="s">
        <v>224</v>
      </c>
    </row>
    <row r="3712" spans="1:19" x14ac:dyDescent="0.25">
      <c r="A3712" s="311"/>
      <c r="B3712" s="312"/>
      <c r="C3712" s="312"/>
      <c r="D3712" s="312"/>
      <c r="E3712" s="312"/>
      <c r="F3712" s="312"/>
      <c r="G3712" s="328"/>
      <c r="H3712" s="337"/>
      <c r="I3712" s="334"/>
      <c r="J3712" s="314"/>
      <c r="K3712" s="449"/>
      <c r="M3712" s="349" t="str">
        <f>N3712&amp;AS[[#This Row],[Insurer Code]]&amp;"; "&amp;O3712&amp;AS[[#This Row],[Reporting Year]]&amp;"; "&amp;P3712&amp;AS[[#This Row],[Insurance Category Code]]&amp;"; "&amp;Q3712&amp;AS[[#This Row],[Large Provider Entity Code]]&amp;"; "&amp;R3712&amp;AS[[#This Row],[Age Band Code]]&amp;"; "&amp;S3712&amp;AS[[#This Row],[Sex Code]]</f>
        <v xml:space="preserve">Insurer Code ; Reporting Year ; Insurance Category Code ; Large Provider Entity Code ; Age Band Code ; Sex Code </v>
      </c>
      <c r="N3712" s="345" t="s">
        <v>207</v>
      </c>
      <c r="O3712" s="345" t="s">
        <v>208</v>
      </c>
      <c r="P3712" s="345" t="s">
        <v>209</v>
      </c>
      <c r="Q3712" s="345" t="s">
        <v>210</v>
      </c>
      <c r="R3712" s="345" t="s">
        <v>223</v>
      </c>
      <c r="S3712" s="345" t="s">
        <v>224</v>
      </c>
    </row>
    <row r="3713" spans="1:19" x14ac:dyDescent="0.25">
      <c r="A3713" s="311"/>
      <c r="B3713" s="312"/>
      <c r="C3713" s="312"/>
      <c r="D3713" s="312"/>
      <c r="E3713" s="312"/>
      <c r="F3713" s="312"/>
      <c r="G3713" s="328"/>
      <c r="H3713" s="337"/>
      <c r="I3713" s="334"/>
      <c r="J3713" s="314"/>
      <c r="K3713" s="449"/>
      <c r="M3713" s="349" t="str">
        <f>N3713&amp;AS[[#This Row],[Insurer Code]]&amp;"; "&amp;O3713&amp;AS[[#This Row],[Reporting Year]]&amp;"; "&amp;P3713&amp;AS[[#This Row],[Insurance Category Code]]&amp;"; "&amp;Q3713&amp;AS[[#This Row],[Large Provider Entity Code]]&amp;"; "&amp;R3713&amp;AS[[#This Row],[Age Band Code]]&amp;"; "&amp;S3713&amp;AS[[#This Row],[Sex Code]]</f>
        <v xml:space="preserve">Insurer Code ; Reporting Year ; Insurance Category Code ; Large Provider Entity Code ; Age Band Code ; Sex Code </v>
      </c>
      <c r="N3713" s="345" t="s">
        <v>207</v>
      </c>
      <c r="O3713" s="345" t="s">
        <v>208</v>
      </c>
      <c r="P3713" s="345" t="s">
        <v>209</v>
      </c>
      <c r="Q3713" s="345" t="s">
        <v>210</v>
      </c>
      <c r="R3713" s="345" t="s">
        <v>223</v>
      </c>
      <c r="S3713" s="345" t="s">
        <v>224</v>
      </c>
    </row>
    <row r="3714" spans="1:19" x14ac:dyDescent="0.25">
      <c r="A3714" s="311"/>
      <c r="B3714" s="312"/>
      <c r="C3714" s="312"/>
      <c r="D3714" s="312"/>
      <c r="E3714" s="312"/>
      <c r="F3714" s="312"/>
      <c r="G3714" s="328"/>
      <c r="H3714" s="337"/>
      <c r="I3714" s="334"/>
      <c r="J3714" s="314"/>
      <c r="K3714" s="449"/>
      <c r="M3714" s="349" t="str">
        <f>N3714&amp;AS[[#This Row],[Insurer Code]]&amp;"; "&amp;O3714&amp;AS[[#This Row],[Reporting Year]]&amp;"; "&amp;P3714&amp;AS[[#This Row],[Insurance Category Code]]&amp;"; "&amp;Q3714&amp;AS[[#This Row],[Large Provider Entity Code]]&amp;"; "&amp;R3714&amp;AS[[#This Row],[Age Band Code]]&amp;"; "&amp;S3714&amp;AS[[#This Row],[Sex Code]]</f>
        <v xml:space="preserve">Insurer Code ; Reporting Year ; Insurance Category Code ; Large Provider Entity Code ; Age Band Code ; Sex Code </v>
      </c>
      <c r="N3714" s="345" t="s">
        <v>207</v>
      </c>
      <c r="O3714" s="345" t="s">
        <v>208</v>
      </c>
      <c r="P3714" s="345" t="s">
        <v>209</v>
      </c>
      <c r="Q3714" s="345" t="s">
        <v>210</v>
      </c>
      <c r="R3714" s="345" t="s">
        <v>223</v>
      </c>
      <c r="S3714" s="345" t="s">
        <v>224</v>
      </c>
    </row>
    <row r="3715" spans="1:19" x14ac:dyDescent="0.25">
      <c r="A3715" s="311"/>
      <c r="B3715" s="312"/>
      <c r="C3715" s="312"/>
      <c r="D3715" s="312"/>
      <c r="E3715" s="312"/>
      <c r="F3715" s="312"/>
      <c r="G3715" s="328"/>
      <c r="H3715" s="337"/>
      <c r="I3715" s="334"/>
      <c r="J3715" s="314"/>
      <c r="K3715" s="449"/>
      <c r="M3715" s="349" t="str">
        <f>N3715&amp;AS[[#This Row],[Insurer Code]]&amp;"; "&amp;O3715&amp;AS[[#This Row],[Reporting Year]]&amp;"; "&amp;P3715&amp;AS[[#This Row],[Insurance Category Code]]&amp;"; "&amp;Q3715&amp;AS[[#This Row],[Large Provider Entity Code]]&amp;"; "&amp;R3715&amp;AS[[#This Row],[Age Band Code]]&amp;"; "&amp;S3715&amp;AS[[#This Row],[Sex Code]]</f>
        <v xml:space="preserve">Insurer Code ; Reporting Year ; Insurance Category Code ; Large Provider Entity Code ; Age Band Code ; Sex Code </v>
      </c>
      <c r="N3715" s="345" t="s">
        <v>207</v>
      </c>
      <c r="O3715" s="345" t="s">
        <v>208</v>
      </c>
      <c r="P3715" s="345" t="s">
        <v>209</v>
      </c>
      <c r="Q3715" s="345" t="s">
        <v>210</v>
      </c>
      <c r="R3715" s="345" t="s">
        <v>223</v>
      </c>
      <c r="S3715" s="345" t="s">
        <v>224</v>
      </c>
    </row>
    <row r="3716" spans="1:19" x14ac:dyDescent="0.25">
      <c r="A3716" s="311"/>
      <c r="B3716" s="312"/>
      <c r="C3716" s="312"/>
      <c r="D3716" s="312"/>
      <c r="E3716" s="312"/>
      <c r="F3716" s="312"/>
      <c r="G3716" s="328"/>
      <c r="H3716" s="337"/>
      <c r="I3716" s="334"/>
      <c r="J3716" s="314"/>
      <c r="K3716" s="449"/>
      <c r="M3716" s="349" t="str">
        <f>N3716&amp;AS[[#This Row],[Insurer Code]]&amp;"; "&amp;O3716&amp;AS[[#This Row],[Reporting Year]]&amp;"; "&amp;P3716&amp;AS[[#This Row],[Insurance Category Code]]&amp;"; "&amp;Q3716&amp;AS[[#This Row],[Large Provider Entity Code]]&amp;"; "&amp;R3716&amp;AS[[#This Row],[Age Band Code]]&amp;"; "&amp;S3716&amp;AS[[#This Row],[Sex Code]]</f>
        <v xml:space="preserve">Insurer Code ; Reporting Year ; Insurance Category Code ; Large Provider Entity Code ; Age Band Code ; Sex Code </v>
      </c>
      <c r="N3716" s="345" t="s">
        <v>207</v>
      </c>
      <c r="O3716" s="345" t="s">
        <v>208</v>
      </c>
      <c r="P3716" s="345" t="s">
        <v>209</v>
      </c>
      <c r="Q3716" s="345" t="s">
        <v>210</v>
      </c>
      <c r="R3716" s="345" t="s">
        <v>223</v>
      </c>
      <c r="S3716" s="345" t="s">
        <v>224</v>
      </c>
    </row>
    <row r="3717" spans="1:19" x14ac:dyDescent="0.25">
      <c r="A3717" s="311"/>
      <c r="B3717" s="312"/>
      <c r="C3717" s="312"/>
      <c r="D3717" s="312"/>
      <c r="E3717" s="312"/>
      <c r="F3717" s="312"/>
      <c r="G3717" s="328"/>
      <c r="H3717" s="337"/>
      <c r="I3717" s="334"/>
      <c r="J3717" s="314"/>
      <c r="K3717" s="449"/>
      <c r="M3717" s="349" t="str">
        <f>N3717&amp;AS[[#This Row],[Insurer Code]]&amp;"; "&amp;O3717&amp;AS[[#This Row],[Reporting Year]]&amp;"; "&amp;P3717&amp;AS[[#This Row],[Insurance Category Code]]&amp;"; "&amp;Q3717&amp;AS[[#This Row],[Large Provider Entity Code]]&amp;"; "&amp;R3717&amp;AS[[#This Row],[Age Band Code]]&amp;"; "&amp;S3717&amp;AS[[#This Row],[Sex Code]]</f>
        <v xml:space="preserve">Insurer Code ; Reporting Year ; Insurance Category Code ; Large Provider Entity Code ; Age Band Code ; Sex Code </v>
      </c>
      <c r="N3717" s="345" t="s">
        <v>207</v>
      </c>
      <c r="O3717" s="345" t="s">
        <v>208</v>
      </c>
      <c r="P3717" s="345" t="s">
        <v>209</v>
      </c>
      <c r="Q3717" s="345" t="s">
        <v>210</v>
      </c>
      <c r="R3717" s="345" t="s">
        <v>223</v>
      </c>
      <c r="S3717" s="345" t="s">
        <v>224</v>
      </c>
    </row>
    <row r="3718" spans="1:19" x14ac:dyDescent="0.25">
      <c r="A3718" s="311"/>
      <c r="B3718" s="312"/>
      <c r="C3718" s="312"/>
      <c r="D3718" s="312"/>
      <c r="E3718" s="312"/>
      <c r="F3718" s="312"/>
      <c r="G3718" s="328"/>
      <c r="H3718" s="337"/>
      <c r="I3718" s="334"/>
      <c r="J3718" s="314"/>
      <c r="K3718" s="449"/>
      <c r="M3718" s="349" t="str">
        <f>N3718&amp;AS[[#This Row],[Insurer Code]]&amp;"; "&amp;O3718&amp;AS[[#This Row],[Reporting Year]]&amp;"; "&amp;P3718&amp;AS[[#This Row],[Insurance Category Code]]&amp;"; "&amp;Q3718&amp;AS[[#This Row],[Large Provider Entity Code]]&amp;"; "&amp;R3718&amp;AS[[#This Row],[Age Band Code]]&amp;"; "&amp;S3718&amp;AS[[#This Row],[Sex Code]]</f>
        <v xml:space="preserve">Insurer Code ; Reporting Year ; Insurance Category Code ; Large Provider Entity Code ; Age Band Code ; Sex Code </v>
      </c>
      <c r="N3718" s="345" t="s">
        <v>207</v>
      </c>
      <c r="O3718" s="345" t="s">
        <v>208</v>
      </c>
      <c r="P3718" s="345" t="s">
        <v>209</v>
      </c>
      <c r="Q3718" s="345" t="s">
        <v>210</v>
      </c>
      <c r="R3718" s="345" t="s">
        <v>223</v>
      </c>
      <c r="S3718" s="345" t="s">
        <v>224</v>
      </c>
    </row>
    <row r="3719" spans="1:19" x14ac:dyDescent="0.25">
      <c r="A3719" s="311"/>
      <c r="B3719" s="312"/>
      <c r="C3719" s="312"/>
      <c r="D3719" s="312"/>
      <c r="E3719" s="312"/>
      <c r="F3719" s="312"/>
      <c r="G3719" s="328"/>
      <c r="H3719" s="337"/>
      <c r="I3719" s="334"/>
      <c r="J3719" s="314"/>
      <c r="K3719" s="449"/>
      <c r="M3719" s="349" t="str">
        <f>N3719&amp;AS[[#This Row],[Insurer Code]]&amp;"; "&amp;O3719&amp;AS[[#This Row],[Reporting Year]]&amp;"; "&amp;P3719&amp;AS[[#This Row],[Insurance Category Code]]&amp;"; "&amp;Q3719&amp;AS[[#This Row],[Large Provider Entity Code]]&amp;"; "&amp;R3719&amp;AS[[#This Row],[Age Band Code]]&amp;"; "&amp;S3719&amp;AS[[#This Row],[Sex Code]]</f>
        <v xml:space="preserve">Insurer Code ; Reporting Year ; Insurance Category Code ; Large Provider Entity Code ; Age Band Code ; Sex Code </v>
      </c>
      <c r="N3719" s="345" t="s">
        <v>207</v>
      </c>
      <c r="O3719" s="345" t="s">
        <v>208</v>
      </c>
      <c r="P3719" s="345" t="s">
        <v>209</v>
      </c>
      <c r="Q3719" s="345" t="s">
        <v>210</v>
      </c>
      <c r="R3719" s="345" t="s">
        <v>223</v>
      </c>
      <c r="S3719" s="345" t="s">
        <v>224</v>
      </c>
    </row>
    <row r="3720" spans="1:19" x14ac:dyDescent="0.25">
      <c r="A3720" s="311"/>
      <c r="B3720" s="312"/>
      <c r="C3720" s="312"/>
      <c r="D3720" s="312"/>
      <c r="E3720" s="312"/>
      <c r="F3720" s="312"/>
      <c r="G3720" s="328"/>
      <c r="H3720" s="337"/>
      <c r="I3720" s="334"/>
      <c r="J3720" s="314"/>
      <c r="K3720" s="449"/>
      <c r="M3720" s="349" t="str">
        <f>N3720&amp;AS[[#This Row],[Insurer Code]]&amp;"; "&amp;O3720&amp;AS[[#This Row],[Reporting Year]]&amp;"; "&amp;P3720&amp;AS[[#This Row],[Insurance Category Code]]&amp;"; "&amp;Q3720&amp;AS[[#This Row],[Large Provider Entity Code]]&amp;"; "&amp;R3720&amp;AS[[#This Row],[Age Band Code]]&amp;"; "&amp;S3720&amp;AS[[#This Row],[Sex Code]]</f>
        <v xml:space="preserve">Insurer Code ; Reporting Year ; Insurance Category Code ; Large Provider Entity Code ; Age Band Code ; Sex Code </v>
      </c>
      <c r="N3720" s="345" t="s">
        <v>207</v>
      </c>
      <c r="O3720" s="345" t="s">
        <v>208</v>
      </c>
      <c r="P3720" s="345" t="s">
        <v>209</v>
      </c>
      <c r="Q3720" s="345" t="s">
        <v>210</v>
      </c>
      <c r="R3720" s="345" t="s">
        <v>223</v>
      </c>
      <c r="S3720" s="345" t="s">
        <v>224</v>
      </c>
    </row>
    <row r="3721" spans="1:19" x14ac:dyDescent="0.25">
      <c r="A3721" s="311"/>
      <c r="B3721" s="312"/>
      <c r="C3721" s="312"/>
      <c r="D3721" s="312"/>
      <c r="E3721" s="312"/>
      <c r="F3721" s="312"/>
      <c r="G3721" s="328"/>
      <c r="H3721" s="337"/>
      <c r="I3721" s="334"/>
      <c r="J3721" s="314"/>
      <c r="K3721" s="449"/>
      <c r="M3721" s="349" t="str">
        <f>N3721&amp;AS[[#This Row],[Insurer Code]]&amp;"; "&amp;O3721&amp;AS[[#This Row],[Reporting Year]]&amp;"; "&amp;P3721&amp;AS[[#This Row],[Insurance Category Code]]&amp;"; "&amp;Q3721&amp;AS[[#This Row],[Large Provider Entity Code]]&amp;"; "&amp;R3721&amp;AS[[#This Row],[Age Band Code]]&amp;"; "&amp;S3721&amp;AS[[#This Row],[Sex Code]]</f>
        <v xml:space="preserve">Insurer Code ; Reporting Year ; Insurance Category Code ; Large Provider Entity Code ; Age Band Code ; Sex Code </v>
      </c>
      <c r="N3721" s="345" t="s">
        <v>207</v>
      </c>
      <c r="O3721" s="345" t="s">
        <v>208</v>
      </c>
      <c r="P3721" s="345" t="s">
        <v>209</v>
      </c>
      <c r="Q3721" s="345" t="s">
        <v>210</v>
      </c>
      <c r="R3721" s="345" t="s">
        <v>223</v>
      </c>
      <c r="S3721" s="345" t="s">
        <v>224</v>
      </c>
    </row>
    <row r="3722" spans="1:19" x14ac:dyDescent="0.25">
      <c r="A3722" s="311"/>
      <c r="B3722" s="312"/>
      <c r="C3722" s="312"/>
      <c r="D3722" s="312"/>
      <c r="E3722" s="312"/>
      <c r="F3722" s="312"/>
      <c r="G3722" s="328"/>
      <c r="H3722" s="337"/>
      <c r="I3722" s="334"/>
      <c r="J3722" s="314"/>
      <c r="K3722" s="449"/>
      <c r="M3722" s="349" t="str">
        <f>N3722&amp;AS[[#This Row],[Insurer Code]]&amp;"; "&amp;O3722&amp;AS[[#This Row],[Reporting Year]]&amp;"; "&amp;P3722&amp;AS[[#This Row],[Insurance Category Code]]&amp;"; "&amp;Q3722&amp;AS[[#This Row],[Large Provider Entity Code]]&amp;"; "&amp;R3722&amp;AS[[#This Row],[Age Band Code]]&amp;"; "&amp;S3722&amp;AS[[#This Row],[Sex Code]]</f>
        <v xml:space="preserve">Insurer Code ; Reporting Year ; Insurance Category Code ; Large Provider Entity Code ; Age Band Code ; Sex Code </v>
      </c>
      <c r="N3722" s="345" t="s">
        <v>207</v>
      </c>
      <c r="O3722" s="345" t="s">
        <v>208</v>
      </c>
      <c r="P3722" s="345" t="s">
        <v>209</v>
      </c>
      <c r="Q3722" s="345" t="s">
        <v>210</v>
      </c>
      <c r="R3722" s="345" t="s">
        <v>223</v>
      </c>
      <c r="S3722" s="345" t="s">
        <v>224</v>
      </c>
    </row>
    <row r="3723" spans="1:19" x14ac:dyDescent="0.25">
      <c r="A3723" s="311"/>
      <c r="B3723" s="312"/>
      <c r="C3723" s="312"/>
      <c r="D3723" s="312"/>
      <c r="E3723" s="312"/>
      <c r="F3723" s="312"/>
      <c r="G3723" s="328"/>
      <c r="H3723" s="337"/>
      <c r="I3723" s="334"/>
      <c r="J3723" s="314"/>
      <c r="K3723" s="449"/>
      <c r="M3723" s="349" t="str">
        <f>N3723&amp;AS[[#This Row],[Insurer Code]]&amp;"; "&amp;O3723&amp;AS[[#This Row],[Reporting Year]]&amp;"; "&amp;P3723&amp;AS[[#This Row],[Insurance Category Code]]&amp;"; "&amp;Q3723&amp;AS[[#This Row],[Large Provider Entity Code]]&amp;"; "&amp;R3723&amp;AS[[#This Row],[Age Band Code]]&amp;"; "&amp;S3723&amp;AS[[#This Row],[Sex Code]]</f>
        <v xml:space="preserve">Insurer Code ; Reporting Year ; Insurance Category Code ; Large Provider Entity Code ; Age Band Code ; Sex Code </v>
      </c>
      <c r="N3723" s="345" t="s">
        <v>207</v>
      </c>
      <c r="O3723" s="345" t="s">
        <v>208</v>
      </c>
      <c r="P3723" s="345" t="s">
        <v>209</v>
      </c>
      <c r="Q3723" s="345" t="s">
        <v>210</v>
      </c>
      <c r="R3723" s="345" t="s">
        <v>223</v>
      </c>
      <c r="S3723" s="345" t="s">
        <v>224</v>
      </c>
    </row>
    <row r="3724" spans="1:19" x14ac:dyDescent="0.25">
      <c r="A3724" s="311"/>
      <c r="B3724" s="312"/>
      <c r="C3724" s="312"/>
      <c r="D3724" s="312"/>
      <c r="E3724" s="312"/>
      <c r="F3724" s="312"/>
      <c r="G3724" s="328"/>
      <c r="H3724" s="337"/>
      <c r="I3724" s="334"/>
      <c r="J3724" s="314"/>
      <c r="K3724" s="449"/>
      <c r="M3724" s="349" t="str">
        <f>N3724&amp;AS[[#This Row],[Insurer Code]]&amp;"; "&amp;O3724&amp;AS[[#This Row],[Reporting Year]]&amp;"; "&amp;P3724&amp;AS[[#This Row],[Insurance Category Code]]&amp;"; "&amp;Q3724&amp;AS[[#This Row],[Large Provider Entity Code]]&amp;"; "&amp;R3724&amp;AS[[#This Row],[Age Band Code]]&amp;"; "&amp;S3724&amp;AS[[#This Row],[Sex Code]]</f>
        <v xml:space="preserve">Insurer Code ; Reporting Year ; Insurance Category Code ; Large Provider Entity Code ; Age Band Code ; Sex Code </v>
      </c>
      <c r="N3724" s="345" t="s">
        <v>207</v>
      </c>
      <c r="O3724" s="345" t="s">
        <v>208</v>
      </c>
      <c r="P3724" s="345" t="s">
        <v>209</v>
      </c>
      <c r="Q3724" s="345" t="s">
        <v>210</v>
      </c>
      <c r="R3724" s="345" t="s">
        <v>223</v>
      </c>
      <c r="S3724" s="345" t="s">
        <v>224</v>
      </c>
    </row>
    <row r="3725" spans="1:19" x14ac:dyDescent="0.25">
      <c r="A3725" s="311"/>
      <c r="B3725" s="312"/>
      <c r="C3725" s="312"/>
      <c r="D3725" s="312"/>
      <c r="E3725" s="312"/>
      <c r="F3725" s="312"/>
      <c r="G3725" s="328"/>
      <c r="H3725" s="337"/>
      <c r="I3725" s="334"/>
      <c r="J3725" s="314"/>
      <c r="K3725" s="449"/>
      <c r="M3725" s="349" t="str">
        <f>N3725&amp;AS[[#This Row],[Insurer Code]]&amp;"; "&amp;O3725&amp;AS[[#This Row],[Reporting Year]]&amp;"; "&amp;P3725&amp;AS[[#This Row],[Insurance Category Code]]&amp;"; "&amp;Q3725&amp;AS[[#This Row],[Large Provider Entity Code]]&amp;"; "&amp;R3725&amp;AS[[#This Row],[Age Band Code]]&amp;"; "&amp;S3725&amp;AS[[#This Row],[Sex Code]]</f>
        <v xml:space="preserve">Insurer Code ; Reporting Year ; Insurance Category Code ; Large Provider Entity Code ; Age Band Code ; Sex Code </v>
      </c>
      <c r="N3725" s="345" t="s">
        <v>207</v>
      </c>
      <c r="O3725" s="345" t="s">
        <v>208</v>
      </c>
      <c r="P3725" s="345" t="s">
        <v>209</v>
      </c>
      <c r="Q3725" s="345" t="s">
        <v>210</v>
      </c>
      <c r="R3725" s="345" t="s">
        <v>223</v>
      </c>
      <c r="S3725" s="345" t="s">
        <v>224</v>
      </c>
    </row>
    <row r="3726" spans="1:19" x14ac:dyDescent="0.25">
      <c r="A3726" s="311"/>
      <c r="B3726" s="312"/>
      <c r="C3726" s="312"/>
      <c r="D3726" s="312"/>
      <c r="E3726" s="312"/>
      <c r="F3726" s="312"/>
      <c r="G3726" s="328"/>
      <c r="H3726" s="337"/>
      <c r="I3726" s="334"/>
      <c r="J3726" s="314"/>
      <c r="K3726" s="449"/>
      <c r="M3726" s="349" t="str">
        <f>N3726&amp;AS[[#This Row],[Insurer Code]]&amp;"; "&amp;O3726&amp;AS[[#This Row],[Reporting Year]]&amp;"; "&amp;P3726&amp;AS[[#This Row],[Insurance Category Code]]&amp;"; "&amp;Q3726&amp;AS[[#This Row],[Large Provider Entity Code]]&amp;"; "&amp;R3726&amp;AS[[#This Row],[Age Band Code]]&amp;"; "&amp;S3726&amp;AS[[#This Row],[Sex Code]]</f>
        <v xml:space="preserve">Insurer Code ; Reporting Year ; Insurance Category Code ; Large Provider Entity Code ; Age Band Code ; Sex Code </v>
      </c>
      <c r="N3726" s="345" t="s">
        <v>207</v>
      </c>
      <c r="O3726" s="345" t="s">
        <v>208</v>
      </c>
      <c r="P3726" s="345" t="s">
        <v>209</v>
      </c>
      <c r="Q3726" s="345" t="s">
        <v>210</v>
      </c>
      <c r="R3726" s="345" t="s">
        <v>223</v>
      </c>
      <c r="S3726" s="345" t="s">
        <v>224</v>
      </c>
    </row>
    <row r="3727" spans="1:19" x14ac:dyDescent="0.25">
      <c r="A3727" s="311"/>
      <c r="B3727" s="312"/>
      <c r="C3727" s="312"/>
      <c r="D3727" s="312"/>
      <c r="E3727" s="312"/>
      <c r="F3727" s="312"/>
      <c r="G3727" s="328"/>
      <c r="H3727" s="337"/>
      <c r="I3727" s="334"/>
      <c r="J3727" s="314"/>
      <c r="K3727" s="449"/>
      <c r="M3727" s="349" t="str">
        <f>N3727&amp;AS[[#This Row],[Insurer Code]]&amp;"; "&amp;O3727&amp;AS[[#This Row],[Reporting Year]]&amp;"; "&amp;P3727&amp;AS[[#This Row],[Insurance Category Code]]&amp;"; "&amp;Q3727&amp;AS[[#This Row],[Large Provider Entity Code]]&amp;"; "&amp;R3727&amp;AS[[#This Row],[Age Band Code]]&amp;"; "&amp;S3727&amp;AS[[#This Row],[Sex Code]]</f>
        <v xml:space="preserve">Insurer Code ; Reporting Year ; Insurance Category Code ; Large Provider Entity Code ; Age Band Code ; Sex Code </v>
      </c>
      <c r="N3727" s="345" t="s">
        <v>207</v>
      </c>
      <c r="O3727" s="345" t="s">
        <v>208</v>
      </c>
      <c r="P3727" s="345" t="s">
        <v>209</v>
      </c>
      <c r="Q3727" s="345" t="s">
        <v>210</v>
      </c>
      <c r="R3727" s="345" t="s">
        <v>223</v>
      </c>
      <c r="S3727" s="345" t="s">
        <v>224</v>
      </c>
    </row>
    <row r="3728" spans="1:19" x14ac:dyDescent="0.25">
      <c r="A3728" s="311"/>
      <c r="B3728" s="312"/>
      <c r="C3728" s="312"/>
      <c r="D3728" s="312"/>
      <c r="E3728" s="312"/>
      <c r="F3728" s="312"/>
      <c r="G3728" s="328"/>
      <c r="H3728" s="337"/>
      <c r="I3728" s="334"/>
      <c r="J3728" s="314"/>
      <c r="K3728" s="449"/>
      <c r="M3728" s="349" t="str">
        <f>N3728&amp;AS[[#This Row],[Insurer Code]]&amp;"; "&amp;O3728&amp;AS[[#This Row],[Reporting Year]]&amp;"; "&amp;P3728&amp;AS[[#This Row],[Insurance Category Code]]&amp;"; "&amp;Q3728&amp;AS[[#This Row],[Large Provider Entity Code]]&amp;"; "&amp;R3728&amp;AS[[#This Row],[Age Band Code]]&amp;"; "&amp;S3728&amp;AS[[#This Row],[Sex Code]]</f>
        <v xml:space="preserve">Insurer Code ; Reporting Year ; Insurance Category Code ; Large Provider Entity Code ; Age Band Code ; Sex Code </v>
      </c>
      <c r="N3728" s="345" t="s">
        <v>207</v>
      </c>
      <c r="O3728" s="345" t="s">
        <v>208</v>
      </c>
      <c r="P3728" s="345" t="s">
        <v>209</v>
      </c>
      <c r="Q3728" s="345" t="s">
        <v>210</v>
      </c>
      <c r="R3728" s="345" t="s">
        <v>223</v>
      </c>
      <c r="S3728" s="345" t="s">
        <v>224</v>
      </c>
    </row>
    <row r="3729" spans="1:19" x14ac:dyDescent="0.25">
      <c r="A3729" s="311"/>
      <c r="B3729" s="312"/>
      <c r="C3729" s="312"/>
      <c r="D3729" s="312"/>
      <c r="E3729" s="312"/>
      <c r="F3729" s="312"/>
      <c r="G3729" s="328"/>
      <c r="H3729" s="337"/>
      <c r="I3729" s="334"/>
      <c r="J3729" s="314"/>
      <c r="K3729" s="449"/>
      <c r="M3729" s="349" t="str">
        <f>N3729&amp;AS[[#This Row],[Insurer Code]]&amp;"; "&amp;O3729&amp;AS[[#This Row],[Reporting Year]]&amp;"; "&amp;P3729&amp;AS[[#This Row],[Insurance Category Code]]&amp;"; "&amp;Q3729&amp;AS[[#This Row],[Large Provider Entity Code]]&amp;"; "&amp;R3729&amp;AS[[#This Row],[Age Band Code]]&amp;"; "&amp;S3729&amp;AS[[#This Row],[Sex Code]]</f>
        <v xml:space="preserve">Insurer Code ; Reporting Year ; Insurance Category Code ; Large Provider Entity Code ; Age Band Code ; Sex Code </v>
      </c>
      <c r="N3729" s="345" t="s">
        <v>207</v>
      </c>
      <c r="O3729" s="345" t="s">
        <v>208</v>
      </c>
      <c r="P3729" s="345" t="s">
        <v>209</v>
      </c>
      <c r="Q3729" s="345" t="s">
        <v>210</v>
      </c>
      <c r="R3729" s="345" t="s">
        <v>223</v>
      </c>
      <c r="S3729" s="345" t="s">
        <v>224</v>
      </c>
    </row>
    <row r="3730" spans="1:19" x14ac:dyDescent="0.25">
      <c r="A3730" s="311"/>
      <c r="B3730" s="312"/>
      <c r="C3730" s="312"/>
      <c r="D3730" s="312"/>
      <c r="E3730" s="312"/>
      <c r="F3730" s="312"/>
      <c r="G3730" s="328"/>
      <c r="H3730" s="337"/>
      <c r="I3730" s="334"/>
      <c r="J3730" s="314"/>
      <c r="K3730" s="449"/>
      <c r="M3730" s="349" t="str">
        <f>N3730&amp;AS[[#This Row],[Insurer Code]]&amp;"; "&amp;O3730&amp;AS[[#This Row],[Reporting Year]]&amp;"; "&amp;P3730&amp;AS[[#This Row],[Insurance Category Code]]&amp;"; "&amp;Q3730&amp;AS[[#This Row],[Large Provider Entity Code]]&amp;"; "&amp;R3730&amp;AS[[#This Row],[Age Band Code]]&amp;"; "&amp;S3730&amp;AS[[#This Row],[Sex Code]]</f>
        <v xml:space="preserve">Insurer Code ; Reporting Year ; Insurance Category Code ; Large Provider Entity Code ; Age Band Code ; Sex Code </v>
      </c>
      <c r="N3730" s="345" t="s">
        <v>207</v>
      </c>
      <c r="O3730" s="345" t="s">
        <v>208</v>
      </c>
      <c r="P3730" s="345" t="s">
        <v>209</v>
      </c>
      <c r="Q3730" s="345" t="s">
        <v>210</v>
      </c>
      <c r="R3730" s="345" t="s">
        <v>223</v>
      </c>
      <c r="S3730" s="345" t="s">
        <v>224</v>
      </c>
    </row>
    <row r="3731" spans="1:19" x14ac:dyDescent="0.25">
      <c r="A3731" s="311"/>
      <c r="B3731" s="312"/>
      <c r="C3731" s="312"/>
      <c r="D3731" s="312"/>
      <c r="E3731" s="312"/>
      <c r="F3731" s="312"/>
      <c r="G3731" s="328"/>
      <c r="H3731" s="337"/>
      <c r="I3731" s="334"/>
      <c r="J3731" s="314"/>
      <c r="K3731" s="449"/>
      <c r="M3731" s="349" t="str">
        <f>N3731&amp;AS[[#This Row],[Insurer Code]]&amp;"; "&amp;O3731&amp;AS[[#This Row],[Reporting Year]]&amp;"; "&amp;P3731&amp;AS[[#This Row],[Insurance Category Code]]&amp;"; "&amp;Q3731&amp;AS[[#This Row],[Large Provider Entity Code]]&amp;"; "&amp;R3731&amp;AS[[#This Row],[Age Band Code]]&amp;"; "&amp;S3731&amp;AS[[#This Row],[Sex Code]]</f>
        <v xml:space="preserve">Insurer Code ; Reporting Year ; Insurance Category Code ; Large Provider Entity Code ; Age Band Code ; Sex Code </v>
      </c>
      <c r="N3731" s="345" t="s">
        <v>207</v>
      </c>
      <c r="O3731" s="345" t="s">
        <v>208</v>
      </c>
      <c r="P3731" s="345" t="s">
        <v>209</v>
      </c>
      <c r="Q3731" s="345" t="s">
        <v>210</v>
      </c>
      <c r="R3731" s="345" t="s">
        <v>223</v>
      </c>
      <c r="S3731" s="345" t="s">
        <v>224</v>
      </c>
    </row>
    <row r="3732" spans="1:19" x14ac:dyDescent="0.25">
      <c r="A3732" s="311"/>
      <c r="B3732" s="312"/>
      <c r="C3732" s="312"/>
      <c r="D3732" s="312"/>
      <c r="E3732" s="312"/>
      <c r="F3732" s="312"/>
      <c r="G3732" s="328"/>
      <c r="H3732" s="337"/>
      <c r="I3732" s="334"/>
      <c r="J3732" s="314"/>
      <c r="K3732" s="449"/>
      <c r="M3732" s="349" t="str">
        <f>N3732&amp;AS[[#This Row],[Insurer Code]]&amp;"; "&amp;O3732&amp;AS[[#This Row],[Reporting Year]]&amp;"; "&amp;P3732&amp;AS[[#This Row],[Insurance Category Code]]&amp;"; "&amp;Q3732&amp;AS[[#This Row],[Large Provider Entity Code]]&amp;"; "&amp;R3732&amp;AS[[#This Row],[Age Band Code]]&amp;"; "&amp;S3732&amp;AS[[#This Row],[Sex Code]]</f>
        <v xml:space="preserve">Insurer Code ; Reporting Year ; Insurance Category Code ; Large Provider Entity Code ; Age Band Code ; Sex Code </v>
      </c>
      <c r="N3732" s="345" t="s">
        <v>207</v>
      </c>
      <c r="O3732" s="345" t="s">
        <v>208</v>
      </c>
      <c r="P3732" s="345" t="s">
        <v>209</v>
      </c>
      <c r="Q3732" s="345" t="s">
        <v>210</v>
      </c>
      <c r="R3732" s="345" t="s">
        <v>223</v>
      </c>
      <c r="S3732" s="345" t="s">
        <v>224</v>
      </c>
    </row>
    <row r="3733" spans="1:19" x14ac:dyDescent="0.25">
      <c r="A3733" s="311"/>
      <c r="B3733" s="312"/>
      <c r="C3733" s="312"/>
      <c r="D3733" s="312"/>
      <c r="E3733" s="312"/>
      <c r="F3733" s="312"/>
      <c r="G3733" s="328"/>
      <c r="H3733" s="337"/>
      <c r="I3733" s="334"/>
      <c r="J3733" s="314"/>
      <c r="K3733" s="449"/>
      <c r="M3733" s="349" t="str">
        <f>N3733&amp;AS[[#This Row],[Insurer Code]]&amp;"; "&amp;O3733&amp;AS[[#This Row],[Reporting Year]]&amp;"; "&amp;P3733&amp;AS[[#This Row],[Insurance Category Code]]&amp;"; "&amp;Q3733&amp;AS[[#This Row],[Large Provider Entity Code]]&amp;"; "&amp;R3733&amp;AS[[#This Row],[Age Band Code]]&amp;"; "&amp;S3733&amp;AS[[#This Row],[Sex Code]]</f>
        <v xml:space="preserve">Insurer Code ; Reporting Year ; Insurance Category Code ; Large Provider Entity Code ; Age Band Code ; Sex Code </v>
      </c>
      <c r="N3733" s="345" t="s">
        <v>207</v>
      </c>
      <c r="O3733" s="345" t="s">
        <v>208</v>
      </c>
      <c r="P3733" s="345" t="s">
        <v>209</v>
      </c>
      <c r="Q3733" s="345" t="s">
        <v>210</v>
      </c>
      <c r="R3733" s="345" t="s">
        <v>223</v>
      </c>
      <c r="S3733" s="345" t="s">
        <v>224</v>
      </c>
    </row>
    <row r="3734" spans="1:19" x14ac:dyDescent="0.25">
      <c r="A3734" s="311"/>
      <c r="B3734" s="312"/>
      <c r="C3734" s="312"/>
      <c r="D3734" s="312"/>
      <c r="E3734" s="312"/>
      <c r="F3734" s="312"/>
      <c r="G3734" s="328"/>
      <c r="H3734" s="337"/>
      <c r="I3734" s="334"/>
      <c r="J3734" s="314"/>
      <c r="K3734" s="449"/>
      <c r="M3734" s="349" t="str">
        <f>N3734&amp;AS[[#This Row],[Insurer Code]]&amp;"; "&amp;O3734&amp;AS[[#This Row],[Reporting Year]]&amp;"; "&amp;P3734&amp;AS[[#This Row],[Insurance Category Code]]&amp;"; "&amp;Q3734&amp;AS[[#This Row],[Large Provider Entity Code]]&amp;"; "&amp;R3734&amp;AS[[#This Row],[Age Band Code]]&amp;"; "&amp;S3734&amp;AS[[#This Row],[Sex Code]]</f>
        <v xml:space="preserve">Insurer Code ; Reporting Year ; Insurance Category Code ; Large Provider Entity Code ; Age Band Code ; Sex Code </v>
      </c>
      <c r="N3734" s="345" t="s">
        <v>207</v>
      </c>
      <c r="O3734" s="345" t="s">
        <v>208</v>
      </c>
      <c r="P3734" s="345" t="s">
        <v>209</v>
      </c>
      <c r="Q3734" s="345" t="s">
        <v>210</v>
      </c>
      <c r="R3734" s="345" t="s">
        <v>223</v>
      </c>
      <c r="S3734" s="345" t="s">
        <v>224</v>
      </c>
    </row>
    <row r="3735" spans="1:19" x14ac:dyDescent="0.25">
      <c r="A3735" s="311"/>
      <c r="B3735" s="312"/>
      <c r="C3735" s="312"/>
      <c r="D3735" s="312"/>
      <c r="E3735" s="312"/>
      <c r="F3735" s="312"/>
      <c r="G3735" s="328"/>
      <c r="H3735" s="337"/>
      <c r="I3735" s="334"/>
      <c r="J3735" s="314"/>
      <c r="K3735" s="449"/>
      <c r="M3735" s="349" t="str">
        <f>N3735&amp;AS[[#This Row],[Insurer Code]]&amp;"; "&amp;O3735&amp;AS[[#This Row],[Reporting Year]]&amp;"; "&amp;P3735&amp;AS[[#This Row],[Insurance Category Code]]&amp;"; "&amp;Q3735&amp;AS[[#This Row],[Large Provider Entity Code]]&amp;"; "&amp;R3735&amp;AS[[#This Row],[Age Band Code]]&amp;"; "&amp;S3735&amp;AS[[#This Row],[Sex Code]]</f>
        <v xml:space="preserve">Insurer Code ; Reporting Year ; Insurance Category Code ; Large Provider Entity Code ; Age Band Code ; Sex Code </v>
      </c>
      <c r="N3735" s="345" t="s">
        <v>207</v>
      </c>
      <c r="O3735" s="345" t="s">
        <v>208</v>
      </c>
      <c r="P3735" s="345" t="s">
        <v>209</v>
      </c>
      <c r="Q3735" s="345" t="s">
        <v>210</v>
      </c>
      <c r="R3735" s="345" t="s">
        <v>223</v>
      </c>
      <c r="S3735" s="345" t="s">
        <v>224</v>
      </c>
    </row>
    <row r="3736" spans="1:19" x14ac:dyDescent="0.25">
      <c r="A3736" s="311"/>
      <c r="B3736" s="312"/>
      <c r="C3736" s="312"/>
      <c r="D3736" s="312"/>
      <c r="E3736" s="312"/>
      <c r="F3736" s="312"/>
      <c r="G3736" s="328"/>
      <c r="H3736" s="337"/>
      <c r="I3736" s="334"/>
      <c r="J3736" s="314"/>
      <c r="K3736" s="449"/>
      <c r="M3736" s="349" t="str">
        <f>N3736&amp;AS[[#This Row],[Insurer Code]]&amp;"; "&amp;O3736&amp;AS[[#This Row],[Reporting Year]]&amp;"; "&amp;P3736&amp;AS[[#This Row],[Insurance Category Code]]&amp;"; "&amp;Q3736&amp;AS[[#This Row],[Large Provider Entity Code]]&amp;"; "&amp;R3736&amp;AS[[#This Row],[Age Band Code]]&amp;"; "&amp;S3736&amp;AS[[#This Row],[Sex Code]]</f>
        <v xml:space="preserve">Insurer Code ; Reporting Year ; Insurance Category Code ; Large Provider Entity Code ; Age Band Code ; Sex Code </v>
      </c>
      <c r="N3736" s="345" t="s">
        <v>207</v>
      </c>
      <c r="O3736" s="345" t="s">
        <v>208</v>
      </c>
      <c r="P3736" s="345" t="s">
        <v>209</v>
      </c>
      <c r="Q3736" s="345" t="s">
        <v>210</v>
      </c>
      <c r="R3736" s="345" t="s">
        <v>223</v>
      </c>
      <c r="S3736" s="345" t="s">
        <v>224</v>
      </c>
    </row>
    <row r="3737" spans="1:19" x14ac:dyDescent="0.25">
      <c r="A3737" s="311"/>
      <c r="B3737" s="312"/>
      <c r="C3737" s="312"/>
      <c r="D3737" s="312"/>
      <c r="E3737" s="312"/>
      <c r="F3737" s="312"/>
      <c r="G3737" s="328"/>
      <c r="H3737" s="337"/>
      <c r="I3737" s="334"/>
      <c r="J3737" s="314"/>
      <c r="K3737" s="449"/>
      <c r="M3737" s="349" t="str">
        <f>N3737&amp;AS[[#This Row],[Insurer Code]]&amp;"; "&amp;O3737&amp;AS[[#This Row],[Reporting Year]]&amp;"; "&amp;P3737&amp;AS[[#This Row],[Insurance Category Code]]&amp;"; "&amp;Q3737&amp;AS[[#This Row],[Large Provider Entity Code]]&amp;"; "&amp;R3737&amp;AS[[#This Row],[Age Band Code]]&amp;"; "&amp;S3737&amp;AS[[#This Row],[Sex Code]]</f>
        <v xml:space="preserve">Insurer Code ; Reporting Year ; Insurance Category Code ; Large Provider Entity Code ; Age Band Code ; Sex Code </v>
      </c>
      <c r="N3737" s="345" t="s">
        <v>207</v>
      </c>
      <c r="O3737" s="345" t="s">
        <v>208</v>
      </c>
      <c r="P3737" s="345" t="s">
        <v>209</v>
      </c>
      <c r="Q3737" s="345" t="s">
        <v>210</v>
      </c>
      <c r="R3737" s="345" t="s">
        <v>223</v>
      </c>
      <c r="S3737" s="345" t="s">
        <v>224</v>
      </c>
    </row>
    <row r="3738" spans="1:19" x14ac:dyDescent="0.25">
      <c r="A3738" s="311"/>
      <c r="B3738" s="312"/>
      <c r="C3738" s="312"/>
      <c r="D3738" s="312"/>
      <c r="E3738" s="312"/>
      <c r="F3738" s="312"/>
      <c r="G3738" s="328"/>
      <c r="H3738" s="337"/>
      <c r="I3738" s="334"/>
      <c r="J3738" s="314"/>
      <c r="K3738" s="449"/>
      <c r="M3738" s="349" t="str">
        <f>N3738&amp;AS[[#This Row],[Insurer Code]]&amp;"; "&amp;O3738&amp;AS[[#This Row],[Reporting Year]]&amp;"; "&amp;P3738&amp;AS[[#This Row],[Insurance Category Code]]&amp;"; "&amp;Q3738&amp;AS[[#This Row],[Large Provider Entity Code]]&amp;"; "&amp;R3738&amp;AS[[#This Row],[Age Band Code]]&amp;"; "&amp;S3738&amp;AS[[#This Row],[Sex Code]]</f>
        <v xml:space="preserve">Insurer Code ; Reporting Year ; Insurance Category Code ; Large Provider Entity Code ; Age Band Code ; Sex Code </v>
      </c>
      <c r="N3738" s="345" t="s">
        <v>207</v>
      </c>
      <c r="O3738" s="345" t="s">
        <v>208</v>
      </c>
      <c r="P3738" s="345" t="s">
        <v>209</v>
      </c>
      <c r="Q3738" s="345" t="s">
        <v>210</v>
      </c>
      <c r="R3738" s="345" t="s">
        <v>223</v>
      </c>
      <c r="S3738" s="345" t="s">
        <v>224</v>
      </c>
    </row>
    <row r="3739" spans="1:19" x14ac:dyDescent="0.25">
      <c r="A3739" s="311"/>
      <c r="B3739" s="312"/>
      <c r="C3739" s="312"/>
      <c r="D3739" s="312"/>
      <c r="E3739" s="312"/>
      <c r="F3739" s="312"/>
      <c r="G3739" s="328"/>
      <c r="H3739" s="337"/>
      <c r="I3739" s="334"/>
      <c r="J3739" s="314"/>
      <c r="K3739" s="449"/>
      <c r="M3739" s="349" t="str">
        <f>N3739&amp;AS[[#This Row],[Insurer Code]]&amp;"; "&amp;O3739&amp;AS[[#This Row],[Reporting Year]]&amp;"; "&amp;P3739&amp;AS[[#This Row],[Insurance Category Code]]&amp;"; "&amp;Q3739&amp;AS[[#This Row],[Large Provider Entity Code]]&amp;"; "&amp;R3739&amp;AS[[#This Row],[Age Band Code]]&amp;"; "&amp;S3739&amp;AS[[#This Row],[Sex Code]]</f>
        <v xml:space="preserve">Insurer Code ; Reporting Year ; Insurance Category Code ; Large Provider Entity Code ; Age Band Code ; Sex Code </v>
      </c>
      <c r="N3739" s="345" t="s">
        <v>207</v>
      </c>
      <c r="O3739" s="345" t="s">
        <v>208</v>
      </c>
      <c r="P3739" s="345" t="s">
        <v>209</v>
      </c>
      <c r="Q3739" s="345" t="s">
        <v>210</v>
      </c>
      <c r="R3739" s="345" t="s">
        <v>223</v>
      </c>
      <c r="S3739" s="345" t="s">
        <v>224</v>
      </c>
    </row>
    <row r="3740" spans="1:19" x14ac:dyDescent="0.25">
      <c r="A3740" s="311"/>
      <c r="B3740" s="312"/>
      <c r="C3740" s="312"/>
      <c r="D3740" s="312"/>
      <c r="E3740" s="312"/>
      <c r="F3740" s="312"/>
      <c r="G3740" s="328"/>
      <c r="H3740" s="337"/>
      <c r="I3740" s="334"/>
      <c r="J3740" s="314"/>
      <c r="K3740" s="449"/>
      <c r="M3740" s="349" t="str">
        <f>N3740&amp;AS[[#This Row],[Insurer Code]]&amp;"; "&amp;O3740&amp;AS[[#This Row],[Reporting Year]]&amp;"; "&amp;P3740&amp;AS[[#This Row],[Insurance Category Code]]&amp;"; "&amp;Q3740&amp;AS[[#This Row],[Large Provider Entity Code]]&amp;"; "&amp;R3740&amp;AS[[#This Row],[Age Band Code]]&amp;"; "&amp;S3740&amp;AS[[#This Row],[Sex Code]]</f>
        <v xml:space="preserve">Insurer Code ; Reporting Year ; Insurance Category Code ; Large Provider Entity Code ; Age Band Code ; Sex Code </v>
      </c>
      <c r="N3740" s="345" t="s">
        <v>207</v>
      </c>
      <c r="O3740" s="345" t="s">
        <v>208</v>
      </c>
      <c r="P3740" s="345" t="s">
        <v>209</v>
      </c>
      <c r="Q3740" s="345" t="s">
        <v>210</v>
      </c>
      <c r="R3740" s="345" t="s">
        <v>223</v>
      </c>
      <c r="S3740" s="345" t="s">
        <v>224</v>
      </c>
    </row>
    <row r="3741" spans="1:19" x14ac:dyDescent="0.25">
      <c r="A3741" s="311"/>
      <c r="B3741" s="312"/>
      <c r="C3741" s="312"/>
      <c r="D3741" s="312"/>
      <c r="E3741" s="312"/>
      <c r="F3741" s="312"/>
      <c r="G3741" s="328"/>
      <c r="H3741" s="337"/>
      <c r="I3741" s="334"/>
      <c r="J3741" s="314"/>
      <c r="K3741" s="449"/>
      <c r="M3741" s="349" t="str">
        <f>N3741&amp;AS[[#This Row],[Insurer Code]]&amp;"; "&amp;O3741&amp;AS[[#This Row],[Reporting Year]]&amp;"; "&amp;P3741&amp;AS[[#This Row],[Insurance Category Code]]&amp;"; "&amp;Q3741&amp;AS[[#This Row],[Large Provider Entity Code]]&amp;"; "&amp;R3741&amp;AS[[#This Row],[Age Band Code]]&amp;"; "&amp;S3741&amp;AS[[#This Row],[Sex Code]]</f>
        <v xml:space="preserve">Insurer Code ; Reporting Year ; Insurance Category Code ; Large Provider Entity Code ; Age Band Code ; Sex Code </v>
      </c>
      <c r="N3741" s="345" t="s">
        <v>207</v>
      </c>
      <c r="O3741" s="345" t="s">
        <v>208</v>
      </c>
      <c r="P3741" s="345" t="s">
        <v>209</v>
      </c>
      <c r="Q3741" s="345" t="s">
        <v>210</v>
      </c>
      <c r="R3741" s="345" t="s">
        <v>223</v>
      </c>
      <c r="S3741" s="345" t="s">
        <v>224</v>
      </c>
    </row>
    <row r="3742" spans="1:19" x14ac:dyDescent="0.25">
      <c r="A3742" s="311"/>
      <c r="B3742" s="312"/>
      <c r="C3742" s="312"/>
      <c r="D3742" s="312"/>
      <c r="E3742" s="312"/>
      <c r="F3742" s="312"/>
      <c r="G3742" s="328"/>
      <c r="H3742" s="337"/>
      <c r="I3742" s="334"/>
      <c r="J3742" s="314"/>
      <c r="K3742" s="449"/>
      <c r="M3742" s="349" t="str">
        <f>N3742&amp;AS[[#This Row],[Insurer Code]]&amp;"; "&amp;O3742&amp;AS[[#This Row],[Reporting Year]]&amp;"; "&amp;P3742&amp;AS[[#This Row],[Insurance Category Code]]&amp;"; "&amp;Q3742&amp;AS[[#This Row],[Large Provider Entity Code]]&amp;"; "&amp;R3742&amp;AS[[#This Row],[Age Band Code]]&amp;"; "&amp;S3742&amp;AS[[#This Row],[Sex Code]]</f>
        <v xml:space="preserve">Insurer Code ; Reporting Year ; Insurance Category Code ; Large Provider Entity Code ; Age Band Code ; Sex Code </v>
      </c>
      <c r="N3742" s="345" t="s">
        <v>207</v>
      </c>
      <c r="O3742" s="345" t="s">
        <v>208</v>
      </c>
      <c r="P3742" s="345" t="s">
        <v>209</v>
      </c>
      <c r="Q3742" s="345" t="s">
        <v>210</v>
      </c>
      <c r="R3742" s="345" t="s">
        <v>223</v>
      </c>
      <c r="S3742" s="345" t="s">
        <v>224</v>
      </c>
    </row>
    <row r="3743" spans="1:19" x14ac:dyDescent="0.25">
      <c r="A3743" s="311"/>
      <c r="B3743" s="312"/>
      <c r="C3743" s="312"/>
      <c r="D3743" s="312"/>
      <c r="E3743" s="312"/>
      <c r="F3743" s="312"/>
      <c r="G3743" s="328"/>
      <c r="H3743" s="337"/>
      <c r="I3743" s="334"/>
      <c r="J3743" s="314"/>
      <c r="K3743" s="449"/>
      <c r="M3743" s="349" t="str">
        <f>N3743&amp;AS[[#This Row],[Insurer Code]]&amp;"; "&amp;O3743&amp;AS[[#This Row],[Reporting Year]]&amp;"; "&amp;P3743&amp;AS[[#This Row],[Insurance Category Code]]&amp;"; "&amp;Q3743&amp;AS[[#This Row],[Large Provider Entity Code]]&amp;"; "&amp;R3743&amp;AS[[#This Row],[Age Band Code]]&amp;"; "&amp;S3743&amp;AS[[#This Row],[Sex Code]]</f>
        <v xml:space="preserve">Insurer Code ; Reporting Year ; Insurance Category Code ; Large Provider Entity Code ; Age Band Code ; Sex Code </v>
      </c>
      <c r="N3743" s="345" t="s">
        <v>207</v>
      </c>
      <c r="O3743" s="345" t="s">
        <v>208</v>
      </c>
      <c r="P3743" s="345" t="s">
        <v>209</v>
      </c>
      <c r="Q3743" s="345" t="s">
        <v>210</v>
      </c>
      <c r="R3743" s="345" t="s">
        <v>223</v>
      </c>
      <c r="S3743" s="345" t="s">
        <v>224</v>
      </c>
    </row>
    <row r="3744" spans="1:19" x14ac:dyDescent="0.25">
      <c r="A3744" s="311"/>
      <c r="B3744" s="312"/>
      <c r="C3744" s="312"/>
      <c r="D3744" s="312"/>
      <c r="E3744" s="312"/>
      <c r="F3744" s="312"/>
      <c r="G3744" s="328"/>
      <c r="H3744" s="337"/>
      <c r="I3744" s="334"/>
      <c r="J3744" s="314"/>
      <c r="K3744" s="449"/>
      <c r="M3744" s="349" t="str">
        <f>N3744&amp;AS[[#This Row],[Insurer Code]]&amp;"; "&amp;O3744&amp;AS[[#This Row],[Reporting Year]]&amp;"; "&amp;P3744&amp;AS[[#This Row],[Insurance Category Code]]&amp;"; "&amp;Q3744&amp;AS[[#This Row],[Large Provider Entity Code]]&amp;"; "&amp;R3744&amp;AS[[#This Row],[Age Band Code]]&amp;"; "&amp;S3744&amp;AS[[#This Row],[Sex Code]]</f>
        <v xml:space="preserve">Insurer Code ; Reporting Year ; Insurance Category Code ; Large Provider Entity Code ; Age Band Code ; Sex Code </v>
      </c>
      <c r="N3744" s="345" t="s">
        <v>207</v>
      </c>
      <c r="O3744" s="345" t="s">
        <v>208</v>
      </c>
      <c r="P3744" s="345" t="s">
        <v>209</v>
      </c>
      <c r="Q3744" s="345" t="s">
        <v>210</v>
      </c>
      <c r="R3744" s="345" t="s">
        <v>223</v>
      </c>
      <c r="S3744" s="345" t="s">
        <v>224</v>
      </c>
    </row>
    <row r="3745" spans="1:19" x14ac:dyDescent="0.25">
      <c r="A3745" s="311"/>
      <c r="B3745" s="312"/>
      <c r="C3745" s="312"/>
      <c r="D3745" s="312"/>
      <c r="E3745" s="312"/>
      <c r="F3745" s="312"/>
      <c r="G3745" s="328"/>
      <c r="H3745" s="337"/>
      <c r="I3745" s="334"/>
      <c r="J3745" s="314"/>
      <c r="K3745" s="449"/>
      <c r="M3745" s="349" t="str">
        <f>N3745&amp;AS[[#This Row],[Insurer Code]]&amp;"; "&amp;O3745&amp;AS[[#This Row],[Reporting Year]]&amp;"; "&amp;P3745&amp;AS[[#This Row],[Insurance Category Code]]&amp;"; "&amp;Q3745&amp;AS[[#This Row],[Large Provider Entity Code]]&amp;"; "&amp;R3745&amp;AS[[#This Row],[Age Band Code]]&amp;"; "&amp;S3745&amp;AS[[#This Row],[Sex Code]]</f>
        <v xml:space="preserve">Insurer Code ; Reporting Year ; Insurance Category Code ; Large Provider Entity Code ; Age Band Code ; Sex Code </v>
      </c>
      <c r="N3745" s="345" t="s">
        <v>207</v>
      </c>
      <c r="O3745" s="345" t="s">
        <v>208</v>
      </c>
      <c r="P3745" s="345" t="s">
        <v>209</v>
      </c>
      <c r="Q3745" s="345" t="s">
        <v>210</v>
      </c>
      <c r="R3745" s="345" t="s">
        <v>223</v>
      </c>
      <c r="S3745" s="345" t="s">
        <v>224</v>
      </c>
    </row>
    <row r="3746" spans="1:19" x14ac:dyDescent="0.25">
      <c r="A3746" s="311"/>
      <c r="B3746" s="312"/>
      <c r="C3746" s="312"/>
      <c r="D3746" s="312"/>
      <c r="E3746" s="312"/>
      <c r="F3746" s="312"/>
      <c r="G3746" s="328"/>
      <c r="H3746" s="337"/>
      <c r="I3746" s="334"/>
      <c r="J3746" s="314"/>
      <c r="K3746" s="449"/>
      <c r="M3746" s="349" t="str">
        <f>N3746&amp;AS[[#This Row],[Insurer Code]]&amp;"; "&amp;O3746&amp;AS[[#This Row],[Reporting Year]]&amp;"; "&amp;P3746&amp;AS[[#This Row],[Insurance Category Code]]&amp;"; "&amp;Q3746&amp;AS[[#This Row],[Large Provider Entity Code]]&amp;"; "&amp;R3746&amp;AS[[#This Row],[Age Band Code]]&amp;"; "&amp;S3746&amp;AS[[#This Row],[Sex Code]]</f>
        <v xml:space="preserve">Insurer Code ; Reporting Year ; Insurance Category Code ; Large Provider Entity Code ; Age Band Code ; Sex Code </v>
      </c>
      <c r="N3746" s="345" t="s">
        <v>207</v>
      </c>
      <c r="O3746" s="345" t="s">
        <v>208</v>
      </c>
      <c r="P3746" s="345" t="s">
        <v>209</v>
      </c>
      <c r="Q3746" s="345" t="s">
        <v>210</v>
      </c>
      <c r="R3746" s="345" t="s">
        <v>223</v>
      </c>
      <c r="S3746" s="345" t="s">
        <v>224</v>
      </c>
    </row>
    <row r="3747" spans="1:19" x14ac:dyDescent="0.25">
      <c r="A3747" s="311"/>
      <c r="B3747" s="312"/>
      <c r="C3747" s="312"/>
      <c r="D3747" s="312"/>
      <c r="E3747" s="312"/>
      <c r="F3747" s="312"/>
      <c r="G3747" s="328"/>
      <c r="H3747" s="337"/>
      <c r="I3747" s="334"/>
      <c r="J3747" s="314"/>
      <c r="K3747" s="449"/>
      <c r="M3747" s="349" t="str">
        <f>N3747&amp;AS[[#This Row],[Insurer Code]]&amp;"; "&amp;O3747&amp;AS[[#This Row],[Reporting Year]]&amp;"; "&amp;P3747&amp;AS[[#This Row],[Insurance Category Code]]&amp;"; "&amp;Q3747&amp;AS[[#This Row],[Large Provider Entity Code]]&amp;"; "&amp;R3747&amp;AS[[#This Row],[Age Band Code]]&amp;"; "&amp;S3747&amp;AS[[#This Row],[Sex Code]]</f>
        <v xml:space="preserve">Insurer Code ; Reporting Year ; Insurance Category Code ; Large Provider Entity Code ; Age Band Code ; Sex Code </v>
      </c>
      <c r="N3747" s="345" t="s">
        <v>207</v>
      </c>
      <c r="O3747" s="345" t="s">
        <v>208</v>
      </c>
      <c r="P3747" s="345" t="s">
        <v>209</v>
      </c>
      <c r="Q3747" s="345" t="s">
        <v>210</v>
      </c>
      <c r="R3747" s="345" t="s">
        <v>223</v>
      </c>
      <c r="S3747" s="345" t="s">
        <v>224</v>
      </c>
    </row>
    <row r="3748" spans="1:19" x14ac:dyDescent="0.25">
      <c r="A3748" s="311"/>
      <c r="B3748" s="312"/>
      <c r="C3748" s="312"/>
      <c r="D3748" s="312"/>
      <c r="E3748" s="312"/>
      <c r="F3748" s="312"/>
      <c r="G3748" s="328"/>
      <c r="H3748" s="337"/>
      <c r="I3748" s="334"/>
      <c r="J3748" s="314"/>
      <c r="K3748" s="449"/>
      <c r="M3748" s="349" t="str">
        <f>N3748&amp;AS[[#This Row],[Insurer Code]]&amp;"; "&amp;O3748&amp;AS[[#This Row],[Reporting Year]]&amp;"; "&amp;P3748&amp;AS[[#This Row],[Insurance Category Code]]&amp;"; "&amp;Q3748&amp;AS[[#This Row],[Large Provider Entity Code]]&amp;"; "&amp;R3748&amp;AS[[#This Row],[Age Band Code]]&amp;"; "&amp;S3748&amp;AS[[#This Row],[Sex Code]]</f>
        <v xml:space="preserve">Insurer Code ; Reporting Year ; Insurance Category Code ; Large Provider Entity Code ; Age Band Code ; Sex Code </v>
      </c>
      <c r="N3748" s="345" t="s">
        <v>207</v>
      </c>
      <c r="O3748" s="345" t="s">
        <v>208</v>
      </c>
      <c r="P3748" s="345" t="s">
        <v>209</v>
      </c>
      <c r="Q3748" s="345" t="s">
        <v>210</v>
      </c>
      <c r="R3748" s="345" t="s">
        <v>223</v>
      </c>
      <c r="S3748" s="345" t="s">
        <v>224</v>
      </c>
    </row>
    <row r="3749" spans="1:19" x14ac:dyDescent="0.25">
      <c r="A3749" s="311"/>
      <c r="B3749" s="312"/>
      <c r="C3749" s="312"/>
      <c r="D3749" s="312"/>
      <c r="E3749" s="312"/>
      <c r="F3749" s="312"/>
      <c r="G3749" s="328"/>
      <c r="H3749" s="337"/>
      <c r="I3749" s="334"/>
      <c r="J3749" s="314"/>
      <c r="K3749" s="449"/>
      <c r="M3749" s="349" t="str">
        <f>N3749&amp;AS[[#This Row],[Insurer Code]]&amp;"; "&amp;O3749&amp;AS[[#This Row],[Reporting Year]]&amp;"; "&amp;P3749&amp;AS[[#This Row],[Insurance Category Code]]&amp;"; "&amp;Q3749&amp;AS[[#This Row],[Large Provider Entity Code]]&amp;"; "&amp;R3749&amp;AS[[#This Row],[Age Band Code]]&amp;"; "&amp;S3749&amp;AS[[#This Row],[Sex Code]]</f>
        <v xml:space="preserve">Insurer Code ; Reporting Year ; Insurance Category Code ; Large Provider Entity Code ; Age Band Code ; Sex Code </v>
      </c>
      <c r="N3749" s="345" t="s">
        <v>207</v>
      </c>
      <c r="O3749" s="345" t="s">
        <v>208</v>
      </c>
      <c r="P3749" s="345" t="s">
        <v>209</v>
      </c>
      <c r="Q3749" s="345" t="s">
        <v>210</v>
      </c>
      <c r="R3749" s="345" t="s">
        <v>223</v>
      </c>
      <c r="S3749" s="345" t="s">
        <v>224</v>
      </c>
    </row>
    <row r="3750" spans="1:19" x14ac:dyDescent="0.25">
      <c r="A3750" s="311"/>
      <c r="B3750" s="312"/>
      <c r="C3750" s="312"/>
      <c r="D3750" s="312"/>
      <c r="E3750" s="312"/>
      <c r="F3750" s="312"/>
      <c r="G3750" s="328"/>
      <c r="H3750" s="337"/>
      <c r="I3750" s="334"/>
      <c r="J3750" s="314"/>
      <c r="K3750" s="449"/>
      <c r="M3750" s="349" t="str">
        <f>N3750&amp;AS[[#This Row],[Insurer Code]]&amp;"; "&amp;O3750&amp;AS[[#This Row],[Reporting Year]]&amp;"; "&amp;P3750&amp;AS[[#This Row],[Insurance Category Code]]&amp;"; "&amp;Q3750&amp;AS[[#This Row],[Large Provider Entity Code]]&amp;"; "&amp;R3750&amp;AS[[#This Row],[Age Band Code]]&amp;"; "&amp;S3750&amp;AS[[#This Row],[Sex Code]]</f>
        <v xml:space="preserve">Insurer Code ; Reporting Year ; Insurance Category Code ; Large Provider Entity Code ; Age Band Code ; Sex Code </v>
      </c>
      <c r="N3750" s="345" t="s">
        <v>207</v>
      </c>
      <c r="O3750" s="345" t="s">
        <v>208</v>
      </c>
      <c r="P3750" s="345" t="s">
        <v>209</v>
      </c>
      <c r="Q3750" s="345" t="s">
        <v>210</v>
      </c>
      <c r="R3750" s="345" t="s">
        <v>223</v>
      </c>
      <c r="S3750" s="345" t="s">
        <v>224</v>
      </c>
    </row>
    <row r="3751" spans="1:19" x14ac:dyDescent="0.25">
      <c r="A3751" s="311"/>
      <c r="B3751" s="312"/>
      <c r="C3751" s="312"/>
      <c r="D3751" s="312"/>
      <c r="E3751" s="312"/>
      <c r="F3751" s="312"/>
      <c r="G3751" s="328"/>
      <c r="H3751" s="337"/>
      <c r="I3751" s="334"/>
      <c r="J3751" s="314"/>
      <c r="K3751" s="449"/>
      <c r="M3751" s="349" t="str">
        <f>N3751&amp;AS[[#This Row],[Insurer Code]]&amp;"; "&amp;O3751&amp;AS[[#This Row],[Reporting Year]]&amp;"; "&amp;P3751&amp;AS[[#This Row],[Insurance Category Code]]&amp;"; "&amp;Q3751&amp;AS[[#This Row],[Large Provider Entity Code]]&amp;"; "&amp;R3751&amp;AS[[#This Row],[Age Band Code]]&amp;"; "&amp;S3751&amp;AS[[#This Row],[Sex Code]]</f>
        <v xml:space="preserve">Insurer Code ; Reporting Year ; Insurance Category Code ; Large Provider Entity Code ; Age Band Code ; Sex Code </v>
      </c>
      <c r="N3751" s="345" t="s">
        <v>207</v>
      </c>
      <c r="O3751" s="345" t="s">
        <v>208</v>
      </c>
      <c r="P3751" s="345" t="s">
        <v>209</v>
      </c>
      <c r="Q3751" s="345" t="s">
        <v>210</v>
      </c>
      <c r="R3751" s="345" t="s">
        <v>223</v>
      </c>
      <c r="S3751" s="345" t="s">
        <v>224</v>
      </c>
    </row>
    <row r="3752" spans="1:19" x14ac:dyDescent="0.25">
      <c r="A3752" s="311"/>
      <c r="B3752" s="312"/>
      <c r="C3752" s="312"/>
      <c r="D3752" s="312"/>
      <c r="E3752" s="312"/>
      <c r="F3752" s="312"/>
      <c r="G3752" s="328"/>
      <c r="H3752" s="337"/>
      <c r="I3752" s="334"/>
      <c r="J3752" s="314"/>
      <c r="K3752" s="449"/>
      <c r="M3752" s="349" t="str">
        <f>N3752&amp;AS[[#This Row],[Insurer Code]]&amp;"; "&amp;O3752&amp;AS[[#This Row],[Reporting Year]]&amp;"; "&amp;P3752&amp;AS[[#This Row],[Insurance Category Code]]&amp;"; "&amp;Q3752&amp;AS[[#This Row],[Large Provider Entity Code]]&amp;"; "&amp;R3752&amp;AS[[#This Row],[Age Band Code]]&amp;"; "&amp;S3752&amp;AS[[#This Row],[Sex Code]]</f>
        <v xml:space="preserve">Insurer Code ; Reporting Year ; Insurance Category Code ; Large Provider Entity Code ; Age Band Code ; Sex Code </v>
      </c>
      <c r="N3752" s="345" t="s">
        <v>207</v>
      </c>
      <c r="O3752" s="345" t="s">
        <v>208</v>
      </c>
      <c r="P3752" s="345" t="s">
        <v>209</v>
      </c>
      <c r="Q3752" s="345" t="s">
        <v>210</v>
      </c>
      <c r="R3752" s="345" t="s">
        <v>223</v>
      </c>
      <c r="S3752" s="345" t="s">
        <v>224</v>
      </c>
    </row>
    <row r="3753" spans="1:19" x14ac:dyDescent="0.25">
      <c r="A3753" s="311"/>
      <c r="B3753" s="312"/>
      <c r="C3753" s="312"/>
      <c r="D3753" s="312"/>
      <c r="E3753" s="312"/>
      <c r="F3753" s="312"/>
      <c r="G3753" s="328"/>
      <c r="H3753" s="337"/>
      <c r="I3753" s="334"/>
      <c r="J3753" s="314"/>
      <c r="K3753" s="449"/>
      <c r="M3753" s="349" t="str">
        <f>N3753&amp;AS[[#This Row],[Insurer Code]]&amp;"; "&amp;O3753&amp;AS[[#This Row],[Reporting Year]]&amp;"; "&amp;P3753&amp;AS[[#This Row],[Insurance Category Code]]&amp;"; "&amp;Q3753&amp;AS[[#This Row],[Large Provider Entity Code]]&amp;"; "&amp;R3753&amp;AS[[#This Row],[Age Band Code]]&amp;"; "&amp;S3753&amp;AS[[#This Row],[Sex Code]]</f>
        <v xml:space="preserve">Insurer Code ; Reporting Year ; Insurance Category Code ; Large Provider Entity Code ; Age Band Code ; Sex Code </v>
      </c>
      <c r="N3753" s="345" t="s">
        <v>207</v>
      </c>
      <c r="O3753" s="345" t="s">
        <v>208</v>
      </c>
      <c r="P3753" s="345" t="s">
        <v>209</v>
      </c>
      <c r="Q3753" s="345" t="s">
        <v>210</v>
      </c>
      <c r="R3753" s="345" t="s">
        <v>223</v>
      </c>
      <c r="S3753" s="345" t="s">
        <v>224</v>
      </c>
    </row>
    <row r="3754" spans="1:19" x14ac:dyDescent="0.25">
      <c r="A3754" s="311"/>
      <c r="B3754" s="312"/>
      <c r="C3754" s="312"/>
      <c r="D3754" s="312"/>
      <c r="E3754" s="312"/>
      <c r="F3754" s="312"/>
      <c r="G3754" s="328"/>
      <c r="H3754" s="337"/>
      <c r="I3754" s="334"/>
      <c r="J3754" s="314"/>
      <c r="K3754" s="449"/>
      <c r="M3754" s="349" t="str">
        <f>N3754&amp;AS[[#This Row],[Insurer Code]]&amp;"; "&amp;O3754&amp;AS[[#This Row],[Reporting Year]]&amp;"; "&amp;P3754&amp;AS[[#This Row],[Insurance Category Code]]&amp;"; "&amp;Q3754&amp;AS[[#This Row],[Large Provider Entity Code]]&amp;"; "&amp;R3754&amp;AS[[#This Row],[Age Band Code]]&amp;"; "&amp;S3754&amp;AS[[#This Row],[Sex Code]]</f>
        <v xml:space="preserve">Insurer Code ; Reporting Year ; Insurance Category Code ; Large Provider Entity Code ; Age Band Code ; Sex Code </v>
      </c>
      <c r="N3754" s="345" t="s">
        <v>207</v>
      </c>
      <c r="O3754" s="345" t="s">
        <v>208</v>
      </c>
      <c r="P3754" s="345" t="s">
        <v>209</v>
      </c>
      <c r="Q3754" s="345" t="s">
        <v>210</v>
      </c>
      <c r="R3754" s="345" t="s">
        <v>223</v>
      </c>
      <c r="S3754" s="345" t="s">
        <v>224</v>
      </c>
    </row>
    <row r="3755" spans="1:19" x14ac:dyDescent="0.25">
      <c r="A3755" s="311"/>
      <c r="B3755" s="312"/>
      <c r="C3755" s="312"/>
      <c r="D3755" s="312"/>
      <c r="E3755" s="312"/>
      <c r="F3755" s="312"/>
      <c r="G3755" s="328"/>
      <c r="H3755" s="337"/>
      <c r="I3755" s="334"/>
      <c r="J3755" s="314"/>
      <c r="K3755" s="449"/>
      <c r="M3755" s="349" t="str">
        <f>N3755&amp;AS[[#This Row],[Insurer Code]]&amp;"; "&amp;O3755&amp;AS[[#This Row],[Reporting Year]]&amp;"; "&amp;P3755&amp;AS[[#This Row],[Insurance Category Code]]&amp;"; "&amp;Q3755&amp;AS[[#This Row],[Large Provider Entity Code]]&amp;"; "&amp;R3755&amp;AS[[#This Row],[Age Band Code]]&amp;"; "&amp;S3755&amp;AS[[#This Row],[Sex Code]]</f>
        <v xml:space="preserve">Insurer Code ; Reporting Year ; Insurance Category Code ; Large Provider Entity Code ; Age Band Code ; Sex Code </v>
      </c>
      <c r="N3755" s="345" t="s">
        <v>207</v>
      </c>
      <c r="O3755" s="345" t="s">
        <v>208</v>
      </c>
      <c r="P3755" s="345" t="s">
        <v>209</v>
      </c>
      <c r="Q3755" s="345" t="s">
        <v>210</v>
      </c>
      <c r="R3755" s="345" t="s">
        <v>223</v>
      </c>
      <c r="S3755" s="345" t="s">
        <v>224</v>
      </c>
    </row>
    <row r="3756" spans="1:19" x14ac:dyDescent="0.25">
      <c r="A3756" s="311"/>
      <c r="B3756" s="312"/>
      <c r="C3756" s="312"/>
      <c r="D3756" s="312"/>
      <c r="E3756" s="312"/>
      <c r="F3756" s="312"/>
      <c r="G3756" s="328"/>
      <c r="H3756" s="337"/>
      <c r="I3756" s="334"/>
      <c r="J3756" s="314"/>
      <c r="K3756" s="449"/>
      <c r="M3756" s="349" t="str">
        <f>N3756&amp;AS[[#This Row],[Insurer Code]]&amp;"; "&amp;O3756&amp;AS[[#This Row],[Reporting Year]]&amp;"; "&amp;P3756&amp;AS[[#This Row],[Insurance Category Code]]&amp;"; "&amp;Q3756&amp;AS[[#This Row],[Large Provider Entity Code]]&amp;"; "&amp;R3756&amp;AS[[#This Row],[Age Band Code]]&amp;"; "&amp;S3756&amp;AS[[#This Row],[Sex Code]]</f>
        <v xml:space="preserve">Insurer Code ; Reporting Year ; Insurance Category Code ; Large Provider Entity Code ; Age Band Code ; Sex Code </v>
      </c>
      <c r="N3756" s="345" t="s">
        <v>207</v>
      </c>
      <c r="O3756" s="345" t="s">
        <v>208</v>
      </c>
      <c r="P3756" s="345" t="s">
        <v>209</v>
      </c>
      <c r="Q3756" s="345" t="s">
        <v>210</v>
      </c>
      <c r="R3756" s="345" t="s">
        <v>223</v>
      </c>
      <c r="S3756" s="345" t="s">
        <v>224</v>
      </c>
    </row>
    <row r="3757" spans="1:19" x14ac:dyDescent="0.25">
      <c r="A3757" s="311"/>
      <c r="B3757" s="312"/>
      <c r="C3757" s="312"/>
      <c r="D3757" s="312"/>
      <c r="E3757" s="312"/>
      <c r="F3757" s="312"/>
      <c r="G3757" s="328"/>
      <c r="H3757" s="337"/>
      <c r="I3757" s="334"/>
      <c r="J3757" s="314"/>
      <c r="K3757" s="449"/>
      <c r="M3757" s="349" t="str">
        <f>N3757&amp;AS[[#This Row],[Insurer Code]]&amp;"; "&amp;O3757&amp;AS[[#This Row],[Reporting Year]]&amp;"; "&amp;P3757&amp;AS[[#This Row],[Insurance Category Code]]&amp;"; "&amp;Q3757&amp;AS[[#This Row],[Large Provider Entity Code]]&amp;"; "&amp;R3757&amp;AS[[#This Row],[Age Band Code]]&amp;"; "&amp;S3757&amp;AS[[#This Row],[Sex Code]]</f>
        <v xml:space="preserve">Insurer Code ; Reporting Year ; Insurance Category Code ; Large Provider Entity Code ; Age Band Code ; Sex Code </v>
      </c>
      <c r="N3757" s="345" t="s">
        <v>207</v>
      </c>
      <c r="O3757" s="345" t="s">
        <v>208</v>
      </c>
      <c r="P3757" s="345" t="s">
        <v>209</v>
      </c>
      <c r="Q3757" s="345" t="s">
        <v>210</v>
      </c>
      <c r="R3757" s="345" t="s">
        <v>223</v>
      </c>
      <c r="S3757" s="345" t="s">
        <v>224</v>
      </c>
    </row>
    <row r="3758" spans="1:19" x14ac:dyDescent="0.25">
      <c r="A3758" s="311"/>
      <c r="B3758" s="312"/>
      <c r="C3758" s="312"/>
      <c r="D3758" s="312"/>
      <c r="E3758" s="312"/>
      <c r="F3758" s="312"/>
      <c r="G3758" s="328"/>
      <c r="H3758" s="337"/>
      <c r="I3758" s="334"/>
      <c r="J3758" s="314"/>
      <c r="K3758" s="449"/>
      <c r="M3758" s="349" t="str">
        <f>N3758&amp;AS[[#This Row],[Insurer Code]]&amp;"; "&amp;O3758&amp;AS[[#This Row],[Reporting Year]]&amp;"; "&amp;P3758&amp;AS[[#This Row],[Insurance Category Code]]&amp;"; "&amp;Q3758&amp;AS[[#This Row],[Large Provider Entity Code]]&amp;"; "&amp;R3758&amp;AS[[#This Row],[Age Band Code]]&amp;"; "&amp;S3758&amp;AS[[#This Row],[Sex Code]]</f>
        <v xml:space="preserve">Insurer Code ; Reporting Year ; Insurance Category Code ; Large Provider Entity Code ; Age Band Code ; Sex Code </v>
      </c>
      <c r="N3758" s="345" t="s">
        <v>207</v>
      </c>
      <c r="O3758" s="345" t="s">
        <v>208</v>
      </c>
      <c r="P3758" s="345" t="s">
        <v>209</v>
      </c>
      <c r="Q3758" s="345" t="s">
        <v>210</v>
      </c>
      <c r="R3758" s="345" t="s">
        <v>223</v>
      </c>
      <c r="S3758" s="345" t="s">
        <v>224</v>
      </c>
    </row>
    <row r="3759" spans="1:19" x14ac:dyDescent="0.25">
      <c r="A3759" s="311"/>
      <c r="B3759" s="312"/>
      <c r="C3759" s="312"/>
      <c r="D3759" s="312"/>
      <c r="E3759" s="312"/>
      <c r="F3759" s="312"/>
      <c r="G3759" s="328"/>
      <c r="H3759" s="337"/>
      <c r="I3759" s="334"/>
      <c r="J3759" s="314"/>
      <c r="K3759" s="449"/>
      <c r="M3759" s="349" t="str">
        <f>N3759&amp;AS[[#This Row],[Insurer Code]]&amp;"; "&amp;O3759&amp;AS[[#This Row],[Reporting Year]]&amp;"; "&amp;P3759&amp;AS[[#This Row],[Insurance Category Code]]&amp;"; "&amp;Q3759&amp;AS[[#This Row],[Large Provider Entity Code]]&amp;"; "&amp;R3759&amp;AS[[#This Row],[Age Band Code]]&amp;"; "&amp;S3759&amp;AS[[#This Row],[Sex Code]]</f>
        <v xml:space="preserve">Insurer Code ; Reporting Year ; Insurance Category Code ; Large Provider Entity Code ; Age Band Code ; Sex Code </v>
      </c>
      <c r="N3759" s="345" t="s">
        <v>207</v>
      </c>
      <c r="O3759" s="345" t="s">
        <v>208</v>
      </c>
      <c r="P3759" s="345" t="s">
        <v>209</v>
      </c>
      <c r="Q3759" s="345" t="s">
        <v>210</v>
      </c>
      <c r="R3759" s="345" t="s">
        <v>223</v>
      </c>
      <c r="S3759" s="345" t="s">
        <v>224</v>
      </c>
    </row>
    <row r="3760" spans="1:19" x14ac:dyDescent="0.25">
      <c r="A3760" s="311"/>
      <c r="B3760" s="312"/>
      <c r="C3760" s="312"/>
      <c r="D3760" s="312"/>
      <c r="E3760" s="312"/>
      <c r="F3760" s="312"/>
      <c r="G3760" s="328"/>
      <c r="H3760" s="337"/>
      <c r="I3760" s="334"/>
      <c r="J3760" s="314"/>
      <c r="K3760" s="449"/>
      <c r="M3760" s="349" t="str">
        <f>N3760&amp;AS[[#This Row],[Insurer Code]]&amp;"; "&amp;O3760&amp;AS[[#This Row],[Reporting Year]]&amp;"; "&amp;P3760&amp;AS[[#This Row],[Insurance Category Code]]&amp;"; "&amp;Q3760&amp;AS[[#This Row],[Large Provider Entity Code]]&amp;"; "&amp;R3760&amp;AS[[#This Row],[Age Band Code]]&amp;"; "&amp;S3760&amp;AS[[#This Row],[Sex Code]]</f>
        <v xml:space="preserve">Insurer Code ; Reporting Year ; Insurance Category Code ; Large Provider Entity Code ; Age Band Code ; Sex Code </v>
      </c>
      <c r="N3760" s="345" t="s">
        <v>207</v>
      </c>
      <c r="O3760" s="345" t="s">
        <v>208</v>
      </c>
      <c r="P3760" s="345" t="s">
        <v>209</v>
      </c>
      <c r="Q3760" s="345" t="s">
        <v>210</v>
      </c>
      <c r="R3760" s="345" t="s">
        <v>223</v>
      </c>
      <c r="S3760" s="345" t="s">
        <v>224</v>
      </c>
    </row>
    <row r="3761" spans="1:19" x14ac:dyDescent="0.25">
      <c r="A3761" s="311"/>
      <c r="B3761" s="312"/>
      <c r="C3761" s="312"/>
      <c r="D3761" s="312"/>
      <c r="E3761" s="312"/>
      <c r="F3761" s="312"/>
      <c r="G3761" s="328"/>
      <c r="H3761" s="337"/>
      <c r="I3761" s="334"/>
      <c r="J3761" s="314"/>
      <c r="K3761" s="449"/>
      <c r="M3761" s="349" t="str">
        <f>N3761&amp;AS[[#This Row],[Insurer Code]]&amp;"; "&amp;O3761&amp;AS[[#This Row],[Reporting Year]]&amp;"; "&amp;P3761&amp;AS[[#This Row],[Insurance Category Code]]&amp;"; "&amp;Q3761&amp;AS[[#This Row],[Large Provider Entity Code]]&amp;"; "&amp;R3761&amp;AS[[#This Row],[Age Band Code]]&amp;"; "&amp;S3761&amp;AS[[#This Row],[Sex Code]]</f>
        <v xml:space="preserve">Insurer Code ; Reporting Year ; Insurance Category Code ; Large Provider Entity Code ; Age Band Code ; Sex Code </v>
      </c>
      <c r="N3761" s="345" t="s">
        <v>207</v>
      </c>
      <c r="O3761" s="345" t="s">
        <v>208</v>
      </c>
      <c r="P3761" s="345" t="s">
        <v>209</v>
      </c>
      <c r="Q3761" s="345" t="s">
        <v>210</v>
      </c>
      <c r="R3761" s="345" t="s">
        <v>223</v>
      </c>
      <c r="S3761" s="345" t="s">
        <v>224</v>
      </c>
    </row>
    <row r="3762" spans="1:19" x14ac:dyDescent="0.25">
      <c r="A3762" s="311"/>
      <c r="B3762" s="312"/>
      <c r="C3762" s="312"/>
      <c r="D3762" s="312"/>
      <c r="E3762" s="312"/>
      <c r="F3762" s="312"/>
      <c r="G3762" s="328"/>
      <c r="H3762" s="337"/>
      <c r="I3762" s="334"/>
      <c r="J3762" s="314"/>
      <c r="K3762" s="449"/>
      <c r="M3762" s="349" t="str">
        <f>N3762&amp;AS[[#This Row],[Insurer Code]]&amp;"; "&amp;O3762&amp;AS[[#This Row],[Reporting Year]]&amp;"; "&amp;P3762&amp;AS[[#This Row],[Insurance Category Code]]&amp;"; "&amp;Q3762&amp;AS[[#This Row],[Large Provider Entity Code]]&amp;"; "&amp;R3762&amp;AS[[#This Row],[Age Band Code]]&amp;"; "&amp;S3762&amp;AS[[#This Row],[Sex Code]]</f>
        <v xml:space="preserve">Insurer Code ; Reporting Year ; Insurance Category Code ; Large Provider Entity Code ; Age Band Code ; Sex Code </v>
      </c>
      <c r="N3762" s="345" t="s">
        <v>207</v>
      </c>
      <c r="O3762" s="345" t="s">
        <v>208</v>
      </c>
      <c r="P3762" s="345" t="s">
        <v>209</v>
      </c>
      <c r="Q3762" s="345" t="s">
        <v>210</v>
      </c>
      <c r="R3762" s="345" t="s">
        <v>223</v>
      </c>
      <c r="S3762" s="345" t="s">
        <v>224</v>
      </c>
    </row>
    <row r="3763" spans="1:19" x14ac:dyDescent="0.25">
      <c r="A3763" s="311"/>
      <c r="B3763" s="312"/>
      <c r="C3763" s="312"/>
      <c r="D3763" s="312"/>
      <c r="E3763" s="312"/>
      <c r="F3763" s="312"/>
      <c r="G3763" s="328"/>
      <c r="H3763" s="337"/>
      <c r="I3763" s="334"/>
      <c r="J3763" s="314"/>
      <c r="K3763" s="449"/>
      <c r="M3763" s="349" t="str">
        <f>N3763&amp;AS[[#This Row],[Insurer Code]]&amp;"; "&amp;O3763&amp;AS[[#This Row],[Reporting Year]]&amp;"; "&amp;P3763&amp;AS[[#This Row],[Insurance Category Code]]&amp;"; "&amp;Q3763&amp;AS[[#This Row],[Large Provider Entity Code]]&amp;"; "&amp;R3763&amp;AS[[#This Row],[Age Band Code]]&amp;"; "&amp;S3763&amp;AS[[#This Row],[Sex Code]]</f>
        <v xml:space="preserve">Insurer Code ; Reporting Year ; Insurance Category Code ; Large Provider Entity Code ; Age Band Code ; Sex Code </v>
      </c>
      <c r="N3763" s="345" t="s">
        <v>207</v>
      </c>
      <c r="O3763" s="345" t="s">
        <v>208</v>
      </c>
      <c r="P3763" s="345" t="s">
        <v>209</v>
      </c>
      <c r="Q3763" s="345" t="s">
        <v>210</v>
      </c>
      <c r="R3763" s="345" t="s">
        <v>223</v>
      </c>
      <c r="S3763" s="345" t="s">
        <v>224</v>
      </c>
    </row>
    <row r="3764" spans="1:19" x14ac:dyDescent="0.25">
      <c r="A3764" s="311"/>
      <c r="B3764" s="312"/>
      <c r="C3764" s="312"/>
      <c r="D3764" s="312"/>
      <c r="E3764" s="312"/>
      <c r="F3764" s="312"/>
      <c r="G3764" s="328"/>
      <c r="H3764" s="337"/>
      <c r="I3764" s="334"/>
      <c r="J3764" s="314"/>
      <c r="K3764" s="449"/>
      <c r="M3764" s="349" t="str">
        <f>N3764&amp;AS[[#This Row],[Insurer Code]]&amp;"; "&amp;O3764&amp;AS[[#This Row],[Reporting Year]]&amp;"; "&amp;P3764&amp;AS[[#This Row],[Insurance Category Code]]&amp;"; "&amp;Q3764&amp;AS[[#This Row],[Large Provider Entity Code]]&amp;"; "&amp;R3764&amp;AS[[#This Row],[Age Band Code]]&amp;"; "&amp;S3764&amp;AS[[#This Row],[Sex Code]]</f>
        <v xml:space="preserve">Insurer Code ; Reporting Year ; Insurance Category Code ; Large Provider Entity Code ; Age Band Code ; Sex Code </v>
      </c>
      <c r="N3764" s="345" t="s">
        <v>207</v>
      </c>
      <c r="O3764" s="345" t="s">
        <v>208</v>
      </c>
      <c r="P3764" s="345" t="s">
        <v>209</v>
      </c>
      <c r="Q3764" s="345" t="s">
        <v>210</v>
      </c>
      <c r="R3764" s="345" t="s">
        <v>223</v>
      </c>
      <c r="S3764" s="345" t="s">
        <v>224</v>
      </c>
    </row>
    <row r="3765" spans="1:19" x14ac:dyDescent="0.25">
      <c r="A3765" s="311"/>
      <c r="B3765" s="312"/>
      <c r="C3765" s="312"/>
      <c r="D3765" s="312"/>
      <c r="E3765" s="312"/>
      <c r="F3765" s="312"/>
      <c r="G3765" s="328"/>
      <c r="H3765" s="337"/>
      <c r="I3765" s="334"/>
      <c r="J3765" s="314"/>
      <c r="K3765" s="449"/>
      <c r="M3765" s="349" t="str">
        <f>N3765&amp;AS[[#This Row],[Insurer Code]]&amp;"; "&amp;O3765&amp;AS[[#This Row],[Reporting Year]]&amp;"; "&amp;P3765&amp;AS[[#This Row],[Insurance Category Code]]&amp;"; "&amp;Q3765&amp;AS[[#This Row],[Large Provider Entity Code]]&amp;"; "&amp;R3765&amp;AS[[#This Row],[Age Band Code]]&amp;"; "&amp;S3765&amp;AS[[#This Row],[Sex Code]]</f>
        <v xml:space="preserve">Insurer Code ; Reporting Year ; Insurance Category Code ; Large Provider Entity Code ; Age Band Code ; Sex Code </v>
      </c>
      <c r="N3765" s="345" t="s">
        <v>207</v>
      </c>
      <c r="O3765" s="345" t="s">
        <v>208</v>
      </c>
      <c r="P3765" s="345" t="s">
        <v>209</v>
      </c>
      <c r="Q3765" s="345" t="s">
        <v>210</v>
      </c>
      <c r="R3765" s="345" t="s">
        <v>223</v>
      </c>
      <c r="S3765" s="345" t="s">
        <v>224</v>
      </c>
    </row>
    <row r="3766" spans="1:19" x14ac:dyDescent="0.25">
      <c r="A3766" s="311"/>
      <c r="B3766" s="312"/>
      <c r="C3766" s="312"/>
      <c r="D3766" s="312"/>
      <c r="E3766" s="312"/>
      <c r="F3766" s="312"/>
      <c r="G3766" s="328"/>
      <c r="H3766" s="337"/>
      <c r="I3766" s="334"/>
      <c r="J3766" s="314"/>
      <c r="K3766" s="449"/>
      <c r="M3766" s="349" t="str">
        <f>N3766&amp;AS[[#This Row],[Insurer Code]]&amp;"; "&amp;O3766&amp;AS[[#This Row],[Reporting Year]]&amp;"; "&amp;P3766&amp;AS[[#This Row],[Insurance Category Code]]&amp;"; "&amp;Q3766&amp;AS[[#This Row],[Large Provider Entity Code]]&amp;"; "&amp;R3766&amp;AS[[#This Row],[Age Band Code]]&amp;"; "&amp;S3766&amp;AS[[#This Row],[Sex Code]]</f>
        <v xml:space="preserve">Insurer Code ; Reporting Year ; Insurance Category Code ; Large Provider Entity Code ; Age Band Code ; Sex Code </v>
      </c>
      <c r="N3766" s="345" t="s">
        <v>207</v>
      </c>
      <c r="O3766" s="345" t="s">
        <v>208</v>
      </c>
      <c r="P3766" s="345" t="s">
        <v>209</v>
      </c>
      <c r="Q3766" s="345" t="s">
        <v>210</v>
      </c>
      <c r="R3766" s="345" t="s">
        <v>223</v>
      </c>
      <c r="S3766" s="345" t="s">
        <v>224</v>
      </c>
    </row>
    <row r="3767" spans="1:19" x14ac:dyDescent="0.25">
      <c r="A3767" s="311"/>
      <c r="B3767" s="312"/>
      <c r="C3767" s="312"/>
      <c r="D3767" s="312"/>
      <c r="E3767" s="312"/>
      <c r="F3767" s="312"/>
      <c r="G3767" s="328"/>
      <c r="H3767" s="337"/>
      <c r="I3767" s="334"/>
      <c r="J3767" s="314"/>
      <c r="K3767" s="449"/>
      <c r="M3767" s="349" t="str">
        <f>N3767&amp;AS[[#This Row],[Insurer Code]]&amp;"; "&amp;O3767&amp;AS[[#This Row],[Reporting Year]]&amp;"; "&amp;P3767&amp;AS[[#This Row],[Insurance Category Code]]&amp;"; "&amp;Q3767&amp;AS[[#This Row],[Large Provider Entity Code]]&amp;"; "&amp;R3767&amp;AS[[#This Row],[Age Band Code]]&amp;"; "&amp;S3767&amp;AS[[#This Row],[Sex Code]]</f>
        <v xml:space="preserve">Insurer Code ; Reporting Year ; Insurance Category Code ; Large Provider Entity Code ; Age Band Code ; Sex Code </v>
      </c>
      <c r="N3767" s="345" t="s">
        <v>207</v>
      </c>
      <c r="O3767" s="345" t="s">
        <v>208</v>
      </c>
      <c r="P3767" s="345" t="s">
        <v>209</v>
      </c>
      <c r="Q3767" s="345" t="s">
        <v>210</v>
      </c>
      <c r="R3767" s="345" t="s">
        <v>223</v>
      </c>
      <c r="S3767" s="345" t="s">
        <v>224</v>
      </c>
    </row>
    <row r="3768" spans="1:19" x14ac:dyDescent="0.25">
      <c r="A3768" s="311"/>
      <c r="B3768" s="312"/>
      <c r="C3768" s="312"/>
      <c r="D3768" s="312"/>
      <c r="E3768" s="312"/>
      <c r="F3768" s="312"/>
      <c r="G3768" s="328"/>
      <c r="H3768" s="337"/>
      <c r="I3768" s="334"/>
      <c r="J3768" s="314"/>
      <c r="K3768" s="449"/>
      <c r="M3768" s="349" t="str">
        <f>N3768&amp;AS[[#This Row],[Insurer Code]]&amp;"; "&amp;O3768&amp;AS[[#This Row],[Reporting Year]]&amp;"; "&amp;P3768&amp;AS[[#This Row],[Insurance Category Code]]&amp;"; "&amp;Q3768&amp;AS[[#This Row],[Large Provider Entity Code]]&amp;"; "&amp;R3768&amp;AS[[#This Row],[Age Band Code]]&amp;"; "&amp;S3768&amp;AS[[#This Row],[Sex Code]]</f>
        <v xml:space="preserve">Insurer Code ; Reporting Year ; Insurance Category Code ; Large Provider Entity Code ; Age Band Code ; Sex Code </v>
      </c>
      <c r="N3768" s="345" t="s">
        <v>207</v>
      </c>
      <c r="O3768" s="345" t="s">
        <v>208</v>
      </c>
      <c r="P3768" s="345" t="s">
        <v>209</v>
      </c>
      <c r="Q3768" s="345" t="s">
        <v>210</v>
      </c>
      <c r="R3768" s="345" t="s">
        <v>223</v>
      </c>
      <c r="S3768" s="345" t="s">
        <v>224</v>
      </c>
    </row>
    <row r="3769" spans="1:19" x14ac:dyDescent="0.25">
      <c r="A3769" s="311"/>
      <c r="B3769" s="312"/>
      <c r="C3769" s="312"/>
      <c r="D3769" s="312"/>
      <c r="E3769" s="312"/>
      <c r="F3769" s="312"/>
      <c r="G3769" s="328"/>
      <c r="H3769" s="337"/>
      <c r="I3769" s="334"/>
      <c r="J3769" s="314"/>
      <c r="K3769" s="449"/>
      <c r="M3769" s="349" t="str">
        <f>N3769&amp;AS[[#This Row],[Insurer Code]]&amp;"; "&amp;O3769&amp;AS[[#This Row],[Reporting Year]]&amp;"; "&amp;P3769&amp;AS[[#This Row],[Insurance Category Code]]&amp;"; "&amp;Q3769&amp;AS[[#This Row],[Large Provider Entity Code]]&amp;"; "&amp;R3769&amp;AS[[#This Row],[Age Band Code]]&amp;"; "&amp;S3769&amp;AS[[#This Row],[Sex Code]]</f>
        <v xml:space="preserve">Insurer Code ; Reporting Year ; Insurance Category Code ; Large Provider Entity Code ; Age Band Code ; Sex Code </v>
      </c>
      <c r="N3769" s="345" t="s">
        <v>207</v>
      </c>
      <c r="O3769" s="345" t="s">
        <v>208</v>
      </c>
      <c r="P3769" s="345" t="s">
        <v>209</v>
      </c>
      <c r="Q3769" s="345" t="s">
        <v>210</v>
      </c>
      <c r="R3769" s="345" t="s">
        <v>223</v>
      </c>
      <c r="S3769" s="345" t="s">
        <v>224</v>
      </c>
    </row>
    <row r="3770" spans="1:19" x14ac:dyDescent="0.25">
      <c r="A3770" s="311"/>
      <c r="B3770" s="312"/>
      <c r="C3770" s="312"/>
      <c r="D3770" s="312"/>
      <c r="E3770" s="312"/>
      <c r="F3770" s="312"/>
      <c r="G3770" s="328"/>
      <c r="H3770" s="337"/>
      <c r="I3770" s="334"/>
      <c r="J3770" s="314"/>
      <c r="K3770" s="449"/>
      <c r="M3770" s="349" t="str">
        <f>N3770&amp;AS[[#This Row],[Insurer Code]]&amp;"; "&amp;O3770&amp;AS[[#This Row],[Reporting Year]]&amp;"; "&amp;P3770&amp;AS[[#This Row],[Insurance Category Code]]&amp;"; "&amp;Q3770&amp;AS[[#This Row],[Large Provider Entity Code]]&amp;"; "&amp;R3770&amp;AS[[#This Row],[Age Band Code]]&amp;"; "&amp;S3770&amp;AS[[#This Row],[Sex Code]]</f>
        <v xml:space="preserve">Insurer Code ; Reporting Year ; Insurance Category Code ; Large Provider Entity Code ; Age Band Code ; Sex Code </v>
      </c>
      <c r="N3770" s="345" t="s">
        <v>207</v>
      </c>
      <c r="O3770" s="345" t="s">
        <v>208</v>
      </c>
      <c r="P3770" s="345" t="s">
        <v>209</v>
      </c>
      <c r="Q3770" s="345" t="s">
        <v>210</v>
      </c>
      <c r="R3770" s="345" t="s">
        <v>223</v>
      </c>
      <c r="S3770" s="345" t="s">
        <v>224</v>
      </c>
    </row>
    <row r="3771" spans="1:19" x14ac:dyDescent="0.25">
      <c r="A3771" s="311"/>
      <c r="B3771" s="312"/>
      <c r="C3771" s="312"/>
      <c r="D3771" s="312"/>
      <c r="E3771" s="312"/>
      <c r="F3771" s="312"/>
      <c r="G3771" s="328"/>
      <c r="H3771" s="337"/>
      <c r="I3771" s="334"/>
      <c r="J3771" s="314"/>
      <c r="K3771" s="449"/>
      <c r="M3771" s="349" t="str">
        <f>N3771&amp;AS[[#This Row],[Insurer Code]]&amp;"; "&amp;O3771&amp;AS[[#This Row],[Reporting Year]]&amp;"; "&amp;P3771&amp;AS[[#This Row],[Insurance Category Code]]&amp;"; "&amp;Q3771&amp;AS[[#This Row],[Large Provider Entity Code]]&amp;"; "&amp;R3771&amp;AS[[#This Row],[Age Band Code]]&amp;"; "&amp;S3771&amp;AS[[#This Row],[Sex Code]]</f>
        <v xml:space="preserve">Insurer Code ; Reporting Year ; Insurance Category Code ; Large Provider Entity Code ; Age Band Code ; Sex Code </v>
      </c>
      <c r="N3771" s="345" t="s">
        <v>207</v>
      </c>
      <c r="O3771" s="345" t="s">
        <v>208</v>
      </c>
      <c r="P3771" s="345" t="s">
        <v>209</v>
      </c>
      <c r="Q3771" s="345" t="s">
        <v>210</v>
      </c>
      <c r="R3771" s="345" t="s">
        <v>223</v>
      </c>
      <c r="S3771" s="345" t="s">
        <v>224</v>
      </c>
    </row>
    <row r="3772" spans="1:19" x14ac:dyDescent="0.25">
      <c r="A3772" s="311"/>
      <c r="B3772" s="312"/>
      <c r="C3772" s="312"/>
      <c r="D3772" s="312"/>
      <c r="E3772" s="312"/>
      <c r="F3772" s="312"/>
      <c r="G3772" s="328"/>
      <c r="H3772" s="337"/>
      <c r="I3772" s="334"/>
      <c r="J3772" s="314"/>
      <c r="K3772" s="449"/>
      <c r="M3772" s="349" t="str">
        <f>N3772&amp;AS[[#This Row],[Insurer Code]]&amp;"; "&amp;O3772&amp;AS[[#This Row],[Reporting Year]]&amp;"; "&amp;P3772&amp;AS[[#This Row],[Insurance Category Code]]&amp;"; "&amp;Q3772&amp;AS[[#This Row],[Large Provider Entity Code]]&amp;"; "&amp;R3772&amp;AS[[#This Row],[Age Band Code]]&amp;"; "&amp;S3772&amp;AS[[#This Row],[Sex Code]]</f>
        <v xml:space="preserve">Insurer Code ; Reporting Year ; Insurance Category Code ; Large Provider Entity Code ; Age Band Code ; Sex Code </v>
      </c>
      <c r="N3772" s="345" t="s">
        <v>207</v>
      </c>
      <c r="O3772" s="345" t="s">
        <v>208</v>
      </c>
      <c r="P3772" s="345" t="s">
        <v>209</v>
      </c>
      <c r="Q3772" s="345" t="s">
        <v>210</v>
      </c>
      <c r="R3772" s="345" t="s">
        <v>223</v>
      </c>
      <c r="S3772" s="345" t="s">
        <v>224</v>
      </c>
    </row>
    <row r="3773" spans="1:19" x14ac:dyDescent="0.25">
      <c r="A3773" s="311"/>
      <c r="B3773" s="312"/>
      <c r="C3773" s="312"/>
      <c r="D3773" s="312"/>
      <c r="E3773" s="312"/>
      <c r="F3773" s="312"/>
      <c r="G3773" s="328"/>
      <c r="H3773" s="337"/>
      <c r="I3773" s="334"/>
      <c r="J3773" s="314"/>
      <c r="K3773" s="449"/>
      <c r="M3773" s="349" t="str">
        <f>N3773&amp;AS[[#This Row],[Insurer Code]]&amp;"; "&amp;O3773&amp;AS[[#This Row],[Reporting Year]]&amp;"; "&amp;P3773&amp;AS[[#This Row],[Insurance Category Code]]&amp;"; "&amp;Q3773&amp;AS[[#This Row],[Large Provider Entity Code]]&amp;"; "&amp;R3773&amp;AS[[#This Row],[Age Band Code]]&amp;"; "&amp;S3773&amp;AS[[#This Row],[Sex Code]]</f>
        <v xml:space="preserve">Insurer Code ; Reporting Year ; Insurance Category Code ; Large Provider Entity Code ; Age Band Code ; Sex Code </v>
      </c>
      <c r="N3773" s="345" t="s">
        <v>207</v>
      </c>
      <c r="O3773" s="345" t="s">
        <v>208</v>
      </c>
      <c r="P3773" s="345" t="s">
        <v>209</v>
      </c>
      <c r="Q3773" s="345" t="s">
        <v>210</v>
      </c>
      <c r="R3773" s="345" t="s">
        <v>223</v>
      </c>
      <c r="S3773" s="345" t="s">
        <v>224</v>
      </c>
    </row>
    <row r="3774" spans="1:19" x14ac:dyDescent="0.25">
      <c r="A3774" s="311"/>
      <c r="B3774" s="312"/>
      <c r="C3774" s="312"/>
      <c r="D3774" s="312"/>
      <c r="E3774" s="312"/>
      <c r="F3774" s="312"/>
      <c r="G3774" s="328"/>
      <c r="H3774" s="337"/>
      <c r="I3774" s="334"/>
      <c r="J3774" s="314"/>
      <c r="K3774" s="449"/>
      <c r="M3774" s="349" t="str">
        <f>N3774&amp;AS[[#This Row],[Insurer Code]]&amp;"; "&amp;O3774&amp;AS[[#This Row],[Reporting Year]]&amp;"; "&amp;P3774&amp;AS[[#This Row],[Insurance Category Code]]&amp;"; "&amp;Q3774&amp;AS[[#This Row],[Large Provider Entity Code]]&amp;"; "&amp;R3774&amp;AS[[#This Row],[Age Band Code]]&amp;"; "&amp;S3774&amp;AS[[#This Row],[Sex Code]]</f>
        <v xml:space="preserve">Insurer Code ; Reporting Year ; Insurance Category Code ; Large Provider Entity Code ; Age Band Code ; Sex Code </v>
      </c>
      <c r="N3774" s="345" t="s">
        <v>207</v>
      </c>
      <c r="O3774" s="345" t="s">
        <v>208</v>
      </c>
      <c r="P3774" s="345" t="s">
        <v>209</v>
      </c>
      <c r="Q3774" s="345" t="s">
        <v>210</v>
      </c>
      <c r="R3774" s="345" t="s">
        <v>223</v>
      </c>
      <c r="S3774" s="345" t="s">
        <v>224</v>
      </c>
    </row>
    <row r="3775" spans="1:19" x14ac:dyDescent="0.25">
      <c r="A3775" s="311"/>
      <c r="B3775" s="312"/>
      <c r="C3775" s="312"/>
      <c r="D3775" s="312"/>
      <c r="E3775" s="312"/>
      <c r="F3775" s="312"/>
      <c r="G3775" s="328"/>
      <c r="H3775" s="337"/>
      <c r="I3775" s="334"/>
      <c r="J3775" s="314"/>
      <c r="K3775" s="449"/>
      <c r="M3775" s="349" t="str">
        <f>N3775&amp;AS[[#This Row],[Insurer Code]]&amp;"; "&amp;O3775&amp;AS[[#This Row],[Reporting Year]]&amp;"; "&amp;P3775&amp;AS[[#This Row],[Insurance Category Code]]&amp;"; "&amp;Q3775&amp;AS[[#This Row],[Large Provider Entity Code]]&amp;"; "&amp;R3775&amp;AS[[#This Row],[Age Band Code]]&amp;"; "&amp;S3775&amp;AS[[#This Row],[Sex Code]]</f>
        <v xml:space="preserve">Insurer Code ; Reporting Year ; Insurance Category Code ; Large Provider Entity Code ; Age Band Code ; Sex Code </v>
      </c>
      <c r="N3775" s="345" t="s">
        <v>207</v>
      </c>
      <c r="O3775" s="345" t="s">
        <v>208</v>
      </c>
      <c r="P3775" s="345" t="s">
        <v>209</v>
      </c>
      <c r="Q3775" s="345" t="s">
        <v>210</v>
      </c>
      <c r="R3775" s="345" t="s">
        <v>223</v>
      </c>
      <c r="S3775" s="345" t="s">
        <v>224</v>
      </c>
    </row>
    <row r="3776" spans="1:19" x14ac:dyDescent="0.25">
      <c r="A3776" s="311"/>
      <c r="B3776" s="312"/>
      <c r="C3776" s="312"/>
      <c r="D3776" s="312"/>
      <c r="E3776" s="312"/>
      <c r="F3776" s="312"/>
      <c r="G3776" s="328"/>
      <c r="H3776" s="337"/>
      <c r="I3776" s="334"/>
      <c r="J3776" s="314"/>
      <c r="K3776" s="449"/>
      <c r="M3776" s="349" t="str">
        <f>N3776&amp;AS[[#This Row],[Insurer Code]]&amp;"; "&amp;O3776&amp;AS[[#This Row],[Reporting Year]]&amp;"; "&amp;P3776&amp;AS[[#This Row],[Insurance Category Code]]&amp;"; "&amp;Q3776&amp;AS[[#This Row],[Large Provider Entity Code]]&amp;"; "&amp;R3776&amp;AS[[#This Row],[Age Band Code]]&amp;"; "&amp;S3776&amp;AS[[#This Row],[Sex Code]]</f>
        <v xml:space="preserve">Insurer Code ; Reporting Year ; Insurance Category Code ; Large Provider Entity Code ; Age Band Code ; Sex Code </v>
      </c>
      <c r="N3776" s="345" t="s">
        <v>207</v>
      </c>
      <c r="O3776" s="345" t="s">
        <v>208</v>
      </c>
      <c r="P3776" s="345" t="s">
        <v>209</v>
      </c>
      <c r="Q3776" s="345" t="s">
        <v>210</v>
      </c>
      <c r="R3776" s="345" t="s">
        <v>223</v>
      </c>
      <c r="S3776" s="345" t="s">
        <v>224</v>
      </c>
    </row>
    <row r="3777" spans="1:19" x14ac:dyDescent="0.25">
      <c r="A3777" s="311"/>
      <c r="B3777" s="312"/>
      <c r="C3777" s="312"/>
      <c r="D3777" s="312"/>
      <c r="E3777" s="312"/>
      <c r="F3777" s="312"/>
      <c r="G3777" s="328"/>
      <c r="H3777" s="337"/>
      <c r="I3777" s="334"/>
      <c r="J3777" s="314"/>
      <c r="K3777" s="449"/>
      <c r="M3777" s="349" t="str">
        <f>N3777&amp;AS[[#This Row],[Insurer Code]]&amp;"; "&amp;O3777&amp;AS[[#This Row],[Reporting Year]]&amp;"; "&amp;P3777&amp;AS[[#This Row],[Insurance Category Code]]&amp;"; "&amp;Q3777&amp;AS[[#This Row],[Large Provider Entity Code]]&amp;"; "&amp;R3777&amp;AS[[#This Row],[Age Band Code]]&amp;"; "&amp;S3777&amp;AS[[#This Row],[Sex Code]]</f>
        <v xml:space="preserve">Insurer Code ; Reporting Year ; Insurance Category Code ; Large Provider Entity Code ; Age Band Code ; Sex Code </v>
      </c>
      <c r="N3777" s="345" t="s">
        <v>207</v>
      </c>
      <c r="O3777" s="345" t="s">
        <v>208</v>
      </c>
      <c r="P3777" s="345" t="s">
        <v>209</v>
      </c>
      <c r="Q3777" s="345" t="s">
        <v>210</v>
      </c>
      <c r="R3777" s="345" t="s">
        <v>223</v>
      </c>
      <c r="S3777" s="345" t="s">
        <v>224</v>
      </c>
    </row>
    <row r="3778" spans="1:19" x14ac:dyDescent="0.25">
      <c r="A3778" s="311"/>
      <c r="B3778" s="312"/>
      <c r="C3778" s="312"/>
      <c r="D3778" s="312"/>
      <c r="E3778" s="312"/>
      <c r="F3778" s="312"/>
      <c r="G3778" s="328"/>
      <c r="H3778" s="337"/>
      <c r="I3778" s="334"/>
      <c r="J3778" s="314"/>
      <c r="K3778" s="449"/>
      <c r="M3778" s="349" t="str">
        <f>N3778&amp;AS[[#This Row],[Insurer Code]]&amp;"; "&amp;O3778&amp;AS[[#This Row],[Reporting Year]]&amp;"; "&amp;P3778&amp;AS[[#This Row],[Insurance Category Code]]&amp;"; "&amp;Q3778&amp;AS[[#This Row],[Large Provider Entity Code]]&amp;"; "&amp;R3778&amp;AS[[#This Row],[Age Band Code]]&amp;"; "&amp;S3778&amp;AS[[#This Row],[Sex Code]]</f>
        <v xml:space="preserve">Insurer Code ; Reporting Year ; Insurance Category Code ; Large Provider Entity Code ; Age Band Code ; Sex Code </v>
      </c>
      <c r="N3778" s="345" t="s">
        <v>207</v>
      </c>
      <c r="O3778" s="345" t="s">
        <v>208</v>
      </c>
      <c r="P3778" s="345" t="s">
        <v>209</v>
      </c>
      <c r="Q3778" s="345" t="s">
        <v>210</v>
      </c>
      <c r="R3778" s="345" t="s">
        <v>223</v>
      </c>
      <c r="S3778" s="345" t="s">
        <v>224</v>
      </c>
    </row>
    <row r="3779" spans="1:19" x14ac:dyDescent="0.25">
      <c r="A3779" s="311"/>
      <c r="B3779" s="312"/>
      <c r="C3779" s="312"/>
      <c r="D3779" s="312"/>
      <c r="E3779" s="312"/>
      <c r="F3779" s="312"/>
      <c r="G3779" s="328"/>
      <c r="H3779" s="337"/>
      <c r="I3779" s="334"/>
      <c r="J3779" s="314"/>
      <c r="K3779" s="449"/>
      <c r="M3779" s="349" t="str">
        <f>N3779&amp;AS[[#This Row],[Insurer Code]]&amp;"; "&amp;O3779&amp;AS[[#This Row],[Reporting Year]]&amp;"; "&amp;P3779&amp;AS[[#This Row],[Insurance Category Code]]&amp;"; "&amp;Q3779&amp;AS[[#This Row],[Large Provider Entity Code]]&amp;"; "&amp;R3779&amp;AS[[#This Row],[Age Band Code]]&amp;"; "&amp;S3779&amp;AS[[#This Row],[Sex Code]]</f>
        <v xml:space="preserve">Insurer Code ; Reporting Year ; Insurance Category Code ; Large Provider Entity Code ; Age Band Code ; Sex Code </v>
      </c>
      <c r="N3779" s="345" t="s">
        <v>207</v>
      </c>
      <c r="O3779" s="345" t="s">
        <v>208</v>
      </c>
      <c r="P3779" s="345" t="s">
        <v>209</v>
      </c>
      <c r="Q3779" s="345" t="s">
        <v>210</v>
      </c>
      <c r="R3779" s="345" t="s">
        <v>223</v>
      </c>
      <c r="S3779" s="345" t="s">
        <v>224</v>
      </c>
    </row>
    <row r="3780" spans="1:19" x14ac:dyDescent="0.25">
      <c r="A3780" s="311"/>
      <c r="B3780" s="312"/>
      <c r="C3780" s="312"/>
      <c r="D3780" s="312"/>
      <c r="E3780" s="312"/>
      <c r="F3780" s="312"/>
      <c r="G3780" s="328"/>
      <c r="H3780" s="337"/>
      <c r="I3780" s="334"/>
      <c r="J3780" s="314"/>
      <c r="K3780" s="449"/>
      <c r="M3780" s="349" t="str">
        <f>N3780&amp;AS[[#This Row],[Insurer Code]]&amp;"; "&amp;O3780&amp;AS[[#This Row],[Reporting Year]]&amp;"; "&amp;P3780&amp;AS[[#This Row],[Insurance Category Code]]&amp;"; "&amp;Q3780&amp;AS[[#This Row],[Large Provider Entity Code]]&amp;"; "&amp;R3780&amp;AS[[#This Row],[Age Band Code]]&amp;"; "&amp;S3780&amp;AS[[#This Row],[Sex Code]]</f>
        <v xml:space="preserve">Insurer Code ; Reporting Year ; Insurance Category Code ; Large Provider Entity Code ; Age Band Code ; Sex Code </v>
      </c>
      <c r="N3780" s="345" t="s">
        <v>207</v>
      </c>
      <c r="O3780" s="345" t="s">
        <v>208</v>
      </c>
      <c r="P3780" s="345" t="s">
        <v>209</v>
      </c>
      <c r="Q3780" s="345" t="s">
        <v>210</v>
      </c>
      <c r="R3780" s="345" t="s">
        <v>223</v>
      </c>
      <c r="S3780" s="345" t="s">
        <v>224</v>
      </c>
    </row>
    <row r="3781" spans="1:19" x14ac:dyDescent="0.25">
      <c r="A3781" s="311"/>
      <c r="B3781" s="312"/>
      <c r="C3781" s="312"/>
      <c r="D3781" s="312"/>
      <c r="E3781" s="312"/>
      <c r="F3781" s="312"/>
      <c r="G3781" s="328"/>
      <c r="H3781" s="337"/>
      <c r="I3781" s="334"/>
      <c r="J3781" s="314"/>
      <c r="K3781" s="449"/>
      <c r="M3781" s="349" t="str">
        <f>N3781&amp;AS[[#This Row],[Insurer Code]]&amp;"; "&amp;O3781&amp;AS[[#This Row],[Reporting Year]]&amp;"; "&amp;P3781&amp;AS[[#This Row],[Insurance Category Code]]&amp;"; "&amp;Q3781&amp;AS[[#This Row],[Large Provider Entity Code]]&amp;"; "&amp;R3781&amp;AS[[#This Row],[Age Band Code]]&amp;"; "&amp;S3781&amp;AS[[#This Row],[Sex Code]]</f>
        <v xml:space="preserve">Insurer Code ; Reporting Year ; Insurance Category Code ; Large Provider Entity Code ; Age Band Code ; Sex Code </v>
      </c>
      <c r="N3781" s="345" t="s">
        <v>207</v>
      </c>
      <c r="O3781" s="345" t="s">
        <v>208</v>
      </c>
      <c r="P3781" s="345" t="s">
        <v>209</v>
      </c>
      <c r="Q3781" s="345" t="s">
        <v>210</v>
      </c>
      <c r="R3781" s="345" t="s">
        <v>223</v>
      </c>
      <c r="S3781" s="345" t="s">
        <v>224</v>
      </c>
    </row>
    <row r="3782" spans="1:19" x14ac:dyDescent="0.25">
      <c r="A3782" s="311"/>
      <c r="B3782" s="312"/>
      <c r="C3782" s="312"/>
      <c r="D3782" s="312"/>
      <c r="E3782" s="312"/>
      <c r="F3782" s="312"/>
      <c r="G3782" s="328"/>
      <c r="H3782" s="337"/>
      <c r="I3782" s="334"/>
      <c r="J3782" s="314"/>
      <c r="K3782" s="449"/>
      <c r="M3782" s="349" t="str">
        <f>N3782&amp;AS[[#This Row],[Insurer Code]]&amp;"; "&amp;O3782&amp;AS[[#This Row],[Reporting Year]]&amp;"; "&amp;P3782&amp;AS[[#This Row],[Insurance Category Code]]&amp;"; "&amp;Q3782&amp;AS[[#This Row],[Large Provider Entity Code]]&amp;"; "&amp;R3782&amp;AS[[#This Row],[Age Band Code]]&amp;"; "&amp;S3782&amp;AS[[#This Row],[Sex Code]]</f>
        <v xml:space="preserve">Insurer Code ; Reporting Year ; Insurance Category Code ; Large Provider Entity Code ; Age Band Code ; Sex Code </v>
      </c>
      <c r="N3782" s="345" t="s">
        <v>207</v>
      </c>
      <c r="O3782" s="345" t="s">
        <v>208</v>
      </c>
      <c r="P3782" s="345" t="s">
        <v>209</v>
      </c>
      <c r="Q3782" s="345" t="s">
        <v>210</v>
      </c>
      <c r="R3782" s="345" t="s">
        <v>223</v>
      </c>
      <c r="S3782" s="345" t="s">
        <v>224</v>
      </c>
    </row>
    <row r="3783" spans="1:19" x14ac:dyDescent="0.25">
      <c r="A3783" s="311"/>
      <c r="B3783" s="312"/>
      <c r="C3783" s="312"/>
      <c r="D3783" s="312"/>
      <c r="E3783" s="312"/>
      <c r="F3783" s="312"/>
      <c r="G3783" s="328"/>
      <c r="H3783" s="337"/>
      <c r="I3783" s="334"/>
      <c r="J3783" s="314"/>
      <c r="K3783" s="449"/>
      <c r="M3783" s="349" t="str">
        <f>N3783&amp;AS[[#This Row],[Insurer Code]]&amp;"; "&amp;O3783&amp;AS[[#This Row],[Reporting Year]]&amp;"; "&amp;P3783&amp;AS[[#This Row],[Insurance Category Code]]&amp;"; "&amp;Q3783&amp;AS[[#This Row],[Large Provider Entity Code]]&amp;"; "&amp;R3783&amp;AS[[#This Row],[Age Band Code]]&amp;"; "&amp;S3783&amp;AS[[#This Row],[Sex Code]]</f>
        <v xml:space="preserve">Insurer Code ; Reporting Year ; Insurance Category Code ; Large Provider Entity Code ; Age Band Code ; Sex Code </v>
      </c>
      <c r="N3783" s="345" t="s">
        <v>207</v>
      </c>
      <c r="O3783" s="345" t="s">
        <v>208</v>
      </c>
      <c r="P3783" s="345" t="s">
        <v>209</v>
      </c>
      <c r="Q3783" s="345" t="s">
        <v>210</v>
      </c>
      <c r="R3783" s="345" t="s">
        <v>223</v>
      </c>
      <c r="S3783" s="345" t="s">
        <v>224</v>
      </c>
    </row>
    <row r="3784" spans="1:19" x14ac:dyDescent="0.25">
      <c r="A3784" s="311"/>
      <c r="B3784" s="312"/>
      <c r="C3784" s="312"/>
      <c r="D3784" s="312"/>
      <c r="E3784" s="312"/>
      <c r="F3784" s="312"/>
      <c r="G3784" s="328"/>
      <c r="H3784" s="337"/>
      <c r="I3784" s="334"/>
      <c r="J3784" s="314"/>
      <c r="K3784" s="449"/>
      <c r="M3784" s="349" t="str">
        <f>N3784&amp;AS[[#This Row],[Insurer Code]]&amp;"; "&amp;O3784&amp;AS[[#This Row],[Reporting Year]]&amp;"; "&amp;P3784&amp;AS[[#This Row],[Insurance Category Code]]&amp;"; "&amp;Q3784&amp;AS[[#This Row],[Large Provider Entity Code]]&amp;"; "&amp;R3784&amp;AS[[#This Row],[Age Band Code]]&amp;"; "&amp;S3784&amp;AS[[#This Row],[Sex Code]]</f>
        <v xml:space="preserve">Insurer Code ; Reporting Year ; Insurance Category Code ; Large Provider Entity Code ; Age Band Code ; Sex Code </v>
      </c>
      <c r="N3784" s="345" t="s">
        <v>207</v>
      </c>
      <c r="O3784" s="345" t="s">
        <v>208</v>
      </c>
      <c r="P3784" s="345" t="s">
        <v>209</v>
      </c>
      <c r="Q3784" s="345" t="s">
        <v>210</v>
      </c>
      <c r="R3784" s="345" t="s">
        <v>223</v>
      </c>
      <c r="S3784" s="345" t="s">
        <v>224</v>
      </c>
    </row>
    <row r="3785" spans="1:19" x14ac:dyDescent="0.25">
      <c r="A3785" s="311"/>
      <c r="B3785" s="312"/>
      <c r="C3785" s="312"/>
      <c r="D3785" s="312"/>
      <c r="E3785" s="312"/>
      <c r="F3785" s="312"/>
      <c r="G3785" s="328"/>
      <c r="H3785" s="337"/>
      <c r="I3785" s="334"/>
      <c r="J3785" s="314"/>
      <c r="K3785" s="449"/>
      <c r="M3785" s="349" t="str">
        <f>N3785&amp;AS[[#This Row],[Insurer Code]]&amp;"; "&amp;O3785&amp;AS[[#This Row],[Reporting Year]]&amp;"; "&amp;P3785&amp;AS[[#This Row],[Insurance Category Code]]&amp;"; "&amp;Q3785&amp;AS[[#This Row],[Large Provider Entity Code]]&amp;"; "&amp;R3785&amp;AS[[#This Row],[Age Band Code]]&amp;"; "&amp;S3785&amp;AS[[#This Row],[Sex Code]]</f>
        <v xml:space="preserve">Insurer Code ; Reporting Year ; Insurance Category Code ; Large Provider Entity Code ; Age Band Code ; Sex Code </v>
      </c>
      <c r="N3785" s="345" t="s">
        <v>207</v>
      </c>
      <c r="O3785" s="345" t="s">
        <v>208</v>
      </c>
      <c r="P3785" s="345" t="s">
        <v>209</v>
      </c>
      <c r="Q3785" s="345" t="s">
        <v>210</v>
      </c>
      <c r="R3785" s="345" t="s">
        <v>223</v>
      </c>
      <c r="S3785" s="345" t="s">
        <v>224</v>
      </c>
    </row>
    <row r="3786" spans="1:19" x14ac:dyDescent="0.25">
      <c r="A3786" s="311"/>
      <c r="B3786" s="312"/>
      <c r="C3786" s="312"/>
      <c r="D3786" s="312"/>
      <c r="E3786" s="312"/>
      <c r="F3786" s="312"/>
      <c r="G3786" s="328"/>
      <c r="H3786" s="337"/>
      <c r="I3786" s="334"/>
      <c r="J3786" s="314"/>
      <c r="K3786" s="449"/>
      <c r="M3786" s="349" t="str">
        <f>N3786&amp;AS[[#This Row],[Insurer Code]]&amp;"; "&amp;O3786&amp;AS[[#This Row],[Reporting Year]]&amp;"; "&amp;P3786&amp;AS[[#This Row],[Insurance Category Code]]&amp;"; "&amp;Q3786&amp;AS[[#This Row],[Large Provider Entity Code]]&amp;"; "&amp;R3786&amp;AS[[#This Row],[Age Band Code]]&amp;"; "&amp;S3786&amp;AS[[#This Row],[Sex Code]]</f>
        <v xml:space="preserve">Insurer Code ; Reporting Year ; Insurance Category Code ; Large Provider Entity Code ; Age Band Code ; Sex Code </v>
      </c>
      <c r="N3786" s="345" t="s">
        <v>207</v>
      </c>
      <c r="O3786" s="345" t="s">
        <v>208</v>
      </c>
      <c r="P3786" s="345" t="s">
        <v>209</v>
      </c>
      <c r="Q3786" s="345" t="s">
        <v>210</v>
      </c>
      <c r="R3786" s="345" t="s">
        <v>223</v>
      </c>
      <c r="S3786" s="345" t="s">
        <v>224</v>
      </c>
    </row>
    <row r="3787" spans="1:19" x14ac:dyDescent="0.25">
      <c r="A3787" s="311"/>
      <c r="B3787" s="312"/>
      <c r="C3787" s="312"/>
      <c r="D3787" s="312"/>
      <c r="E3787" s="312"/>
      <c r="F3787" s="312"/>
      <c r="G3787" s="328"/>
      <c r="H3787" s="337"/>
      <c r="I3787" s="334"/>
      <c r="J3787" s="314"/>
      <c r="K3787" s="449"/>
      <c r="M3787" s="349" t="str">
        <f>N3787&amp;AS[[#This Row],[Insurer Code]]&amp;"; "&amp;O3787&amp;AS[[#This Row],[Reporting Year]]&amp;"; "&amp;P3787&amp;AS[[#This Row],[Insurance Category Code]]&amp;"; "&amp;Q3787&amp;AS[[#This Row],[Large Provider Entity Code]]&amp;"; "&amp;R3787&amp;AS[[#This Row],[Age Band Code]]&amp;"; "&amp;S3787&amp;AS[[#This Row],[Sex Code]]</f>
        <v xml:space="preserve">Insurer Code ; Reporting Year ; Insurance Category Code ; Large Provider Entity Code ; Age Band Code ; Sex Code </v>
      </c>
      <c r="N3787" s="345" t="s">
        <v>207</v>
      </c>
      <c r="O3787" s="345" t="s">
        <v>208</v>
      </c>
      <c r="P3787" s="345" t="s">
        <v>209</v>
      </c>
      <c r="Q3787" s="345" t="s">
        <v>210</v>
      </c>
      <c r="R3787" s="345" t="s">
        <v>223</v>
      </c>
      <c r="S3787" s="345" t="s">
        <v>224</v>
      </c>
    </row>
    <row r="3788" spans="1:19" x14ac:dyDescent="0.25">
      <c r="A3788" s="311"/>
      <c r="B3788" s="312"/>
      <c r="C3788" s="312"/>
      <c r="D3788" s="312"/>
      <c r="E3788" s="312"/>
      <c r="F3788" s="312"/>
      <c r="G3788" s="328"/>
      <c r="H3788" s="337"/>
      <c r="I3788" s="334"/>
      <c r="J3788" s="314"/>
      <c r="K3788" s="449"/>
      <c r="M3788" s="349" t="str">
        <f>N3788&amp;AS[[#This Row],[Insurer Code]]&amp;"; "&amp;O3788&amp;AS[[#This Row],[Reporting Year]]&amp;"; "&amp;P3788&amp;AS[[#This Row],[Insurance Category Code]]&amp;"; "&amp;Q3788&amp;AS[[#This Row],[Large Provider Entity Code]]&amp;"; "&amp;R3788&amp;AS[[#This Row],[Age Band Code]]&amp;"; "&amp;S3788&amp;AS[[#This Row],[Sex Code]]</f>
        <v xml:space="preserve">Insurer Code ; Reporting Year ; Insurance Category Code ; Large Provider Entity Code ; Age Band Code ; Sex Code </v>
      </c>
      <c r="N3788" s="345" t="s">
        <v>207</v>
      </c>
      <c r="O3788" s="345" t="s">
        <v>208</v>
      </c>
      <c r="P3788" s="345" t="s">
        <v>209</v>
      </c>
      <c r="Q3788" s="345" t="s">
        <v>210</v>
      </c>
      <c r="R3788" s="345" t="s">
        <v>223</v>
      </c>
      <c r="S3788" s="345" t="s">
        <v>224</v>
      </c>
    </row>
    <row r="3789" spans="1:19" x14ac:dyDescent="0.25">
      <c r="A3789" s="311"/>
      <c r="B3789" s="312"/>
      <c r="C3789" s="312"/>
      <c r="D3789" s="312"/>
      <c r="E3789" s="312"/>
      <c r="F3789" s="312"/>
      <c r="G3789" s="328"/>
      <c r="H3789" s="337"/>
      <c r="I3789" s="334"/>
      <c r="J3789" s="314"/>
      <c r="K3789" s="449"/>
      <c r="M3789" s="349" t="str">
        <f>N3789&amp;AS[[#This Row],[Insurer Code]]&amp;"; "&amp;O3789&amp;AS[[#This Row],[Reporting Year]]&amp;"; "&amp;P3789&amp;AS[[#This Row],[Insurance Category Code]]&amp;"; "&amp;Q3789&amp;AS[[#This Row],[Large Provider Entity Code]]&amp;"; "&amp;R3789&amp;AS[[#This Row],[Age Band Code]]&amp;"; "&amp;S3789&amp;AS[[#This Row],[Sex Code]]</f>
        <v xml:space="preserve">Insurer Code ; Reporting Year ; Insurance Category Code ; Large Provider Entity Code ; Age Band Code ; Sex Code </v>
      </c>
      <c r="N3789" s="345" t="s">
        <v>207</v>
      </c>
      <c r="O3789" s="345" t="s">
        <v>208</v>
      </c>
      <c r="P3789" s="345" t="s">
        <v>209</v>
      </c>
      <c r="Q3789" s="345" t="s">
        <v>210</v>
      </c>
      <c r="R3789" s="345" t="s">
        <v>223</v>
      </c>
      <c r="S3789" s="345" t="s">
        <v>224</v>
      </c>
    </row>
    <row r="3790" spans="1:19" x14ac:dyDescent="0.25">
      <c r="A3790" s="311"/>
      <c r="B3790" s="312"/>
      <c r="C3790" s="312"/>
      <c r="D3790" s="312"/>
      <c r="E3790" s="312"/>
      <c r="F3790" s="312"/>
      <c r="G3790" s="328"/>
      <c r="H3790" s="337"/>
      <c r="I3790" s="334"/>
      <c r="J3790" s="314"/>
      <c r="K3790" s="449"/>
      <c r="M3790" s="349" t="str">
        <f>N3790&amp;AS[[#This Row],[Insurer Code]]&amp;"; "&amp;O3790&amp;AS[[#This Row],[Reporting Year]]&amp;"; "&amp;P3790&amp;AS[[#This Row],[Insurance Category Code]]&amp;"; "&amp;Q3790&amp;AS[[#This Row],[Large Provider Entity Code]]&amp;"; "&amp;R3790&amp;AS[[#This Row],[Age Band Code]]&amp;"; "&amp;S3790&amp;AS[[#This Row],[Sex Code]]</f>
        <v xml:space="preserve">Insurer Code ; Reporting Year ; Insurance Category Code ; Large Provider Entity Code ; Age Band Code ; Sex Code </v>
      </c>
      <c r="N3790" s="345" t="s">
        <v>207</v>
      </c>
      <c r="O3790" s="345" t="s">
        <v>208</v>
      </c>
      <c r="P3790" s="345" t="s">
        <v>209</v>
      </c>
      <c r="Q3790" s="345" t="s">
        <v>210</v>
      </c>
      <c r="R3790" s="345" t="s">
        <v>223</v>
      </c>
      <c r="S3790" s="345" t="s">
        <v>224</v>
      </c>
    </row>
    <row r="3791" spans="1:19" x14ac:dyDescent="0.25">
      <c r="A3791" s="311"/>
      <c r="B3791" s="312"/>
      <c r="C3791" s="312"/>
      <c r="D3791" s="312"/>
      <c r="E3791" s="312"/>
      <c r="F3791" s="312"/>
      <c r="G3791" s="328"/>
      <c r="H3791" s="337"/>
      <c r="I3791" s="334"/>
      <c r="J3791" s="314"/>
      <c r="K3791" s="449"/>
      <c r="M3791" s="349" t="str">
        <f>N3791&amp;AS[[#This Row],[Insurer Code]]&amp;"; "&amp;O3791&amp;AS[[#This Row],[Reporting Year]]&amp;"; "&amp;P3791&amp;AS[[#This Row],[Insurance Category Code]]&amp;"; "&amp;Q3791&amp;AS[[#This Row],[Large Provider Entity Code]]&amp;"; "&amp;R3791&amp;AS[[#This Row],[Age Band Code]]&amp;"; "&amp;S3791&amp;AS[[#This Row],[Sex Code]]</f>
        <v xml:space="preserve">Insurer Code ; Reporting Year ; Insurance Category Code ; Large Provider Entity Code ; Age Band Code ; Sex Code </v>
      </c>
      <c r="N3791" s="345" t="s">
        <v>207</v>
      </c>
      <c r="O3791" s="345" t="s">
        <v>208</v>
      </c>
      <c r="P3791" s="345" t="s">
        <v>209</v>
      </c>
      <c r="Q3791" s="345" t="s">
        <v>210</v>
      </c>
      <c r="R3791" s="345" t="s">
        <v>223</v>
      </c>
      <c r="S3791" s="345" t="s">
        <v>224</v>
      </c>
    </row>
    <row r="3792" spans="1:19" x14ac:dyDescent="0.25">
      <c r="A3792" s="311"/>
      <c r="B3792" s="312"/>
      <c r="C3792" s="312"/>
      <c r="D3792" s="312"/>
      <c r="E3792" s="312"/>
      <c r="F3792" s="312"/>
      <c r="G3792" s="328"/>
      <c r="H3792" s="337"/>
      <c r="I3792" s="334"/>
      <c r="J3792" s="314"/>
      <c r="K3792" s="449"/>
      <c r="M3792" s="349" t="str">
        <f>N3792&amp;AS[[#This Row],[Insurer Code]]&amp;"; "&amp;O3792&amp;AS[[#This Row],[Reporting Year]]&amp;"; "&amp;P3792&amp;AS[[#This Row],[Insurance Category Code]]&amp;"; "&amp;Q3792&amp;AS[[#This Row],[Large Provider Entity Code]]&amp;"; "&amp;R3792&amp;AS[[#This Row],[Age Band Code]]&amp;"; "&amp;S3792&amp;AS[[#This Row],[Sex Code]]</f>
        <v xml:space="preserve">Insurer Code ; Reporting Year ; Insurance Category Code ; Large Provider Entity Code ; Age Band Code ; Sex Code </v>
      </c>
      <c r="N3792" s="345" t="s">
        <v>207</v>
      </c>
      <c r="O3792" s="345" t="s">
        <v>208</v>
      </c>
      <c r="P3792" s="345" t="s">
        <v>209</v>
      </c>
      <c r="Q3792" s="345" t="s">
        <v>210</v>
      </c>
      <c r="R3792" s="345" t="s">
        <v>223</v>
      </c>
      <c r="S3792" s="345" t="s">
        <v>224</v>
      </c>
    </row>
    <row r="3793" spans="1:19" x14ac:dyDescent="0.25">
      <c r="A3793" s="311"/>
      <c r="B3793" s="312"/>
      <c r="C3793" s="312"/>
      <c r="D3793" s="312"/>
      <c r="E3793" s="312"/>
      <c r="F3793" s="312"/>
      <c r="G3793" s="328"/>
      <c r="H3793" s="337"/>
      <c r="I3793" s="334"/>
      <c r="J3793" s="314"/>
      <c r="K3793" s="449"/>
      <c r="M3793" s="349" t="str">
        <f>N3793&amp;AS[[#This Row],[Insurer Code]]&amp;"; "&amp;O3793&amp;AS[[#This Row],[Reporting Year]]&amp;"; "&amp;P3793&amp;AS[[#This Row],[Insurance Category Code]]&amp;"; "&amp;Q3793&amp;AS[[#This Row],[Large Provider Entity Code]]&amp;"; "&amp;R3793&amp;AS[[#This Row],[Age Band Code]]&amp;"; "&amp;S3793&amp;AS[[#This Row],[Sex Code]]</f>
        <v xml:space="preserve">Insurer Code ; Reporting Year ; Insurance Category Code ; Large Provider Entity Code ; Age Band Code ; Sex Code </v>
      </c>
      <c r="N3793" s="345" t="s">
        <v>207</v>
      </c>
      <c r="O3793" s="345" t="s">
        <v>208</v>
      </c>
      <c r="P3793" s="345" t="s">
        <v>209</v>
      </c>
      <c r="Q3793" s="345" t="s">
        <v>210</v>
      </c>
      <c r="R3793" s="345" t="s">
        <v>223</v>
      </c>
      <c r="S3793" s="345" t="s">
        <v>224</v>
      </c>
    </row>
    <row r="3794" spans="1:19" x14ac:dyDescent="0.25">
      <c r="A3794" s="311"/>
      <c r="B3794" s="312"/>
      <c r="C3794" s="312"/>
      <c r="D3794" s="312"/>
      <c r="E3794" s="312"/>
      <c r="F3794" s="312"/>
      <c r="G3794" s="328"/>
      <c r="H3794" s="337"/>
      <c r="I3794" s="334"/>
      <c r="J3794" s="314"/>
      <c r="K3794" s="449"/>
      <c r="M3794" s="349" t="str">
        <f>N3794&amp;AS[[#This Row],[Insurer Code]]&amp;"; "&amp;O3794&amp;AS[[#This Row],[Reporting Year]]&amp;"; "&amp;P3794&amp;AS[[#This Row],[Insurance Category Code]]&amp;"; "&amp;Q3794&amp;AS[[#This Row],[Large Provider Entity Code]]&amp;"; "&amp;R3794&amp;AS[[#This Row],[Age Band Code]]&amp;"; "&amp;S3794&amp;AS[[#This Row],[Sex Code]]</f>
        <v xml:space="preserve">Insurer Code ; Reporting Year ; Insurance Category Code ; Large Provider Entity Code ; Age Band Code ; Sex Code </v>
      </c>
      <c r="N3794" s="345" t="s">
        <v>207</v>
      </c>
      <c r="O3794" s="345" t="s">
        <v>208</v>
      </c>
      <c r="P3794" s="345" t="s">
        <v>209</v>
      </c>
      <c r="Q3794" s="345" t="s">
        <v>210</v>
      </c>
      <c r="R3794" s="345" t="s">
        <v>223</v>
      </c>
      <c r="S3794" s="345" t="s">
        <v>224</v>
      </c>
    </row>
    <row r="3795" spans="1:19" x14ac:dyDescent="0.25">
      <c r="A3795" s="311"/>
      <c r="B3795" s="312"/>
      <c r="C3795" s="312"/>
      <c r="D3795" s="312"/>
      <c r="E3795" s="312"/>
      <c r="F3795" s="312"/>
      <c r="G3795" s="328"/>
      <c r="H3795" s="337"/>
      <c r="I3795" s="334"/>
      <c r="J3795" s="314"/>
      <c r="K3795" s="449"/>
      <c r="M3795" s="349" t="str">
        <f>N3795&amp;AS[[#This Row],[Insurer Code]]&amp;"; "&amp;O3795&amp;AS[[#This Row],[Reporting Year]]&amp;"; "&amp;P3795&amp;AS[[#This Row],[Insurance Category Code]]&amp;"; "&amp;Q3795&amp;AS[[#This Row],[Large Provider Entity Code]]&amp;"; "&amp;R3795&amp;AS[[#This Row],[Age Band Code]]&amp;"; "&amp;S3795&amp;AS[[#This Row],[Sex Code]]</f>
        <v xml:space="preserve">Insurer Code ; Reporting Year ; Insurance Category Code ; Large Provider Entity Code ; Age Band Code ; Sex Code </v>
      </c>
      <c r="N3795" s="345" t="s">
        <v>207</v>
      </c>
      <c r="O3795" s="345" t="s">
        <v>208</v>
      </c>
      <c r="P3795" s="345" t="s">
        <v>209</v>
      </c>
      <c r="Q3795" s="345" t="s">
        <v>210</v>
      </c>
      <c r="R3795" s="345" t="s">
        <v>223</v>
      </c>
      <c r="S3795" s="345" t="s">
        <v>224</v>
      </c>
    </row>
    <row r="3796" spans="1:19" x14ac:dyDescent="0.25">
      <c r="A3796" s="311"/>
      <c r="B3796" s="312"/>
      <c r="C3796" s="312"/>
      <c r="D3796" s="312"/>
      <c r="E3796" s="312"/>
      <c r="F3796" s="312"/>
      <c r="G3796" s="328"/>
      <c r="H3796" s="337"/>
      <c r="I3796" s="334"/>
      <c r="J3796" s="314"/>
      <c r="K3796" s="449"/>
      <c r="M3796" s="349" t="str">
        <f>N3796&amp;AS[[#This Row],[Insurer Code]]&amp;"; "&amp;O3796&amp;AS[[#This Row],[Reporting Year]]&amp;"; "&amp;P3796&amp;AS[[#This Row],[Insurance Category Code]]&amp;"; "&amp;Q3796&amp;AS[[#This Row],[Large Provider Entity Code]]&amp;"; "&amp;R3796&amp;AS[[#This Row],[Age Band Code]]&amp;"; "&amp;S3796&amp;AS[[#This Row],[Sex Code]]</f>
        <v xml:space="preserve">Insurer Code ; Reporting Year ; Insurance Category Code ; Large Provider Entity Code ; Age Band Code ; Sex Code </v>
      </c>
      <c r="N3796" s="345" t="s">
        <v>207</v>
      </c>
      <c r="O3796" s="345" t="s">
        <v>208</v>
      </c>
      <c r="P3796" s="345" t="s">
        <v>209</v>
      </c>
      <c r="Q3796" s="345" t="s">
        <v>210</v>
      </c>
      <c r="R3796" s="345" t="s">
        <v>223</v>
      </c>
      <c r="S3796" s="345" t="s">
        <v>224</v>
      </c>
    </row>
    <row r="3797" spans="1:19" x14ac:dyDescent="0.25">
      <c r="A3797" s="311"/>
      <c r="B3797" s="312"/>
      <c r="C3797" s="312"/>
      <c r="D3797" s="312"/>
      <c r="E3797" s="312"/>
      <c r="F3797" s="312"/>
      <c r="G3797" s="328"/>
      <c r="H3797" s="337"/>
      <c r="I3797" s="334"/>
      <c r="J3797" s="314"/>
      <c r="K3797" s="449"/>
      <c r="M3797" s="349" t="str">
        <f>N3797&amp;AS[[#This Row],[Insurer Code]]&amp;"; "&amp;O3797&amp;AS[[#This Row],[Reporting Year]]&amp;"; "&amp;P3797&amp;AS[[#This Row],[Insurance Category Code]]&amp;"; "&amp;Q3797&amp;AS[[#This Row],[Large Provider Entity Code]]&amp;"; "&amp;R3797&amp;AS[[#This Row],[Age Band Code]]&amp;"; "&amp;S3797&amp;AS[[#This Row],[Sex Code]]</f>
        <v xml:space="preserve">Insurer Code ; Reporting Year ; Insurance Category Code ; Large Provider Entity Code ; Age Band Code ; Sex Code </v>
      </c>
      <c r="N3797" s="345" t="s">
        <v>207</v>
      </c>
      <c r="O3797" s="345" t="s">
        <v>208</v>
      </c>
      <c r="P3797" s="345" t="s">
        <v>209</v>
      </c>
      <c r="Q3797" s="345" t="s">
        <v>210</v>
      </c>
      <c r="R3797" s="345" t="s">
        <v>223</v>
      </c>
      <c r="S3797" s="345" t="s">
        <v>224</v>
      </c>
    </row>
    <row r="3798" spans="1:19" x14ac:dyDescent="0.25">
      <c r="A3798" s="311"/>
      <c r="B3798" s="312"/>
      <c r="C3798" s="312"/>
      <c r="D3798" s="312"/>
      <c r="E3798" s="312"/>
      <c r="F3798" s="312"/>
      <c r="G3798" s="328"/>
      <c r="H3798" s="337"/>
      <c r="I3798" s="334"/>
      <c r="J3798" s="314"/>
      <c r="K3798" s="449"/>
      <c r="M3798" s="349" t="str">
        <f>N3798&amp;AS[[#This Row],[Insurer Code]]&amp;"; "&amp;O3798&amp;AS[[#This Row],[Reporting Year]]&amp;"; "&amp;P3798&amp;AS[[#This Row],[Insurance Category Code]]&amp;"; "&amp;Q3798&amp;AS[[#This Row],[Large Provider Entity Code]]&amp;"; "&amp;R3798&amp;AS[[#This Row],[Age Band Code]]&amp;"; "&amp;S3798&amp;AS[[#This Row],[Sex Code]]</f>
        <v xml:space="preserve">Insurer Code ; Reporting Year ; Insurance Category Code ; Large Provider Entity Code ; Age Band Code ; Sex Code </v>
      </c>
      <c r="N3798" s="345" t="s">
        <v>207</v>
      </c>
      <c r="O3798" s="345" t="s">
        <v>208</v>
      </c>
      <c r="P3798" s="345" t="s">
        <v>209</v>
      </c>
      <c r="Q3798" s="345" t="s">
        <v>210</v>
      </c>
      <c r="R3798" s="345" t="s">
        <v>223</v>
      </c>
      <c r="S3798" s="345" t="s">
        <v>224</v>
      </c>
    </row>
    <row r="3799" spans="1:19" x14ac:dyDescent="0.25">
      <c r="A3799" s="311"/>
      <c r="B3799" s="312"/>
      <c r="C3799" s="312"/>
      <c r="D3799" s="312"/>
      <c r="E3799" s="312"/>
      <c r="F3799" s="312"/>
      <c r="G3799" s="328"/>
      <c r="H3799" s="337"/>
      <c r="I3799" s="334"/>
      <c r="J3799" s="314"/>
      <c r="K3799" s="449"/>
      <c r="M3799" s="349" t="str">
        <f>N3799&amp;AS[[#This Row],[Insurer Code]]&amp;"; "&amp;O3799&amp;AS[[#This Row],[Reporting Year]]&amp;"; "&amp;P3799&amp;AS[[#This Row],[Insurance Category Code]]&amp;"; "&amp;Q3799&amp;AS[[#This Row],[Large Provider Entity Code]]&amp;"; "&amp;R3799&amp;AS[[#This Row],[Age Band Code]]&amp;"; "&amp;S3799&amp;AS[[#This Row],[Sex Code]]</f>
        <v xml:space="preserve">Insurer Code ; Reporting Year ; Insurance Category Code ; Large Provider Entity Code ; Age Band Code ; Sex Code </v>
      </c>
      <c r="N3799" s="345" t="s">
        <v>207</v>
      </c>
      <c r="O3799" s="345" t="s">
        <v>208</v>
      </c>
      <c r="P3799" s="345" t="s">
        <v>209</v>
      </c>
      <c r="Q3799" s="345" t="s">
        <v>210</v>
      </c>
      <c r="R3799" s="345" t="s">
        <v>223</v>
      </c>
      <c r="S3799" s="345" t="s">
        <v>224</v>
      </c>
    </row>
    <row r="3800" spans="1:19" x14ac:dyDescent="0.25">
      <c r="A3800" s="311"/>
      <c r="B3800" s="312"/>
      <c r="C3800" s="312"/>
      <c r="D3800" s="312"/>
      <c r="E3800" s="312"/>
      <c r="F3800" s="312"/>
      <c r="G3800" s="328"/>
      <c r="H3800" s="337"/>
      <c r="I3800" s="334"/>
      <c r="J3800" s="314"/>
      <c r="K3800" s="449"/>
      <c r="M3800" s="349" t="str">
        <f>N3800&amp;AS[[#This Row],[Insurer Code]]&amp;"; "&amp;O3800&amp;AS[[#This Row],[Reporting Year]]&amp;"; "&amp;P3800&amp;AS[[#This Row],[Insurance Category Code]]&amp;"; "&amp;Q3800&amp;AS[[#This Row],[Large Provider Entity Code]]&amp;"; "&amp;R3800&amp;AS[[#This Row],[Age Band Code]]&amp;"; "&amp;S3800&amp;AS[[#This Row],[Sex Code]]</f>
        <v xml:space="preserve">Insurer Code ; Reporting Year ; Insurance Category Code ; Large Provider Entity Code ; Age Band Code ; Sex Code </v>
      </c>
      <c r="N3800" s="345" t="s">
        <v>207</v>
      </c>
      <c r="O3800" s="345" t="s">
        <v>208</v>
      </c>
      <c r="P3800" s="345" t="s">
        <v>209</v>
      </c>
      <c r="Q3800" s="345" t="s">
        <v>210</v>
      </c>
      <c r="R3800" s="345" t="s">
        <v>223</v>
      </c>
      <c r="S3800" s="345" t="s">
        <v>224</v>
      </c>
    </row>
    <row r="3801" spans="1:19" x14ac:dyDescent="0.25">
      <c r="A3801" s="311"/>
      <c r="B3801" s="312"/>
      <c r="C3801" s="312"/>
      <c r="D3801" s="312"/>
      <c r="E3801" s="312"/>
      <c r="F3801" s="312"/>
      <c r="G3801" s="328"/>
      <c r="H3801" s="337"/>
      <c r="I3801" s="334"/>
      <c r="J3801" s="314"/>
      <c r="K3801" s="449"/>
      <c r="M3801" s="349" t="str">
        <f>N3801&amp;AS[[#This Row],[Insurer Code]]&amp;"; "&amp;O3801&amp;AS[[#This Row],[Reporting Year]]&amp;"; "&amp;P3801&amp;AS[[#This Row],[Insurance Category Code]]&amp;"; "&amp;Q3801&amp;AS[[#This Row],[Large Provider Entity Code]]&amp;"; "&amp;R3801&amp;AS[[#This Row],[Age Band Code]]&amp;"; "&amp;S3801&amp;AS[[#This Row],[Sex Code]]</f>
        <v xml:space="preserve">Insurer Code ; Reporting Year ; Insurance Category Code ; Large Provider Entity Code ; Age Band Code ; Sex Code </v>
      </c>
      <c r="N3801" s="345" t="s">
        <v>207</v>
      </c>
      <c r="O3801" s="345" t="s">
        <v>208</v>
      </c>
      <c r="P3801" s="345" t="s">
        <v>209</v>
      </c>
      <c r="Q3801" s="345" t="s">
        <v>210</v>
      </c>
      <c r="R3801" s="345" t="s">
        <v>223</v>
      </c>
      <c r="S3801" s="345" t="s">
        <v>224</v>
      </c>
    </row>
    <row r="3802" spans="1:19" x14ac:dyDescent="0.25">
      <c r="A3802" s="311"/>
      <c r="B3802" s="312"/>
      <c r="C3802" s="312"/>
      <c r="D3802" s="312"/>
      <c r="E3802" s="312"/>
      <c r="F3802" s="312"/>
      <c r="G3802" s="328"/>
      <c r="H3802" s="337"/>
      <c r="I3802" s="334"/>
      <c r="J3802" s="314"/>
      <c r="K3802" s="449"/>
      <c r="M3802" s="349" t="str">
        <f>N3802&amp;AS[[#This Row],[Insurer Code]]&amp;"; "&amp;O3802&amp;AS[[#This Row],[Reporting Year]]&amp;"; "&amp;P3802&amp;AS[[#This Row],[Insurance Category Code]]&amp;"; "&amp;Q3802&amp;AS[[#This Row],[Large Provider Entity Code]]&amp;"; "&amp;R3802&amp;AS[[#This Row],[Age Band Code]]&amp;"; "&amp;S3802&amp;AS[[#This Row],[Sex Code]]</f>
        <v xml:space="preserve">Insurer Code ; Reporting Year ; Insurance Category Code ; Large Provider Entity Code ; Age Band Code ; Sex Code </v>
      </c>
      <c r="N3802" s="345" t="s">
        <v>207</v>
      </c>
      <c r="O3802" s="345" t="s">
        <v>208</v>
      </c>
      <c r="P3802" s="345" t="s">
        <v>209</v>
      </c>
      <c r="Q3802" s="345" t="s">
        <v>210</v>
      </c>
      <c r="R3802" s="345" t="s">
        <v>223</v>
      </c>
      <c r="S3802" s="345" t="s">
        <v>224</v>
      </c>
    </row>
    <row r="3803" spans="1:19" x14ac:dyDescent="0.25">
      <c r="A3803" s="311"/>
      <c r="B3803" s="312"/>
      <c r="C3803" s="312"/>
      <c r="D3803" s="312"/>
      <c r="E3803" s="312"/>
      <c r="F3803" s="312"/>
      <c r="G3803" s="328"/>
      <c r="H3803" s="337"/>
      <c r="I3803" s="334"/>
      <c r="J3803" s="314"/>
      <c r="K3803" s="449"/>
      <c r="M3803" s="349" t="str">
        <f>N3803&amp;AS[[#This Row],[Insurer Code]]&amp;"; "&amp;O3803&amp;AS[[#This Row],[Reporting Year]]&amp;"; "&amp;P3803&amp;AS[[#This Row],[Insurance Category Code]]&amp;"; "&amp;Q3803&amp;AS[[#This Row],[Large Provider Entity Code]]&amp;"; "&amp;R3803&amp;AS[[#This Row],[Age Band Code]]&amp;"; "&amp;S3803&amp;AS[[#This Row],[Sex Code]]</f>
        <v xml:space="preserve">Insurer Code ; Reporting Year ; Insurance Category Code ; Large Provider Entity Code ; Age Band Code ; Sex Code </v>
      </c>
      <c r="N3803" s="345" t="s">
        <v>207</v>
      </c>
      <c r="O3803" s="345" t="s">
        <v>208</v>
      </c>
      <c r="P3803" s="345" t="s">
        <v>209</v>
      </c>
      <c r="Q3803" s="345" t="s">
        <v>210</v>
      </c>
      <c r="R3803" s="345" t="s">
        <v>223</v>
      </c>
      <c r="S3803" s="345" t="s">
        <v>224</v>
      </c>
    </row>
    <row r="3804" spans="1:19" x14ac:dyDescent="0.25">
      <c r="A3804" s="311"/>
      <c r="B3804" s="312"/>
      <c r="C3804" s="312"/>
      <c r="D3804" s="312"/>
      <c r="E3804" s="312"/>
      <c r="F3804" s="312"/>
      <c r="G3804" s="328"/>
      <c r="H3804" s="337"/>
      <c r="I3804" s="334"/>
      <c r="J3804" s="314"/>
      <c r="K3804" s="449"/>
      <c r="M3804" s="349" t="str">
        <f>N3804&amp;AS[[#This Row],[Insurer Code]]&amp;"; "&amp;O3804&amp;AS[[#This Row],[Reporting Year]]&amp;"; "&amp;P3804&amp;AS[[#This Row],[Insurance Category Code]]&amp;"; "&amp;Q3804&amp;AS[[#This Row],[Large Provider Entity Code]]&amp;"; "&amp;R3804&amp;AS[[#This Row],[Age Band Code]]&amp;"; "&amp;S3804&amp;AS[[#This Row],[Sex Code]]</f>
        <v xml:space="preserve">Insurer Code ; Reporting Year ; Insurance Category Code ; Large Provider Entity Code ; Age Band Code ; Sex Code </v>
      </c>
      <c r="N3804" s="345" t="s">
        <v>207</v>
      </c>
      <c r="O3804" s="345" t="s">
        <v>208</v>
      </c>
      <c r="P3804" s="345" t="s">
        <v>209</v>
      </c>
      <c r="Q3804" s="345" t="s">
        <v>210</v>
      </c>
      <c r="R3804" s="345" t="s">
        <v>223</v>
      </c>
      <c r="S3804" s="345" t="s">
        <v>224</v>
      </c>
    </row>
    <row r="3805" spans="1:19" x14ac:dyDescent="0.25">
      <c r="A3805" s="311"/>
      <c r="B3805" s="312"/>
      <c r="C3805" s="312"/>
      <c r="D3805" s="312"/>
      <c r="E3805" s="312"/>
      <c r="F3805" s="312"/>
      <c r="G3805" s="328"/>
      <c r="H3805" s="337"/>
      <c r="I3805" s="334"/>
      <c r="J3805" s="314"/>
      <c r="K3805" s="449"/>
      <c r="M3805" s="349" t="str">
        <f>N3805&amp;AS[[#This Row],[Insurer Code]]&amp;"; "&amp;O3805&amp;AS[[#This Row],[Reporting Year]]&amp;"; "&amp;P3805&amp;AS[[#This Row],[Insurance Category Code]]&amp;"; "&amp;Q3805&amp;AS[[#This Row],[Large Provider Entity Code]]&amp;"; "&amp;R3805&amp;AS[[#This Row],[Age Band Code]]&amp;"; "&amp;S3805&amp;AS[[#This Row],[Sex Code]]</f>
        <v xml:space="preserve">Insurer Code ; Reporting Year ; Insurance Category Code ; Large Provider Entity Code ; Age Band Code ; Sex Code </v>
      </c>
      <c r="N3805" s="345" t="s">
        <v>207</v>
      </c>
      <c r="O3805" s="345" t="s">
        <v>208</v>
      </c>
      <c r="P3805" s="345" t="s">
        <v>209</v>
      </c>
      <c r="Q3805" s="345" t="s">
        <v>210</v>
      </c>
      <c r="R3805" s="345" t="s">
        <v>223</v>
      </c>
      <c r="S3805" s="345" t="s">
        <v>224</v>
      </c>
    </row>
    <row r="3806" spans="1:19" x14ac:dyDescent="0.25">
      <c r="A3806" s="311"/>
      <c r="B3806" s="312"/>
      <c r="C3806" s="312"/>
      <c r="D3806" s="312"/>
      <c r="E3806" s="312"/>
      <c r="F3806" s="312"/>
      <c r="G3806" s="328"/>
      <c r="H3806" s="337"/>
      <c r="I3806" s="334"/>
      <c r="J3806" s="314"/>
      <c r="K3806" s="449"/>
      <c r="M3806" s="349" t="str">
        <f>N3806&amp;AS[[#This Row],[Insurer Code]]&amp;"; "&amp;O3806&amp;AS[[#This Row],[Reporting Year]]&amp;"; "&amp;P3806&amp;AS[[#This Row],[Insurance Category Code]]&amp;"; "&amp;Q3806&amp;AS[[#This Row],[Large Provider Entity Code]]&amp;"; "&amp;R3806&amp;AS[[#This Row],[Age Band Code]]&amp;"; "&amp;S3806&amp;AS[[#This Row],[Sex Code]]</f>
        <v xml:space="preserve">Insurer Code ; Reporting Year ; Insurance Category Code ; Large Provider Entity Code ; Age Band Code ; Sex Code </v>
      </c>
      <c r="N3806" s="345" t="s">
        <v>207</v>
      </c>
      <c r="O3806" s="345" t="s">
        <v>208</v>
      </c>
      <c r="P3806" s="345" t="s">
        <v>209</v>
      </c>
      <c r="Q3806" s="345" t="s">
        <v>210</v>
      </c>
      <c r="R3806" s="345" t="s">
        <v>223</v>
      </c>
      <c r="S3806" s="345" t="s">
        <v>224</v>
      </c>
    </row>
    <row r="3807" spans="1:19" x14ac:dyDescent="0.25">
      <c r="A3807" s="311"/>
      <c r="B3807" s="312"/>
      <c r="C3807" s="312"/>
      <c r="D3807" s="312"/>
      <c r="E3807" s="312"/>
      <c r="F3807" s="312"/>
      <c r="G3807" s="328"/>
      <c r="H3807" s="337"/>
      <c r="I3807" s="334"/>
      <c r="J3807" s="314"/>
      <c r="K3807" s="449"/>
      <c r="M3807" s="349" t="str">
        <f>N3807&amp;AS[[#This Row],[Insurer Code]]&amp;"; "&amp;O3807&amp;AS[[#This Row],[Reporting Year]]&amp;"; "&amp;P3807&amp;AS[[#This Row],[Insurance Category Code]]&amp;"; "&amp;Q3807&amp;AS[[#This Row],[Large Provider Entity Code]]&amp;"; "&amp;R3807&amp;AS[[#This Row],[Age Band Code]]&amp;"; "&amp;S3807&amp;AS[[#This Row],[Sex Code]]</f>
        <v xml:space="preserve">Insurer Code ; Reporting Year ; Insurance Category Code ; Large Provider Entity Code ; Age Band Code ; Sex Code </v>
      </c>
      <c r="N3807" s="345" t="s">
        <v>207</v>
      </c>
      <c r="O3807" s="345" t="s">
        <v>208</v>
      </c>
      <c r="P3807" s="345" t="s">
        <v>209</v>
      </c>
      <c r="Q3807" s="345" t="s">
        <v>210</v>
      </c>
      <c r="R3807" s="345" t="s">
        <v>223</v>
      </c>
      <c r="S3807" s="345" t="s">
        <v>224</v>
      </c>
    </row>
    <row r="3808" spans="1:19" x14ac:dyDescent="0.25">
      <c r="A3808" s="311"/>
      <c r="B3808" s="312"/>
      <c r="C3808" s="312"/>
      <c r="D3808" s="312"/>
      <c r="E3808" s="312"/>
      <c r="F3808" s="312"/>
      <c r="G3808" s="328"/>
      <c r="H3808" s="337"/>
      <c r="I3808" s="334"/>
      <c r="J3808" s="314"/>
      <c r="K3808" s="449"/>
      <c r="M3808" s="349" t="str">
        <f>N3808&amp;AS[[#This Row],[Insurer Code]]&amp;"; "&amp;O3808&amp;AS[[#This Row],[Reporting Year]]&amp;"; "&amp;P3808&amp;AS[[#This Row],[Insurance Category Code]]&amp;"; "&amp;Q3808&amp;AS[[#This Row],[Large Provider Entity Code]]&amp;"; "&amp;R3808&amp;AS[[#This Row],[Age Band Code]]&amp;"; "&amp;S3808&amp;AS[[#This Row],[Sex Code]]</f>
        <v xml:space="preserve">Insurer Code ; Reporting Year ; Insurance Category Code ; Large Provider Entity Code ; Age Band Code ; Sex Code </v>
      </c>
      <c r="N3808" s="345" t="s">
        <v>207</v>
      </c>
      <c r="O3808" s="345" t="s">
        <v>208</v>
      </c>
      <c r="P3808" s="345" t="s">
        <v>209</v>
      </c>
      <c r="Q3808" s="345" t="s">
        <v>210</v>
      </c>
      <c r="R3808" s="345" t="s">
        <v>223</v>
      </c>
      <c r="S3808" s="345" t="s">
        <v>224</v>
      </c>
    </row>
    <row r="3809" spans="1:19" x14ac:dyDescent="0.25">
      <c r="A3809" s="311"/>
      <c r="B3809" s="312"/>
      <c r="C3809" s="312"/>
      <c r="D3809" s="312"/>
      <c r="E3809" s="312"/>
      <c r="F3809" s="312"/>
      <c r="G3809" s="328"/>
      <c r="H3809" s="337"/>
      <c r="I3809" s="334"/>
      <c r="J3809" s="314"/>
      <c r="K3809" s="449"/>
      <c r="M3809" s="349" t="str">
        <f>N3809&amp;AS[[#This Row],[Insurer Code]]&amp;"; "&amp;O3809&amp;AS[[#This Row],[Reporting Year]]&amp;"; "&amp;P3809&amp;AS[[#This Row],[Insurance Category Code]]&amp;"; "&amp;Q3809&amp;AS[[#This Row],[Large Provider Entity Code]]&amp;"; "&amp;R3809&amp;AS[[#This Row],[Age Band Code]]&amp;"; "&amp;S3809&amp;AS[[#This Row],[Sex Code]]</f>
        <v xml:space="preserve">Insurer Code ; Reporting Year ; Insurance Category Code ; Large Provider Entity Code ; Age Band Code ; Sex Code </v>
      </c>
      <c r="N3809" s="345" t="s">
        <v>207</v>
      </c>
      <c r="O3809" s="345" t="s">
        <v>208</v>
      </c>
      <c r="P3809" s="345" t="s">
        <v>209</v>
      </c>
      <c r="Q3809" s="345" t="s">
        <v>210</v>
      </c>
      <c r="R3809" s="345" t="s">
        <v>223</v>
      </c>
      <c r="S3809" s="345" t="s">
        <v>224</v>
      </c>
    </row>
    <row r="3810" spans="1:19" x14ac:dyDescent="0.25">
      <c r="A3810" s="311"/>
      <c r="B3810" s="312"/>
      <c r="C3810" s="312"/>
      <c r="D3810" s="312"/>
      <c r="E3810" s="312"/>
      <c r="F3810" s="312"/>
      <c r="G3810" s="328"/>
      <c r="H3810" s="337"/>
      <c r="I3810" s="334"/>
      <c r="J3810" s="314"/>
      <c r="K3810" s="449"/>
      <c r="M3810" s="349" t="str">
        <f>N3810&amp;AS[[#This Row],[Insurer Code]]&amp;"; "&amp;O3810&amp;AS[[#This Row],[Reporting Year]]&amp;"; "&amp;P3810&amp;AS[[#This Row],[Insurance Category Code]]&amp;"; "&amp;Q3810&amp;AS[[#This Row],[Large Provider Entity Code]]&amp;"; "&amp;R3810&amp;AS[[#This Row],[Age Band Code]]&amp;"; "&amp;S3810&amp;AS[[#This Row],[Sex Code]]</f>
        <v xml:space="preserve">Insurer Code ; Reporting Year ; Insurance Category Code ; Large Provider Entity Code ; Age Band Code ; Sex Code </v>
      </c>
      <c r="N3810" s="345" t="s">
        <v>207</v>
      </c>
      <c r="O3810" s="345" t="s">
        <v>208</v>
      </c>
      <c r="P3810" s="345" t="s">
        <v>209</v>
      </c>
      <c r="Q3810" s="345" t="s">
        <v>210</v>
      </c>
      <c r="R3810" s="345" t="s">
        <v>223</v>
      </c>
      <c r="S3810" s="345" t="s">
        <v>224</v>
      </c>
    </row>
    <row r="3811" spans="1:19" x14ac:dyDescent="0.25">
      <c r="A3811" s="311"/>
      <c r="B3811" s="312"/>
      <c r="C3811" s="312"/>
      <c r="D3811" s="312"/>
      <c r="E3811" s="312"/>
      <c r="F3811" s="312"/>
      <c r="G3811" s="328"/>
      <c r="H3811" s="337"/>
      <c r="I3811" s="334"/>
      <c r="J3811" s="314"/>
      <c r="K3811" s="449"/>
      <c r="M3811" s="349" t="str">
        <f>N3811&amp;AS[[#This Row],[Insurer Code]]&amp;"; "&amp;O3811&amp;AS[[#This Row],[Reporting Year]]&amp;"; "&amp;P3811&amp;AS[[#This Row],[Insurance Category Code]]&amp;"; "&amp;Q3811&amp;AS[[#This Row],[Large Provider Entity Code]]&amp;"; "&amp;R3811&amp;AS[[#This Row],[Age Band Code]]&amp;"; "&amp;S3811&amp;AS[[#This Row],[Sex Code]]</f>
        <v xml:space="preserve">Insurer Code ; Reporting Year ; Insurance Category Code ; Large Provider Entity Code ; Age Band Code ; Sex Code </v>
      </c>
      <c r="N3811" s="345" t="s">
        <v>207</v>
      </c>
      <c r="O3811" s="345" t="s">
        <v>208</v>
      </c>
      <c r="P3811" s="345" t="s">
        <v>209</v>
      </c>
      <c r="Q3811" s="345" t="s">
        <v>210</v>
      </c>
      <c r="R3811" s="345" t="s">
        <v>223</v>
      </c>
      <c r="S3811" s="345" t="s">
        <v>224</v>
      </c>
    </row>
    <row r="3812" spans="1:19" x14ac:dyDescent="0.25">
      <c r="A3812" s="311"/>
      <c r="B3812" s="312"/>
      <c r="C3812" s="312"/>
      <c r="D3812" s="312"/>
      <c r="E3812" s="312"/>
      <c r="F3812" s="312"/>
      <c r="G3812" s="328"/>
      <c r="H3812" s="337"/>
      <c r="I3812" s="334"/>
      <c r="J3812" s="314"/>
      <c r="K3812" s="449"/>
      <c r="M3812" s="349" t="str">
        <f>N3812&amp;AS[[#This Row],[Insurer Code]]&amp;"; "&amp;O3812&amp;AS[[#This Row],[Reporting Year]]&amp;"; "&amp;P3812&amp;AS[[#This Row],[Insurance Category Code]]&amp;"; "&amp;Q3812&amp;AS[[#This Row],[Large Provider Entity Code]]&amp;"; "&amp;R3812&amp;AS[[#This Row],[Age Band Code]]&amp;"; "&amp;S3812&amp;AS[[#This Row],[Sex Code]]</f>
        <v xml:space="preserve">Insurer Code ; Reporting Year ; Insurance Category Code ; Large Provider Entity Code ; Age Band Code ; Sex Code </v>
      </c>
      <c r="N3812" s="345" t="s">
        <v>207</v>
      </c>
      <c r="O3812" s="345" t="s">
        <v>208</v>
      </c>
      <c r="P3812" s="345" t="s">
        <v>209</v>
      </c>
      <c r="Q3812" s="345" t="s">
        <v>210</v>
      </c>
      <c r="R3812" s="345" t="s">
        <v>223</v>
      </c>
      <c r="S3812" s="345" t="s">
        <v>224</v>
      </c>
    </row>
    <row r="3813" spans="1:19" x14ac:dyDescent="0.25">
      <c r="A3813" s="311"/>
      <c r="B3813" s="312"/>
      <c r="C3813" s="312"/>
      <c r="D3813" s="312"/>
      <c r="E3813" s="312"/>
      <c r="F3813" s="312"/>
      <c r="G3813" s="328"/>
      <c r="H3813" s="337"/>
      <c r="I3813" s="334"/>
      <c r="J3813" s="314"/>
      <c r="K3813" s="449"/>
      <c r="M3813" s="349" t="str">
        <f>N3813&amp;AS[[#This Row],[Insurer Code]]&amp;"; "&amp;O3813&amp;AS[[#This Row],[Reporting Year]]&amp;"; "&amp;P3813&amp;AS[[#This Row],[Insurance Category Code]]&amp;"; "&amp;Q3813&amp;AS[[#This Row],[Large Provider Entity Code]]&amp;"; "&amp;R3813&amp;AS[[#This Row],[Age Band Code]]&amp;"; "&amp;S3813&amp;AS[[#This Row],[Sex Code]]</f>
        <v xml:space="preserve">Insurer Code ; Reporting Year ; Insurance Category Code ; Large Provider Entity Code ; Age Band Code ; Sex Code </v>
      </c>
      <c r="N3813" s="345" t="s">
        <v>207</v>
      </c>
      <c r="O3813" s="345" t="s">
        <v>208</v>
      </c>
      <c r="P3813" s="345" t="s">
        <v>209</v>
      </c>
      <c r="Q3813" s="345" t="s">
        <v>210</v>
      </c>
      <c r="R3813" s="345" t="s">
        <v>223</v>
      </c>
      <c r="S3813" s="345" t="s">
        <v>224</v>
      </c>
    </row>
    <row r="3814" spans="1:19" x14ac:dyDescent="0.25">
      <c r="A3814" s="311"/>
      <c r="B3814" s="312"/>
      <c r="C3814" s="312"/>
      <c r="D3814" s="312"/>
      <c r="E3814" s="312"/>
      <c r="F3814" s="312"/>
      <c r="G3814" s="328"/>
      <c r="H3814" s="337"/>
      <c r="I3814" s="334"/>
      <c r="J3814" s="314"/>
      <c r="K3814" s="449"/>
      <c r="M3814" s="349" t="str">
        <f>N3814&amp;AS[[#This Row],[Insurer Code]]&amp;"; "&amp;O3814&amp;AS[[#This Row],[Reporting Year]]&amp;"; "&amp;P3814&amp;AS[[#This Row],[Insurance Category Code]]&amp;"; "&amp;Q3814&amp;AS[[#This Row],[Large Provider Entity Code]]&amp;"; "&amp;R3814&amp;AS[[#This Row],[Age Band Code]]&amp;"; "&amp;S3814&amp;AS[[#This Row],[Sex Code]]</f>
        <v xml:space="preserve">Insurer Code ; Reporting Year ; Insurance Category Code ; Large Provider Entity Code ; Age Band Code ; Sex Code </v>
      </c>
      <c r="N3814" s="345" t="s">
        <v>207</v>
      </c>
      <c r="O3814" s="345" t="s">
        <v>208</v>
      </c>
      <c r="P3814" s="345" t="s">
        <v>209</v>
      </c>
      <c r="Q3814" s="345" t="s">
        <v>210</v>
      </c>
      <c r="R3814" s="345" t="s">
        <v>223</v>
      </c>
      <c r="S3814" s="345" t="s">
        <v>224</v>
      </c>
    </row>
    <row r="3815" spans="1:19" x14ac:dyDescent="0.25">
      <c r="A3815" s="311"/>
      <c r="B3815" s="312"/>
      <c r="C3815" s="312"/>
      <c r="D3815" s="312"/>
      <c r="E3815" s="312"/>
      <c r="F3815" s="312"/>
      <c r="G3815" s="328"/>
      <c r="H3815" s="337"/>
      <c r="I3815" s="334"/>
      <c r="J3815" s="314"/>
      <c r="K3815" s="449"/>
      <c r="M3815" s="349" t="str">
        <f>N3815&amp;AS[[#This Row],[Insurer Code]]&amp;"; "&amp;O3815&amp;AS[[#This Row],[Reporting Year]]&amp;"; "&amp;P3815&amp;AS[[#This Row],[Insurance Category Code]]&amp;"; "&amp;Q3815&amp;AS[[#This Row],[Large Provider Entity Code]]&amp;"; "&amp;R3815&amp;AS[[#This Row],[Age Band Code]]&amp;"; "&amp;S3815&amp;AS[[#This Row],[Sex Code]]</f>
        <v xml:space="preserve">Insurer Code ; Reporting Year ; Insurance Category Code ; Large Provider Entity Code ; Age Band Code ; Sex Code </v>
      </c>
      <c r="N3815" s="345" t="s">
        <v>207</v>
      </c>
      <c r="O3815" s="345" t="s">
        <v>208</v>
      </c>
      <c r="P3815" s="345" t="s">
        <v>209</v>
      </c>
      <c r="Q3815" s="345" t="s">
        <v>210</v>
      </c>
      <c r="R3815" s="345" t="s">
        <v>223</v>
      </c>
      <c r="S3815" s="345" t="s">
        <v>224</v>
      </c>
    </row>
    <row r="3816" spans="1:19" x14ac:dyDescent="0.25">
      <c r="A3816" s="311"/>
      <c r="B3816" s="312"/>
      <c r="C3816" s="312"/>
      <c r="D3816" s="312"/>
      <c r="E3816" s="312"/>
      <c r="F3816" s="312"/>
      <c r="G3816" s="328"/>
      <c r="H3816" s="337"/>
      <c r="I3816" s="334"/>
      <c r="J3816" s="314"/>
      <c r="K3816" s="449"/>
      <c r="M3816" s="349" t="str">
        <f>N3816&amp;AS[[#This Row],[Insurer Code]]&amp;"; "&amp;O3816&amp;AS[[#This Row],[Reporting Year]]&amp;"; "&amp;P3816&amp;AS[[#This Row],[Insurance Category Code]]&amp;"; "&amp;Q3816&amp;AS[[#This Row],[Large Provider Entity Code]]&amp;"; "&amp;R3816&amp;AS[[#This Row],[Age Band Code]]&amp;"; "&amp;S3816&amp;AS[[#This Row],[Sex Code]]</f>
        <v xml:space="preserve">Insurer Code ; Reporting Year ; Insurance Category Code ; Large Provider Entity Code ; Age Band Code ; Sex Code </v>
      </c>
      <c r="N3816" s="345" t="s">
        <v>207</v>
      </c>
      <c r="O3816" s="345" t="s">
        <v>208</v>
      </c>
      <c r="P3816" s="345" t="s">
        <v>209</v>
      </c>
      <c r="Q3816" s="345" t="s">
        <v>210</v>
      </c>
      <c r="R3816" s="345" t="s">
        <v>223</v>
      </c>
      <c r="S3816" s="345" t="s">
        <v>224</v>
      </c>
    </row>
    <row r="3817" spans="1:19" x14ac:dyDescent="0.25">
      <c r="A3817" s="311"/>
      <c r="B3817" s="312"/>
      <c r="C3817" s="312"/>
      <c r="D3817" s="312"/>
      <c r="E3817" s="312"/>
      <c r="F3817" s="312"/>
      <c r="G3817" s="328"/>
      <c r="H3817" s="337"/>
      <c r="I3817" s="334"/>
      <c r="J3817" s="314"/>
      <c r="K3817" s="449"/>
      <c r="M3817" s="349" t="str">
        <f>N3817&amp;AS[[#This Row],[Insurer Code]]&amp;"; "&amp;O3817&amp;AS[[#This Row],[Reporting Year]]&amp;"; "&amp;P3817&amp;AS[[#This Row],[Insurance Category Code]]&amp;"; "&amp;Q3817&amp;AS[[#This Row],[Large Provider Entity Code]]&amp;"; "&amp;R3817&amp;AS[[#This Row],[Age Band Code]]&amp;"; "&amp;S3817&amp;AS[[#This Row],[Sex Code]]</f>
        <v xml:space="preserve">Insurer Code ; Reporting Year ; Insurance Category Code ; Large Provider Entity Code ; Age Band Code ; Sex Code </v>
      </c>
      <c r="N3817" s="345" t="s">
        <v>207</v>
      </c>
      <c r="O3817" s="345" t="s">
        <v>208</v>
      </c>
      <c r="P3817" s="345" t="s">
        <v>209</v>
      </c>
      <c r="Q3817" s="345" t="s">
        <v>210</v>
      </c>
      <c r="R3817" s="345" t="s">
        <v>223</v>
      </c>
      <c r="S3817" s="345" t="s">
        <v>224</v>
      </c>
    </row>
    <row r="3818" spans="1:19" x14ac:dyDescent="0.25">
      <c r="A3818" s="311"/>
      <c r="B3818" s="312"/>
      <c r="C3818" s="312"/>
      <c r="D3818" s="312"/>
      <c r="E3818" s="312"/>
      <c r="F3818" s="312"/>
      <c r="G3818" s="328"/>
      <c r="H3818" s="337"/>
      <c r="I3818" s="334"/>
      <c r="J3818" s="314"/>
      <c r="K3818" s="449"/>
      <c r="M3818" s="349" t="str">
        <f>N3818&amp;AS[[#This Row],[Insurer Code]]&amp;"; "&amp;O3818&amp;AS[[#This Row],[Reporting Year]]&amp;"; "&amp;P3818&amp;AS[[#This Row],[Insurance Category Code]]&amp;"; "&amp;Q3818&amp;AS[[#This Row],[Large Provider Entity Code]]&amp;"; "&amp;R3818&amp;AS[[#This Row],[Age Band Code]]&amp;"; "&amp;S3818&amp;AS[[#This Row],[Sex Code]]</f>
        <v xml:space="preserve">Insurer Code ; Reporting Year ; Insurance Category Code ; Large Provider Entity Code ; Age Band Code ; Sex Code </v>
      </c>
      <c r="N3818" s="345" t="s">
        <v>207</v>
      </c>
      <c r="O3818" s="345" t="s">
        <v>208</v>
      </c>
      <c r="P3818" s="345" t="s">
        <v>209</v>
      </c>
      <c r="Q3818" s="345" t="s">
        <v>210</v>
      </c>
      <c r="R3818" s="345" t="s">
        <v>223</v>
      </c>
      <c r="S3818" s="345" t="s">
        <v>224</v>
      </c>
    </row>
    <row r="3819" spans="1:19" x14ac:dyDescent="0.25">
      <c r="A3819" s="311"/>
      <c r="B3819" s="312"/>
      <c r="C3819" s="312"/>
      <c r="D3819" s="312"/>
      <c r="E3819" s="312"/>
      <c r="F3819" s="312"/>
      <c r="G3819" s="328"/>
      <c r="H3819" s="453"/>
      <c r="I3819" s="334"/>
      <c r="J3819" s="314"/>
      <c r="K3819" s="454"/>
      <c r="M3819" s="349" t="str">
        <f>N3819&amp;AS[[#This Row],[Insurer Code]]&amp;"; "&amp;O3819&amp;AS[[#This Row],[Reporting Year]]&amp;"; "&amp;P3819&amp;AS[[#This Row],[Insurance Category Code]]&amp;"; "&amp;Q3819&amp;AS[[#This Row],[Large Provider Entity Code]]&amp;"; "&amp;R3819&amp;AS[[#This Row],[Age Band Code]]&amp;"; "&amp;S3819&amp;AS[[#This Row],[Sex Code]]</f>
        <v xml:space="preserve">Insurer Code ; Reporting Year ; Insurance Category Code ; Large Provider Entity Code ; Age Band Code ; Sex Code </v>
      </c>
      <c r="N3819" s="345" t="s">
        <v>207</v>
      </c>
      <c r="O3819" s="345" t="s">
        <v>208</v>
      </c>
      <c r="P3819" s="345" t="s">
        <v>209</v>
      </c>
      <c r="Q3819" s="345" t="s">
        <v>210</v>
      </c>
      <c r="R3819" s="345" t="s">
        <v>223</v>
      </c>
      <c r="S3819" s="345" t="s">
        <v>224</v>
      </c>
    </row>
    <row r="3820" spans="1:19" x14ac:dyDescent="0.25">
      <c r="A3820" s="311"/>
      <c r="B3820" s="312"/>
      <c r="C3820" s="312"/>
      <c r="D3820" s="312"/>
      <c r="E3820" s="312"/>
      <c r="F3820" s="312"/>
      <c r="G3820" s="328"/>
      <c r="H3820" s="453"/>
      <c r="I3820" s="334"/>
      <c r="J3820" s="314"/>
      <c r="K3820" s="454"/>
      <c r="M3820" s="349" t="str">
        <f>N3820&amp;AS[[#This Row],[Insurer Code]]&amp;"; "&amp;O3820&amp;AS[[#This Row],[Reporting Year]]&amp;"; "&amp;P3820&amp;AS[[#This Row],[Insurance Category Code]]&amp;"; "&amp;Q3820&amp;AS[[#This Row],[Large Provider Entity Code]]&amp;"; "&amp;R3820&amp;AS[[#This Row],[Age Band Code]]&amp;"; "&amp;S3820&amp;AS[[#This Row],[Sex Code]]</f>
        <v xml:space="preserve">Insurer Code ; Reporting Year ; Insurance Category Code ; Large Provider Entity Code ; Age Band Code ; Sex Code </v>
      </c>
      <c r="N3820" s="345" t="s">
        <v>207</v>
      </c>
      <c r="O3820" s="345" t="s">
        <v>208</v>
      </c>
      <c r="P3820" s="345" t="s">
        <v>209</v>
      </c>
      <c r="Q3820" s="345" t="s">
        <v>210</v>
      </c>
      <c r="R3820" s="345" t="s">
        <v>223</v>
      </c>
      <c r="S3820" s="345" t="s">
        <v>224</v>
      </c>
    </row>
    <row r="3821" spans="1:19" x14ac:dyDescent="0.25">
      <c r="A3821" s="311"/>
      <c r="B3821" s="312"/>
      <c r="C3821" s="312"/>
      <c r="D3821" s="312"/>
      <c r="E3821" s="312"/>
      <c r="F3821" s="312"/>
      <c r="G3821" s="328"/>
      <c r="H3821" s="453"/>
      <c r="I3821" s="334"/>
      <c r="J3821" s="314"/>
      <c r="K3821" s="454"/>
      <c r="M3821" s="349" t="str">
        <f>N3821&amp;AS[[#This Row],[Insurer Code]]&amp;"; "&amp;O3821&amp;AS[[#This Row],[Reporting Year]]&amp;"; "&amp;P3821&amp;AS[[#This Row],[Insurance Category Code]]&amp;"; "&amp;Q3821&amp;AS[[#This Row],[Large Provider Entity Code]]&amp;"; "&amp;R3821&amp;AS[[#This Row],[Age Band Code]]&amp;"; "&amp;S3821&amp;AS[[#This Row],[Sex Code]]</f>
        <v xml:space="preserve">Insurer Code ; Reporting Year ; Insurance Category Code ; Large Provider Entity Code ; Age Band Code ; Sex Code </v>
      </c>
      <c r="N3821" s="345" t="s">
        <v>207</v>
      </c>
      <c r="O3821" s="345" t="s">
        <v>208</v>
      </c>
      <c r="P3821" s="345" t="s">
        <v>209</v>
      </c>
      <c r="Q3821" s="345" t="s">
        <v>210</v>
      </c>
      <c r="R3821" s="345" t="s">
        <v>223</v>
      </c>
      <c r="S3821" s="345" t="s">
        <v>224</v>
      </c>
    </row>
    <row r="3822" spans="1:19" x14ac:dyDescent="0.25">
      <c r="A3822" s="311"/>
      <c r="B3822" s="312"/>
      <c r="C3822" s="312"/>
      <c r="D3822" s="312"/>
      <c r="E3822" s="312"/>
      <c r="F3822" s="312"/>
      <c r="G3822" s="328"/>
      <c r="H3822" s="453"/>
      <c r="I3822" s="334"/>
      <c r="J3822" s="314"/>
      <c r="K3822" s="454"/>
      <c r="M3822" s="349" t="str">
        <f>N3822&amp;AS[[#This Row],[Insurer Code]]&amp;"; "&amp;O3822&amp;AS[[#This Row],[Reporting Year]]&amp;"; "&amp;P3822&amp;AS[[#This Row],[Insurance Category Code]]&amp;"; "&amp;Q3822&amp;AS[[#This Row],[Large Provider Entity Code]]&amp;"; "&amp;R3822&amp;AS[[#This Row],[Age Band Code]]&amp;"; "&amp;S3822&amp;AS[[#This Row],[Sex Code]]</f>
        <v xml:space="preserve">Insurer Code ; Reporting Year ; Insurance Category Code ; Large Provider Entity Code ; Age Band Code ; Sex Code </v>
      </c>
      <c r="N3822" s="345" t="s">
        <v>207</v>
      </c>
      <c r="O3822" s="345" t="s">
        <v>208</v>
      </c>
      <c r="P3822" s="345" t="s">
        <v>209</v>
      </c>
      <c r="Q3822" s="345" t="s">
        <v>210</v>
      </c>
      <c r="R3822" s="345" t="s">
        <v>223</v>
      </c>
      <c r="S3822" s="345" t="s">
        <v>224</v>
      </c>
    </row>
    <row r="3823" spans="1:19" x14ac:dyDescent="0.25">
      <c r="A3823" s="311"/>
      <c r="B3823" s="312"/>
      <c r="C3823" s="312"/>
      <c r="D3823" s="312"/>
      <c r="E3823" s="312"/>
      <c r="F3823" s="312"/>
      <c r="G3823" s="328"/>
      <c r="H3823" s="453"/>
      <c r="I3823" s="334"/>
      <c r="J3823" s="314"/>
      <c r="K3823" s="454"/>
      <c r="M3823" s="349" t="str">
        <f>N3823&amp;AS[[#This Row],[Insurer Code]]&amp;"; "&amp;O3823&amp;AS[[#This Row],[Reporting Year]]&amp;"; "&amp;P3823&amp;AS[[#This Row],[Insurance Category Code]]&amp;"; "&amp;Q3823&amp;AS[[#This Row],[Large Provider Entity Code]]&amp;"; "&amp;R3823&amp;AS[[#This Row],[Age Band Code]]&amp;"; "&amp;S3823&amp;AS[[#This Row],[Sex Code]]</f>
        <v xml:space="preserve">Insurer Code ; Reporting Year ; Insurance Category Code ; Large Provider Entity Code ; Age Band Code ; Sex Code </v>
      </c>
      <c r="N3823" s="345" t="s">
        <v>207</v>
      </c>
      <c r="O3823" s="345" t="s">
        <v>208</v>
      </c>
      <c r="P3823" s="345" t="s">
        <v>209</v>
      </c>
      <c r="Q3823" s="345" t="s">
        <v>210</v>
      </c>
      <c r="R3823" s="345" t="s">
        <v>223</v>
      </c>
      <c r="S3823" s="345" t="s">
        <v>224</v>
      </c>
    </row>
    <row r="3824" spans="1:19" x14ac:dyDescent="0.25">
      <c r="A3824" s="311"/>
      <c r="B3824" s="312"/>
      <c r="C3824" s="312"/>
      <c r="D3824" s="312"/>
      <c r="E3824" s="312"/>
      <c r="F3824" s="312"/>
      <c r="G3824" s="328"/>
      <c r="H3824" s="453"/>
      <c r="I3824" s="334"/>
      <c r="J3824" s="314"/>
      <c r="K3824" s="454"/>
      <c r="M3824" s="349" t="str">
        <f>N3824&amp;AS[[#This Row],[Insurer Code]]&amp;"; "&amp;O3824&amp;AS[[#This Row],[Reporting Year]]&amp;"; "&amp;P3824&amp;AS[[#This Row],[Insurance Category Code]]&amp;"; "&amp;Q3824&amp;AS[[#This Row],[Large Provider Entity Code]]&amp;"; "&amp;R3824&amp;AS[[#This Row],[Age Band Code]]&amp;"; "&amp;S3824&amp;AS[[#This Row],[Sex Code]]</f>
        <v xml:space="preserve">Insurer Code ; Reporting Year ; Insurance Category Code ; Large Provider Entity Code ; Age Band Code ; Sex Code </v>
      </c>
      <c r="N3824" s="345" t="s">
        <v>207</v>
      </c>
      <c r="O3824" s="345" t="s">
        <v>208</v>
      </c>
      <c r="P3824" s="345" t="s">
        <v>209</v>
      </c>
      <c r="Q3824" s="345" t="s">
        <v>210</v>
      </c>
      <c r="R3824" s="345" t="s">
        <v>223</v>
      </c>
      <c r="S3824" s="345" t="s">
        <v>224</v>
      </c>
    </row>
    <row r="3825" spans="1:19" x14ac:dyDescent="0.25">
      <c r="A3825" s="311"/>
      <c r="B3825" s="312"/>
      <c r="C3825" s="312"/>
      <c r="D3825" s="312"/>
      <c r="E3825" s="312"/>
      <c r="F3825" s="312"/>
      <c r="G3825" s="328"/>
      <c r="H3825" s="453"/>
      <c r="I3825" s="334"/>
      <c r="J3825" s="314"/>
      <c r="K3825" s="454"/>
      <c r="M3825" s="349" t="str">
        <f>N3825&amp;AS[[#This Row],[Insurer Code]]&amp;"; "&amp;O3825&amp;AS[[#This Row],[Reporting Year]]&amp;"; "&amp;P3825&amp;AS[[#This Row],[Insurance Category Code]]&amp;"; "&amp;Q3825&amp;AS[[#This Row],[Large Provider Entity Code]]&amp;"; "&amp;R3825&amp;AS[[#This Row],[Age Band Code]]&amp;"; "&amp;S3825&amp;AS[[#This Row],[Sex Code]]</f>
        <v xml:space="preserve">Insurer Code ; Reporting Year ; Insurance Category Code ; Large Provider Entity Code ; Age Band Code ; Sex Code </v>
      </c>
      <c r="N3825" s="345" t="s">
        <v>207</v>
      </c>
      <c r="O3825" s="345" t="s">
        <v>208</v>
      </c>
      <c r="P3825" s="345" t="s">
        <v>209</v>
      </c>
      <c r="Q3825" s="345" t="s">
        <v>210</v>
      </c>
      <c r="R3825" s="345" t="s">
        <v>223</v>
      </c>
      <c r="S3825" s="345" t="s">
        <v>224</v>
      </c>
    </row>
    <row r="3826" spans="1:19" x14ac:dyDescent="0.25">
      <c r="A3826" s="311"/>
      <c r="B3826" s="312"/>
      <c r="C3826" s="312"/>
      <c r="D3826" s="312"/>
      <c r="E3826" s="312"/>
      <c r="F3826" s="312"/>
      <c r="G3826" s="328"/>
      <c r="H3826" s="453"/>
      <c r="I3826" s="334"/>
      <c r="J3826" s="314"/>
      <c r="K3826" s="454"/>
      <c r="M3826" s="349" t="str">
        <f>N3826&amp;AS[[#This Row],[Insurer Code]]&amp;"; "&amp;O3826&amp;AS[[#This Row],[Reporting Year]]&amp;"; "&amp;P3826&amp;AS[[#This Row],[Insurance Category Code]]&amp;"; "&amp;Q3826&amp;AS[[#This Row],[Large Provider Entity Code]]&amp;"; "&amp;R3826&amp;AS[[#This Row],[Age Band Code]]&amp;"; "&amp;S3826&amp;AS[[#This Row],[Sex Code]]</f>
        <v xml:space="preserve">Insurer Code ; Reporting Year ; Insurance Category Code ; Large Provider Entity Code ; Age Band Code ; Sex Code </v>
      </c>
      <c r="N3826" s="345" t="s">
        <v>207</v>
      </c>
      <c r="O3826" s="345" t="s">
        <v>208</v>
      </c>
      <c r="P3826" s="345" t="s">
        <v>209</v>
      </c>
      <c r="Q3826" s="345" t="s">
        <v>210</v>
      </c>
      <c r="R3826" s="345" t="s">
        <v>223</v>
      </c>
      <c r="S3826" s="345" t="s">
        <v>224</v>
      </c>
    </row>
    <row r="3827" spans="1:19" x14ac:dyDescent="0.25">
      <c r="A3827" s="311"/>
      <c r="B3827" s="312"/>
      <c r="C3827" s="312"/>
      <c r="D3827" s="312"/>
      <c r="E3827" s="312"/>
      <c r="F3827" s="312"/>
      <c r="G3827" s="328"/>
      <c r="H3827" s="453"/>
      <c r="I3827" s="334"/>
      <c r="J3827" s="314"/>
      <c r="K3827" s="454"/>
      <c r="M3827" s="349" t="str">
        <f>N3827&amp;AS[[#This Row],[Insurer Code]]&amp;"; "&amp;O3827&amp;AS[[#This Row],[Reporting Year]]&amp;"; "&amp;P3827&amp;AS[[#This Row],[Insurance Category Code]]&amp;"; "&amp;Q3827&amp;AS[[#This Row],[Large Provider Entity Code]]&amp;"; "&amp;R3827&amp;AS[[#This Row],[Age Band Code]]&amp;"; "&amp;S3827&amp;AS[[#This Row],[Sex Code]]</f>
        <v xml:space="preserve">Insurer Code ; Reporting Year ; Insurance Category Code ; Large Provider Entity Code ; Age Band Code ; Sex Code </v>
      </c>
      <c r="N3827" s="345" t="s">
        <v>207</v>
      </c>
      <c r="O3827" s="345" t="s">
        <v>208</v>
      </c>
      <c r="P3827" s="345" t="s">
        <v>209</v>
      </c>
      <c r="Q3827" s="345" t="s">
        <v>210</v>
      </c>
      <c r="R3827" s="345" t="s">
        <v>223</v>
      </c>
      <c r="S3827" s="345" t="s">
        <v>224</v>
      </c>
    </row>
    <row r="3828" spans="1:19" x14ac:dyDescent="0.25">
      <c r="A3828" s="311"/>
      <c r="B3828" s="312"/>
      <c r="C3828" s="312"/>
      <c r="D3828" s="312"/>
      <c r="E3828" s="312"/>
      <c r="F3828" s="312"/>
      <c r="G3828" s="328"/>
      <c r="H3828" s="453"/>
      <c r="I3828" s="334"/>
      <c r="J3828" s="314"/>
      <c r="K3828" s="454"/>
      <c r="M3828" s="349" t="str">
        <f>N3828&amp;AS[[#This Row],[Insurer Code]]&amp;"; "&amp;O3828&amp;AS[[#This Row],[Reporting Year]]&amp;"; "&amp;P3828&amp;AS[[#This Row],[Insurance Category Code]]&amp;"; "&amp;Q3828&amp;AS[[#This Row],[Large Provider Entity Code]]&amp;"; "&amp;R3828&amp;AS[[#This Row],[Age Band Code]]&amp;"; "&amp;S3828&amp;AS[[#This Row],[Sex Code]]</f>
        <v xml:space="preserve">Insurer Code ; Reporting Year ; Insurance Category Code ; Large Provider Entity Code ; Age Band Code ; Sex Code </v>
      </c>
      <c r="N3828" s="345" t="s">
        <v>207</v>
      </c>
      <c r="O3828" s="345" t="s">
        <v>208</v>
      </c>
      <c r="P3828" s="345" t="s">
        <v>209</v>
      </c>
      <c r="Q3828" s="345" t="s">
        <v>210</v>
      </c>
      <c r="R3828" s="345" t="s">
        <v>223</v>
      </c>
      <c r="S3828" s="345" t="s">
        <v>224</v>
      </c>
    </row>
    <row r="3829" spans="1:19" x14ac:dyDescent="0.25">
      <c r="A3829" s="311"/>
      <c r="B3829" s="312"/>
      <c r="C3829" s="312"/>
      <c r="D3829" s="312"/>
      <c r="E3829" s="312"/>
      <c r="F3829" s="312"/>
      <c r="G3829" s="313"/>
      <c r="H3829" s="336"/>
      <c r="I3829" s="334"/>
      <c r="J3829" s="332"/>
      <c r="K3829" s="449"/>
      <c r="M3829" s="349" t="str">
        <f>N3829&amp;AS[[#This Row],[Insurer Code]]&amp;"; "&amp;O3829&amp;AS[[#This Row],[Reporting Year]]&amp;"; "&amp;P3829&amp;AS[[#This Row],[Insurance Category Code]]&amp;"; "&amp;Q3829&amp;AS[[#This Row],[Large Provider Entity Code]]&amp;"; "&amp;R3829&amp;AS[[#This Row],[Age Band Code]]&amp;"; "&amp;S3829&amp;AS[[#This Row],[Sex Code]]</f>
        <v xml:space="preserve">Insurer Code ; Reporting Year ; Insurance Category Code ; Large Provider Entity Code ; Age Band Code ; Sex Code </v>
      </c>
      <c r="N3829" s="345" t="s">
        <v>207</v>
      </c>
      <c r="O3829" s="345" t="s">
        <v>208</v>
      </c>
      <c r="P3829" s="345" t="s">
        <v>209</v>
      </c>
      <c r="Q3829" s="345" t="s">
        <v>210</v>
      </c>
      <c r="R3829" s="345" t="s">
        <v>223</v>
      </c>
      <c r="S3829" s="345" t="s">
        <v>224</v>
      </c>
    </row>
    <row r="3830" spans="1:19" x14ac:dyDescent="0.25">
      <c r="A3830" s="311"/>
      <c r="B3830" s="312"/>
      <c r="C3830" s="312"/>
      <c r="D3830" s="312"/>
      <c r="E3830" s="312"/>
      <c r="F3830" s="312"/>
      <c r="G3830" s="335"/>
      <c r="H3830" s="336"/>
      <c r="I3830" s="334"/>
      <c r="J3830" s="332"/>
      <c r="K3830" s="449"/>
      <c r="M3830" s="349" t="str">
        <f>N3830&amp;AS[[#This Row],[Insurer Code]]&amp;"; "&amp;O3830&amp;AS[[#This Row],[Reporting Year]]&amp;"; "&amp;P3830&amp;AS[[#This Row],[Insurance Category Code]]&amp;"; "&amp;Q3830&amp;AS[[#This Row],[Large Provider Entity Code]]&amp;"; "&amp;R3830&amp;AS[[#This Row],[Age Band Code]]&amp;"; "&amp;S3830&amp;AS[[#This Row],[Sex Code]]</f>
        <v xml:space="preserve">Insurer Code ; Reporting Year ; Insurance Category Code ; Large Provider Entity Code ; Age Band Code ; Sex Code </v>
      </c>
      <c r="N3830" s="345" t="s">
        <v>207</v>
      </c>
      <c r="O3830" s="345" t="s">
        <v>208</v>
      </c>
      <c r="P3830" s="345" t="s">
        <v>209</v>
      </c>
      <c r="Q3830" s="345" t="s">
        <v>210</v>
      </c>
      <c r="R3830" s="345" t="s">
        <v>223</v>
      </c>
      <c r="S3830" s="345" t="s">
        <v>224</v>
      </c>
    </row>
    <row r="3831" spans="1:19" x14ac:dyDescent="0.25">
      <c r="A3831" s="311"/>
      <c r="B3831" s="312"/>
      <c r="C3831" s="312"/>
      <c r="D3831" s="312"/>
      <c r="E3831" s="312"/>
      <c r="F3831" s="312"/>
      <c r="G3831" s="313"/>
      <c r="H3831" s="336"/>
      <c r="I3831" s="334"/>
      <c r="J3831" s="332"/>
      <c r="K3831" s="449"/>
      <c r="M3831" s="349" t="str">
        <f>N3831&amp;AS[[#This Row],[Insurer Code]]&amp;"; "&amp;O3831&amp;AS[[#This Row],[Reporting Year]]&amp;"; "&amp;P3831&amp;AS[[#This Row],[Insurance Category Code]]&amp;"; "&amp;Q3831&amp;AS[[#This Row],[Large Provider Entity Code]]&amp;"; "&amp;R3831&amp;AS[[#This Row],[Age Band Code]]&amp;"; "&amp;S3831&amp;AS[[#This Row],[Sex Code]]</f>
        <v xml:space="preserve">Insurer Code ; Reporting Year ; Insurance Category Code ; Large Provider Entity Code ; Age Band Code ; Sex Code </v>
      </c>
      <c r="N3831" s="345" t="s">
        <v>207</v>
      </c>
      <c r="O3831" s="345" t="s">
        <v>208</v>
      </c>
      <c r="P3831" s="345" t="s">
        <v>209</v>
      </c>
      <c r="Q3831" s="345" t="s">
        <v>210</v>
      </c>
      <c r="R3831" s="345" t="s">
        <v>223</v>
      </c>
      <c r="S3831" s="345" t="s">
        <v>224</v>
      </c>
    </row>
    <row r="3832" spans="1:19" x14ac:dyDescent="0.25">
      <c r="A3832" s="311"/>
      <c r="B3832" s="312"/>
      <c r="C3832" s="312"/>
      <c r="D3832" s="312"/>
      <c r="E3832" s="312"/>
      <c r="F3832" s="312"/>
      <c r="G3832" s="335"/>
      <c r="H3832" s="336"/>
      <c r="I3832" s="334"/>
      <c r="J3832" s="332"/>
      <c r="K3832" s="449"/>
      <c r="M3832" s="349" t="str">
        <f>N3832&amp;AS[[#This Row],[Insurer Code]]&amp;"; "&amp;O3832&amp;AS[[#This Row],[Reporting Year]]&amp;"; "&amp;P3832&amp;AS[[#This Row],[Insurance Category Code]]&amp;"; "&amp;Q3832&amp;AS[[#This Row],[Large Provider Entity Code]]&amp;"; "&amp;R3832&amp;AS[[#This Row],[Age Band Code]]&amp;"; "&amp;S3832&amp;AS[[#This Row],[Sex Code]]</f>
        <v xml:space="preserve">Insurer Code ; Reporting Year ; Insurance Category Code ; Large Provider Entity Code ; Age Band Code ; Sex Code </v>
      </c>
      <c r="N3832" s="345" t="s">
        <v>207</v>
      </c>
      <c r="O3832" s="345" t="s">
        <v>208</v>
      </c>
      <c r="P3832" s="345" t="s">
        <v>209</v>
      </c>
      <c r="Q3832" s="345" t="s">
        <v>210</v>
      </c>
      <c r="R3832" s="345" t="s">
        <v>223</v>
      </c>
      <c r="S3832" s="345" t="s">
        <v>224</v>
      </c>
    </row>
    <row r="3833" spans="1:19" x14ac:dyDescent="0.25">
      <c r="A3833" s="311"/>
      <c r="B3833" s="312"/>
      <c r="C3833" s="312"/>
      <c r="D3833" s="312"/>
      <c r="E3833" s="312"/>
      <c r="F3833" s="312"/>
      <c r="G3833" s="313"/>
      <c r="H3833" s="336"/>
      <c r="I3833" s="334"/>
      <c r="J3833" s="332"/>
      <c r="K3833" s="449"/>
      <c r="M3833" s="349" t="str">
        <f>N3833&amp;AS[[#This Row],[Insurer Code]]&amp;"; "&amp;O3833&amp;AS[[#This Row],[Reporting Year]]&amp;"; "&amp;P3833&amp;AS[[#This Row],[Insurance Category Code]]&amp;"; "&amp;Q3833&amp;AS[[#This Row],[Large Provider Entity Code]]&amp;"; "&amp;R3833&amp;AS[[#This Row],[Age Band Code]]&amp;"; "&amp;S3833&amp;AS[[#This Row],[Sex Code]]</f>
        <v xml:space="preserve">Insurer Code ; Reporting Year ; Insurance Category Code ; Large Provider Entity Code ; Age Band Code ; Sex Code </v>
      </c>
      <c r="N3833" s="345" t="s">
        <v>207</v>
      </c>
      <c r="O3833" s="345" t="s">
        <v>208</v>
      </c>
      <c r="P3833" s="345" t="s">
        <v>209</v>
      </c>
      <c r="Q3833" s="345" t="s">
        <v>210</v>
      </c>
      <c r="R3833" s="345" t="s">
        <v>223</v>
      </c>
      <c r="S3833" s="345" t="s">
        <v>224</v>
      </c>
    </row>
    <row r="3834" spans="1:19" x14ac:dyDescent="0.25">
      <c r="A3834" s="311"/>
      <c r="B3834" s="312"/>
      <c r="C3834" s="312"/>
      <c r="D3834" s="312"/>
      <c r="E3834" s="312"/>
      <c r="F3834" s="312"/>
      <c r="G3834" s="335"/>
      <c r="H3834" s="336"/>
      <c r="I3834" s="334"/>
      <c r="J3834" s="332"/>
      <c r="K3834" s="449"/>
      <c r="M3834" s="349" t="str">
        <f>N3834&amp;AS[[#This Row],[Insurer Code]]&amp;"; "&amp;O3834&amp;AS[[#This Row],[Reporting Year]]&amp;"; "&amp;P3834&amp;AS[[#This Row],[Insurance Category Code]]&amp;"; "&amp;Q3834&amp;AS[[#This Row],[Large Provider Entity Code]]&amp;"; "&amp;R3834&amp;AS[[#This Row],[Age Band Code]]&amp;"; "&amp;S3834&amp;AS[[#This Row],[Sex Code]]</f>
        <v xml:space="preserve">Insurer Code ; Reporting Year ; Insurance Category Code ; Large Provider Entity Code ; Age Band Code ; Sex Code </v>
      </c>
      <c r="N3834" s="345" t="s">
        <v>207</v>
      </c>
      <c r="O3834" s="345" t="s">
        <v>208</v>
      </c>
      <c r="P3834" s="345" t="s">
        <v>209</v>
      </c>
      <c r="Q3834" s="345" t="s">
        <v>210</v>
      </c>
      <c r="R3834" s="345" t="s">
        <v>223</v>
      </c>
      <c r="S3834" s="345" t="s">
        <v>224</v>
      </c>
    </row>
    <row r="3835" spans="1:19" x14ac:dyDescent="0.25">
      <c r="A3835" s="311"/>
      <c r="B3835" s="312"/>
      <c r="C3835" s="312"/>
      <c r="D3835" s="312"/>
      <c r="E3835" s="312"/>
      <c r="F3835" s="312"/>
      <c r="G3835" s="313"/>
      <c r="H3835" s="336"/>
      <c r="I3835" s="334"/>
      <c r="J3835" s="332"/>
      <c r="K3835" s="449"/>
      <c r="M3835" s="349" t="str">
        <f>N3835&amp;AS[[#This Row],[Insurer Code]]&amp;"; "&amp;O3835&amp;AS[[#This Row],[Reporting Year]]&amp;"; "&amp;P3835&amp;AS[[#This Row],[Insurance Category Code]]&amp;"; "&amp;Q3835&amp;AS[[#This Row],[Large Provider Entity Code]]&amp;"; "&amp;R3835&amp;AS[[#This Row],[Age Band Code]]&amp;"; "&amp;S3835&amp;AS[[#This Row],[Sex Code]]</f>
        <v xml:space="preserve">Insurer Code ; Reporting Year ; Insurance Category Code ; Large Provider Entity Code ; Age Band Code ; Sex Code </v>
      </c>
      <c r="N3835" s="345" t="s">
        <v>207</v>
      </c>
      <c r="O3835" s="345" t="s">
        <v>208</v>
      </c>
      <c r="P3835" s="345" t="s">
        <v>209</v>
      </c>
      <c r="Q3835" s="345" t="s">
        <v>210</v>
      </c>
      <c r="R3835" s="345" t="s">
        <v>223</v>
      </c>
      <c r="S3835" s="345" t="s">
        <v>224</v>
      </c>
    </row>
    <row r="3836" spans="1:19" x14ac:dyDescent="0.25">
      <c r="A3836" s="311"/>
      <c r="B3836" s="312"/>
      <c r="C3836" s="312"/>
      <c r="D3836" s="312"/>
      <c r="E3836" s="312"/>
      <c r="F3836" s="312"/>
      <c r="G3836" s="335"/>
      <c r="H3836" s="336"/>
      <c r="I3836" s="334"/>
      <c r="J3836" s="332"/>
      <c r="K3836" s="449"/>
      <c r="M3836" s="349" t="str">
        <f>N3836&amp;AS[[#This Row],[Insurer Code]]&amp;"; "&amp;O3836&amp;AS[[#This Row],[Reporting Year]]&amp;"; "&amp;P3836&amp;AS[[#This Row],[Insurance Category Code]]&amp;"; "&amp;Q3836&amp;AS[[#This Row],[Large Provider Entity Code]]&amp;"; "&amp;R3836&amp;AS[[#This Row],[Age Band Code]]&amp;"; "&amp;S3836&amp;AS[[#This Row],[Sex Code]]</f>
        <v xml:space="preserve">Insurer Code ; Reporting Year ; Insurance Category Code ; Large Provider Entity Code ; Age Band Code ; Sex Code </v>
      </c>
      <c r="N3836" s="345" t="s">
        <v>207</v>
      </c>
      <c r="O3836" s="345" t="s">
        <v>208</v>
      </c>
      <c r="P3836" s="345" t="s">
        <v>209</v>
      </c>
      <c r="Q3836" s="345" t="s">
        <v>210</v>
      </c>
      <c r="R3836" s="345" t="s">
        <v>223</v>
      </c>
      <c r="S3836" s="345" t="s">
        <v>224</v>
      </c>
    </row>
    <row r="3837" spans="1:19" x14ac:dyDescent="0.25">
      <c r="A3837" s="311"/>
      <c r="B3837" s="312"/>
      <c r="C3837" s="312"/>
      <c r="D3837" s="312"/>
      <c r="E3837" s="312"/>
      <c r="F3837" s="312"/>
      <c r="G3837" s="335"/>
      <c r="H3837" s="336"/>
      <c r="I3837" s="334"/>
      <c r="J3837" s="332"/>
      <c r="K3837" s="449"/>
      <c r="M3837" s="349" t="str">
        <f>N3837&amp;AS[[#This Row],[Insurer Code]]&amp;"; "&amp;O3837&amp;AS[[#This Row],[Reporting Year]]&amp;"; "&amp;P3837&amp;AS[[#This Row],[Insurance Category Code]]&amp;"; "&amp;Q3837&amp;AS[[#This Row],[Large Provider Entity Code]]&amp;"; "&amp;R3837&amp;AS[[#This Row],[Age Band Code]]&amp;"; "&amp;S3837&amp;AS[[#This Row],[Sex Code]]</f>
        <v xml:space="preserve">Insurer Code ; Reporting Year ; Insurance Category Code ; Large Provider Entity Code ; Age Band Code ; Sex Code </v>
      </c>
      <c r="N3837" s="345" t="s">
        <v>207</v>
      </c>
      <c r="O3837" s="345" t="s">
        <v>208</v>
      </c>
      <c r="P3837" s="345" t="s">
        <v>209</v>
      </c>
      <c r="Q3837" s="345" t="s">
        <v>210</v>
      </c>
      <c r="R3837" s="345" t="s">
        <v>223</v>
      </c>
      <c r="S3837" s="345" t="s">
        <v>224</v>
      </c>
    </row>
    <row r="3838" spans="1:19" x14ac:dyDescent="0.25">
      <c r="A3838" s="311"/>
      <c r="B3838" s="312"/>
      <c r="C3838" s="312"/>
      <c r="D3838" s="312"/>
      <c r="E3838" s="312"/>
      <c r="F3838" s="312"/>
      <c r="G3838" s="313"/>
      <c r="H3838" s="336"/>
      <c r="I3838" s="334"/>
      <c r="J3838" s="332"/>
      <c r="K3838" s="449"/>
      <c r="M3838" s="349" t="str">
        <f>N3838&amp;AS[[#This Row],[Insurer Code]]&amp;"; "&amp;O3838&amp;AS[[#This Row],[Reporting Year]]&amp;"; "&amp;P3838&amp;AS[[#This Row],[Insurance Category Code]]&amp;"; "&amp;Q3838&amp;AS[[#This Row],[Large Provider Entity Code]]&amp;"; "&amp;R3838&amp;AS[[#This Row],[Age Band Code]]&amp;"; "&amp;S3838&amp;AS[[#This Row],[Sex Code]]</f>
        <v xml:space="preserve">Insurer Code ; Reporting Year ; Insurance Category Code ; Large Provider Entity Code ; Age Band Code ; Sex Code </v>
      </c>
      <c r="N3838" s="345" t="s">
        <v>207</v>
      </c>
      <c r="O3838" s="345" t="s">
        <v>208</v>
      </c>
      <c r="P3838" s="345" t="s">
        <v>209</v>
      </c>
      <c r="Q3838" s="345" t="s">
        <v>210</v>
      </c>
      <c r="R3838" s="345" t="s">
        <v>223</v>
      </c>
      <c r="S3838" s="345" t="s">
        <v>224</v>
      </c>
    </row>
    <row r="3839" spans="1:19" x14ac:dyDescent="0.25">
      <c r="A3839" s="311"/>
      <c r="B3839" s="312"/>
      <c r="C3839" s="312"/>
      <c r="D3839" s="312"/>
      <c r="E3839" s="312"/>
      <c r="F3839" s="312"/>
      <c r="G3839" s="335"/>
      <c r="H3839" s="336"/>
      <c r="I3839" s="334"/>
      <c r="J3839" s="332"/>
      <c r="K3839" s="449"/>
      <c r="M3839" s="349" t="str">
        <f>N3839&amp;AS[[#This Row],[Insurer Code]]&amp;"; "&amp;O3839&amp;AS[[#This Row],[Reporting Year]]&amp;"; "&amp;P3839&amp;AS[[#This Row],[Insurance Category Code]]&amp;"; "&amp;Q3839&amp;AS[[#This Row],[Large Provider Entity Code]]&amp;"; "&amp;R3839&amp;AS[[#This Row],[Age Band Code]]&amp;"; "&amp;S3839&amp;AS[[#This Row],[Sex Code]]</f>
        <v xml:space="preserve">Insurer Code ; Reporting Year ; Insurance Category Code ; Large Provider Entity Code ; Age Band Code ; Sex Code </v>
      </c>
      <c r="N3839" s="345" t="s">
        <v>207</v>
      </c>
      <c r="O3839" s="345" t="s">
        <v>208</v>
      </c>
      <c r="P3839" s="345" t="s">
        <v>209</v>
      </c>
      <c r="Q3839" s="345" t="s">
        <v>210</v>
      </c>
      <c r="R3839" s="345" t="s">
        <v>223</v>
      </c>
      <c r="S3839" s="345" t="s">
        <v>224</v>
      </c>
    </row>
    <row r="3840" spans="1:19" x14ac:dyDescent="0.25">
      <c r="A3840" s="311"/>
      <c r="B3840" s="312"/>
      <c r="C3840" s="312"/>
      <c r="D3840" s="312"/>
      <c r="E3840" s="312"/>
      <c r="F3840" s="312"/>
      <c r="G3840" s="313"/>
      <c r="H3840" s="336"/>
      <c r="I3840" s="334"/>
      <c r="J3840" s="332"/>
      <c r="K3840" s="449"/>
      <c r="M3840" s="349" t="str">
        <f>N3840&amp;AS[[#This Row],[Insurer Code]]&amp;"; "&amp;O3840&amp;AS[[#This Row],[Reporting Year]]&amp;"; "&amp;P3840&amp;AS[[#This Row],[Insurance Category Code]]&amp;"; "&amp;Q3840&amp;AS[[#This Row],[Large Provider Entity Code]]&amp;"; "&amp;R3840&amp;AS[[#This Row],[Age Band Code]]&amp;"; "&amp;S3840&amp;AS[[#This Row],[Sex Code]]</f>
        <v xml:space="preserve">Insurer Code ; Reporting Year ; Insurance Category Code ; Large Provider Entity Code ; Age Band Code ; Sex Code </v>
      </c>
      <c r="N3840" s="345" t="s">
        <v>207</v>
      </c>
      <c r="O3840" s="345" t="s">
        <v>208</v>
      </c>
      <c r="P3840" s="345" t="s">
        <v>209</v>
      </c>
      <c r="Q3840" s="345" t="s">
        <v>210</v>
      </c>
      <c r="R3840" s="345" t="s">
        <v>223</v>
      </c>
      <c r="S3840" s="345" t="s">
        <v>224</v>
      </c>
    </row>
    <row r="3841" spans="1:19" x14ac:dyDescent="0.25">
      <c r="A3841" s="311"/>
      <c r="B3841" s="312"/>
      <c r="C3841" s="312"/>
      <c r="D3841" s="312"/>
      <c r="E3841" s="312"/>
      <c r="F3841" s="312"/>
      <c r="G3841" s="328"/>
      <c r="H3841" s="337"/>
      <c r="I3841" s="334"/>
      <c r="J3841" s="314"/>
      <c r="K3841" s="449"/>
      <c r="M3841" s="349" t="str">
        <f>N3841&amp;AS[[#This Row],[Insurer Code]]&amp;"; "&amp;O3841&amp;AS[[#This Row],[Reporting Year]]&amp;"; "&amp;P3841&amp;AS[[#This Row],[Insurance Category Code]]&amp;"; "&amp;Q3841&amp;AS[[#This Row],[Large Provider Entity Code]]&amp;"; "&amp;R3841&amp;AS[[#This Row],[Age Band Code]]&amp;"; "&amp;S3841&amp;AS[[#This Row],[Sex Code]]</f>
        <v xml:space="preserve">Insurer Code ; Reporting Year ; Insurance Category Code ; Large Provider Entity Code ; Age Band Code ; Sex Code </v>
      </c>
      <c r="N3841" s="345" t="s">
        <v>207</v>
      </c>
      <c r="O3841" s="345" t="s">
        <v>208</v>
      </c>
      <c r="P3841" s="345" t="s">
        <v>209</v>
      </c>
      <c r="Q3841" s="345" t="s">
        <v>210</v>
      </c>
      <c r="R3841" s="345" t="s">
        <v>223</v>
      </c>
      <c r="S3841" s="345" t="s">
        <v>224</v>
      </c>
    </row>
    <row r="3842" spans="1:19" x14ac:dyDescent="0.25">
      <c r="A3842" s="311"/>
      <c r="B3842" s="312"/>
      <c r="C3842" s="312"/>
      <c r="D3842" s="312"/>
      <c r="E3842" s="312"/>
      <c r="F3842" s="312"/>
      <c r="G3842" s="328"/>
      <c r="H3842" s="337"/>
      <c r="I3842" s="334"/>
      <c r="J3842" s="314"/>
      <c r="K3842" s="449"/>
      <c r="M3842" s="349" t="str">
        <f>N3842&amp;AS[[#This Row],[Insurer Code]]&amp;"; "&amp;O3842&amp;AS[[#This Row],[Reporting Year]]&amp;"; "&amp;P3842&amp;AS[[#This Row],[Insurance Category Code]]&amp;"; "&amp;Q3842&amp;AS[[#This Row],[Large Provider Entity Code]]&amp;"; "&amp;R3842&amp;AS[[#This Row],[Age Band Code]]&amp;"; "&amp;S3842&amp;AS[[#This Row],[Sex Code]]</f>
        <v xml:space="preserve">Insurer Code ; Reporting Year ; Insurance Category Code ; Large Provider Entity Code ; Age Band Code ; Sex Code </v>
      </c>
      <c r="N3842" s="345" t="s">
        <v>207</v>
      </c>
      <c r="O3842" s="345" t="s">
        <v>208</v>
      </c>
      <c r="P3842" s="345" t="s">
        <v>209</v>
      </c>
      <c r="Q3842" s="345" t="s">
        <v>210</v>
      </c>
      <c r="R3842" s="345" t="s">
        <v>223</v>
      </c>
      <c r="S3842" s="345" t="s">
        <v>224</v>
      </c>
    </row>
    <row r="3843" spans="1:19" x14ac:dyDescent="0.25">
      <c r="A3843" s="311"/>
      <c r="B3843" s="312"/>
      <c r="C3843" s="312"/>
      <c r="D3843" s="312"/>
      <c r="E3843" s="312"/>
      <c r="F3843" s="312"/>
      <c r="G3843" s="328"/>
      <c r="H3843" s="337"/>
      <c r="I3843" s="334"/>
      <c r="J3843" s="314"/>
      <c r="K3843" s="449"/>
      <c r="M3843" s="349" t="str">
        <f>N3843&amp;AS[[#This Row],[Insurer Code]]&amp;"; "&amp;O3843&amp;AS[[#This Row],[Reporting Year]]&amp;"; "&amp;P3843&amp;AS[[#This Row],[Insurance Category Code]]&amp;"; "&amp;Q3843&amp;AS[[#This Row],[Large Provider Entity Code]]&amp;"; "&amp;R3843&amp;AS[[#This Row],[Age Band Code]]&amp;"; "&amp;S3843&amp;AS[[#This Row],[Sex Code]]</f>
        <v xml:space="preserve">Insurer Code ; Reporting Year ; Insurance Category Code ; Large Provider Entity Code ; Age Band Code ; Sex Code </v>
      </c>
      <c r="N3843" s="345" t="s">
        <v>207</v>
      </c>
      <c r="O3843" s="345" t="s">
        <v>208</v>
      </c>
      <c r="P3843" s="345" t="s">
        <v>209</v>
      </c>
      <c r="Q3843" s="345" t="s">
        <v>210</v>
      </c>
      <c r="R3843" s="345" t="s">
        <v>223</v>
      </c>
      <c r="S3843" s="345" t="s">
        <v>224</v>
      </c>
    </row>
    <row r="3844" spans="1:19" x14ac:dyDescent="0.25">
      <c r="A3844" s="311"/>
      <c r="B3844" s="312"/>
      <c r="C3844" s="312"/>
      <c r="D3844" s="312"/>
      <c r="E3844" s="312"/>
      <c r="F3844" s="312"/>
      <c r="G3844" s="328"/>
      <c r="H3844" s="337"/>
      <c r="I3844" s="334"/>
      <c r="J3844" s="314"/>
      <c r="K3844" s="449"/>
      <c r="M3844" s="349" t="str">
        <f>N3844&amp;AS[[#This Row],[Insurer Code]]&amp;"; "&amp;O3844&amp;AS[[#This Row],[Reporting Year]]&amp;"; "&amp;P3844&amp;AS[[#This Row],[Insurance Category Code]]&amp;"; "&amp;Q3844&amp;AS[[#This Row],[Large Provider Entity Code]]&amp;"; "&amp;R3844&amp;AS[[#This Row],[Age Band Code]]&amp;"; "&amp;S3844&amp;AS[[#This Row],[Sex Code]]</f>
        <v xml:space="preserve">Insurer Code ; Reporting Year ; Insurance Category Code ; Large Provider Entity Code ; Age Band Code ; Sex Code </v>
      </c>
      <c r="N3844" s="345" t="s">
        <v>207</v>
      </c>
      <c r="O3844" s="345" t="s">
        <v>208</v>
      </c>
      <c r="P3844" s="345" t="s">
        <v>209</v>
      </c>
      <c r="Q3844" s="345" t="s">
        <v>210</v>
      </c>
      <c r="R3844" s="345" t="s">
        <v>223</v>
      </c>
      <c r="S3844" s="345" t="s">
        <v>224</v>
      </c>
    </row>
    <row r="3845" spans="1:19" x14ac:dyDescent="0.25">
      <c r="A3845" s="311"/>
      <c r="B3845" s="312"/>
      <c r="C3845" s="312"/>
      <c r="D3845" s="312"/>
      <c r="E3845" s="312"/>
      <c r="F3845" s="312"/>
      <c r="G3845" s="328"/>
      <c r="H3845" s="337"/>
      <c r="I3845" s="334"/>
      <c r="J3845" s="314"/>
      <c r="K3845" s="449"/>
      <c r="M3845" s="349" t="str">
        <f>N3845&amp;AS[[#This Row],[Insurer Code]]&amp;"; "&amp;O3845&amp;AS[[#This Row],[Reporting Year]]&amp;"; "&amp;P3845&amp;AS[[#This Row],[Insurance Category Code]]&amp;"; "&amp;Q3845&amp;AS[[#This Row],[Large Provider Entity Code]]&amp;"; "&amp;R3845&amp;AS[[#This Row],[Age Band Code]]&amp;"; "&amp;S3845&amp;AS[[#This Row],[Sex Code]]</f>
        <v xml:space="preserve">Insurer Code ; Reporting Year ; Insurance Category Code ; Large Provider Entity Code ; Age Band Code ; Sex Code </v>
      </c>
      <c r="N3845" s="345" t="s">
        <v>207</v>
      </c>
      <c r="O3845" s="345" t="s">
        <v>208</v>
      </c>
      <c r="P3845" s="345" t="s">
        <v>209</v>
      </c>
      <c r="Q3845" s="345" t="s">
        <v>210</v>
      </c>
      <c r="R3845" s="345" t="s">
        <v>223</v>
      </c>
      <c r="S3845" s="345" t="s">
        <v>224</v>
      </c>
    </row>
    <row r="3846" spans="1:19" x14ac:dyDescent="0.25">
      <c r="A3846" s="311"/>
      <c r="B3846" s="312"/>
      <c r="C3846" s="312"/>
      <c r="D3846" s="312"/>
      <c r="E3846" s="312"/>
      <c r="F3846" s="312"/>
      <c r="G3846" s="328"/>
      <c r="H3846" s="337"/>
      <c r="I3846" s="334"/>
      <c r="J3846" s="314"/>
      <c r="K3846" s="449"/>
      <c r="M3846" s="349" t="str">
        <f>N3846&amp;AS[[#This Row],[Insurer Code]]&amp;"; "&amp;O3846&amp;AS[[#This Row],[Reporting Year]]&amp;"; "&amp;P3846&amp;AS[[#This Row],[Insurance Category Code]]&amp;"; "&amp;Q3846&amp;AS[[#This Row],[Large Provider Entity Code]]&amp;"; "&amp;R3846&amp;AS[[#This Row],[Age Band Code]]&amp;"; "&amp;S3846&amp;AS[[#This Row],[Sex Code]]</f>
        <v xml:space="preserve">Insurer Code ; Reporting Year ; Insurance Category Code ; Large Provider Entity Code ; Age Band Code ; Sex Code </v>
      </c>
      <c r="N3846" s="345" t="s">
        <v>207</v>
      </c>
      <c r="O3846" s="345" t="s">
        <v>208</v>
      </c>
      <c r="P3846" s="345" t="s">
        <v>209</v>
      </c>
      <c r="Q3846" s="345" t="s">
        <v>210</v>
      </c>
      <c r="R3846" s="345" t="s">
        <v>223</v>
      </c>
      <c r="S3846" s="345" t="s">
        <v>224</v>
      </c>
    </row>
    <row r="3847" spans="1:19" x14ac:dyDescent="0.25">
      <c r="A3847" s="311"/>
      <c r="B3847" s="312"/>
      <c r="C3847" s="312"/>
      <c r="D3847" s="312"/>
      <c r="E3847" s="312"/>
      <c r="F3847" s="312"/>
      <c r="G3847" s="328"/>
      <c r="H3847" s="337"/>
      <c r="I3847" s="334"/>
      <c r="J3847" s="314"/>
      <c r="K3847" s="449"/>
      <c r="M3847" s="349" t="str">
        <f>N3847&amp;AS[[#This Row],[Insurer Code]]&amp;"; "&amp;O3847&amp;AS[[#This Row],[Reporting Year]]&amp;"; "&amp;P3847&amp;AS[[#This Row],[Insurance Category Code]]&amp;"; "&amp;Q3847&amp;AS[[#This Row],[Large Provider Entity Code]]&amp;"; "&amp;R3847&amp;AS[[#This Row],[Age Band Code]]&amp;"; "&amp;S3847&amp;AS[[#This Row],[Sex Code]]</f>
        <v xml:space="preserve">Insurer Code ; Reporting Year ; Insurance Category Code ; Large Provider Entity Code ; Age Band Code ; Sex Code </v>
      </c>
      <c r="N3847" s="345" t="s">
        <v>207</v>
      </c>
      <c r="O3847" s="345" t="s">
        <v>208</v>
      </c>
      <c r="P3847" s="345" t="s">
        <v>209</v>
      </c>
      <c r="Q3847" s="345" t="s">
        <v>210</v>
      </c>
      <c r="R3847" s="345" t="s">
        <v>223</v>
      </c>
      <c r="S3847" s="345" t="s">
        <v>224</v>
      </c>
    </row>
    <row r="3848" spans="1:19" x14ac:dyDescent="0.25">
      <c r="A3848" s="311"/>
      <c r="B3848" s="312"/>
      <c r="C3848" s="312"/>
      <c r="D3848" s="312"/>
      <c r="E3848" s="312"/>
      <c r="F3848" s="312"/>
      <c r="G3848" s="328"/>
      <c r="H3848" s="337"/>
      <c r="I3848" s="334"/>
      <c r="J3848" s="314"/>
      <c r="K3848" s="449"/>
      <c r="M3848" s="349" t="str">
        <f>N3848&amp;AS[[#This Row],[Insurer Code]]&amp;"; "&amp;O3848&amp;AS[[#This Row],[Reporting Year]]&amp;"; "&amp;P3848&amp;AS[[#This Row],[Insurance Category Code]]&amp;"; "&amp;Q3848&amp;AS[[#This Row],[Large Provider Entity Code]]&amp;"; "&amp;R3848&amp;AS[[#This Row],[Age Band Code]]&amp;"; "&amp;S3848&amp;AS[[#This Row],[Sex Code]]</f>
        <v xml:space="preserve">Insurer Code ; Reporting Year ; Insurance Category Code ; Large Provider Entity Code ; Age Band Code ; Sex Code </v>
      </c>
      <c r="N3848" s="345" t="s">
        <v>207</v>
      </c>
      <c r="O3848" s="345" t="s">
        <v>208</v>
      </c>
      <c r="P3848" s="345" t="s">
        <v>209</v>
      </c>
      <c r="Q3848" s="345" t="s">
        <v>210</v>
      </c>
      <c r="R3848" s="345" t="s">
        <v>223</v>
      </c>
      <c r="S3848" s="345" t="s">
        <v>224</v>
      </c>
    </row>
    <row r="3849" spans="1:19" x14ac:dyDescent="0.25">
      <c r="A3849" s="311"/>
      <c r="B3849" s="312"/>
      <c r="C3849" s="312"/>
      <c r="D3849" s="312"/>
      <c r="E3849" s="312"/>
      <c r="F3849" s="312"/>
      <c r="G3849" s="328"/>
      <c r="H3849" s="337"/>
      <c r="I3849" s="334"/>
      <c r="J3849" s="314"/>
      <c r="K3849" s="449"/>
      <c r="M3849" s="349" t="str">
        <f>N3849&amp;AS[[#This Row],[Insurer Code]]&amp;"; "&amp;O3849&amp;AS[[#This Row],[Reporting Year]]&amp;"; "&amp;P3849&amp;AS[[#This Row],[Insurance Category Code]]&amp;"; "&amp;Q3849&amp;AS[[#This Row],[Large Provider Entity Code]]&amp;"; "&amp;R3849&amp;AS[[#This Row],[Age Band Code]]&amp;"; "&amp;S3849&amp;AS[[#This Row],[Sex Code]]</f>
        <v xml:space="preserve">Insurer Code ; Reporting Year ; Insurance Category Code ; Large Provider Entity Code ; Age Band Code ; Sex Code </v>
      </c>
      <c r="N3849" s="345" t="s">
        <v>207</v>
      </c>
      <c r="O3849" s="345" t="s">
        <v>208</v>
      </c>
      <c r="P3849" s="345" t="s">
        <v>209</v>
      </c>
      <c r="Q3849" s="345" t="s">
        <v>210</v>
      </c>
      <c r="R3849" s="345" t="s">
        <v>223</v>
      </c>
      <c r="S3849" s="345" t="s">
        <v>224</v>
      </c>
    </row>
    <row r="3850" spans="1:19" x14ac:dyDescent="0.25">
      <c r="A3850" s="311"/>
      <c r="B3850" s="312"/>
      <c r="C3850" s="312"/>
      <c r="D3850" s="312"/>
      <c r="E3850" s="312"/>
      <c r="F3850" s="312"/>
      <c r="G3850" s="328"/>
      <c r="H3850" s="337"/>
      <c r="I3850" s="334"/>
      <c r="J3850" s="314"/>
      <c r="K3850" s="449"/>
      <c r="M3850" s="349" t="str">
        <f>N3850&amp;AS[[#This Row],[Insurer Code]]&amp;"; "&amp;O3850&amp;AS[[#This Row],[Reporting Year]]&amp;"; "&amp;P3850&amp;AS[[#This Row],[Insurance Category Code]]&amp;"; "&amp;Q3850&amp;AS[[#This Row],[Large Provider Entity Code]]&amp;"; "&amp;R3850&amp;AS[[#This Row],[Age Band Code]]&amp;"; "&amp;S3850&amp;AS[[#This Row],[Sex Code]]</f>
        <v xml:space="preserve">Insurer Code ; Reporting Year ; Insurance Category Code ; Large Provider Entity Code ; Age Band Code ; Sex Code </v>
      </c>
      <c r="N3850" s="345" t="s">
        <v>207</v>
      </c>
      <c r="O3850" s="345" t="s">
        <v>208</v>
      </c>
      <c r="P3850" s="345" t="s">
        <v>209</v>
      </c>
      <c r="Q3850" s="345" t="s">
        <v>210</v>
      </c>
      <c r="R3850" s="345" t="s">
        <v>223</v>
      </c>
      <c r="S3850" s="345" t="s">
        <v>224</v>
      </c>
    </row>
    <row r="3851" spans="1:19" x14ac:dyDescent="0.25">
      <c r="A3851" s="311"/>
      <c r="B3851" s="312"/>
      <c r="C3851" s="312"/>
      <c r="D3851" s="312"/>
      <c r="E3851" s="312"/>
      <c r="F3851" s="312"/>
      <c r="G3851" s="328"/>
      <c r="H3851" s="337"/>
      <c r="I3851" s="334"/>
      <c r="J3851" s="314"/>
      <c r="K3851" s="449"/>
      <c r="M3851" s="349" t="str">
        <f>N3851&amp;AS[[#This Row],[Insurer Code]]&amp;"; "&amp;O3851&amp;AS[[#This Row],[Reporting Year]]&amp;"; "&amp;P3851&amp;AS[[#This Row],[Insurance Category Code]]&amp;"; "&amp;Q3851&amp;AS[[#This Row],[Large Provider Entity Code]]&amp;"; "&amp;R3851&amp;AS[[#This Row],[Age Band Code]]&amp;"; "&amp;S3851&amp;AS[[#This Row],[Sex Code]]</f>
        <v xml:space="preserve">Insurer Code ; Reporting Year ; Insurance Category Code ; Large Provider Entity Code ; Age Band Code ; Sex Code </v>
      </c>
      <c r="N3851" s="345" t="s">
        <v>207</v>
      </c>
      <c r="O3851" s="345" t="s">
        <v>208</v>
      </c>
      <c r="P3851" s="345" t="s">
        <v>209</v>
      </c>
      <c r="Q3851" s="345" t="s">
        <v>210</v>
      </c>
      <c r="R3851" s="345" t="s">
        <v>223</v>
      </c>
      <c r="S3851" s="345" t="s">
        <v>224</v>
      </c>
    </row>
    <row r="3852" spans="1:19" x14ac:dyDescent="0.25">
      <c r="A3852" s="311"/>
      <c r="B3852" s="312"/>
      <c r="C3852" s="312"/>
      <c r="D3852" s="312"/>
      <c r="E3852" s="312"/>
      <c r="F3852" s="312"/>
      <c r="G3852" s="328"/>
      <c r="H3852" s="337"/>
      <c r="I3852" s="334"/>
      <c r="J3852" s="314"/>
      <c r="K3852" s="449"/>
      <c r="M3852" s="349" t="str">
        <f>N3852&amp;AS[[#This Row],[Insurer Code]]&amp;"; "&amp;O3852&amp;AS[[#This Row],[Reporting Year]]&amp;"; "&amp;P3852&amp;AS[[#This Row],[Insurance Category Code]]&amp;"; "&amp;Q3852&amp;AS[[#This Row],[Large Provider Entity Code]]&amp;"; "&amp;R3852&amp;AS[[#This Row],[Age Band Code]]&amp;"; "&amp;S3852&amp;AS[[#This Row],[Sex Code]]</f>
        <v xml:space="preserve">Insurer Code ; Reporting Year ; Insurance Category Code ; Large Provider Entity Code ; Age Band Code ; Sex Code </v>
      </c>
      <c r="N3852" s="345" t="s">
        <v>207</v>
      </c>
      <c r="O3852" s="345" t="s">
        <v>208</v>
      </c>
      <c r="P3852" s="345" t="s">
        <v>209</v>
      </c>
      <c r="Q3852" s="345" t="s">
        <v>210</v>
      </c>
      <c r="R3852" s="345" t="s">
        <v>223</v>
      </c>
      <c r="S3852" s="345" t="s">
        <v>224</v>
      </c>
    </row>
    <row r="3853" spans="1:19" x14ac:dyDescent="0.25">
      <c r="A3853" s="311"/>
      <c r="B3853" s="312"/>
      <c r="C3853" s="312"/>
      <c r="D3853" s="312"/>
      <c r="E3853" s="312"/>
      <c r="F3853" s="312"/>
      <c r="G3853" s="328"/>
      <c r="H3853" s="337"/>
      <c r="I3853" s="334"/>
      <c r="J3853" s="314"/>
      <c r="K3853" s="449"/>
      <c r="M3853" s="349" t="str">
        <f>N3853&amp;AS[[#This Row],[Insurer Code]]&amp;"; "&amp;O3853&amp;AS[[#This Row],[Reporting Year]]&amp;"; "&amp;P3853&amp;AS[[#This Row],[Insurance Category Code]]&amp;"; "&amp;Q3853&amp;AS[[#This Row],[Large Provider Entity Code]]&amp;"; "&amp;R3853&amp;AS[[#This Row],[Age Band Code]]&amp;"; "&amp;S3853&amp;AS[[#This Row],[Sex Code]]</f>
        <v xml:space="preserve">Insurer Code ; Reporting Year ; Insurance Category Code ; Large Provider Entity Code ; Age Band Code ; Sex Code </v>
      </c>
      <c r="N3853" s="345" t="s">
        <v>207</v>
      </c>
      <c r="O3853" s="345" t="s">
        <v>208</v>
      </c>
      <c r="P3853" s="345" t="s">
        <v>209</v>
      </c>
      <c r="Q3853" s="345" t="s">
        <v>210</v>
      </c>
      <c r="R3853" s="345" t="s">
        <v>223</v>
      </c>
      <c r="S3853" s="345" t="s">
        <v>224</v>
      </c>
    </row>
    <row r="3854" spans="1:19" x14ac:dyDescent="0.25">
      <c r="A3854" s="311"/>
      <c r="B3854" s="312"/>
      <c r="C3854" s="312"/>
      <c r="D3854" s="312"/>
      <c r="E3854" s="312"/>
      <c r="F3854" s="312"/>
      <c r="G3854" s="328"/>
      <c r="H3854" s="337"/>
      <c r="I3854" s="334"/>
      <c r="J3854" s="314"/>
      <c r="K3854" s="449"/>
      <c r="M3854" s="349" t="str">
        <f>N3854&amp;AS[[#This Row],[Insurer Code]]&amp;"; "&amp;O3854&amp;AS[[#This Row],[Reporting Year]]&amp;"; "&amp;P3854&amp;AS[[#This Row],[Insurance Category Code]]&amp;"; "&amp;Q3854&amp;AS[[#This Row],[Large Provider Entity Code]]&amp;"; "&amp;R3854&amp;AS[[#This Row],[Age Band Code]]&amp;"; "&amp;S3854&amp;AS[[#This Row],[Sex Code]]</f>
        <v xml:space="preserve">Insurer Code ; Reporting Year ; Insurance Category Code ; Large Provider Entity Code ; Age Band Code ; Sex Code </v>
      </c>
      <c r="N3854" s="345" t="s">
        <v>207</v>
      </c>
      <c r="O3854" s="345" t="s">
        <v>208</v>
      </c>
      <c r="P3854" s="345" t="s">
        <v>209</v>
      </c>
      <c r="Q3854" s="345" t="s">
        <v>210</v>
      </c>
      <c r="R3854" s="345" t="s">
        <v>223</v>
      </c>
      <c r="S3854" s="345" t="s">
        <v>224</v>
      </c>
    </row>
    <row r="3855" spans="1:19" x14ac:dyDescent="0.25">
      <c r="A3855" s="311"/>
      <c r="B3855" s="312"/>
      <c r="C3855" s="312"/>
      <c r="D3855" s="312"/>
      <c r="E3855" s="312"/>
      <c r="F3855" s="312"/>
      <c r="G3855" s="328"/>
      <c r="H3855" s="337"/>
      <c r="I3855" s="334"/>
      <c r="J3855" s="314"/>
      <c r="K3855" s="449"/>
      <c r="M3855" s="349" t="str">
        <f>N3855&amp;AS[[#This Row],[Insurer Code]]&amp;"; "&amp;O3855&amp;AS[[#This Row],[Reporting Year]]&amp;"; "&amp;P3855&amp;AS[[#This Row],[Insurance Category Code]]&amp;"; "&amp;Q3855&amp;AS[[#This Row],[Large Provider Entity Code]]&amp;"; "&amp;R3855&amp;AS[[#This Row],[Age Band Code]]&amp;"; "&amp;S3855&amp;AS[[#This Row],[Sex Code]]</f>
        <v xml:space="preserve">Insurer Code ; Reporting Year ; Insurance Category Code ; Large Provider Entity Code ; Age Band Code ; Sex Code </v>
      </c>
      <c r="N3855" s="345" t="s">
        <v>207</v>
      </c>
      <c r="O3855" s="345" t="s">
        <v>208</v>
      </c>
      <c r="P3855" s="345" t="s">
        <v>209</v>
      </c>
      <c r="Q3855" s="345" t="s">
        <v>210</v>
      </c>
      <c r="R3855" s="345" t="s">
        <v>223</v>
      </c>
      <c r="S3855" s="345" t="s">
        <v>224</v>
      </c>
    </row>
    <row r="3856" spans="1:19" x14ac:dyDescent="0.25">
      <c r="A3856" s="311"/>
      <c r="B3856" s="312"/>
      <c r="C3856" s="312"/>
      <c r="D3856" s="312"/>
      <c r="E3856" s="312"/>
      <c r="F3856" s="312"/>
      <c r="G3856" s="328"/>
      <c r="H3856" s="337"/>
      <c r="I3856" s="334"/>
      <c r="J3856" s="314"/>
      <c r="K3856" s="449"/>
      <c r="M3856" s="349" t="str">
        <f>N3856&amp;AS[[#This Row],[Insurer Code]]&amp;"; "&amp;O3856&amp;AS[[#This Row],[Reporting Year]]&amp;"; "&amp;P3856&amp;AS[[#This Row],[Insurance Category Code]]&amp;"; "&amp;Q3856&amp;AS[[#This Row],[Large Provider Entity Code]]&amp;"; "&amp;R3856&amp;AS[[#This Row],[Age Band Code]]&amp;"; "&amp;S3856&amp;AS[[#This Row],[Sex Code]]</f>
        <v xml:space="preserve">Insurer Code ; Reporting Year ; Insurance Category Code ; Large Provider Entity Code ; Age Band Code ; Sex Code </v>
      </c>
      <c r="N3856" s="345" t="s">
        <v>207</v>
      </c>
      <c r="O3856" s="345" t="s">
        <v>208</v>
      </c>
      <c r="P3856" s="345" t="s">
        <v>209</v>
      </c>
      <c r="Q3856" s="345" t="s">
        <v>210</v>
      </c>
      <c r="R3856" s="345" t="s">
        <v>223</v>
      </c>
      <c r="S3856" s="345" t="s">
        <v>224</v>
      </c>
    </row>
    <row r="3857" spans="1:19" x14ac:dyDescent="0.25">
      <c r="A3857" s="311"/>
      <c r="B3857" s="312"/>
      <c r="C3857" s="312"/>
      <c r="D3857" s="312"/>
      <c r="E3857" s="312"/>
      <c r="F3857" s="312"/>
      <c r="G3857" s="328"/>
      <c r="H3857" s="337"/>
      <c r="I3857" s="334"/>
      <c r="J3857" s="314"/>
      <c r="K3857" s="449"/>
      <c r="M3857" s="349" t="str">
        <f>N3857&amp;AS[[#This Row],[Insurer Code]]&amp;"; "&amp;O3857&amp;AS[[#This Row],[Reporting Year]]&amp;"; "&amp;P3857&amp;AS[[#This Row],[Insurance Category Code]]&amp;"; "&amp;Q3857&amp;AS[[#This Row],[Large Provider Entity Code]]&amp;"; "&amp;R3857&amp;AS[[#This Row],[Age Band Code]]&amp;"; "&amp;S3857&amp;AS[[#This Row],[Sex Code]]</f>
        <v xml:space="preserve">Insurer Code ; Reporting Year ; Insurance Category Code ; Large Provider Entity Code ; Age Band Code ; Sex Code </v>
      </c>
      <c r="N3857" s="345" t="s">
        <v>207</v>
      </c>
      <c r="O3857" s="345" t="s">
        <v>208</v>
      </c>
      <c r="P3857" s="345" t="s">
        <v>209</v>
      </c>
      <c r="Q3857" s="345" t="s">
        <v>210</v>
      </c>
      <c r="R3857" s="345" t="s">
        <v>223</v>
      </c>
      <c r="S3857" s="345" t="s">
        <v>224</v>
      </c>
    </row>
    <row r="3858" spans="1:19" x14ac:dyDescent="0.25">
      <c r="A3858" s="311"/>
      <c r="B3858" s="312"/>
      <c r="C3858" s="312"/>
      <c r="D3858" s="312"/>
      <c r="E3858" s="312"/>
      <c r="F3858" s="312"/>
      <c r="G3858" s="328"/>
      <c r="H3858" s="337"/>
      <c r="I3858" s="334"/>
      <c r="J3858" s="314"/>
      <c r="K3858" s="449"/>
      <c r="M3858" s="349" t="str">
        <f>N3858&amp;AS[[#This Row],[Insurer Code]]&amp;"; "&amp;O3858&amp;AS[[#This Row],[Reporting Year]]&amp;"; "&amp;P3858&amp;AS[[#This Row],[Insurance Category Code]]&amp;"; "&amp;Q3858&amp;AS[[#This Row],[Large Provider Entity Code]]&amp;"; "&amp;R3858&amp;AS[[#This Row],[Age Band Code]]&amp;"; "&amp;S3858&amp;AS[[#This Row],[Sex Code]]</f>
        <v xml:space="preserve">Insurer Code ; Reporting Year ; Insurance Category Code ; Large Provider Entity Code ; Age Band Code ; Sex Code </v>
      </c>
      <c r="N3858" s="345" t="s">
        <v>207</v>
      </c>
      <c r="O3858" s="345" t="s">
        <v>208</v>
      </c>
      <c r="P3858" s="345" t="s">
        <v>209</v>
      </c>
      <c r="Q3858" s="345" t="s">
        <v>210</v>
      </c>
      <c r="R3858" s="345" t="s">
        <v>223</v>
      </c>
      <c r="S3858" s="345" t="s">
        <v>224</v>
      </c>
    </row>
    <row r="3859" spans="1:19" x14ac:dyDescent="0.25">
      <c r="A3859" s="311"/>
      <c r="B3859" s="312"/>
      <c r="C3859" s="312"/>
      <c r="D3859" s="312"/>
      <c r="E3859" s="312"/>
      <c r="F3859" s="312"/>
      <c r="G3859" s="328"/>
      <c r="H3859" s="337"/>
      <c r="I3859" s="334"/>
      <c r="J3859" s="314"/>
      <c r="K3859" s="449"/>
      <c r="M3859" s="349" t="str">
        <f>N3859&amp;AS[[#This Row],[Insurer Code]]&amp;"; "&amp;O3859&amp;AS[[#This Row],[Reporting Year]]&amp;"; "&amp;P3859&amp;AS[[#This Row],[Insurance Category Code]]&amp;"; "&amp;Q3859&amp;AS[[#This Row],[Large Provider Entity Code]]&amp;"; "&amp;R3859&amp;AS[[#This Row],[Age Band Code]]&amp;"; "&amp;S3859&amp;AS[[#This Row],[Sex Code]]</f>
        <v xml:space="preserve">Insurer Code ; Reporting Year ; Insurance Category Code ; Large Provider Entity Code ; Age Band Code ; Sex Code </v>
      </c>
      <c r="N3859" s="345" t="s">
        <v>207</v>
      </c>
      <c r="O3859" s="345" t="s">
        <v>208</v>
      </c>
      <c r="P3859" s="345" t="s">
        <v>209</v>
      </c>
      <c r="Q3859" s="345" t="s">
        <v>210</v>
      </c>
      <c r="R3859" s="345" t="s">
        <v>223</v>
      </c>
      <c r="S3859" s="345" t="s">
        <v>224</v>
      </c>
    </row>
    <row r="3860" spans="1:19" x14ac:dyDescent="0.25">
      <c r="A3860" s="311"/>
      <c r="B3860" s="312"/>
      <c r="C3860" s="312"/>
      <c r="D3860" s="312"/>
      <c r="E3860" s="312"/>
      <c r="F3860" s="312"/>
      <c r="G3860" s="328"/>
      <c r="H3860" s="337"/>
      <c r="I3860" s="334"/>
      <c r="J3860" s="314"/>
      <c r="K3860" s="449"/>
      <c r="M3860" s="349" t="str">
        <f>N3860&amp;AS[[#This Row],[Insurer Code]]&amp;"; "&amp;O3860&amp;AS[[#This Row],[Reporting Year]]&amp;"; "&amp;P3860&amp;AS[[#This Row],[Insurance Category Code]]&amp;"; "&amp;Q3860&amp;AS[[#This Row],[Large Provider Entity Code]]&amp;"; "&amp;R3860&amp;AS[[#This Row],[Age Band Code]]&amp;"; "&amp;S3860&amp;AS[[#This Row],[Sex Code]]</f>
        <v xml:space="preserve">Insurer Code ; Reporting Year ; Insurance Category Code ; Large Provider Entity Code ; Age Band Code ; Sex Code </v>
      </c>
      <c r="N3860" s="345" t="s">
        <v>207</v>
      </c>
      <c r="O3860" s="345" t="s">
        <v>208</v>
      </c>
      <c r="P3860" s="345" t="s">
        <v>209</v>
      </c>
      <c r="Q3860" s="345" t="s">
        <v>210</v>
      </c>
      <c r="R3860" s="345" t="s">
        <v>223</v>
      </c>
      <c r="S3860" s="345" t="s">
        <v>224</v>
      </c>
    </row>
    <row r="3861" spans="1:19" x14ac:dyDescent="0.25">
      <c r="A3861" s="311"/>
      <c r="B3861" s="312"/>
      <c r="C3861" s="312"/>
      <c r="D3861" s="312"/>
      <c r="E3861" s="312"/>
      <c r="F3861" s="312"/>
      <c r="G3861" s="328"/>
      <c r="H3861" s="337"/>
      <c r="I3861" s="334"/>
      <c r="J3861" s="314"/>
      <c r="K3861" s="449"/>
      <c r="M3861" s="349" t="str">
        <f>N3861&amp;AS[[#This Row],[Insurer Code]]&amp;"; "&amp;O3861&amp;AS[[#This Row],[Reporting Year]]&amp;"; "&amp;P3861&amp;AS[[#This Row],[Insurance Category Code]]&amp;"; "&amp;Q3861&amp;AS[[#This Row],[Large Provider Entity Code]]&amp;"; "&amp;R3861&amp;AS[[#This Row],[Age Band Code]]&amp;"; "&amp;S3861&amp;AS[[#This Row],[Sex Code]]</f>
        <v xml:space="preserve">Insurer Code ; Reporting Year ; Insurance Category Code ; Large Provider Entity Code ; Age Band Code ; Sex Code </v>
      </c>
      <c r="N3861" s="345" t="s">
        <v>207</v>
      </c>
      <c r="O3861" s="345" t="s">
        <v>208</v>
      </c>
      <c r="P3861" s="345" t="s">
        <v>209</v>
      </c>
      <c r="Q3861" s="345" t="s">
        <v>210</v>
      </c>
      <c r="R3861" s="345" t="s">
        <v>223</v>
      </c>
      <c r="S3861" s="345" t="s">
        <v>224</v>
      </c>
    </row>
    <row r="3862" spans="1:19" x14ac:dyDescent="0.25">
      <c r="A3862" s="311"/>
      <c r="B3862" s="312"/>
      <c r="C3862" s="312"/>
      <c r="D3862" s="312"/>
      <c r="E3862" s="312"/>
      <c r="F3862" s="312"/>
      <c r="G3862" s="328"/>
      <c r="H3862" s="337"/>
      <c r="I3862" s="334"/>
      <c r="J3862" s="314"/>
      <c r="K3862" s="449"/>
      <c r="M3862" s="349" t="str">
        <f>N3862&amp;AS[[#This Row],[Insurer Code]]&amp;"; "&amp;O3862&amp;AS[[#This Row],[Reporting Year]]&amp;"; "&amp;P3862&amp;AS[[#This Row],[Insurance Category Code]]&amp;"; "&amp;Q3862&amp;AS[[#This Row],[Large Provider Entity Code]]&amp;"; "&amp;R3862&amp;AS[[#This Row],[Age Band Code]]&amp;"; "&amp;S3862&amp;AS[[#This Row],[Sex Code]]</f>
        <v xml:space="preserve">Insurer Code ; Reporting Year ; Insurance Category Code ; Large Provider Entity Code ; Age Band Code ; Sex Code </v>
      </c>
      <c r="N3862" s="345" t="s">
        <v>207</v>
      </c>
      <c r="O3862" s="345" t="s">
        <v>208</v>
      </c>
      <c r="P3862" s="345" t="s">
        <v>209</v>
      </c>
      <c r="Q3862" s="345" t="s">
        <v>210</v>
      </c>
      <c r="R3862" s="345" t="s">
        <v>223</v>
      </c>
      <c r="S3862" s="345" t="s">
        <v>224</v>
      </c>
    </row>
    <row r="3863" spans="1:19" x14ac:dyDescent="0.25">
      <c r="A3863" s="311"/>
      <c r="B3863" s="312"/>
      <c r="C3863" s="312"/>
      <c r="D3863" s="312"/>
      <c r="E3863" s="312"/>
      <c r="F3863" s="312"/>
      <c r="G3863" s="328"/>
      <c r="H3863" s="337"/>
      <c r="I3863" s="334"/>
      <c r="J3863" s="314"/>
      <c r="K3863" s="449"/>
      <c r="M3863" s="349" t="str">
        <f>N3863&amp;AS[[#This Row],[Insurer Code]]&amp;"; "&amp;O3863&amp;AS[[#This Row],[Reporting Year]]&amp;"; "&amp;P3863&amp;AS[[#This Row],[Insurance Category Code]]&amp;"; "&amp;Q3863&amp;AS[[#This Row],[Large Provider Entity Code]]&amp;"; "&amp;R3863&amp;AS[[#This Row],[Age Band Code]]&amp;"; "&amp;S3863&amp;AS[[#This Row],[Sex Code]]</f>
        <v xml:space="preserve">Insurer Code ; Reporting Year ; Insurance Category Code ; Large Provider Entity Code ; Age Band Code ; Sex Code </v>
      </c>
      <c r="N3863" s="345" t="s">
        <v>207</v>
      </c>
      <c r="O3863" s="345" t="s">
        <v>208</v>
      </c>
      <c r="P3863" s="345" t="s">
        <v>209</v>
      </c>
      <c r="Q3863" s="345" t="s">
        <v>210</v>
      </c>
      <c r="R3863" s="345" t="s">
        <v>223</v>
      </c>
      <c r="S3863" s="345" t="s">
        <v>224</v>
      </c>
    </row>
    <row r="3864" spans="1:19" x14ac:dyDescent="0.25">
      <c r="A3864" s="311"/>
      <c r="B3864" s="312"/>
      <c r="C3864" s="312"/>
      <c r="D3864" s="312"/>
      <c r="E3864" s="312"/>
      <c r="F3864" s="312"/>
      <c r="G3864" s="328"/>
      <c r="H3864" s="337"/>
      <c r="I3864" s="334"/>
      <c r="J3864" s="314"/>
      <c r="K3864" s="449"/>
      <c r="M3864" s="349" t="str">
        <f>N3864&amp;AS[[#This Row],[Insurer Code]]&amp;"; "&amp;O3864&amp;AS[[#This Row],[Reporting Year]]&amp;"; "&amp;P3864&amp;AS[[#This Row],[Insurance Category Code]]&amp;"; "&amp;Q3864&amp;AS[[#This Row],[Large Provider Entity Code]]&amp;"; "&amp;R3864&amp;AS[[#This Row],[Age Band Code]]&amp;"; "&amp;S3864&amp;AS[[#This Row],[Sex Code]]</f>
        <v xml:space="preserve">Insurer Code ; Reporting Year ; Insurance Category Code ; Large Provider Entity Code ; Age Band Code ; Sex Code </v>
      </c>
      <c r="N3864" s="345" t="s">
        <v>207</v>
      </c>
      <c r="O3864" s="345" t="s">
        <v>208</v>
      </c>
      <c r="P3864" s="345" t="s">
        <v>209</v>
      </c>
      <c r="Q3864" s="345" t="s">
        <v>210</v>
      </c>
      <c r="R3864" s="345" t="s">
        <v>223</v>
      </c>
      <c r="S3864" s="345" t="s">
        <v>224</v>
      </c>
    </row>
    <row r="3865" spans="1:19" x14ac:dyDescent="0.25">
      <c r="A3865" s="311"/>
      <c r="B3865" s="312"/>
      <c r="C3865" s="312"/>
      <c r="D3865" s="312"/>
      <c r="E3865" s="312"/>
      <c r="F3865" s="312"/>
      <c r="G3865" s="328"/>
      <c r="H3865" s="337"/>
      <c r="I3865" s="334"/>
      <c r="J3865" s="314"/>
      <c r="K3865" s="449"/>
      <c r="M3865" s="349" t="str">
        <f>N3865&amp;AS[[#This Row],[Insurer Code]]&amp;"; "&amp;O3865&amp;AS[[#This Row],[Reporting Year]]&amp;"; "&amp;P3865&amp;AS[[#This Row],[Insurance Category Code]]&amp;"; "&amp;Q3865&amp;AS[[#This Row],[Large Provider Entity Code]]&amp;"; "&amp;R3865&amp;AS[[#This Row],[Age Band Code]]&amp;"; "&amp;S3865&amp;AS[[#This Row],[Sex Code]]</f>
        <v xml:space="preserve">Insurer Code ; Reporting Year ; Insurance Category Code ; Large Provider Entity Code ; Age Band Code ; Sex Code </v>
      </c>
      <c r="N3865" s="345" t="s">
        <v>207</v>
      </c>
      <c r="O3865" s="345" t="s">
        <v>208</v>
      </c>
      <c r="P3865" s="345" t="s">
        <v>209</v>
      </c>
      <c r="Q3865" s="345" t="s">
        <v>210</v>
      </c>
      <c r="R3865" s="345" t="s">
        <v>223</v>
      </c>
      <c r="S3865" s="345" t="s">
        <v>224</v>
      </c>
    </row>
    <row r="3866" spans="1:19" x14ac:dyDescent="0.25">
      <c r="A3866" s="311"/>
      <c r="B3866" s="312"/>
      <c r="C3866" s="312"/>
      <c r="D3866" s="312"/>
      <c r="E3866" s="312"/>
      <c r="F3866" s="312"/>
      <c r="G3866" s="328"/>
      <c r="H3866" s="337"/>
      <c r="I3866" s="334"/>
      <c r="J3866" s="314"/>
      <c r="K3866" s="449"/>
      <c r="M3866" s="349" t="str">
        <f>N3866&amp;AS[[#This Row],[Insurer Code]]&amp;"; "&amp;O3866&amp;AS[[#This Row],[Reporting Year]]&amp;"; "&amp;P3866&amp;AS[[#This Row],[Insurance Category Code]]&amp;"; "&amp;Q3866&amp;AS[[#This Row],[Large Provider Entity Code]]&amp;"; "&amp;R3866&amp;AS[[#This Row],[Age Band Code]]&amp;"; "&amp;S3866&amp;AS[[#This Row],[Sex Code]]</f>
        <v xml:space="preserve">Insurer Code ; Reporting Year ; Insurance Category Code ; Large Provider Entity Code ; Age Band Code ; Sex Code </v>
      </c>
      <c r="N3866" s="345" t="s">
        <v>207</v>
      </c>
      <c r="O3866" s="345" t="s">
        <v>208</v>
      </c>
      <c r="P3866" s="345" t="s">
        <v>209</v>
      </c>
      <c r="Q3866" s="345" t="s">
        <v>210</v>
      </c>
      <c r="R3866" s="345" t="s">
        <v>223</v>
      </c>
      <c r="S3866" s="345" t="s">
        <v>224</v>
      </c>
    </row>
    <row r="3867" spans="1:19" x14ac:dyDescent="0.25">
      <c r="A3867" s="311"/>
      <c r="B3867" s="312"/>
      <c r="C3867" s="312"/>
      <c r="D3867" s="312"/>
      <c r="E3867" s="312"/>
      <c r="F3867" s="312"/>
      <c r="G3867" s="328"/>
      <c r="H3867" s="337"/>
      <c r="I3867" s="334"/>
      <c r="J3867" s="314"/>
      <c r="K3867" s="449"/>
      <c r="M3867" s="349" t="str">
        <f>N3867&amp;AS[[#This Row],[Insurer Code]]&amp;"; "&amp;O3867&amp;AS[[#This Row],[Reporting Year]]&amp;"; "&amp;P3867&amp;AS[[#This Row],[Insurance Category Code]]&amp;"; "&amp;Q3867&amp;AS[[#This Row],[Large Provider Entity Code]]&amp;"; "&amp;R3867&amp;AS[[#This Row],[Age Band Code]]&amp;"; "&amp;S3867&amp;AS[[#This Row],[Sex Code]]</f>
        <v xml:space="preserve">Insurer Code ; Reporting Year ; Insurance Category Code ; Large Provider Entity Code ; Age Band Code ; Sex Code </v>
      </c>
      <c r="N3867" s="345" t="s">
        <v>207</v>
      </c>
      <c r="O3867" s="345" t="s">
        <v>208</v>
      </c>
      <c r="P3867" s="345" t="s">
        <v>209</v>
      </c>
      <c r="Q3867" s="345" t="s">
        <v>210</v>
      </c>
      <c r="R3867" s="345" t="s">
        <v>223</v>
      </c>
      <c r="S3867" s="345" t="s">
        <v>224</v>
      </c>
    </row>
    <row r="3868" spans="1:19" x14ac:dyDescent="0.25">
      <c r="A3868" s="311"/>
      <c r="B3868" s="312"/>
      <c r="C3868" s="312"/>
      <c r="D3868" s="312"/>
      <c r="E3868" s="312"/>
      <c r="F3868" s="312"/>
      <c r="G3868" s="328"/>
      <c r="H3868" s="337"/>
      <c r="I3868" s="334"/>
      <c r="J3868" s="314"/>
      <c r="K3868" s="449"/>
      <c r="M3868" s="349" t="str">
        <f>N3868&amp;AS[[#This Row],[Insurer Code]]&amp;"; "&amp;O3868&amp;AS[[#This Row],[Reporting Year]]&amp;"; "&amp;P3868&amp;AS[[#This Row],[Insurance Category Code]]&amp;"; "&amp;Q3868&amp;AS[[#This Row],[Large Provider Entity Code]]&amp;"; "&amp;R3868&amp;AS[[#This Row],[Age Band Code]]&amp;"; "&amp;S3868&amp;AS[[#This Row],[Sex Code]]</f>
        <v xml:space="preserve">Insurer Code ; Reporting Year ; Insurance Category Code ; Large Provider Entity Code ; Age Band Code ; Sex Code </v>
      </c>
      <c r="N3868" s="345" t="s">
        <v>207</v>
      </c>
      <c r="O3868" s="345" t="s">
        <v>208</v>
      </c>
      <c r="P3868" s="345" t="s">
        <v>209</v>
      </c>
      <c r="Q3868" s="345" t="s">
        <v>210</v>
      </c>
      <c r="R3868" s="345" t="s">
        <v>223</v>
      </c>
      <c r="S3868" s="345" t="s">
        <v>224</v>
      </c>
    </row>
    <row r="3869" spans="1:19" x14ac:dyDescent="0.25">
      <c r="A3869" s="311"/>
      <c r="B3869" s="312"/>
      <c r="C3869" s="312"/>
      <c r="D3869" s="312"/>
      <c r="E3869" s="312"/>
      <c r="F3869" s="312"/>
      <c r="G3869" s="328"/>
      <c r="H3869" s="337"/>
      <c r="I3869" s="334"/>
      <c r="J3869" s="314"/>
      <c r="K3869" s="449"/>
      <c r="M3869" s="349" t="str">
        <f>N3869&amp;AS[[#This Row],[Insurer Code]]&amp;"; "&amp;O3869&amp;AS[[#This Row],[Reporting Year]]&amp;"; "&amp;P3869&amp;AS[[#This Row],[Insurance Category Code]]&amp;"; "&amp;Q3869&amp;AS[[#This Row],[Large Provider Entity Code]]&amp;"; "&amp;R3869&amp;AS[[#This Row],[Age Band Code]]&amp;"; "&amp;S3869&amp;AS[[#This Row],[Sex Code]]</f>
        <v xml:space="preserve">Insurer Code ; Reporting Year ; Insurance Category Code ; Large Provider Entity Code ; Age Band Code ; Sex Code </v>
      </c>
      <c r="N3869" s="345" t="s">
        <v>207</v>
      </c>
      <c r="O3869" s="345" t="s">
        <v>208</v>
      </c>
      <c r="P3869" s="345" t="s">
        <v>209</v>
      </c>
      <c r="Q3869" s="345" t="s">
        <v>210</v>
      </c>
      <c r="R3869" s="345" t="s">
        <v>223</v>
      </c>
      <c r="S3869" s="345" t="s">
        <v>224</v>
      </c>
    </row>
    <row r="3870" spans="1:19" x14ac:dyDescent="0.25">
      <c r="A3870" s="311"/>
      <c r="B3870" s="312"/>
      <c r="C3870" s="312"/>
      <c r="D3870" s="312"/>
      <c r="E3870" s="312"/>
      <c r="F3870" s="312"/>
      <c r="G3870" s="328"/>
      <c r="H3870" s="337"/>
      <c r="I3870" s="334"/>
      <c r="J3870" s="314"/>
      <c r="K3870" s="449"/>
      <c r="M3870" s="349" t="str">
        <f>N3870&amp;AS[[#This Row],[Insurer Code]]&amp;"; "&amp;O3870&amp;AS[[#This Row],[Reporting Year]]&amp;"; "&amp;P3870&amp;AS[[#This Row],[Insurance Category Code]]&amp;"; "&amp;Q3870&amp;AS[[#This Row],[Large Provider Entity Code]]&amp;"; "&amp;R3870&amp;AS[[#This Row],[Age Band Code]]&amp;"; "&amp;S3870&amp;AS[[#This Row],[Sex Code]]</f>
        <v xml:space="preserve">Insurer Code ; Reporting Year ; Insurance Category Code ; Large Provider Entity Code ; Age Band Code ; Sex Code </v>
      </c>
      <c r="N3870" s="345" t="s">
        <v>207</v>
      </c>
      <c r="O3870" s="345" t="s">
        <v>208</v>
      </c>
      <c r="P3870" s="345" t="s">
        <v>209</v>
      </c>
      <c r="Q3870" s="345" t="s">
        <v>210</v>
      </c>
      <c r="R3870" s="345" t="s">
        <v>223</v>
      </c>
      <c r="S3870" s="345" t="s">
        <v>224</v>
      </c>
    </row>
    <row r="3871" spans="1:19" x14ac:dyDescent="0.25">
      <c r="A3871" s="311"/>
      <c r="B3871" s="312"/>
      <c r="C3871" s="312"/>
      <c r="D3871" s="312"/>
      <c r="E3871" s="312"/>
      <c r="F3871" s="312"/>
      <c r="G3871" s="328"/>
      <c r="H3871" s="337"/>
      <c r="I3871" s="334"/>
      <c r="J3871" s="314"/>
      <c r="K3871" s="449"/>
      <c r="M3871" s="349" t="str">
        <f>N3871&amp;AS[[#This Row],[Insurer Code]]&amp;"; "&amp;O3871&amp;AS[[#This Row],[Reporting Year]]&amp;"; "&amp;P3871&amp;AS[[#This Row],[Insurance Category Code]]&amp;"; "&amp;Q3871&amp;AS[[#This Row],[Large Provider Entity Code]]&amp;"; "&amp;R3871&amp;AS[[#This Row],[Age Band Code]]&amp;"; "&amp;S3871&amp;AS[[#This Row],[Sex Code]]</f>
        <v xml:space="preserve">Insurer Code ; Reporting Year ; Insurance Category Code ; Large Provider Entity Code ; Age Band Code ; Sex Code </v>
      </c>
      <c r="N3871" s="345" t="s">
        <v>207</v>
      </c>
      <c r="O3871" s="345" t="s">
        <v>208</v>
      </c>
      <c r="P3871" s="345" t="s">
        <v>209</v>
      </c>
      <c r="Q3871" s="345" t="s">
        <v>210</v>
      </c>
      <c r="R3871" s="345" t="s">
        <v>223</v>
      </c>
      <c r="S3871" s="345" t="s">
        <v>224</v>
      </c>
    </row>
    <row r="3872" spans="1:19" x14ac:dyDescent="0.25">
      <c r="A3872" s="311"/>
      <c r="B3872" s="312"/>
      <c r="C3872" s="312"/>
      <c r="D3872" s="312"/>
      <c r="E3872" s="312"/>
      <c r="F3872" s="312"/>
      <c r="G3872" s="328"/>
      <c r="H3872" s="337"/>
      <c r="I3872" s="334"/>
      <c r="J3872" s="314"/>
      <c r="K3872" s="449"/>
      <c r="M3872" s="349" t="str">
        <f>N3872&amp;AS[[#This Row],[Insurer Code]]&amp;"; "&amp;O3872&amp;AS[[#This Row],[Reporting Year]]&amp;"; "&amp;P3872&amp;AS[[#This Row],[Insurance Category Code]]&amp;"; "&amp;Q3872&amp;AS[[#This Row],[Large Provider Entity Code]]&amp;"; "&amp;R3872&amp;AS[[#This Row],[Age Band Code]]&amp;"; "&amp;S3872&amp;AS[[#This Row],[Sex Code]]</f>
        <v xml:space="preserve">Insurer Code ; Reporting Year ; Insurance Category Code ; Large Provider Entity Code ; Age Band Code ; Sex Code </v>
      </c>
      <c r="N3872" s="345" t="s">
        <v>207</v>
      </c>
      <c r="O3872" s="345" t="s">
        <v>208</v>
      </c>
      <c r="P3872" s="345" t="s">
        <v>209</v>
      </c>
      <c r="Q3872" s="345" t="s">
        <v>210</v>
      </c>
      <c r="R3872" s="345" t="s">
        <v>223</v>
      </c>
      <c r="S3872" s="345" t="s">
        <v>224</v>
      </c>
    </row>
    <row r="3873" spans="1:19" x14ac:dyDescent="0.25">
      <c r="A3873" s="311"/>
      <c r="B3873" s="312"/>
      <c r="C3873" s="312"/>
      <c r="D3873" s="312"/>
      <c r="E3873" s="312"/>
      <c r="F3873" s="312"/>
      <c r="G3873" s="328"/>
      <c r="H3873" s="337"/>
      <c r="I3873" s="334"/>
      <c r="J3873" s="314"/>
      <c r="K3873" s="449"/>
      <c r="M3873" s="349" t="str">
        <f>N3873&amp;AS[[#This Row],[Insurer Code]]&amp;"; "&amp;O3873&amp;AS[[#This Row],[Reporting Year]]&amp;"; "&amp;P3873&amp;AS[[#This Row],[Insurance Category Code]]&amp;"; "&amp;Q3873&amp;AS[[#This Row],[Large Provider Entity Code]]&amp;"; "&amp;R3873&amp;AS[[#This Row],[Age Band Code]]&amp;"; "&amp;S3873&amp;AS[[#This Row],[Sex Code]]</f>
        <v xml:space="preserve">Insurer Code ; Reporting Year ; Insurance Category Code ; Large Provider Entity Code ; Age Band Code ; Sex Code </v>
      </c>
      <c r="N3873" s="345" t="s">
        <v>207</v>
      </c>
      <c r="O3873" s="345" t="s">
        <v>208</v>
      </c>
      <c r="P3873" s="345" t="s">
        <v>209</v>
      </c>
      <c r="Q3873" s="345" t="s">
        <v>210</v>
      </c>
      <c r="R3873" s="345" t="s">
        <v>223</v>
      </c>
      <c r="S3873" s="345" t="s">
        <v>224</v>
      </c>
    </row>
    <row r="3874" spans="1:19" x14ac:dyDescent="0.25">
      <c r="A3874" s="311"/>
      <c r="B3874" s="312"/>
      <c r="C3874" s="312"/>
      <c r="D3874" s="312"/>
      <c r="E3874" s="312"/>
      <c r="F3874" s="312"/>
      <c r="G3874" s="328"/>
      <c r="H3874" s="337"/>
      <c r="I3874" s="334"/>
      <c r="J3874" s="314"/>
      <c r="K3874" s="449"/>
      <c r="M3874" s="349" t="str">
        <f>N3874&amp;AS[[#This Row],[Insurer Code]]&amp;"; "&amp;O3874&amp;AS[[#This Row],[Reporting Year]]&amp;"; "&amp;P3874&amp;AS[[#This Row],[Insurance Category Code]]&amp;"; "&amp;Q3874&amp;AS[[#This Row],[Large Provider Entity Code]]&amp;"; "&amp;R3874&amp;AS[[#This Row],[Age Band Code]]&amp;"; "&amp;S3874&amp;AS[[#This Row],[Sex Code]]</f>
        <v xml:space="preserve">Insurer Code ; Reporting Year ; Insurance Category Code ; Large Provider Entity Code ; Age Band Code ; Sex Code </v>
      </c>
      <c r="N3874" s="345" t="s">
        <v>207</v>
      </c>
      <c r="O3874" s="345" t="s">
        <v>208</v>
      </c>
      <c r="P3874" s="345" t="s">
        <v>209</v>
      </c>
      <c r="Q3874" s="345" t="s">
        <v>210</v>
      </c>
      <c r="R3874" s="345" t="s">
        <v>223</v>
      </c>
      <c r="S3874" s="345" t="s">
        <v>224</v>
      </c>
    </row>
    <row r="3875" spans="1:19" x14ac:dyDescent="0.25">
      <c r="A3875" s="311"/>
      <c r="B3875" s="312"/>
      <c r="C3875" s="312"/>
      <c r="D3875" s="312"/>
      <c r="E3875" s="312"/>
      <c r="F3875" s="312"/>
      <c r="G3875" s="328"/>
      <c r="H3875" s="337"/>
      <c r="I3875" s="334"/>
      <c r="J3875" s="314"/>
      <c r="K3875" s="449"/>
      <c r="M3875" s="349" t="str">
        <f>N3875&amp;AS[[#This Row],[Insurer Code]]&amp;"; "&amp;O3875&amp;AS[[#This Row],[Reporting Year]]&amp;"; "&amp;P3875&amp;AS[[#This Row],[Insurance Category Code]]&amp;"; "&amp;Q3875&amp;AS[[#This Row],[Large Provider Entity Code]]&amp;"; "&amp;R3875&amp;AS[[#This Row],[Age Band Code]]&amp;"; "&amp;S3875&amp;AS[[#This Row],[Sex Code]]</f>
        <v xml:space="preserve">Insurer Code ; Reporting Year ; Insurance Category Code ; Large Provider Entity Code ; Age Band Code ; Sex Code </v>
      </c>
      <c r="N3875" s="345" t="s">
        <v>207</v>
      </c>
      <c r="O3875" s="345" t="s">
        <v>208</v>
      </c>
      <c r="P3875" s="345" t="s">
        <v>209</v>
      </c>
      <c r="Q3875" s="345" t="s">
        <v>210</v>
      </c>
      <c r="R3875" s="345" t="s">
        <v>223</v>
      </c>
      <c r="S3875" s="345" t="s">
        <v>224</v>
      </c>
    </row>
    <row r="3876" spans="1:19" x14ac:dyDescent="0.25">
      <c r="A3876" s="311"/>
      <c r="B3876" s="312"/>
      <c r="C3876" s="312"/>
      <c r="D3876" s="312"/>
      <c r="E3876" s="312"/>
      <c r="F3876" s="312"/>
      <c r="G3876" s="328"/>
      <c r="H3876" s="337"/>
      <c r="I3876" s="334"/>
      <c r="J3876" s="314"/>
      <c r="K3876" s="449"/>
      <c r="M3876" s="349" t="str">
        <f>N3876&amp;AS[[#This Row],[Insurer Code]]&amp;"; "&amp;O3876&amp;AS[[#This Row],[Reporting Year]]&amp;"; "&amp;P3876&amp;AS[[#This Row],[Insurance Category Code]]&amp;"; "&amp;Q3876&amp;AS[[#This Row],[Large Provider Entity Code]]&amp;"; "&amp;R3876&amp;AS[[#This Row],[Age Band Code]]&amp;"; "&amp;S3876&amp;AS[[#This Row],[Sex Code]]</f>
        <v xml:space="preserve">Insurer Code ; Reporting Year ; Insurance Category Code ; Large Provider Entity Code ; Age Band Code ; Sex Code </v>
      </c>
      <c r="N3876" s="345" t="s">
        <v>207</v>
      </c>
      <c r="O3876" s="345" t="s">
        <v>208</v>
      </c>
      <c r="P3876" s="345" t="s">
        <v>209</v>
      </c>
      <c r="Q3876" s="345" t="s">
        <v>210</v>
      </c>
      <c r="R3876" s="345" t="s">
        <v>223</v>
      </c>
      <c r="S3876" s="345" t="s">
        <v>224</v>
      </c>
    </row>
    <row r="3877" spans="1:19" x14ac:dyDescent="0.25">
      <c r="A3877" s="311"/>
      <c r="B3877" s="312"/>
      <c r="C3877" s="312"/>
      <c r="D3877" s="312"/>
      <c r="E3877" s="312"/>
      <c r="F3877" s="312"/>
      <c r="G3877" s="328"/>
      <c r="H3877" s="337"/>
      <c r="I3877" s="334"/>
      <c r="J3877" s="314"/>
      <c r="K3877" s="449"/>
      <c r="M3877" s="349" t="str">
        <f>N3877&amp;AS[[#This Row],[Insurer Code]]&amp;"; "&amp;O3877&amp;AS[[#This Row],[Reporting Year]]&amp;"; "&amp;P3877&amp;AS[[#This Row],[Insurance Category Code]]&amp;"; "&amp;Q3877&amp;AS[[#This Row],[Large Provider Entity Code]]&amp;"; "&amp;R3877&amp;AS[[#This Row],[Age Band Code]]&amp;"; "&amp;S3877&amp;AS[[#This Row],[Sex Code]]</f>
        <v xml:space="preserve">Insurer Code ; Reporting Year ; Insurance Category Code ; Large Provider Entity Code ; Age Band Code ; Sex Code </v>
      </c>
      <c r="N3877" s="345" t="s">
        <v>207</v>
      </c>
      <c r="O3877" s="345" t="s">
        <v>208</v>
      </c>
      <c r="P3877" s="345" t="s">
        <v>209</v>
      </c>
      <c r="Q3877" s="345" t="s">
        <v>210</v>
      </c>
      <c r="R3877" s="345" t="s">
        <v>223</v>
      </c>
      <c r="S3877" s="345" t="s">
        <v>224</v>
      </c>
    </row>
    <row r="3878" spans="1:19" x14ac:dyDescent="0.25">
      <c r="A3878" s="311"/>
      <c r="B3878" s="312"/>
      <c r="C3878" s="312"/>
      <c r="D3878" s="312"/>
      <c r="E3878" s="312"/>
      <c r="F3878" s="312"/>
      <c r="G3878" s="328"/>
      <c r="H3878" s="337"/>
      <c r="I3878" s="334"/>
      <c r="J3878" s="314"/>
      <c r="K3878" s="449"/>
      <c r="M3878" s="349" t="str">
        <f>N3878&amp;AS[[#This Row],[Insurer Code]]&amp;"; "&amp;O3878&amp;AS[[#This Row],[Reporting Year]]&amp;"; "&amp;P3878&amp;AS[[#This Row],[Insurance Category Code]]&amp;"; "&amp;Q3878&amp;AS[[#This Row],[Large Provider Entity Code]]&amp;"; "&amp;R3878&amp;AS[[#This Row],[Age Band Code]]&amp;"; "&amp;S3878&amp;AS[[#This Row],[Sex Code]]</f>
        <v xml:space="preserve">Insurer Code ; Reporting Year ; Insurance Category Code ; Large Provider Entity Code ; Age Band Code ; Sex Code </v>
      </c>
      <c r="N3878" s="345" t="s">
        <v>207</v>
      </c>
      <c r="O3878" s="345" t="s">
        <v>208</v>
      </c>
      <c r="P3878" s="345" t="s">
        <v>209</v>
      </c>
      <c r="Q3878" s="345" t="s">
        <v>210</v>
      </c>
      <c r="R3878" s="345" t="s">
        <v>223</v>
      </c>
      <c r="S3878" s="345" t="s">
        <v>224</v>
      </c>
    </row>
    <row r="3879" spans="1:19" x14ac:dyDescent="0.25">
      <c r="A3879" s="311"/>
      <c r="B3879" s="312"/>
      <c r="C3879" s="312"/>
      <c r="D3879" s="312"/>
      <c r="E3879" s="312"/>
      <c r="F3879" s="312"/>
      <c r="G3879" s="328"/>
      <c r="H3879" s="337"/>
      <c r="I3879" s="334"/>
      <c r="J3879" s="314"/>
      <c r="K3879" s="449"/>
      <c r="M3879" s="349" t="str">
        <f>N3879&amp;AS[[#This Row],[Insurer Code]]&amp;"; "&amp;O3879&amp;AS[[#This Row],[Reporting Year]]&amp;"; "&amp;P3879&amp;AS[[#This Row],[Insurance Category Code]]&amp;"; "&amp;Q3879&amp;AS[[#This Row],[Large Provider Entity Code]]&amp;"; "&amp;R3879&amp;AS[[#This Row],[Age Band Code]]&amp;"; "&amp;S3879&amp;AS[[#This Row],[Sex Code]]</f>
        <v xml:space="preserve">Insurer Code ; Reporting Year ; Insurance Category Code ; Large Provider Entity Code ; Age Band Code ; Sex Code </v>
      </c>
      <c r="N3879" s="345" t="s">
        <v>207</v>
      </c>
      <c r="O3879" s="345" t="s">
        <v>208</v>
      </c>
      <c r="P3879" s="345" t="s">
        <v>209</v>
      </c>
      <c r="Q3879" s="345" t="s">
        <v>210</v>
      </c>
      <c r="R3879" s="345" t="s">
        <v>223</v>
      </c>
      <c r="S3879" s="345" t="s">
        <v>224</v>
      </c>
    </row>
    <row r="3880" spans="1:19" x14ac:dyDescent="0.25">
      <c r="A3880" s="311"/>
      <c r="B3880" s="312"/>
      <c r="C3880" s="312"/>
      <c r="D3880" s="312"/>
      <c r="E3880" s="312"/>
      <c r="F3880" s="312"/>
      <c r="G3880" s="328"/>
      <c r="H3880" s="337"/>
      <c r="I3880" s="334"/>
      <c r="J3880" s="314"/>
      <c r="K3880" s="449"/>
      <c r="M3880" s="349" t="str">
        <f>N3880&amp;AS[[#This Row],[Insurer Code]]&amp;"; "&amp;O3880&amp;AS[[#This Row],[Reporting Year]]&amp;"; "&amp;P3880&amp;AS[[#This Row],[Insurance Category Code]]&amp;"; "&amp;Q3880&amp;AS[[#This Row],[Large Provider Entity Code]]&amp;"; "&amp;R3880&amp;AS[[#This Row],[Age Band Code]]&amp;"; "&amp;S3880&amp;AS[[#This Row],[Sex Code]]</f>
        <v xml:space="preserve">Insurer Code ; Reporting Year ; Insurance Category Code ; Large Provider Entity Code ; Age Band Code ; Sex Code </v>
      </c>
      <c r="N3880" s="345" t="s">
        <v>207</v>
      </c>
      <c r="O3880" s="345" t="s">
        <v>208</v>
      </c>
      <c r="P3880" s="345" t="s">
        <v>209</v>
      </c>
      <c r="Q3880" s="345" t="s">
        <v>210</v>
      </c>
      <c r="R3880" s="345" t="s">
        <v>223</v>
      </c>
      <c r="S3880" s="345" t="s">
        <v>224</v>
      </c>
    </row>
    <row r="3881" spans="1:19" x14ac:dyDescent="0.25">
      <c r="A3881" s="311"/>
      <c r="B3881" s="312"/>
      <c r="C3881" s="312"/>
      <c r="D3881" s="312"/>
      <c r="E3881" s="312"/>
      <c r="F3881" s="312"/>
      <c r="G3881" s="328"/>
      <c r="H3881" s="337"/>
      <c r="I3881" s="334"/>
      <c r="J3881" s="314"/>
      <c r="K3881" s="449"/>
      <c r="M3881" s="349" t="str">
        <f>N3881&amp;AS[[#This Row],[Insurer Code]]&amp;"; "&amp;O3881&amp;AS[[#This Row],[Reporting Year]]&amp;"; "&amp;P3881&amp;AS[[#This Row],[Insurance Category Code]]&amp;"; "&amp;Q3881&amp;AS[[#This Row],[Large Provider Entity Code]]&amp;"; "&amp;R3881&amp;AS[[#This Row],[Age Band Code]]&amp;"; "&amp;S3881&amp;AS[[#This Row],[Sex Code]]</f>
        <v xml:space="preserve">Insurer Code ; Reporting Year ; Insurance Category Code ; Large Provider Entity Code ; Age Band Code ; Sex Code </v>
      </c>
      <c r="N3881" s="345" t="s">
        <v>207</v>
      </c>
      <c r="O3881" s="345" t="s">
        <v>208</v>
      </c>
      <c r="P3881" s="345" t="s">
        <v>209</v>
      </c>
      <c r="Q3881" s="345" t="s">
        <v>210</v>
      </c>
      <c r="R3881" s="345" t="s">
        <v>223</v>
      </c>
      <c r="S3881" s="345" t="s">
        <v>224</v>
      </c>
    </row>
    <row r="3882" spans="1:19" x14ac:dyDescent="0.25">
      <c r="A3882" s="311"/>
      <c r="B3882" s="312"/>
      <c r="C3882" s="312"/>
      <c r="D3882" s="312"/>
      <c r="E3882" s="312"/>
      <c r="F3882" s="312"/>
      <c r="G3882" s="328"/>
      <c r="H3882" s="337"/>
      <c r="I3882" s="334"/>
      <c r="J3882" s="314"/>
      <c r="K3882" s="449"/>
      <c r="M3882" s="349" t="str">
        <f>N3882&amp;AS[[#This Row],[Insurer Code]]&amp;"; "&amp;O3882&amp;AS[[#This Row],[Reporting Year]]&amp;"; "&amp;P3882&amp;AS[[#This Row],[Insurance Category Code]]&amp;"; "&amp;Q3882&amp;AS[[#This Row],[Large Provider Entity Code]]&amp;"; "&amp;R3882&amp;AS[[#This Row],[Age Band Code]]&amp;"; "&amp;S3882&amp;AS[[#This Row],[Sex Code]]</f>
        <v xml:space="preserve">Insurer Code ; Reporting Year ; Insurance Category Code ; Large Provider Entity Code ; Age Band Code ; Sex Code </v>
      </c>
      <c r="N3882" s="345" t="s">
        <v>207</v>
      </c>
      <c r="O3882" s="345" t="s">
        <v>208</v>
      </c>
      <c r="P3882" s="345" t="s">
        <v>209</v>
      </c>
      <c r="Q3882" s="345" t="s">
        <v>210</v>
      </c>
      <c r="R3882" s="345" t="s">
        <v>223</v>
      </c>
      <c r="S3882" s="345" t="s">
        <v>224</v>
      </c>
    </row>
    <row r="3883" spans="1:19" x14ac:dyDescent="0.25">
      <c r="A3883" s="311"/>
      <c r="B3883" s="312"/>
      <c r="C3883" s="312"/>
      <c r="D3883" s="312"/>
      <c r="E3883" s="312"/>
      <c r="F3883" s="312"/>
      <c r="G3883" s="328"/>
      <c r="H3883" s="337"/>
      <c r="I3883" s="334"/>
      <c r="J3883" s="314"/>
      <c r="K3883" s="449"/>
      <c r="M3883" s="349" t="str">
        <f>N3883&amp;AS[[#This Row],[Insurer Code]]&amp;"; "&amp;O3883&amp;AS[[#This Row],[Reporting Year]]&amp;"; "&amp;P3883&amp;AS[[#This Row],[Insurance Category Code]]&amp;"; "&amp;Q3883&amp;AS[[#This Row],[Large Provider Entity Code]]&amp;"; "&amp;R3883&amp;AS[[#This Row],[Age Band Code]]&amp;"; "&amp;S3883&amp;AS[[#This Row],[Sex Code]]</f>
        <v xml:space="preserve">Insurer Code ; Reporting Year ; Insurance Category Code ; Large Provider Entity Code ; Age Band Code ; Sex Code </v>
      </c>
      <c r="N3883" s="345" t="s">
        <v>207</v>
      </c>
      <c r="O3883" s="345" t="s">
        <v>208</v>
      </c>
      <c r="P3883" s="345" t="s">
        <v>209</v>
      </c>
      <c r="Q3883" s="345" t="s">
        <v>210</v>
      </c>
      <c r="R3883" s="345" t="s">
        <v>223</v>
      </c>
      <c r="S3883" s="345" t="s">
        <v>224</v>
      </c>
    </row>
    <row r="3884" spans="1:19" x14ac:dyDescent="0.25">
      <c r="A3884" s="311"/>
      <c r="B3884" s="312"/>
      <c r="C3884" s="312"/>
      <c r="D3884" s="312"/>
      <c r="E3884" s="312"/>
      <c r="F3884" s="312"/>
      <c r="G3884" s="328"/>
      <c r="H3884" s="337"/>
      <c r="I3884" s="334"/>
      <c r="J3884" s="314"/>
      <c r="K3884" s="449"/>
      <c r="M3884" s="349" t="str">
        <f>N3884&amp;AS[[#This Row],[Insurer Code]]&amp;"; "&amp;O3884&amp;AS[[#This Row],[Reporting Year]]&amp;"; "&amp;P3884&amp;AS[[#This Row],[Insurance Category Code]]&amp;"; "&amp;Q3884&amp;AS[[#This Row],[Large Provider Entity Code]]&amp;"; "&amp;R3884&amp;AS[[#This Row],[Age Band Code]]&amp;"; "&amp;S3884&amp;AS[[#This Row],[Sex Code]]</f>
        <v xml:space="preserve">Insurer Code ; Reporting Year ; Insurance Category Code ; Large Provider Entity Code ; Age Band Code ; Sex Code </v>
      </c>
      <c r="N3884" s="345" t="s">
        <v>207</v>
      </c>
      <c r="O3884" s="345" t="s">
        <v>208</v>
      </c>
      <c r="P3884" s="345" t="s">
        <v>209</v>
      </c>
      <c r="Q3884" s="345" t="s">
        <v>210</v>
      </c>
      <c r="R3884" s="345" t="s">
        <v>223</v>
      </c>
      <c r="S3884" s="345" t="s">
        <v>224</v>
      </c>
    </row>
    <row r="3885" spans="1:19" x14ac:dyDescent="0.25">
      <c r="A3885" s="311"/>
      <c r="B3885" s="312"/>
      <c r="C3885" s="312"/>
      <c r="D3885" s="312"/>
      <c r="E3885" s="312"/>
      <c r="F3885" s="312"/>
      <c r="G3885" s="328"/>
      <c r="H3885" s="337"/>
      <c r="I3885" s="334"/>
      <c r="J3885" s="314"/>
      <c r="K3885" s="449"/>
      <c r="M3885" s="349" t="str">
        <f>N3885&amp;AS[[#This Row],[Insurer Code]]&amp;"; "&amp;O3885&amp;AS[[#This Row],[Reporting Year]]&amp;"; "&amp;P3885&amp;AS[[#This Row],[Insurance Category Code]]&amp;"; "&amp;Q3885&amp;AS[[#This Row],[Large Provider Entity Code]]&amp;"; "&amp;R3885&amp;AS[[#This Row],[Age Band Code]]&amp;"; "&amp;S3885&amp;AS[[#This Row],[Sex Code]]</f>
        <v xml:space="preserve">Insurer Code ; Reporting Year ; Insurance Category Code ; Large Provider Entity Code ; Age Band Code ; Sex Code </v>
      </c>
      <c r="N3885" s="345" t="s">
        <v>207</v>
      </c>
      <c r="O3885" s="345" t="s">
        <v>208</v>
      </c>
      <c r="P3885" s="345" t="s">
        <v>209</v>
      </c>
      <c r="Q3885" s="345" t="s">
        <v>210</v>
      </c>
      <c r="R3885" s="345" t="s">
        <v>223</v>
      </c>
      <c r="S3885" s="345" t="s">
        <v>224</v>
      </c>
    </row>
    <row r="3886" spans="1:19" x14ac:dyDescent="0.25">
      <c r="A3886" s="311"/>
      <c r="B3886" s="312"/>
      <c r="C3886" s="312"/>
      <c r="D3886" s="312"/>
      <c r="E3886" s="312"/>
      <c r="F3886" s="312"/>
      <c r="G3886" s="328"/>
      <c r="H3886" s="337"/>
      <c r="I3886" s="334"/>
      <c r="J3886" s="314"/>
      <c r="K3886" s="449"/>
      <c r="M3886" s="349" t="str">
        <f>N3886&amp;AS[[#This Row],[Insurer Code]]&amp;"; "&amp;O3886&amp;AS[[#This Row],[Reporting Year]]&amp;"; "&amp;P3886&amp;AS[[#This Row],[Insurance Category Code]]&amp;"; "&amp;Q3886&amp;AS[[#This Row],[Large Provider Entity Code]]&amp;"; "&amp;R3886&amp;AS[[#This Row],[Age Band Code]]&amp;"; "&amp;S3886&amp;AS[[#This Row],[Sex Code]]</f>
        <v xml:space="preserve">Insurer Code ; Reporting Year ; Insurance Category Code ; Large Provider Entity Code ; Age Band Code ; Sex Code </v>
      </c>
      <c r="N3886" s="345" t="s">
        <v>207</v>
      </c>
      <c r="O3886" s="345" t="s">
        <v>208</v>
      </c>
      <c r="P3886" s="345" t="s">
        <v>209</v>
      </c>
      <c r="Q3886" s="345" t="s">
        <v>210</v>
      </c>
      <c r="R3886" s="345" t="s">
        <v>223</v>
      </c>
      <c r="S3886" s="345" t="s">
        <v>224</v>
      </c>
    </row>
    <row r="3887" spans="1:19" x14ac:dyDescent="0.25">
      <c r="A3887" s="311"/>
      <c r="B3887" s="312"/>
      <c r="C3887" s="312"/>
      <c r="D3887" s="312"/>
      <c r="E3887" s="312"/>
      <c r="F3887" s="312"/>
      <c r="G3887" s="328"/>
      <c r="H3887" s="337"/>
      <c r="I3887" s="334"/>
      <c r="J3887" s="314"/>
      <c r="K3887" s="449"/>
      <c r="M3887" s="349" t="str">
        <f>N3887&amp;AS[[#This Row],[Insurer Code]]&amp;"; "&amp;O3887&amp;AS[[#This Row],[Reporting Year]]&amp;"; "&amp;P3887&amp;AS[[#This Row],[Insurance Category Code]]&amp;"; "&amp;Q3887&amp;AS[[#This Row],[Large Provider Entity Code]]&amp;"; "&amp;R3887&amp;AS[[#This Row],[Age Band Code]]&amp;"; "&amp;S3887&amp;AS[[#This Row],[Sex Code]]</f>
        <v xml:space="preserve">Insurer Code ; Reporting Year ; Insurance Category Code ; Large Provider Entity Code ; Age Band Code ; Sex Code </v>
      </c>
      <c r="N3887" s="345" t="s">
        <v>207</v>
      </c>
      <c r="O3887" s="345" t="s">
        <v>208</v>
      </c>
      <c r="P3887" s="345" t="s">
        <v>209</v>
      </c>
      <c r="Q3887" s="345" t="s">
        <v>210</v>
      </c>
      <c r="R3887" s="345" t="s">
        <v>223</v>
      </c>
      <c r="S3887" s="345" t="s">
        <v>224</v>
      </c>
    </row>
    <row r="3888" spans="1:19" x14ac:dyDescent="0.25">
      <c r="A3888" s="311"/>
      <c r="B3888" s="312"/>
      <c r="C3888" s="312"/>
      <c r="D3888" s="312"/>
      <c r="E3888" s="312"/>
      <c r="F3888" s="312"/>
      <c r="G3888" s="328"/>
      <c r="H3888" s="337"/>
      <c r="I3888" s="334"/>
      <c r="J3888" s="314"/>
      <c r="K3888" s="449"/>
      <c r="M3888" s="349" t="str">
        <f>N3888&amp;AS[[#This Row],[Insurer Code]]&amp;"; "&amp;O3888&amp;AS[[#This Row],[Reporting Year]]&amp;"; "&amp;P3888&amp;AS[[#This Row],[Insurance Category Code]]&amp;"; "&amp;Q3888&amp;AS[[#This Row],[Large Provider Entity Code]]&amp;"; "&amp;R3888&amp;AS[[#This Row],[Age Band Code]]&amp;"; "&amp;S3888&amp;AS[[#This Row],[Sex Code]]</f>
        <v xml:space="preserve">Insurer Code ; Reporting Year ; Insurance Category Code ; Large Provider Entity Code ; Age Band Code ; Sex Code </v>
      </c>
      <c r="N3888" s="345" t="s">
        <v>207</v>
      </c>
      <c r="O3888" s="345" t="s">
        <v>208</v>
      </c>
      <c r="P3888" s="345" t="s">
        <v>209</v>
      </c>
      <c r="Q3888" s="345" t="s">
        <v>210</v>
      </c>
      <c r="R3888" s="345" t="s">
        <v>223</v>
      </c>
      <c r="S3888" s="345" t="s">
        <v>224</v>
      </c>
    </row>
    <row r="3889" spans="1:19" x14ac:dyDescent="0.25">
      <c r="A3889" s="311"/>
      <c r="B3889" s="312"/>
      <c r="C3889" s="312"/>
      <c r="D3889" s="312"/>
      <c r="E3889" s="312"/>
      <c r="F3889" s="312"/>
      <c r="G3889" s="328"/>
      <c r="H3889" s="337"/>
      <c r="I3889" s="334"/>
      <c r="J3889" s="314"/>
      <c r="K3889" s="449"/>
      <c r="M3889" s="349" t="str">
        <f>N3889&amp;AS[[#This Row],[Insurer Code]]&amp;"; "&amp;O3889&amp;AS[[#This Row],[Reporting Year]]&amp;"; "&amp;P3889&amp;AS[[#This Row],[Insurance Category Code]]&amp;"; "&amp;Q3889&amp;AS[[#This Row],[Large Provider Entity Code]]&amp;"; "&amp;R3889&amp;AS[[#This Row],[Age Band Code]]&amp;"; "&amp;S3889&amp;AS[[#This Row],[Sex Code]]</f>
        <v xml:space="preserve">Insurer Code ; Reporting Year ; Insurance Category Code ; Large Provider Entity Code ; Age Band Code ; Sex Code </v>
      </c>
      <c r="N3889" s="345" t="s">
        <v>207</v>
      </c>
      <c r="O3889" s="345" t="s">
        <v>208</v>
      </c>
      <c r="P3889" s="345" t="s">
        <v>209</v>
      </c>
      <c r="Q3889" s="345" t="s">
        <v>210</v>
      </c>
      <c r="R3889" s="345" t="s">
        <v>223</v>
      </c>
      <c r="S3889" s="345" t="s">
        <v>224</v>
      </c>
    </row>
    <row r="3890" spans="1:19" x14ac:dyDescent="0.25">
      <c r="A3890" s="311"/>
      <c r="B3890" s="312"/>
      <c r="C3890" s="312"/>
      <c r="D3890" s="312"/>
      <c r="E3890" s="312"/>
      <c r="F3890" s="312"/>
      <c r="G3890" s="328"/>
      <c r="H3890" s="337"/>
      <c r="I3890" s="334"/>
      <c r="J3890" s="314"/>
      <c r="K3890" s="449"/>
      <c r="M3890" s="349" t="str">
        <f>N3890&amp;AS[[#This Row],[Insurer Code]]&amp;"; "&amp;O3890&amp;AS[[#This Row],[Reporting Year]]&amp;"; "&amp;P3890&amp;AS[[#This Row],[Insurance Category Code]]&amp;"; "&amp;Q3890&amp;AS[[#This Row],[Large Provider Entity Code]]&amp;"; "&amp;R3890&amp;AS[[#This Row],[Age Band Code]]&amp;"; "&amp;S3890&amp;AS[[#This Row],[Sex Code]]</f>
        <v xml:space="preserve">Insurer Code ; Reporting Year ; Insurance Category Code ; Large Provider Entity Code ; Age Band Code ; Sex Code </v>
      </c>
      <c r="N3890" s="345" t="s">
        <v>207</v>
      </c>
      <c r="O3890" s="345" t="s">
        <v>208</v>
      </c>
      <c r="P3890" s="345" t="s">
        <v>209</v>
      </c>
      <c r="Q3890" s="345" t="s">
        <v>210</v>
      </c>
      <c r="R3890" s="345" t="s">
        <v>223</v>
      </c>
      <c r="S3890" s="345" t="s">
        <v>224</v>
      </c>
    </row>
    <row r="3891" spans="1:19" x14ac:dyDescent="0.25">
      <c r="A3891" s="311"/>
      <c r="B3891" s="312"/>
      <c r="C3891" s="312"/>
      <c r="D3891" s="312"/>
      <c r="E3891" s="312"/>
      <c r="F3891" s="312"/>
      <c r="G3891" s="328"/>
      <c r="H3891" s="337"/>
      <c r="I3891" s="334"/>
      <c r="J3891" s="314"/>
      <c r="K3891" s="449"/>
      <c r="M3891" s="349" t="str">
        <f>N3891&amp;AS[[#This Row],[Insurer Code]]&amp;"; "&amp;O3891&amp;AS[[#This Row],[Reporting Year]]&amp;"; "&amp;P3891&amp;AS[[#This Row],[Insurance Category Code]]&amp;"; "&amp;Q3891&amp;AS[[#This Row],[Large Provider Entity Code]]&amp;"; "&amp;R3891&amp;AS[[#This Row],[Age Band Code]]&amp;"; "&amp;S3891&amp;AS[[#This Row],[Sex Code]]</f>
        <v xml:space="preserve">Insurer Code ; Reporting Year ; Insurance Category Code ; Large Provider Entity Code ; Age Band Code ; Sex Code </v>
      </c>
      <c r="N3891" s="345" t="s">
        <v>207</v>
      </c>
      <c r="O3891" s="345" t="s">
        <v>208</v>
      </c>
      <c r="P3891" s="345" t="s">
        <v>209</v>
      </c>
      <c r="Q3891" s="345" t="s">
        <v>210</v>
      </c>
      <c r="R3891" s="345" t="s">
        <v>223</v>
      </c>
      <c r="S3891" s="345" t="s">
        <v>224</v>
      </c>
    </row>
    <row r="3892" spans="1:19" x14ac:dyDescent="0.25">
      <c r="A3892" s="311"/>
      <c r="B3892" s="312"/>
      <c r="C3892" s="312"/>
      <c r="D3892" s="312"/>
      <c r="E3892" s="312"/>
      <c r="F3892" s="312"/>
      <c r="G3892" s="328"/>
      <c r="H3892" s="337"/>
      <c r="I3892" s="334"/>
      <c r="J3892" s="314"/>
      <c r="K3892" s="449"/>
      <c r="M3892" s="349" t="str">
        <f>N3892&amp;AS[[#This Row],[Insurer Code]]&amp;"; "&amp;O3892&amp;AS[[#This Row],[Reporting Year]]&amp;"; "&amp;P3892&amp;AS[[#This Row],[Insurance Category Code]]&amp;"; "&amp;Q3892&amp;AS[[#This Row],[Large Provider Entity Code]]&amp;"; "&amp;R3892&amp;AS[[#This Row],[Age Band Code]]&amp;"; "&amp;S3892&amp;AS[[#This Row],[Sex Code]]</f>
        <v xml:space="preserve">Insurer Code ; Reporting Year ; Insurance Category Code ; Large Provider Entity Code ; Age Band Code ; Sex Code </v>
      </c>
      <c r="N3892" s="345" t="s">
        <v>207</v>
      </c>
      <c r="O3892" s="345" t="s">
        <v>208</v>
      </c>
      <c r="P3892" s="345" t="s">
        <v>209</v>
      </c>
      <c r="Q3892" s="345" t="s">
        <v>210</v>
      </c>
      <c r="R3892" s="345" t="s">
        <v>223</v>
      </c>
      <c r="S3892" s="345" t="s">
        <v>224</v>
      </c>
    </row>
    <row r="3893" spans="1:19" x14ac:dyDescent="0.25">
      <c r="A3893" s="311"/>
      <c r="B3893" s="312"/>
      <c r="C3893" s="312"/>
      <c r="D3893" s="312"/>
      <c r="E3893" s="312"/>
      <c r="F3893" s="312"/>
      <c r="G3893" s="328"/>
      <c r="H3893" s="337"/>
      <c r="I3893" s="334"/>
      <c r="J3893" s="314"/>
      <c r="K3893" s="449"/>
      <c r="M3893" s="349" t="str">
        <f>N3893&amp;AS[[#This Row],[Insurer Code]]&amp;"; "&amp;O3893&amp;AS[[#This Row],[Reporting Year]]&amp;"; "&amp;P3893&amp;AS[[#This Row],[Insurance Category Code]]&amp;"; "&amp;Q3893&amp;AS[[#This Row],[Large Provider Entity Code]]&amp;"; "&amp;R3893&amp;AS[[#This Row],[Age Band Code]]&amp;"; "&amp;S3893&amp;AS[[#This Row],[Sex Code]]</f>
        <v xml:space="preserve">Insurer Code ; Reporting Year ; Insurance Category Code ; Large Provider Entity Code ; Age Band Code ; Sex Code </v>
      </c>
      <c r="N3893" s="345" t="s">
        <v>207</v>
      </c>
      <c r="O3893" s="345" t="s">
        <v>208</v>
      </c>
      <c r="P3893" s="345" t="s">
        <v>209</v>
      </c>
      <c r="Q3893" s="345" t="s">
        <v>210</v>
      </c>
      <c r="R3893" s="345" t="s">
        <v>223</v>
      </c>
      <c r="S3893" s="345" t="s">
        <v>224</v>
      </c>
    </row>
    <row r="3894" spans="1:19" x14ac:dyDescent="0.25">
      <c r="A3894" s="311"/>
      <c r="B3894" s="312"/>
      <c r="C3894" s="312"/>
      <c r="D3894" s="312"/>
      <c r="E3894" s="312"/>
      <c r="F3894" s="312"/>
      <c r="G3894" s="328"/>
      <c r="H3894" s="337"/>
      <c r="I3894" s="334"/>
      <c r="J3894" s="314"/>
      <c r="K3894" s="449"/>
      <c r="M3894" s="349" t="str">
        <f>N3894&amp;AS[[#This Row],[Insurer Code]]&amp;"; "&amp;O3894&amp;AS[[#This Row],[Reporting Year]]&amp;"; "&amp;P3894&amp;AS[[#This Row],[Insurance Category Code]]&amp;"; "&amp;Q3894&amp;AS[[#This Row],[Large Provider Entity Code]]&amp;"; "&amp;R3894&amp;AS[[#This Row],[Age Band Code]]&amp;"; "&amp;S3894&amp;AS[[#This Row],[Sex Code]]</f>
        <v xml:space="preserve">Insurer Code ; Reporting Year ; Insurance Category Code ; Large Provider Entity Code ; Age Band Code ; Sex Code </v>
      </c>
      <c r="N3894" s="345" t="s">
        <v>207</v>
      </c>
      <c r="O3894" s="345" t="s">
        <v>208</v>
      </c>
      <c r="P3894" s="345" t="s">
        <v>209</v>
      </c>
      <c r="Q3894" s="345" t="s">
        <v>210</v>
      </c>
      <c r="R3894" s="345" t="s">
        <v>223</v>
      </c>
      <c r="S3894" s="345" t="s">
        <v>224</v>
      </c>
    </row>
    <row r="3895" spans="1:19" x14ac:dyDescent="0.25">
      <c r="A3895" s="311"/>
      <c r="B3895" s="312"/>
      <c r="C3895" s="312"/>
      <c r="D3895" s="312"/>
      <c r="E3895" s="312"/>
      <c r="F3895" s="312"/>
      <c r="G3895" s="328"/>
      <c r="H3895" s="337"/>
      <c r="I3895" s="334"/>
      <c r="J3895" s="314"/>
      <c r="K3895" s="449"/>
      <c r="M3895" s="349" t="str">
        <f>N3895&amp;AS[[#This Row],[Insurer Code]]&amp;"; "&amp;O3895&amp;AS[[#This Row],[Reporting Year]]&amp;"; "&amp;P3895&amp;AS[[#This Row],[Insurance Category Code]]&amp;"; "&amp;Q3895&amp;AS[[#This Row],[Large Provider Entity Code]]&amp;"; "&amp;R3895&amp;AS[[#This Row],[Age Band Code]]&amp;"; "&amp;S3895&amp;AS[[#This Row],[Sex Code]]</f>
        <v xml:space="preserve">Insurer Code ; Reporting Year ; Insurance Category Code ; Large Provider Entity Code ; Age Band Code ; Sex Code </v>
      </c>
      <c r="N3895" s="345" t="s">
        <v>207</v>
      </c>
      <c r="O3895" s="345" t="s">
        <v>208</v>
      </c>
      <c r="P3895" s="345" t="s">
        <v>209</v>
      </c>
      <c r="Q3895" s="345" t="s">
        <v>210</v>
      </c>
      <c r="R3895" s="345" t="s">
        <v>223</v>
      </c>
      <c r="S3895" s="345" t="s">
        <v>224</v>
      </c>
    </row>
    <row r="3896" spans="1:19" x14ac:dyDescent="0.25">
      <c r="A3896" s="311"/>
      <c r="B3896" s="312"/>
      <c r="C3896" s="312"/>
      <c r="D3896" s="312"/>
      <c r="E3896" s="312"/>
      <c r="F3896" s="312"/>
      <c r="G3896" s="328"/>
      <c r="H3896" s="337"/>
      <c r="I3896" s="334"/>
      <c r="J3896" s="314"/>
      <c r="K3896" s="449"/>
      <c r="M3896" s="349" t="str">
        <f>N3896&amp;AS[[#This Row],[Insurer Code]]&amp;"; "&amp;O3896&amp;AS[[#This Row],[Reporting Year]]&amp;"; "&amp;P3896&amp;AS[[#This Row],[Insurance Category Code]]&amp;"; "&amp;Q3896&amp;AS[[#This Row],[Large Provider Entity Code]]&amp;"; "&amp;R3896&amp;AS[[#This Row],[Age Band Code]]&amp;"; "&amp;S3896&amp;AS[[#This Row],[Sex Code]]</f>
        <v xml:space="preserve">Insurer Code ; Reporting Year ; Insurance Category Code ; Large Provider Entity Code ; Age Band Code ; Sex Code </v>
      </c>
      <c r="N3896" s="345" t="s">
        <v>207</v>
      </c>
      <c r="O3896" s="345" t="s">
        <v>208</v>
      </c>
      <c r="P3896" s="345" t="s">
        <v>209</v>
      </c>
      <c r="Q3896" s="345" t="s">
        <v>210</v>
      </c>
      <c r="R3896" s="345" t="s">
        <v>223</v>
      </c>
      <c r="S3896" s="345" t="s">
        <v>224</v>
      </c>
    </row>
    <row r="3897" spans="1:19" x14ac:dyDescent="0.25">
      <c r="A3897" s="311"/>
      <c r="B3897" s="312"/>
      <c r="C3897" s="312"/>
      <c r="D3897" s="312"/>
      <c r="E3897" s="312"/>
      <c r="F3897" s="312"/>
      <c r="G3897" s="328"/>
      <c r="H3897" s="337"/>
      <c r="I3897" s="334"/>
      <c r="J3897" s="314"/>
      <c r="K3897" s="449"/>
      <c r="M3897" s="349" t="str">
        <f>N3897&amp;AS[[#This Row],[Insurer Code]]&amp;"; "&amp;O3897&amp;AS[[#This Row],[Reporting Year]]&amp;"; "&amp;P3897&amp;AS[[#This Row],[Insurance Category Code]]&amp;"; "&amp;Q3897&amp;AS[[#This Row],[Large Provider Entity Code]]&amp;"; "&amp;R3897&amp;AS[[#This Row],[Age Band Code]]&amp;"; "&amp;S3897&amp;AS[[#This Row],[Sex Code]]</f>
        <v xml:space="preserve">Insurer Code ; Reporting Year ; Insurance Category Code ; Large Provider Entity Code ; Age Band Code ; Sex Code </v>
      </c>
      <c r="N3897" s="345" t="s">
        <v>207</v>
      </c>
      <c r="O3897" s="345" t="s">
        <v>208</v>
      </c>
      <c r="P3897" s="345" t="s">
        <v>209</v>
      </c>
      <c r="Q3897" s="345" t="s">
        <v>210</v>
      </c>
      <c r="R3897" s="345" t="s">
        <v>223</v>
      </c>
      <c r="S3897" s="345" t="s">
        <v>224</v>
      </c>
    </row>
    <row r="3898" spans="1:19" x14ac:dyDescent="0.25">
      <c r="A3898" s="311"/>
      <c r="B3898" s="312"/>
      <c r="C3898" s="312"/>
      <c r="D3898" s="312"/>
      <c r="E3898" s="312"/>
      <c r="F3898" s="312"/>
      <c r="G3898" s="328"/>
      <c r="H3898" s="337"/>
      <c r="I3898" s="334"/>
      <c r="J3898" s="314"/>
      <c r="K3898" s="449"/>
      <c r="M3898" s="349" t="str">
        <f>N3898&amp;AS[[#This Row],[Insurer Code]]&amp;"; "&amp;O3898&amp;AS[[#This Row],[Reporting Year]]&amp;"; "&amp;P3898&amp;AS[[#This Row],[Insurance Category Code]]&amp;"; "&amp;Q3898&amp;AS[[#This Row],[Large Provider Entity Code]]&amp;"; "&amp;R3898&amp;AS[[#This Row],[Age Band Code]]&amp;"; "&amp;S3898&amp;AS[[#This Row],[Sex Code]]</f>
        <v xml:space="preserve">Insurer Code ; Reporting Year ; Insurance Category Code ; Large Provider Entity Code ; Age Band Code ; Sex Code </v>
      </c>
      <c r="N3898" s="345" t="s">
        <v>207</v>
      </c>
      <c r="O3898" s="345" t="s">
        <v>208</v>
      </c>
      <c r="P3898" s="345" t="s">
        <v>209</v>
      </c>
      <c r="Q3898" s="345" t="s">
        <v>210</v>
      </c>
      <c r="R3898" s="345" t="s">
        <v>223</v>
      </c>
      <c r="S3898" s="345" t="s">
        <v>224</v>
      </c>
    </row>
    <row r="3899" spans="1:19" x14ac:dyDescent="0.25">
      <c r="A3899" s="311"/>
      <c r="B3899" s="312"/>
      <c r="C3899" s="312"/>
      <c r="D3899" s="312"/>
      <c r="E3899" s="312"/>
      <c r="F3899" s="312"/>
      <c r="G3899" s="328"/>
      <c r="H3899" s="337"/>
      <c r="I3899" s="334"/>
      <c r="J3899" s="314"/>
      <c r="K3899" s="449"/>
      <c r="M3899" s="349" t="str">
        <f>N3899&amp;AS[[#This Row],[Insurer Code]]&amp;"; "&amp;O3899&amp;AS[[#This Row],[Reporting Year]]&amp;"; "&amp;P3899&amp;AS[[#This Row],[Insurance Category Code]]&amp;"; "&amp;Q3899&amp;AS[[#This Row],[Large Provider Entity Code]]&amp;"; "&amp;R3899&amp;AS[[#This Row],[Age Band Code]]&amp;"; "&amp;S3899&amp;AS[[#This Row],[Sex Code]]</f>
        <v xml:space="preserve">Insurer Code ; Reporting Year ; Insurance Category Code ; Large Provider Entity Code ; Age Band Code ; Sex Code </v>
      </c>
      <c r="N3899" s="345" t="s">
        <v>207</v>
      </c>
      <c r="O3899" s="345" t="s">
        <v>208</v>
      </c>
      <c r="P3899" s="345" t="s">
        <v>209</v>
      </c>
      <c r="Q3899" s="345" t="s">
        <v>210</v>
      </c>
      <c r="R3899" s="345" t="s">
        <v>223</v>
      </c>
      <c r="S3899" s="345" t="s">
        <v>224</v>
      </c>
    </row>
    <row r="3900" spans="1:19" x14ac:dyDescent="0.25">
      <c r="A3900" s="311"/>
      <c r="B3900" s="312"/>
      <c r="C3900" s="312"/>
      <c r="D3900" s="312"/>
      <c r="E3900" s="312"/>
      <c r="F3900" s="312"/>
      <c r="G3900" s="328"/>
      <c r="H3900" s="337"/>
      <c r="I3900" s="334"/>
      <c r="J3900" s="314"/>
      <c r="K3900" s="449"/>
      <c r="M3900" s="349" t="str">
        <f>N3900&amp;AS[[#This Row],[Insurer Code]]&amp;"; "&amp;O3900&amp;AS[[#This Row],[Reporting Year]]&amp;"; "&amp;P3900&amp;AS[[#This Row],[Insurance Category Code]]&amp;"; "&amp;Q3900&amp;AS[[#This Row],[Large Provider Entity Code]]&amp;"; "&amp;R3900&amp;AS[[#This Row],[Age Band Code]]&amp;"; "&amp;S3900&amp;AS[[#This Row],[Sex Code]]</f>
        <v xml:space="preserve">Insurer Code ; Reporting Year ; Insurance Category Code ; Large Provider Entity Code ; Age Band Code ; Sex Code </v>
      </c>
      <c r="N3900" s="345" t="s">
        <v>207</v>
      </c>
      <c r="O3900" s="345" t="s">
        <v>208</v>
      </c>
      <c r="P3900" s="345" t="s">
        <v>209</v>
      </c>
      <c r="Q3900" s="345" t="s">
        <v>210</v>
      </c>
      <c r="R3900" s="345" t="s">
        <v>223</v>
      </c>
      <c r="S3900" s="345" t="s">
        <v>224</v>
      </c>
    </row>
    <row r="3901" spans="1:19" x14ac:dyDescent="0.25">
      <c r="A3901" s="311"/>
      <c r="B3901" s="312"/>
      <c r="C3901" s="312"/>
      <c r="D3901" s="312"/>
      <c r="E3901" s="312"/>
      <c r="F3901" s="312"/>
      <c r="G3901" s="328"/>
      <c r="H3901" s="337"/>
      <c r="I3901" s="334"/>
      <c r="J3901" s="314"/>
      <c r="K3901" s="449"/>
      <c r="M3901" s="349" t="str">
        <f>N3901&amp;AS[[#This Row],[Insurer Code]]&amp;"; "&amp;O3901&amp;AS[[#This Row],[Reporting Year]]&amp;"; "&amp;P3901&amp;AS[[#This Row],[Insurance Category Code]]&amp;"; "&amp;Q3901&amp;AS[[#This Row],[Large Provider Entity Code]]&amp;"; "&amp;R3901&amp;AS[[#This Row],[Age Band Code]]&amp;"; "&amp;S3901&amp;AS[[#This Row],[Sex Code]]</f>
        <v xml:space="preserve">Insurer Code ; Reporting Year ; Insurance Category Code ; Large Provider Entity Code ; Age Band Code ; Sex Code </v>
      </c>
      <c r="N3901" s="345" t="s">
        <v>207</v>
      </c>
      <c r="O3901" s="345" t="s">
        <v>208</v>
      </c>
      <c r="P3901" s="345" t="s">
        <v>209</v>
      </c>
      <c r="Q3901" s="345" t="s">
        <v>210</v>
      </c>
      <c r="R3901" s="345" t="s">
        <v>223</v>
      </c>
      <c r="S3901" s="345" t="s">
        <v>224</v>
      </c>
    </row>
    <row r="3902" spans="1:19" x14ac:dyDescent="0.25">
      <c r="A3902" s="311"/>
      <c r="B3902" s="312"/>
      <c r="C3902" s="312"/>
      <c r="D3902" s="312"/>
      <c r="E3902" s="312"/>
      <c r="F3902" s="312"/>
      <c r="G3902" s="328"/>
      <c r="H3902" s="337"/>
      <c r="I3902" s="334"/>
      <c r="J3902" s="314"/>
      <c r="K3902" s="449"/>
      <c r="M3902" s="349" t="str">
        <f>N3902&amp;AS[[#This Row],[Insurer Code]]&amp;"; "&amp;O3902&amp;AS[[#This Row],[Reporting Year]]&amp;"; "&amp;P3902&amp;AS[[#This Row],[Insurance Category Code]]&amp;"; "&amp;Q3902&amp;AS[[#This Row],[Large Provider Entity Code]]&amp;"; "&amp;R3902&amp;AS[[#This Row],[Age Band Code]]&amp;"; "&amp;S3902&amp;AS[[#This Row],[Sex Code]]</f>
        <v xml:space="preserve">Insurer Code ; Reporting Year ; Insurance Category Code ; Large Provider Entity Code ; Age Band Code ; Sex Code </v>
      </c>
      <c r="N3902" s="345" t="s">
        <v>207</v>
      </c>
      <c r="O3902" s="345" t="s">
        <v>208</v>
      </c>
      <c r="P3902" s="345" t="s">
        <v>209</v>
      </c>
      <c r="Q3902" s="345" t="s">
        <v>210</v>
      </c>
      <c r="R3902" s="345" t="s">
        <v>223</v>
      </c>
      <c r="S3902" s="345" t="s">
        <v>224</v>
      </c>
    </row>
    <row r="3903" spans="1:19" x14ac:dyDescent="0.25">
      <c r="A3903" s="311"/>
      <c r="B3903" s="312"/>
      <c r="C3903" s="312"/>
      <c r="D3903" s="312"/>
      <c r="E3903" s="312"/>
      <c r="F3903" s="312"/>
      <c r="G3903" s="328"/>
      <c r="H3903" s="337"/>
      <c r="I3903" s="334"/>
      <c r="J3903" s="314"/>
      <c r="K3903" s="449"/>
      <c r="M3903" s="349" t="str">
        <f>N3903&amp;AS[[#This Row],[Insurer Code]]&amp;"; "&amp;O3903&amp;AS[[#This Row],[Reporting Year]]&amp;"; "&amp;P3903&amp;AS[[#This Row],[Insurance Category Code]]&amp;"; "&amp;Q3903&amp;AS[[#This Row],[Large Provider Entity Code]]&amp;"; "&amp;R3903&amp;AS[[#This Row],[Age Band Code]]&amp;"; "&amp;S3903&amp;AS[[#This Row],[Sex Code]]</f>
        <v xml:space="preserve">Insurer Code ; Reporting Year ; Insurance Category Code ; Large Provider Entity Code ; Age Band Code ; Sex Code </v>
      </c>
      <c r="N3903" s="345" t="s">
        <v>207</v>
      </c>
      <c r="O3903" s="345" t="s">
        <v>208</v>
      </c>
      <c r="P3903" s="345" t="s">
        <v>209</v>
      </c>
      <c r="Q3903" s="345" t="s">
        <v>210</v>
      </c>
      <c r="R3903" s="345" t="s">
        <v>223</v>
      </c>
      <c r="S3903" s="345" t="s">
        <v>224</v>
      </c>
    </row>
    <row r="3904" spans="1:19" x14ac:dyDescent="0.25">
      <c r="A3904" s="311"/>
      <c r="B3904" s="312"/>
      <c r="C3904" s="312"/>
      <c r="D3904" s="312"/>
      <c r="E3904" s="312"/>
      <c r="F3904" s="312"/>
      <c r="G3904" s="328"/>
      <c r="H3904" s="337"/>
      <c r="I3904" s="334"/>
      <c r="J3904" s="314"/>
      <c r="K3904" s="449"/>
      <c r="M3904" s="349" t="str">
        <f>N3904&amp;AS[[#This Row],[Insurer Code]]&amp;"; "&amp;O3904&amp;AS[[#This Row],[Reporting Year]]&amp;"; "&amp;P3904&amp;AS[[#This Row],[Insurance Category Code]]&amp;"; "&amp;Q3904&amp;AS[[#This Row],[Large Provider Entity Code]]&amp;"; "&amp;R3904&amp;AS[[#This Row],[Age Band Code]]&amp;"; "&amp;S3904&amp;AS[[#This Row],[Sex Code]]</f>
        <v xml:space="preserve">Insurer Code ; Reporting Year ; Insurance Category Code ; Large Provider Entity Code ; Age Band Code ; Sex Code </v>
      </c>
      <c r="N3904" s="345" t="s">
        <v>207</v>
      </c>
      <c r="O3904" s="345" t="s">
        <v>208</v>
      </c>
      <c r="P3904" s="345" t="s">
        <v>209</v>
      </c>
      <c r="Q3904" s="345" t="s">
        <v>210</v>
      </c>
      <c r="R3904" s="345" t="s">
        <v>223</v>
      </c>
      <c r="S3904" s="345" t="s">
        <v>224</v>
      </c>
    </row>
    <row r="3905" spans="1:19" x14ac:dyDescent="0.25">
      <c r="A3905" s="311"/>
      <c r="B3905" s="312"/>
      <c r="C3905" s="312"/>
      <c r="D3905" s="312"/>
      <c r="E3905" s="312"/>
      <c r="F3905" s="312"/>
      <c r="G3905" s="328"/>
      <c r="H3905" s="337"/>
      <c r="I3905" s="334"/>
      <c r="J3905" s="314"/>
      <c r="K3905" s="449"/>
      <c r="M3905" s="349" t="str">
        <f>N3905&amp;AS[[#This Row],[Insurer Code]]&amp;"; "&amp;O3905&amp;AS[[#This Row],[Reporting Year]]&amp;"; "&amp;P3905&amp;AS[[#This Row],[Insurance Category Code]]&amp;"; "&amp;Q3905&amp;AS[[#This Row],[Large Provider Entity Code]]&amp;"; "&amp;R3905&amp;AS[[#This Row],[Age Band Code]]&amp;"; "&amp;S3905&amp;AS[[#This Row],[Sex Code]]</f>
        <v xml:space="preserve">Insurer Code ; Reporting Year ; Insurance Category Code ; Large Provider Entity Code ; Age Band Code ; Sex Code </v>
      </c>
      <c r="N3905" s="345" t="s">
        <v>207</v>
      </c>
      <c r="O3905" s="345" t="s">
        <v>208</v>
      </c>
      <c r="P3905" s="345" t="s">
        <v>209</v>
      </c>
      <c r="Q3905" s="345" t="s">
        <v>210</v>
      </c>
      <c r="R3905" s="345" t="s">
        <v>223</v>
      </c>
      <c r="S3905" s="345" t="s">
        <v>224</v>
      </c>
    </row>
    <row r="3906" spans="1:19" x14ac:dyDescent="0.25">
      <c r="A3906" s="311"/>
      <c r="B3906" s="312"/>
      <c r="C3906" s="312"/>
      <c r="D3906" s="312"/>
      <c r="E3906" s="312"/>
      <c r="F3906" s="312"/>
      <c r="G3906" s="328"/>
      <c r="H3906" s="337"/>
      <c r="I3906" s="334"/>
      <c r="J3906" s="314"/>
      <c r="K3906" s="449"/>
      <c r="M3906" s="349" t="str">
        <f>N3906&amp;AS[[#This Row],[Insurer Code]]&amp;"; "&amp;O3906&amp;AS[[#This Row],[Reporting Year]]&amp;"; "&amp;P3906&amp;AS[[#This Row],[Insurance Category Code]]&amp;"; "&amp;Q3906&amp;AS[[#This Row],[Large Provider Entity Code]]&amp;"; "&amp;R3906&amp;AS[[#This Row],[Age Band Code]]&amp;"; "&amp;S3906&amp;AS[[#This Row],[Sex Code]]</f>
        <v xml:space="preserve">Insurer Code ; Reporting Year ; Insurance Category Code ; Large Provider Entity Code ; Age Band Code ; Sex Code </v>
      </c>
      <c r="N3906" s="345" t="s">
        <v>207</v>
      </c>
      <c r="O3906" s="345" t="s">
        <v>208</v>
      </c>
      <c r="P3906" s="345" t="s">
        <v>209</v>
      </c>
      <c r="Q3906" s="345" t="s">
        <v>210</v>
      </c>
      <c r="R3906" s="345" t="s">
        <v>223</v>
      </c>
      <c r="S3906" s="345" t="s">
        <v>224</v>
      </c>
    </row>
    <row r="3907" spans="1:19" x14ac:dyDescent="0.25">
      <c r="A3907" s="311"/>
      <c r="B3907" s="312"/>
      <c r="C3907" s="312"/>
      <c r="D3907" s="312"/>
      <c r="E3907" s="312"/>
      <c r="F3907" s="312"/>
      <c r="G3907" s="328"/>
      <c r="H3907" s="337"/>
      <c r="I3907" s="334"/>
      <c r="J3907" s="314"/>
      <c r="K3907" s="449"/>
      <c r="M3907" s="349" t="str">
        <f>N3907&amp;AS[[#This Row],[Insurer Code]]&amp;"; "&amp;O3907&amp;AS[[#This Row],[Reporting Year]]&amp;"; "&amp;P3907&amp;AS[[#This Row],[Insurance Category Code]]&amp;"; "&amp;Q3907&amp;AS[[#This Row],[Large Provider Entity Code]]&amp;"; "&amp;R3907&amp;AS[[#This Row],[Age Band Code]]&amp;"; "&amp;S3907&amp;AS[[#This Row],[Sex Code]]</f>
        <v xml:space="preserve">Insurer Code ; Reporting Year ; Insurance Category Code ; Large Provider Entity Code ; Age Band Code ; Sex Code </v>
      </c>
      <c r="N3907" s="345" t="s">
        <v>207</v>
      </c>
      <c r="O3907" s="345" t="s">
        <v>208</v>
      </c>
      <c r="P3907" s="345" t="s">
        <v>209</v>
      </c>
      <c r="Q3907" s="345" t="s">
        <v>210</v>
      </c>
      <c r="R3907" s="345" t="s">
        <v>223</v>
      </c>
      <c r="S3907" s="345" t="s">
        <v>224</v>
      </c>
    </row>
    <row r="3908" spans="1:19" x14ac:dyDescent="0.25">
      <c r="A3908" s="311"/>
      <c r="B3908" s="312"/>
      <c r="C3908" s="312"/>
      <c r="D3908" s="312"/>
      <c r="E3908" s="312"/>
      <c r="F3908" s="312"/>
      <c r="G3908" s="328"/>
      <c r="H3908" s="337"/>
      <c r="I3908" s="334"/>
      <c r="J3908" s="314"/>
      <c r="K3908" s="449"/>
      <c r="M3908" s="349" t="str">
        <f>N3908&amp;AS[[#This Row],[Insurer Code]]&amp;"; "&amp;O3908&amp;AS[[#This Row],[Reporting Year]]&amp;"; "&amp;P3908&amp;AS[[#This Row],[Insurance Category Code]]&amp;"; "&amp;Q3908&amp;AS[[#This Row],[Large Provider Entity Code]]&amp;"; "&amp;R3908&amp;AS[[#This Row],[Age Band Code]]&amp;"; "&amp;S3908&amp;AS[[#This Row],[Sex Code]]</f>
        <v xml:space="preserve">Insurer Code ; Reporting Year ; Insurance Category Code ; Large Provider Entity Code ; Age Band Code ; Sex Code </v>
      </c>
      <c r="N3908" s="345" t="s">
        <v>207</v>
      </c>
      <c r="O3908" s="345" t="s">
        <v>208</v>
      </c>
      <c r="P3908" s="345" t="s">
        <v>209</v>
      </c>
      <c r="Q3908" s="345" t="s">
        <v>210</v>
      </c>
      <c r="R3908" s="345" t="s">
        <v>223</v>
      </c>
      <c r="S3908" s="345" t="s">
        <v>224</v>
      </c>
    </row>
    <row r="3909" spans="1:19" x14ac:dyDescent="0.25">
      <c r="A3909" s="311"/>
      <c r="B3909" s="312"/>
      <c r="C3909" s="312"/>
      <c r="D3909" s="312"/>
      <c r="E3909" s="312"/>
      <c r="F3909" s="312"/>
      <c r="G3909" s="328"/>
      <c r="H3909" s="337"/>
      <c r="I3909" s="334"/>
      <c r="J3909" s="314"/>
      <c r="K3909" s="449"/>
      <c r="M3909" s="349" t="str">
        <f>N3909&amp;AS[[#This Row],[Insurer Code]]&amp;"; "&amp;O3909&amp;AS[[#This Row],[Reporting Year]]&amp;"; "&amp;P3909&amp;AS[[#This Row],[Insurance Category Code]]&amp;"; "&amp;Q3909&amp;AS[[#This Row],[Large Provider Entity Code]]&amp;"; "&amp;R3909&amp;AS[[#This Row],[Age Band Code]]&amp;"; "&amp;S3909&amp;AS[[#This Row],[Sex Code]]</f>
        <v xml:space="preserve">Insurer Code ; Reporting Year ; Insurance Category Code ; Large Provider Entity Code ; Age Band Code ; Sex Code </v>
      </c>
      <c r="N3909" s="345" t="s">
        <v>207</v>
      </c>
      <c r="O3909" s="345" t="s">
        <v>208</v>
      </c>
      <c r="P3909" s="345" t="s">
        <v>209</v>
      </c>
      <c r="Q3909" s="345" t="s">
        <v>210</v>
      </c>
      <c r="R3909" s="345" t="s">
        <v>223</v>
      </c>
      <c r="S3909" s="345" t="s">
        <v>224</v>
      </c>
    </row>
    <row r="3910" spans="1:19" x14ac:dyDescent="0.25">
      <c r="A3910" s="311"/>
      <c r="B3910" s="312"/>
      <c r="C3910" s="312"/>
      <c r="D3910" s="312"/>
      <c r="E3910" s="312"/>
      <c r="F3910" s="312"/>
      <c r="G3910" s="328"/>
      <c r="H3910" s="337"/>
      <c r="I3910" s="334"/>
      <c r="J3910" s="314"/>
      <c r="K3910" s="449"/>
      <c r="M3910" s="349" t="str">
        <f>N3910&amp;AS[[#This Row],[Insurer Code]]&amp;"; "&amp;O3910&amp;AS[[#This Row],[Reporting Year]]&amp;"; "&amp;P3910&amp;AS[[#This Row],[Insurance Category Code]]&amp;"; "&amp;Q3910&amp;AS[[#This Row],[Large Provider Entity Code]]&amp;"; "&amp;R3910&amp;AS[[#This Row],[Age Band Code]]&amp;"; "&amp;S3910&amp;AS[[#This Row],[Sex Code]]</f>
        <v xml:space="preserve">Insurer Code ; Reporting Year ; Insurance Category Code ; Large Provider Entity Code ; Age Band Code ; Sex Code </v>
      </c>
      <c r="N3910" s="345" t="s">
        <v>207</v>
      </c>
      <c r="O3910" s="345" t="s">
        <v>208</v>
      </c>
      <c r="P3910" s="345" t="s">
        <v>209</v>
      </c>
      <c r="Q3910" s="345" t="s">
        <v>210</v>
      </c>
      <c r="R3910" s="345" t="s">
        <v>223</v>
      </c>
      <c r="S3910" s="345" t="s">
        <v>224</v>
      </c>
    </row>
    <row r="3911" spans="1:19" x14ac:dyDescent="0.25">
      <c r="A3911" s="311"/>
      <c r="B3911" s="312"/>
      <c r="C3911" s="312"/>
      <c r="D3911" s="312"/>
      <c r="E3911" s="312"/>
      <c r="F3911" s="312"/>
      <c r="G3911" s="328"/>
      <c r="H3911" s="337"/>
      <c r="I3911" s="334"/>
      <c r="J3911" s="314"/>
      <c r="K3911" s="449"/>
      <c r="M3911" s="349" t="str">
        <f>N3911&amp;AS[[#This Row],[Insurer Code]]&amp;"; "&amp;O3911&amp;AS[[#This Row],[Reporting Year]]&amp;"; "&amp;P3911&amp;AS[[#This Row],[Insurance Category Code]]&amp;"; "&amp;Q3911&amp;AS[[#This Row],[Large Provider Entity Code]]&amp;"; "&amp;R3911&amp;AS[[#This Row],[Age Band Code]]&amp;"; "&amp;S3911&amp;AS[[#This Row],[Sex Code]]</f>
        <v xml:space="preserve">Insurer Code ; Reporting Year ; Insurance Category Code ; Large Provider Entity Code ; Age Band Code ; Sex Code </v>
      </c>
      <c r="N3911" s="345" t="s">
        <v>207</v>
      </c>
      <c r="O3911" s="345" t="s">
        <v>208</v>
      </c>
      <c r="P3911" s="345" t="s">
        <v>209</v>
      </c>
      <c r="Q3911" s="345" t="s">
        <v>210</v>
      </c>
      <c r="R3911" s="345" t="s">
        <v>223</v>
      </c>
      <c r="S3911" s="345" t="s">
        <v>224</v>
      </c>
    </row>
    <row r="3912" spans="1:19" x14ac:dyDescent="0.25">
      <c r="A3912" s="311"/>
      <c r="B3912" s="312"/>
      <c r="C3912" s="312"/>
      <c r="D3912" s="312"/>
      <c r="E3912" s="312"/>
      <c r="F3912" s="312"/>
      <c r="G3912" s="328"/>
      <c r="H3912" s="337"/>
      <c r="I3912" s="334"/>
      <c r="J3912" s="314"/>
      <c r="K3912" s="449"/>
      <c r="M3912" s="349" t="str">
        <f>N3912&amp;AS[[#This Row],[Insurer Code]]&amp;"; "&amp;O3912&amp;AS[[#This Row],[Reporting Year]]&amp;"; "&amp;P3912&amp;AS[[#This Row],[Insurance Category Code]]&amp;"; "&amp;Q3912&amp;AS[[#This Row],[Large Provider Entity Code]]&amp;"; "&amp;R3912&amp;AS[[#This Row],[Age Band Code]]&amp;"; "&amp;S3912&amp;AS[[#This Row],[Sex Code]]</f>
        <v xml:space="preserve">Insurer Code ; Reporting Year ; Insurance Category Code ; Large Provider Entity Code ; Age Band Code ; Sex Code </v>
      </c>
      <c r="N3912" s="345" t="s">
        <v>207</v>
      </c>
      <c r="O3912" s="345" t="s">
        <v>208</v>
      </c>
      <c r="P3912" s="345" t="s">
        <v>209</v>
      </c>
      <c r="Q3912" s="345" t="s">
        <v>210</v>
      </c>
      <c r="R3912" s="345" t="s">
        <v>223</v>
      </c>
      <c r="S3912" s="345" t="s">
        <v>224</v>
      </c>
    </row>
    <row r="3913" spans="1:19" x14ac:dyDescent="0.25">
      <c r="A3913" s="311"/>
      <c r="B3913" s="312"/>
      <c r="C3913" s="312"/>
      <c r="D3913" s="312"/>
      <c r="E3913" s="312"/>
      <c r="F3913" s="312"/>
      <c r="G3913" s="328"/>
      <c r="H3913" s="337"/>
      <c r="I3913" s="334"/>
      <c r="J3913" s="314"/>
      <c r="K3913" s="449"/>
      <c r="M3913" s="349" t="str">
        <f>N3913&amp;AS[[#This Row],[Insurer Code]]&amp;"; "&amp;O3913&amp;AS[[#This Row],[Reporting Year]]&amp;"; "&amp;P3913&amp;AS[[#This Row],[Insurance Category Code]]&amp;"; "&amp;Q3913&amp;AS[[#This Row],[Large Provider Entity Code]]&amp;"; "&amp;R3913&amp;AS[[#This Row],[Age Band Code]]&amp;"; "&amp;S3913&amp;AS[[#This Row],[Sex Code]]</f>
        <v xml:space="preserve">Insurer Code ; Reporting Year ; Insurance Category Code ; Large Provider Entity Code ; Age Band Code ; Sex Code </v>
      </c>
      <c r="N3913" s="345" t="s">
        <v>207</v>
      </c>
      <c r="O3913" s="345" t="s">
        <v>208</v>
      </c>
      <c r="P3913" s="345" t="s">
        <v>209</v>
      </c>
      <c r="Q3913" s="345" t="s">
        <v>210</v>
      </c>
      <c r="R3913" s="345" t="s">
        <v>223</v>
      </c>
      <c r="S3913" s="345" t="s">
        <v>224</v>
      </c>
    </row>
    <row r="3914" spans="1:19" x14ac:dyDescent="0.25">
      <c r="A3914" s="311"/>
      <c r="B3914" s="312"/>
      <c r="C3914" s="312"/>
      <c r="D3914" s="312"/>
      <c r="E3914" s="312"/>
      <c r="F3914" s="312"/>
      <c r="G3914" s="328"/>
      <c r="H3914" s="337"/>
      <c r="I3914" s="334"/>
      <c r="J3914" s="314"/>
      <c r="K3914" s="449"/>
      <c r="M3914" s="349" t="str">
        <f>N3914&amp;AS[[#This Row],[Insurer Code]]&amp;"; "&amp;O3914&amp;AS[[#This Row],[Reporting Year]]&amp;"; "&amp;P3914&amp;AS[[#This Row],[Insurance Category Code]]&amp;"; "&amp;Q3914&amp;AS[[#This Row],[Large Provider Entity Code]]&amp;"; "&amp;R3914&amp;AS[[#This Row],[Age Band Code]]&amp;"; "&amp;S3914&amp;AS[[#This Row],[Sex Code]]</f>
        <v xml:space="preserve">Insurer Code ; Reporting Year ; Insurance Category Code ; Large Provider Entity Code ; Age Band Code ; Sex Code </v>
      </c>
      <c r="N3914" s="345" t="s">
        <v>207</v>
      </c>
      <c r="O3914" s="345" t="s">
        <v>208</v>
      </c>
      <c r="P3914" s="345" t="s">
        <v>209</v>
      </c>
      <c r="Q3914" s="345" t="s">
        <v>210</v>
      </c>
      <c r="R3914" s="345" t="s">
        <v>223</v>
      </c>
      <c r="S3914" s="345" t="s">
        <v>224</v>
      </c>
    </row>
    <row r="3915" spans="1:19" x14ac:dyDescent="0.25">
      <c r="A3915" s="311"/>
      <c r="B3915" s="312"/>
      <c r="C3915" s="312"/>
      <c r="D3915" s="312"/>
      <c r="E3915" s="312"/>
      <c r="F3915" s="312"/>
      <c r="G3915" s="328"/>
      <c r="H3915" s="337"/>
      <c r="I3915" s="334"/>
      <c r="J3915" s="314"/>
      <c r="K3915" s="449"/>
      <c r="M3915" s="349" t="str">
        <f>N3915&amp;AS[[#This Row],[Insurer Code]]&amp;"; "&amp;O3915&amp;AS[[#This Row],[Reporting Year]]&amp;"; "&amp;P3915&amp;AS[[#This Row],[Insurance Category Code]]&amp;"; "&amp;Q3915&amp;AS[[#This Row],[Large Provider Entity Code]]&amp;"; "&amp;R3915&amp;AS[[#This Row],[Age Band Code]]&amp;"; "&amp;S3915&amp;AS[[#This Row],[Sex Code]]</f>
        <v xml:space="preserve">Insurer Code ; Reporting Year ; Insurance Category Code ; Large Provider Entity Code ; Age Band Code ; Sex Code </v>
      </c>
      <c r="N3915" s="345" t="s">
        <v>207</v>
      </c>
      <c r="O3915" s="345" t="s">
        <v>208</v>
      </c>
      <c r="P3915" s="345" t="s">
        <v>209</v>
      </c>
      <c r="Q3915" s="345" t="s">
        <v>210</v>
      </c>
      <c r="R3915" s="345" t="s">
        <v>223</v>
      </c>
      <c r="S3915" s="345" t="s">
        <v>224</v>
      </c>
    </row>
    <row r="3916" spans="1:19" x14ac:dyDescent="0.25">
      <c r="A3916" s="311"/>
      <c r="B3916" s="312"/>
      <c r="C3916" s="312"/>
      <c r="D3916" s="312"/>
      <c r="E3916" s="312"/>
      <c r="F3916" s="312"/>
      <c r="G3916" s="328"/>
      <c r="H3916" s="337"/>
      <c r="I3916" s="334"/>
      <c r="J3916" s="314"/>
      <c r="K3916" s="449"/>
      <c r="M3916" s="349" t="str">
        <f>N3916&amp;AS[[#This Row],[Insurer Code]]&amp;"; "&amp;O3916&amp;AS[[#This Row],[Reporting Year]]&amp;"; "&amp;P3916&amp;AS[[#This Row],[Insurance Category Code]]&amp;"; "&amp;Q3916&amp;AS[[#This Row],[Large Provider Entity Code]]&amp;"; "&amp;R3916&amp;AS[[#This Row],[Age Band Code]]&amp;"; "&amp;S3916&amp;AS[[#This Row],[Sex Code]]</f>
        <v xml:space="preserve">Insurer Code ; Reporting Year ; Insurance Category Code ; Large Provider Entity Code ; Age Band Code ; Sex Code </v>
      </c>
      <c r="N3916" s="345" t="s">
        <v>207</v>
      </c>
      <c r="O3916" s="345" t="s">
        <v>208</v>
      </c>
      <c r="P3916" s="345" t="s">
        <v>209</v>
      </c>
      <c r="Q3916" s="345" t="s">
        <v>210</v>
      </c>
      <c r="R3916" s="345" t="s">
        <v>223</v>
      </c>
      <c r="S3916" s="345" t="s">
        <v>224</v>
      </c>
    </row>
    <row r="3917" spans="1:19" x14ac:dyDescent="0.25">
      <c r="A3917" s="311"/>
      <c r="B3917" s="312"/>
      <c r="C3917" s="312"/>
      <c r="D3917" s="312"/>
      <c r="E3917" s="312"/>
      <c r="F3917" s="312"/>
      <c r="G3917" s="328"/>
      <c r="H3917" s="337"/>
      <c r="I3917" s="334"/>
      <c r="J3917" s="314"/>
      <c r="K3917" s="449"/>
      <c r="M3917" s="349" t="str">
        <f>N3917&amp;AS[[#This Row],[Insurer Code]]&amp;"; "&amp;O3917&amp;AS[[#This Row],[Reporting Year]]&amp;"; "&amp;P3917&amp;AS[[#This Row],[Insurance Category Code]]&amp;"; "&amp;Q3917&amp;AS[[#This Row],[Large Provider Entity Code]]&amp;"; "&amp;R3917&amp;AS[[#This Row],[Age Band Code]]&amp;"; "&amp;S3917&amp;AS[[#This Row],[Sex Code]]</f>
        <v xml:space="preserve">Insurer Code ; Reporting Year ; Insurance Category Code ; Large Provider Entity Code ; Age Band Code ; Sex Code </v>
      </c>
      <c r="N3917" s="345" t="s">
        <v>207</v>
      </c>
      <c r="O3917" s="345" t="s">
        <v>208</v>
      </c>
      <c r="P3917" s="345" t="s">
        <v>209</v>
      </c>
      <c r="Q3917" s="345" t="s">
        <v>210</v>
      </c>
      <c r="R3917" s="345" t="s">
        <v>223</v>
      </c>
      <c r="S3917" s="345" t="s">
        <v>224</v>
      </c>
    </row>
    <row r="3918" spans="1:19" x14ac:dyDescent="0.25">
      <c r="A3918" s="311"/>
      <c r="B3918" s="312"/>
      <c r="C3918" s="312"/>
      <c r="D3918" s="312"/>
      <c r="E3918" s="312"/>
      <c r="F3918" s="312"/>
      <c r="G3918" s="328"/>
      <c r="H3918" s="337"/>
      <c r="I3918" s="334"/>
      <c r="J3918" s="314"/>
      <c r="K3918" s="449"/>
      <c r="M3918" s="349" t="str">
        <f>N3918&amp;AS[[#This Row],[Insurer Code]]&amp;"; "&amp;O3918&amp;AS[[#This Row],[Reporting Year]]&amp;"; "&amp;P3918&amp;AS[[#This Row],[Insurance Category Code]]&amp;"; "&amp;Q3918&amp;AS[[#This Row],[Large Provider Entity Code]]&amp;"; "&amp;R3918&amp;AS[[#This Row],[Age Band Code]]&amp;"; "&amp;S3918&amp;AS[[#This Row],[Sex Code]]</f>
        <v xml:space="preserve">Insurer Code ; Reporting Year ; Insurance Category Code ; Large Provider Entity Code ; Age Band Code ; Sex Code </v>
      </c>
      <c r="N3918" s="345" t="s">
        <v>207</v>
      </c>
      <c r="O3918" s="345" t="s">
        <v>208</v>
      </c>
      <c r="P3918" s="345" t="s">
        <v>209</v>
      </c>
      <c r="Q3918" s="345" t="s">
        <v>210</v>
      </c>
      <c r="R3918" s="345" t="s">
        <v>223</v>
      </c>
      <c r="S3918" s="345" t="s">
        <v>224</v>
      </c>
    </row>
    <row r="3919" spans="1:19" x14ac:dyDescent="0.25">
      <c r="A3919" s="311"/>
      <c r="B3919" s="312"/>
      <c r="C3919" s="312"/>
      <c r="D3919" s="312"/>
      <c r="E3919" s="312"/>
      <c r="F3919" s="312"/>
      <c r="G3919" s="328"/>
      <c r="H3919" s="337"/>
      <c r="I3919" s="334"/>
      <c r="J3919" s="314"/>
      <c r="K3919" s="449"/>
      <c r="M3919" s="349" t="str">
        <f>N3919&amp;AS[[#This Row],[Insurer Code]]&amp;"; "&amp;O3919&amp;AS[[#This Row],[Reporting Year]]&amp;"; "&amp;P3919&amp;AS[[#This Row],[Insurance Category Code]]&amp;"; "&amp;Q3919&amp;AS[[#This Row],[Large Provider Entity Code]]&amp;"; "&amp;R3919&amp;AS[[#This Row],[Age Band Code]]&amp;"; "&amp;S3919&amp;AS[[#This Row],[Sex Code]]</f>
        <v xml:space="preserve">Insurer Code ; Reporting Year ; Insurance Category Code ; Large Provider Entity Code ; Age Band Code ; Sex Code </v>
      </c>
      <c r="N3919" s="345" t="s">
        <v>207</v>
      </c>
      <c r="O3919" s="345" t="s">
        <v>208</v>
      </c>
      <c r="P3919" s="345" t="s">
        <v>209</v>
      </c>
      <c r="Q3919" s="345" t="s">
        <v>210</v>
      </c>
      <c r="R3919" s="345" t="s">
        <v>223</v>
      </c>
      <c r="S3919" s="345" t="s">
        <v>224</v>
      </c>
    </row>
    <row r="3920" spans="1:19" x14ac:dyDescent="0.25">
      <c r="A3920" s="311"/>
      <c r="B3920" s="312"/>
      <c r="C3920" s="312"/>
      <c r="D3920" s="312"/>
      <c r="E3920" s="312"/>
      <c r="F3920" s="312"/>
      <c r="G3920" s="328"/>
      <c r="H3920" s="337"/>
      <c r="I3920" s="334"/>
      <c r="J3920" s="314"/>
      <c r="K3920" s="449"/>
      <c r="M3920" s="349" t="str">
        <f>N3920&amp;AS[[#This Row],[Insurer Code]]&amp;"; "&amp;O3920&amp;AS[[#This Row],[Reporting Year]]&amp;"; "&amp;P3920&amp;AS[[#This Row],[Insurance Category Code]]&amp;"; "&amp;Q3920&amp;AS[[#This Row],[Large Provider Entity Code]]&amp;"; "&amp;R3920&amp;AS[[#This Row],[Age Band Code]]&amp;"; "&amp;S3920&amp;AS[[#This Row],[Sex Code]]</f>
        <v xml:space="preserve">Insurer Code ; Reporting Year ; Insurance Category Code ; Large Provider Entity Code ; Age Band Code ; Sex Code </v>
      </c>
      <c r="N3920" s="345" t="s">
        <v>207</v>
      </c>
      <c r="O3920" s="345" t="s">
        <v>208</v>
      </c>
      <c r="P3920" s="345" t="s">
        <v>209</v>
      </c>
      <c r="Q3920" s="345" t="s">
        <v>210</v>
      </c>
      <c r="R3920" s="345" t="s">
        <v>223</v>
      </c>
      <c r="S3920" s="345" t="s">
        <v>224</v>
      </c>
    </row>
    <row r="3921" spans="1:19" x14ac:dyDescent="0.25">
      <c r="A3921" s="311"/>
      <c r="B3921" s="312"/>
      <c r="C3921" s="312"/>
      <c r="D3921" s="312"/>
      <c r="E3921" s="312"/>
      <c r="F3921" s="312"/>
      <c r="G3921" s="328"/>
      <c r="H3921" s="337"/>
      <c r="I3921" s="334"/>
      <c r="J3921" s="314"/>
      <c r="K3921" s="449"/>
      <c r="M3921" s="349" t="str">
        <f>N3921&amp;AS[[#This Row],[Insurer Code]]&amp;"; "&amp;O3921&amp;AS[[#This Row],[Reporting Year]]&amp;"; "&amp;P3921&amp;AS[[#This Row],[Insurance Category Code]]&amp;"; "&amp;Q3921&amp;AS[[#This Row],[Large Provider Entity Code]]&amp;"; "&amp;R3921&amp;AS[[#This Row],[Age Band Code]]&amp;"; "&amp;S3921&amp;AS[[#This Row],[Sex Code]]</f>
        <v xml:space="preserve">Insurer Code ; Reporting Year ; Insurance Category Code ; Large Provider Entity Code ; Age Band Code ; Sex Code </v>
      </c>
      <c r="N3921" s="345" t="s">
        <v>207</v>
      </c>
      <c r="O3921" s="345" t="s">
        <v>208</v>
      </c>
      <c r="P3921" s="345" t="s">
        <v>209</v>
      </c>
      <c r="Q3921" s="345" t="s">
        <v>210</v>
      </c>
      <c r="R3921" s="345" t="s">
        <v>223</v>
      </c>
      <c r="S3921" s="345" t="s">
        <v>224</v>
      </c>
    </row>
    <row r="3922" spans="1:19" x14ac:dyDescent="0.25">
      <c r="A3922" s="311"/>
      <c r="B3922" s="312"/>
      <c r="C3922" s="312"/>
      <c r="D3922" s="312"/>
      <c r="E3922" s="312"/>
      <c r="F3922" s="312"/>
      <c r="G3922" s="328"/>
      <c r="H3922" s="337"/>
      <c r="I3922" s="334"/>
      <c r="J3922" s="314"/>
      <c r="K3922" s="449"/>
      <c r="M3922" s="349" t="str">
        <f>N3922&amp;AS[[#This Row],[Insurer Code]]&amp;"; "&amp;O3922&amp;AS[[#This Row],[Reporting Year]]&amp;"; "&amp;P3922&amp;AS[[#This Row],[Insurance Category Code]]&amp;"; "&amp;Q3922&amp;AS[[#This Row],[Large Provider Entity Code]]&amp;"; "&amp;R3922&amp;AS[[#This Row],[Age Band Code]]&amp;"; "&amp;S3922&amp;AS[[#This Row],[Sex Code]]</f>
        <v xml:space="preserve">Insurer Code ; Reporting Year ; Insurance Category Code ; Large Provider Entity Code ; Age Band Code ; Sex Code </v>
      </c>
      <c r="N3922" s="345" t="s">
        <v>207</v>
      </c>
      <c r="O3922" s="345" t="s">
        <v>208</v>
      </c>
      <c r="P3922" s="345" t="s">
        <v>209</v>
      </c>
      <c r="Q3922" s="345" t="s">
        <v>210</v>
      </c>
      <c r="R3922" s="345" t="s">
        <v>223</v>
      </c>
      <c r="S3922" s="345" t="s">
        <v>224</v>
      </c>
    </row>
    <row r="3923" spans="1:19" x14ac:dyDescent="0.25">
      <c r="A3923" s="311"/>
      <c r="B3923" s="312"/>
      <c r="C3923" s="312"/>
      <c r="D3923" s="312"/>
      <c r="E3923" s="312"/>
      <c r="F3923" s="312"/>
      <c r="G3923" s="328"/>
      <c r="H3923" s="337"/>
      <c r="I3923" s="334"/>
      <c r="J3923" s="314"/>
      <c r="K3923" s="449"/>
      <c r="M3923" s="349" t="str">
        <f>N3923&amp;AS[[#This Row],[Insurer Code]]&amp;"; "&amp;O3923&amp;AS[[#This Row],[Reporting Year]]&amp;"; "&amp;P3923&amp;AS[[#This Row],[Insurance Category Code]]&amp;"; "&amp;Q3923&amp;AS[[#This Row],[Large Provider Entity Code]]&amp;"; "&amp;R3923&amp;AS[[#This Row],[Age Band Code]]&amp;"; "&amp;S3923&amp;AS[[#This Row],[Sex Code]]</f>
        <v xml:space="preserve">Insurer Code ; Reporting Year ; Insurance Category Code ; Large Provider Entity Code ; Age Band Code ; Sex Code </v>
      </c>
      <c r="N3923" s="345" t="s">
        <v>207</v>
      </c>
      <c r="O3923" s="345" t="s">
        <v>208</v>
      </c>
      <c r="P3923" s="345" t="s">
        <v>209</v>
      </c>
      <c r="Q3923" s="345" t="s">
        <v>210</v>
      </c>
      <c r="R3923" s="345" t="s">
        <v>223</v>
      </c>
      <c r="S3923" s="345" t="s">
        <v>224</v>
      </c>
    </row>
    <row r="3924" spans="1:19" x14ac:dyDescent="0.25">
      <c r="A3924" s="311"/>
      <c r="B3924" s="312"/>
      <c r="C3924" s="312"/>
      <c r="D3924" s="312"/>
      <c r="E3924" s="312"/>
      <c r="F3924" s="312"/>
      <c r="G3924" s="328"/>
      <c r="H3924" s="337"/>
      <c r="I3924" s="334"/>
      <c r="J3924" s="314"/>
      <c r="K3924" s="449"/>
      <c r="M3924" s="349" t="str">
        <f>N3924&amp;AS[[#This Row],[Insurer Code]]&amp;"; "&amp;O3924&amp;AS[[#This Row],[Reporting Year]]&amp;"; "&amp;P3924&amp;AS[[#This Row],[Insurance Category Code]]&amp;"; "&amp;Q3924&amp;AS[[#This Row],[Large Provider Entity Code]]&amp;"; "&amp;R3924&amp;AS[[#This Row],[Age Band Code]]&amp;"; "&amp;S3924&amp;AS[[#This Row],[Sex Code]]</f>
        <v xml:space="preserve">Insurer Code ; Reporting Year ; Insurance Category Code ; Large Provider Entity Code ; Age Band Code ; Sex Code </v>
      </c>
      <c r="N3924" s="345" t="s">
        <v>207</v>
      </c>
      <c r="O3924" s="345" t="s">
        <v>208</v>
      </c>
      <c r="P3924" s="345" t="s">
        <v>209</v>
      </c>
      <c r="Q3924" s="345" t="s">
        <v>210</v>
      </c>
      <c r="R3924" s="345" t="s">
        <v>223</v>
      </c>
      <c r="S3924" s="345" t="s">
        <v>224</v>
      </c>
    </row>
    <row r="3925" spans="1:19" x14ac:dyDescent="0.25">
      <c r="A3925" s="311"/>
      <c r="B3925" s="312"/>
      <c r="C3925" s="312"/>
      <c r="D3925" s="312"/>
      <c r="E3925" s="312"/>
      <c r="F3925" s="312"/>
      <c r="G3925" s="328"/>
      <c r="H3925" s="337"/>
      <c r="I3925" s="334"/>
      <c r="J3925" s="314"/>
      <c r="K3925" s="449"/>
      <c r="M3925" s="349" t="str">
        <f>N3925&amp;AS[[#This Row],[Insurer Code]]&amp;"; "&amp;O3925&amp;AS[[#This Row],[Reporting Year]]&amp;"; "&amp;P3925&amp;AS[[#This Row],[Insurance Category Code]]&amp;"; "&amp;Q3925&amp;AS[[#This Row],[Large Provider Entity Code]]&amp;"; "&amp;R3925&amp;AS[[#This Row],[Age Band Code]]&amp;"; "&amp;S3925&amp;AS[[#This Row],[Sex Code]]</f>
        <v xml:space="preserve">Insurer Code ; Reporting Year ; Insurance Category Code ; Large Provider Entity Code ; Age Band Code ; Sex Code </v>
      </c>
      <c r="N3925" s="345" t="s">
        <v>207</v>
      </c>
      <c r="O3925" s="345" t="s">
        <v>208</v>
      </c>
      <c r="P3925" s="345" t="s">
        <v>209</v>
      </c>
      <c r="Q3925" s="345" t="s">
        <v>210</v>
      </c>
      <c r="R3925" s="345" t="s">
        <v>223</v>
      </c>
      <c r="S3925" s="345" t="s">
        <v>224</v>
      </c>
    </row>
    <row r="3926" spans="1:19" x14ac:dyDescent="0.25">
      <c r="A3926" s="311"/>
      <c r="B3926" s="312"/>
      <c r="C3926" s="312"/>
      <c r="D3926" s="312"/>
      <c r="E3926" s="312"/>
      <c r="F3926" s="312"/>
      <c r="G3926" s="328"/>
      <c r="H3926" s="337"/>
      <c r="I3926" s="334"/>
      <c r="J3926" s="314"/>
      <c r="K3926" s="449"/>
      <c r="M3926" s="349" t="str">
        <f>N3926&amp;AS[[#This Row],[Insurer Code]]&amp;"; "&amp;O3926&amp;AS[[#This Row],[Reporting Year]]&amp;"; "&amp;P3926&amp;AS[[#This Row],[Insurance Category Code]]&amp;"; "&amp;Q3926&amp;AS[[#This Row],[Large Provider Entity Code]]&amp;"; "&amp;R3926&amp;AS[[#This Row],[Age Band Code]]&amp;"; "&amp;S3926&amp;AS[[#This Row],[Sex Code]]</f>
        <v xml:space="preserve">Insurer Code ; Reporting Year ; Insurance Category Code ; Large Provider Entity Code ; Age Band Code ; Sex Code </v>
      </c>
      <c r="N3926" s="345" t="s">
        <v>207</v>
      </c>
      <c r="O3926" s="345" t="s">
        <v>208</v>
      </c>
      <c r="P3926" s="345" t="s">
        <v>209</v>
      </c>
      <c r="Q3926" s="345" t="s">
        <v>210</v>
      </c>
      <c r="R3926" s="345" t="s">
        <v>223</v>
      </c>
      <c r="S3926" s="345" t="s">
        <v>224</v>
      </c>
    </row>
    <row r="3927" spans="1:19" x14ac:dyDescent="0.25">
      <c r="A3927" s="311"/>
      <c r="B3927" s="312"/>
      <c r="C3927" s="312"/>
      <c r="D3927" s="312"/>
      <c r="E3927" s="312"/>
      <c r="F3927" s="312"/>
      <c r="G3927" s="328"/>
      <c r="H3927" s="337"/>
      <c r="I3927" s="334"/>
      <c r="J3927" s="314"/>
      <c r="K3927" s="449"/>
      <c r="M3927" s="349" t="str">
        <f>N3927&amp;AS[[#This Row],[Insurer Code]]&amp;"; "&amp;O3927&amp;AS[[#This Row],[Reporting Year]]&amp;"; "&amp;P3927&amp;AS[[#This Row],[Insurance Category Code]]&amp;"; "&amp;Q3927&amp;AS[[#This Row],[Large Provider Entity Code]]&amp;"; "&amp;R3927&amp;AS[[#This Row],[Age Band Code]]&amp;"; "&amp;S3927&amp;AS[[#This Row],[Sex Code]]</f>
        <v xml:space="preserve">Insurer Code ; Reporting Year ; Insurance Category Code ; Large Provider Entity Code ; Age Band Code ; Sex Code </v>
      </c>
      <c r="N3927" s="345" t="s">
        <v>207</v>
      </c>
      <c r="O3927" s="345" t="s">
        <v>208</v>
      </c>
      <c r="P3927" s="345" t="s">
        <v>209</v>
      </c>
      <c r="Q3927" s="345" t="s">
        <v>210</v>
      </c>
      <c r="R3927" s="345" t="s">
        <v>223</v>
      </c>
      <c r="S3927" s="345" t="s">
        <v>224</v>
      </c>
    </row>
    <row r="3928" spans="1:19" x14ac:dyDescent="0.25">
      <c r="A3928" s="311"/>
      <c r="B3928" s="312"/>
      <c r="C3928" s="312"/>
      <c r="D3928" s="312"/>
      <c r="E3928" s="312"/>
      <c r="F3928" s="312"/>
      <c r="G3928" s="328"/>
      <c r="H3928" s="337"/>
      <c r="I3928" s="334"/>
      <c r="J3928" s="314"/>
      <c r="K3928" s="449"/>
      <c r="M3928" s="349" t="str">
        <f>N3928&amp;AS[[#This Row],[Insurer Code]]&amp;"; "&amp;O3928&amp;AS[[#This Row],[Reporting Year]]&amp;"; "&amp;P3928&amp;AS[[#This Row],[Insurance Category Code]]&amp;"; "&amp;Q3928&amp;AS[[#This Row],[Large Provider Entity Code]]&amp;"; "&amp;R3928&amp;AS[[#This Row],[Age Band Code]]&amp;"; "&amp;S3928&amp;AS[[#This Row],[Sex Code]]</f>
        <v xml:space="preserve">Insurer Code ; Reporting Year ; Insurance Category Code ; Large Provider Entity Code ; Age Band Code ; Sex Code </v>
      </c>
      <c r="N3928" s="345" t="s">
        <v>207</v>
      </c>
      <c r="O3928" s="345" t="s">
        <v>208</v>
      </c>
      <c r="P3928" s="345" t="s">
        <v>209</v>
      </c>
      <c r="Q3928" s="345" t="s">
        <v>210</v>
      </c>
      <c r="R3928" s="345" t="s">
        <v>223</v>
      </c>
      <c r="S3928" s="345" t="s">
        <v>224</v>
      </c>
    </row>
    <row r="3929" spans="1:19" x14ac:dyDescent="0.25">
      <c r="A3929" s="311"/>
      <c r="B3929" s="312"/>
      <c r="C3929" s="312"/>
      <c r="D3929" s="312"/>
      <c r="E3929" s="312"/>
      <c r="F3929" s="312"/>
      <c r="G3929" s="328"/>
      <c r="H3929" s="337"/>
      <c r="I3929" s="334"/>
      <c r="J3929" s="314"/>
      <c r="K3929" s="449"/>
      <c r="M3929" s="349" t="str">
        <f>N3929&amp;AS[[#This Row],[Insurer Code]]&amp;"; "&amp;O3929&amp;AS[[#This Row],[Reporting Year]]&amp;"; "&amp;P3929&amp;AS[[#This Row],[Insurance Category Code]]&amp;"; "&amp;Q3929&amp;AS[[#This Row],[Large Provider Entity Code]]&amp;"; "&amp;R3929&amp;AS[[#This Row],[Age Band Code]]&amp;"; "&amp;S3929&amp;AS[[#This Row],[Sex Code]]</f>
        <v xml:space="preserve">Insurer Code ; Reporting Year ; Insurance Category Code ; Large Provider Entity Code ; Age Band Code ; Sex Code </v>
      </c>
      <c r="N3929" s="345" t="s">
        <v>207</v>
      </c>
      <c r="O3929" s="345" t="s">
        <v>208</v>
      </c>
      <c r="P3929" s="345" t="s">
        <v>209</v>
      </c>
      <c r="Q3929" s="345" t="s">
        <v>210</v>
      </c>
      <c r="R3929" s="345" t="s">
        <v>223</v>
      </c>
      <c r="S3929" s="345" t="s">
        <v>224</v>
      </c>
    </row>
    <row r="3930" spans="1:19" x14ac:dyDescent="0.25">
      <c r="A3930" s="311"/>
      <c r="B3930" s="312"/>
      <c r="C3930" s="312"/>
      <c r="D3930" s="312"/>
      <c r="E3930" s="312"/>
      <c r="F3930" s="312"/>
      <c r="G3930" s="328"/>
      <c r="H3930" s="337"/>
      <c r="I3930" s="334"/>
      <c r="J3930" s="314"/>
      <c r="K3930" s="449"/>
      <c r="M3930" s="349" t="str">
        <f>N3930&amp;AS[[#This Row],[Insurer Code]]&amp;"; "&amp;O3930&amp;AS[[#This Row],[Reporting Year]]&amp;"; "&amp;P3930&amp;AS[[#This Row],[Insurance Category Code]]&amp;"; "&amp;Q3930&amp;AS[[#This Row],[Large Provider Entity Code]]&amp;"; "&amp;R3930&amp;AS[[#This Row],[Age Band Code]]&amp;"; "&amp;S3930&amp;AS[[#This Row],[Sex Code]]</f>
        <v xml:space="preserve">Insurer Code ; Reporting Year ; Insurance Category Code ; Large Provider Entity Code ; Age Band Code ; Sex Code </v>
      </c>
      <c r="N3930" s="345" t="s">
        <v>207</v>
      </c>
      <c r="O3930" s="345" t="s">
        <v>208</v>
      </c>
      <c r="P3930" s="345" t="s">
        <v>209</v>
      </c>
      <c r="Q3930" s="345" t="s">
        <v>210</v>
      </c>
      <c r="R3930" s="345" t="s">
        <v>223</v>
      </c>
      <c r="S3930" s="345" t="s">
        <v>224</v>
      </c>
    </row>
    <row r="3931" spans="1:19" x14ac:dyDescent="0.25">
      <c r="A3931" s="311"/>
      <c r="B3931" s="312"/>
      <c r="C3931" s="312"/>
      <c r="D3931" s="312"/>
      <c r="E3931" s="312"/>
      <c r="F3931" s="312"/>
      <c r="G3931" s="328"/>
      <c r="H3931" s="337"/>
      <c r="I3931" s="334"/>
      <c r="J3931" s="314"/>
      <c r="K3931" s="449"/>
      <c r="M3931" s="349" t="str">
        <f>N3931&amp;AS[[#This Row],[Insurer Code]]&amp;"; "&amp;O3931&amp;AS[[#This Row],[Reporting Year]]&amp;"; "&amp;P3931&amp;AS[[#This Row],[Insurance Category Code]]&amp;"; "&amp;Q3931&amp;AS[[#This Row],[Large Provider Entity Code]]&amp;"; "&amp;R3931&amp;AS[[#This Row],[Age Band Code]]&amp;"; "&amp;S3931&amp;AS[[#This Row],[Sex Code]]</f>
        <v xml:space="preserve">Insurer Code ; Reporting Year ; Insurance Category Code ; Large Provider Entity Code ; Age Band Code ; Sex Code </v>
      </c>
      <c r="N3931" s="345" t="s">
        <v>207</v>
      </c>
      <c r="O3931" s="345" t="s">
        <v>208</v>
      </c>
      <c r="P3931" s="345" t="s">
        <v>209</v>
      </c>
      <c r="Q3931" s="345" t="s">
        <v>210</v>
      </c>
      <c r="R3931" s="345" t="s">
        <v>223</v>
      </c>
      <c r="S3931" s="345" t="s">
        <v>224</v>
      </c>
    </row>
    <row r="3932" spans="1:19" x14ac:dyDescent="0.25">
      <c r="A3932" s="311"/>
      <c r="B3932" s="312"/>
      <c r="C3932" s="312"/>
      <c r="D3932" s="312"/>
      <c r="E3932" s="312"/>
      <c r="F3932" s="312"/>
      <c r="G3932" s="328"/>
      <c r="H3932" s="337"/>
      <c r="I3932" s="334"/>
      <c r="J3932" s="314"/>
      <c r="K3932" s="449"/>
      <c r="M3932" s="349" t="str">
        <f>N3932&amp;AS[[#This Row],[Insurer Code]]&amp;"; "&amp;O3932&amp;AS[[#This Row],[Reporting Year]]&amp;"; "&amp;P3932&amp;AS[[#This Row],[Insurance Category Code]]&amp;"; "&amp;Q3932&amp;AS[[#This Row],[Large Provider Entity Code]]&amp;"; "&amp;R3932&amp;AS[[#This Row],[Age Band Code]]&amp;"; "&amp;S3932&amp;AS[[#This Row],[Sex Code]]</f>
        <v xml:space="preserve">Insurer Code ; Reporting Year ; Insurance Category Code ; Large Provider Entity Code ; Age Band Code ; Sex Code </v>
      </c>
      <c r="N3932" s="345" t="s">
        <v>207</v>
      </c>
      <c r="O3932" s="345" t="s">
        <v>208</v>
      </c>
      <c r="P3932" s="345" t="s">
        <v>209</v>
      </c>
      <c r="Q3932" s="345" t="s">
        <v>210</v>
      </c>
      <c r="R3932" s="345" t="s">
        <v>223</v>
      </c>
      <c r="S3932" s="345" t="s">
        <v>224</v>
      </c>
    </row>
    <row r="3933" spans="1:19" x14ac:dyDescent="0.25">
      <c r="A3933" s="311"/>
      <c r="B3933" s="312"/>
      <c r="C3933" s="312"/>
      <c r="D3933" s="312"/>
      <c r="E3933" s="312"/>
      <c r="F3933" s="312"/>
      <c r="G3933" s="328"/>
      <c r="H3933" s="337"/>
      <c r="I3933" s="334"/>
      <c r="J3933" s="314"/>
      <c r="K3933" s="449"/>
      <c r="M3933" s="349" t="str">
        <f>N3933&amp;AS[[#This Row],[Insurer Code]]&amp;"; "&amp;O3933&amp;AS[[#This Row],[Reporting Year]]&amp;"; "&amp;P3933&amp;AS[[#This Row],[Insurance Category Code]]&amp;"; "&amp;Q3933&amp;AS[[#This Row],[Large Provider Entity Code]]&amp;"; "&amp;R3933&amp;AS[[#This Row],[Age Band Code]]&amp;"; "&amp;S3933&amp;AS[[#This Row],[Sex Code]]</f>
        <v xml:space="preserve">Insurer Code ; Reporting Year ; Insurance Category Code ; Large Provider Entity Code ; Age Band Code ; Sex Code </v>
      </c>
      <c r="N3933" s="345" t="s">
        <v>207</v>
      </c>
      <c r="O3933" s="345" t="s">
        <v>208</v>
      </c>
      <c r="P3933" s="345" t="s">
        <v>209</v>
      </c>
      <c r="Q3933" s="345" t="s">
        <v>210</v>
      </c>
      <c r="R3933" s="345" t="s">
        <v>223</v>
      </c>
      <c r="S3933" s="345" t="s">
        <v>224</v>
      </c>
    </row>
    <row r="3934" spans="1:19" x14ac:dyDescent="0.25">
      <c r="A3934" s="311"/>
      <c r="B3934" s="312"/>
      <c r="C3934" s="312"/>
      <c r="D3934" s="312"/>
      <c r="E3934" s="312"/>
      <c r="F3934" s="312"/>
      <c r="G3934" s="328"/>
      <c r="H3934" s="337"/>
      <c r="I3934" s="334"/>
      <c r="J3934" s="314"/>
      <c r="K3934" s="449"/>
      <c r="M3934" s="349" t="str">
        <f>N3934&amp;AS[[#This Row],[Insurer Code]]&amp;"; "&amp;O3934&amp;AS[[#This Row],[Reporting Year]]&amp;"; "&amp;P3934&amp;AS[[#This Row],[Insurance Category Code]]&amp;"; "&amp;Q3934&amp;AS[[#This Row],[Large Provider Entity Code]]&amp;"; "&amp;R3934&amp;AS[[#This Row],[Age Band Code]]&amp;"; "&amp;S3934&amp;AS[[#This Row],[Sex Code]]</f>
        <v xml:space="preserve">Insurer Code ; Reporting Year ; Insurance Category Code ; Large Provider Entity Code ; Age Band Code ; Sex Code </v>
      </c>
      <c r="N3934" s="345" t="s">
        <v>207</v>
      </c>
      <c r="O3934" s="345" t="s">
        <v>208</v>
      </c>
      <c r="P3934" s="345" t="s">
        <v>209</v>
      </c>
      <c r="Q3934" s="345" t="s">
        <v>210</v>
      </c>
      <c r="R3934" s="345" t="s">
        <v>223</v>
      </c>
      <c r="S3934" s="345" t="s">
        <v>224</v>
      </c>
    </row>
    <row r="3935" spans="1:19" x14ac:dyDescent="0.25">
      <c r="A3935" s="311"/>
      <c r="B3935" s="312"/>
      <c r="C3935" s="312"/>
      <c r="D3935" s="312"/>
      <c r="E3935" s="312"/>
      <c r="F3935" s="312"/>
      <c r="G3935" s="328"/>
      <c r="H3935" s="337"/>
      <c r="I3935" s="334"/>
      <c r="J3935" s="314"/>
      <c r="K3935" s="449"/>
      <c r="M3935" s="349" t="str">
        <f>N3935&amp;AS[[#This Row],[Insurer Code]]&amp;"; "&amp;O3935&amp;AS[[#This Row],[Reporting Year]]&amp;"; "&amp;P3935&amp;AS[[#This Row],[Insurance Category Code]]&amp;"; "&amp;Q3935&amp;AS[[#This Row],[Large Provider Entity Code]]&amp;"; "&amp;R3935&amp;AS[[#This Row],[Age Band Code]]&amp;"; "&amp;S3935&amp;AS[[#This Row],[Sex Code]]</f>
        <v xml:space="preserve">Insurer Code ; Reporting Year ; Insurance Category Code ; Large Provider Entity Code ; Age Band Code ; Sex Code </v>
      </c>
      <c r="N3935" s="345" t="s">
        <v>207</v>
      </c>
      <c r="O3935" s="345" t="s">
        <v>208</v>
      </c>
      <c r="P3935" s="345" t="s">
        <v>209</v>
      </c>
      <c r="Q3935" s="345" t="s">
        <v>210</v>
      </c>
      <c r="R3935" s="345" t="s">
        <v>223</v>
      </c>
      <c r="S3935" s="345" t="s">
        <v>224</v>
      </c>
    </row>
    <row r="3936" spans="1:19" x14ac:dyDescent="0.25">
      <c r="A3936" s="311"/>
      <c r="B3936" s="312"/>
      <c r="C3936" s="312"/>
      <c r="D3936" s="312"/>
      <c r="E3936" s="312"/>
      <c r="F3936" s="312"/>
      <c r="G3936" s="328"/>
      <c r="H3936" s="337"/>
      <c r="I3936" s="334"/>
      <c r="J3936" s="314"/>
      <c r="K3936" s="449"/>
      <c r="M3936" s="349" t="str">
        <f>N3936&amp;AS[[#This Row],[Insurer Code]]&amp;"; "&amp;O3936&amp;AS[[#This Row],[Reporting Year]]&amp;"; "&amp;P3936&amp;AS[[#This Row],[Insurance Category Code]]&amp;"; "&amp;Q3936&amp;AS[[#This Row],[Large Provider Entity Code]]&amp;"; "&amp;R3936&amp;AS[[#This Row],[Age Band Code]]&amp;"; "&amp;S3936&amp;AS[[#This Row],[Sex Code]]</f>
        <v xml:space="preserve">Insurer Code ; Reporting Year ; Insurance Category Code ; Large Provider Entity Code ; Age Band Code ; Sex Code </v>
      </c>
      <c r="N3936" s="345" t="s">
        <v>207</v>
      </c>
      <c r="O3936" s="345" t="s">
        <v>208</v>
      </c>
      <c r="P3936" s="345" t="s">
        <v>209</v>
      </c>
      <c r="Q3936" s="345" t="s">
        <v>210</v>
      </c>
      <c r="R3936" s="345" t="s">
        <v>223</v>
      </c>
      <c r="S3936" s="345" t="s">
        <v>224</v>
      </c>
    </row>
    <row r="3937" spans="1:19" x14ac:dyDescent="0.25">
      <c r="A3937" s="311"/>
      <c r="B3937" s="312"/>
      <c r="C3937" s="312"/>
      <c r="D3937" s="312"/>
      <c r="E3937" s="312"/>
      <c r="F3937" s="312"/>
      <c r="G3937" s="328"/>
      <c r="H3937" s="337"/>
      <c r="I3937" s="334"/>
      <c r="J3937" s="314"/>
      <c r="K3937" s="449"/>
      <c r="M3937" s="349" t="str">
        <f>N3937&amp;AS[[#This Row],[Insurer Code]]&amp;"; "&amp;O3937&amp;AS[[#This Row],[Reporting Year]]&amp;"; "&amp;P3937&amp;AS[[#This Row],[Insurance Category Code]]&amp;"; "&amp;Q3937&amp;AS[[#This Row],[Large Provider Entity Code]]&amp;"; "&amp;R3937&amp;AS[[#This Row],[Age Band Code]]&amp;"; "&amp;S3937&amp;AS[[#This Row],[Sex Code]]</f>
        <v xml:space="preserve">Insurer Code ; Reporting Year ; Insurance Category Code ; Large Provider Entity Code ; Age Band Code ; Sex Code </v>
      </c>
      <c r="N3937" s="345" t="s">
        <v>207</v>
      </c>
      <c r="O3937" s="345" t="s">
        <v>208</v>
      </c>
      <c r="P3937" s="345" t="s">
        <v>209</v>
      </c>
      <c r="Q3937" s="345" t="s">
        <v>210</v>
      </c>
      <c r="R3937" s="345" t="s">
        <v>223</v>
      </c>
      <c r="S3937" s="345" t="s">
        <v>224</v>
      </c>
    </row>
    <row r="3938" spans="1:19" x14ac:dyDescent="0.25">
      <c r="A3938" s="311"/>
      <c r="B3938" s="312"/>
      <c r="C3938" s="312"/>
      <c r="D3938" s="312"/>
      <c r="E3938" s="312"/>
      <c r="F3938" s="312"/>
      <c r="G3938" s="328"/>
      <c r="H3938" s="337"/>
      <c r="I3938" s="334"/>
      <c r="J3938" s="314"/>
      <c r="K3938" s="449"/>
      <c r="M3938" s="349" t="str">
        <f>N3938&amp;AS[[#This Row],[Insurer Code]]&amp;"; "&amp;O3938&amp;AS[[#This Row],[Reporting Year]]&amp;"; "&amp;P3938&amp;AS[[#This Row],[Insurance Category Code]]&amp;"; "&amp;Q3938&amp;AS[[#This Row],[Large Provider Entity Code]]&amp;"; "&amp;R3938&amp;AS[[#This Row],[Age Band Code]]&amp;"; "&amp;S3938&amp;AS[[#This Row],[Sex Code]]</f>
        <v xml:space="preserve">Insurer Code ; Reporting Year ; Insurance Category Code ; Large Provider Entity Code ; Age Band Code ; Sex Code </v>
      </c>
      <c r="N3938" s="345" t="s">
        <v>207</v>
      </c>
      <c r="O3938" s="345" t="s">
        <v>208</v>
      </c>
      <c r="P3938" s="345" t="s">
        <v>209</v>
      </c>
      <c r="Q3938" s="345" t="s">
        <v>210</v>
      </c>
      <c r="R3938" s="345" t="s">
        <v>223</v>
      </c>
      <c r="S3938" s="345" t="s">
        <v>224</v>
      </c>
    </row>
    <row r="3939" spans="1:19" x14ac:dyDescent="0.25">
      <c r="A3939" s="311"/>
      <c r="B3939" s="312"/>
      <c r="C3939" s="312"/>
      <c r="D3939" s="312"/>
      <c r="E3939" s="312"/>
      <c r="F3939" s="312"/>
      <c r="G3939" s="328"/>
      <c r="H3939" s="337"/>
      <c r="I3939" s="334"/>
      <c r="J3939" s="314"/>
      <c r="K3939" s="449"/>
      <c r="M3939" s="349" t="str">
        <f>N3939&amp;AS[[#This Row],[Insurer Code]]&amp;"; "&amp;O3939&amp;AS[[#This Row],[Reporting Year]]&amp;"; "&amp;P3939&amp;AS[[#This Row],[Insurance Category Code]]&amp;"; "&amp;Q3939&amp;AS[[#This Row],[Large Provider Entity Code]]&amp;"; "&amp;R3939&amp;AS[[#This Row],[Age Band Code]]&amp;"; "&amp;S3939&amp;AS[[#This Row],[Sex Code]]</f>
        <v xml:space="preserve">Insurer Code ; Reporting Year ; Insurance Category Code ; Large Provider Entity Code ; Age Band Code ; Sex Code </v>
      </c>
      <c r="N3939" s="345" t="s">
        <v>207</v>
      </c>
      <c r="O3939" s="345" t="s">
        <v>208</v>
      </c>
      <c r="P3939" s="345" t="s">
        <v>209</v>
      </c>
      <c r="Q3939" s="345" t="s">
        <v>210</v>
      </c>
      <c r="R3939" s="345" t="s">
        <v>223</v>
      </c>
      <c r="S3939" s="345" t="s">
        <v>224</v>
      </c>
    </row>
    <row r="3940" spans="1:19" x14ac:dyDescent="0.25">
      <c r="A3940" s="311"/>
      <c r="B3940" s="312"/>
      <c r="C3940" s="312"/>
      <c r="D3940" s="312"/>
      <c r="E3940" s="312"/>
      <c r="F3940" s="312"/>
      <c r="G3940" s="328"/>
      <c r="H3940" s="337"/>
      <c r="I3940" s="334"/>
      <c r="J3940" s="314"/>
      <c r="K3940" s="449"/>
      <c r="M3940" s="349" t="str">
        <f>N3940&amp;AS[[#This Row],[Insurer Code]]&amp;"; "&amp;O3940&amp;AS[[#This Row],[Reporting Year]]&amp;"; "&amp;P3940&amp;AS[[#This Row],[Insurance Category Code]]&amp;"; "&amp;Q3940&amp;AS[[#This Row],[Large Provider Entity Code]]&amp;"; "&amp;R3940&amp;AS[[#This Row],[Age Band Code]]&amp;"; "&amp;S3940&amp;AS[[#This Row],[Sex Code]]</f>
        <v xml:space="preserve">Insurer Code ; Reporting Year ; Insurance Category Code ; Large Provider Entity Code ; Age Band Code ; Sex Code </v>
      </c>
      <c r="N3940" s="345" t="s">
        <v>207</v>
      </c>
      <c r="O3940" s="345" t="s">
        <v>208</v>
      </c>
      <c r="P3940" s="345" t="s">
        <v>209</v>
      </c>
      <c r="Q3940" s="345" t="s">
        <v>210</v>
      </c>
      <c r="R3940" s="345" t="s">
        <v>223</v>
      </c>
      <c r="S3940" s="345" t="s">
        <v>224</v>
      </c>
    </row>
    <row r="3941" spans="1:19" x14ac:dyDescent="0.25">
      <c r="A3941" s="311"/>
      <c r="B3941" s="312"/>
      <c r="C3941" s="312"/>
      <c r="D3941" s="312"/>
      <c r="E3941" s="312"/>
      <c r="F3941" s="312"/>
      <c r="G3941" s="328"/>
      <c r="H3941" s="337"/>
      <c r="I3941" s="334"/>
      <c r="J3941" s="314"/>
      <c r="K3941" s="449"/>
      <c r="M3941" s="349" t="str">
        <f>N3941&amp;AS[[#This Row],[Insurer Code]]&amp;"; "&amp;O3941&amp;AS[[#This Row],[Reporting Year]]&amp;"; "&amp;P3941&amp;AS[[#This Row],[Insurance Category Code]]&amp;"; "&amp;Q3941&amp;AS[[#This Row],[Large Provider Entity Code]]&amp;"; "&amp;R3941&amp;AS[[#This Row],[Age Band Code]]&amp;"; "&amp;S3941&amp;AS[[#This Row],[Sex Code]]</f>
        <v xml:space="preserve">Insurer Code ; Reporting Year ; Insurance Category Code ; Large Provider Entity Code ; Age Band Code ; Sex Code </v>
      </c>
      <c r="N3941" s="345" t="s">
        <v>207</v>
      </c>
      <c r="O3941" s="345" t="s">
        <v>208</v>
      </c>
      <c r="P3941" s="345" t="s">
        <v>209</v>
      </c>
      <c r="Q3941" s="345" t="s">
        <v>210</v>
      </c>
      <c r="R3941" s="345" t="s">
        <v>223</v>
      </c>
      <c r="S3941" s="345" t="s">
        <v>224</v>
      </c>
    </row>
    <row r="3942" spans="1:19" x14ac:dyDescent="0.25">
      <c r="A3942" s="311"/>
      <c r="B3942" s="312"/>
      <c r="C3942" s="312"/>
      <c r="D3942" s="312"/>
      <c r="E3942" s="312"/>
      <c r="F3942" s="312"/>
      <c r="G3942" s="328"/>
      <c r="H3942" s="337"/>
      <c r="I3942" s="334"/>
      <c r="J3942" s="314"/>
      <c r="K3942" s="449"/>
      <c r="M3942" s="349" t="str">
        <f>N3942&amp;AS[[#This Row],[Insurer Code]]&amp;"; "&amp;O3942&amp;AS[[#This Row],[Reporting Year]]&amp;"; "&amp;P3942&amp;AS[[#This Row],[Insurance Category Code]]&amp;"; "&amp;Q3942&amp;AS[[#This Row],[Large Provider Entity Code]]&amp;"; "&amp;R3942&amp;AS[[#This Row],[Age Band Code]]&amp;"; "&amp;S3942&amp;AS[[#This Row],[Sex Code]]</f>
        <v xml:space="preserve">Insurer Code ; Reporting Year ; Insurance Category Code ; Large Provider Entity Code ; Age Band Code ; Sex Code </v>
      </c>
      <c r="N3942" s="345" t="s">
        <v>207</v>
      </c>
      <c r="O3942" s="345" t="s">
        <v>208</v>
      </c>
      <c r="P3942" s="345" t="s">
        <v>209</v>
      </c>
      <c r="Q3942" s="345" t="s">
        <v>210</v>
      </c>
      <c r="R3942" s="345" t="s">
        <v>223</v>
      </c>
      <c r="S3942" s="345" t="s">
        <v>224</v>
      </c>
    </row>
    <row r="3943" spans="1:19" x14ac:dyDescent="0.25">
      <c r="A3943" s="311"/>
      <c r="B3943" s="312"/>
      <c r="C3943" s="312"/>
      <c r="D3943" s="312"/>
      <c r="E3943" s="312"/>
      <c r="F3943" s="312"/>
      <c r="G3943" s="328"/>
      <c r="H3943" s="337"/>
      <c r="I3943" s="334"/>
      <c r="J3943" s="314"/>
      <c r="K3943" s="449"/>
      <c r="M3943" s="349" t="str">
        <f>N3943&amp;AS[[#This Row],[Insurer Code]]&amp;"; "&amp;O3943&amp;AS[[#This Row],[Reporting Year]]&amp;"; "&amp;P3943&amp;AS[[#This Row],[Insurance Category Code]]&amp;"; "&amp;Q3943&amp;AS[[#This Row],[Large Provider Entity Code]]&amp;"; "&amp;R3943&amp;AS[[#This Row],[Age Band Code]]&amp;"; "&amp;S3943&amp;AS[[#This Row],[Sex Code]]</f>
        <v xml:space="preserve">Insurer Code ; Reporting Year ; Insurance Category Code ; Large Provider Entity Code ; Age Band Code ; Sex Code </v>
      </c>
      <c r="N3943" s="345" t="s">
        <v>207</v>
      </c>
      <c r="O3943" s="345" t="s">
        <v>208</v>
      </c>
      <c r="P3943" s="345" t="s">
        <v>209</v>
      </c>
      <c r="Q3943" s="345" t="s">
        <v>210</v>
      </c>
      <c r="R3943" s="345" t="s">
        <v>223</v>
      </c>
      <c r="S3943" s="345" t="s">
        <v>224</v>
      </c>
    </row>
    <row r="3944" spans="1:19" x14ac:dyDescent="0.25">
      <c r="A3944" s="311"/>
      <c r="B3944" s="312"/>
      <c r="C3944" s="312"/>
      <c r="D3944" s="312"/>
      <c r="E3944" s="312"/>
      <c r="F3944" s="312"/>
      <c r="G3944" s="328"/>
      <c r="H3944" s="337"/>
      <c r="I3944" s="334"/>
      <c r="J3944" s="314"/>
      <c r="K3944" s="449"/>
      <c r="M3944" s="349" t="str">
        <f>N3944&amp;AS[[#This Row],[Insurer Code]]&amp;"; "&amp;O3944&amp;AS[[#This Row],[Reporting Year]]&amp;"; "&amp;P3944&amp;AS[[#This Row],[Insurance Category Code]]&amp;"; "&amp;Q3944&amp;AS[[#This Row],[Large Provider Entity Code]]&amp;"; "&amp;R3944&amp;AS[[#This Row],[Age Band Code]]&amp;"; "&amp;S3944&amp;AS[[#This Row],[Sex Code]]</f>
        <v xml:space="preserve">Insurer Code ; Reporting Year ; Insurance Category Code ; Large Provider Entity Code ; Age Band Code ; Sex Code </v>
      </c>
      <c r="N3944" s="345" t="s">
        <v>207</v>
      </c>
      <c r="O3944" s="345" t="s">
        <v>208</v>
      </c>
      <c r="P3944" s="345" t="s">
        <v>209</v>
      </c>
      <c r="Q3944" s="345" t="s">
        <v>210</v>
      </c>
      <c r="R3944" s="345" t="s">
        <v>223</v>
      </c>
      <c r="S3944" s="345" t="s">
        <v>224</v>
      </c>
    </row>
    <row r="3945" spans="1:19" x14ac:dyDescent="0.25">
      <c r="A3945" s="311"/>
      <c r="B3945" s="312"/>
      <c r="C3945" s="312"/>
      <c r="D3945" s="312"/>
      <c r="E3945" s="312"/>
      <c r="F3945" s="312"/>
      <c r="G3945" s="328"/>
      <c r="H3945" s="337"/>
      <c r="I3945" s="334"/>
      <c r="J3945" s="314"/>
      <c r="K3945" s="449"/>
      <c r="M3945" s="349" t="str">
        <f>N3945&amp;AS[[#This Row],[Insurer Code]]&amp;"; "&amp;O3945&amp;AS[[#This Row],[Reporting Year]]&amp;"; "&amp;P3945&amp;AS[[#This Row],[Insurance Category Code]]&amp;"; "&amp;Q3945&amp;AS[[#This Row],[Large Provider Entity Code]]&amp;"; "&amp;R3945&amp;AS[[#This Row],[Age Band Code]]&amp;"; "&amp;S3945&amp;AS[[#This Row],[Sex Code]]</f>
        <v xml:space="preserve">Insurer Code ; Reporting Year ; Insurance Category Code ; Large Provider Entity Code ; Age Band Code ; Sex Code </v>
      </c>
      <c r="N3945" s="345" t="s">
        <v>207</v>
      </c>
      <c r="O3945" s="345" t="s">
        <v>208</v>
      </c>
      <c r="P3945" s="345" t="s">
        <v>209</v>
      </c>
      <c r="Q3945" s="345" t="s">
        <v>210</v>
      </c>
      <c r="R3945" s="345" t="s">
        <v>223</v>
      </c>
      <c r="S3945" s="345" t="s">
        <v>224</v>
      </c>
    </row>
    <row r="3946" spans="1:19" x14ac:dyDescent="0.25">
      <c r="A3946" s="311"/>
      <c r="B3946" s="312"/>
      <c r="C3946" s="312"/>
      <c r="D3946" s="312"/>
      <c r="E3946" s="312"/>
      <c r="F3946" s="312"/>
      <c r="G3946" s="328"/>
      <c r="H3946" s="337"/>
      <c r="I3946" s="334"/>
      <c r="J3946" s="314"/>
      <c r="K3946" s="449"/>
      <c r="M3946" s="349" t="str">
        <f>N3946&amp;AS[[#This Row],[Insurer Code]]&amp;"; "&amp;O3946&amp;AS[[#This Row],[Reporting Year]]&amp;"; "&amp;P3946&amp;AS[[#This Row],[Insurance Category Code]]&amp;"; "&amp;Q3946&amp;AS[[#This Row],[Large Provider Entity Code]]&amp;"; "&amp;R3946&amp;AS[[#This Row],[Age Band Code]]&amp;"; "&amp;S3946&amp;AS[[#This Row],[Sex Code]]</f>
        <v xml:space="preserve">Insurer Code ; Reporting Year ; Insurance Category Code ; Large Provider Entity Code ; Age Band Code ; Sex Code </v>
      </c>
      <c r="N3946" s="345" t="s">
        <v>207</v>
      </c>
      <c r="O3946" s="345" t="s">
        <v>208</v>
      </c>
      <c r="P3946" s="345" t="s">
        <v>209</v>
      </c>
      <c r="Q3946" s="345" t="s">
        <v>210</v>
      </c>
      <c r="R3946" s="345" t="s">
        <v>223</v>
      </c>
      <c r="S3946" s="345" t="s">
        <v>224</v>
      </c>
    </row>
    <row r="3947" spans="1:19" x14ac:dyDescent="0.25">
      <c r="A3947" s="311"/>
      <c r="B3947" s="312"/>
      <c r="C3947" s="312"/>
      <c r="D3947" s="312"/>
      <c r="E3947" s="312"/>
      <c r="F3947" s="312"/>
      <c r="G3947" s="328"/>
      <c r="H3947" s="337"/>
      <c r="I3947" s="334"/>
      <c r="J3947" s="314"/>
      <c r="K3947" s="449"/>
      <c r="M3947" s="349" t="str">
        <f>N3947&amp;AS[[#This Row],[Insurer Code]]&amp;"; "&amp;O3947&amp;AS[[#This Row],[Reporting Year]]&amp;"; "&amp;P3947&amp;AS[[#This Row],[Insurance Category Code]]&amp;"; "&amp;Q3947&amp;AS[[#This Row],[Large Provider Entity Code]]&amp;"; "&amp;R3947&amp;AS[[#This Row],[Age Band Code]]&amp;"; "&amp;S3947&amp;AS[[#This Row],[Sex Code]]</f>
        <v xml:space="preserve">Insurer Code ; Reporting Year ; Insurance Category Code ; Large Provider Entity Code ; Age Band Code ; Sex Code </v>
      </c>
      <c r="N3947" s="345" t="s">
        <v>207</v>
      </c>
      <c r="O3947" s="345" t="s">
        <v>208</v>
      </c>
      <c r="P3947" s="345" t="s">
        <v>209</v>
      </c>
      <c r="Q3947" s="345" t="s">
        <v>210</v>
      </c>
      <c r="R3947" s="345" t="s">
        <v>223</v>
      </c>
      <c r="S3947" s="345" t="s">
        <v>224</v>
      </c>
    </row>
    <row r="3948" spans="1:19" x14ac:dyDescent="0.25">
      <c r="A3948" s="311"/>
      <c r="B3948" s="312"/>
      <c r="C3948" s="312"/>
      <c r="D3948" s="312"/>
      <c r="E3948" s="312"/>
      <c r="F3948" s="312"/>
      <c r="G3948" s="328"/>
      <c r="H3948" s="337"/>
      <c r="I3948" s="334"/>
      <c r="J3948" s="314"/>
      <c r="K3948" s="449"/>
      <c r="M3948" s="349" t="str">
        <f>N3948&amp;AS[[#This Row],[Insurer Code]]&amp;"; "&amp;O3948&amp;AS[[#This Row],[Reporting Year]]&amp;"; "&amp;P3948&amp;AS[[#This Row],[Insurance Category Code]]&amp;"; "&amp;Q3948&amp;AS[[#This Row],[Large Provider Entity Code]]&amp;"; "&amp;R3948&amp;AS[[#This Row],[Age Band Code]]&amp;"; "&amp;S3948&amp;AS[[#This Row],[Sex Code]]</f>
        <v xml:space="preserve">Insurer Code ; Reporting Year ; Insurance Category Code ; Large Provider Entity Code ; Age Band Code ; Sex Code </v>
      </c>
      <c r="N3948" s="345" t="s">
        <v>207</v>
      </c>
      <c r="O3948" s="345" t="s">
        <v>208</v>
      </c>
      <c r="P3948" s="345" t="s">
        <v>209</v>
      </c>
      <c r="Q3948" s="345" t="s">
        <v>210</v>
      </c>
      <c r="R3948" s="345" t="s">
        <v>223</v>
      </c>
      <c r="S3948" s="345" t="s">
        <v>224</v>
      </c>
    </row>
    <row r="3949" spans="1:19" x14ac:dyDescent="0.25">
      <c r="A3949" s="311"/>
      <c r="B3949" s="312"/>
      <c r="C3949" s="312"/>
      <c r="D3949" s="312"/>
      <c r="E3949" s="312"/>
      <c r="F3949" s="312"/>
      <c r="G3949" s="328"/>
      <c r="H3949" s="337"/>
      <c r="I3949" s="334"/>
      <c r="J3949" s="314"/>
      <c r="K3949" s="449"/>
      <c r="M3949" s="349" t="str">
        <f>N3949&amp;AS[[#This Row],[Insurer Code]]&amp;"; "&amp;O3949&amp;AS[[#This Row],[Reporting Year]]&amp;"; "&amp;P3949&amp;AS[[#This Row],[Insurance Category Code]]&amp;"; "&amp;Q3949&amp;AS[[#This Row],[Large Provider Entity Code]]&amp;"; "&amp;R3949&amp;AS[[#This Row],[Age Band Code]]&amp;"; "&amp;S3949&amp;AS[[#This Row],[Sex Code]]</f>
        <v xml:space="preserve">Insurer Code ; Reporting Year ; Insurance Category Code ; Large Provider Entity Code ; Age Band Code ; Sex Code </v>
      </c>
      <c r="N3949" s="345" t="s">
        <v>207</v>
      </c>
      <c r="O3949" s="345" t="s">
        <v>208</v>
      </c>
      <c r="P3949" s="345" t="s">
        <v>209</v>
      </c>
      <c r="Q3949" s="345" t="s">
        <v>210</v>
      </c>
      <c r="R3949" s="345" t="s">
        <v>223</v>
      </c>
      <c r="S3949" s="345" t="s">
        <v>224</v>
      </c>
    </row>
    <row r="3950" spans="1:19" x14ac:dyDescent="0.25">
      <c r="A3950" s="311"/>
      <c r="B3950" s="312"/>
      <c r="C3950" s="312"/>
      <c r="D3950" s="312"/>
      <c r="E3950" s="312"/>
      <c r="F3950" s="312"/>
      <c r="G3950" s="328"/>
      <c r="H3950" s="337"/>
      <c r="I3950" s="334"/>
      <c r="J3950" s="314"/>
      <c r="K3950" s="449"/>
      <c r="M3950" s="349" t="str">
        <f>N3950&amp;AS[[#This Row],[Insurer Code]]&amp;"; "&amp;O3950&amp;AS[[#This Row],[Reporting Year]]&amp;"; "&amp;P3950&amp;AS[[#This Row],[Insurance Category Code]]&amp;"; "&amp;Q3950&amp;AS[[#This Row],[Large Provider Entity Code]]&amp;"; "&amp;R3950&amp;AS[[#This Row],[Age Band Code]]&amp;"; "&amp;S3950&amp;AS[[#This Row],[Sex Code]]</f>
        <v xml:space="preserve">Insurer Code ; Reporting Year ; Insurance Category Code ; Large Provider Entity Code ; Age Band Code ; Sex Code </v>
      </c>
      <c r="N3950" s="345" t="s">
        <v>207</v>
      </c>
      <c r="O3950" s="345" t="s">
        <v>208</v>
      </c>
      <c r="P3950" s="345" t="s">
        <v>209</v>
      </c>
      <c r="Q3950" s="345" t="s">
        <v>210</v>
      </c>
      <c r="R3950" s="345" t="s">
        <v>223</v>
      </c>
      <c r="S3950" s="345" t="s">
        <v>224</v>
      </c>
    </row>
    <row r="3951" spans="1:19" x14ac:dyDescent="0.25">
      <c r="A3951" s="311"/>
      <c r="B3951" s="312"/>
      <c r="C3951" s="312"/>
      <c r="D3951" s="312"/>
      <c r="E3951" s="312"/>
      <c r="F3951" s="312"/>
      <c r="G3951" s="328"/>
      <c r="H3951" s="337"/>
      <c r="I3951" s="334"/>
      <c r="J3951" s="314"/>
      <c r="K3951" s="449"/>
      <c r="M3951" s="349" t="str">
        <f>N3951&amp;AS[[#This Row],[Insurer Code]]&amp;"; "&amp;O3951&amp;AS[[#This Row],[Reporting Year]]&amp;"; "&amp;P3951&amp;AS[[#This Row],[Insurance Category Code]]&amp;"; "&amp;Q3951&amp;AS[[#This Row],[Large Provider Entity Code]]&amp;"; "&amp;R3951&amp;AS[[#This Row],[Age Band Code]]&amp;"; "&amp;S3951&amp;AS[[#This Row],[Sex Code]]</f>
        <v xml:space="preserve">Insurer Code ; Reporting Year ; Insurance Category Code ; Large Provider Entity Code ; Age Band Code ; Sex Code </v>
      </c>
      <c r="N3951" s="345" t="s">
        <v>207</v>
      </c>
      <c r="O3951" s="345" t="s">
        <v>208</v>
      </c>
      <c r="P3951" s="345" t="s">
        <v>209</v>
      </c>
      <c r="Q3951" s="345" t="s">
        <v>210</v>
      </c>
      <c r="R3951" s="345" t="s">
        <v>223</v>
      </c>
      <c r="S3951" s="345" t="s">
        <v>224</v>
      </c>
    </row>
    <row r="3952" spans="1:19" x14ac:dyDescent="0.25">
      <c r="A3952" s="311"/>
      <c r="B3952" s="312"/>
      <c r="C3952" s="312"/>
      <c r="D3952" s="312"/>
      <c r="E3952" s="312"/>
      <c r="F3952" s="312"/>
      <c r="G3952" s="328"/>
      <c r="H3952" s="337"/>
      <c r="I3952" s="334"/>
      <c r="J3952" s="314"/>
      <c r="K3952" s="449"/>
      <c r="M3952" s="349" t="str">
        <f>N3952&amp;AS[[#This Row],[Insurer Code]]&amp;"; "&amp;O3952&amp;AS[[#This Row],[Reporting Year]]&amp;"; "&amp;P3952&amp;AS[[#This Row],[Insurance Category Code]]&amp;"; "&amp;Q3952&amp;AS[[#This Row],[Large Provider Entity Code]]&amp;"; "&amp;R3952&amp;AS[[#This Row],[Age Band Code]]&amp;"; "&amp;S3952&amp;AS[[#This Row],[Sex Code]]</f>
        <v xml:space="preserve">Insurer Code ; Reporting Year ; Insurance Category Code ; Large Provider Entity Code ; Age Band Code ; Sex Code </v>
      </c>
      <c r="N3952" s="345" t="s">
        <v>207</v>
      </c>
      <c r="O3952" s="345" t="s">
        <v>208</v>
      </c>
      <c r="P3952" s="345" t="s">
        <v>209</v>
      </c>
      <c r="Q3952" s="345" t="s">
        <v>210</v>
      </c>
      <c r="R3952" s="345" t="s">
        <v>223</v>
      </c>
      <c r="S3952" s="345" t="s">
        <v>224</v>
      </c>
    </row>
    <row r="3953" spans="1:19" x14ac:dyDescent="0.25">
      <c r="A3953" s="311"/>
      <c r="B3953" s="312"/>
      <c r="C3953" s="312"/>
      <c r="D3953" s="312"/>
      <c r="E3953" s="312"/>
      <c r="F3953" s="312"/>
      <c r="G3953" s="328"/>
      <c r="H3953" s="337"/>
      <c r="I3953" s="334"/>
      <c r="J3953" s="314"/>
      <c r="K3953" s="449"/>
      <c r="M3953" s="349" t="str">
        <f>N3953&amp;AS[[#This Row],[Insurer Code]]&amp;"; "&amp;O3953&amp;AS[[#This Row],[Reporting Year]]&amp;"; "&amp;P3953&amp;AS[[#This Row],[Insurance Category Code]]&amp;"; "&amp;Q3953&amp;AS[[#This Row],[Large Provider Entity Code]]&amp;"; "&amp;R3953&amp;AS[[#This Row],[Age Band Code]]&amp;"; "&amp;S3953&amp;AS[[#This Row],[Sex Code]]</f>
        <v xml:space="preserve">Insurer Code ; Reporting Year ; Insurance Category Code ; Large Provider Entity Code ; Age Band Code ; Sex Code </v>
      </c>
      <c r="N3953" s="345" t="s">
        <v>207</v>
      </c>
      <c r="O3953" s="345" t="s">
        <v>208</v>
      </c>
      <c r="P3953" s="345" t="s">
        <v>209</v>
      </c>
      <c r="Q3953" s="345" t="s">
        <v>210</v>
      </c>
      <c r="R3953" s="345" t="s">
        <v>223</v>
      </c>
      <c r="S3953" s="345" t="s">
        <v>224</v>
      </c>
    </row>
    <row r="3954" spans="1:19" x14ac:dyDescent="0.25">
      <c r="A3954" s="311"/>
      <c r="B3954" s="312"/>
      <c r="C3954" s="312"/>
      <c r="D3954" s="312"/>
      <c r="E3954" s="312"/>
      <c r="F3954" s="312"/>
      <c r="G3954" s="328"/>
      <c r="H3954" s="337"/>
      <c r="I3954" s="334"/>
      <c r="J3954" s="314"/>
      <c r="K3954" s="449"/>
      <c r="M3954" s="349" t="str">
        <f>N3954&amp;AS[[#This Row],[Insurer Code]]&amp;"; "&amp;O3954&amp;AS[[#This Row],[Reporting Year]]&amp;"; "&amp;P3954&amp;AS[[#This Row],[Insurance Category Code]]&amp;"; "&amp;Q3954&amp;AS[[#This Row],[Large Provider Entity Code]]&amp;"; "&amp;R3954&amp;AS[[#This Row],[Age Band Code]]&amp;"; "&amp;S3954&amp;AS[[#This Row],[Sex Code]]</f>
        <v xml:space="preserve">Insurer Code ; Reporting Year ; Insurance Category Code ; Large Provider Entity Code ; Age Band Code ; Sex Code </v>
      </c>
      <c r="N3954" s="345" t="s">
        <v>207</v>
      </c>
      <c r="O3954" s="345" t="s">
        <v>208</v>
      </c>
      <c r="P3954" s="345" t="s">
        <v>209</v>
      </c>
      <c r="Q3954" s="345" t="s">
        <v>210</v>
      </c>
      <c r="R3954" s="345" t="s">
        <v>223</v>
      </c>
      <c r="S3954" s="345" t="s">
        <v>224</v>
      </c>
    </row>
    <row r="3955" spans="1:19" x14ac:dyDescent="0.25">
      <c r="A3955" s="311"/>
      <c r="B3955" s="312"/>
      <c r="C3955" s="312"/>
      <c r="D3955" s="312"/>
      <c r="E3955" s="312"/>
      <c r="F3955" s="312"/>
      <c r="G3955" s="328"/>
      <c r="H3955" s="337"/>
      <c r="I3955" s="334"/>
      <c r="J3955" s="314"/>
      <c r="K3955" s="449"/>
      <c r="M3955" s="349" t="str">
        <f>N3955&amp;AS[[#This Row],[Insurer Code]]&amp;"; "&amp;O3955&amp;AS[[#This Row],[Reporting Year]]&amp;"; "&amp;P3955&amp;AS[[#This Row],[Insurance Category Code]]&amp;"; "&amp;Q3955&amp;AS[[#This Row],[Large Provider Entity Code]]&amp;"; "&amp;R3955&amp;AS[[#This Row],[Age Band Code]]&amp;"; "&amp;S3955&amp;AS[[#This Row],[Sex Code]]</f>
        <v xml:space="preserve">Insurer Code ; Reporting Year ; Insurance Category Code ; Large Provider Entity Code ; Age Band Code ; Sex Code </v>
      </c>
      <c r="N3955" s="345" t="s">
        <v>207</v>
      </c>
      <c r="O3955" s="345" t="s">
        <v>208</v>
      </c>
      <c r="P3955" s="345" t="s">
        <v>209</v>
      </c>
      <c r="Q3955" s="345" t="s">
        <v>210</v>
      </c>
      <c r="R3955" s="345" t="s">
        <v>223</v>
      </c>
      <c r="S3955" s="345" t="s">
        <v>224</v>
      </c>
    </row>
    <row r="3956" spans="1:19" x14ac:dyDescent="0.25">
      <c r="A3956" s="311"/>
      <c r="B3956" s="312"/>
      <c r="C3956" s="312"/>
      <c r="D3956" s="312"/>
      <c r="E3956" s="312"/>
      <c r="F3956" s="312"/>
      <c r="G3956" s="328"/>
      <c r="H3956" s="337"/>
      <c r="I3956" s="334"/>
      <c r="J3956" s="314"/>
      <c r="K3956" s="449"/>
      <c r="M3956" s="349" t="str">
        <f>N3956&amp;AS[[#This Row],[Insurer Code]]&amp;"; "&amp;O3956&amp;AS[[#This Row],[Reporting Year]]&amp;"; "&amp;P3956&amp;AS[[#This Row],[Insurance Category Code]]&amp;"; "&amp;Q3956&amp;AS[[#This Row],[Large Provider Entity Code]]&amp;"; "&amp;R3956&amp;AS[[#This Row],[Age Band Code]]&amp;"; "&amp;S3956&amp;AS[[#This Row],[Sex Code]]</f>
        <v xml:space="preserve">Insurer Code ; Reporting Year ; Insurance Category Code ; Large Provider Entity Code ; Age Band Code ; Sex Code </v>
      </c>
      <c r="N3956" s="345" t="s">
        <v>207</v>
      </c>
      <c r="O3956" s="345" t="s">
        <v>208</v>
      </c>
      <c r="P3956" s="345" t="s">
        <v>209</v>
      </c>
      <c r="Q3956" s="345" t="s">
        <v>210</v>
      </c>
      <c r="R3956" s="345" t="s">
        <v>223</v>
      </c>
      <c r="S3956" s="345" t="s">
        <v>224</v>
      </c>
    </row>
    <row r="3957" spans="1:19" x14ac:dyDescent="0.25">
      <c r="A3957" s="311"/>
      <c r="B3957" s="312"/>
      <c r="C3957" s="312"/>
      <c r="D3957" s="312"/>
      <c r="E3957" s="312"/>
      <c r="F3957" s="312"/>
      <c r="G3957" s="328"/>
      <c r="H3957" s="337"/>
      <c r="I3957" s="334"/>
      <c r="J3957" s="314"/>
      <c r="K3957" s="449"/>
      <c r="M3957" s="349" t="str">
        <f>N3957&amp;AS[[#This Row],[Insurer Code]]&amp;"; "&amp;O3957&amp;AS[[#This Row],[Reporting Year]]&amp;"; "&amp;P3957&amp;AS[[#This Row],[Insurance Category Code]]&amp;"; "&amp;Q3957&amp;AS[[#This Row],[Large Provider Entity Code]]&amp;"; "&amp;R3957&amp;AS[[#This Row],[Age Band Code]]&amp;"; "&amp;S3957&amp;AS[[#This Row],[Sex Code]]</f>
        <v xml:space="preserve">Insurer Code ; Reporting Year ; Insurance Category Code ; Large Provider Entity Code ; Age Band Code ; Sex Code </v>
      </c>
      <c r="N3957" s="345" t="s">
        <v>207</v>
      </c>
      <c r="O3957" s="345" t="s">
        <v>208</v>
      </c>
      <c r="P3957" s="345" t="s">
        <v>209</v>
      </c>
      <c r="Q3957" s="345" t="s">
        <v>210</v>
      </c>
      <c r="R3957" s="345" t="s">
        <v>223</v>
      </c>
      <c r="S3957" s="345" t="s">
        <v>224</v>
      </c>
    </row>
    <row r="3958" spans="1:19" x14ac:dyDescent="0.25">
      <c r="A3958" s="311"/>
      <c r="B3958" s="312"/>
      <c r="C3958" s="312"/>
      <c r="D3958" s="312"/>
      <c r="E3958" s="312"/>
      <c r="F3958" s="312"/>
      <c r="G3958" s="328"/>
      <c r="H3958" s="337"/>
      <c r="I3958" s="334"/>
      <c r="J3958" s="314"/>
      <c r="K3958" s="449"/>
      <c r="M3958" s="349" t="str">
        <f>N3958&amp;AS[[#This Row],[Insurer Code]]&amp;"; "&amp;O3958&amp;AS[[#This Row],[Reporting Year]]&amp;"; "&amp;P3958&amp;AS[[#This Row],[Insurance Category Code]]&amp;"; "&amp;Q3958&amp;AS[[#This Row],[Large Provider Entity Code]]&amp;"; "&amp;R3958&amp;AS[[#This Row],[Age Band Code]]&amp;"; "&amp;S3958&amp;AS[[#This Row],[Sex Code]]</f>
        <v xml:space="preserve">Insurer Code ; Reporting Year ; Insurance Category Code ; Large Provider Entity Code ; Age Band Code ; Sex Code </v>
      </c>
      <c r="N3958" s="345" t="s">
        <v>207</v>
      </c>
      <c r="O3958" s="345" t="s">
        <v>208</v>
      </c>
      <c r="P3958" s="345" t="s">
        <v>209</v>
      </c>
      <c r="Q3958" s="345" t="s">
        <v>210</v>
      </c>
      <c r="R3958" s="345" t="s">
        <v>223</v>
      </c>
      <c r="S3958" s="345" t="s">
        <v>224</v>
      </c>
    </row>
    <row r="3959" spans="1:19" x14ac:dyDescent="0.25">
      <c r="A3959" s="311"/>
      <c r="B3959" s="312"/>
      <c r="C3959" s="312"/>
      <c r="D3959" s="312"/>
      <c r="E3959" s="312"/>
      <c r="F3959" s="312"/>
      <c r="G3959" s="328"/>
      <c r="H3959" s="337"/>
      <c r="I3959" s="334"/>
      <c r="J3959" s="314"/>
      <c r="K3959" s="449"/>
      <c r="M3959" s="349" t="str">
        <f>N3959&amp;AS[[#This Row],[Insurer Code]]&amp;"; "&amp;O3959&amp;AS[[#This Row],[Reporting Year]]&amp;"; "&amp;P3959&amp;AS[[#This Row],[Insurance Category Code]]&amp;"; "&amp;Q3959&amp;AS[[#This Row],[Large Provider Entity Code]]&amp;"; "&amp;R3959&amp;AS[[#This Row],[Age Band Code]]&amp;"; "&amp;S3959&amp;AS[[#This Row],[Sex Code]]</f>
        <v xml:space="preserve">Insurer Code ; Reporting Year ; Insurance Category Code ; Large Provider Entity Code ; Age Band Code ; Sex Code </v>
      </c>
      <c r="N3959" s="345" t="s">
        <v>207</v>
      </c>
      <c r="O3959" s="345" t="s">
        <v>208</v>
      </c>
      <c r="P3959" s="345" t="s">
        <v>209</v>
      </c>
      <c r="Q3959" s="345" t="s">
        <v>210</v>
      </c>
      <c r="R3959" s="345" t="s">
        <v>223</v>
      </c>
      <c r="S3959" s="345" t="s">
        <v>224</v>
      </c>
    </row>
    <row r="3960" spans="1:19" x14ac:dyDescent="0.25">
      <c r="A3960" s="311"/>
      <c r="B3960" s="312"/>
      <c r="C3960" s="312"/>
      <c r="D3960" s="312"/>
      <c r="E3960" s="312"/>
      <c r="F3960" s="312"/>
      <c r="G3960" s="328"/>
      <c r="H3960" s="337"/>
      <c r="I3960" s="334"/>
      <c r="J3960" s="314"/>
      <c r="K3960" s="449"/>
      <c r="M3960" s="349" t="str">
        <f>N3960&amp;AS[[#This Row],[Insurer Code]]&amp;"; "&amp;O3960&amp;AS[[#This Row],[Reporting Year]]&amp;"; "&amp;P3960&amp;AS[[#This Row],[Insurance Category Code]]&amp;"; "&amp;Q3960&amp;AS[[#This Row],[Large Provider Entity Code]]&amp;"; "&amp;R3960&amp;AS[[#This Row],[Age Band Code]]&amp;"; "&amp;S3960&amp;AS[[#This Row],[Sex Code]]</f>
        <v xml:space="preserve">Insurer Code ; Reporting Year ; Insurance Category Code ; Large Provider Entity Code ; Age Band Code ; Sex Code </v>
      </c>
      <c r="N3960" s="345" t="s">
        <v>207</v>
      </c>
      <c r="O3960" s="345" t="s">
        <v>208</v>
      </c>
      <c r="P3960" s="345" t="s">
        <v>209</v>
      </c>
      <c r="Q3960" s="345" t="s">
        <v>210</v>
      </c>
      <c r="R3960" s="345" t="s">
        <v>223</v>
      </c>
      <c r="S3960" s="345" t="s">
        <v>224</v>
      </c>
    </row>
    <row r="3961" spans="1:19" x14ac:dyDescent="0.25">
      <c r="A3961" s="311"/>
      <c r="B3961" s="312"/>
      <c r="C3961" s="312"/>
      <c r="D3961" s="312"/>
      <c r="E3961" s="312"/>
      <c r="F3961" s="312"/>
      <c r="G3961" s="328"/>
      <c r="H3961" s="337"/>
      <c r="I3961" s="334"/>
      <c r="J3961" s="314"/>
      <c r="K3961" s="449"/>
      <c r="M3961" s="349" t="str">
        <f>N3961&amp;AS[[#This Row],[Insurer Code]]&amp;"; "&amp;O3961&amp;AS[[#This Row],[Reporting Year]]&amp;"; "&amp;P3961&amp;AS[[#This Row],[Insurance Category Code]]&amp;"; "&amp;Q3961&amp;AS[[#This Row],[Large Provider Entity Code]]&amp;"; "&amp;R3961&amp;AS[[#This Row],[Age Band Code]]&amp;"; "&amp;S3961&amp;AS[[#This Row],[Sex Code]]</f>
        <v xml:space="preserve">Insurer Code ; Reporting Year ; Insurance Category Code ; Large Provider Entity Code ; Age Band Code ; Sex Code </v>
      </c>
      <c r="N3961" s="345" t="s">
        <v>207</v>
      </c>
      <c r="O3961" s="345" t="s">
        <v>208</v>
      </c>
      <c r="P3961" s="345" t="s">
        <v>209</v>
      </c>
      <c r="Q3961" s="345" t="s">
        <v>210</v>
      </c>
      <c r="R3961" s="345" t="s">
        <v>223</v>
      </c>
      <c r="S3961" s="345" t="s">
        <v>224</v>
      </c>
    </row>
    <row r="3962" spans="1:19" x14ac:dyDescent="0.25">
      <c r="A3962" s="311"/>
      <c r="B3962" s="312"/>
      <c r="C3962" s="312"/>
      <c r="D3962" s="312"/>
      <c r="E3962" s="312"/>
      <c r="F3962" s="312"/>
      <c r="G3962" s="328"/>
      <c r="H3962" s="337"/>
      <c r="I3962" s="334"/>
      <c r="J3962" s="314"/>
      <c r="K3962" s="449"/>
      <c r="M3962" s="349" t="str">
        <f>N3962&amp;AS[[#This Row],[Insurer Code]]&amp;"; "&amp;O3962&amp;AS[[#This Row],[Reporting Year]]&amp;"; "&amp;P3962&amp;AS[[#This Row],[Insurance Category Code]]&amp;"; "&amp;Q3962&amp;AS[[#This Row],[Large Provider Entity Code]]&amp;"; "&amp;R3962&amp;AS[[#This Row],[Age Band Code]]&amp;"; "&amp;S3962&amp;AS[[#This Row],[Sex Code]]</f>
        <v xml:space="preserve">Insurer Code ; Reporting Year ; Insurance Category Code ; Large Provider Entity Code ; Age Band Code ; Sex Code </v>
      </c>
      <c r="N3962" s="345" t="s">
        <v>207</v>
      </c>
      <c r="O3962" s="345" t="s">
        <v>208</v>
      </c>
      <c r="P3962" s="345" t="s">
        <v>209</v>
      </c>
      <c r="Q3962" s="345" t="s">
        <v>210</v>
      </c>
      <c r="R3962" s="345" t="s">
        <v>223</v>
      </c>
      <c r="S3962" s="345" t="s">
        <v>224</v>
      </c>
    </row>
    <row r="3963" spans="1:19" x14ac:dyDescent="0.25">
      <c r="A3963" s="311"/>
      <c r="B3963" s="312"/>
      <c r="C3963" s="312"/>
      <c r="D3963" s="312"/>
      <c r="E3963" s="312"/>
      <c r="F3963" s="312"/>
      <c r="G3963" s="328"/>
      <c r="H3963" s="337"/>
      <c r="I3963" s="334"/>
      <c r="J3963" s="314"/>
      <c r="K3963" s="449"/>
      <c r="M3963" s="349" t="str">
        <f>N3963&amp;AS[[#This Row],[Insurer Code]]&amp;"; "&amp;O3963&amp;AS[[#This Row],[Reporting Year]]&amp;"; "&amp;P3963&amp;AS[[#This Row],[Insurance Category Code]]&amp;"; "&amp;Q3963&amp;AS[[#This Row],[Large Provider Entity Code]]&amp;"; "&amp;R3963&amp;AS[[#This Row],[Age Band Code]]&amp;"; "&amp;S3963&amp;AS[[#This Row],[Sex Code]]</f>
        <v xml:space="preserve">Insurer Code ; Reporting Year ; Insurance Category Code ; Large Provider Entity Code ; Age Band Code ; Sex Code </v>
      </c>
      <c r="N3963" s="345" t="s">
        <v>207</v>
      </c>
      <c r="O3963" s="345" t="s">
        <v>208</v>
      </c>
      <c r="P3963" s="345" t="s">
        <v>209</v>
      </c>
      <c r="Q3963" s="345" t="s">
        <v>210</v>
      </c>
      <c r="R3963" s="345" t="s">
        <v>223</v>
      </c>
      <c r="S3963" s="345" t="s">
        <v>224</v>
      </c>
    </row>
    <row r="3964" spans="1:19" x14ac:dyDescent="0.25">
      <c r="A3964" s="311"/>
      <c r="B3964" s="312"/>
      <c r="C3964" s="312"/>
      <c r="D3964" s="312"/>
      <c r="E3964" s="312"/>
      <c r="F3964" s="312"/>
      <c r="G3964" s="328"/>
      <c r="H3964" s="337"/>
      <c r="I3964" s="334"/>
      <c r="J3964" s="314"/>
      <c r="K3964" s="449"/>
      <c r="M3964" s="349" t="str">
        <f>N3964&amp;AS[[#This Row],[Insurer Code]]&amp;"; "&amp;O3964&amp;AS[[#This Row],[Reporting Year]]&amp;"; "&amp;P3964&amp;AS[[#This Row],[Insurance Category Code]]&amp;"; "&amp;Q3964&amp;AS[[#This Row],[Large Provider Entity Code]]&amp;"; "&amp;R3964&amp;AS[[#This Row],[Age Band Code]]&amp;"; "&amp;S3964&amp;AS[[#This Row],[Sex Code]]</f>
        <v xml:space="preserve">Insurer Code ; Reporting Year ; Insurance Category Code ; Large Provider Entity Code ; Age Band Code ; Sex Code </v>
      </c>
      <c r="N3964" s="345" t="s">
        <v>207</v>
      </c>
      <c r="O3964" s="345" t="s">
        <v>208</v>
      </c>
      <c r="P3964" s="345" t="s">
        <v>209</v>
      </c>
      <c r="Q3964" s="345" t="s">
        <v>210</v>
      </c>
      <c r="R3964" s="345" t="s">
        <v>223</v>
      </c>
      <c r="S3964" s="345" t="s">
        <v>224</v>
      </c>
    </row>
    <row r="3965" spans="1:19" x14ac:dyDescent="0.25">
      <c r="A3965" s="311"/>
      <c r="B3965" s="312"/>
      <c r="C3965" s="312"/>
      <c r="D3965" s="312"/>
      <c r="E3965" s="312"/>
      <c r="F3965" s="312"/>
      <c r="G3965" s="328"/>
      <c r="H3965" s="337"/>
      <c r="I3965" s="334"/>
      <c r="J3965" s="314"/>
      <c r="K3965" s="449"/>
      <c r="M3965" s="349" t="str">
        <f>N3965&amp;AS[[#This Row],[Insurer Code]]&amp;"; "&amp;O3965&amp;AS[[#This Row],[Reporting Year]]&amp;"; "&amp;P3965&amp;AS[[#This Row],[Insurance Category Code]]&amp;"; "&amp;Q3965&amp;AS[[#This Row],[Large Provider Entity Code]]&amp;"; "&amp;R3965&amp;AS[[#This Row],[Age Band Code]]&amp;"; "&amp;S3965&amp;AS[[#This Row],[Sex Code]]</f>
        <v xml:space="preserve">Insurer Code ; Reporting Year ; Insurance Category Code ; Large Provider Entity Code ; Age Band Code ; Sex Code </v>
      </c>
      <c r="N3965" s="345" t="s">
        <v>207</v>
      </c>
      <c r="O3965" s="345" t="s">
        <v>208</v>
      </c>
      <c r="P3965" s="345" t="s">
        <v>209</v>
      </c>
      <c r="Q3965" s="345" t="s">
        <v>210</v>
      </c>
      <c r="R3965" s="345" t="s">
        <v>223</v>
      </c>
      <c r="S3965" s="345" t="s">
        <v>224</v>
      </c>
    </row>
    <row r="3966" spans="1:19" x14ac:dyDescent="0.25">
      <c r="A3966" s="311"/>
      <c r="B3966" s="312"/>
      <c r="C3966" s="312"/>
      <c r="D3966" s="312"/>
      <c r="E3966" s="312"/>
      <c r="F3966" s="312"/>
      <c r="G3966" s="328"/>
      <c r="H3966" s="337"/>
      <c r="I3966" s="334"/>
      <c r="J3966" s="314"/>
      <c r="K3966" s="449"/>
      <c r="M3966" s="349" t="str">
        <f>N3966&amp;AS[[#This Row],[Insurer Code]]&amp;"; "&amp;O3966&amp;AS[[#This Row],[Reporting Year]]&amp;"; "&amp;P3966&amp;AS[[#This Row],[Insurance Category Code]]&amp;"; "&amp;Q3966&amp;AS[[#This Row],[Large Provider Entity Code]]&amp;"; "&amp;R3966&amp;AS[[#This Row],[Age Band Code]]&amp;"; "&amp;S3966&amp;AS[[#This Row],[Sex Code]]</f>
        <v xml:space="preserve">Insurer Code ; Reporting Year ; Insurance Category Code ; Large Provider Entity Code ; Age Band Code ; Sex Code </v>
      </c>
      <c r="N3966" s="345" t="s">
        <v>207</v>
      </c>
      <c r="O3966" s="345" t="s">
        <v>208</v>
      </c>
      <c r="P3966" s="345" t="s">
        <v>209</v>
      </c>
      <c r="Q3966" s="345" t="s">
        <v>210</v>
      </c>
      <c r="R3966" s="345" t="s">
        <v>223</v>
      </c>
      <c r="S3966" s="345" t="s">
        <v>224</v>
      </c>
    </row>
    <row r="3967" spans="1:19" x14ac:dyDescent="0.25">
      <c r="A3967" s="311"/>
      <c r="B3967" s="312"/>
      <c r="C3967" s="312"/>
      <c r="D3967" s="312"/>
      <c r="E3967" s="312"/>
      <c r="F3967" s="312"/>
      <c r="G3967" s="328"/>
      <c r="H3967" s="337"/>
      <c r="I3967" s="334"/>
      <c r="J3967" s="314"/>
      <c r="K3967" s="449"/>
      <c r="M3967" s="349" t="str">
        <f>N3967&amp;AS[[#This Row],[Insurer Code]]&amp;"; "&amp;O3967&amp;AS[[#This Row],[Reporting Year]]&amp;"; "&amp;P3967&amp;AS[[#This Row],[Insurance Category Code]]&amp;"; "&amp;Q3967&amp;AS[[#This Row],[Large Provider Entity Code]]&amp;"; "&amp;R3967&amp;AS[[#This Row],[Age Band Code]]&amp;"; "&amp;S3967&amp;AS[[#This Row],[Sex Code]]</f>
        <v xml:space="preserve">Insurer Code ; Reporting Year ; Insurance Category Code ; Large Provider Entity Code ; Age Band Code ; Sex Code </v>
      </c>
      <c r="N3967" s="345" t="s">
        <v>207</v>
      </c>
      <c r="O3967" s="345" t="s">
        <v>208</v>
      </c>
      <c r="P3967" s="345" t="s">
        <v>209</v>
      </c>
      <c r="Q3967" s="345" t="s">
        <v>210</v>
      </c>
      <c r="R3967" s="345" t="s">
        <v>223</v>
      </c>
      <c r="S3967" s="345" t="s">
        <v>224</v>
      </c>
    </row>
    <row r="3968" spans="1:19" x14ac:dyDescent="0.25">
      <c r="A3968" s="311"/>
      <c r="B3968" s="312"/>
      <c r="C3968" s="312"/>
      <c r="D3968" s="312"/>
      <c r="E3968" s="312"/>
      <c r="F3968" s="312"/>
      <c r="G3968" s="328"/>
      <c r="H3968" s="337"/>
      <c r="I3968" s="334"/>
      <c r="J3968" s="314"/>
      <c r="K3968" s="449"/>
      <c r="M3968" s="349" t="str">
        <f>N3968&amp;AS[[#This Row],[Insurer Code]]&amp;"; "&amp;O3968&amp;AS[[#This Row],[Reporting Year]]&amp;"; "&amp;P3968&amp;AS[[#This Row],[Insurance Category Code]]&amp;"; "&amp;Q3968&amp;AS[[#This Row],[Large Provider Entity Code]]&amp;"; "&amp;R3968&amp;AS[[#This Row],[Age Band Code]]&amp;"; "&amp;S3968&amp;AS[[#This Row],[Sex Code]]</f>
        <v xml:space="preserve">Insurer Code ; Reporting Year ; Insurance Category Code ; Large Provider Entity Code ; Age Band Code ; Sex Code </v>
      </c>
      <c r="N3968" s="345" t="s">
        <v>207</v>
      </c>
      <c r="O3968" s="345" t="s">
        <v>208</v>
      </c>
      <c r="P3968" s="345" t="s">
        <v>209</v>
      </c>
      <c r="Q3968" s="345" t="s">
        <v>210</v>
      </c>
      <c r="R3968" s="345" t="s">
        <v>223</v>
      </c>
      <c r="S3968" s="345" t="s">
        <v>224</v>
      </c>
    </row>
    <row r="3969" spans="1:19" x14ac:dyDescent="0.25">
      <c r="A3969" s="311"/>
      <c r="B3969" s="312"/>
      <c r="C3969" s="312"/>
      <c r="D3969" s="312"/>
      <c r="E3969" s="312"/>
      <c r="F3969" s="312"/>
      <c r="G3969" s="328"/>
      <c r="H3969" s="337"/>
      <c r="I3969" s="334"/>
      <c r="J3969" s="314"/>
      <c r="K3969" s="449"/>
      <c r="M3969" s="349" t="str">
        <f>N3969&amp;AS[[#This Row],[Insurer Code]]&amp;"; "&amp;O3969&amp;AS[[#This Row],[Reporting Year]]&amp;"; "&amp;P3969&amp;AS[[#This Row],[Insurance Category Code]]&amp;"; "&amp;Q3969&amp;AS[[#This Row],[Large Provider Entity Code]]&amp;"; "&amp;R3969&amp;AS[[#This Row],[Age Band Code]]&amp;"; "&amp;S3969&amp;AS[[#This Row],[Sex Code]]</f>
        <v xml:space="preserve">Insurer Code ; Reporting Year ; Insurance Category Code ; Large Provider Entity Code ; Age Band Code ; Sex Code </v>
      </c>
      <c r="N3969" s="345" t="s">
        <v>207</v>
      </c>
      <c r="O3969" s="345" t="s">
        <v>208</v>
      </c>
      <c r="P3969" s="345" t="s">
        <v>209</v>
      </c>
      <c r="Q3969" s="345" t="s">
        <v>210</v>
      </c>
      <c r="R3969" s="345" t="s">
        <v>223</v>
      </c>
      <c r="S3969" s="345" t="s">
        <v>224</v>
      </c>
    </row>
    <row r="3970" spans="1:19" x14ac:dyDescent="0.25">
      <c r="A3970" s="311"/>
      <c r="B3970" s="312"/>
      <c r="C3970" s="312"/>
      <c r="D3970" s="312"/>
      <c r="E3970" s="312"/>
      <c r="F3970" s="312"/>
      <c r="G3970" s="328"/>
      <c r="H3970" s="337"/>
      <c r="I3970" s="334"/>
      <c r="J3970" s="314"/>
      <c r="K3970" s="449"/>
      <c r="M3970" s="349" t="str">
        <f>N3970&amp;AS[[#This Row],[Insurer Code]]&amp;"; "&amp;O3970&amp;AS[[#This Row],[Reporting Year]]&amp;"; "&amp;P3970&amp;AS[[#This Row],[Insurance Category Code]]&amp;"; "&amp;Q3970&amp;AS[[#This Row],[Large Provider Entity Code]]&amp;"; "&amp;R3970&amp;AS[[#This Row],[Age Band Code]]&amp;"; "&amp;S3970&amp;AS[[#This Row],[Sex Code]]</f>
        <v xml:space="preserve">Insurer Code ; Reporting Year ; Insurance Category Code ; Large Provider Entity Code ; Age Band Code ; Sex Code </v>
      </c>
      <c r="N3970" s="345" t="s">
        <v>207</v>
      </c>
      <c r="O3970" s="345" t="s">
        <v>208</v>
      </c>
      <c r="P3970" s="345" t="s">
        <v>209</v>
      </c>
      <c r="Q3970" s="345" t="s">
        <v>210</v>
      </c>
      <c r="R3970" s="345" t="s">
        <v>223</v>
      </c>
      <c r="S3970" s="345" t="s">
        <v>224</v>
      </c>
    </row>
    <row r="3971" spans="1:19" x14ac:dyDescent="0.25">
      <c r="A3971" s="311"/>
      <c r="B3971" s="312"/>
      <c r="C3971" s="312"/>
      <c r="D3971" s="312"/>
      <c r="E3971" s="312"/>
      <c r="F3971" s="312"/>
      <c r="G3971" s="328"/>
      <c r="H3971" s="337"/>
      <c r="I3971" s="334"/>
      <c r="J3971" s="314"/>
      <c r="K3971" s="449"/>
      <c r="M3971" s="349" t="str">
        <f>N3971&amp;AS[[#This Row],[Insurer Code]]&amp;"; "&amp;O3971&amp;AS[[#This Row],[Reporting Year]]&amp;"; "&amp;P3971&amp;AS[[#This Row],[Insurance Category Code]]&amp;"; "&amp;Q3971&amp;AS[[#This Row],[Large Provider Entity Code]]&amp;"; "&amp;R3971&amp;AS[[#This Row],[Age Band Code]]&amp;"; "&amp;S3971&amp;AS[[#This Row],[Sex Code]]</f>
        <v xml:space="preserve">Insurer Code ; Reporting Year ; Insurance Category Code ; Large Provider Entity Code ; Age Band Code ; Sex Code </v>
      </c>
      <c r="N3971" s="345" t="s">
        <v>207</v>
      </c>
      <c r="O3971" s="345" t="s">
        <v>208</v>
      </c>
      <c r="P3971" s="345" t="s">
        <v>209</v>
      </c>
      <c r="Q3971" s="345" t="s">
        <v>210</v>
      </c>
      <c r="R3971" s="345" t="s">
        <v>223</v>
      </c>
      <c r="S3971" s="345" t="s">
        <v>224</v>
      </c>
    </row>
    <row r="3972" spans="1:19" x14ac:dyDescent="0.25">
      <c r="A3972" s="311"/>
      <c r="B3972" s="312"/>
      <c r="C3972" s="312"/>
      <c r="D3972" s="312"/>
      <c r="E3972" s="312"/>
      <c r="F3972" s="312"/>
      <c r="G3972" s="328"/>
      <c r="H3972" s="337"/>
      <c r="I3972" s="334"/>
      <c r="J3972" s="314"/>
      <c r="K3972" s="449"/>
      <c r="M3972" s="349" t="str">
        <f>N3972&amp;AS[[#This Row],[Insurer Code]]&amp;"; "&amp;O3972&amp;AS[[#This Row],[Reporting Year]]&amp;"; "&amp;P3972&amp;AS[[#This Row],[Insurance Category Code]]&amp;"; "&amp;Q3972&amp;AS[[#This Row],[Large Provider Entity Code]]&amp;"; "&amp;R3972&amp;AS[[#This Row],[Age Band Code]]&amp;"; "&amp;S3972&amp;AS[[#This Row],[Sex Code]]</f>
        <v xml:space="preserve">Insurer Code ; Reporting Year ; Insurance Category Code ; Large Provider Entity Code ; Age Band Code ; Sex Code </v>
      </c>
      <c r="N3972" s="345" t="s">
        <v>207</v>
      </c>
      <c r="O3972" s="345" t="s">
        <v>208</v>
      </c>
      <c r="P3972" s="345" t="s">
        <v>209</v>
      </c>
      <c r="Q3972" s="345" t="s">
        <v>210</v>
      </c>
      <c r="R3972" s="345" t="s">
        <v>223</v>
      </c>
      <c r="S3972" s="345" t="s">
        <v>224</v>
      </c>
    </row>
    <row r="3973" spans="1:19" x14ac:dyDescent="0.25">
      <c r="A3973" s="311"/>
      <c r="B3973" s="312"/>
      <c r="C3973" s="312"/>
      <c r="D3973" s="312"/>
      <c r="E3973" s="312"/>
      <c r="F3973" s="312"/>
      <c r="G3973" s="328"/>
      <c r="H3973" s="337"/>
      <c r="I3973" s="334"/>
      <c r="J3973" s="314"/>
      <c r="K3973" s="449"/>
      <c r="M3973" s="349" t="str">
        <f>N3973&amp;AS[[#This Row],[Insurer Code]]&amp;"; "&amp;O3973&amp;AS[[#This Row],[Reporting Year]]&amp;"; "&amp;P3973&amp;AS[[#This Row],[Insurance Category Code]]&amp;"; "&amp;Q3973&amp;AS[[#This Row],[Large Provider Entity Code]]&amp;"; "&amp;R3973&amp;AS[[#This Row],[Age Band Code]]&amp;"; "&amp;S3973&amp;AS[[#This Row],[Sex Code]]</f>
        <v xml:space="preserve">Insurer Code ; Reporting Year ; Insurance Category Code ; Large Provider Entity Code ; Age Band Code ; Sex Code </v>
      </c>
      <c r="N3973" s="345" t="s">
        <v>207</v>
      </c>
      <c r="O3973" s="345" t="s">
        <v>208</v>
      </c>
      <c r="P3973" s="345" t="s">
        <v>209</v>
      </c>
      <c r="Q3973" s="345" t="s">
        <v>210</v>
      </c>
      <c r="R3973" s="345" t="s">
        <v>223</v>
      </c>
      <c r="S3973" s="345" t="s">
        <v>224</v>
      </c>
    </row>
    <row r="3974" spans="1:19" x14ac:dyDescent="0.25">
      <c r="A3974" s="311"/>
      <c r="B3974" s="312"/>
      <c r="C3974" s="312"/>
      <c r="D3974" s="312"/>
      <c r="E3974" s="312"/>
      <c r="F3974" s="312"/>
      <c r="G3974" s="328"/>
      <c r="H3974" s="337"/>
      <c r="I3974" s="334"/>
      <c r="J3974" s="314"/>
      <c r="K3974" s="449"/>
      <c r="M3974" s="349" t="str">
        <f>N3974&amp;AS[[#This Row],[Insurer Code]]&amp;"; "&amp;O3974&amp;AS[[#This Row],[Reporting Year]]&amp;"; "&amp;P3974&amp;AS[[#This Row],[Insurance Category Code]]&amp;"; "&amp;Q3974&amp;AS[[#This Row],[Large Provider Entity Code]]&amp;"; "&amp;R3974&amp;AS[[#This Row],[Age Band Code]]&amp;"; "&amp;S3974&amp;AS[[#This Row],[Sex Code]]</f>
        <v xml:space="preserve">Insurer Code ; Reporting Year ; Insurance Category Code ; Large Provider Entity Code ; Age Band Code ; Sex Code </v>
      </c>
      <c r="N3974" s="345" t="s">
        <v>207</v>
      </c>
      <c r="O3974" s="345" t="s">
        <v>208</v>
      </c>
      <c r="P3974" s="345" t="s">
        <v>209</v>
      </c>
      <c r="Q3974" s="345" t="s">
        <v>210</v>
      </c>
      <c r="R3974" s="345" t="s">
        <v>223</v>
      </c>
      <c r="S3974" s="345" t="s">
        <v>224</v>
      </c>
    </row>
    <row r="3975" spans="1:19" x14ac:dyDescent="0.25">
      <c r="A3975" s="311"/>
      <c r="B3975" s="312"/>
      <c r="C3975" s="312"/>
      <c r="D3975" s="312"/>
      <c r="E3975" s="312"/>
      <c r="F3975" s="312"/>
      <c r="G3975" s="328"/>
      <c r="H3975" s="337"/>
      <c r="I3975" s="334"/>
      <c r="J3975" s="314"/>
      <c r="K3975" s="449"/>
      <c r="M3975" s="349" t="str">
        <f>N3975&amp;AS[[#This Row],[Insurer Code]]&amp;"; "&amp;O3975&amp;AS[[#This Row],[Reporting Year]]&amp;"; "&amp;P3975&amp;AS[[#This Row],[Insurance Category Code]]&amp;"; "&amp;Q3975&amp;AS[[#This Row],[Large Provider Entity Code]]&amp;"; "&amp;R3975&amp;AS[[#This Row],[Age Band Code]]&amp;"; "&amp;S3975&amp;AS[[#This Row],[Sex Code]]</f>
        <v xml:space="preserve">Insurer Code ; Reporting Year ; Insurance Category Code ; Large Provider Entity Code ; Age Band Code ; Sex Code </v>
      </c>
      <c r="N3975" s="345" t="s">
        <v>207</v>
      </c>
      <c r="O3975" s="345" t="s">
        <v>208</v>
      </c>
      <c r="P3975" s="345" t="s">
        <v>209</v>
      </c>
      <c r="Q3975" s="345" t="s">
        <v>210</v>
      </c>
      <c r="R3975" s="345" t="s">
        <v>223</v>
      </c>
      <c r="S3975" s="345" t="s">
        <v>224</v>
      </c>
    </row>
    <row r="3976" spans="1:19" x14ac:dyDescent="0.25">
      <c r="A3976" s="311"/>
      <c r="B3976" s="312"/>
      <c r="C3976" s="312"/>
      <c r="D3976" s="312"/>
      <c r="E3976" s="312"/>
      <c r="F3976" s="312"/>
      <c r="G3976" s="328"/>
      <c r="H3976" s="337"/>
      <c r="I3976" s="334"/>
      <c r="J3976" s="314"/>
      <c r="K3976" s="449"/>
      <c r="M3976" s="349" t="str">
        <f>N3976&amp;AS[[#This Row],[Insurer Code]]&amp;"; "&amp;O3976&amp;AS[[#This Row],[Reporting Year]]&amp;"; "&amp;P3976&amp;AS[[#This Row],[Insurance Category Code]]&amp;"; "&amp;Q3976&amp;AS[[#This Row],[Large Provider Entity Code]]&amp;"; "&amp;R3976&amp;AS[[#This Row],[Age Band Code]]&amp;"; "&amp;S3976&amp;AS[[#This Row],[Sex Code]]</f>
        <v xml:space="preserve">Insurer Code ; Reporting Year ; Insurance Category Code ; Large Provider Entity Code ; Age Band Code ; Sex Code </v>
      </c>
      <c r="N3976" s="345" t="s">
        <v>207</v>
      </c>
      <c r="O3976" s="345" t="s">
        <v>208</v>
      </c>
      <c r="P3976" s="345" t="s">
        <v>209</v>
      </c>
      <c r="Q3976" s="345" t="s">
        <v>210</v>
      </c>
      <c r="R3976" s="345" t="s">
        <v>223</v>
      </c>
      <c r="S3976" s="345" t="s">
        <v>224</v>
      </c>
    </row>
    <row r="3977" spans="1:19" x14ac:dyDescent="0.25">
      <c r="A3977" s="311"/>
      <c r="B3977" s="312"/>
      <c r="C3977" s="312"/>
      <c r="D3977" s="312"/>
      <c r="E3977" s="312"/>
      <c r="F3977" s="312"/>
      <c r="G3977" s="328"/>
      <c r="H3977" s="337"/>
      <c r="I3977" s="334"/>
      <c r="J3977" s="314"/>
      <c r="K3977" s="449"/>
      <c r="M3977" s="349" t="str">
        <f>N3977&amp;AS[[#This Row],[Insurer Code]]&amp;"; "&amp;O3977&amp;AS[[#This Row],[Reporting Year]]&amp;"; "&amp;P3977&amp;AS[[#This Row],[Insurance Category Code]]&amp;"; "&amp;Q3977&amp;AS[[#This Row],[Large Provider Entity Code]]&amp;"; "&amp;R3977&amp;AS[[#This Row],[Age Band Code]]&amp;"; "&amp;S3977&amp;AS[[#This Row],[Sex Code]]</f>
        <v xml:space="preserve">Insurer Code ; Reporting Year ; Insurance Category Code ; Large Provider Entity Code ; Age Band Code ; Sex Code </v>
      </c>
      <c r="N3977" s="345" t="s">
        <v>207</v>
      </c>
      <c r="O3977" s="345" t="s">
        <v>208</v>
      </c>
      <c r="P3977" s="345" t="s">
        <v>209</v>
      </c>
      <c r="Q3977" s="345" t="s">
        <v>210</v>
      </c>
      <c r="R3977" s="345" t="s">
        <v>223</v>
      </c>
      <c r="S3977" s="345" t="s">
        <v>224</v>
      </c>
    </row>
    <row r="3978" spans="1:19" x14ac:dyDescent="0.25">
      <c r="A3978" s="311"/>
      <c r="B3978" s="312"/>
      <c r="C3978" s="312"/>
      <c r="D3978" s="312"/>
      <c r="E3978" s="312"/>
      <c r="F3978" s="312"/>
      <c r="G3978" s="328"/>
      <c r="H3978" s="337"/>
      <c r="I3978" s="334"/>
      <c r="J3978" s="314"/>
      <c r="K3978" s="449"/>
      <c r="M3978" s="349" t="str">
        <f>N3978&amp;AS[[#This Row],[Insurer Code]]&amp;"; "&amp;O3978&amp;AS[[#This Row],[Reporting Year]]&amp;"; "&amp;P3978&amp;AS[[#This Row],[Insurance Category Code]]&amp;"; "&amp;Q3978&amp;AS[[#This Row],[Large Provider Entity Code]]&amp;"; "&amp;R3978&amp;AS[[#This Row],[Age Band Code]]&amp;"; "&amp;S3978&amp;AS[[#This Row],[Sex Code]]</f>
        <v xml:space="preserve">Insurer Code ; Reporting Year ; Insurance Category Code ; Large Provider Entity Code ; Age Band Code ; Sex Code </v>
      </c>
      <c r="N3978" s="345" t="s">
        <v>207</v>
      </c>
      <c r="O3978" s="345" t="s">
        <v>208</v>
      </c>
      <c r="P3978" s="345" t="s">
        <v>209</v>
      </c>
      <c r="Q3978" s="345" t="s">
        <v>210</v>
      </c>
      <c r="R3978" s="345" t="s">
        <v>223</v>
      </c>
      <c r="S3978" s="345" t="s">
        <v>224</v>
      </c>
    </row>
    <row r="3979" spans="1:19" x14ac:dyDescent="0.25">
      <c r="A3979" s="311"/>
      <c r="B3979" s="312"/>
      <c r="C3979" s="312"/>
      <c r="D3979" s="312"/>
      <c r="E3979" s="312"/>
      <c r="F3979" s="312"/>
      <c r="G3979" s="328"/>
      <c r="H3979" s="337"/>
      <c r="I3979" s="334"/>
      <c r="J3979" s="314"/>
      <c r="K3979" s="449"/>
      <c r="M3979" s="349" t="str">
        <f>N3979&amp;AS[[#This Row],[Insurer Code]]&amp;"; "&amp;O3979&amp;AS[[#This Row],[Reporting Year]]&amp;"; "&amp;P3979&amp;AS[[#This Row],[Insurance Category Code]]&amp;"; "&amp;Q3979&amp;AS[[#This Row],[Large Provider Entity Code]]&amp;"; "&amp;R3979&amp;AS[[#This Row],[Age Band Code]]&amp;"; "&amp;S3979&amp;AS[[#This Row],[Sex Code]]</f>
        <v xml:space="preserve">Insurer Code ; Reporting Year ; Insurance Category Code ; Large Provider Entity Code ; Age Band Code ; Sex Code </v>
      </c>
      <c r="N3979" s="345" t="s">
        <v>207</v>
      </c>
      <c r="O3979" s="345" t="s">
        <v>208</v>
      </c>
      <c r="P3979" s="345" t="s">
        <v>209</v>
      </c>
      <c r="Q3979" s="345" t="s">
        <v>210</v>
      </c>
      <c r="R3979" s="345" t="s">
        <v>223</v>
      </c>
      <c r="S3979" s="345" t="s">
        <v>224</v>
      </c>
    </row>
    <row r="3980" spans="1:19" x14ac:dyDescent="0.25">
      <c r="A3980" s="311"/>
      <c r="B3980" s="312"/>
      <c r="C3980" s="312"/>
      <c r="D3980" s="312"/>
      <c r="E3980" s="312"/>
      <c r="F3980" s="312"/>
      <c r="G3980" s="328"/>
      <c r="H3980" s="337"/>
      <c r="I3980" s="334"/>
      <c r="J3980" s="314"/>
      <c r="K3980" s="449"/>
      <c r="M3980" s="349" t="str">
        <f>N3980&amp;AS[[#This Row],[Insurer Code]]&amp;"; "&amp;O3980&amp;AS[[#This Row],[Reporting Year]]&amp;"; "&amp;P3980&amp;AS[[#This Row],[Insurance Category Code]]&amp;"; "&amp;Q3980&amp;AS[[#This Row],[Large Provider Entity Code]]&amp;"; "&amp;R3980&amp;AS[[#This Row],[Age Band Code]]&amp;"; "&amp;S3980&amp;AS[[#This Row],[Sex Code]]</f>
        <v xml:space="preserve">Insurer Code ; Reporting Year ; Insurance Category Code ; Large Provider Entity Code ; Age Band Code ; Sex Code </v>
      </c>
      <c r="N3980" s="345" t="s">
        <v>207</v>
      </c>
      <c r="O3980" s="345" t="s">
        <v>208</v>
      </c>
      <c r="P3980" s="345" t="s">
        <v>209</v>
      </c>
      <c r="Q3980" s="345" t="s">
        <v>210</v>
      </c>
      <c r="R3980" s="345" t="s">
        <v>223</v>
      </c>
      <c r="S3980" s="345" t="s">
        <v>224</v>
      </c>
    </row>
    <row r="3981" spans="1:19" x14ac:dyDescent="0.25">
      <c r="A3981" s="311"/>
      <c r="B3981" s="312"/>
      <c r="C3981" s="312"/>
      <c r="D3981" s="312"/>
      <c r="E3981" s="312"/>
      <c r="F3981" s="312"/>
      <c r="G3981" s="328"/>
      <c r="H3981" s="337"/>
      <c r="I3981" s="334"/>
      <c r="J3981" s="314"/>
      <c r="K3981" s="449"/>
      <c r="M3981" s="349" t="str">
        <f>N3981&amp;AS[[#This Row],[Insurer Code]]&amp;"; "&amp;O3981&amp;AS[[#This Row],[Reporting Year]]&amp;"; "&amp;P3981&amp;AS[[#This Row],[Insurance Category Code]]&amp;"; "&amp;Q3981&amp;AS[[#This Row],[Large Provider Entity Code]]&amp;"; "&amp;R3981&amp;AS[[#This Row],[Age Band Code]]&amp;"; "&amp;S3981&amp;AS[[#This Row],[Sex Code]]</f>
        <v xml:space="preserve">Insurer Code ; Reporting Year ; Insurance Category Code ; Large Provider Entity Code ; Age Band Code ; Sex Code </v>
      </c>
      <c r="N3981" s="345" t="s">
        <v>207</v>
      </c>
      <c r="O3981" s="345" t="s">
        <v>208</v>
      </c>
      <c r="P3981" s="345" t="s">
        <v>209</v>
      </c>
      <c r="Q3981" s="345" t="s">
        <v>210</v>
      </c>
      <c r="R3981" s="345" t="s">
        <v>223</v>
      </c>
      <c r="S3981" s="345" t="s">
        <v>224</v>
      </c>
    </row>
    <row r="3982" spans="1:19" x14ac:dyDescent="0.25">
      <c r="A3982" s="311"/>
      <c r="B3982" s="312"/>
      <c r="C3982" s="312"/>
      <c r="D3982" s="312"/>
      <c r="E3982" s="312"/>
      <c r="F3982" s="312"/>
      <c r="G3982" s="328"/>
      <c r="H3982" s="337"/>
      <c r="I3982" s="334"/>
      <c r="J3982" s="314"/>
      <c r="K3982" s="449"/>
      <c r="M3982" s="349" t="str">
        <f>N3982&amp;AS[[#This Row],[Insurer Code]]&amp;"; "&amp;O3982&amp;AS[[#This Row],[Reporting Year]]&amp;"; "&amp;P3982&amp;AS[[#This Row],[Insurance Category Code]]&amp;"; "&amp;Q3982&amp;AS[[#This Row],[Large Provider Entity Code]]&amp;"; "&amp;R3982&amp;AS[[#This Row],[Age Band Code]]&amp;"; "&amp;S3982&amp;AS[[#This Row],[Sex Code]]</f>
        <v xml:space="preserve">Insurer Code ; Reporting Year ; Insurance Category Code ; Large Provider Entity Code ; Age Band Code ; Sex Code </v>
      </c>
      <c r="N3982" s="345" t="s">
        <v>207</v>
      </c>
      <c r="O3982" s="345" t="s">
        <v>208</v>
      </c>
      <c r="P3982" s="345" t="s">
        <v>209</v>
      </c>
      <c r="Q3982" s="345" t="s">
        <v>210</v>
      </c>
      <c r="R3982" s="345" t="s">
        <v>223</v>
      </c>
      <c r="S3982" s="345" t="s">
        <v>224</v>
      </c>
    </row>
    <row r="3983" spans="1:19" x14ac:dyDescent="0.25">
      <c r="A3983" s="311"/>
      <c r="B3983" s="312"/>
      <c r="C3983" s="312"/>
      <c r="D3983" s="312"/>
      <c r="E3983" s="312"/>
      <c r="F3983" s="312"/>
      <c r="G3983" s="328"/>
      <c r="H3983" s="337"/>
      <c r="I3983" s="334"/>
      <c r="J3983" s="314"/>
      <c r="K3983" s="449"/>
      <c r="M3983" s="349" t="str">
        <f>N3983&amp;AS[[#This Row],[Insurer Code]]&amp;"; "&amp;O3983&amp;AS[[#This Row],[Reporting Year]]&amp;"; "&amp;P3983&amp;AS[[#This Row],[Insurance Category Code]]&amp;"; "&amp;Q3983&amp;AS[[#This Row],[Large Provider Entity Code]]&amp;"; "&amp;R3983&amp;AS[[#This Row],[Age Band Code]]&amp;"; "&amp;S3983&amp;AS[[#This Row],[Sex Code]]</f>
        <v xml:space="preserve">Insurer Code ; Reporting Year ; Insurance Category Code ; Large Provider Entity Code ; Age Band Code ; Sex Code </v>
      </c>
      <c r="N3983" s="345" t="s">
        <v>207</v>
      </c>
      <c r="O3983" s="345" t="s">
        <v>208</v>
      </c>
      <c r="P3983" s="345" t="s">
        <v>209</v>
      </c>
      <c r="Q3983" s="345" t="s">
        <v>210</v>
      </c>
      <c r="R3983" s="345" t="s">
        <v>223</v>
      </c>
      <c r="S3983" s="345" t="s">
        <v>224</v>
      </c>
    </row>
    <row r="3984" spans="1:19" x14ac:dyDescent="0.25">
      <c r="A3984" s="311"/>
      <c r="B3984" s="312"/>
      <c r="C3984" s="312"/>
      <c r="D3984" s="312"/>
      <c r="E3984" s="312"/>
      <c r="F3984" s="312"/>
      <c r="G3984" s="328"/>
      <c r="H3984" s="337"/>
      <c r="I3984" s="334"/>
      <c r="J3984" s="314"/>
      <c r="K3984" s="449"/>
      <c r="M3984" s="349" t="str">
        <f>N3984&amp;AS[[#This Row],[Insurer Code]]&amp;"; "&amp;O3984&amp;AS[[#This Row],[Reporting Year]]&amp;"; "&amp;P3984&amp;AS[[#This Row],[Insurance Category Code]]&amp;"; "&amp;Q3984&amp;AS[[#This Row],[Large Provider Entity Code]]&amp;"; "&amp;R3984&amp;AS[[#This Row],[Age Band Code]]&amp;"; "&amp;S3984&amp;AS[[#This Row],[Sex Code]]</f>
        <v xml:space="preserve">Insurer Code ; Reporting Year ; Insurance Category Code ; Large Provider Entity Code ; Age Band Code ; Sex Code </v>
      </c>
      <c r="N3984" s="345" t="s">
        <v>207</v>
      </c>
      <c r="O3984" s="345" t="s">
        <v>208</v>
      </c>
      <c r="P3984" s="345" t="s">
        <v>209</v>
      </c>
      <c r="Q3984" s="345" t="s">
        <v>210</v>
      </c>
      <c r="R3984" s="345" t="s">
        <v>223</v>
      </c>
      <c r="S3984" s="345" t="s">
        <v>224</v>
      </c>
    </row>
    <row r="3985" spans="1:19" x14ac:dyDescent="0.25">
      <c r="A3985" s="311"/>
      <c r="B3985" s="312"/>
      <c r="C3985" s="312"/>
      <c r="D3985" s="312"/>
      <c r="E3985" s="312"/>
      <c r="F3985" s="312"/>
      <c r="G3985" s="328"/>
      <c r="H3985" s="337"/>
      <c r="I3985" s="334"/>
      <c r="J3985" s="314"/>
      <c r="K3985" s="449"/>
      <c r="M3985" s="349" t="str">
        <f>N3985&amp;AS[[#This Row],[Insurer Code]]&amp;"; "&amp;O3985&amp;AS[[#This Row],[Reporting Year]]&amp;"; "&amp;P3985&amp;AS[[#This Row],[Insurance Category Code]]&amp;"; "&amp;Q3985&amp;AS[[#This Row],[Large Provider Entity Code]]&amp;"; "&amp;R3985&amp;AS[[#This Row],[Age Band Code]]&amp;"; "&amp;S3985&amp;AS[[#This Row],[Sex Code]]</f>
        <v xml:space="preserve">Insurer Code ; Reporting Year ; Insurance Category Code ; Large Provider Entity Code ; Age Band Code ; Sex Code </v>
      </c>
      <c r="N3985" s="345" t="s">
        <v>207</v>
      </c>
      <c r="O3985" s="345" t="s">
        <v>208</v>
      </c>
      <c r="P3985" s="345" t="s">
        <v>209</v>
      </c>
      <c r="Q3985" s="345" t="s">
        <v>210</v>
      </c>
      <c r="R3985" s="345" t="s">
        <v>223</v>
      </c>
      <c r="S3985" s="345" t="s">
        <v>224</v>
      </c>
    </row>
    <row r="3986" spans="1:19" x14ac:dyDescent="0.25">
      <c r="A3986" s="311"/>
      <c r="B3986" s="312"/>
      <c r="C3986" s="312"/>
      <c r="D3986" s="312"/>
      <c r="E3986" s="312"/>
      <c r="F3986" s="312"/>
      <c r="G3986" s="328"/>
      <c r="H3986" s="337"/>
      <c r="I3986" s="334"/>
      <c r="J3986" s="314"/>
      <c r="K3986" s="449"/>
      <c r="M3986" s="349" t="str">
        <f>N3986&amp;AS[[#This Row],[Insurer Code]]&amp;"; "&amp;O3986&amp;AS[[#This Row],[Reporting Year]]&amp;"; "&amp;P3986&amp;AS[[#This Row],[Insurance Category Code]]&amp;"; "&amp;Q3986&amp;AS[[#This Row],[Large Provider Entity Code]]&amp;"; "&amp;R3986&amp;AS[[#This Row],[Age Band Code]]&amp;"; "&amp;S3986&amp;AS[[#This Row],[Sex Code]]</f>
        <v xml:space="preserve">Insurer Code ; Reporting Year ; Insurance Category Code ; Large Provider Entity Code ; Age Band Code ; Sex Code </v>
      </c>
      <c r="N3986" s="345" t="s">
        <v>207</v>
      </c>
      <c r="O3986" s="345" t="s">
        <v>208</v>
      </c>
      <c r="P3986" s="345" t="s">
        <v>209</v>
      </c>
      <c r="Q3986" s="345" t="s">
        <v>210</v>
      </c>
      <c r="R3986" s="345" t="s">
        <v>223</v>
      </c>
      <c r="S3986" s="345" t="s">
        <v>224</v>
      </c>
    </row>
    <row r="3987" spans="1:19" x14ac:dyDescent="0.25">
      <c r="A3987" s="311"/>
      <c r="B3987" s="312"/>
      <c r="C3987" s="312"/>
      <c r="D3987" s="312"/>
      <c r="E3987" s="312"/>
      <c r="F3987" s="312"/>
      <c r="G3987" s="328"/>
      <c r="H3987" s="337"/>
      <c r="I3987" s="334"/>
      <c r="J3987" s="314"/>
      <c r="K3987" s="449"/>
      <c r="M3987" s="349" t="str">
        <f>N3987&amp;AS[[#This Row],[Insurer Code]]&amp;"; "&amp;O3987&amp;AS[[#This Row],[Reporting Year]]&amp;"; "&amp;P3987&amp;AS[[#This Row],[Insurance Category Code]]&amp;"; "&amp;Q3987&amp;AS[[#This Row],[Large Provider Entity Code]]&amp;"; "&amp;R3987&amp;AS[[#This Row],[Age Band Code]]&amp;"; "&amp;S3987&amp;AS[[#This Row],[Sex Code]]</f>
        <v xml:space="preserve">Insurer Code ; Reporting Year ; Insurance Category Code ; Large Provider Entity Code ; Age Band Code ; Sex Code </v>
      </c>
      <c r="N3987" s="345" t="s">
        <v>207</v>
      </c>
      <c r="O3987" s="345" t="s">
        <v>208</v>
      </c>
      <c r="P3987" s="345" t="s">
        <v>209</v>
      </c>
      <c r="Q3987" s="345" t="s">
        <v>210</v>
      </c>
      <c r="R3987" s="345" t="s">
        <v>223</v>
      </c>
      <c r="S3987" s="345" t="s">
        <v>224</v>
      </c>
    </row>
    <row r="3988" spans="1:19" x14ac:dyDescent="0.25">
      <c r="A3988" s="311"/>
      <c r="B3988" s="312"/>
      <c r="C3988" s="312"/>
      <c r="D3988" s="312"/>
      <c r="E3988" s="312"/>
      <c r="F3988" s="312"/>
      <c r="G3988" s="328"/>
      <c r="H3988" s="337"/>
      <c r="I3988" s="334"/>
      <c r="J3988" s="314"/>
      <c r="K3988" s="449"/>
      <c r="M3988" s="349" t="str">
        <f>N3988&amp;AS[[#This Row],[Insurer Code]]&amp;"; "&amp;O3988&amp;AS[[#This Row],[Reporting Year]]&amp;"; "&amp;P3988&amp;AS[[#This Row],[Insurance Category Code]]&amp;"; "&amp;Q3988&amp;AS[[#This Row],[Large Provider Entity Code]]&amp;"; "&amp;R3988&amp;AS[[#This Row],[Age Band Code]]&amp;"; "&amp;S3988&amp;AS[[#This Row],[Sex Code]]</f>
        <v xml:space="preserve">Insurer Code ; Reporting Year ; Insurance Category Code ; Large Provider Entity Code ; Age Band Code ; Sex Code </v>
      </c>
      <c r="N3988" s="345" t="s">
        <v>207</v>
      </c>
      <c r="O3988" s="345" t="s">
        <v>208</v>
      </c>
      <c r="P3988" s="345" t="s">
        <v>209</v>
      </c>
      <c r="Q3988" s="345" t="s">
        <v>210</v>
      </c>
      <c r="R3988" s="345" t="s">
        <v>223</v>
      </c>
      <c r="S3988" s="345" t="s">
        <v>224</v>
      </c>
    </row>
    <row r="3989" spans="1:19" x14ac:dyDescent="0.25">
      <c r="A3989" s="311"/>
      <c r="B3989" s="312"/>
      <c r="C3989" s="312"/>
      <c r="D3989" s="312"/>
      <c r="E3989" s="312"/>
      <c r="F3989" s="312"/>
      <c r="G3989" s="328"/>
      <c r="H3989" s="337"/>
      <c r="I3989" s="334"/>
      <c r="J3989" s="314"/>
      <c r="K3989" s="449"/>
      <c r="M3989" s="349" t="str">
        <f>N3989&amp;AS[[#This Row],[Insurer Code]]&amp;"; "&amp;O3989&amp;AS[[#This Row],[Reporting Year]]&amp;"; "&amp;P3989&amp;AS[[#This Row],[Insurance Category Code]]&amp;"; "&amp;Q3989&amp;AS[[#This Row],[Large Provider Entity Code]]&amp;"; "&amp;R3989&amp;AS[[#This Row],[Age Band Code]]&amp;"; "&amp;S3989&amp;AS[[#This Row],[Sex Code]]</f>
        <v xml:space="preserve">Insurer Code ; Reporting Year ; Insurance Category Code ; Large Provider Entity Code ; Age Band Code ; Sex Code </v>
      </c>
      <c r="N3989" s="345" t="s">
        <v>207</v>
      </c>
      <c r="O3989" s="345" t="s">
        <v>208</v>
      </c>
      <c r="P3989" s="345" t="s">
        <v>209</v>
      </c>
      <c r="Q3989" s="345" t="s">
        <v>210</v>
      </c>
      <c r="R3989" s="345" t="s">
        <v>223</v>
      </c>
      <c r="S3989" s="345" t="s">
        <v>224</v>
      </c>
    </row>
    <row r="3990" spans="1:19" x14ac:dyDescent="0.25">
      <c r="A3990" s="311"/>
      <c r="B3990" s="312"/>
      <c r="C3990" s="312"/>
      <c r="D3990" s="312"/>
      <c r="E3990" s="312"/>
      <c r="F3990" s="312"/>
      <c r="G3990" s="328"/>
      <c r="H3990" s="337"/>
      <c r="I3990" s="334"/>
      <c r="J3990" s="314"/>
      <c r="K3990" s="449"/>
      <c r="M3990" s="349" t="str">
        <f>N3990&amp;AS[[#This Row],[Insurer Code]]&amp;"; "&amp;O3990&amp;AS[[#This Row],[Reporting Year]]&amp;"; "&amp;P3990&amp;AS[[#This Row],[Insurance Category Code]]&amp;"; "&amp;Q3990&amp;AS[[#This Row],[Large Provider Entity Code]]&amp;"; "&amp;R3990&amp;AS[[#This Row],[Age Band Code]]&amp;"; "&amp;S3990&amp;AS[[#This Row],[Sex Code]]</f>
        <v xml:space="preserve">Insurer Code ; Reporting Year ; Insurance Category Code ; Large Provider Entity Code ; Age Band Code ; Sex Code </v>
      </c>
      <c r="N3990" s="345" t="s">
        <v>207</v>
      </c>
      <c r="O3990" s="345" t="s">
        <v>208</v>
      </c>
      <c r="P3990" s="345" t="s">
        <v>209</v>
      </c>
      <c r="Q3990" s="345" t="s">
        <v>210</v>
      </c>
      <c r="R3990" s="345" t="s">
        <v>223</v>
      </c>
      <c r="S3990" s="345" t="s">
        <v>224</v>
      </c>
    </row>
    <row r="3991" spans="1:19" x14ac:dyDescent="0.25">
      <c r="A3991" s="311"/>
      <c r="B3991" s="312"/>
      <c r="C3991" s="312"/>
      <c r="D3991" s="312"/>
      <c r="E3991" s="312"/>
      <c r="F3991" s="312"/>
      <c r="G3991" s="328"/>
      <c r="H3991" s="337"/>
      <c r="I3991" s="334"/>
      <c r="J3991" s="314"/>
      <c r="K3991" s="449"/>
      <c r="M3991" s="349" t="str">
        <f>N3991&amp;AS[[#This Row],[Insurer Code]]&amp;"; "&amp;O3991&amp;AS[[#This Row],[Reporting Year]]&amp;"; "&amp;P3991&amp;AS[[#This Row],[Insurance Category Code]]&amp;"; "&amp;Q3991&amp;AS[[#This Row],[Large Provider Entity Code]]&amp;"; "&amp;R3991&amp;AS[[#This Row],[Age Band Code]]&amp;"; "&amp;S3991&amp;AS[[#This Row],[Sex Code]]</f>
        <v xml:space="preserve">Insurer Code ; Reporting Year ; Insurance Category Code ; Large Provider Entity Code ; Age Band Code ; Sex Code </v>
      </c>
      <c r="N3991" s="345" t="s">
        <v>207</v>
      </c>
      <c r="O3991" s="345" t="s">
        <v>208</v>
      </c>
      <c r="P3991" s="345" t="s">
        <v>209</v>
      </c>
      <c r="Q3991" s="345" t="s">
        <v>210</v>
      </c>
      <c r="R3991" s="345" t="s">
        <v>223</v>
      </c>
      <c r="S3991" s="345" t="s">
        <v>224</v>
      </c>
    </row>
    <row r="3992" spans="1:19" x14ac:dyDescent="0.25">
      <c r="A3992" s="311"/>
      <c r="B3992" s="312"/>
      <c r="C3992" s="312"/>
      <c r="D3992" s="312"/>
      <c r="E3992" s="312"/>
      <c r="F3992" s="312"/>
      <c r="G3992" s="328"/>
      <c r="H3992" s="337"/>
      <c r="I3992" s="334"/>
      <c r="J3992" s="314"/>
      <c r="K3992" s="449"/>
      <c r="M3992" s="349" t="str">
        <f>N3992&amp;AS[[#This Row],[Insurer Code]]&amp;"; "&amp;O3992&amp;AS[[#This Row],[Reporting Year]]&amp;"; "&amp;P3992&amp;AS[[#This Row],[Insurance Category Code]]&amp;"; "&amp;Q3992&amp;AS[[#This Row],[Large Provider Entity Code]]&amp;"; "&amp;R3992&amp;AS[[#This Row],[Age Band Code]]&amp;"; "&amp;S3992&amp;AS[[#This Row],[Sex Code]]</f>
        <v xml:space="preserve">Insurer Code ; Reporting Year ; Insurance Category Code ; Large Provider Entity Code ; Age Band Code ; Sex Code </v>
      </c>
      <c r="N3992" s="345" t="s">
        <v>207</v>
      </c>
      <c r="O3992" s="345" t="s">
        <v>208</v>
      </c>
      <c r="P3992" s="345" t="s">
        <v>209</v>
      </c>
      <c r="Q3992" s="345" t="s">
        <v>210</v>
      </c>
      <c r="R3992" s="345" t="s">
        <v>223</v>
      </c>
      <c r="S3992" s="345" t="s">
        <v>224</v>
      </c>
    </row>
    <row r="3993" spans="1:19" x14ac:dyDescent="0.25">
      <c r="A3993" s="311"/>
      <c r="B3993" s="312"/>
      <c r="C3993" s="312"/>
      <c r="D3993" s="312"/>
      <c r="E3993" s="312"/>
      <c r="F3993" s="312"/>
      <c r="G3993" s="328"/>
      <c r="H3993" s="337"/>
      <c r="I3993" s="334"/>
      <c r="J3993" s="314"/>
      <c r="K3993" s="449"/>
      <c r="M3993" s="349" t="str">
        <f>N3993&amp;AS[[#This Row],[Insurer Code]]&amp;"; "&amp;O3993&amp;AS[[#This Row],[Reporting Year]]&amp;"; "&amp;P3993&amp;AS[[#This Row],[Insurance Category Code]]&amp;"; "&amp;Q3993&amp;AS[[#This Row],[Large Provider Entity Code]]&amp;"; "&amp;R3993&amp;AS[[#This Row],[Age Band Code]]&amp;"; "&amp;S3993&amp;AS[[#This Row],[Sex Code]]</f>
        <v xml:space="preserve">Insurer Code ; Reporting Year ; Insurance Category Code ; Large Provider Entity Code ; Age Band Code ; Sex Code </v>
      </c>
      <c r="N3993" s="345" t="s">
        <v>207</v>
      </c>
      <c r="O3993" s="345" t="s">
        <v>208</v>
      </c>
      <c r="P3993" s="345" t="s">
        <v>209</v>
      </c>
      <c r="Q3993" s="345" t="s">
        <v>210</v>
      </c>
      <c r="R3993" s="345" t="s">
        <v>223</v>
      </c>
      <c r="S3993" s="345" t="s">
        <v>224</v>
      </c>
    </row>
    <row r="3994" spans="1:19" x14ac:dyDescent="0.25">
      <c r="A3994" s="311"/>
      <c r="B3994" s="312"/>
      <c r="C3994" s="312"/>
      <c r="D3994" s="312"/>
      <c r="E3994" s="312"/>
      <c r="F3994" s="312"/>
      <c r="G3994" s="328"/>
      <c r="H3994" s="337"/>
      <c r="I3994" s="334"/>
      <c r="J3994" s="314"/>
      <c r="K3994" s="449"/>
      <c r="M3994" s="349" t="str">
        <f>N3994&amp;AS[[#This Row],[Insurer Code]]&amp;"; "&amp;O3994&amp;AS[[#This Row],[Reporting Year]]&amp;"; "&amp;P3994&amp;AS[[#This Row],[Insurance Category Code]]&amp;"; "&amp;Q3994&amp;AS[[#This Row],[Large Provider Entity Code]]&amp;"; "&amp;R3994&amp;AS[[#This Row],[Age Band Code]]&amp;"; "&amp;S3994&amp;AS[[#This Row],[Sex Code]]</f>
        <v xml:space="preserve">Insurer Code ; Reporting Year ; Insurance Category Code ; Large Provider Entity Code ; Age Band Code ; Sex Code </v>
      </c>
      <c r="N3994" s="345" t="s">
        <v>207</v>
      </c>
      <c r="O3994" s="345" t="s">
        <v>208</v>
      </c>
      <c r="P3994" s="345" t="s">
        <v>209</v>
      </c>
      <c r="Q3994" s="345" t="s">
        <v>210</v>
      </c>
      <c r="R3994" s="345" t="s">
        <v>223</v>
      </c>
      <c r="S3994" s="345" t="s">
        <v>224</v>
      </c>
    </row>
    <row r="3995" spans="1:19" x14ac:dyDescent="0.25">
      <c r="A3995" s="311"/>
      <c r="B3995" s="312"/>
      <c r="C3995" s="312"/>
      <c r="D3995" s="312"/>
      <c r="E3995" s="312"/>
      <c r="F3995" s="312"/>
      <c r="G3995" s="328"/>
      <c r="H3995" s="337"/>
      <c r="I3995" s="334"/>
      <c r="J3995" s="314"/>
      <c r="K3995" s="449"/>
      <c r="M3995" s="349" t="str">
        <f>N3995&amp;AS[[#This Row],[Insurer Code]]&amp;"; "&amp;O3995&amp;AS[[#This Row],[Reporting Year]]&amp;"; "&amp;P3995&amp;AS[[#This Row],[Insurance Category Code]]&amp;"; "&amp;Q3995&amp;AS[[#This Row],[Large Provider Entity Code]]&amp;"; "&amp;R3995&amp;AS[[#This Row],[Age Band Code]]&amp;"; "&amp;S3995&amp;AS[[#This Row],[Sex Code]]</f>
        <v xml:space="preserve">Insurer Code ; Reporting Year ; Insurance Category Code ; Large Provider Entity Code ; Age Band Code ; Sex Code </v>
      </c>
      <c r="N3995" s="345" t="s">
        <v>207</v>
      </c>
      <c r="O3995" s="345" t="s">
        <v>208</v>
      </c>
      <c r="P3995" s="345" t="s">
        <v>209</v>
      </c>
      <c r="Q3995" s="345" t="s">
        <v>210</v>
      </c>
      <c r="R3995" s="345" t="s">
        <v>223</v>
      </c>
      <c r="S3995" s="345" t="s">
        <v>224</v>
      </c>
    </row>
    <row r="3996" spans="1:19" x14ac:dyDescent="0.25">
      <c r="A3996" s="311"/>
      <c r="B3996" s="312"/>
      <c r="C3996" s="312"/>
      <c r="D3996" s="312"/>
      <c r="E3996" s="312"/>
      <c r="F3996" s="312"/>
      <c r="G3996" s="328"/>
      <c r="H3996" s="337"/>
      <c r="I3996" s="334"/>
      <c r="J3996" s="314"/>
      <c r="K3996" s="449"/>
      <c r="M3996" s="349" t="str">
        <f>N3996&amp;AS[[#This Row],[Insurer Code]]&amp;"; "&amp;O3996&amp;AS[[#This Row],[Reporting Year]]&amp;"; "&amp;P3996&amp;AS[[#This Row],[Insurance Category Code]]&amp;"; "&amp;Q3996&amp;AS[[#This Row],[Large Provider Entity Code]]&amp;"; "&amp;R3996&amp;AS[[#This Row],[Age Band Code]]&amp;"; "&amp;S3996&amp;AS[[#This Row],[Sex Code]]</f>
        <v xml:space="preserve">Insurer Code ; Reporting Year ; Insurance Category Code ; Large Provider Entity Code ; Age Band Code ; Sex Code </v>
      </c>
      <c r="N3996" s="345" t="s">
        <v>207</v>
      </c>
      <c r="O3996" s="345" t="s">
        <v>208</v>
      </c>
      <c r="P3996" s="345" t="s">
        <v>209</v>
      </c>
      <c r="Q3996" s="345" t="s">
        <v>210</v>
      </c>
      <c r="R3996" s="345" t="s">
        <v>223</v>
      </c>
      <c r="S3996" s="345" t="s">
        <v>224</v>
      </c>
    </row>
    <row r="3997" spans="1:19" x14ac:dyDescent="0.25">
      <c r="A3997" s="311"/>
      <c r="B3997" s="312"/>
      <c r="C3997" s="312"/>
      <c r="D3997" s="312"/>
      <c r="E3997" s="312"/>
      <c r="F3997" s="312"/>
      <c r="G3997" s="328"/>
      <c r="H3997" s="337"/>
      <c r="I3997" s="334"/>
      <c r="J3997" s="314"/>
      <c r="K3997" s="449"/>
      <c r="M3997" s="349" t="str">
        <f>N3997&amp;AS[[#This Row],[Insurer Code]]&amp;"; "&amp;O3997&amp;AS[[#This Row],[Reporting Year]]&amp;"; "&amp;P3997&amp;AS[[#This Row],[Insurance Category Code]]&amp;"; "&amp;Q3997&amp;AS[[#This Row],[Large Provider Entity Code]]&amp;"; "&amp;R3997&amp;AS[[#This Row],[Age Band Code]]&amp;"; "&amp;S3997&amp;AS[[#This Row],[Sex Code]]</f>
        <v xml:space="preserve">Insurer Code ; Reporting Year ; Insurance Category Code ; Large Provider Entity Code ; Age Band Code ; Sex Code </v>
      </c>
      <c r="N3997" s="345" t="s">
        <v>207</v>
      </c>
      <c r="O3997" s="345" t="s">
        <v>208</v>
      </c>
      <c r="P3997" s="345" t="s">
        <v>209</v>
      </c>
      <c r="Q3997" s="345" t="s">
        <v>210</v>
      </c>
      <c r="R3997" s="345" t="s">
        <v>223</v>
      </c>
      <c r="S3997" s="345" t="s">
        <v>224</v>
      </c>
    </row>
    <row r="3998" spans="1:19" x14ac:dyDescent="0.25">
      <c r="A3998" s="311"/>
      <c r="B3998" s="312"/>
      <c r="C3998" s="312"/>
      <c r="D3998" s="312"/>
      <c r="E3998" s="312"/>
      <c r="F3998" s="312"/>
      <c r="G3998" s="328"/>
      <c r="H3998" s="337"/>
      <c r="I3998" s="334"/>
      <c r="J3998" s="314"/>
      <c r="K3998" s="449"/>
      <c r="M3998" s="349" t="str">
        <f>N3998&amp;AS[[#This Row],[Insurer Code]]&amp;"; "&amp;O3998&amp;AS[[#This Row],[Reporting Year]]&amp;"; "&amp;P3998&amp;AS[[#This Row],[Insurance Category Code]]&amp;"; "&amp;Q3998&amp;AS[[#This Row],[Large Provider Entity Code]]&amp;"; "&amp;R3998&amp;AS[[#This Row],[Age Band Code]]&amp;"; "&amp;S3998&amp;AS[[#This Row],[Sex Code]]</f>
        <v xml:space="preserve">Insurer Code ; Reporting Year ; Insurance Category Code ; Large Provider Entity Code ; Age Band Code ; Sex Code </v>
      </c>
      <c r="N3998" s="345" t="s">
        <v>207</v>
      </c>
      <c r="O3998" s="345" t="s">
        <v>208</v>
      </c>
      <c r="P3998" s="345" t="s">
        <v>209</v>
      </c>
      <c r="Q3998" s="345" t="s">
        <v>210</v>
      </c>
      <c r="R3998" s="345" t="s">
        <v>223</v>
      </c>
      <c r="S3998" s="345" t="s">
        <v>224</v>
      </c>
    </row>
    <row r="3999" spans="1:19" x14ac:dyDescent="0.25">
      <c r="A3999" s="311"/>
      <c r="B3999" s="312"/>
      <c r="C3999" s="312"/>
      <c r="D3999" s="312"/>
      <c r="E3999" s="312"/>
      <c r="F3999" s="312"/>
      <c r="G3999" s="328"/>
      <c r="H3999" s="337"/>
      <c r="I3999" s="334"/>
      <c r="J3999" s="314"/>
      <c r="K3999" s="449"/>
      <c r="M3999" s="349" t="str">
        <f>N3999&amp;AS[[#This Row],[Insurer Code]]&amp;"; "&amp;O3999&amp;AS[[#This Row],[Reporting Year]]&amp;"; "&amp;P3999&amp;AS[[#This Row],[Insurance Category Code]]&amp;"; "&amp;Q3999&amp;AS[[#This Row],[Large Provider Entity Code]]&amp;"; "&amp;R3999&amp;AS[[#This Row],[Age Band Code]]&amp;"; "&amp;S3999&amp;AS[[#This Row],[Sex Code]]</f>
        <v xml:space="preserve">Insurer Code ; Reporting Year ; Insurance Category Code ; Large Provider Entity Code ; Age Band Code ; Sex Code </v>
      </c>
      <c r="N3999" s="345" t="s">
        <v>207</v>
      </c>
      <c r="O3999" s="345" t="s">
        <v>208</v>
      </c>
      <c r="P3999" s="345" t="s">
        <v>209</v>
      </c>
      <c r="Q3999" s="345" t="s">
        <v>210</v>
      </c>
      <c r="R3999" s="345" t="s">
        <v>223</v>
      </c>
      <c r="S3999" s="345" t="s">
        <v>224</v>
      </c>
    </row>
    <row r="4000" spans="1:19" x14ac:dyDescent="0.25">
      <c r="A4000" s="311"/>
      <c r="B4000" s="312"/>
      <c r="C4000" s="312"/>
      <c r="D4000" s="312"/>
      <c r="E4000" s="312"/>
      <c r="F4000" s="312"/>
      <c r="G4000" s="328"/>
      <c r="H4000" s="337"/>
      <c r="I4000" s="334"/>
      <c r="J4000" s="314"/>
      <c r="K4000" s="449"/>
      <c r="M4000" s="349" t="str">
        <f>N4000&amp;AS[[#This Row],[Insurer Code]]&amp;"; "&amp;O4000&amp;AS[[#This Row],[Reporting Year]]&amp;"; "&amp;P4000&amp;AS[[#This Row],[Insurance Category Code]]&amp;"; "&amp;Q4000&amp;AS[[#This Row],[Large Provider Entity Code]]&amp;"; "&amp;R4000&amp;AS[[#This Row],[Age Band Code]]&amp;"; "&amp;S4000&amp;AS[[#This Row],[Sex Code]]</f>
        <v xml:space="preserve">Insurer Code ; Reporting Year ; Insurance Category Code ; Large Provider Entity Code ; Age Band Code ; Sex Code </v>
      </c>
      <c r="N4000" s="345" t="s">
        <v>207</v>
      </c>
      <c r="O4000" s="345" t="s">
        <v>208</v>
      </c>
      <c r="P4000" s="345" t="s">
        <v>209</v>
      </c>
      <c r="Q4000" s="345" t="s">
        <v>210</v>
      </c>
      <c r="R4000" s="345" t="s">
        <v>223</v>
      </c>
      <c r="S4000" s="345" t="s">
        <v>224</v>
      </c>
    </row>
    <row r="4001" spans="1:19" x14ac:dyDescent="0.25">
      <c r="A4001" s="311"/>
      <c r="B4001" s="312"/>
      <c r="C4001" s="312"/>
      <c r="D4001" s="312"/>
      <c r="E4001" s="312"/>
      <c r="F4001" s="312"/>
      <c r="G4001" s="328"/>
      <c r="H4001" s="337"/>
      <c r="I4001" s="334"/>
      <c r="J4001" s="314"/>
      <c r="K4001" s="449"/>
      <c r="M4001" s="349" t="str">
        <f>N4001&amp;AS[[#This Row],[Insurer Code]]&amp;"; "&amp;O4001&amp;AS[[#This Row],[Reporting Year]]&amp;"; "&amp;P4001&amp;AS[[#This Row],[Insurance Category Code]]&amp;"; "&amp;Q4001&amp;AS[[#This Row],[Large Provider Entity Code]]&amp;"; "&amp;R4001&amp;AS[[#This Row],[Age Band Code]]&amp;"; "&amp;S4001&amp;AS[[#This Row],[Sex Code]]</f>
        <v xml:space="preserve">Insurer Code ; Reporting Year ; Insurance Category Code ; Large Provider Entity Code ; Age Band Code ; Sex Code </v>
      </c>
      <c r="N4001" s="345" t="s">
        <v>207</v>
      </c>
      <c r="O4001" s="345" t="s">
        <v>208</v>
      </c>
      <c r="P4001" s="345" t="s">
        <v>209</v>
      </c>
      <c r="Q4001" s="345" t="s">
        <v>210</v>
      </c>
      <c r="R4001" s="345" t="s">
        <v>223</v>
      </c>
      <c r="S4001" s="345" t="s">
        <v>224</v>
      </c>
    </row>
    <row r="4002" spans="1:19" x14ac:dyDescent="0.25">
      <c r="A4002" s="311"/>
      <c r="B4002" s="312"/>
      <c r="C4002" s="312"/>
      <c r="D4002" s="312"/>
      <c r="E4002" s="312"/>
      <c r="F4002" s="312"/>
      <c r="G4002" s="328"/>
      <c r="H4002" s="337"/>
      <c r="I4002" s="334"/>
      <c r="J4002" s="314"/>
      <c r="K4002" s="449"/>
      <c r="M4002" s="349" t="str">
        <f>N4002&amp;AS[[#This Row],[Insurer Code]]&amp;"; "&amp;O4002&amp;AS[[#This Row],[Reporting Year]]&amp;"; "&amp;P4002&amp;AS[[#This Row],[Insurance Category Code]]&amp;"; "&amp;Q4002&amp;AS[[#This Row],[Large Provider Entity Code]]&amp;"; "&amp;R4002&amp;AS[[#This Row],[Age Band Code]]&amp;"; "&amp;S4002&amp;AS[[#This Row],[Sex Code]]</f>
        <v xml:space="preserve">Insurer Code ; Reporting Year ; Insurance Category Code ; Large Provider Entity Code ; Age Band Code ; Sex Code </v>
      </c>
      <c r="N4002" s="345" t="s">
        <v>207</v>
      </c>
      <c r="O4002" s="345" t="s">
        <v>208</v>
      </c>
      <c r="P4002" s="345" t="s">
        <v>209</v>
      </c>
      <c r="Q4002" s="345" t="s">
        <v>210</v>
      </c>
      <c r="R4002" s="345" t="s">
        <v>223</v>
      </c>
      <c r="S4002" s="345" t="s">
        <v>224</v>
      </c>
    </row>
    <row r="4003" spans="1:19" x14ac:dyDescent="0.25">
      <c r="A4003" s="311"/>
      <c r="B4003" s="312"/>
      <c r="C4003" s="312"/>
      <c r="D4003" s="312"/>
      <c r="E4003" s="312"/>
      <c r="F4003" s="312"/>
      <c r="G4003" s="328"/>
      <c r="H4003" s="337"/>
      <c r="I4003" s="334"/>
      <c r="J4003" s="314"/>
      <c r="K4003" s="449"/>
      <c r="M4003" s="349" t="str">
        <f>N4003&amp;AS[[#This Row],[Insurer Code]]&amp;"; "&amp;O4003&amp;AS[[#This Row],[Reporting Year]]&amp;"; "&amp;P4003&amp;AS[[#This Row],[Insurance Category Code]]&amp;"; "&amp;Q4003&amp;AS[[#This Row],[Large Provider Entity Code]]&amp;"; "&amp;R4003&amp;AS[[#This Row],[Age Band Code]]&amp;"; "&amp;S4003&amp;AS[[#This Row],[Sex Code]]</f>
        <v xml:space="preserve">Insurer Code ; Reporting Year ; Insurance Category Code ; Large Provider Entity Code ; Age Band Code ; Sex Code </v>
      </c>
      <c r="N4003" s="345" t="s">
        <v>207</v>
      </c>
      <c r="O4003" s="345" t="s">
        <v>208</v>
      </c>
      <c r="P4003" s="345" t="s">
        <v>209</v>
      </c>
      <c r="Q4003" s="345" t="s">
        <v>210</v>
      </c>
      <c r="R4003" s="345" t="s">
        <v>223</v>
      </c>
      <c r="S4003" s="345" t="s">
        <v>224</v>
      </c>
    </row>
    <row r="4004" spans="1:19" x14ac:dyDescent="0.25">
      <c r="A4004" s="311"/>
      <c r="B4004" s="312"/>
      <c r="C4004" s="312"/>
      <c r="D4004" s="312"/>
      <c r="E4004" s="312"/>
      <c r="F4004" s="312"/>
      <c r="G4004" s="328"/>
      <c r="H4004" s="337"/>
      <c r="I4004" s="334"/>
      <c r="J4004" s="314"/>
      <c r="K4004" s="449"/>
      <c r="M4004" s="349" t="str">
        <f>N4004&amp;AS[[#This Row],[Insurer Code]]&amp;"; "&amp;O4004&amp;AS[[#This Row],[Reporting Year]]&amp;"; "&amp;P4004&amp;AS[[#This Row],[Insurance Category Code]]&amp;"; "&amp;Q4004&amp;AS[[#This Row],[Large Provider Entity Code]]&amp;"; "&amp;R4004&amp;AS[[#This Row],[Age Band Code]]&amp;"; "&amp;S4004&amp;AS[[#This Row],[Sex Code]]</f>
        <v xml:space="preserve">Insurer Code ; Reporting Year ; Insurance Category Code ; Large Provider Entity Code ; Age Band Code ; Sex Code </v>
      </c>
      <c r="N4004" s="345" t="s">
        <v>207</v>
      </c>
      <c r="O4004" s="345" t="s">
        <v>208</v>
      </c>
      <c r="P4004" s="345" t="s">
        <v>209</v>
      </c>
      <c r="Q4004" s="345" t="s">
        <v>210</v>
      </c>
      <c r="R4004" s="345" t="s">
        <v>223</v>
      </c>
      <c r="S4004" s="345" t="s">
        <v>224</v>
      </c>
    </row>
    <row r="4005" spans="1:19" x14ac:dyDescent="0.25">
      <c r="A4005" s="311"/>
      <c r="B4005" s="312"/>
      <c r="C4005" s="312"/>
      <c r="D4005" s="312"/>
      <c r="E4005" s="312"/>
      <c r="F4005" s="312"/>
      <c r="G4005" s="328"/>
      <c r="H4005" s="337"/>
      <c r="I4005" s="334"/>
      <c r="J4005" s="314"/>
      <c r="K4005" s="449"/>
      <c r="M4005" s="349" t="str">
        <f>N4005&amp;AS[[#This Row],[Insurer Code]]&amp;"; "&amp;O4005&amp;AS[[#This Row],[Reporting Year]]&amp;"; "&amp;P4005&amp;AS[[#This Row],[Insurance Category Code]]&amp;"; "&amp;Q4005&amp;AS[[#This Row],[Large Provider Entity Code]]&amp;"; "&amp;R4005&amp;AS[[#This Row],[Age Band Code]]&amp;"; "&amp;S4005&amp;AS[[#This Row],[Sex Code]]</f>
        <v xml:space="preserve">Insurer Code ; Reporting Year ; Insurance Category Code ; Large Provider Entity Code ; Age Band Code ; Sex Code </v>
      </c>
      <c r="N4005" s="345" t="s">
        <v>207</v>
      </c>
      <c r="O4005" s="345" t="s">
        <v>208</v>
      </c>
      <c r="P4005" s="345" t="s">
        <v>209</v>
      </c>
      <c r="Q4005" s="345" t="s">
        <v>210</v>
      </c>
      <c r="R4005" s="345" t="s">
        <v>223</v>
      </c>
      <c r="S4005" s="345" t="s">
        <v>224</v>
      </c>
    </row>
    <row r="4006" spans="1:19" x14ac:dyDescent="0.25">
      <c r="A4006" s="311"/>
      <c r="B4006" s="312"/>
      <c r="C4006" s="312"/>
      <c r="D4006" s="312"/>
      <c r="E4006" s="312"/>
      <c r="F4006" s="312"/>
      <c r="G4006" s="328"/>
      <c r="H4006" s="337"/>
      <c r="I4006" s="334"/>
      <c r="J4006" s="314"/>
      <c r="K4006" s="449"/>
      <c r="M4006" s="349" t="str">
        <f>N4006&amp;AS[[#This Row],[Insurer Code]]&amp;"; "&amp;O4006&amp;AS[[#This Row],[Reporting Year]]&amp;"; "&amp;P4006&amp;AS[[#This Row],[Insurance Category Code]]&amp;"; "&amp;Q4006&amp;AS[[#This Row],[Large Provider Entity Code]]&amp;"; "&amp;R4006&amp;AS[[#This Row],[Age Band Code]]&amp;"; "&amp;S4006&amp;AS[[#This Row],[Sex Code]]</f>
        <v xml:space="preserve">Insurer Code ; Reporting Year ; Insurance Category Code ; Large Provider Entity Code ; Age Band Code ; Sex Code </v>
      </c>
      <c r="N4006" s="345" t="s">
        <v>207</v>
      </c>
      <c r="O4006" s="345" t="s">
        <v>208</v>
      </c>
      <c r="P4006" s="345" t="s">
        <v>209</v>
      </c>
      <c r="Q4006" s="345" t="s">
        <v>210</v>
      </c>
      <c r="R4006" s="345" t="s">
        <v>223</v>
      </c>
      <c r="S4006" s="345" t="s">
        <v>224</v>
      </c>
    </row>
    <row r="4007" spans="1:19" x14ac:dyDescent="0.25">
      <c r="A4007" s="311"/>
      <c r="B4007" s="312"/>
      <c r="C4007" s="312"/>
      <c r="D4007" s="312"/>
      <c r="E4007" s="312"/>
      <c r="F4007" s="312"/>
      <c r="G4007" s="328"/>
      <c r="H4007" s="337"/>
      <c r="I4007" s="334"/>
      <c r="J4007" s="314"/>
      <c r="K4007" s="449"/>
      <c r="M4007" s="349" t="str">
        <f>N4007&amp;AS[[#This Row],[Insurer Code]]&amp;"; "&amp;O4007&amp;AS[[#This Row],[Reporting Year]]&amp;"; "&amp;P4007&amp;AS[[#This Row],[Insurance Category Code]]&amp;"; "&amp;Q4007&amp;AS[[#This Row],[Large Provider Entity Code]]&amp;"; "&amp;R4007&amp;AS[[#This Row],[Age Band Code]]&amp;"; "&amp;S4007&amp;AS[[#This Row],[Sex Code]]</f>
        <v xml:space="preserve">Insurer Code ; Reporting Year ; Insurance Category Code ; Large Provider Entity Code ; Age Band Code ; Sex Code </v>
      </c>
      <c r="N4007" s="345" t="s">
        <v>207</v>
      </c>
      <c r="O4007" s="345" t="s">
        <v>208</v>
      </c>
      <c r="P4007" s="345" t="s">
        <v>209</v>
      </c>
      <c r="Q4007" s="345" t="s">
        <v>210</v>
      </c>
      <c r="R4007" s="345" t="s">
        <v>223</v>
      </c>
      <c r="S4007" s="345" t="s">
        <v>224</v>
      </c>
    </row>
    <row r="4008" spans="1:19" x14ac:dyDescent="0.25">
      <c r="A4008" s="311"/>
      <c r="B4008" s="312"/>
      <c r="C4008" s="312"/>
      <c r="D4008" s="312"/>
      <c r="E4008" s="312"/>
      <c r="F4008" s="312"/>
      <c r="G4008" s="328"/>
      <c r="H4008" s="337"/>
      <c r="I4008" s="334"/>
      <c r="J4008" s="314"/>
      <c r="K4008" s="449"/>
      <c r="M4008" s="349" t="str">
        <f>N4008&amp;AS[[#This Row],[Insurer Code]]&amp;"; "&amp;O4008&amp;AS[[#This Row],[Reporting Year]]&amp;"; "&amp;P4008&amp;AS[[#This Row],[Insurance Category Code]]&amp;"; "&amp;Q4008&amp;AS[[#This Row],[Large Provider Entity Code]]&amp;"; "&amp;R4008&amp;AS[[#This Row],[Age Band Code]]&amp;"; "&amp;S4008&amp;AS[[#This Row],[Sex Code]]</f>
        <v xml:space="preserve">Insurer Code ; Reporting Year ; Insurance Category Code ; Large Provider Entity Code ; Age Band Code ; Sex Code </v>
      </c>
      <c r="N4008" s="345" t="s">
        <v>207</v>
      </c>
      <c r="O4008" s="345" t="s">
        <v>208</v>
      </c>
      <c r="P4008" s="345" t="s">
        <v>209</v>
      </c>
      <c r="Q4008" s="345" t="s">
        <v>210</v>
      </c>
      <c r="R4008" s="345" t="s">
        <v>223</v>
      </c>
      <c r="S4008" s="345" t="s">
        <v>224</v>
      </c>
    </row>
    <row r="4009" spans="1:19" x14ac:dyDescent="0.25">
      <c r="A4009" s="311"/>
      <c r="B4009" s="312"/>
      <c r="C4009" s="312"/>
      <c r="D4009" s="312"/>
      <c r="E4009" s="312"/>
      <c r="F4009" s="312"/>
      <c r="G4009" s="328"/>
      <c r="H4009" s="337"/>
      <c r="I4009" s="334"/>
      <c r="J4009" s="314"/>
      <c r="K4009" s="449"/>
      <c r="M4009" s="349" t="str">
        <f>N4009&amp;AS[[#This Row],[Insurer Code]]&amp;"; "&amp;O4009&amp;AS[[#This Row],[Reporting Year]]&amp;"; "&amp;P4009&amp;AS[[#This Row],[Insurance Category Code]]&amp;"; "&amp;Q4009&amp;AS[[#This Row],[Large Provider Entity Code]]&amp;"; "&amp;R4009&amp;AS[[#This Row],[Age Band Code]]&amp;"; "&amp;S4009&amp;AS[[#This Row],[Sex Code]]</f>
        <v xml:space="preserve">Insurer Code ; Reporting Year ; Insurance Category Code ; Large Provider Entity Code ; Age Band Code ; Sex Code </v>
      </c>
      <c r="N4009" s="345" t="s">
        <v>207</v>
      </c>
      <c r="O4009" s="345" t="s">
        <v>208</v>
      </c>
      <c r="P4009" s="345" t="s">
        <v>209</v>
      </c>
      <c r="Q4009" s="345" t="s">
        <v>210</v>
      </c>
      <c r="R4009" s="345" t="s">
        <v>223</v>
      </c>
      <c r="S4009" s="345" t="s">
        <v>224</v>
      </c>
    </row>
    <row r="4010" spans="1:19" x14ac:dyDescent="0.25">
      <c r="A4010" s="311"/>
      <c r="B4010" s="312"/>
      <c r="C4010" s="312"/>
      <c r="D4010" s="312"/>
      <c r="E4010" s="312"/>
      <c r="F4010" s="312"/>
      <c r="G4010" s="328"/>
      <c r="H4010" s="337"/>
      <c r="I4010" s="334"/>
      <c r="J4010" s="314"/>
      <c r="K4010" s="449"/>
      <c r="M4010" s="349" t="str">
        <f>N4010&amp;AS[[#This Row],[Insurer Code]]&amp;"; "&amp;O4010&amp;AS[[#This Row],[Reporting Year]]&amp;"; "&amp;P4010&amp;AS[[#This Row],[Insurance Category Code]]&amp;"; "&amp;Q4010&amp;AS[[#This Row],[Large Provider Entity Code]]&amp;"; "&amp;R4010&amp;AS[[#This Row],[Age Band Code]]&amp;"; "&amp;S4010&amp;AS[[#This Row],[Sex Code]]</f>
        <v xml:space="preserve">Insurer Code ; Reporting Year ; Insurance Category Code ; Large Provider Entity Code ; Age Band Code ; Sex Code </v>
      </c>
      <c r="N4010" s="345" t="s">
        <v>207</v>
      </c>
      <c r="O4010" s="345" t="s">
        <v>208</v>
      </c>
      <c r="P4010" s="345" t="s">
        <v>209</v>
      </c>
      <c r="Q4010" s="345" t="s">
        <v>210</v>
      </c>
      <c r="R4010" s="345" t="s">
        <v>223</v>
      </c>
      <c r="S4010" s="345" t="s">
        <v>224</v>
      </c>
    </row>
    <row r="4011" spans="1:19" x14ac:dyDescent="0.25">
      <c r="A4011" s="311"/>
      <c r="B4011" s="312"/>
      <c r="C4011" s="312"/>
      <c r="D4011" s="312"/>
      <c r="E4011" s="312"/>
      <c r="F4011" s="312"/>
      <c r="G4011" s="328"/>
      <c r="H4011" s="337"/>
      <c r="I4011" s="334"/>
      <c r="J4011" s="314"/>
      <c r="K4011" s="449"/>
      <c r="M4011" s="349" t="str">
        <f>N4011&amp;AS[[#This Row],[Insurer Code]]&amp;"; "&amp;O4011&amp;AS[[#This Row],[Reporting Year]]&amp;"; "&amp;P4011&amp;AS[[#This Row],[Insurance Category Code]]&amp;"; "&amp;Q4011&amp;AS[[#This Row],[Large Provider Entity Code]]&amp;"; "&amp;R4011&amp;AS[[#This Row],[Age Band Code]]&amp;"; "&amp;S4011&amp;AS[[#This Row],[Sex Code]]</f>
        <v xml:space="preserve">Insurer Code ; Reporting Year ; Insurance Category Code ; Large Provider Entity Code ; Age Band Code ; Sex Code </v>
      </c>
      <c r="N4011" s="345" t="s">
        <v>207</v>
      </c>
      <c r="O4011" s="345" t="s">
        <v>208</v>
      </c>
      <c r="P4011" s="345" t="s">
        <v>209</v>
      </c>
      <c r="Q4011" s="345" t="s">
        <v>210</v>
      </c>
      <c r="R4011" s="345" t="s">
        <v>223</v>
      </c>
      <c r="S4011" s="345" t="s">
        <v>224</v>
      </c>
    </row>
    <row r="4012" spans="1:19" x14ac:dyDescent="0.25">
      <c r="A4012" s="311"/>
      <c r="B4012" s="312"/>
      <c r="C4012" s="312"/>
      <c r="D4012" s="312"/>
      <c r="E4012" s="312"/>
      <c r="F4012" s="312"/>
      <c r="G4012" s="328"/>
      <c r="H4012" s="337"/>
      <c r="I4012" s="334"/>
      <c r="J4012" s="314"/>
      <c r="K4012" s="449"/>
      <c r="M4012" s="349" t="str">
        <f>N4012&amp;AS[[#This Row],[Insurer Code]]&amp;"; "&amp;O4012&amp;AS[[#This Row],[Reporting Year]]&amp;"; "&amp;P4012&amp;AS[[#This Row],[Insurance Category Code]]&amp;"; "&amp;Q4012&amp;AS[[#This Row],[Large Provider Entity Code]]&amp;"; "&amp;R4012&amp;AS[[#This Row],[Age Band Code]]&amp;"; "&amp;S4012&amp;AS[[#This Row],[Sex Code]]</f>
        <v xml:space="preserve">Insurer Code ; Reporting Year ; Insurance Category Code ; Large Provider Entity Code ; Age Band Code ; Sex Code </v>
      </c>
      <c r="N4012" s="345" t="s">
        <v>207</v>
      </c>
      <c r="O4012" s="345" t="s">
        <v>208</v>
      </c>
      <c r="P4012" s="345" t="s">
        <v>209</v>
      </c>
      <c r="Q4012" s="345" t="s">
        <v>210</v>
      </c>
      <c r="R4012" s="345" t="s">
        <v>223</v>
      </c>
      <c r="S4012" s="345" t="s">
        <v>224</v>
      </c>
    </row>
    <row r="4013" spans="1:19" x14ac:dyDescent="0.25">
      <c r="A4013" s="311"/>
      <c r="B4013" s="312"/>
      <c r="C4013" s="312"/>
      <c r="D4013" s="312"/>
      <c r="E4013" s="312"/>
      <c r="F4013" s="312"/>
      <c r="G4013" s="328"/>
      <c r="H4013" s="337"/>
      <c r="I4013" s="334"/>
      <c r="J4013" s="314"/>
      <c r="K4013" s="449"/>
      <c r="M4013" s="349" t="str">
        <f>N4013&amp;AS[[#This Row],[Insurer Code]]&amp;"; "&amp;O4013&amp;AS[[#This Row],[Reporting Year]]&amp;"; "&amp;P4013&amp;AS[[#This Row],[Insurance Category Code]]&amp;"; "&amp;Q4013&amp;AS[[#This Row],[Large Provider Entity Code]]&amp;"; "&amp;R4013&amp;AS[[#This Row],[Age Band Code]]&amp;"; "&amp;S4013&amp;AS[[#This Row],[Sex Code]]</f>
        <v xml:space="preserve">Insurer Code ; Reporting Year ; Insurance Category Code ; Large Provider Entity Code ; Age Band Code ; Sex Code </v>
      </c>
      <c r="N4013" s="345" t="s">
        <v>207</v>
      </c>
      <c r="O4013" s="345" t="s">
        <v>208</v>
      </c>
      <c r="P4013" s="345" t="s">
        <v>209</v>
      </c>
      <c r="Q4013" s="345" t="s">
        <v>210</v>
      </c>
      <c r="R4013" s="345" t="s">
        <v>223</v>
      </c>
      <c r="S4013" s="345" t="s">
        <v>224</v>
      </c>
    </row>
    <row r="4014" spans="1:19" x14ac:dyDescent="0.25">
      <c r="A4014" s="311"/>
      <c r="B4014" s="312"/>
      <c r="C4014" s="312"/>
      <c r="D4014" s="312"/>
      <c r="E4014" s="312"/>
      <c r="F4014" s="312"/>
      <c r="G4014" s="328"/>
      <c r="H4014" s="337"/>
      <c r="I4014" s="334"/>
      <c r="J4014" s="314"/>
      <c r="K4014" s="449"/>
      <c r="M4014" s="349" t="str">
        <f>N4014&amp;AS[[#This Row],[Insurer Code]]&amp;"; "&amp;O4014&amp;AS[[#This Row],[Reporting Year]]&amp;"; "&amp;P4014&amp;AS[[#This Row],[Insurance Category Code]]&amp;"; "&amp;Q4014&amp;AS[[#This Row],[Large Provider Entity Code]]&amp;"; "&amp;R4014&amp;AS[[#This Row],[Age Band Code]]&amp;"; "&amp;S4014&amp;AS[[#This Row],[Sex Code]]</f>
        <v xml:space="preserve">Insurer Code ; Reporting Year ; Insurance Category Code ; Large Provider Entity Code ; Age Band Code ; Sex Code </v>
      </c>
      <c r="N4014" s="345" t="s">
        <v>207</v>
      </c>
      <c r="O4014" s="345" t="s">
        <v>208</v>
      </c>
      <c r="P4014" s="345" t="s">
        <v>209</v>
      </c>
      <c r="Q4014" s="345" t="s">
        <v>210</v>
      </c>
      <c r="R4014" s="345" t="s">
        <v>223</v>
      </c>
      <c r="S4014" s="345" t="s">
        <v>224</v>
      </c>
    </row>
    <row r="4015" spans="1:19" x14ac:dyDescent="0.25">
      <c r="A4015" s="311"/>
      <c r="B4015" s="312"/>
      <c r="C4015" s="312"/>
      <c r="D4015" s="312"/>
      <c r="E4015" s="312"/>
      <c r="F4015" s="312"/>
      <c r="G4015" s="328"/>
      <c r="H4015" s="337"/>
      <c r="I4015" s="334"/>
      <c r="J4015" s="314"/>
      <c r="K4015" s="449"/>
      <c r="M4015" s="349" t="str">
        <f>N4015&amp;AS[[#This Row],[Insurer Code]]&amp;"; "&amp;O4015&amp;AS[[#This Row],[Reporting Year]]&amp;"; "&amp;P4015&amp;AS[[#This Row],[Insurance Category Code]]&amp;"; "&amp;Q4015&amp;AS[[#This Row],[Large Provider Entity Code]]&amp;"; "&amp;R4015&amp;AS[[#This Row],[Age Band Code]]&amp;"; "&amp;S4015&amp;AS[[#This Row],[Sex Code]]</f>
        <v xml:space="preserve">Insurer Code ; Reporting Year ; Insurance Category Code ; Large Provider Entity Code ; Age Band Code ; Sex Code </v>
      </c>
      <c r="N4015" s="345" t="s">
        <v>207</v>
      </c>
      <c r="O4015" s="345" t="s">
        <v>208</v>
      </c>
      <c r="P4015" s="345" t="s">
        <v>209</v>
      </c>
      <c r="Q4015" s="345" t="s">
        <v>210</v>
      </c>
      <c r="R4015" s="345" t="s">
        <v>223</v>
      </c>
      <c r="S4015" s="345" t="s">
        <v>224</v>
      </c>
    </row>
    <row r="4016" spans="1:19" x14ac:dyDescent="0.25">
      <c r="A4016" s="311"/>
      <c r="B4016" s="312"/>
      <c r="C4016" s="312"/>
      <c r="D4016" s="312"/>
      <c r="E4016" s="312"/>
      <c r="F4016" s="312"/>
      <c r="G4016" s="328"/>
      <c r="H4016" s="337"/>
      <c r="I4016" s="334"/>
      <c r="J4016" s="314"/>
      <c r="K4016" s="449"/>
      <c r="M4016" s="349" t="str">
        <f>N4016&amp;AS[[#This Row],[Insurer Code]]&amp;"; "&amp;O4016&amp;AS[[#This Row],[Reporting Year]]&amp;"; "&amp;P4016&amp;AS[[#This Row],[Insurance Category Code]]&amp;"; "&amp;Q4016&amp;AS[[#This Row],[Large Provider Entity Code]]&amp;"; "&amp;R4016&amp;AS[[#This Row],[Age Band Code]]&amp;"; "&amp;S4016&amp;AS[[#This Row],[Sex Code]]</f>
        <v xml:space="preserve">Insurer Code ; Reporting Year ; Insurance Category Code ; Large Provider Entity Code ; Age Band Code ; Sex Code </v>
      </c>
      <c r="N4016" s="345" t="s">
        <v>207</v>
      </c>
      <c r="O4016" s="345" t="s">
        <v>208</v>
      </c>
      <c r="P4016" s="345" t="s">
        <v>209</v>
      </c>
      <c r="Q4016" s="345" t="s">
        <v>210</v>
      </c>
      <c r="R4016" s="345" t="s">
        <v>223</v>
      </c>
      <c r="S4016" s="345" t="s">
        <v>224</v>
      </c>
    </row>
    <row r="4017" spans="1:19" x14ac:dyDescent="0.25">
      <c r="A4017" s="311"/>
      <c r="B4017" s="312"/>
      <c r="C4017" s="312"/>
      <c r="D4017" s="312"/>
      <c r="E4017" s="312"/>
      <c r="F4017" s="312"/>
      <c r="G4017" s="328"/>
      <c r="H4017" s="337"/>
      <c r="I4017" s="334"/>
      <c r="J4017" s="314"/>
      <c r="K4017" s="449"/>
      <c r="M4017" s="349" t="str">
        <f>N4017&amp;AS[[#This Row],[Insurer Code]]&amp;"; "&amp;O4017&amp;AS[[#This Row],[Reporting Year]]&amp;"; "&amp;P4017&amp;AS[[#This Row],[Insurance Category Code]]&amp;"; "&amp;Q4017&amp;AS[[#This Row],[Large Provider Entity Code]]&amp;"; "&amp;R4017&amp;AS[[#This Row],[Age Band Code]]&amp;"; "&amp;S4017&amp;AS[[#This Row],[Sex Code]]</f>
        <v xml:space="preserve">Insurer Code ; Reporting Year ; Insurance Category Code ; Large Provider Entity Code ; Age Band Code ; Sex Code </v>
      </c>
      <c r="N4017" s="345" t="s">
        <v>207</v>
      </c>
      <c r="O4017" s="345" t="s">
        <v>208</v>
      </c>
      <c r="P4017" s="345" t="s">
        <v>209</v>
      </c>
      <c r="Q4017" s="345" t="s">
        <v>210</v>
      </c>
      <c r="R4017" s="345" t="s">
        <v>223</v>
      </c>
      <c r="S4017" s="345" t="s">
        <v>224</v>
      </c>
    </row>
    <row r="4018" spans="1:19" x14ac:dyDescent="0.25">
      <c r="A4018" s="311"/>
      <c r="B4018" s="312"/>
      <c r="C4018" s="312"/>
      <c r="D4018" s="312"/>
      <c r="E4018" s="312"/>
      <c r="F4018" s="312"/>
      <c r="G4018" s="328"/>
      <c r="H4018" s="337"/>
      <c r="I4018" s="334"/>
      <c r="J4018" s="314"/>
      <c r="K4018" s="449"/>
      <c r="M4018" s="349" t="str">
        <f>N4018&amp;AS[[#This Row],[Insurer Code]]&amp;"; "&amp;O4018&amp;AS[[#This Row],[Reporting Year]]&amp;"; "&amp;P4018&amp;AS[[#This Row],[Insurance Category Code]]&amp;"; "&amp;Q4018&amp;AS[[#This Row],[Large Provider Entity Code]]&amp;"; "&amp;R4018&amp;AS[[#This Row],[Age Band Code]]&amp;"; "&amp;S4018&amp;AS[[#This Row],[Sex Code]]</f>
        <v xml:space="preserve">Insurer Code ; Reporting Year ; Insurance Category Code ; Large Provider Entity Code ; Age Band Code ; Sex Code </v>
      </c>
      <c r="N4018" s="345" t="s">
        <v>207</v>
      </c>
      <c r="O4018" s="345" t="s">
        <v>208</v>
      </c>
      <c r="P4018" s="345" t="s">
        <v>209</v>
      </c>
      <c r="Q4018" s="345" t="s">
        <v>210</v>
      </c>
      <c r="R4018" s="345" t="s">
        <v>223</v>
      </c>
      <c r="S4018" s="345" t="s">
        <v>224</v>
      </c>
    </row>
    <row r="4019" spans="1:19" x14ac:dyDescent="0.25">
      <c r="A4019" s="311"/>
      <c r="B4019" s="312"/>
      <c r="C4019" s="312"/>
      <c r="D4019" s="312"/>
      <c r="E4019" s="312"/>
      <c r="F4019" s="312"/>
      <c r="G4019" s="328"/>
      <c r="H4019" s="337"/>
      <c r="I4019" s="334"/>
      <c r="J4019" s="314"/>
      <c r="K4019" s="449"/>
      <c r="M4019" s="349" t="str">
        <f>N4019&amp;AS[[#This Row],[Insurer Code]]&amp;"; "&amp;O4019&amp;AS[[#This Row],[Reporting Year]]&amp;"; "&amp;P4019&amp;AS[[#This Row],[Insurance Category Code]]&amp;"; "&amp;Q4019&amp;AS[[#This Row],[Large Provider Entity Code]]&amp;"; "&amp;R4019&amp;AS[[#This Row],[Age Band Code]]&amp;"; "&amp;S4019&amp;AS[[#This Row],[Sex Code]]</f>
        <v xml:space="preserve">Insurer Code ; Reporting Year ; Insurance Category Code ; Large Provider Entity Code ; Age Band Code ; Sex Code </v>
      </c>
      <c r="N4019" s="345" t="s">
        <v>207</v>
      </c>
      <c r="O4019" s="345" t="s">
        <v>208</v>
      </c>
      <c r="P4019" s="345" t="s">
        <v>209</v>
      </c>
      <c r="Q4019" s="345" t="s">
        <v>210</v>
      </c>
      <c r="R4019" s="345" t="s">
        <v>223</v>
      </c>
      <c r="S4019" s="345" t="s">
        <v>224</v>
      </c>
    </row>
    <row r="4020" spans="1:19" x14ac:dyDescent="0.25">
      <c r="A4020" s="311"/>
      <c r="B4020" s="312"/>
      <c r="C4020" s="312"/>
      <c r="D4020" s="312"/>
      <c r="E4020" s="312"/>
      <c r="F4020" s="312"/>
      <c r="G4020" s="328"/>
      <c r="H4020" s="337"/>
      <c r="I4020" s="334"/>
      <c r="J4020" s="314"/>
      <c r="K4020" s="449"/>
      <c r="M4020" s="349" t="str">
        <f>N4020&amp;AS[[#This Row],[Insurer Code]]&amp;"; "&amp;O4020&amp;AS[[#This Row],[Reporting Year]]&amp;"; "&amp;P4020&amp;AS[[#This Row],[Insurance Category Code]]&amp;"; "&amp;Q4020&amp;AS[[#This Row],[Large Provider Entity Code]]&amp;"; "&amp;R4020&amp;AS[[#This Row],[Age Band Code]]&amp;"; "&amp;S4020&amp;AS[[#This Row],[Sex Code]]</f>
        <v xml:space="preserve">Insurer Code ; Reporting Year ; Insurance Category Code ; Large Provider Entity Code ; Age Band Code ; Sex Code </v>
      </c>
      <c r="N4020" s="345" t="s">
        <v>207</v>
      </c>
      <c r="O4020" s="345" t="s">
        <v>208</v>
      </c>
      <c r="P4020" s="345" t="s">
        <v>209</v>
      </c>
      <c r="Q4020" s="345" t="s">
        <v>210</v>
      </c>
      <c r="R4020" s="345" t="s">
        <v>223</v>
      </c>
      <c r="S4020" s="345" t="s">
        <v>224</v>
      </c>
    </row>
    <row r="4021" spans="1:19" x14ac:dyDescent="0.25">
      <c r="A4021" s="311"/>
      <c r="B4021" s="312"/>
      <c r="C4021" s="312"/>
      <c r="D4021" s="312"/>
      <c r="E4021" s="312"/>
      <c r="F4021" s="312"/>
      <c r="G4021" s="328"/>
      <c r="H4021" s="337"/>
      <c r="I4021" s="334"/>
      <c r="J4021" s="314"/>
      <c r="K4021" s="449"/>
      <c r="M4021" s="349" t="str">
        <f>N4021&amp;AS[[#This Row],[Insurer Code]]&amp;"; "&amp;O4021&amp;AS[[#This Row],[Reporting Year]]&amp;"; "&amp;P4021&amp;AS[[#This Row],[Insurance Category Code]]&amp;"; "&amp;Q4021&amp;AS[[#This Row],[Large Provider Entity Code]]&amp;"; "&amp;R4021&amp;AS[[#This Row],[Age Band Code]]&amp;"; "&amp;S4021&amp;AS[[#This Row],[Sex Code]]</f>
        <v xml:space="preserve">Insurer Code ; Reporting Year ; Insurance Category Code ; Large Provider Entity Code ; Age Band Code ; Sex Code </v>
      </c>
      <c r="N4021" s="345" t="s">
        <v>207</v>
      </c>
      <c r="O4021" s="345" t="s">
        <v>208</v>
      </c>
      <c r="P4021" s="345" t="s">
        <v>209</v>
      </c>
      <c r="Q4021" s="345" t="s">
        <v>210</v>
      </c>
      <c r="R4021" s="345" t="s">
        <v>223</v>
      </c>
      <c r="S4021" s="345" t="s">
        <v>224</v>
      </c>
    </row>
    <row r="4022" spans="1:19" x14ac:dyDescent="0.25">
      <c r="A4022" s="311"/>
      <c r="B4022" s="312"/>
      <c r="C4022" s="312"/>
      <c r="D4022" s="312"/>
      <c r="E4022" s="312"/>
      <c r="F4022" s="312"/>
      <c r="G4022" s="328"/>
      <c r="H4022" s="337"/>
      <c r="I4022" s="334"/>
      <c r="J4022" s="314"/>
      <c r="K4022" s="449"/>
      <c r="M4022" s="349" t="str">
        <f>N4022&amp;AS[[#This Row],[Insurer Code]]&amp;"; "&amp;O4022&amp;AS[[#This Row],[Reporting Year]]&amp;"; "&amp;P4022&amp;AS[[#This Row],[Insurance Category Code]]&amp;"; "&amp;Q4022&amp;AS[[#This Row],[Large Provider Entity Code]]&amp;"; "&amp;R4022&amp;AS[[#This Row],[Age Band Code]]&amp;"; "&amp;S4022&amp;AS[[#This Row],[Sex Code]]</f>
        <v xml:space="preserve">Insurer Code ; Reporting Year ; Insurance Category Code ; Large Provider Entity Code ; Age Band Code ; Sex Code </v>
      </c>
      <c r="N4022" s="345" t="s">
        <v>207</v>
      </c>
      <c r="O4022" s="345" t="s">
        <v>208</v>
      </c>
      <c r="P4022" s="345" t="s">
        <v>209</v>
      </c>
      <c r="Q4022" s="345" t="s">
        <v>210</v>
      </c>
      <c r="R4022" s="345" t="s">
        <v>223</v>
      </c>
      <c r="S4022" s="345" t="s">
        <v>224</v>
      </c>
    </row>
    <row r="4023" spans="1:19" x14ac:dyDescent="0.25">
      <c r="A4023" s="311"/>
      <c r="B4023" s="312"/>
      <c r="C4023" s="312"/>
      <c r="D4023" s="312"/>
      <c r="E4023" s="312"/>
      <c r="F4023" s="312"/>
      <c r="G4023" s="328"/>
      <c r="H4023" s="337"/>
      <c r="I4023" s="334"/>
      <c r="J4023" s="314"/>
      <c r="K4023" s="449"/>
      <c r="M4023" s="349" t="str">
        <f>N4023&amp;AS[[#This Row],[Insurer Code]]&amp;"; "&amp;O4023&amp;AS[[#This Row],[Reporting Year]]&amp;"; "&amp;P4023&amp;AS[[#This Row],[Insurance Category Code]]&amp;"; "&amp;Q4023&amp;AS[[#This Row],[Large Provider Entity Code]]&amp;"; "&amp;R4023&amp;AS[[#This Row],[Age Band Code]]&amp;"; "&amp;S4023&amp;AS[[#This Row],[Sex Code]]</f>
        <v xml:space="preserve">Insurer Code ; Reporting Year ; Insurance Category Code ; Large Provider Entity Code ; Age Band Code ; Sex Code </v>
      </c>
      <c r="N4023" s="345" t="s">
        <v>207</v>
      </c>
      <c r="O4023" s="345" t="s">
        <v>208</v>
      </c>
      <c r="P4023" s="345" t="s">
        <v>209</v>
      </c>
      <c r="Q4023" s="345" t="s">
        <v>210</v>
      </c>
      <c r="R4023" s="345" t="s">
        <v>223</v>
      </c>
      <c r="S4023" s="345" t="s">
        <v>224</v>
      </c>
    </row>
    <row r="4024" spans="1:19" x14ac:dyDescent="0.25">
      <c r="A4024" s="311"/>
      <c r="B4024" s="312"/>
      <c r="C4024" s="312"/>
      <c r="D4024" s="312"/>
      <c r="E4024" s="312"/>
      <c r="F4024" s="312"/>
      <c r="G4024" s="328"/>
      <c r="H4024" s="337"/>
      <c r="I4024" s="334"/>
      <c r="J4024" s="314"/>
      <c r="K4024" s="449"/>
      <c r="M4024" s="349" t="str">
        <f>N4024&amp;AS[[#This Row],[Insurer Code]]&amp;"; "&amp;O4024&amp;AS[[#This Row],[Reporting Year]]&amp;"; "&amp;P4024&amp;AS[[#This Row],[Insurance Category Code]]&amp;"; "&amp;Q4024&amp;AS[[#This Row],[Large Provider Entity Code]]&amp;"; "&amp;R4024&amp;AS[[#This Row],[Age Band Code]]&amp;"; "&amp;S4024&amp;AS[[#This Row],[Sex Code]]</f>
        <v xml:space="preserve">Insurer Code ; Reporting Year ; Insurance Category Code ; Large Provider Entity Code ; Age Band Code ; Sex Code </v>
      </c>
      <c r="N4024" s="345" t="s">
        <v>207</v>
      </c>
      <c r="O4024" s="345" t="s">
        <v>208</v>
      </c>
      <c r="P4024" s="345" t="s">
        <v>209</v>
      </c>
      <c r="Q4024" s="345" t="s">
        <v>210</v>
      </c>
      <c r="R4024" s="345" t="s">
        <v>223</v>
      </c>
      <c r="S4024" s="345" t="s">
        <v>224</v>
      </c>
    </row>
    <row r="4025" spans="1:19" x14ac:dyDescent="0.25">
      <c r="A4025" s="311"/>
      <c r="B4025" s="312"/>
      <c r="C4025" s="312"/>
      <c r="D4025" s="312"/>
      <c r="E4025" s="312"/>
      <c r="F4025" s="312"/>
      <c r="G4025" s="328"/>
      <c r="H4025" s="337"/>
      <c r="I4025" s="334"/>
      <c r="J4025" s="314"/>
      <c r="K4025" s="449"/>
      <c r="M4025" s="349" t="str">
        <f>N4025&amp;AS[[#This Row],[Insurer Code]]&amp;"; "&amp;O4025&amp;AS[[#This Row],[Reporting Year]]&amp;"; "&amp;P4025&amp;AS[[#This Row],[Insurance Category Code]]&amp;"; "&amp;Q4025&amp;AS[[#This Row],[Large Provider Entity Code]]&amp;"; "&amp;R4025&amp;AS[[#This Row],[Age Band Code]]&amp;"; "&amp;S4025&amp;AS[[#This Row],[Sex Code]]</f>
        <v xml:space="preserve">Insurer Code ; Reporting Year ; Insurance Category Code ; Large Provider Entity Code ; Age Band Code ; Sex Code </v>
      </c>
      <c r="N4025" s="345" t="s">
        <v>207</v>
      </c>
      <c r="O4025" s="345" t="s">
        <v>208</v>
      </c>
      <c r="P4025" s="345" t="s">
        <v>209</v>
      </c>
      <c r="Q4025" s="345" t="s">
        <v>210</v>
      </c>
      <c r="R4025" s="345" t="s">
        <v>223</v>
      </c>
      <c r="S4025" s="345" t="s">
        <v>224</v>
      </c>
    </row>
    <row r="4026" spans="1:19" x14ac:dyDescent="0.25">
      <c r="A4026" s="311"/>
      <c r="B4026" s="312"/>
      <c r="C4026" s="312"/>
      <c r="D4026" s="312"/>
      <c r="E4026" s="312"/>
      <c r="F4026" s="312"/>
      <c r="G4026" s="328"/>
      <c r="H4026" s="337"/>
      <c r="I4026" s="334"/>
      <c r="J4026" s="314"/>
      <c r="K4026" s="449"/>
      <c r="M4026" s="349" t="str">
        <f>N4026&amp;AS[[#This Row],[Insurer Code]]&amp;"; "&amp;O4026&amp;AS[[#This Row],[Reporting Year]]&amp;"; "&amp;P4026&amp;AS[[#This Row],[Insurance Category Code]]&amp;"; "&amp;Q4026&amp;AS[[#This Row],[Large Provider Entity Code]]&amp;"; "&amp;R4026&amp;AS[[#This Row],[Age Band Code]]&amp;"; "&amp;S4026&amp;AS[[#This Row],[Sex Code]]</f>
        <v xml:space="preserve">Insurer Code ; Reporting Year ; Insurance Category Code ; Large Provider Entity Code ; Age Band Code ; Sex Code </v>
      </c>
      <c r="N4026" s="345" t="s">
        <v>207</v>
      </c>
      <c r="O4026" s="345" t="s">
        <v>208</v>
      </c>
      <c r="P4026" s="345" t="s">
        <v>209</v>
      </c>
      <c r="Q4026" s="345" t="s">
        <v>210</v>
      </c>
      <c r="R4026" s="345" t="s">
        <v>223</v>
      </c>
      <c r="S4026" s="345" t="s">
        <v>224</v>
      </c>
    </row>
    <row r="4027" spans="1:19" x14ac:dyDescent="0.25">
      <c r="A4027" s="311"/>
      <c r="B4027" s="312"/>
      <c r="C4027" s="312"/>
      <c r="D4027" s="312"/>
      <c r="E4027" s="312"/>
      <c r="F4027" s="312"/>
      <c r="G4027" s="328"/>
      <c r="H4027" s="337"/>
      <c r="I4027" s="334"/>
      <c r="J4027" s="314"/>
      <c r="K4027" s="449"/>
      <c r="M4027" s="349" t="str">
        <f>N4027&amp;AS[[#This Row],[Insurer Code]]&amp;"; "&amp;O4027&amp;AS[[#This Row],[Reporting Year]]&amp;"; "&amp;P4027&amp;AS[[#This Row],[Insurance Category Code]]&amp;"; "&amp;Q4027&amp;AS[[#This Row],[Large Provider Entity Code]]&amp;"; "&amp;R4027&amp;AS[[#This Row],[Age Band Code]]&amp;"; "&amp;S4027&amp;AS[[#This Row],[Sex Code]]</f>
        <v xml:space="preserve">Insurer Code ; Reporting Year ; Insurance Category Code ; Large Provider Entity Code ; Age Band Code ; Sex Code </v>
      </c>
      <c r="N4027" s="345" t="s">
        <v>207</v>
      </c>
      <c r="O4027" s="345" t="s">
        <v>208</v>
      </c>
      <c r="P4027" s="345" t="s">
        <v>209</v>
      </c>
      <c r="Q4027" s="345" t="s">
        <v>210</v>
      </c>
      <c r="R4027" s="345" t="s">
        <v>223</v>
      </c>
      <c r="S4027" s="345" t="s">
        <v>224</v>
      </c>
    </row>
    <row r="4028" spans="1:19" x14ac:dyDescent="0.25">
      <c r="A4028" s="311"/>
      <c r="B4028" s="312"/>
      <c r="C4028" s="312"/>
      <c r="D4028" s="312"/>
      <c r="E4028" s="312"/>
      <c r="F4028" s="312"/>
      <c r="G4028" s="328"/>
      <c r="H4028" s="337"/>
      <c r="I4028" s="334"/>
      <c r="J4028" s="314"/>
      <c r="K4028" s="449"/>
      <c r="M4028" s="349" t="str">
        <f>N4028&amp;AS[[#This Row],[Insurer Code]]&amp;"; "&amp;O4028&amp;AS[[#This Row],[Reporting Year]]&amp;"; "&amp;P4028&amp;AS[[#This Row],[Insurance Category Code]]&amp;"; "&amp;Q4028&amp;AS[[#This Row],[Large Provider Entity Code]]&amp;"; "&amp;R4028&amp;AS[[#This Row],[Age Band Code]]&amp;"; "&amp;S4028&amp;AS[[#This Row],[Sex Code]]</f>
        <v xml:space="preserve">Insurer Code ; Reporting Year ; Insurance Category Code ; Large Provider Entity Code ; Age Band Code ; Sex Code </v>
      </c>
      <c r="N4028" s="345" t="s">
        <v>207</v>
      </c>
      <c r="O4028" s="345" t="s">
        <v>208</v>
      </c>
      <c r="P4028" s="345" t="s">
        <v>209</v>
      </c>
      <c r="Q4028" s="345" t="s">
        <v>210</v>
      </c>
      <c r="R4028" s="345" t="s">
        <v>223</v>
      </c>
      <c r="S4028" s="345" t="s">
        <v>224</v>
      </c>
    </row>
    <row r="4029" spans="1:19" x14ac:dyDescent="0.25">
      <c r="A4029" s="311"/>
      <c r="B4029" s="312"/>
      <c r="C4029" s="312"/>
      <c r="D4029" s="312"/>
      <c r="E4029" s="312"/>
      <c r="F4029" s="312"/>
      <c r="G4029" s="328"/>
      <c r="H4029" s="337"/>
      <c r="I4029" s="334"/>
      <c r="J4029" s="314"/>
      <c r="K4029" s="449"/>
      <c r="M4029" s="349" t="str">
        <f>N4029&amp;AS[[#This Row],[Insurer Code]]&amp;"; "&amp;O4029&amp;AS[[#This Row],[Reporting Year]]&amp;"; "&amp;P4029&amp;AS[[#This Row],[Insurance Category Code]]&amp;"; "&amp;Q4029&amp;AS[[#This Row],[Large Provider Entity Code]]&amp;"; "&amp;R4029&amp;AS[[#This Row],[Age Band Code]]&amp;"; "&amp;S4029&amp;AS[[#This Row],[Sex Code]]</f>
        <v xml:space="preserve">Insurer Code ; Reporting Year ; Insurance Category Code ; Large Provider Entity Code ; Age Band Code ; Sex Code </v>
      </c>
      <c r="N4029" s="345" t="s">
        <v>207</v>
      </c>
      <c r="O4029" s="345" t="s">
        <v>208</v>
      </c>
      <c r="P4029" s="345" t="s">
        <v>209</v>
      </c>
      <c r="Q4029" s="345" t="s">
        <v>210</v>
      </c>
      <c r="R4029" s="345" t="s">
        <v>223</v>
      </c>
      <c r="S4029" s="345" t="s">
        <v>224</v>
      </c>
    </row>
    <row r="4030" spans="1:19" x14ac:dyDescent="0.25">
      <c r="A4030" s="311"/>
      <c r="B4030" s="312"/>
      <c r="C4030" s="312"/>
      <c r="D4030" s="312"/>
      <c r="E4030" s="312"/>
      <c r="F4030" s="312"/>
      <c r="G4030" s="328"/>
      <c r="H4030" s="337"/>
      <c r="I4030" s="334"/>
      <c r="J4030" s="314"/>
      <c r="K4030" s="449"/>
      <c r="M4030" s="349" t="str">
        <f>N4030&amp;AS[[#This Row],[Insurer Code]]&amp;"; "&amp;O4030&amp;AS[[#This Row],[Reporting Year]]&amp;"; "&amp;P4030&amp;AS[[#This Row],[Insurance Category Code]]&amp;"; "&amp;Q4030&amp;AS[[#This Row],[Large Provider Entity Code]]&amp;"; "&amp;R4030&amp;AS[[#This Row],[Age Band Code]]&amp;"; "&amp;S4030&amp;AS[[#This Row],[Sex Code]]</f>
        <v xml:space="preserve">Insurer Code ; Reporting Year ; Insurance Category Code ; Large Provider Entity Code ; Age Band Code ; Sex Code </v>
      </c>
      <c r="N4030" s="345" t="s">
        <v>207</v>
      </c>
      <c r="O4030" s="345" t="s">
        <v>208</v>
      </c>
      <c r="P4030" s="345" t="s">
        <v>209</v>
      </c>
      <c r="Q4030" s="345" t="s">
        <v>210</v>
      </c>
      <c r="R4030" s="345" t="s">
        <v>223</v>
      </c>
      <c r="S4030" s="345" t="s">
        <v>224</v>
      </c>
    </row>
    <row r="4031" spans="1:19" x14ac:dyDescent="0.25">
      <c r="A4031" s="311"/>
      <c r="B4031" s="312"/>
      <c r="C4031" s="312"/>
      <c r="D4031" s="312"/>
      <c r="E4031" s="312"/>
      <c r="F4031" s="312"/>
      <c r="G4031" s="328"/>
      <c r="H4031" s="337"/>
      <c r="I4031" s="334"/>
      <c r="J4031" s="314"/>
      <c r="K4031" s="449"/>
      <c r="M4031" s="349" t="str">
        <f>N4031&amp;AS[[#This Row],[Insurer Code]]&amp;"; "&amp;O4031&amp;AS[[#This Row],[Reporting Year]]&amp;"; "&amp;P4031&amp;AS[[#This Row],[Insurance Category Code]]&amp;"; "&amp;Q4031&amp;AS[[#This Row],[Large Provider Entity Code]]&amp;"; "&amp;R4031&amp;AS[[#This Row],[Age Band Code]]&amp;"; "&amp;S4031&amp;AS[[#This Row],[Sex Code]]</f>
        <v xml:space="preserve">Insurer Code ; Reporting Year ; Insurance Category Code ; Large Provider Entity Code ; Age Band Code ; Sex Code </v>
      </c>
      <c r="N4031" s="345" t="s">
        <v>207</v>
      </c>
      <c r="O4031" s="345" t="s">
        <v>208</v>
      </c>
      <c r="P4031" s="345" t="s">
        <v>209</v>
      </c>
      <c r="Q4031" s="345" t="s">
        <v>210</v>
      </c>
      <c r="R4031" s="345" t="s">
        <v>223</v>
      </c>
      <c r="S4031" s="345" t="s">
        <v>224</v>
      </c>
    </row>
    <row r="4032" spans="1:19" x14ac:dyDescent="0.25">
      <c r="A4032" s="311"/>
      <c r="B4032" s="312"/>
      <c r="C4032" s="312"/>
      <c r="D4032" s="312"/>
      <c r="E4032" s="312"/>
      <c r="F4032" s="312"/>
      <c r="G4032" s="328"/>
      <c r="H4032" s="337"/>
      <c r="I4032" s="334"/>
      <c r="J4032" s="314"/>
      <c r="K4032" s="449"/>
      <c r="M4032" s="349" t="str">
        <f>N4032&amp;AS[[#This Row],[Insurer Code]]&amp;"; "&amp;O4032&amp;AS[[#This Row],[Reporting Year]]&amp;"; "&amp;P4032&amp;AS[[#This Row],[Insurance Category Code]]&amp;"; "&amp;Q4032&amp;AS[[#This Row],[Large Provider Entity Code]]&amp;"; "&amp;R4032&amp;AS[[#This Row],[Age Band Code]]&amp;"; "&amp;S4032&amp;AS[[#This Row],[Sex Code]]</f>
        <v xml:space="preserve">Insurer Code ; Reporting Year ; Insurance Category Code ; Large Provider Entity Code ; Age Band Code ; Sex Code </v>
      </c>
      <c r="N4032" s="345" t="s">
        <v>207</v>
      </c>
      <c r="O4032" s="345" t="s">
        <v>208</v>
      </c>
      <c r="P4032" s="345" t="s">
        <v>209</v>
      </c>
      <c r="Q4032" s="345" t="s">
        <v>210</v>
      </c>
      <c r="R4032" s="345" t="s">
        <v>223</v>
      </c>
      <c r="S4032" s="345" t="s">
        <v>224</v>
      </c>
    </row>
    <row r="4033" spans="1:19" x14ac:dyDescent="0.25">
      <c r="A4033" s="311"/>
      <c r="B4033" s="312"/>
      <c r="C4033" s="312"/>
      <c r="D4033" s="312"/>
      <c r="E4033" s="312"/>
      <c r="F4033" s="312"/>
      <c r="G4033" s="328"/>
      <c r="H4033" s="337"/>
      <c r="I4033" s="334"/>
      <c r="J4033" s="314"/>
      <c r="K4033" s="449"/>
      <c r="M4033" s="349" t="str">
        <f>N4033&amp;AS[[#This Row],[Insurer Code]]&amp;"; "&amp;O4033&amp;AS[[#This Row],[Reporting Year]]&amp;"; "&amp;P4033&amp;AS[[#This Row],[Insurance Category Code]]&amp;"; "&amp;Q4033&amp;AS[[#This Row],[Large Provider Entity Code]]&amp;"; "&amp;R4033&amp;AS[[#This Row],[Age Band Code]]&amp;"; "&amp;S4033&amp;AS[[#This Row],[Sex Code]]</f>
        <v xml:space="preserve">Insurer Code ; Reporting Year ; Insurance Category Code ; Large Provider Entity Code ; Age Band Code ; Sex Code </v>
      </c>
      <c r="N4033" s="345" t="s">
        <v>207</v>
      </c>
      <c r="O4033" s="345" t="s">
        <v>208</v>
      </c>
      <c r="P4033" s="345" t="s">
        <v>209</v>
      </c>
      <c r="Q4033" s="345" t="s">
        <v>210</v>
      </c>
      <c r="R4033" s="345" t="s">
        <v>223</v>
      </c>
      <c r="S4033" s="345" t="s">
        <v>224</v>
      </c>
    </row>
    <row r="4034" spans="1:19" x14ac:dyDescent="0.25">
      <c r="A4034" s="311"/>
      <c r="B4034" s="312"/>
      <c r="C4034" s="312"/>
      <c r="D4034" s="312"/>
      <c r="E4034" s="312"/>
      <c r="F4034" s="312"/>
      <c r="G4034" s="328"/>
      <c r="H4034" s="337"/>
      <c r="I4034" s="334"/>
      <c r="J4034" s="314"/>
      <c r="K4034" s="449"/>
      <c r="M4034" s="349" t="str">
        <f>N4034&amp;AS[[#This Row],[Insurer Code]]&amp;"; "&amp;O4034&amp;AS[[#This Row],[Reporting Year]]&amp;"; "&amp;P4034&amp;AS[[#This Row],[Insurance Category Code]]&amp;"; "&amp;Q4034&amp;AS[[#This Row],[Large Provider Entity Code]]&amp;"; "&amp;R4034&amp;AS[[#This Row],[Age Band Code]]&amp;"; "&amp;S4034&amp;AS[[#This Row],[Sex Code]]</f>
        <v xml:space="preserve">Insurer Code ; Reporting Year ; Insurance Category Code ; Large Provider Entity Code ; Age Band Code ; Sex Code </v>
      </c>
      <c r="N4034" s="345" t="s">
        <v>207</v>
      </c>
      <c r="O4034" s="345" t="s">
        <v>208</v>
      </c>
      <c r="P4034" s="345" t="s">
        <v>209</v>
      </c>
      <c r="Q4034" s="345" t="s">
        <v>210</v>
      </c>
      <c r="R4034" s="345" t="s">
        <v>223</v>
      </c>
      <c r="S4034" s="345" t="s">
        <v>224</v>
      </c>
    </row>
    <row r="4035" spans="1:19" x14ac:dyDescent="0.25">
      <c r="A4035" s="311"/>
      <c r="B4035" s="312"/>
      <c r="C4035" s="312"/>
      <c r="D4035" s="312"/>
      <c r="E4035" s="312"/>
      <c r="F4035" s="312"/>
      <c r="G4035" s="328"/>
      <c r="H4035" s="337"/>
      <c r="I4035" s="334"/>
      <c r="J4035" s="314"/>
      <c r="K4035" s="449"/>
      <c r="M4035" s="349" t="str">
        <f>N4035&amp;AS[[#This Row],[Insurer Code]]&amp;"; "&amp;O4035&amp;AS[[#This Row],[Reporting Year]]&amp;"; "&amp;P4035&amp;AS[[#This Row],[Insurance Category Code]]&amp;"; "&amp;Q4035&amp;AS[[#This Row],[Large Provider Entity Code]]&amp;"; "&amp;R4035&amp;AS[[#This Row],[Age Band Code]]&amp;"; "&amp;S4035&amp;AS[[#This Row],[Sex Code]]</f>
        <v xml:space="preserve">Insurer Code ; Reporting Year ; Insurance Category Code ; Large Provider Entity Code ; Age Band Code ; Sex Code </v>
      </c>
      <c r="N4035" s="345" t="s">
        <v>207</v>
      </c>
      <c r="O4035" s="345" t="s">
        <v>208</v>
      </c>
      <c r="P4035" s="345" t="s">
        <v>209</v>
      </c>
      <c r="Q4035" s="345" t="s">
        <v>210</v>
      </c>
      <c r="R4035" s="345" t="s">
        <v>223</v>
      </c>
      <c r="S4035" s="345" t="s">
        <v>224</v>
      </c>
    </row>
    <row r="4036" spans="1:19" x14ac:dyDescent="0.25">
      <c r="A4036" s="311"/>
      <c r="B4036" s="312"/>
      <c r="C4036" s="312"/>
      <c r="D4036" s="312"/>
      <c r="E4036" s="312"/>
      <c r="F4036" s="312"/>
      <c r="G4036" s="328"/>
      <c r="H4036" s="337"/>
      <c r="I4036" s="334"/>
      <c r="J4036" s="314"/>
      <c r="K4036" s="449"/>
      <c r="M4036" s="349" t="str">
        <f>N4036&amp;AS[[#This Row],[Insurer Code]]&amp;"; "&amp;O4036&amp;AS[[#This Row],[Reporting Year]]&amp;"; "&amp;P4036&amp;AS[[#This Row],[Insurance Category Code]]&amp;"; "&amp;Q4036&amp;AS[[#This Row],[Large Provider Entity Code]]&amp;"; "&amp;R4036&amp;AS[[#This Row],[Age Band Code]]&amp;"; "&amp;S4036&amp;AS[[#This Row],[Sex Code]]</f>
        <v xml:space="preserve">Insurer Code ; Reporting Year ; Insurance Category Code ; Large Provider Entity Code ; Age Band Code ; Sex Code </v>
      </c>
      <c r="N4036" s="345" t="s">
        <v>207</v>
      </c>
      <c r="O4036" s="345" t="s">
        <v>208</v>
      </c>
      <c r="P4036" s="345" t="s">
        <v>209</v>
      </c>
      <c r="Q4036" s="345" t="s">
        <v>210</v>
      </c>
      <c r="R4036" s="345" t="s">
        <v>223</v>
      </c>
      <c r="S4036" s="345" t="s">
        <v>224</v>
      </c>
    </row>
    <row r="4037" spans="1:19" x14ac:dyDescent="0.25">
      <c r="A4037" s="311"/>
      <c r="B4037" s="312"/>
      <c r="C4037" s="312"/>
      <c r="D4037" s="312"/>
      <c r="E4037" s="312"/>
      <c r="F4037" s="312"/>
      <c r="G4037" s="328"/>
      <c r="H4037" s="337"/>
      <c r="I4037" s="334"/>
      <c r="J4037" s="314"/>
      <c r="K4037" s="449"/>
      <c r="M4037" s="349" t="str">
        <f>N4037&amp;AS[[#This Row],[Insurer Code]]&amp;"; "&amp;O4037&amp;AS[[#This Row],[Reporting Year]]&amp;"; "&amp;P4037&amp;AS[[#This Row],[Insurance Category Code]]&amp;"; "&amp;Q4037&amp;AS[[#This Row],[Large Provider Entity Code]]&amp;"; "&amp;R4037&amp;AS[[#This Row],[Age Band Code]]&amp;"; "&amp;S4037&amp;AS[[#This Row],[Sex Code]]</f>
        <v xml:space="preserve">Insurer Code ; Reporting Year ; Insurance Category Code ; Large Provider Entity Code ; Age Band Code ; Sex Code </v>
      </c>
      <c r="N4037" s="345" t="s">
        <v>207</v>
      </c>
      <c r="O4037" s="345" t="s">
        <v>208</v>
      </c>
      <c r="P4037" s="345" t="s">
        <v>209</v>
      </c>
      <c r="Q4037" s="345" t="s">
        <v>210</v>
      </c>
      <c r="R4037" s="345" t="s">
        <v>223</v>
      </c>
      <c r="S4037" s="345" t="s">
        <v>224</v>
      </c>
    </row>
    <row r="4038" spans="1:19" x14ac:dyDescent="0.25">
      <c r="A4038" s="311"/>
      <c r="B4038" s="312"/>
      <c r="C4038" s="312"/>
      <c r="D4038" s="312"/>
      <c r="E4038" s="312"/>
      <c r="F4038" s="312"/>
      <c r="G4038" s="328"/>
      <c r="H4038" s="337"/>
      <c r="I4038" s="334"/>
      <c r="J4038" s="314"/>
      <c r="K4038" s="449"/>
      <c r="M4038" s="349" t="str">
        <f>N4038&amp;AS[[#This Row],[Insurer Code]]&amp;"; "&amp;O4038&amp;AS[[#This Row],[Reporting Year]]&amp;"; "&amp;P4038&amp;AS[[#This Row],[Insurance Category Code]]&amp;"; "&amp;Q4038&amp;AS[[#This Row],[Large Provider Entity Code]]&amp;"; "&amp;R4038&amp;AS[[#This Row],[Age Band Code]]&amp;"; "&amp;S4038&amp;AS[[#This Row],[Sex Code]]</f>
        <v xml:space="preserve">Insurer Code ; Reporting Year ; Insurance Category Code ; Large Provider Entity Code ; Age Band Code ; Sex Code </v>
      </c>
      <c r="N4038" s="345" t="s">
        <v>207</v>
      </c>
      <c r="O4038" s="345" t="s">
        <v>208</v>
      </c>
      <c r="P4038" s="345" t="s">
        <v>209</v>
      </c>
      <c r="Q4038" s="345" t="s">
        <v>210</v>
      </c>
      <c r="R4038" s="345" t="s">
        <v>223</v>
      </c>
      <c r="S4038" s="345" t="s">
        <v>224</v>
      </c>
    </row>
    <row r="4039" spans="1:19" x14ac:dyDescent="0.25">
      <c r="A4039" s="311"/>
      <c r="B4039" s="312"/>
      <c r="C4039" s="312"/>
      <c r="D4039" s="312"/>
      <c r="E4039" s="312"/>
      <c r="F4039" s="312"/>
      <c r="G4039" s="328"/>
      <c r="H4039" s="337"/>
      <c r="I4039" s="334"/>
      <c r="J4039" s="314"/>
      <c r="K4039" s="449"/>
      <c r="M4039" s="349" t="str">
        <f>N4039&amp;AS[[#This Row],[Insurer Code]]&amp;"; "&amp;O4039&amp;AS[[#This Row],[Reporting Year]]&amp;"; "&amp;P4039&amp;AS[[#This Row],[Insurance Category Code]]&amp;"; "&amp;Q4039&amp;AS[[#This Row],[Large Provider Entity Code]]&amp;"; "&amp;R4039&amp;AS[[#This Row],[Age Band Code]]&amp;"; "&amp;S4039&amp;AS[[#This Row],[Sex Code]]</f>
        <v xml:space="preserve">Insurer Code ; Reporting Year ; Insurance Category Code ; Large Provider Entity Code ; Age Band Code ; Sex Code </v>
      </c>
      <c r="N4039" s="345" t="s">
        <v>207</v>
      </c>
      <c r="O4039" s="345" t="s">
        <v>208</v>
      </c>
      <c r="P4039" s="345" t="s">
        <v>209</v>
      </c>
      <c r="Q4039" s="345" t="s">
        <v>210</v>
      </c>
      <c r="R4039" s="345" t="s">
        <v>223</v>
      </c>
      <c r="S4039" s="345" t="s">
        <v>224</v>
      </c>
    </row>
    <row r="4040" spans="1:19" x14ac:dyDescent="0.25">
      <c r="A4040" s="311"/>
      <c r="B4040" s="312"/>
      <c r="C4040" s="312"/>
      <c r="D4040" s="312"/>
      <c r="E4040" s="312"/>
      <c r="F4040" s="312"/>
      <c r="G4040" s="328"/>
      <c r="H4040" s="337"/>
      <c r="I4040" s="334"/>
      <c r="J4040" s="314"/>
      <c r="K4040" s="449"/>
      <c r="M4040" s="349" t="str">
        <f>N4040&amp;AS[[#This Row],[Insurer Code]]&amp;"; "&amp;O4040&amp;AS[[#This Row],[Reporting Year]]&amp;"; "&amp;P4040&amp;AS[[#This Row],[Insurance Category Code]]&amp;"; "&amp;Q4040&amp;AS[[#This Row],[Large Provider Entity Code]]&amp;"; "&amp;R4040&amp;AS[[#This Row],[Age Band Code]]&amp;"; "&amp;S4040&amp;AS[[#This Row],[Sex Code]]</f>
        <v xml:space="preserve">Insurer Code ; Reporting Year ; Insurance Category Code ; Large Provider Entity Code ; Age Band Code ; Sex Code </v>
      </c>
      <c r="N4040" s="345" t="s">
        <v>207</v>
      </c>
      <c r="O4040" s="345" t="s">
        <v>208</v>
      </c>
      <c r="P4040" s="345" t="s">
        <v>209</v>
      </c>
      <c r="Q4040" s="345" t="s">
        <v>210</v>
      </c>
      <c r="R4040" s="345" t="s">
        <v>223</v>
      </c>
      <c r="S4040" s="345" t="s">
        <v>224</v>
      </c>
    </row>
    <row r="4041" spans="1:19" x14ac:dyDescent="0.25">
      <c r="A4041" s="311"/>
      <c r="B4041" s="312"/>
      <c r="C4041" s="312"/>
      <c r="D4041" s="312"/>
      <c r="E4041" s="312"/>
      <c r="F4041" s="312"/>
      <c r="G4041" s="328"/>
      <c r="H4041" s="337"/>
      <c r="I4041" s="334"/>
      <c r="J4041" s="314"/>
      <c r="K4041" s="449"/>
      <c r="M4041" s="349" t="str">
        <f>N4041&amp;AS[[#This Row],[Insurer Code]]&amp;"; "&amp;O4041&amp;AS[[#This Row],[Reporting Year]]&amp;"; "&amp;P4041&amp;AS[[#This Row],[Insurance Category Code]]&amp;"; "&amp;Q4041&amp;AS[[#This Row],[Large Provider Entity Code]]&amp;"; "&amp;R4041&amp;AS[[#This Row],[Age Band Code]]&amp;"; "&amp;S4041&amp;AS[[#This Row],[Sex Code]]</f>
        <v xml:space="preserve">Insurer Code ; Reporting Year ; Insurance Category Code ; Large Provider Entity Code ; Age Band Code ; Sex Code </v>
      </c>
      <c r="N4041" s="345" t="s">
        <v>207</v>
      </c>
      <c r="O4041" s="345" t="s">
        <v>208</v>
      </c>
      <c r="P4041" s="345" t="s">
        <v>209</v>
      </c>
      <c r="Q4041" s="345" t="s">
        <v>210</v>
      </c>
      <c r="R4041" s="345" t="s">
        <v>223</v>
      </c>
      <c r="S4041" s="345" t="s">
        <v>224</v>
      </c>
    </row>
    <row r="4042" spans="1:19" x14ac:dyDescent="0.25">
      <c r="A4042" s="311"/>
      <c r="B4042" s="312"/>
      <c r="C4042" s="312"/>
      <c r="D4042" s="312"/>
      <c r="E4042" s="312"/>
      <c r="F4042" s="312"/>
      <c r="G4042" s="328"/>
      <c r="H4042" s="337"/>
      <c r="I4042" s="334"/>
      <c r="J4042" s="314"/>
      <c r="K4042" s="449"/>
      <c r="M4042" s="349" t="str">
        <f>N4042&amp;AS[[#This Row],[Insurer Code]]&amp;"; "&amp;O4042&amp;AS[[#This Row],[Reporting Year]]&amp;"; "&amp;P4042&amp;AS[[#This Row],[Insurance Category Code]]&amp;"; "&amp;Q4042&amp;AS[[#This Row],[Large Provider Entity Code]]&amp;"; "&amp;R4042&amp;AS[[#This Row],[Age Band Code]]&amp;"; "&amp;S4042&amp;AS[[#This Row],[Sex Code]]</f>
        <v xml:space="preserve">Insurer Code ; Reporting Year ; Insurance Category Code ; Large Provider Entity Code ; Age Band Code ; Sex Code </v>
      </c>
      <c r="N4042" s="345" t="s">
        <v>207</v>
      </c>
      <c r="O4042" s="345" t="s">
        <v>208</v>
      </c>
      <c r="P4042" s="345" t="s">
        <v>209</v>
      </c>
      <c r="Q4042" s="345" t="s">
        <v>210</v>
      </c>
      <c r="R4042" s="345" t="s">
        <v>223</v>
      </c>
      <c r="S4042" s="345" t="s">
        <v>224</v>
      </c>
    </row>
    <row r="4043" spans="1:19" x14ac:dyDescent="0.25">
      <c r="A4043" s="311"/>
      <c r="B4043" s="312"/>
      <c r="C4043" s="312"/>
      <c r="D4043" s="312"/>
      <c r="E4043" s="312"/>
      <c r="F4043" s="312"/>
      <c r="G4043" s="328"/>
      <c r="H4043" s="337"/>
      <c r="I4043" s="334"/>
      <c r="J4043" s="314"/>
      <c r="K4043" s="449"/>
      <c r="M4043" s="349" t="str">
        <f>N4043&amp;AS[[#This Row],[Insurer Code]]&amp;"; "&amp;O4043&amp;AS[[#This Row],[Reporting Year]]&amp;"; "&amp;P4043&amp;AS[[#This Row],[Insurance Category Code]]&amp;"; "&amp;Q4043&amp;AS[[#This Row],[Large Provider Entity Code]]&amp;"; "&amp;R4043&amp;AS[[#This Row],[Age Band Code]]&amp;"; "&amp;S4043&amp;AS[[#This Row],[Sex Code]]</f>
        <v xml:space="preserve">Insurer Code ; Reporting Year ; Insurance Category Code ; Large Provider Entity Code ; Age Band Code ; Sex Code </v>
      </c>
      <c r="N4043" s="345" t="s">
        <v>207</v>
      </c>
      <c r="O4043" s="345" t="s">
        <v>208</v>
      </c>
      <c r="P4043" s="345" t="s">
        <v>209</v>
      </c>
      <c r="Q4043" s="345" t="s">
        <v>210</v>
      </c>
      <c r="R4043" s="345" t="s">
        <v>223</v>
      </c>
      <c r="S4043" s="345" t="s">
        <v>224</v>
      </c>
    </row>
    <row r="4044" spans="1:19" x14ac:dyDescent="0.25">
      <c r="A4044" s="311"/>
      <c r="B4044" s="312"/>
      <c r="C4044" s="312"/>
      <c r="D4044" s="312"/>
      <c r="E4044" s="312"/>
      <c r="F4044" s="312"/>
      <c r="G4044" s="328"/>
      <c r="H4044" s="337"/>
      <c r="I4044" s="334"/>
      <c r="J4044" s="314"/>
      <c r="K4044" s="449"/>
      <c r="M4044" s="349" t="str">
        <f>N4044&amp;AS[[#This Row],[Insurer Code]]&amp;"; "&amp;O4044&amp;AS[[#This Row],[Reporting Year]]&amp;"; "&amp;P4044&amp;AS[[#This Row],[Insurance Category Code]]&amp;"; "&amp;Q4044&amp;AS[[#This Row],[Large Provider Entity Code]]&amp;"; "&amp;R4044&amp;AS[[#This Row],[Age Band Code]]&amp;"; "&amp;S4044&amp;AS[[#This Row],[Sex Code]]</f>
        <v xml:space="preserve">Insurer Code ; Reporting Year ; Insurance Category Code ; Large Provider Entity Code ; Age Band Code ; Sex Code </v>
      </c>
      <c r="N4044" s="345" t="s">
        <v>207</v>
      </c>
      <c r="O4044" s="345" t="s">
        <v>208</v>
      </c>
      <c r="P4044" s="345" t="s">
        <v>209</v>
      </c>
      <c r="Q4044" s="345" t="s">
        <v>210</v>
      </c>
      <c r="R4044" s="345" t="s">
        <v>223</v>
      </c>
      <c r="S4044" s="345" t="s">
        <v>224</v>
      </c>
    </row>
    <row r="4045" spans="1:19" x14ac:dyDescent="0.25">
      <c r="A4045" s="311"/>
      <c r="B4045" s="312"/>
      <c r="C4045" s="312"/>
      <c r="D4045" s="312"/>
      <c r="E4045" s="312"/>
      <c r="F4045" s="312"/>
      <c r="G4045" s="328"/>
      <c r="H4045" s="337"/>
      <c r="I4045" s="334"/>
      <c r="J4045" s="314"/>
      <c r="K4045" s="449"/>
      <c r="M4045" s="349" t="str">
        <f>N4045&amp;AS[[#This Row],[Insurer Code]]&amp;"; "&amp;O4045&amp;AS[[#This Row],[Reporting Year]]&amp;"; "&amp;P4045&amp;AS[[#This Row],[Insurance Category Code]]&amp;"; "&amp;Q4045&amp;AS[[#This Row],[Large Provider Entity Code]]&amp;"; "&amp;R4045&amp;AS[[#This Row],[Age Band Code]]&amp;"; "&amp;S4045&amp;AS[[#This Row],[Sex Code]]</f>
        <v xml:space="preserve">Insurer Code ; Reporting Year ; Insurance Category Code ; Large Provider Entity Code ; Age Band Code ; Sex Code </v>
      </c>
      <c r="N4045" s="345" t="s">
        <v>207</v>
      </c>
      <c r="O4045" s="345" t="s">
        <v>208</v>
      </c>
      <c r="P4045" s="345" t="s">
        <v>209</v>
      </c>
      <c r="Q4045" s="345" t="s">
        <v>210</v>
      </c>
      <c r="R4045" s="345" t="s">
        <v>223</v>
      </c>
      <c r="S4045" s="345" t="s">
        <v>224</v>
      </c>
    </row>
    <row r="4046" spans="1:19" x14ac:dyDescent="0.25">
      <c r="A4046" s="311"/>
      <c r="B4046" s="312"/>
      <c r="C4046" s="312"/>
      <c r="D4046" s="312"/>
      <c r="E4046" s="312"/>
      <c r="F4046" s="312"/>
      <c r="G4046" s="328"/>
      <c r="H4046" s="337"/>
      <c r="I4046" s="334"/>
      <c r="J4046" s="314"/>
      <c r="K4046" s="449"/>
      <c r="M4046" s="349" t="str">
        <f>N4046&amp;AS[[#This Row],[Insurer Code]]&amp;"; "&amp;O4046&amp;AS[[#This Row],[Reporting Year]]&amp;"; "&amp;P4046&amp;AS[[#This Row],[Insurance Category Code]]&amp;"; "&amp;Q4046&amp;AS[[#This Row],[Large Provider Entity Code]]&amp;"; "&amp;R4046&amp;AS[[#This Row],[Age Band Code]]&amp;"; "&amp;S4046&amp;AS[[#This Row],[Sex Code]]</f>
        <v xml:space="preserve">Insurer Code ; Reporting Year ; Insurance Category Code ; Large Provider Entity Code ; Age Band Code ; Sex Code </v>
      </c>
      <c r="N4046" s="345" t="s">
        <v>207</v>
      </c>
      <c r="O4046" s="345" t="s">
        <v>208</v>
      </c>
      <c r="P4046" s="345" t="s">
        <v>209</v>
      </c>
      <c r="Q4046" s="345" t="s">
        <v>210</v>
      </c>
      <c r="R4046" s="345" t="s">
        <v>223</v>
      </c>
      <c r="S4046" s="345" t="s">
        <v>224</v>
      </c>
    </row>
    <row r="4047" spans="1:19" x14ac:dyDescent="0.25">
      <c r="A4047" s="311"/>
      <c r="B4047" s="312"/>
      <c r="C4047" s="312"/>
      <c r="D4047" s="312"/>
      <c r="E4047" s="312"/>
      <c r="F4047" s="312"/>
      <c r="G4047" s="328"/>
      <c r="H4047" s="337"/>
      <c r="I4047" s="334"/>
      <c r="J4047" s="314"/>
      <c r="K4047" s="449"/>
      <c r="M4047" s="349" t="str">
        <f>N4047&amp;AS[[#This Row],[Insurer Code]]&amp;"; "&amp;O4047&amp;AS[[#This Row],[Reporting Year]]&amp;"; "&amp;P4047&amp;AS[[#This Row],[Insurance Category Code]]&amp;"; "&amp;Q4047&amp;AS[[#This Row],[Large Provider Entity Code]]&amp;"; "&amp;R4047&amp;AS[[#This Row],[Age Band Code]]&amp;"; "&amp;S4047&amp;AS[[#This Row],[Sex Code]]</f>
        <v xml:space="preserve">Insurer Code ; Reporting Year ; Insurance Category Code ; Large Provider Entity Code ; Age Band Code ; Sex Code </v>
      </c>
      <c r="N4047" s="345" t="s">
        <v>207</v>
      </c>
      <c r="O4047" s="345" t="s">
        <v>208</v>
      </c>
      <c r="P4047" s="345" t="s">
        <v>209</v>
      </c>
      <c r="Q4047" s="345" t="s">
        <v>210</v>
      </c>
      <c r="R4047" s="345" t="s">
        <v>223</v>
      </c>
      <c r="S4047" s="345" t="s">
        <v>224</v>
      </c>
    </row>
    <row r="4048" spans="1:19" x14ac:dyDescent="0.25">
      <c r="A4048" s="311"/>
      <c r="B4048" s="312"/>
      <c r="C4048" s="312"/>
      <c r="D4048" s="312"/>
      <c r="E4048" s="312"/>
      <c r="F4048" s="312"/>
      <c r="G4048" s="328"/>
      <c r="H4048" s="337"/>
      <c r="I4048" s="334"/>
      <c r="J4048" s="314"/>
      <c r="K4048" s="449"/>
      <c r="M4048" s="349" t="str">
        <f>N4048&amp;AS[[#This Row],[Insurer Code]]&amp;"; "&amp;O4048&amp;AS[[#This Row],[Reporting Year]]&amp;"; "&amp;P4048&amp;AS[[#This Row],[Insurance Category Code]]&amp;"; "&amp;Q4048&amp;AS[[#This Row],[Large Provider Entity Code]]&amp;"; "&amp;R4048&amp;AS[[#This Row],[Age Band Code]]&amp;"; "&amp;S4048&amp;AS[[#This Row],[Sex Code]]</f>
        <v xml:space="preserve">Insurer Code ; Reporting Year ; Insurance Category Code ; Large Provider Entity Code ; Age Band Code ; Sex Code </v>
      </c>
      <c r="N4048" s="345" t="s">
        <v>207</v>
      </c>
      <c r="O4048" s="345" t="s">
        <v>208</v>
      </c>
      <c r="P4048" s="345" t="s">
        <v>209</v>
      </c>
      <c r="Q4048" s="345" t="s">
        <v>210</v>
      </c>
      <c r="R4048" s="345" t="s">
        <v>223</v>
      </c>
      <c r="S4048" s="345" t="s">
        <v>224</v>
      </c>
    </row>
    <row r="4049" spans="1:19" x14ac:dyDescent="0.25">
      <c r="A4049" s="311"/>
      <c r="B4049" s="312"/>
      <c r="C4049" s="312"/>
      <c r="D4049" s="312"/>
      <c r="E4049" s="312"/>
      <c r="F4049" s="312"/>
      <c r="G4049" s="328"/>
      <c r="H4049" s="337"/>
      <c r="I4049" s="334"/>
      <c r="J4049" s="314"/>
      <c r="K4049" s="449"/>
      <c r="M4049" s="349" t="str">
        <f>N4049&amp;AS[[#This Row],[Insurer Code]]&amp;"; "&amp;O4049&amp;AS[[#This Row],[Reporting Year]]&amp;"; "&amp;P4049&amp;AS[[#This Row],[Insurance Category Code]]&amp;"; "&amp;Q4049&amp;AS[[#This Row],[Large Provider Entity Code]]&amp;"; "&amp;R4049&amp;AS[[#This Row],[Age Band Code]]&amp;"; "&amp;S4049&amp;AS[[#This Row],[Sex Code]]</f>
        <v xml:space="preserve">Insurer Code ; Reporting Year ; Insurance Category Code ; Large Provider Entity Code ; Age Band Code ; Sex Code </v>
      </c>
      <c r="N4049" s="345" t="s">
        <v>207</v>
      </c>
      <c r="O4049" s="345" t="s">
        <v>208</v>
      </c>
      <c r="P4049" s="345" t="s">
        <v>209</v>
      </c>
      <c r="Q4049" s="345" t="s">
        <v>210</v>
      </c>
      <c r="R4049" s="345" t="s">
        <v>223</v>
      </c>
      <c r="S4049" s="345" t="s">
        <v>224</v>
      </c>
    </row>
    <row r="4050" spans="1:19" x14ac:dyDescent="0.25">
      <c r="A4050" s="311"/>
      <c r="B4050" s="312"/>
      <c r="C4050" s="312"/>
      <c r="D4050" s="312"/>
      <c r="E4050" s="312"/>
      <c r="F4050" s="312"/>
      <c r="G4050" s="328"/>
      <c r="H4050" s="337"/>
      <c r="I4050" s="334"/>
      <c r="J4050" s="314"/>
      <c r="K4050" s="449"/>
      <c r="M4050" s="349" t="str">
        <f>N4050&amp;AS[[#This Row],[Insurer Code]]&amp;"; "&amp;O4050&amp;AS[[#This Row],[Reporting Year]]&amp;"; "&amp;P4050&amp;AS[[#This Row],[Insurance Category Code]]&amp;"; "&amp;Q4050&amp;AS[[#This Row],[Large Provider Entity Code]]&amp;"; "&amp;R4050&amp;AS[[#This Row],[Age Band Code]]&amp;"; "&amp;S4050&amp;AS[[#This Row],[Sex Code]]</f>
        <v xml:space="preserve">Insurer Code ; Reporting Year ; Insurance Category Code ; Large Provider Entity Code ; Age Band Code ; Sex Code </v>
      </c>
      <c r="N4050" s="345" t="s">
        <v>207</v>
      </c>
      <c r="O4050" s="345" t="s">
        <v>208</v>
      </c>
      <c r="P4050" s="345" t="s">
        <v>209</v>
      </c>
      <c r="Q4050" s="345" t="s">
        <v>210</v>
      </c>
      <c r="R4050" s="345" t="s">
        <v>223</v>
      </c>
      <c r="S4050" s="345" t="s">
        <v>224</v>
      </c>
    </row>
    <row r="4051" spans="1:19" x14ac:dyDescent="0.25">
      <c r="A4051" s="311"/>
      <c r="B4051" s="312"/>
      <c r="C4051" s="312"/>
      <c r="D4051" s="312"/>
      <c r="E4051" s="312"/>
      <c r="F4051" s="312"/>
      <c r="G4051" s="328"/>
      <c r="H4051" s="337"/>
      <c r="I4051" s="334"/>
      <c r="J4051" s="314"/>
      <c r="K4051" s="449"/>
      <c r="M4051" s="349" t="str">
        <f>N4051&amp;AS[[#This Row],[Insurer Code]]&amp;"; "&amp;O4051&amp;AS[[#This Row],[Reporting Year]]&amp;"; "&amp;P4051&amp;AS[[#This Row],[Insurance Category Code]]&amp;"; "&amp;Q4051&amp;AS[[#This Row],[Large Provider Entity Code]]&amp;"; "&amp;R4051&amp;AS[[#This Row],[Age Band Code]]&amp;"; "&amp;S4051&amp;AS[[#This Row],[Sex Code]]</f>
        <v xml:space="preserve">Insurer Code ; Reporting Year ; Insurance Category Code ; Large Provider Entity Code ; Age Band Code ; Sex Code </v>
      </c>
      <c r="N4051" s="345" t="s">
        <v>207</v>
      </c>
      <c r="O4051" s="345" t="s">
        <v>208</v>
      </c>
      <c r="P4051" s="345" t="s">
        <v>209</v>
      </c>
      <c r="Q4051" s="345" t="s">
        <v>210</v>
      </c>
      <c r="R4051" s="345" t="s">
        <v>223</v>
      </c>
      <c r="S4051" s="345" t="s">
        <v>224</v>
      </c>
    </row>
    <row r="4052" spans="1:19" x14ac:dyDescent="0.25">
      <c r="A4052" s="311"/>
      <c r="B4052" s="312"/>
      <c r="C4052" s="312"/>
      <c r="D4052" s="312"/>
      <c r="E4052" s="312"/>
      <c r="F4052" s="312"/>
      <c r="G4052" s="328"/>
      <c r="H4052" s="337"/>
      <c r="I4052" s="334"/>
      <c r="J4052" s="314"/>
      <c r="K4052" s="449"/>
      <c r="M4052" s="349" t="str">
        <f>N4052&amp;AS[[#This Row],[Insurer Code]]&amp;"; "&amp;O4052&amp;AS[[#This Row],[Reporting Year]]&amp;"; "&amp;P4052&amp;AS[[#This Row],[Insurance Category Code]]&amp;"; "&amp;Q4052&amp;AS[[#This Row],[Large Provider Entity Code]]&amp;"; "&amp;R4052&amp;AS[[#This Row],[Age Band Code]]&amp;"; "&amp;S4052&amp;AS[[#This Row],[Sex Code]]</f>
        <v xml:space="preserve">Insurer Code ; Reporting Year ; Insurance Category Code ; Large Provider Entity Code ; Age Band Code ; Sex Code </v>
      </c>
      <c r="N4052" s="345" t="s">
        <v>207</v>
      </c>
      <c r="O4052" s="345" t="s">
        <v>208</v>
      </c>
      <c r="P4052" s="345" t="s">
        <v>209</v>
      </c>
      <c r="Q4052" s="345" t="s">
        <v>210</v>
      </c>
      <c r="R4052" s="345" t="s">
        <v>223</v>
      </c>
      <c r="S4052" s="345" t="s">
        <v>224</v>
      </c>
    </row>
    <row r="4053" spans="1:19" x14ac:dyDescent="0.25">
      <c r="A4053" s="311"/>
      <c r="B4053" s="312"/>
      <c r="C4053" s="312"/>
      <c r="D4053" s="312"/>
      <c r="E4053" s="312"/>
      <c r="F4053" s="312"/>
      <c r="G4053" s="328"/>
      <c r="H4053" s="337"/>
      <c r="I4053" s="334"/>
      <c r="J4053" s="314"/>
      <c r="K4053" s="449"/>
      <c r="M4053" s="349" t="str">
        <f>N4053&amp;AS[[#This Row],[Insurer Code]]&amp;"; "&amp;O4053&amp;AS[[#This Row],[Reporting Year]]&amp;"; "&amp;P4053&amp;AS[[#This Row],[Insurance Category Code]]&amp;"; "&amp;Q4053&amp;AS[[#This Row],[Large Provider Entity Code]]&amp;"; "&amp;R4053&amp;AS[[#This Row],[Age Band Code]]&amp;"; "&amp;S4053&amp;AS[[#This Row],[Sex Code]]</f>
        <v xml:space="preserve">Insurer Code ; Reporting Year ; Insurance Category Code ; Large Provider Entity Code ; Age Band Code ; Sex Code </v>
      </c>
      <c r="N4053" s="345" t="s">
        <v>207</v>
      </c>
      <c r="O4053" s="345" t="s">
        <v>208</v>
      </c>
      <c r="P4053" s="345" t="s">
        <v>209</v>
      </c>
      <c r="Q4053" s="345" t="s">
        <v>210</v>
      </c>
      <c r="R4053" s="345" t="s">
        <v>223</v>
      </c>
      <c r="S4053" s="345" t="s">
        <v>224</v>
      </c>
    </row>
    <row r="4054" spans="1:19" x14ac:dyDescent="0.25">
      <c r="A4054" s="311"/>
      <c r="B4054" s="312"/>
      <c r="C4054" s="312"/>
      <c r="D4054" s="312"/>
      <c r="E4054" s="312"/>
      <c r="F4054" s="312"/>
      <c r="G4054" s="328"/>
      <c r="H4054" s="337"/>
      <c r="I4054" s="334"/>
      <c r="J4054" s="314"/>
      <c r="K4054" s="449"/>
      <c r="M4054" s="349" t="str">
        <f>N4054&amp;AS[[#This Row],[Insurer Code]]&amp;"; "&amp;O4054&amp;AS[[#This Row],[Reporting Year]]&amp;"; "&amp;P4054&amp;AS[[#This Row],[Insurance Category Code]]&amp;"; "&amp;Q4054&amp;AS[[#This Row],[Large Provider Entity Code]]&amp;"; "&amp;R4054&amp;AS[[#This Row],[Age Band Code]]&amp;"; "&amp;S4054&amp;AS[[#This Row],[Sex Code]]</f>
        <v xml:space="preserve">Insurer Code ; Reporting Year ; Insurance Category Code ; Large Provider Entity Code ; Age Band Code ; Sex Code </v>
      </c>
      <c r="N4054" s="345" t="s">
        <v>207</v>
      </c>
      <c r="O4054" s="345" t="s">
        <v>208</v>
      </c>
      <c r="P4054" s="345" t="s">
        <v>209</v>
      </c>
      <c r="Q4054" s="345" t="s">
        <v>210</v>
      </c>
      <c r="R4054" s="345" t="s">
        <v>223</v>
      </c>
      <c r="S4054" s="345" t="s">
        <v>224</v>
      </c>
    </row>
    <row r="4055" spans="1:19" x14ac:dyDescent="0.25">
      <c r="A4055" s="311"/>
      <c r="B4055" s="312"/>
      <c r="C4055" s="312"/>
      <c r="D4055" s="312"/>
      <c r="E4055" s="312"/>
      <c r="F4055" s="312"/>
      <c r="G4055" s="328"/>
      <c r="H4055" s="337"/>
      <c r="I4055" s="334"/>
      <c r="J4055" s="314"/>
      <c r="K4055" s="449"/>
      <c r="M4055" s="349" t="str">
        <f>N4055&amp;AS[[#This Row],[Insurer Code]]&amp;"; "&amp;O4055&amp;AS[[#This Row],[Reporting Year]]&amp;"; "&amp;P4055&amp;AS[[#This Row],[Insurance Category Code]]&amp;"; "&amp;Q4055&amp;AS[[#This Row],[Large Provider Entity Code]]&amp;"; "&amp;R4055&amp;AS[[#This Row],[Age Band Code]]&amp;"; "&amp;S4055&amp;AS[[#This Row],[Sex Code]]</f>
        <v xml:space="preserve">Insurer Code ; Reporting Year ; Insurance Category Code ; Large Provider Entity Code ; Age Band Code ; Sex Code </v>
      </c>
      <c r="N4055" s="345" t="s">
        <v>207</v>
      </c>
      <c r="O4055" s="345" t="s">
        <v>208</v>
      </c>
      <c r="P4055" s="345" t="s">
        <v>209</v>
      </c>
      <c r="Q4055" s="345" t="s">
        <v>210</v>
      </c>
      <c r="R4055" s="345" t="s">
        <v>223</v>
      </c>
      <c r="S4055" s="345" t="s">
        <v>224</v>
      </c>
    </row>
    <row r="4056" spans="1:19" x14ac:dyDescent="0.25">
      <c r="A4056" s="311"/>
      <c r="B4056" s="312"/>
      <c r="C4056" s="312"/>
      <c r="D4056" s="312"/>
      <c r="E4056" s="312"/>
      <c r="F4056" s="312"/>
      <c r="G4056" s="328"/>
      <c r="H4056" s="337"/>
      <c r="I4056" s="334"/>
      <c r="J4056" s="314"/>
      <c r="K4056" s="449"/>
      <c r="M4056" s="349" t="str">
        <f>N4056&amp;AS[[#This Row],[Insurer Code]]&amp;"; "&amp;O4056&amp;AS[[#This Row],[Reporting Year]]&amp;"; "&amp;P4056&amp;AS[[#This Row],[Insurance Category Code]]&amp;"; "&amp;Q4056&amp;AS[[#This Row],[Large Provider Entity Code]]&amp;"; "&amp;R4056&amp;AS[[#This Row],[Age Band Code]]&amp;"; "&amp;S4056&amp;AS[[#This Row],[Sex Code]]</f>
        <v xml:space="preserve">Insurer Code ; Reporting Year ; Insurance Category Code ; Large Provider Entity Code ; Age Band Code ; Sex Code </v>
      </c>
      <c r="N4056" s="345" t="s">
        <v>207</v>
      </c>
      <c r="O4056" s="345" t="s">
        <v>208</v>
      </c>
      <c r="P4056" s="345" t="s">
        <v>209</v>
      </c>
      <c r="Q4056" s="345" t="s">
        <v>210</v>
      </c>
      <c r="R4056" s="345" t="s">
        <v>223</v>
      </c>
      <c r="S4056" s="345" t="s">
        <v>224</v>
      </c>
    </row>
    <row r="4057" spans="1:19" x14ac:dyDescent="0.25">
      <c r="A4057" s="311"/>
      <c r="B4057" s="312"/>
      <c r="C4057" s="312"/>
      <c r="D4057" s="312"/>
      <c r="E4057" s="312"/>
      <c r="F4057" s="312"/>
      <c r="G4057" s="328"/>
      <c r="H4057" s="337"/>
      <c r="I4057" s="334"/>
      <c r="J4057" s="314"/>
      <c r="K4057" s="449"/>
      <c r="M4057" s="349" t="str">
        <f>N4057&amp;AS[[#This Row],[Insurer Code]]&amp;"; "&amp;O4057&amp;AS[[#This Row],[Reporting Year]]&amp;"; "&amp;P4057&amp;AS[[#This Row],[Insurance Category Code]]&amp;"; "&amp;Q4057&amp;AS[[#This Row],[Large Provider Entity Code]]&amp;"; "&amp;R4057&amp;AS[[#This Row],[Age Band Code]]&amp;"; "&amp;S4057&amp;AS[[#This Row],[Sex Code]]</f>
        <v xml:space="preserve">Insurer Code ; Reporting Year ; Insurance Category Code ; Large Provider Entity Code ; Age Band Code ; Sex Code </v>
      </c>
      <c r="N4057" s="345" t="s">
        <v>207</v>
      </c>
      <c r="O4057" s="345" t="s">
        <v>208</v>
      </c>
      <c r="P4057" s="345" t="s">
        <v>209</v>
      </c>
      <c r="Q4057" s="345" t="s">
        <v>210</v>
      </c>
      <c r="R4057" s="345" t="s">
        <v>223</v>
      </c>
      <c r="S4057" s="345" t="s">
        <v>224</v>
      </c>
    </row>
    <row r="4058" spans="1:19" x14ac:dyDescent="0.25">
      <c r="A4058" s="311"/>
      <c r="B4058" s="312"/>
      <c r="C4058" s="312"/>
      <c r="D4058" s="312"/>
      <c r="E4058" s="312"/>
      <c r="F4058" s="312"/>
      <c r="G4058" s="328"/>
      <c r="H4058" s="337"/>
      <c r="I4058" s="334"/>
      <c r="J4058" s="314"/>
      <c r="K4058" s="449"/>
      <c r="M4058" s="349" t="str">
        <f>N4058&amp;AS[[#This Row],[Insurer Code]]&amp;"; "&amp;O4058&amp;AS[[#This Row],[Reporting Year]]&amp;"; "&amp;P4058&amp;AS[[#This Row],[Insurance Category Code]]&amp;"; "&amp;Q4058&amp;AS[[#This Row],[Large Provider Entity Code]]&amp;"; "&amp;R4058&amp;AS[[#This Row],[Age Band Code]]&amp;"; "&amp;S4058&amp;AS[[#This Row],[Sex Code]]</f>
        <v xml:space="preserve">Insurer Code ; Reporting Year ; Insurance Category Code ; Large Provider Entity Code ; Age Band Code ; Sex Code </v>
      </c>
      <c r="N4058" s="345" t="s">
        <v>207</v>
      </c>
      <c r="O4058" s="345" t="s">
        <v>208</v>
      </c>
      <c r="P4058" s="345" t="s">
        <v>209</v>
      </c>
      <c r="Q4058" s="345" t="s">
        <v>210</v>
      </c>
      <c r="R4058" s="345" t="s">
        <v>223</v>
      </c>
      <c r="S4058" s="345" t="s">
        <v>224</v>
      </c>
    </row>
    <row r="4059" spans="1:19" x14ac:dyDescent="0.25">
      <c r="A4059" s="311"/>
      <c r="B4059" s="312"/>
      <c r="C4059" s="312"/>
      <c r="D4059" s="312"/>
      <c r="E4059" s="312"/>
      <c r="F4059" s="312"/>
      <c r="G4059" s="328"/>
      <c r="H4059" s="337"/>
      <c r="I4059" s="334"/>
      <c r="J4059" s="314"/>
      <c r="K4059" s="449"/>
      <c r="M4059" s="349" t="str">
        <f>N4059&amp;AS[[#This Row],[Insurer Code]]&amp;"; "&amp;O4059&amp;AS[[#This Row],[Reporting Year]]&amp;"; "&amp;P4059&amp;AS[[#This Row],[Insurance Category Code]]&amp;"; "&amp;Q4059&amp;AS[[#This Row],[Large Provider Entity Code]]&amp;"; "&amp;R4059&amp;AS[[#This Row],[Age Band Code]]&amp;"; "&amp;S4059&amp;AS[[#This Row],[Sex Code]]</f>
        <v xml:space="preserve">Insurer Code ; Reporting Year ; Insurance Category Code ; Large Provider Entity Code ; Age Band Code ; Sex Code </v>
      </c>
      <c r="N4059" s="345" t="s">
        <v>207</v>
      </c>
      <c r="O4059" s="345" t="s">
        <v>208</v>
      </c>
      <c r="P4059" s="345" t="s">
        <v>209</v>
      </c>
      <c r="Q4059" s="345" t="s">
        <v>210</v>
      </c>
      <c r="R4059" s="345" t="s">
        <v>223</v>
      </c>
      <c r="S4059" s="345" t="s">
        <v>224</v>
      </c>
    </row>
    <row r="4060" spans="1:19" x14ac:dyDescent="0.25">
      <c r="A4060" s="311"/>
      <c r="B4060" s="312"/>
      <c r="C4060" s="312"/>
      <c r="D4060" s="312"/>
      <c r="E4060" s="312"/>
      <c r="F4060" s="312"/>
      <c r="G4060" s="328"/>
      <c r="H4060" s="337"/>
      <c r="I4060" s="334"/>
      <c r="J4060" s="314"/>
      <c r="K4060" s="449"/>
      <c r="M4060" s="349" t="str">
        <f>N4060&amp;AS[[#This Row],[Insurer Code]]&amp;"; "&amp;O4060&amp;AS[[#This Row],[Reporting Year]]&amp;"; "&amp;P4060&amp;AS[[#This Row],[Insurance Category Code]]&amp;"; "&amp;Q4060&amp;AS[[#This Row],[Large Provider Entity Code]]&amp;"; "&amp;R4060&amp;AS[[#This Row],[Age Band Code]]&amp;"; "&amp;S4060&amp;AS[[#This Row],[Sex Code]]</f>
        <v xml:space="preserve">Insurer Code ; Reporting Year ; Insurance Category Code ; Large Provider Entity Code ; Age Band Code ; Sex Code </v>
      </c>
      <c r="N4060" s="345" t="s">
        <v>207</v>
      </c>
      <c r="O4060" s="345" t="s">
        <v>208</v>
      </c>
      <c r="P4060" s="345" t="s">
        <v>209</v>
      </c>
      <c r="Q4060" s="345" t="s">
        <v>210</v>
      </c>
      <c r="R4060" s="345" t="s">
        <v>223</v>
      </c>
      <c r="S4060" s="345" t="s">
        <v>224</v>
      </c>
    </row>
    <row r="4061" spans="1:19" x14ac:dyDescent="0.25">
      <c r="A4061" s="311"/>
      <c r="B4061" s="312"/>
      <c r="C4061" s="312"/>
      <c r="D4061" s="312"/>
      <c r="E4061" s="312"/>
      <c r="F4061" s="312"/>
      <c r="G4061" s="328"/>
      <c r="H4061" s="337"/>
      <c r="I4061" s="334"/>
      <c r="J4061" s="314"/>
      <c r="K4061" s="449"/>
      <c r="M4061" s="349" t="str">
        <f>N4061&amp;AS[[#This Row],[Insurer Code]]&amp;"; "&amp;O4061&amp;AS[[#This Row],[Reporting Year]]&amp;"; "&amp;P4061&amp;AS[[#This Row],[Insurance Category Code]]&amp;"; "&amp;Q4061&amp;AS[[#This Row],[Large Provider Entity Code]]&amp;"; "&amp;R4061&amp;AS[[#This Row],[Age Band Code]]&amp;"; "&amp;S4061&amp;AS[[#This Row],[Sex Code]]</f>
        <v xml:space="preserve">Insurer Code ; Reporting Year ; Insurance Category Code ; Large Provider Entity Code ; Age Band Code ; Sex Code </v>
      </c>
      <c r="N4061" s="345" t="s">
        <v>207</v>
      </c>
      <c r="O4061" s="345" t="s">
        <v>208</v>
      </c>
      <c r="P4061" s="345" t="s">
        <v>209</v>
      </c>
      <c r="Q4061" s="345" t="s">
        <v>210</v>
      </c>
      <c r="R4061" s="345" t="s">
        <v>223</v>
      </c>
      <c r="S4061" s="345" t="s">
        <v>224</v>
      </c>
    </row>
    <row r="4062" spans="1:19" x14ac:dyDescent="0.25">
      <c r="A4062" s="311"/>
      <c r="B4062" s="312"/>
      <c r="C4062" s="312"/>
      <c r="D4062" s="312"/>
      <c r="E4062" s="312"/>
      <c r="F4062" s="312"/>
      <c r="G4062" s="328"/>
      <c r="H4062" s="337"/>
      <c r="I4062" s="334"/>
      <c r="J4062" s="314"/>
      <c r="K4062" s="449"/>
      <c r="M4062" s="349" t="str">
        <f>N4062&amp;AS[[#This Row],[Insurer Code]]&amp;"; "&amp;O4062&amp;AS[[#This Row],[Reporting Year]]&amp;"; "&amp;P4062&amp;AS[[#This Row],[Insurance Category Code]]&amp;"; "&amp;Q4062&amp;AS[[#This Row],[Large Provider Entity Code]]&amp;"; "&amp;R4062&amp;AS[[#This Row],[Age Band Code]]&amp;"; "&amp;S4062&amp;AS[[#This Row],[Sex Code]]</f>
        <v xml:space="preserve">Insurer Code ; Reporting Year ; Insurance Category Code ; Large Provider Entity Code ; Age Band Code ; Sex Code </v>
      </c>
      <c r="N4062" s="345" t="s">
        <v>207</v>
      </c>
      <c r="O4062" s="345" t="s">
        <v>208</v>
      </c>
      <c r="P4062" s="345" t="s">
        <v>209</v>
      </c>
      <c r="Q4062" s="345" t="s">
        <v>210</v>
      </c>
      <c r="R4062" s="345" t="s">
        <v>223</v>
      </c>
      <c r="S4062" s="345" t="s">
        <v>224</v>
      </c>
    </row>
    <row r="4063" spans="1:19" x14ac:dyDescent="0.25">
      <c r="A4063" s="311"/>
      <c r="B4063" s="312"/>
      <c r="C4063" s="312"/>
      <c r="D4063" s="312"/>
      <c r="E4063" s="312"/>
      <c r="F4063" s="312"/>
      <c r="G4063" s="328"/>
      <c r="H4063" s="337"/>
      <c r="I4063" s="334"/>
      <c r="J4063" s="314"/>
      <c r="K4063" s="449"/>
      <c r="M4063" s="349" t="str">
        <f>N4063&amp;AS[[#This Row],[Insurer Code]]&amp;"; "&amp;O4063&amp;AS[[#This Row],[Reporting Year]]&amp;"; "&amp;P4063&amp;AS[[#This Row],[Insurance Category Code]]&amp;"; "&amp;Q4063&amp;AS[[#This Row],[Large Provider Entity Code]]&amp;"; "&amp;R4063&amp;AS[[#This Row],[Age Band Code]]&amp;"; "&amp;S4063&amp;AS[[#This Row],[Sex Code]]</f>
        <v xml:space="preserve">Insurer Code ; Reporting Year ; Insurance Category Code ; Large Provider Entity Code ; Age Band Code ; Sex Code </v>
      </c>
      <c r="N4063" s="345" t="s">
        <v>207</v>
      </c>
      <c r="O4063" s="345" t="s">
        <v>208</v>
      </c>
      <c r="P4063" s="345" t="s">
        <v>209</v>
      </c>
      <c r="Q4063" s="345" t="s">
        <v>210</v>
      </c>
      <c r="R4063" s="345" t="s">
        <v>223</v>
      </c>
      <c r="S4063" s="345" t="s">
        <v>224</v>
      </c>
    </row>
    <row r="4064" spans="1:19" x14ac:dyDescent="0.25">
      <c r="A4064" s="311"/>
      <c r="B4064" s="312"/>
      <c r="C4064" s="312"/>
      <c r="D4064" s="312"/>
      <c r="E4064" s="312"/>
      <c r="F4064" s="312"/>
      <c r="G4064" s="328"/>
      <c r="H4064" s="337"/>
      <c r="I4064" s="334"/>
      <c r="J4064" s="314"/>
      <c r="K4064" s="449"/>
      <c r="M4064" s="349" t="str">
        <f>N4064&amp;AS[[#This Row],[Insurer Code]]&amp;"; "&amp;O4064&amp;AS[[#This Row],[Reporting Year]]&amp;"; "&amp;P4064&amp;AS[[#This Row],[Insurance Category Code]]&amp;"; "&amp;Q4064&amp;AS[[#This Row],[Large Provider Entity Code]]&amp;"; "&amp;R4064&amp;AS[[#This Row],[Age Band Code]]&amp;"; "&amp;S4064&amp;AS[[#This Row],[Sex Code]]</f>
        <v xml:space="preserve">Insurer Code ; Reporting Year ; Insurance Category Code ; Large Provider Entity Code ; Age Band Code ; Sex Code </v>
      </c>
      <c r="N4064" s="345" t="s">
        <v>207</v>
      </c>
      <c r="O4064" s="345" t="s">
        <v>208</v>
      </c>
      <c r="P4064" s="345" t="s">
        <v>209</v>
      </c>
      <c r="Q4064" s="345" t="s">
        <v>210</v>
      </c>
      <c r="R4064" s="345" t="s">
        <v>223</v>
      </c>
      <c r="S4064" s="345" t="s">
        <v>224</v>
      </c>
    </row>
    <row r="4065" spans="1:19" x14ac:dyDescent="0.25">
      <c r="A4065" s="311"/>
      <c r="B4065" s="312"/>
      <c r="C4065" s="312"/>
      <c r="D4065" s="312"/>
      <c r="E4065" s="312"/>
      <c r="F4065" s="312"/>
      <c r="G4065" s="328"/>
      <c r="H4065" s="337"/>
      <c r="I4065" s="334"/>
      <c r="J4065" s="314"/>
      <c r="K4065" s="449"/>
      <c r="M4065" s="349" t="str">
        <f>N4065&amp;AS[[#This Row],[Insurer Code]]&amp;"; "&amp;O4065&amp;AS[[#This Row],[Reporting Year]]&amp;"; "&amp;P4065&amp;AS[[#This Row],[Insurance Category Code]]&amp;"; "&amp;Q4065&amp;AS[[#This Row],[Large Provider Entity Code]]&amp;"; "&amp;R4065&amp;AS[[#This Row],[Age Band Code]]&amp;"; "&amp;S4065&amp;AS[[#This Row],[Sex Code]]</f>
        <v xml:space="preserve">Insurer Code ; Reporting Year ; Insurance Category Code ; Large Provider Entity Code ; Age Band Code ; Sex Code </v>
      </c>
      <c r="N4065" s="345" t="s">
        <v>207</v>
      </c>
      <c r="O4065" s="345" t="s">
        <v>208</v>
      </c>
      <c r="P4065" s="345" t="s">
        <v>209</v>
      </c>
      <c r="Q4065" s="345" t="s">
        <v>210</v>
      </c>
      <c r="R4065" s="345" t="s">
        <v>223</v>
      </c>
      <c r="S4065" s="345" t="s">
        <v>224</v>
      </c>
    </row>
    <row r="4066" spans="1:19" x14ac:dyDescent="0.25">
      <c r="A4066" s="311"/>
      <c r="B4066" s="312"/>
      <c r="C4066" s="312"/>
      <c r="D4066" s="312"/>
      <c r="E4066" s="312"/>
      <c r="F4066" s="312"/>
      <c r="G4066" s="328"/>
      <c r="H4066" s="337"/>
      <c r="I4066" s="334"/>
      <c r="J4066" s="314"/>
      <c r="K4066" s="449"/>
      <c r="M4066" s="349" t="str">
        <f>N4066&amp;AS[[#This Row],[Insurer Code]]&amp;"; "&amp;O4066&amp;AS[[#This Row],[Reporting Year]]&amp;"; "&amp;P4066&amp;AS[[#This Row],[Insurance Category Code]]&amp;"; "&amp;Q4066&amp;AS[[#This Row],[Large Provider Entity Code]]&amp;"; "&amp;R4066&amp;AS[[#This Row],[Age Band Code]]&amp;"; "&amp;S4066&amp;AS[[#This Row],[Sex Code]]</f>
        <v xml:space="preserve">Insurer Code ; Reporting Year ; Insurance Category Code ; Large Provider Entity Code ; Age Band Code ; Sex Code </v>
      </c>
      <c r="N4066" s="345" t="s">
        <v>207</v>
      </c>
      <c r="O4066" s="345" t="s">
        <v>208</v>
      </c>
      <c r="P4066" s="345" t="s">
        <v>209</v>
      </c>
      <c r="Q4066" s="345" t="s">
        <v>210</v>
      </c>
      <c r="R4066" s="345" t="s">
        <v>223</v>
      </c>
      <c r="S4066" s="345" t="s">
        <v>224</v>
      </c>
    </row>
    <row r="4067" spans="1:19" x14ac:dyDescent="0.25">
      <c r="A4067" s="311"/>
      <c r="B4067" s="312"/>
      <c r="C4067" s="312"/>
      <c r="D4067" s="312"/>
      <c r="E4067" s="312"/>
      <c r="F4067" s="312"/>
      <c r="G4067" s="328"/>
      <c r="H4067" s="337"/>
      <c r="I4067" s="334"/>
      <c r="J4067" s="314"/>
      <c r="K4067" s="449"/>
      <c r="M4067" s="349" t="str">
        <f>N4067&amp;AS[[#This Row],[Insurer Code]]&amp;"; "&amp;O4067&amp;AS[[#This Row],[Reporting Year]]&amp;"; "&amp;P4067&amp;AS[[#This Row],[Insurance Category Code]]&amp;"; "&amp;Q4067&amp;AS[[#This Row],[Large Provider Entity Code]]&amp;"; "&amp;R4067&amp;AS[[#This Row],[Age Band Code]]&amp;"; "&amp;S4067&amp;AS[[#This Row],[Sex Code]]</f>
        <v xml:space="preserve">Insurer Code ; Reporting Year ; Insurance Category Code ; Large Provider Entity Code ; Age Band Code ; Sex Code </v>
      </c>
      <c r="N4067" s="345" t="s">
        <v>207</v>
      </c>
      <c r="O4067" s="345" t="s">
        <v>208</v>
      </c>
      <c r="P4067" s="345" t="s">
        <v>209</v>
      </c>
      <c r="Q4067" s="345" t="s">
        <v>210</v>
      </c>
      <c r="R4067" s="345" t="s">
        <v>223</v>
      </c>
      <c r="S4067" s="345" t="s">
        <v>224</v>
      </c>
    </row>
    <row r="4068" spans="1:19" x14ac:dyDescent="0.25">
      <c r="A4068" s="311"/>
      <c r="B4068" s="312"/>
      <c r="C4068" s="312"/>
      <c r="D4068" s="312"/>
      <c r="E4068" s="312"/>
      <c r="F4068" s="312"/>
      <c r="G4068" s="328"/>
      <c r="H4068" s="337"/>
      <c r="I4068" s="334"/>
      <c r="J4068" s="314"/>
      <c r="K4068" s="449"/>
      <c r="M4068" s="349" t="str">
        <f>N4068&amp;AS[[#This Row],[Insurer Code]]&amp;"; "&amp;O4068&amp;AS[[#This Row],[Reporting Year]]&amp;"; "&amp;P4068&amp;AS[[#This Row],[Insurance Category Code]]&amp;"; "&amp;Q4068&amp;AS[[#This Row],[Large Provider Entity Code]]&amp;"; "&amp;R4068&amp;AS[[#This Row],[Age Band Code]]&amp;"; "&amp;S4068&amp;AS[[#This Row],[Sex Code]]</f>
        <v xml:space="preserve">Insurer Code ; Reporting Year ; Insurance Category Code ; Large Provider Entity Code ; Age Band Code ; Sex Code </v>
      </c>
      <c r="N4068" s="345" t="s">
        <v>207</v>
      </c>
      <c r="O4068" s="345" t="s">
        <v>208</v>
      </c>
      <c r="P4068" s="345" t="s">
        <v>209</v>
      </c>
      <c r="Q4068" s="345" t="s">
        <v>210</v>
      </c>
      <c r="R4068" s="345" t="s">
        <v>223</v>
      </c>
      <c r="S4068" s="345" t="s">
        <v>224</v>
      </c>
    </row>
    <row r="4069" spans="1:19" x14ac:dyDescent="0.25">
      <c r="A4069" s="311"/>
      <c r="B4069" s="312"/>
      <c r="C4069" s="312"/>
      <c r="D4069" s="312"/>
      <c r="E4069" s="312"/>
      <c r="F4069" s="312"/>
      <c r="G4069" s="328"/>
      <c r="H4069" s="337"/>
      <c r="I4069" s="334"/>
      <c r="J4069" s="314"/>
      <c r="K4069" s="449"/>
      <c r="M4069" s="349" t="str">
        <f>N4069&amp;AS[[#This Row],[Insurer Code]]&amp;"; "&amp;O4069&amp;AS[[#This Row],[Reporting Year]]&amp;"; "&amp;P4069&amp;AS[[#This Row],[Insurance Category Code]]&amp;"; "&amp;Q4069&amp;AS[[#This Row],[Large Provider Entity Code]]&amp;"; "&amp;R4069&amp;AS[[#This Row],[Age Band Code]]&amp;"; "&amp;S4069&amp;AS[[#This Row],[Sex Code]]</f>
        <v xml:space="preserve">Insurer Code ; Reporting Year ; Insurance Category Code ; Large Provider Entity Code ; Age Band Code ; Sex Code </v>
      </c>
      <c r="N4069" s="345" t="s">
        <v>207</v>
      </c>
      <c r="O4069" s="345" t="s">
        <v>208</v>
      </c>
      <c r="P4069" s="345" t="s">
        <v>209</v>
      </c>
      <c r="Q4069" s="345" t="s">
        <v>210</v>
      </c>
      <c r="R4069" s="345" t="s">
        <v>223</v>
      </c>
      <c r="S4069" s="345" t="s">
        <v>224</v>
      </c>
    </row>
    <row r="4070" spans="1:19" x14ac:dyDescent="0.25">
      <c r="A4070" s="311"/>
      <c r="B4070" s="312"/>
      <c r="C4070" s="312"/>
      <c r="D4070" s="312"/>
      <c r="E4070" s="312"/>
      <c r="F4070" s="312"/>
      <c r="G4070" s="328"/>
      <c r="H4070" s="337"/>
      <c r="I4070" s="334"/>
      <c r="J4070" s="314"/>
      <c r="K4070" s="449"/>
      <c r="M4070" s="349" t="str">
        <f>N4070&amp;AS[[#This Row],[Insurer Code]]&amp;"; "&amp;O4070&amp;AS[[#This Row],[Reporting Year]]&amp;"; "&amp;P4070&amp;AS[[#This Row],[Insurance Category Code]]&amp;"; "&amp;Q4070&amp;AS[[#This Row],[Large Provider Entity Code]]&amp;"; "&amp;R4070&amp;AS[[#This Row],[Age Band Code]]&amp;"; "&amp;S4070&amp;AS[[#This Row],[Sex Code]]</f>
        <v xml:space="preserve">Insurer Code ; Reporting Year ; Insurance Category Code ; Large Provider Entity Code ; Age Band Code ; Sex Code </v>
      </c>
      <c r="N4070" s="345" t="s">
        <v>207</v>
      </c>
      <c r="O4070" s="345" t="s">
        <v>208</v>
      </c>
      <c r="P4070" s="345" t="s">
        <v>209</v>
      </c>
      <c r="Q4070" s="345" t="s">
        <v>210</v>
      </c>
      <c r="R4070" s="345" t="s">
        <v>223</v>
      </c>
      <c r="S4070" s="345" t="s">
        <v>224</v>
      </c>
    </row>
    <row r="4071" spans="1:19" x14ac:dyDescent="0.25">
      <c r="A4071" s="311"/>
      <c r="B4071" s="312"/>
      <c r="C4071" s="312"/>
      <c r="D4071" s="312"/>
      <c r="E4071" s="312"/>
      <c r="F4071" s="312"/>
      <c r="G4071" s="328"/>
      <c r="H4071" s="337"/>
      <c r="I4071" s="334"/>
      <c r="J4071" s="314"/>
      <c r="K4071" s="449"/>
      <c r="M4071" s="349" t="str">
        <f>N4071&amp;AS[[#This Row],[Insurer Code]]&amp;"; "&amp;O4071&amp;AS[[#This Row],[Reporting Year]]&amp;"; "&amp;P4071&amp;AS[[#This Row],[Insurance Category Code]]&amp;"; "&amp;Q4071&amp;AS[[#This Row],[Large Provider Entity Code]]&amp;"; "&amp;R4071&amp;AS[[#This Row],[Age Band Code]]&amp;"; "&amp;S4071&amp;AS[[#This Row],[Sex Code]]</f>
        <v xml:space="preserve">Insurer Code ; Reporting Year ; Insurance Category Code ; Large Provider Entity Code ; Age Band Code ; Sex Code </v>
      </c>
      <c r="N4071" s="345" t="s">
        <v>207</v>
      </c>
      <c r="O4071" s="345" t="s">
        <v>208</v>
      </c>
      <c r="P4071" s="345" t="s">
        <v>209</v>
      </c>
      <c r="Q4071" s="345" t="s">
        <v>210</v>
      </c>
      <c r="R4071" s="345" t="s">
        <v>223</v>
      </c>
      <c r="S4071" s="345" t="s">
        <v>224</v>
      </c>
    </row>
    <row r="4072" spans="1:19" x14ac:dyDescent="0.25">
      <c r="A4072" s="311"/>
      <c r="B4072" s="312"/>
      <c r="C4072" s="312"/>
      <c r="D4072" s="312"/>
      <c r="E4072" s="312"/>
      <c r="F4072" s="312"/>
      <c r="G4072" s="328"/>
      <c r="H4072" s="337"/>
      <c r="I4072" s="334"/>
      <c r="J4072" s="314"/>
      <c r="K4072" s="449"/>
      <c r="M4072" s="349" t="str">
        <f>N4072&amp;AS[[#This Row],[Insurer Code]]&amp;"; "&amp;O4072&amp;AS[[#This Row],[Reporting Year]]&amp;"; "&amp;P4072&amp;AS[[#This Row],[Insurance Category Code]]&amp;"; "&amp;Q4072&amp;AS[[#This Row],[Large Provider Entity Code]]&amp;"; "&amp;R4072&amp;AS[[#This Row],[Age Band Code]]&amp;"; "&amp;S4072&amp;AS[[#This Row],[Sex Code]]</f>
        <v xml:space="preserve">Insurer Code ; Reporting Year ; Insurance Category Code ; Large Provider Entity Code ; Age Band Code ; Sex Code </v>
      </c>
      <c r="N4072" s="345" t="s">
        <v>207</v>
      </c>
      <c r="O4072" s="345" t="s">
        <v>208</v>
      </c>
      <c r="P4072" s="345" t="s">
        <v>209</v>
      </c>
      <c r="Q4072" s="345" t="s">
        <v>210</v>
      </c>
      <c r="R4072" s="345" t="s">
        <v>223</v>
      </c>
      <c r="S4072" s="345" t="s">
        <v>224</v>
      </c>
    </row>
    <row r="4073" spans="1:19" x14ac:dyDescent="0.25">
      <c r="A4073" s="311"/>
      <c r="B4073" s="312"/>
      <c r="C4073" s="312"/>
      <c r="D4073" s="312"/>
      <c r="E4073" s="312"/>
      <c r="F4073" s="312"/>
      <c r="G4073" s="328"/>
      <c r="H4073" s="337"/>
      <c r="I4073" s="334"/>
      <c r="J4073" s="314"/>
      <c r="K4073" s="449"/>
      <c r="M4073" s="349" t="str">
        <f>N4073&amp;AS[[#This Row],[Insurer Code]]&amp;"; "&amp;O4073&amp;AS[[#This Row],[Reporting Year]]&amp;"; "&amp;P4073&amp;AS[[#This Row],[Insurance Category Code]]&amp;"; "&amp;Q4073&amp;AS[[#This Row],[Large Provider Entity Code]]&amp;"; "&amp;R4073&amp;AS[[#This Row],[Age Band Code]]&amp;"; "&amp;S4073&amp;AS[[#This Row],[Sex Code]]</f>
        <v xml:space="preserve">Insurer Code ; Reporting Year ; Insurance Category Code ; Large Provider Entity Code ; Age Band Code ; Sex Code </v>
      </c>
      <c r="N4073" s="345" t="s">
        <v>207</v>
      </c>
      <c r="O4073" s="345" t="s">
        <v>208</v>
      </c>
      <c r="P4073" s="345" t="s">
        <v>209</v>
      </c>
      <c r="Q4073" s="345" t="s">
        <v>210</v>
      </c>
      <c r="R4073" s="345" t="s">
        <v>223</v>
      </c>
      <c r="S4073" s="345" t="s">
        <v>224</v>
      </c>
    </row>
    <row r="4074" spans="1:19" x14ac:dyDescent="0.25">
      <c r="A4074" s="311"/>
      <c r="B4074" s="312"/>
      <c r="C4074" s="312"/>
      <c r="D4074" s="312"/>
      <c r="E4074" s="312"/>
      <c r="F4074" s="312"/>
      <c r="G4074" s="328"/>
      <c r="H4074" s="337"/>
      <c r="I4074" s="334"/>
      <c r="J4074" s="314"/>
      <c r="K4074" s="449"/>
      <c r="M4074" s="349" t="str">
        <f>N4074&amp;AS[[#This Row],[Insurer Code]]&amp;"; "&amp;O4074&amp;AS[[#This Row],[Reporting Year]]&amp;"; "&amp;P4074&amp;AS[[#This Row],[Insurance Category Code]]&amp;"; "&amp;Q4074&amp;AS[[#This Row],[Large Provider Entity Code]]&amp;"; "&amp;R4074&amp;AS[[#This Row],[Age Band Code]]&amp;"; "&amp;S4074&amp;AS[[#This Row],[Sex Code]]</f>
        <v xml:space="preserve">Insurer Code ; Reporting Year ; Insurance Category Code ; Large Provider Entity Code ; Age Band Code ; Sex Code </v>
      </c>
      <c r="N4074" s="345" t="s">
        <v>207</v>
      </c>
      <c r="O4074" s="345" t="s">
        <v>208</v>
      </c>
      <c r="P4074" s="345" t="s">
        <v>209</v>
      </c>
      <c r="Q4074" s="345" t="s">
        <v>210</v>
      </c>
      <c r="R4074" s="345" t="s">
        <v>223</v>
      </c>
      <c r="S4074" s="345" t="s">
        <v>224</v>
      </c>
    </row>
    <row r="4075" spans="1:19" x14ac:dyDescent="0.25">
      <c r="A4075" s="311"/>
      <c r="B4075" s="312"/>
      <c r="C4075" s="312"/>
      <c r="D4075" s="312"/>
      <c r="E4075" s="312"/>
      <c r="F4075" s="312"/>
      <c r="G4075" s="328"/>
      <c r="H4075" s="337"/>
      <c r="I4075" s="334"/>
      <c r="J4075" s="314"/>
      <c r="K4075" s="449"/>
      <c r="M4075" s="349" t="str">
        <f>N4075&amp;AS[[#This Row],[Insurer Code]]&amp;"; "&amp;O4075&amp;AS[[#This Row],[Reporting Year]]&amp;"; "&amp;P4075&amp;AS[[#This Row],[Insurance Category Code]]&amp;"; "&amp;Q4075&amp;AS[[#This Row],[Large Provider Entity Code]]&amp;"; "&amp;R4075&amp;AS[[#This Row],[Age Band Code]]&amp;"; "&amp;S4075&amp;AS[[#This Row],[Sex Code]]</f>
        <v xml:space="preserve">Insurer Code ; Reporting Year ; Insurance Category Code ; Large Provider Entity Code ; Age Band Code ; Sex Code </v>
      </c>
      <c r="N4075" s="345" t="s">
        <v>207</v>
      </c>
      <c r="O4075" s="345" t="s">
        <v>208</v>
      </c>
      <c r="P4075" s="345" t="s">
        <v>209</v>
      </c>
      <c r="Q4075" s="345" t="s">
        <v>210</v>
      </c>
      <c r="R4075" s="345" t="s">
        <v>223</v>
      </c>
      <c r="S4075" s="345" t="s">
        <v>224</v>
      </c>
    </row>
    <row r="4076" spans="1:19" x14ac:dyDescent="0.25">
      <c r="A4076" s="311"/>
      <c r="B4076" s="312"/>
      <c r="C4076" s="312"/>
      <c r="D4076" s="312"/>
      <c r="E4076" s="312"/>
      <c r="F4076" s="312"/>
      <c r="G4076" s="328"/>
      <c r="H4076" s="337"/>
      <c r="I4076" s="334"/>
      <c r="J4076" s="314"/>
      <c r="K4076" s="449"/>
      <c r="M4076" s="349" t="str">
        <f>N4076&amp;AS[[#This Row],[Insurer Code]]&amp;"; "&amp;O4076&amp;AS[[#This Row],[Reporting Year]]&amp;"; "&amp;P4076&amp;AS[[#This Row],[Insurance Category Code]]&amp;"; "&amp;Q4076&amp;AS[[#This Row],[Large Provider Entity Code]]&amp;"; "&amp;R4076&amp;AS[[#This Row],[Age Band Code]]&amp;"; "&amp;S4076&amp;AS[[#This Row],[Sex Code]]</f>
        <v xml:space="preserve">Insurer Code ; Reporting Year ; Insurance Category Code ; Large Provider Entity Code ; Age Band Code ; Sex Code </v>
      </c>
      <c r="N4076" s="345" t="s">
        <v>207</v>
      </c>
      <c r="O4076" s="345" t="s">
        <v>208</v>
      </c>
      <c r="P4076" s="345" t="s">
        <v>209</v>
      </c>
      <c r="Q4076" s="345" t="s">
        <v>210</v>
      </c>
      <c r="R4076" s="345" t="s">
        <v>223</v>
      </c>
      <c r="S4076" s="345" t="s">
        <v>224</v>
      </c>
    </row>
    <row r="4077" spans="1:19" x14ac:dyDescent="0.25">
      <c r="A4077" s="311"/>
      <c r="B4077" s="312"/>
      <c r="C4077" s="312"/>
      <c r="D4077" s="312"/>
      <c r="E4077" s="312"/>
      <c r="F4077" s="312"/>
      <c r="G4077" s="328"/>
      <c r="H4077" s="337"/>
      <c r="I4077" s="334"/>
      <c r="J4077" s="314"/>
      <c r="K4077" s="449"/>
      <c r="M4077" s="349" t="str">
        <f>N4077&amp;AS[[#This Row],[Insurer Code]]&amp;"; "&amp;O4077&amp;AS[[#This Row],[Reporting Year]]&amp;"; "&amp;P4077&amp;AS[[#This Row],[Insurance Category Code]]&amp;"; "&amp;Q4077&amp;AS[[#This Row],[Large Provider Entity Code]]&amp;"; "&amp;R4077&amp;AS[[#This Row],[Age Band Code]]&amp;"; "&amp;S4077&amp;AS[[#This Row],[Sex Code]]</f>
        <v xml:space="preserve">Insurer Code ; Reporting Year ; Insurance Category Code ; Large Provider Entity Code ; Age Band Code ; Sex Code </v>
      </c>
      <c r="N4077" s="345" t="s">
        <v>207</v>
      </c>
      <c r="O4077" s="345" t="s">
        <v>208</v>
      </c>
      <c r="P4077" s="345" t="s">
        <v>209</v>
      </c>
      <c r="Q4077" s="345" t="s">
        <v>210</v>
      </c>
      <c r="R4077" s="345" t="s">
        <v>223</v>
      </c>
      <c r="S4077" s="345" t="s">
        <v>224</v>
      </c>
    </row>
    <row r="4078" spans="1:19" x14ac:dyDescent="0.25">
      <c r="A4078" s="311"/>
      <c r="B4078" s="312"/>
      <c r="C4078" s="312"/>
      <c r="D4078" s="312"/>
      <c r="E4078" s="312"/>
      <c r="F4078" s="312"/>
      <c r="G4078" s="328"/>
      <c r="H4078" s="337"/>
      <c r="I4078" s="334"/>
      <c r="J4078" s="314"/>
      <c r="K4078" s="449"/>
      <c r="M4078" s="349" t="str">
        <f>N4078&amp;AS[[#This Row],[Insurer Code]]&amp;"; "&amp;O4078&amp;AS[[#This Row],[Reporting Year]]&amp;"; "&amp;P4078&amp;AS[[#This Row],[Insurance Category Code]]&amp;"; "&amp;Q4078&amp;AS[[#This Row],[Large Provider Entity Code]]&amp;"; "&amp;R4078&amp;AS[[#This Row],[Age Band Code]]&amp;"; "&amp;S4078&amp;AS[[#This Row],[Sex Code]]</f>
        <v xml:space="preserve">Insurer Code ; Reporting Year ; Insurance Category Code ; Large Provider Entity Code ; Age Band Code ; Sex Code </v>
      </c>
      <c r="N4078" s="345" t="s">
        <v>207</v>
      </c>
      <c r="O4078" s="345" t="s">
        <v>208</v>
      </c>
      <c r="P4078" s="345" t="s">
        <v>209</v>
      </c>
      <c r="Q4078" s="345" t="s">
        <v>210</v>
      </c>
      <c r="R4078" s="345" t="s">
        <v>223</v>
      </c>
      <c r="S4078" s="345" t="s">
        <v>224</v>
      </c>
    </row>
    <row r="4079" spans="1:19" x14ac:dyDescent="0.25">
      <c r="A4079" s="311"/>
      <c r="B4079" s="312"/>
      <c r="C4079" s="312"/>
      <c r="D4079" s="312"/>
      <c r="E4079" s="312"/>
      <c r="F4079" s="312"/>
      <c r="G4079" s="328"/>
      <c r="H4079" s="337"/>
      <c r="I4079" s="334"/>
      <c r="J4079" s="314"/>
      <c r="K4079" s="449"/>
      <c r="M4079" s="349" t="str">
        <f>N4079&amp;AS[[#This Row],[Insurer Code]]&amp;"; "&amp;O4079&amp;AS[[#This Row],[Reporting Year]]&amp;"; "&amp;P4079&amp;AS[[#This Row],[Insurance Category Code]]&amp;"; "&amp;Q4079&amp;AS[[#This Row],[Large Provider Entity Code]]&amp;"; "&amp;R4079&amp;AS[[#This Row],[Age Band Code]]&amp;"; "&amp;S4079&amp;AS[[#This Row],[Sex Code]]</f>
        <v xml:space="preserve">Insurer Code ; Reporting Year ; Insurance Category Code ; Large Provider Entity Code ; Age Band Code ; Sex Code </v>
      </c>
      <c r="N4079" s="345" t="s">
        <v>207</v>
      </c>
      <c r="O4079" s="345" t="s">
        <v>208</v>
      </c>
      <c r="P4079" s="345" t="s">
        <v>209</v>
      </c>
      <c r="Q4079" s="345" t="s">
        <v>210</v>
      </c>
      <c r="R4079" s="345" t="s">
        <v>223</v>
      </c>
      <c r="S4079" s="345" t="s">
        <v>224</v>
      </c>
    </row>
    <row r="4080" spans="1:19" x14ac:dyDescent="0.25">
      <c r="A4080" s="311"/>
      <c r="B4080" s="312"/>
      <c r="C4080" s="312"/>
      <c r="D4080" s="312"/>
      <c r="E4080" s="312"/>
      <c r="F4080" s="312"/>
      <c r="G4080" s="328"/>
      <c r="H4080" s="337"/>
      <c r="I4080" s="334"/>
      <c r="J4080" s="314"/>
      <c r="K4080" s="449"/>
      <c r="M4080" s="349" t="str">
        <f>N4080&amp;AS[[#This Row],[Insurer Code]]&amp;"; "&amp;O4080&amp;AS[[#This Row],[Reporting Year]]&amp;"; "&amp;P4080&amp;AS[[#This Row],[Insurance Category Code]]&amp;"; "&amp;Q4080&amp;AS[[#This Row],[Large Provider Entity Code]]&amp;"; "&amp;R4080&amp;AS[[#This Row],[Age Band Code]]&amp;"; "&amp;S4080&amp;AS[[#This Row],[Sex Code]]</f>
        <v xml:space="preserve">Insurer Code ; Reporting Year ; Insurance Category Code ; Large Provider Entity Code ; Age Band Code ; Sex Code </v>
      </c>
      <c r="N4080" s="345" t="s">
        <v>207</v>
      </c>
      <c r="O4080" s="345" t="s">
        <v>208</v>
      </c>
      <c r="P4080" s="345" t="s">
        <v>209</v>
      </c>
      <c r="Q4080" s="345" t="s">
        <v>210</v>
      </c>
      <c r="R4080" s="345" t="s">
        <v>223</v>
      </c>
      <c r="S4080" s="345" t="s">
        <v>224</v>
      </c>
    </row>
    <row r="4081" spans="1:19" x14ac:dyDescent="0.25">
      <c r="A4081" s="311"/>
      <c r="B4081" s="312"/>
      <c r="C4081" s="312"/>
      <c r="D4081" s="312"/>
      <c r="E4081" s="312"/>
      <c r="F4081" s="312"/>
      <c r="G4081" s="328"/>
      <c r="H4081" s="337"/>
      <c r="I4081" s="334"/>
      <c r="J4081" s="314"/>
      <c r="K4081" s="449"/>
      <c r="M4081" s="349" t="str">
        <f>N4081&amp;AS[[#This Row],[Insurer Code]]&amp;"; "&amp;O4081&amp;AS[[#This Row],[Reporting Year]]&amp;"; "&amp;P4081&amp;AS[[#This Row],[Insurance Category Code]]&amp;"; "&amp;Q4081&amp;AS[[#This Row],[Large Provider Entity Code]]&amp;"; "&amp;R4081&amp;AS[[#This Row],[Age Band Code]]&amp;"; "&amp;S4081&amp;AS[[#This Row],[Sex Code]]</f>
        <v xml:space="preserve">Insurer Code ; Reporting Year ; Insurance Category Code ; Large Provider Entity Code ; Age Band Code ; Sex Code </v>
      </c>
      <c r="N4081" s="345" t="s">
        <v>207</v>
      </c>
      <c r="O4081" s="345" t="s">
        <v>208</v>
      </c>
      <c r="P4081" s="345" t="s">
        <v>209</v>
      </c>
      <c r="Q4081" s="345" t="s">
        <v>210</v>
      </c>
      <c r="R4081" s="345" t="s">
        <v>223</v>
      </c>
      <c r="S4081" s="345" t="s">
        <v>224</v>
      </c>
    </row>
    <row r="4082" spans="1:19" x14ac:dyDescent="0.25">
      <c r="A4082" s="311"/>
      <c r="B4082" s="312"/>
      <c r="C4082" s="312"/>
      <c r="D4082" s="312"/>
      <c r="E4082" s="312"/>
      <c r="F4082" s="312"/>
      <c r="G4082" s="328"/>
      <c r="H4082" s="337"/>
      <c r="I4082" s="334"/>
      <c r="J4082" s="314"/>
      <c r="K4082" s="449"/>
      <c r="M4082" s="349" t="str">
        <f>N4082&amp;AS[[#This Row],[Insurer Code]]&amp;"; "&amp;O4082&amp;AS[[#This Row],[Reporting Year]]&amp;"; "&amp;P4082&amp;AS[[#This Row],[Insurance Category Code]]&amp;"; "&amp;Q4082&amp;AS[[#This Row],[Large Provider Entity Code]]&amp;"; "&amp;R4082&amp;AS[[#This Row],[Age Band Code]]&amp;"; "&amp;S4082&amp;AS[[#This Row],[Sex Code]]</f>
        <v xml:space="preserve">Insurer Code ; Reporting Year ; Insurance Category Code ; Large Provider Entity Code ; Age Band Code ; Sex Code </v>
      </c>
      <c r="N4082" s="345" t="s">
        <v>207</v>
      </c>
      <c r="O4082" s="345" t="s">
        <v>208</v>
      </c>
      <c r="P4082" s="345" t="s">
        <v>209</v>
      </c>
      <c r="Q4082" s="345" t="s">
        <v>210</v>
      </c>
      <c r="R4082" s="345" t="s">
        <v>223</v>
      </c>
      <c r="S4082" s="345" t="s">
        <v>224</v>
      </c>
    </row>
    <row r="4083" spans="1:19" x14ac:dyDescent="0.25">
      <c r="A4083" s="311"/>
      <c r="B4083" s="312"/>
      <c r="C4083" s="312"/>
      <c r="D4083" s="312"/>
      <c r="E4083" s="312"/>
      <c r="F4083" s="312"/>
      <c r="G4083" s="328"/>
      <c r="H4083" s="337"/>
      <c r="I4083" s="334"/>
      <c r="J4083" s="314"/>
      <c r="K4083" s="449"/>
      <c r="M4083" s="349" t="str">
        <f>N4083&amp;AS[[#This Row],[Insurer Code]]&amp;"; "&amp;O4083&amp;AS[[#This Row],[Reporting Year]]&amp;"; "&amp;P4083&amp;AS[[#This Row],[Insurance Category Code]]&amp;"; "&amp;Q4083&amp;AS[[#This Row],[Large Provider Entity Code]]&amp;"; "&amp;R4083&amp;AS[[#This Row],[Age Band Code]]&amp;"; "&amp;S4083&amp;AS[[#This Row],[Sex Code]]</f>
        <v xml:space="preserve">Insurer Code ; Reporting Year ; Insurance Category Code ; Large Provider Entity Code ; Age Band Code ; Sex Code </v>
      </c>
      <c r="N4083" s="345" t="s">
        <v>207</v>
      </c>
      <c r="O4083" s="345" t="s">
        <v>208</v>
      </c>
      <c r="P4083" s="345" t="s">
        <v>209</v>
      </c>
      <c r="Q4083" s="345" t="s">
        <v>210</v>
      </c>
      <c r="R4083" s="345" t="s">
        <v>223</v>
      </c>
      <c r="S4083" s="345" t="s">
        <v>224</v>
      </c>
    </row>
    <row r="4084" spans="1:19" x14ac:dyDescent="0.25">
      <c r="A4084" s="311"/>
      <c r="B4084" s="312"/>
      <c r="C4084" s="312"/>
      <c r="D4084" s="312"/>
      <c r="E4084" s="312"/>
      <c r="F4084" s="312"/>
      <c r="G4084" s="328"/>
      <c r="H4084" s="337"/>
      <c r="I4084" s="334"/>
      <c r="J4084" s="314"/>
      <c r="K4084" s="449"/>
      <c r="M4084" s="349" t="str">
        <f>N4084&amp;AS[[#This Row],[Insurer Code]]&amp;"; "&amp;O4084&amp;AS[[#This Row],[Reporting Year]]&amp;"; "&amp;P4084&amp;AS[[#This Row],[Insurance Category Code]]&amp;"; "&amp;Q4084&amp;AS[[#This Row],[Large Provider Entity Code]]&amp;"; "&amp;R4084&amp;AS[[#This Row],[Age Band Code]]&amp;"; "&amp;S4084&amp;AS[[#This Row],[Sex Code]]</f>
        <v xml:space="preserve">Insurer Code ; Reporting Year ; Insurance Category Code ; Large Provider Entity Code ; Age Band Code ; Sex Code </v>
      </c>
      <c r="N4084" s="345" t="s">
        <v>207</v>
      </c>
      <c r="O4084" s="345" t="s">
        <v>208</v>
      </c>
      <c r="P4084" s="345" t="s">
        <v>209</v>
      </c>
      <c r="Q4084" s="345" t="s">
        <v>210</v>
      </c>
      <c r="R4084" s="345" t="s">
        <v>223</v>
      </c>
      <c r="S4084" s="345" t="s">
        <v>224</v>
      </c>
    </row>
    <row r="4085" spans="1:19" x14ac:dyDescent="0.25">
      <c r="A4085" s="311"/>
      <c r="B4085" s="312"/>
      <c r="C4085" s="312"/>
      <c r="D4085" s="312"/>
      <c r="E4085" s="312"/>
      <c r="F4085" s="312"/>
      <c r="G4085" s="328"/>
      <c r="H4085" s="337"/>
      <c r="I4085" s="334"/>
      <c r="J4085" s="314"/>
      <c r="K4085" s="449"/>
      <c r="M4085" s="349" t="str">
        <f>N4085&amp;AS[[#This Row],[Insurer Code]]&amp;"; "&amp;O4085&amp;AS[[#This Row],[Reporting Year]]&amp;"; "&amp;P4085&amp;AS[[#This Row],[Insurance Category Code]]&amp;"; "&amp;Q4085&amp;AS[[#This Row],[Large Provider Entity Code]]&amp;"; "&amp;R4085&amp;AS[[#This Row],[Age Band Code]]&amp;"; "&amp;S4085&amp;AS[[#This Row],[Sex Code]]</f>
        <v xml:space="preserve">Insurer Code ; Reporting Year ; Insurance Category Code ; Large Provider Entity Code ; Age Band Code ; Sex Code </v>
      </c>
      <c r="N4085" s="345" t="s">
        <v>207</v>
      </c>
      <c r="O4085" s="345" t="s">
        <v>208</v>
      </c>
      <c r="P4085" s="345" t="s">
        <v>209</v>
      </c>
      <c r="Q4085" s="345" t="s">
        <v>210</v>
      </c>
      <c r="R4085" s="345" t="s">
        <v>223</v>
      </c>
      <c r="S4085" s="345" t="s">
        <v>224</v>
      </c>
    </row>
    <row r="4086" spans="1:19" x14ac:dyDescent="0.25">
      <c r="A4086" s="311"/>
      <c r="B4086" s="312"/>
      <c r="C4086" s="312"/>
      <c r="D4086" s="312"/>
      <c r="E4086" s="312"/>
      <c r="F4086" s="312"/>
      <c r="G4086" s="328"/>
      <c r="H4086" s="337"/>
      <c r="I4086" s="334"/>
      <c r="J4086" s="314"/>
      <c r="K4086" s="449"/>
      <c r="M4086" s="349" t="str">
        <f>N4086&amp;AS[[#This Row],[Insurer Code]]&amp;"; "&amp;O4086&amp;AS[[#This Row],[Reporting Year]]&amp;"; "&amp;P4086&amp;AS[[#This Row],[Insurance Category Code]]&amp;"; "&amp;Q4086&amp;AS[[#This Row],[Large Provider Entity Code]]&amp;"; "&amp;R4086&amp;AS[[#This Row],[Age Band Code]]&amp;"; "&amp;S4086&amp;AS[[#This Row],[Sex Code]]</f>
        <v xml:space="preserve">Insurer Code ; Reporting Year ; Insurance Category Code ; Large Provider Entity Code ; Age Band Code ; Sex Code </v>
      </c>
      <c r="N4086" s="345" t="s">
        <v>207</v>
      </c>
      <c r="O4086" s="345" t="s">
        <v>208</v>
      </c>
      <c r="P4086" s="345" t="s">
        <v>209</v>
      </c>
      <c r="Q4086" s="345" t="s">
        <v>210</v>
      </c>
      <c r="R4086" s="345" t="s">
        <v>223</v>
      </c>
      <c r="S4086" s="345" t="s">
        <v>224</v>
      </c>
    </row>
    <row r="4087" spans="1:19" x14ac:dyDescent="0.25">
      <c r="A4087" s="311"/>
      <c r="B4087" s="312"/>
      <c r="C4087" s="312"/>
      <c r="D4087" s="312"/>
      <c r="E4087" s="312"/>
      <c r="F4087" s="312"/>
      <c r="G4087" s="328"/>
      <c r="H4087" s="337"/>
      <c r="I4087" s="334"/>
      <c r="J4087" s="314"/>
      <c r="K4087" s="449"/>
      <c r="M4087" s="349" t="str">
        <f>N4087&amp;AS[[#This Row],[Insurer Code]]&amp;"; "&amp;O4087&amp;AS[[#This Row],[Reporting Year]]&amp;"; "&amp;P4087&amp;AS[[#This Row],[Insurance Category Code]]&amp;"; "&amp;Q4087&amp;AS[[#This Row],[Large Provider Entity Code]]&amp;"; "&amp;R4087&amp;AS[[#This Row],[Age Band Code]]&amp;"; "&amp;S4087&amp;AS[[#This Row],[Sex Code]]</f>
        <v xml:space="preserve">Insurer Code ; Reporting Year ; Insurance Category Code ; Large Provider Entity Code ; Age Band Code ; Sex Code </v>
      </c>
      <c r="N4087" s="345" t="s">
        <v>207</v>
      </c>
      <c r="O4087" s="345" t="s">
        <v>208</v>
      </c>
      <c r="P4087" s="345" t="s">
        <v>209</v>
      </c>
      <c r="Q4087" s="345" t="s">
        <v>210</v>
      </c>
      <c r="R4087" s="345" t="s">
        <v>223</v>
      </c>
      <c r="S4087" s="345" t="s">
        <v>224</v>
      </c>
    </row>
    <row r="4088" spans="1:19" x14ac:dyDescent="0.25">
      <c r="A4088" s="311"/>
      <c r="B4088" s="312"/>
      <c r="C4088" s="312"/>
      <c r="D4088" s="312"/>
      <c r="E4088" s="312"/>
      <c r="F4088" s="312"/>
      <c r="G4088" s="328"/>
      <c r="H4088" s="337"/>
      <c r="I4088" s="334"/>
      <c r="J4088" s="314"/>
      <c r="K4088" s="449"/>
      <c r="M4088" s="349" t="str">
        <f>N4088&amp;AS[[#This Row],[Insurer Code]]&amp;"; "&amp;O4088&amp;AS[[#This Row],[Reporting Year]]&amp;"; "&amp;P4088&amp;AS[[#This Row],[Insurance Category Code]]&amp;"; "&amp;Q4088&amp;AS[[#This Row],[Large Provider Entity Code]]&amp;"; "&amp;R4088&amp;AS[[#This Row],[Age Band Code]]&amp;"; "&amp;S4088&amp;AS[[#This Row],[Sex Code]]</f>
        <v xml:space="preserve">Insurer Code ; Reporting Year ; Insurance Category Code ; Large Provider Entity Code ; Age Band Code ; Sex Code </v>
      </c>
      <c r="N4088" s="345" t="s">
        <v>207</v>
      </c>
      <c r="O4088" s="345" t="s">
        <v>208</v>
      </c>
      <c r="P4088" s="345" t="s">
        <v>209</v>
      </c>
      <c r="Q4088" s="345" t="s">
        <v>210</v>
      </c>
      <c r="R4088" s="345" t="s">
        <v>223</v>
      </c>
      <c r="S4088" s="345" t="s">
        <v>224</v>
      </c>
    </row>
    <row r="4089" spans="1:19" x14ac:dyDescent="0.25">
      <c r="A4089" s="311"/>
      <c r="B4089" s="312"/>
      <c r="C4089" s="312"/>
      <c r="D4089" s="312"/>
      <c r="E4089" s="312"/>
      <c r="F4089" s="312"/>
      <c r="G4089" s="328"/>
      <c r="H4089" s="337"/>
      <c r="I4089" s="334"/>
      <c r="J4089" s="314"/>
      <c r="K4089" s="449"/>
      <c r="M4089" s="349" t="str">
        <f>N4089&amp;AS[[#This Row],[Insurer Code]]&amp;"; "&amp;O4089&amp;AS[[#This Row],[Reporting Year]]&amp;"; "&amp;P4089&amp;AS[[#This Row],[Insurance Category Code]]&amp;"; "&amp;Q4089&amp;AS[[#This Row],[Large Provider Entity Code]]&amp;"; "&amp;R4089&amp;AS[[#This Row],[Age Band Code]]&amp;"; "&amp;S4089&amp;AS[[#This Row],[Sex Code]]</f>
        <v xml:space="preserve">Insurer Code ; Reporting Year ; Insurance Category Code ; Large Provider Entity Code ; Age Band Code ; Sex Code </v>
      </c>
      <c r="N4089" s="345" t="s">
        <v>207</v>
      </c>
      <c r="O4089" s="345" t="s">
        <v>208</v>
      </c>
      <c r="P4089" s="345" t="s">
        <v>209</v>
      </c>
      <c r="Q4089" s="345" t="s">
        <v>210</v>
      </c>
      <c r="R4089" s="345" t="s">
        <v>223</v>
      </c>
      <c r="S4089" s="345" t="s">
        <v>224</v>
      </c>
    </row>
    <row r="4090" spans="1:19" x14ac:dyDescent="0.25">
      <c r="A4090" s="311"/>
      <c r="B4090" s="312"/>
      <c r="C4090" s="312"/>
      <c r="D4090" s="312"/>
      <c r="E4090" s="312"/>
      <c r="F4090" s="312"/>
      <c r="G4090" s="328"/>
      <c r="H4090" s="337"/>
      <c r="I4090" s="334"/>
      <c r="J4090" s="314"/>
      <c r="K4090" s="449"/>
      <c r="M4090" s="349" t="str">
        <f>N4090&amp;AS[[#This Row],[Insurer Code]]&amp;"; "&amp;O4090&amp;AS[[#This Row],[Reporting Year]]&amp;"; "&amp;P4090&amp;AS[[#This Row],[Insurance Category Code]]&amp;"; "&amp;Q4090&amp;AS[[#This Row],[Large Provider Entity Code]]&amp;"; "&amp;R4090&amp;AS[[#This Row],[Age Band Code]]&amp;"; "&amp;S4090&amp;AS[[#This Row],[Sex Code]]</f>
        <v xml:space="preserve">Insurer Code ; Reporting Year ; Insurance Category Code ; Large Provider Entity Code ; Age Band Code ; Sex Code </v>
      </c>
      <c r="N4090" s="345" t="s">
        <v>207</v>
      </c>
      <c r="O4090" s="345" t="s">
        <v>208</v>
      </c>
      <c r="P4090" s="345" t="s">
        <v>209</v>
      </c>
      <c r="Q4090" s="345" t="s">
        <v>210</v>
      </c>
      <c r="R4090" s="345" t="s">
        <v>223</v>
      </c>
      <c r="S4090" s="345" t="s">
        <v>224</v>
      </c>
    </row>
    <row r="4091" spans="1:19" x14ac:dyDescent="0.25">
      <c r="A4091" s="311"/>
      <c r="B4091" s="312"/>
      <c r="C4091" s="312"/>
      <c r="D4091" s="312"/>
      <c r="E4091" s="312"/>
      <c r="F4091" s="312"/>
      <c r="G4091" s="328"/>
      <c r="H4091" s="337"/>
      <c r="I4091" s="334"/>
      <c r="J4091" s="314"/>
      <c r="K4091" s="449"/>
      <c r="M4091" s="349" t="str">
        <f>N4091&amp;AS[[#This Row],[Insurer Code]]&amp;"; "&amp;O4091&amp;AS[[#This Row],[Reporting Year]]&amp;"; "&amp;P4091&amp;AS[[#This Row],[Insurance Category Code]]&amp;"; "&amp;Q4091&amp;AS[[#This Row],[Large Provider Entity Code]]&amp;"; "&amp;R4091&amp;AS[[#This Row],[Age Band Code]]&amp;"; "&amp;S4091&amp;AS[[#This Row],[Sex Code]]</f>
        <v xml:space="preserve">Insurer Code ; Reporting Year ; Insurance Category Code ; Large Provider Entity Code ; Age Band Code ; Sex Code </v>
      </c>
      <c r="N4091" s="345" t="s">
        <v>207</v>
      </c>
      <c r="O4091" s="345" t="s">
        <v>208</v>
      </c>
      <c r="P4091" s="345" t="s">
        <v>209</v>
      </c>
      <c r="Q4091" s="345" t="s">
        <v>210</v>
      </c>
      <c r="R4091" s="345" t="s">
        <v>223</v>
      </c>
      <c r="S4091" s="345" t="s">
        <v>224</v>
      </c>
    </row>
    <row r="4092" spans="1:19" x14ac:dyDescent="0.25">
      <c r="A4092" s="311"/>
      <c r="B4092" s="312"/>
      <c r="C4092" s="312"/>
      <c r="D4092" s="312"/>
      <c r="E4092" s="312"/>
      <c r="F4092" s="312"/>
      <c r="G4092" s="328"/>
      <c r="H4092" s="337"/>
      <c r="I4092" s="334"/>
      <c r="J4092" s="314"/>
      <c r="K4092" s="449"/>
      <c r="M4092" s="349" t="str">
        <f>N4092&amp;AS[[#This Row],[Insurer Code]]&amp;"; "&amp;O4092&amp;AS[[#This Row],[Reporting Year]]&amp;"; "&amp;P4092&amp;AS[[#This Row],[Insurance Category Code]]&amp;"; "&amp;Q4092&amp;AS[[#This Row],[Large Provider Entity Code]]&amp;"; "&amp;R4092&amp;AS[[#This Row],[Age Band Code]]&amp;"; "&amp;S4092&amp;AS[[#This Row],[Sex Code]]</f>
        <v xml:space="preserve">Insurer Code ; Reporting Year ; Insurance Category Code ; Large Provider Entity Code ; Age Band Code ; Sex Code </v>
      </c>
      <c r="N4092" s="345" t="s">
        <v>207</v>
      </c>
      <c r="O4092" s="345" t="s">
        <v>208</v>
      </c>
      <c r="P4092" s="345" t="s">
        <v>209</v>
      </c>
      <c r="Q4092" s="345" t="s">
        <v>210</v>
      </c>
      <c r="R4092" s="345" t="s">
        <v>223</v>
      </c>
      <c r="S4092" s="345" t="s">
        <v>224</v>
      </c>
    </row>
    <row r="4093" spans="1:19" x14ac:dyDescent="0.25">
      <c r="A4093" s="311"/>
      <c r="B4093" s="312"/>
      <c r="C4093" s="312"/>
      <c r="D4093" s="312"/>
      <c r="E4093" s="312"/>
      <c r="F4093" s="312"/>
      <c r="G4093" s="328"/>
      <c r="H4093" s="337"/>
      <c r="I4093" s="334"/>
      <c r="J4093" s="314"/>
      <c r="K4093" s="449"/>
      <c r="M4093" s="349" t="str">
        <f>N4093&amp;AS[[#This Row],[Insurer Code]]&amp;"; "&amp;O4093&amp;AS[[#This Row],[Reporting Year]]&amp;"; "&amp;P4093&amp;AS[[#This Row],[Insurance Category Code]]&amp;"; "&amp;Q4093&amp;AS[[#This Row],[Large Provider Entity Code]]&amp;"; "&amp;R4093&amp;AS[[#This Row],[Age Band Code]]&amp;"; "&amp;S4093&amp;AS[[#This Row],[Sex Code]]</f>
        <v xml:space="preserve">Insurer Code ; Reporting Year ; Insurance Category Code ; Large Provider Entity Code ; Age Band Code ; Sex Code </v>
      </c>
      <c r="N4093" s="345" t="s">
        <v>207</v>
      </c>
      <c r="O4093" s="345" t="s">
        <v>208</v>
      </c>
      <c r="P4093" s="345" t="s">
        <v>209</v>
      </c>
      <c r="Q4093" s="345" t="s">
        <v>210</v>
      </c>
      <c r="R4093" s="345" t="s">
        <v>223</v>
      </c>
      <c r="S4093" s="345" t="s">
        <v>224</v>
      </c>
    </row>
    <row r="4094" spans="1:19" x14ac:dyDescent="0.25">
      <c r="A4094" s="311"/>
      <c r="B4094" s="312"/>
      <c r="C4094" s="312"/>
      <c r="D4094" s="312"/>
      <c r="E4094" s="312"/>
      <c r="F4094" s="312"/>
      <c r="G4094" s="328"/>
      <c r="H4094" s="337"/>
      <c r="I4094" s="334"/>
      <c r="J4094" s="314"/>
      <c r="K4094" s="449"/>
      <c r="M4094" s="349" t="str">
        <f>N4094&amp;AS[[#This Row],[Insurer Code]]&amp;"; "&amp;O4094&amp;AS[[#This Row],[Reporting Year]]&amp;"; "&amp;P4094&amp;AS[[#This Row],[Insurance Category Code]]&amp;"; "&amp;Q4094&amp;AS[[#This Row],[Large Provider Entity Code]]&amp;"; "&amp;R4094&amp;AS[[#This Row],[Age Band Code]]&amp;"; "&amp;S4094&amp;AS[[#This Row],[Sex Code]]</f>
        <v xml:space="preserve">Insurer Code ; Reporting Year ; Insurance Category Code ; Large Provider Entity Code ; Age Band Code ; Sex Code </v>
      </c>
      <c r="N4094" s="345" t="s">
        <v>207</v>
      </c>
      <c r="O4094" s="345" t="s">
        <v>208</v>
      </c>
      <c r="P4094" s="345" t="s">
        <v>209</v>
      </c>
      <c r="Q4094" s="345" t="s">
        <v>210</v>
      </c>
      <c r="R4094" s="345" t="s">
        <v>223</v>
      </c>
      <c r="S4094" s="345" t="s">
        <v>224</v>
      </c>
    </row>
    <row r="4095" spans="1:19" x14ac:dyDescent="0.25">
      <c r="A4095" s="311"/>
      <c r="B4095" s="312"/>
      <c r="C4095" s="312"/>
      <c r="D4095" s="312"/>
      <c r="E4095" s="312"/>
      <c r="F4095" s="312"/>
      <c r="G4095" s="328"/>
      <c r="H4095" s="337"/>
      <c r="I4095" s="334"/>
      <c r="J4095" s="314"/>
      <c r="K4095" s="449"/>
      <c r="M4095" s="349" t="str">
        <f>N4095&amp;AS[[#This Row],[Insurer Code]]&amp;"; "&amp;O4095&amp;AS[[#This Row],[Reporting Year]]&amp;"; "&amp;P4095&amp;AS[[#This Row],[Insurance Category Code]]&amp;"; "&amp;Q4095&amp;AS[[#This Row],[Large Provider Entity Code]]&amp;"; "&amp;R4095&amp;AS[[#This Row],[Age Band Code]]&amp;"; "&amp;S4095&amp;AS[[#This Row],[Sex Code]]</f>
        <v xml:space="preserve">Insurer Code ; Reporting Year ; Insurance Category Code ; Large Provider Entity Code ; Age Band Code ; Sex Code </v>
      </c>
      <c r="N4095" s="345" t="s">
        <v>207</v>
      </c>
      <c r="O4095" s="345" t="s">
        <v>208</v>
      </c>
      <c r="P4095" s="345" t="s">
        <v>209</v>
      </c>
      <c r="Q4095" s="345" t="s">
        <v>210</v>
      </c>
      <c r="R4095" s="345" t="s">
        <v>223</v>
      </c>
      <c r="S4095" s="345" t="s">
        <v>224</v>
      </c>
    </row>
    <row r="4096" spans="1:19" x14ac:dyDescent="0.25">
      <c r="A4096" s="311"/>
      <c r="B4096" s="312"/>
      <c r="C4096" s="312"/>
      <c r="D4096" s="312"/>
      <c r="E4096" s="312"/>
      <c r="F4096" s="312"/>
      <c r="G4096" s="328"/>
      <c r="H4096" s="337"/>
      <c r="I4096" s="334"/>
      <c r="J4096" s="314"/>
      <c r="K4096" s="449"/>
      <c r="M4096" s="349" t="str">
        <f>N4096&amp;AS[[#This Row],[Insurer Code]]&amp;"; "&amp;O4096&amp;AS[[#This Row],[Reporting Year]]&amp;"; "&amp;P4096&amp;AS[[#This Row],[Insurance Category Code]]&amp;"; "&amp;Q4096&amp;AS[[#This Row],[Large Provider Entity Code]]&amp;"; "&amp;R4096&amp;AS[[#This Row],[Age Band Code]]&amp;"; "&amp;S4096&amp;AS[[#This Row],[Sex Code]]</f>
        <v xml:space="preserve">Insurer Code ; Reporting Year ; Insurance Category Code ; Large Provider Entity Code ; Age Band Code ; Sex Code </v>
      </c>
      <c r="N4096" s="345" t="s">
        <v>207</v>
      </c>
      <c r="O4096" s="345" t="s">
        <v>208</v>
      </c>
      <c r="P4096" s="345" t="s">
        <v>209</v>
      </c>
      <c r="Q4096" s="345" t="s">
        <v>210</v>
      </c>
      <c r="R4096" s="345" t="s">
        <v>223</v>
      </c>
      <c r="S4096" s="345" t="s">
        <v>224</v>
      </c>
    </row>
    <row r="4097" spans="1:19" x14ac:dyDescent="0.25">
      <c r="A4097" s="311"/>
      <c r="B4097" s="312"/>
      <c r="C4097" s="312"/>
      <c r="D4097" s="312"/>
      <c r="E4097" s="312"/>
      <c r="F4097" s="312"/>
      <c r="G4097" s="328"/>
      <c r="H4097" s="337"/>
      <c r="I4097" s="334"/>
      <c r="J4097" s="314"/>
      <c r="K4097" s="449"/>
      <c r="M4097" s="349" t="str">
        <f>N4097&amp;AS[[#This Row],[Insurer Code]]&amp;"; "&amp;O4097&amp;AS[[#This Row],[Reporting Year]]&amp;"; "&amp;P4097&amp;AS[[#This Row],[Insurance Category Code]]&amp;"; "&amp;Q4097&amp;AS[[#This Row],[Large Provider Entity Code]]&amp;"; "&amp;R4097&amp;AS[[#This Row],[Age Band Code]]&amp;"; "&amp;S4097&amp;AS[[#This Row],[Sex Code]]</f>
        <v xml:space="preserve">Insurer Code ; Reporting Year ; Insurance Category Code ; Large Provider Entity Code ; Age Band Code ; Sex Code </v>
      </c>
      <c r="N4097" s="345" t="s">
        <v>207</v>
      </c>
      <c r="O4097" s="345" t="s">
        <v>208</v>
      </c>
      <c r="P4097" s="345" t="s">
        <v>209</v>
      </c>
      <c r="Q4097" s="345" t="s">
        <v>210</v>
      </c>
      <c r="R4097" s="345" t="s">
        <v>223</v>
      </c>
      <c r="S4097" s="345" t="s">
        <v>224</v>
      </c>
    </row>
    <row r="4098" spans="1:19" x14ac:dyDescent="0.25">
      <c r="A4098" s="311"/>
      <c r="B4098" s="312"/>
      <c r="C4098" s="312"/>
      <c r="D4098" s="312"/>
      <c r="E4098" s="312"/>
      <c r="F4098" s="312"/>
      <c r="G4098" s="328"/>
      <c r="H4098" s="337"/>
      <c r="I4098" s="334"/>
      <c r="J4098" s="314"/>
      <c r="K4098" s="449"/>
      <c r="M4098" s="349" t="str">
        <f>N4098&amp;AS[[#This Row],[Insurer Code]]&amp;"; "&amp;O4098&amp;AS[[#This Row],[Reporting Year]]&amp;"; "&amp;P4098&amp;AS[[#This Row],[Insurance Category Code]]&amp;"; "&amp;Q4098&amp;AS[[#This Row],[Large Provider Entity Code]]&amp;"; "&amp;R4098&amp;AS[[#This Row],[Age Band Code]]&amp;"; "&amp;S4098&amp;AS[[#This Row],[Sex Code]]</f>
        <v xml:space="preserve">Insurer Code ; Reporting Year ; Insurance Category Code ; Large Provider Entity Code ; Age Band Code ; Sex Code </v>
      </c>
      <c r="N4098" s="345" t="s">
        <v>207</v>
      </c>
      <c r="O4098" s="345" t="s">
        <v>208</v>
      </c>
      <c r="P4098" s="345" t="s">
        <v>209</v>
      </c>
      <c r="Q4098" s="345" t="s">
        <v>210</v>
      </c>
      <c r="R4098" s="345" t="s">
        <v>223</v>
      </c>
      <c r="S4098" s="345" t="s">
        <v>224</v>
      </c>
    </row>
    <row r="4099" spans="1:19" x14ac:dyDescent="0.25">
      <c r="A4099" s="311"/>
      <c r="B4099" s="312"/>
      <c r="C4099" s="312"/>
      <c r="D4099" s="312"/>
      <c r="E4099" s="312"/>
      <c r="F4099" s="312"/>
      <c r="G4099" s="328"/>
      <c r="H4099" s="337"/>
      <c r="I4099" s="334"/>
      <c r="J4099" s="314"/>
      <c r="K4099" s="449"/>
      <c r="M4099" s="349" t="str">
        <f>N4099&amp;AS[[#This Row],[Insurer Code]]&amp;"; "&amp;O4099&amp;AS[[#This Row],[Reporting Year]]&amp;"; "&amp;P4099&amp;AS[[#This Row],[Insurance Category Code]]&amp;"; "&amp;Q4099&amp;AS[[#This Row],[Large Provider Entity Code]]&amp;"; "&amp;R4099&amp;AS[[#This Row],[Age Band Code]]&amp;"; "&amp;S4099&amp;AS[[#This Row],[Sex Code]]</f>
        <v xml:space="preserve">Insurer Code ; Reporting Year ; Insurance Category Code ; Large Provider Entity Code ; Age Band Code ; Sex Code </v>
      </c>
      <c r="N4099" s="345" t="s">
        <v>207</v>
      </c>
      <c r="O4099" s="345" t="s">
        <v>208</v>
      </c>
      <c r="P4099" s="345" t="s">
        <v>209</v>
      </c>
      <c r="Q4099" s="345" t="s">
        <v>210</v>
      </c>
      <c r="R4099" s="345" t="s">
        <v>223</v>
      </c>
      <c r="S4099" s="345" t="s">
        <v>224</v>
      </c>
    </row>
    <row r="4100" spans="1:19" x14ac:dyDescent="0.25">
      <c r="A4100" s="311"/>
      <c r="B4100" s="312"/>
      <c r="C4100" s="312"/>
      <c r="D4100" s="312"/>
      <c r="E4100" s="312"/>
      <c r="F4100" s="312"/>
      <c r="G4100" s="328"/>
      <c r="H4100" s="337"/>
      <c r="I4100" s="334"/>
      <c r="J4100" s="314"/>
      <c r="K4100" s="449"/>
      <c r="M4100" s="349" t="str">
        <f>N4100&amp;AS[[#This Row],[Insurer Code]]&amp;"; "&amp;O4100&amp;AS[[#This Row],[Reporting Year]]&amp;"; "&amp;P4100&amp;AS[[#This Row],[Insurance Category Code]]&amp;"; "&amp;Q4100&amp;AS[[#This Row],[Large Provider Entity Code]]&amp;"; "&amp;R4100&amp;AS[[#This Row],[Age Band Code]]&amp;"; "&amp;S4100&amp;AS[[#This Row],[Sex Code]]</f>
        <v xml:space="preserve">Insurer Code ; Reporting Year ; Insurance Category Code ; Large Provider Entity Code ; Age Band Code ; Sex Code </v>
      </c>
      <c r="N4100" s="345" t="s">
        <v>207</v>
      </c>
      <c r="O4100" s="345" t="s">
        <v>208</v>
      </c>
      <c r="P4100" s="345" t="s">
        <v>209</v>
      </c>
      <c r="Q4100" s="345" t="s">
        <v>210</v>
      </c>
      <c r="R4100" s="345" t="s">
        <v>223</v>
      </c>
      <c r="S4100" s="345" t="s">
        <v>224</v>
      </c>
    </row>
    <row r="4101" spans="1:19" x14ac:dyDescent="0.25">
      <c r="A4101" s="311"/>
      <c r="B4101" s="312"/>
      <c r="C4101" s="312"/>
      <c r="D4101" s="312"/>
      <c r="E4101" s="312"/>
      <c r="F4101" s="312"/>
      <c r="G4101" s="328"/>
      <c r="H4101" s="337"/>
      <c r="I4101" s="334"/>
      <c r="J4101" s="314"/>
      <c r="K4101" s="449"/>
      <c r="M4101" s="349" t="str">
        <f>N4101&amp;AS[[#This Row],[Insurer Code]]&amp;"; "&amp;O4101&amp;AS[[#This Row],[Reporting Year]]&amp;"; "&amp;P4101&amp;AS[[#This Row],[Insurance Category Code]]&amp;"; "&amp;Q4101&amp;AS[[#This Row],[Large Provider Entity Code]]&amp;"; "&amp;R4101&amp;AS[[#This Row],[Age Band Code]]&amp;"; "&amp;S4101&amp;AS[[#This Row],[Sex Code]]</f>
        <v xml:space="preserve">Insurer Code ; Reporting Year ; Insurance Category Code ; Large Provider Entity Code ; Age Band Code ; Sex Code </v>
      </c>
      <c r="N4101" s="345" t="s">
        <v>207</v>
      </c>
      <c r="O4101" s="345" t="s">
        <v>208</v>
      </c>
      <c r="P4101" s="345" t="s">
        <v>209</v>
      </c>
      <c r="Q4101" s="345" t="s">
        <v>210</v>
      </c>
      <c r="R4101" s="345" t="s">
        <v>223</v>
      </c>
      <c r="S4101" s="345" t="s">
        <v>224</v>
      </c>
    </row>
    <row r="4102" spans="1:19" x14ac:dyDescent="0.25">
      <c r="A4102" s="311"/>
      <c r="B4102" s="312"/>
      <c r="C4102" s="312"/>
      <c r="D4102" s="312"/>
      <c r="E4102" s="312"/>
      <c r="F4102" s="312"/>
      <c r="G4102" s="328"/>
      <c r="H4102" s="337"/>
      <c r="I4102" s="334"/>
      <c r="J4102" s="314"/>
      <c r="K4102" s="449"/>
      <c r="M4102" s="349" t="str">
        <f>N4102&amp;AS[[#This Row],[Insurer Code]]&amp;"; "&amp;O4102&amp;AS[[#This Row],[Reporting Year]]&amp;"; "&amp;P4102&amp;AS[[#This Row],[Insurance Category Code]]&amp;"; "&amp;Q4102&amp;AS[[#This Row],[Large Provider Entity Code]]&amp;"; "&amp;R4102&amp;AS[[#This Row],[Age Band Code]]&amp;"; "&amp;S4102&amp;AS[[#This Row],[Sex Code]]</f>
        <v xml:space="preserve">Insurer Code ; Reporting Year ; Insurance Category Code ; Large Provider Entity Code ; Age Band Code ; Sex Code </v>
      </c>
      <c r="N4102" s="345" t="s">
        <v>207</v>
      </c>
      <c r="O4102" s="345" t="s">
        <v>208</v>
      </c>
      <c r="P4102" s="345" t="s">
        <v>209</v>
      </c>
      <c r="Q4102" s="345" t="s">
        <v>210</v>
      </c>
      <c r="R4102" s="345" t="s">
        <v>223</v>
      </c>
      <c r="S4102" s="345" t="s">
        <v>224</v>
      </c>
    </row>
    <row r="4103" spans="1:19" x14ac:dyDescent="0.25">
      <c r="A4103" s="311"/>
      <c r="B4103" s="312"/>
      <c r="C4103" s="312"/>
      <c r="D4103" s="312"/>
      <c r="E4103" s="312"/>
      <c r="F4103" s="312"/>
      <c r="G4103" s="328"/>
      <c r="H4103" s="337"/>
      <c r="I4103" s="334"/>
      <c r="J4103" s="314"/>
      <c r="K4103" s="449"/>
      <c r="M4103" s="349" t="str">
        <f>N4103&amp;AS[[#This Row],[Insurer Code]]&amp;"; "&amp;O4103&amp;AS[[#This Row],[Reporting Year]]&amp;"; "&amp;P4103&amp;AS[[#This Row],[Insurance Category Code]]&amp;"; "&amp;Q4103&amp;AS[[#This Row],[Large Provider Entity Code]]&amp;"; "&amp;R4103&amp;AS[[#This Row],[Age Band Code]]&amp;"; "&amp;S4103&amp;AS[[#This Row],[Sex Code]]</f>
        <v xml:space="preserve">Insurer Code ; Reporting Year ; Insurance Category Code ; Large Provider Entity Code ; Age Band Code ; Sex Code </v>
      </c>
      <c r="N4103" s="345" t="s">
        <v>207</v>
      </c>
      <c r="O4103" s="345" t="s">
        <v>208</v>
      </c>
      <c r="P4103" s="345" t="s">
        <v>209</v>
      </c>
      <c r="Q4103" s="345" t="s">
        <v>210</v>
      </c>
      <c r="R4103" s="345" t="s">
        <v>223</v>
      </c>
      <c r="S4103" s="345" t="s">
        <v>224</v>
      </c>
    </row>
    <row r="4104" spans="1:19" x14ac:dyDescent="0.25">
      <c r="A4104" s="311"/>
      <c r="B4104" s="312"/>
      <c r="C4104" s="312"/>
      <c r="D4104" s="312"/>
      <c r="E4104" s="312"/>
      <c r="F4104" s="312"/>
      <c r="G4104" s="328"/>
      <c r="H4104" s="453"/>
      <c r="I4104" s="334"/>
      <c r="J4104" s="314"/>
      <c r="K4104" s="454"/>
      <c r="M4104" s="349" t="str">
        <f>N4104&amp;AS[[#This Row],[Insurer Code]]&amp;"; "&amp;O4104&amp;AS[[#This Row],[Reporting Year]]&amp;"; "&amp;P4104&amp;AS[[#This Row],[Insurance Category Code]]&amp;"; "&amp;Q4104&amp;AS[[#This Row],[Large Provider Entity Code]]&amp;"; "&amp;R4104&amp;AS[[#This Row],[Age Band Code]]&amp;"; "&amp;S4104&amp;AS[[#This Row],[Sex Code]]</f>
        <v xml:space="preserve">Insurer Code ; Reporting Year ; Insurance Category Code ; Large Provider Entity Code ; Age Band Code ; Sex Code </v>
      </c>
      <c r="N4104" s="345" t="s">
        <v>207</v>
      </c>
      <c r="O4104" s="345" t="s">
        <v>208</v>
      </c>
      <c r="P4104" s="345" t="s">
        <v>209</v>
      </c>
      <c r="Q4104" s="345" t="s">
        <v>210</v>
      </c>
      <c r="R4104" s="345" t="s">
        <v>223</v>
      </c>
      <c r="S4104" s="345" t="s">
        <v>224</v>
      </c>
    </row>
    <row r="4105" spans="1:19" x14ac:dyDescent="0.25">
      <c r="A4105" s="311"/>
      <c r="B4105" s="312"/>
      <c r="C4105" s="312"/>
      <c r="D4105" s="312"/>
      <c r="E4105" s="312"/>
      <c r="F4105" s="312"/>
      <c r="G4105" s="328"/>
      <c r="H4105" s="453"/>
      <c r="I4105" s="334"/>
      <c r="J4105" s="314"/>
      <c r="K4105" s="454"/>
      <c r="M4105" s="349" t="str">
        <f>N4105&amp;AS[[#This Row],[Insurer Code]]&amp;"; "&amp;O4105&amp;AS[[#This Row],[Reporting Year]]&amp;"; "&amp;P4105&amp;AS[[#This Row],[Insurance Category Code]]&amp;"; "&amp;Q4105&amp;AS[[#This Row],[Large Provider Entity Code]]&amp;"; "&amp;R4105&amp;AS[[#This Row],[Age Band Code]]&amp;"; "&amp;S4105&amp;AS[[#This Row],[Sex Code]]</f>
        <v xml:space="preserve">Insurer Code ; Reporting Year ; Insurance Category Code ; Large Provider Entity Code ; Age Band Code ; Sex Code </v>
      </c>
      <c r="N4105" s="345" t="s">
        <v>207</v>
      </c>
      <c r="O4105" s="345" t="s">
        <v>208</v>
      </c>
      <c r="P4105" s="345" t="s">
        <v>209</v>
      </c>
      <c r="Q4105" s="345" t="s">
        <v>210</v>
      </c>
      <c r="R4105" s="345" t="s">
        <v>223</v>
      </c>
      <c r="S4105" s="345" t="s">
        <v>224</v>
      </c>
    </row>
    <row r="4106" spans="1:19" x14ac:dyDescent="0.25">
      <c r="A4106" s="311"/>
      <c r="B4106" s="312"/>
      <c r="C4106" s="312"/>
      <c r="D4106" s="312"/>
      <c r="E4106" s="312"/>
      <c r="F4106" s="312"/>
      <c r="G4106" s="328"/>
      <c r="H4106" s="453"/>
      <c r="I4106" s="334"/>
      <c r="J4106" s="314"/>
      <c r="K4106" s="454"/>
      <c r="M4106" s="349" t="str">
        <f>N4106&amp;AS[[#This Row],[Insurer Code]]&amp;"; "&amp;O4106&amp;AS[[#This Row],[Reporting Year]]&amp;"; "&amp;P4106&amp;AS[[#This Row],[Insurance Category Code]]&amp;"; "&amp;Q4106&amp;AS[[#This Row],[Large Provider Entity Code]]&amp;"; "&amp;R4106&amp;AS[[#This Row],[Age Band Code]]&amp;"; "&amp;S4106&amp;AS[[#This Row],[Sex Code]]</f>
        <v xml:space="preserve">Insurer Code ; Reporting Year ; Insurance Category Code ; Large Provider Entity Code ; Age Band Code ; Sex Code </v>
      </c>
      <c r="N4106" s="345" t="s">
        <v>207</v>
      </c>
      <c r="O4106" s="345" t="s">
        <v>208</v>
      </c>
      <c r="P4106" s="345" t="s">
        <v>209</v>
      </c>
      <c r="Q4106" s="345" t="s">
        <v>210</v>
      </c>
      <c r="R4106" s="345" t="s">
        <v>223</v>
      </c>
      <c r="S4106" s="345" t="s">
        <v>224</v>
      </c>
    </row>
    <row r="4107" spans="1:19" x14ac:dyDescent="0.25">
      <c r="A4107" s="311"/>
      <c r="B4107" s="312"/>
      <c r="C4107" s="312"/>
      <c r="D4107" s="312"/>
      <c r="E4107" s="312"/>
      <c r="F4107" s="312"/>
      <c r="G4107" s="328"/>
      <c r="H4107" s="453"/>
      <c r="I4107" s="334"/>
      <c r="J4107" s="314"/>
      <c r="K4107" s="454"/>
      <c r="M4107" s="349" t="str">
        <f>N4107&amp;AS[[#This Row],[Insurer Code]]&amp;"; "&amp;O4107&amp;AS[[#This Row],[Reporting Year]]&amp;"; "&amp;P4107&amp;AS[[#This Row],[Insurance Category Code]]&amp;"; "&amp;Q4107&amp;AS[[#This Row],[Large Provider Entity Code]]&amp;"; "&amp;R4107&amp;AS[[#This Row],[Age Band Code]]&amp;"; "&amp;S4107&amp;AS[[#This Row],[Sex Code]]</f>
        <v xml:space="preserve">Insurer Code ; Reporting Year ; Insurance Category Code ; Large Provider Entity Code ; Age Band Code ; Sex Code </v>
      </c>
      <c r="N4107" s="345" t="s">
        <v>207</v>
      </c>
      <c r="O4107" s="345" t="s">
        <v>208</v>
      </c>
      <c r="P4107" s="345" t="s">
        <v>209</v>
      </c>
      <c r="Q4107" s="345" t="s">
        <v>210</v>
      </c>
      <c r="R4107" s="345" t="s">
        <v>223</v>
      </c>
      <c r="S4107" s="345" t="s">
        <v>224</v>
      </c>
    </row>
    <row r="4108" spans="1:19" x14ac:dyDescent="0.25">
      <c r="A4108" s="311"/>
      <c r="B4108" s="312"/>
      <c r="C4108" s="312"/>
      <c r="D4108" s="312"/>
      <c r="E4108" s="312"/>
      <c r="F4108" s="312"/>
      <c r="G4108" s="328"/>
      <c r="H4108" s="453"/>
      <c r="I4108" s="334"/>
      <c r="J4108" s="314"/>
      <c r="K4108" s="454"/>
      <c r="M4108" s="349" t="str">
        <f>N4108&amp;AS[[#This Row],[Insurer Code]]&amp;"; "&amp;O4108&amp;AS[[#This Row],[Reporting Year]]&amp;"; "&amp;P4108&amp;AS[[#This Row],[Insurance Category Code]]&amp;"; "&amp;Q4108&amp;AS[[#This Row],[Large Provider Entity Code]]&amp;"; "&amp;R4108&amp;AS[[#This Row],[Age Band Code]]&amp;"; "&amp;S4108&amp;AS[[#This Row],[Sex Code]]</f>
        <v xml:space="preserve">Insurer Code ; Reporting Year ; Insurance Category Code ; Large Provider Entity Code ; Age Band Code ; Sex Code </v>
      </c>
      <c r="N4108" s="345" t="s">
        <v>207</v>
      </c>
      <c r="O4108" s="345" t="s">
        <v>208</v>
      </c>
      <c r="P4108" s="345" t="s">
        <v>209</v>
      </c>
      <c r="Q4108" s="345" t="s">
        <v>210</v>
      </c>
      <c r="R4108" s="345" t="s">
        <v>223</v>
      </c>
      <c r="S4108" s="345" t="s">
        <v>224</v>
      </c>
    </row>
    <row r="4109" spans="1:19" x14ac:dyDescent="0.25">
      <c r="A4109" s="311"/>
      <c r="B4109" s="312"/>
      <c r="C4109" s="312"/>
      <c r="D4109" s="312"/>
      <c r="E4109" s="312"/>
      <c r="F4109" s="312"/>
      <c r="G4109" s="328"/>
      <c r="H4109" s="453"/>
      <c r="I4109" s="334"/>
      <c r="J4109" s="314"/>
      <c r="K4109" s="454"/>
      <c r="M4109" s="349" t="str">
        <f>N4109&amp;AS[[#This Row],[Insurer Code]]&amp;"; "&amp;O4109&amp;AS[[#This Row],[Reporting Year]]&amp;"; "&amp;P4109&amp;AS[[#This Row],[Insurance Category Code]]&amp;"; "&amp;Q4109&amp;AS[[#This Row],[Large Provider Entity Code]]&amp;"; "&amp;R4109&amp;AS[[#This Row],[Age Band Code]]&amp;"; "&amp;S4109&amp;AS[[#This Row],[Sex Code]]</f>
        <v xml:space="preserve">Insurer Code ; Reporting Year ; Insurance Category Code ; Large Provider Entity Code ; Age Band Code ; Sex Code </v>
      </c>
      <c r="N4109" s="345" t="s">
        <v>207</v>
      </c>
      <c r="O4109" s="345" t="s">
        <v>208</v>
      </c>
      <c r="P4109" s="345" t="s">
        <v>209</v>
      </c>
      <c r="Q4109" s="345" t="s">
        <v>210</v>
      </c>
      <c r="R4109" s="345" t="s">
        <v>223</v>
      </c>
      <c r="S4109" s="345" t="s">
        <v>224</v>
      </c>
    </row>
    <row r="4110" spans="1:19" x14ac:dyDescent="0.25">
      <c r="A4110" s="311"/>
      <c r="B4110" s="312"/>
      <c r="C4110" s="312"/>
      <c r="D4110" s="312"/>
      <c r="E4110" s="312"/>
      <c r="F4110" s="312"/>
      <c r="G4110" s="328"/>
      <c r="H4110" s="453"/>
      <c r="I4110" s="334"/>
      <c r="J4110" s="314"/>
      <c r="K4110" s="454"/>
      <c r="M4110" s="349" t="str">
        <f>N4110&amp;AS[[#This Row],[Insurer Code]]&amp;"; "&amp;O4110&amp;AS[[#This Row],[Reporting Year]]&amp;"; "&amp;P4110&amp;AS[[#This Row],[Insurance Category Code]]&amp;"; "&amp;Q4110&amp;AS[[#This Row],[Large Provider Entity Code]]&amp;"; "&amp;R4110&amp;AS[[#This Row],[Age Band Code]]&amp;"; "&amp;S4110&amp;AS[[#This Row],[Sex Code]]</f>
        <v xml:space="preserve">Insurer Code ; Reporting Year ; Insurance Category Code ; Large Provider Entity Code ; Age Band Code ; Sex Code </v>
      </c>
      <c r="N4110" s="345" t="s">
        <v>207</v>
      </c>
      <c r="O4110" s="345" t="s">
        <v>208</v>
      </c>
      <c r="P4110" s="345" t="s">
        <v>209</v>
      </c>
      <c r="Q4110" s="345" t="s">
        <v>210</v>
      </c>
      <c r="R4110" s="345" t="s">
        <v>223</v>
      </c>
      <c r="S4110" s="345" t="s">
        <v>224</v>
      </c>
    </row>
    <row r="4111" spans="1:19" x14ac:dyDescent="0.25">
      <c r="A4111" s="311"/>
      <c r="B4111" s="312"/>
      <c r="C4111" s="312"/>
      <c r="D4111" s="312"/>
      <c r="E4111" s="312"/>
      <c r="F4111" s="312"/>
      <c r="G4111" s="328"/>
      <c r="H4111" s="453"/>
      <c r="I4111" s="334"/>
      <c r="J4111" s="314"/>
      <c r="K4111" s="454"/>
      <c r="M4111" s="349" t="str">
        <f>N4111&amp;AS[[#This Row],[Insurer Code]]&amp;"; "&amp;O4111&amp;AS[[#This Row],[Reporting Year]]&amp;"; "&amp;P4111&amp;AS[[#This Row],[Insurance Category Code]]&amp;"; "&amp;Q4111&amp;AS[[#This Row],[Large Provider Entity Code]]&amp;"; "&amp;R4111&amp;AS[[#This Row],[Age Band Code]]&amp;"; "&amp;S4111&amp;AS[[#This Row],[Sex Code]]</f>
        <v xml:space="preserve">Insurer Code ; Reporting Year ; Insurance Category Code ; Large Provider Entity Code ; Age Band Code ; Sex Code </v>
      </c>
      <c r="N4111" s="345" t="s">
        <v>207</v>
      </c>
      <c r="O4111" s="345" t="s">
        <v>208</v>
      </c>
      <c r="P4111" s="345" t="s">
        <v>209</v>
      </c>
      <c r="Q4111" s="345" t="s">
        <v>210</v>
      </c>
      <c r="R4111" s="345" t="s">
        <v>223</v>
      </c>
      <c r="S4111" s="345" t="s">
        <v>224</v>
      </c>
    </row>
    <row r="4112" spans="1:19" x14ac:dyDescent="0.25">
      <c r="A4112" s="311"/>
      <c r="B4112" s="312"/>
      <c r="C4112" s="312"/>
      <c r="D4112" s="312"/>
      <c r="E4112" s="312"/>
      <c r="F4112" s="312"/>
      <c r="G4112" s="328"/>
      <c r="H4112" s="453"/>
      <c r="I4112" s="334"/>
      <c r="J4112" s="314"/>
      <c r="K4112" s="454"/>
      <c r="M4112" s="349" t="str">
        <f>N4112&amp;AS[[#This Row],[Insurer Code]]&amp;"; "&amp;O4112&amp;AS[[#This Row],[Reporting Year]]&amp;"; "&amp;P4112&amp;AS[[#This Row],[Insurance Category Code]]&amp;"; "&amp;Q4112&amp;AS[[#This Row],[Large Provider Entity Code]]&amp;"; "&amp;R4112&amp;AS[[#This Row],[Age Band Code]]&amp;"; "&amp;S4112&amp;AS[[#This Row],[Sex Code]]</f>
        <v xml:space="preserve">Insurer Code ; Reporting Year ; Insurance Category Code ; Large Provider Entity Code ; Age Band Code ; Sex Code </v>
      </c>
      <c r="N4112" s="345" t="s">
        <v>207</v>
      </c>
      <c r="O4112" s="345" t="s">
        <v>208</v>
      </c>
      <c r="P4112" s="345" t="s">
        <v>209</v>
      </c>
      <c r="Q4112" s="345" t="s">
        <v>210</v>
      </c>
      <c r="R4112" s="345" t="s">
        <v>223</v>
      </c>
      <c r="S4112" s="345" t="s">
        <v>224</v>
      </c>
    </row>
    <row r="4113" spans="1:19" x14ac:dyDescent="0.25">
      <c r="A4113" s="311"/>
      <c r="B4113" s="312"/>
      <c r="C4113" s="312"/>
      <c r="D4113" s="312"/>
      <c r="E4113" s="312"/>
      <c r="F4113" s="312"/>
      <c r="G4113" s="328"/>
      <c r="H4113" s="453"/>
      <c r="I4113" s="334"/>
      <c r="J4113" s="314"/>
      <c r="K4113" s="454"/>
      <c r="M4113" s="349" t="str">
        <f>N4113&amp;AS[[#This Row],[Insurer Code]]&amp;"; "&amp;O4113&amp;AS[[#This Row],[Reporting Year]]&amp;"; "&amp;P4113&amp;AS[[#This Row],[Insurance Category Code]]&amp;"; "&amp;Q4113&amp;AS[[#This Row],[Large Provider Entity Code]]&amp;"; "&amp;R4113&amp;AS[[#This Row],[Age Band Code]]&amp;"; "&amp;S4113&amp;AS[[#This Row],[Sex Code]]</f>
        <v xml:space="preserve">Insurer Code ; Reporting Year ; Insurance Category Code ; Large Provider Entity Code ; Age Band Code ; Sex Code </v>
      </c>
      <c r="N4113" s="345" t="s">
        <v>207</v>
      </c>
      <c r="O4113" s="345" t="s">
        <v>208</v>
      </c>
      <c r="P4113" s="345" t="s">
        <v>209</v>
      </c>
      <c r="Q4113" s="345" t="s">
        <v>210</v>
      </c>
      <c r="R4113" s="345" t="s">
        <v>223</v>
      </c>
      <c r="S4113" s="345" t="s">
        <v>224</v>
      </c>
    </row>
    <row r="4114" spans="1:19" x14ac:dyDescent="0.25">
      <c r="A4114" s="311"/>
      <c r="B4114" s="312"/>
      <c r="C4114" s="312"/>
      <c r="D4114" s="312"/>
      <c r="E4114" s="312"/>
      <c r="F4114" s="312"/>
      <c r="G4114" s="328"/>
      <c r="H4114" s="453"/>
      <c r="I4114" s="334"/>
      <c r="J4114" s="314"/>
      <c r="K4114" s="454"/>
      <c r="M4114" s="349" t="str">
        <f>N4114&amp;AS[[#This Row],[Insurer Code]]&amp;"; "&amp;O4114&amp;AS[[#This Row],[Reporting Year]]&amp;"; "&amp;P4114&amp;AS[[#This Row],[Insurance Category Code]]&amp;"; "&amp;Q4114&amp;AS[[#This Row],[Large Provider Entity Code]]&amp;"; "&amp;R4114&amp;AS[[#This Row],[Age Band Code]]&amp;"; "&amp;S4114&amp;AS[[#This Row],[Sex Code]]</f>
        <v xml:space="preserve">Insurer Code ; Reporting Year ; Insurance Category Code ; Large Provider Entity Code ; Age Band Code ; Sex Code </v>
      </c>
      <c r="N4114" s="345" t="s">
        <v>207</v>
      </c>
      <c r="O4114" s="345" t="s">
        <v>208</v>
      </c>
      <c r="P4114" s="345" t="s">
        <v>209</v>
      </c>
      <c r="Q4114" s="345" t="s">
        <v>210</v>
      </c>
      <c r="R4114" s="345" t="s">
        <v>223</v>
      </c>
      <c r="S4114" s="345" t="s">
        <v>224</v>
      </c>
    </row>
    <row r="4115" spans="1:19" x14ac:dyDescent="0.25">
      <c r="A4115" s="311"/>
      <c r="B4115" s="312"/>
      <c r="C4115" s="312"/>
      <c r="D4115" s="312"/>
      <c r="E4115" s="312"/>
      <c r="F4115" s="312"/>
      <c r="G4115" s="335"/>
      <c r="H4115" s="336"/>
      <c r="I4115" s="334"/>
      <c r="J4115" s="332"/>
      <c r="K4115" s="449"/>
      <c r="M4115" s="349" t="str">
        <f>N4115&amp;AS[[#This Row],[Insurer Code]]&amp;"; "&amp;O4115&amp;AS[[#This Row],[Reporting Year]]&amp;"; "&amp;P4115&amp;AS[[#This Row],[Insurance Category Code]]&amp;"; "&amp;Q4115&amp;AS[[#This Row],[Large Provider Entity Code]]&amp;"; "&amp;R4115&amp;AS[[#This Row],[Age Band Code]]&amp;"; "&amp;S4115&amp;AS[[#This Row],[Sex Code]]</f>
        <v xml:space="preserve">Insurer Code ; Reporting Year ; Insurance Category Code ; Large Provider Entity Code ; Age Band Code ; Sex Code </v>
      </c>
      <c r="N4115" s="345" t="s">
        <v>207</v>
      </c>
      <c r="O4115" s="345" t="s">
        <v>208</v>
      </c>
      <c r="P4115" s="345" t="s">
        <v>209</v>
      </c>
      <c r="Q4115" s="345" t="s">
        <v>210</v>
      </c>
      <c r="R4115" s="345" t="s">
        <v>223</v>
      </c>
      <c r="S4115" s="345" t="s">
        <v>224</v>
      </c>
    </row>
    <row r="4116" spans="1:19" x14ac:dyDescent="0.25">
      <c r="A4116" s="311"/>
      <c r="B4116" s="312"/>
      <c r="C4116" s="312"/>
      <c r="D4116" s="312"/>
      <c r="E4116" s="312"/>
      <c r="F4116" s="312"/>
      <c r="G4116" s="335"/>
      <c r="H4116" s="336"/>
      <c r="I4116" s="334"/>
      <c r="J4116" s="332"/>
      <c r="K4116" s="449"/>
      <c r="M4116" s="349" t="str">
        <f>N4116&amp;AS[[#This Row],[Insurer Code]]&amp;"; "&amp;O4116&amp;AS[[#This Row],[Reporting Year]]&amp;"; "&amp;P4116&amp;AS[[#This Row],[Insurance Category Code]]&amp;"; "&amp;Q4116&amp;AS[[#This Row],[Large Provider Entity Code]]&amp;"; "&amp;R4116&amp;AS[[#This Row],[Age Band Code]]&amp;"; "&amp;S4116&amp;AS[[#This Row],[Sex Code]]</f>
        <v xml:space="preserve">Insurer Code ; Reporting Year ; Insurance Category Code ; Large Provider Entity Code ; Age Band Code ; Sex Code </v>
      </c>
      <c r="N4116" s="345" t="s">
        <v>207</v>
      </c>
      <c r="O4116" s="345" t="s">
        <v>208</v>
      </c>
      <c r="P4116" s="345" t="s">
        <v>209</v>
      </c>
      <c r="Q4116" s="345" t="s">
        <v>210</v>
      </c>
      <c r="R4116" s="345" t="s">
        <v>223</v>
      </c>
      <c r="S4116" s="345" t="s">
        <v>224</v>
      </c>
    </row>
    <row r="4117" spans="1:19" x14ac:dyDescent="0.25">
      <c r="A4117" s="311"/>
      <c r="B4117" s="312"/>
      <c r="C4117" s="312"/>
      <c r="D4117" s="312"/>
      <c r="E4117" s="312"/>
      <c r="F4117" s="312"/>
      <c r="G4117" s="313"/>
      <c r="H4117" s="336"/>
      <c r="I4117" s="334"/>
      <c r="J4117" s="332"/>
      <c r="K4117" s="449"/>
      <c r="M4117" s="349" t="str">
        <f>N4117&amp;AS[[#This Row],[Insurer Code]]&amp;"; "&amp;O4117&amp;AS[[#This Row],[Reporting Year]]&amp;"; "&amp;P4117&amp;AS[[#This Row],[Insurance Category Code]]&amp;"; "&amp;Q4117&amp;AS[[#This Row],[Large Provider Entity Code]]&amp;"; "&amp;R4117&amp;AS[[#This Row],[Age Band Code]]&amp;"; "&amp;S4117&amp;AS[[#This Row],[Sex Code]]</f>
        <v xml:space="preserve">Insurer Code ; Reporting Year ; Insurance Category Code ; Large Provider Entity Code ; Age Band Code ; Sex Code </v>
      </c>
      <c r="N4117" s="345" t="s">
        <v>207</v>
      </c>
      <c r="O4117" s="345" t="s">
        <v>208</v>
      </c>
      <c r="P4117" s="345" t="s">
        <v>209</v>
      </c>
      <c r="Q4117" s="345" t="s">
        <v>210</v>
      </c>
      <c r="R4117" s="345" t="s">
        <v>223</v>
      </c>
      <c r="S4117" s="345" t="s">
        <v>224</v>
      </c>
    </row>
    <row r="4118" spans="1:19" x14ac:dyDescent="0.25">
      <c r="A4118" s="311"/>
      <c r="B4118" s="312"/>
      <c r="C4118" s="312"/>
      <c r="D4118" s="312"/>
      <c r="E4118" s="312"/>
      <c r="F4118" s="312"/>
      <c r="G4118" s="335"/>
      <c r="H4118" s="336"/>
      <c r="I4118" s="334"/>
      <c r="J4118" s="332"/>
      <c r="K4118" s="449"/>
      <c r="M4118" s="349" t="str">
        <f>N4118&amp;AS[[#This Row],[Insurer Code]]&amp;"; "&amp;O4118&amp;AS[[#This Row],[Reporting Year]]&amp;"; "&amp;P4118&amp;AS[[#This Row],[Insurance Category Code]]&amp;"; "&amp;Q4118&amp;AS[[#This Row],[Large Provider Entity Code]]&amp;"; "&amp;R4118&amp;AS[[#This Row],[Age Band Code]]&amp;"; "&amp;S4118&amp;AS[[#This Row],[Sex Code]]</f>
        <v xml:space="preserve">Insurer Code ; Reporting Year ; Insurance Category Code ; Large Provider Entity Code ; Age Band Code ; Sex Code </v>
      </c>
      <c r="N4118" s="345" t="s">
        <v>207</v>
      </c>
      <c r="O4118" s="345" t="s">
        <v>208</v>
      </c>
      <c r="P4118" s="345" t="s">
        <v>209</v>
      </c>
      <c r="Q4118" s="345" t="s">
        <v>210</v>
      </c>
      <c r="R4118" s="345" t="s">
        <v>223</v>
      </c>
      <c r="S4118" s="345" t="s">
        <v>224</v>
      </c>
    </row>
    <row r="4119" spans="1:19" x14ac:dyDescent="0.25">
      <c r="A4119" s="311"/>
      <c r="B4119" s="312"/>
      <c r="C4119" s="312"/>
      <c r="D4119" s="312"/>
      <c r="E4119" s="312"/>
      <c r="F4119" s="312"/>
      <c r="G4119" s="313"/>
      <c r="H4119" s="336"/>
      <c r="I4119" s="334"/>
      <c r="J4119" s="332"/>
      <c r="K4119" s="449"/>
      <c r="M4119" s="349" t="str">
        <f>N4119&amp;AS[[#This Row],[Insurer Code]]&amp;"; "&amp;O4119&amp;AS[[#This Row],[Reporting Year]]&amp;"; "&amp;P4119&amp;AS[[#This Row],[Insurance Category Code]]&amp;"; "&amp;Q4119&amp;AS[[#This Row],[Large Provider Entity Code]]&amp;"; "&amp;R4119&amp;AS[[#This Row],[Age Band Code]]&amp;"; "&amp;S4119&amp;AS[[#This Row],[Sex Code]]</f>
        <v xml:space="preserve">Insurer Code ; Reporting Year ; Insurance Category Code ; Large Provider Entity Code ; Age Band Code ; Sex Code </v>
      </c>
      <c r="N4119" s="345" t="s">
        <v>207</v>
      </c>
      <c r="O4119" s="345" t="s">
        <v>208</v>
      </c>
      <c r="P4119" s="345" t="s">
        <v>209</v>
      </c>
      <c r="Q4119" s="345" t="s">
        <v>210</v>
      </c>
      <c r="R4119" s="345" t="s">
        <v>223</v>
      </c>
      <c r="S4119" s="345" t="s">
        <v>224</v>
      </c>
    </row>
    <row r="4120" spans="1:19" x14ac:dyDescent="0.25">
      <c r="A4120" s="311"/>
      <c r="B4120" s="312"/>
      <c r="C4120" s="312"/>
      <c r="D4120" s="312"/>
      <c r="E4120" s="312"/>
      <c r="F4120" s="312"/>
      <c r="G4120" s="335"/>
      <c r="H4120" s="336"/>
      <c r="I4120" s="334"/>
      <c r="J4120" s="332"/>
      <c r="K4120" s="449"/>
      <c r="M4120" s="349" t="str">
        <f>N4120&amp;AS[[#This Row],[Insurer Code]]&amp;"; "&amp;O4120&amp;AS[[#This Row],[Reporting Year]]&amp;"; "&amp;P4120&amp;AS[[#This Row],[Insurance Category Code]]&amp;"; "&amp;Q4120&amp;AS[[#This Row],[Large Provider Entity Code]]&amp;"; "&amp;R4120&amp;AS[[#This Row],[Age Band Code]]&amp;"; "&amp;S4120&amp;AS[[#This Row],[Sex Code]]</f>
        <v xml:space="preserve">Insurer Code ; Reporting Year ; Insurance Category Code ; Large Provider Entity Code ; Age Band Code ; Sex Code </v>
      </c>
      <c r="N4120" s="345" t="s">
        <v>207</v>
      </c>
      <c r="O4120" s="345" t="s">
        <v>208</v>
      </c>
      <c r="P4120" s="345" t="s">
        <v>209</v>
      </c>
      <c r="Q4120" s="345" t="s">
        <v>210</v>
      </c>
      <c r="R4120" s="345" t="s">
        <v>223</v>
      </c>
      <c r="S4120" s="345" t="s">
        <v>224</v>
      </c>
    </row>
    <row r="4121" spans="1:19" x14ac:dyDescent="0.25">
      <c r="A4121" s="311"/>
      <c r="B4121" s="312"/>
      <c r="C4121" s="312"/>
      <c r="D4121" s="312"/>
      <c r="E4121" s="312"/>
      <c r="F4121" s="312"/>
      <c r="G4121" s="313"/>
      <c r="H4121" s="336"/>
      <c r="I4121" s="334"/>
      <c r="J4121" s="332"/>
      <c r="K4121" s="449"/>
      <c r="M4121" s="349" t="str">
        <f>N4121&amp;AS[[#This Row],[Insurer Code]]&amp;"; "&amp;O4121&amp;AS[[#This Row],[Reporting Year]]&amp;"; "&amp;P4121&amp;AS[[#This Row],[Insurance Category Code]]&amp;"; "&amp;Q4121&amp;AS[[#This Row],[Large Provider Entity Code]]&amp;"; "&amp;R4121&amp;AS[[#This Row],[Age Band Code]]&amp;"; "&amp;S4121&amp;AS[[#This Row],[Sex Code]]</f>
        <v xml:space="preserve">Insurer Code ; Reporting Year ; Insurance Category Code ; Large Provider Entity Code ; Age Band Code ; Sex Code </v>
      </c>
      <c r="N4121" s="345" t="s">
        <v>207</v>
      </c>
      <c r="O4121" s="345" t="s">
        <v>208</v>
      </c>
      <c r="P4121" s="345" t="s">
        <v>209</v>
      </c>
      <c r="Q4121" s="345" t="s">
        <v>210</v>
      </c>
      <c r="R4121" s="345" t="s">
        <v>223</v>
      </c>
      <c r="S4121" s="345" t="s">
        <v>224</v>
      </c>
    </row>
    <row r="4122" spans="1:19" x14ac:dyDescent="0.25">
      <c r="A4122" s="311"/>
      <c r="B4122" s="312"/>
      <c r="C4122" s="312"/>
      <c r="D4122" s="312"/>
      <c r="E4122" s="312"/>
      <c r="F4122" s="312"/>
      <c r="G4122" s="335"/>
      <c r="H4122" s="336"/>
      <c r="I4122" s="334"/>
      <c r="J4122" s="332"/>
      <c r="K4122" s="449"/>
      <c r="M4122" s="349" t="str">
        <f>N4122&amp;AS[[#This Row],[Insurer Code]]&amp;"; "&amp;O4122&amp;AS[[#This Row],[Reporting Year]]&amp;"; "&amp;P4122&amp;AS[[#This Row],[Insurance Category Code]]&amp;"; "&amp;Q4122&amp;AS[[#This Row],[Large Provider Entity Code]]&amp;"; "&amp;R4122&amp;AS[[#This Row],[Age Band Code]]&amp;"; "&amp;S4122&amp;AS[[#This Row],[Sex Code]]</f>
        <v xml:space="preserve">Insurer Code ; Reporting Year ; Insurance Category Code ; Large Provider Entity Code ; Age Band Code ; Sex Code </v>
      </c>
      <c r="N4122" s="345" t="s">
        <v>207</v>
      </c>
      <c r="O4122" s="345" t="s">
        <v>208</v>
      </c>
      <c r="P4122" s="345" t="s">
        <v>209</v>
      </c>
      <c r="Q4122" s="345" t="s">
        <v>210</v>
      </c>
      <c r="R4122" s="345" t="s">
        <v>223</v>
      </c>
      <c r="S4122" s="345" t="s">
        <v>224</v>
      </c>
    </row>
    <row r="4123" spans="1:19" x14ac:dyDescent="0.25">
      <c r="A4123" s="311"/>
      <c r="B4123" s="312"/>
      <c r="C4123" s="312"/>
      <c r="D4123" s="312"/>
      <c r="E4123" s="312"/>
      <c r="F4123" s="312"/>
      <c r="G4123" s="335"/>
      <c r="H4123" s="336"/>
      <c r="I4123" s="334"/>
      <c r="J4123" s="332"/>
      <c r="K4123" s="449"/>
      <c r="M4123" s="349" t="str">
        <f>N4123&amp;AS[[#This Row],[Insurer Code]]&amp;"; "&amp;O4123&amp;AS[[#This Row],[Reporting Year]]&amp;"; "&amp;P4123&amp;AS[[#This Row],[Insurance Category Code]]&amp;"; "&amp;Q4123&amp;AS[[#This Row],[Large Provider Entity Code]]&amp;"; "&amp;R4123&amp;AS[[#This Row],[Age Band Code]]&amp;"; "&amp;S4123&amp;AS[[#This Row],[Sex Code]]</f>
        <v xml:space="preserve">Insurer Code ; Reporting Year ; Insurance Category Code ; Large Provider Entity Code ; Age Band Code ; Sex Code </v>
      </c>
      <c r="N4123" s="345" t="s">
        <v>207</v>
      </c>
      <c r="O4123" s="345" t="s">
        <v>208</v>
      </c>
      <c r="P4123" s="345" t="s">
        <v>209</v>
      </c>
      <c r="Q4123" s="345" t="s">
        <v>210</v>
      </c>
      <c r="R4123" s="345" t="s">
        <v>223</v>
      </c>
      <c r="S4123" s="345" t="s">
        <v>224</v>
      </c>
    </row>
    <row r="4124" spans="1:19" x14ac:dyDescent="0.25">
      <c r="A4124" s="311"/>
      <c r="B4124" s="312"/>
      <c r="C4124" s="312"/>
      <c r="D4124" s="312"/>
      <c r="E4124" s="333"/>
      <c r="F4124" s="333"/>
      <c r="G4124" s="313"/>
      <c r="H4124" s="336"/>
      <c r="I4124" s="334"/>
      <c r="J4124" s="336"/>
      <c r="K4124" s="449"/>
      <c r="M4124" s="349" t="str">
        <f>N4124&amp;AS[[#This Row],[Insurer Code]]&amp;"; "&amp;O4124&amp;AS[[#This Row],[Reporting Year]]&amp;"; "&amp;P4124&amp;AS[[#This Row],[Insurance Category Code]]&amp;"; "&amp;Q4124&amp;AS[[#This Row],[Large Provider Entity Code]]&amp;"; "&amp;R4124&amp;AS[[#This Row],[Age Band Code]]&amp;"; "&amp;S4124&amp;AS[[#This Row],[Sex Code]]</f>
        <v xml:space="preserve">Insurer Code ; Reporting Year ; Insurance Category Code ; Large Provider Entity Code ; Age Band Code ; Sex Code </v>
      </c>
      <c r="N4124" s="345" t="s">
        <v>207</v>
      </c>
      <c r="O4124" s="345" t="s">
        <v>208</v>
      </c>
      <c r="P4124" s="345" t="s">
        <v>209</v>
      </c>
      <c r="Q4124" s="345" t="s">
        <v>210</v>
      </c>
      <c r="R4124" s="345" t="s">
        <v>223</v>
      </c>
      <c r="S4124" s="345" t="s">
        <v>224</v>
      </c>
    </row>
    <row r="4125" spans="1:19" x14ac:dyDescent="0.25">
      <c r="A4125" s="311"/>
      <c r="B4125" s="312"/>
      <c r="C4125" s="312"/>
      <c r="D4125" s="312"/>
      <c r="E4125" s="333"/>
      <c r="F4125" s="333"/>
      <c r="G4125" s="335"/>
      <c r="H4125" s="336"/>
      <c r="I4125" s="334"/>
      <c r="J4125" s="336"/>
      <c r="K4125" s="449"/>
      <c r="M4125" s="349" t="str">
        <f>N4125&amp;AS[[#This Row],[Insurer Code]]&amp;"; "&amp;O4125&amp;AS[[#This Row],[Reporting Year]]&amp;"; "&amp;P4125&amp;AS[[#This Row],[Insurance Category Code]]&amp;"; "&amp;Q4125&amp;AS[[#This Row],[Large Provider Entity Code]]&amp;"; "&amp;R4125&amp;AS[[#This Row],[Age Band Code]]&amp;"; "&amp;S4125&amp;AS[[#This Row],[Sex Code]]</f>
        <v xml:space="preserve">Insurer Code ; Reporting Year ; Insurance Category Code ; Large Provider Entity Code ; Age Band Code ; Sex Code </v>
      </c>
      <c r="N4125" s="345" t="s">
        <v>207</v>
      </c>
      <c r="O4125" s="345" t="s">
        <v>208</v>
      </c>
      <c r="P4125" s="345" t="s">
        <v>209</v>
      </c>
      <c r="Q4125" s="345" t="s">
        <v>210</v>
      </c>
      <c r="R4125" s="345" t="s">
        <v>223</v>
      </c>
      <c r="S4125" s="345" t="s">
        <v>224</v>
      </c>
    </row>
    <row r="4126" spans="1:19" x14ac:dyDescent="0.25">
      <c r="A4126" s="311"/>
      <c r="B4126" s="312"/>
      <c r="C4126" s="312"/>
      <c r="D4126" s="312"/>
      <c r="E4126" s="312"/>
      <c r="F4126" s="312"/>
      <c r="G4126" s="328"/>
      <c r="H4126" s="337"/>
      <c r="I4126" s="334"/>
      <c r="J4126" s="314"/>
      <c r="K4126" s="449"/>
      <c r="M4126" s="349" t="str">
        <f>N4126&amp;AS[[#This Row],[Insurer Code]]&amp;"; "&amp;O4126&amp;AS[[#This Row],[Reporting Year]]&amp;"; "&amp;P4126&amp;AS[[#This Row],[Insurance Category Code]]&amp;"; "&amp;Q4126&amp;AS[[#This Row],[Large Provider Entity Code]]&amp;"; "&amp;R4126&amp;AS[[#This Row],[Age Band Code]]&amp;"; "&amp;S4126&amp;AS[[#This Row],[Sex Code]]</f>
        <v xml:space="preserve">Insurer Code ; Reporting Year ; Insurance Category Code ; Large Provider Entity Code ; Age Band Code ; Sex Code </v>
      </c>
      <c r="N4126" s="345" t="s">
        <v>207</v>
      </c>
      <c r="O4126" s="345" t="s">
        <v>208</v>
      </c>
      <c r="P4126" s="345" t="s">
        <v>209</v>
      </c>
      <c r="Q4126" s="345" t="s">
        <v>210</v>
      </c>
      <c r="R4126" s="345" t="s">
        <v>223</v>
      </c>
      <c r="S4126" s="345" t="s">
        <v>224</v>
      </c>
    </row>
    <row r="4127" spans="1:19" x14ac:dyDescent="0.25">
      <c r="A4127" s="311"/>
      <c r="B4127" s="312"/>
      <c r="C4127" s="312"/>
      <c r="D4127" s="312"/>
      <c r="E4127" s="312"/>
      <c r="F4127" s="312"/>
      <c r="G4127" s="328"/>
      <c r="H4127" s="337"/>
      <c r="I4127" s="334"/>
      <c r="J4127" s="314"/>
      <c r="K4127" s="449"/>
      <c r="M4127" s="349" t="str">
        <f>N4127&amp;AS[[#This Row],[Insurer Code]]&amp;"; "&amp;O4127&amp;AS[[#This Row],[Reporting Year]]&amp;"; "&amp;P4127&amp;AS[[#This Row],[Insurance Category Code]]&amp;"; "&amp;Q4127&amp;AS[[#This Row],[Large Provider Entity Code]]&amp;"; "&amp;R4127&amp;AS[[#This Row],[Age Band Code]]&amp;"; "&amp;S4127&amp;AS[[#This Row],[Sex Code]]</f>
        <v xml:space="preserve">Insurer Code ; Reporting Year ; Insurance Category Code ; Large Provider Entity Code ; Age Band Code ; Sex Code </v>
      </c>
      <c r="N4127" s="345" t="s">
        <v>207</v>
      </c>
      <c r="O4127" s="345" t="s">
        <v>208</v>
      </c>
      <c r="P4127" s="345" t="s">
        <v>209</v>
      </c>
      <c r="Q4127" s="345" t="s">
        <v>210</v>
      </c>
      <c r="R4127" s="345" t="s">
        <v>223</v>
      </c>
      <c r="S4127" s="345" t="s">
        <v>224</v>
      </c>
    </row>
    <row r="4128" spans="1:19" x14ac:dyDescent="0.25">
      <c r="A4128" s="311"/>
      <c r="B4128" s="312"/>
      <c r="C4128" s="312"/>
      <c r="D4128" s="312"/>
      <c r="E4128" s="312"/>
      <c r="F4128" s="312"/>
      <c r="G4128" s="328"/>
      <c r="H4128" s="337"/>
      <c r="I4128" s="334"/>
      <c r="J4128" s="314"/>
      <c r="K4128" s="449"/>
      <c r="M4128" s="349" t="str">
        <f>N4128&amp;AS[[#This Row],[Insurer Code]]&amp;"; "&amp;O4128&amp;AS[[#This Row],[Reporting Year]]&amp;"; "&amp;P4128&amp;AS[[#This Row],[Insurance Category Code]]&amp;"; "&amp;Q4128&amp;AS[[#This Row],[Large Provider Entity Code]]&amp;"; "&amp;R4128&amp;AS[[#This Row],[Age Band Code]]&amp;"; "&amp;S4128&amp;AS[[#This Row],[Sex Code]]</f>
        <v xml:space="preserve">Insurer Code ; Reporting Year ; Insurance Category Code ; Large Provider Entity Code ; Age Band Code ; Sex Code </v>
      </c>
      <c r="N4128" s="345" t="s">
        <v>207</v>
      </c>
      <c r="O4128" s="345" t="s">
        <v>208</v>
      </c>
      <c r="P4128" s="345" t="s">
        <v>209</v>
      </c>
      <c r="Q4128" s="345" t="s">
        <v>210</v>
      </c>
      <c r="R4128" s="345" t="s">
        <v>223</v>
      </c>
      <c r="S4128" s="345" t="s">
        <v>224</v>
      </c>
    </row>
    <row r="4129" spans="1:19" x14ac:dyDescent="0.25">
      <c r="A4129" s="311"/>
      <c r="B4129" s="312"/>
      <c r="C4129" s="312"/>
      <c r="D4129" s="312"/>
      <c r="E4129" s="312"/>
      <c r="F4129" s="312"/>
      <c r="G4129" s="328"/>
      <c r="H4129" s="337"/>
      <c r="I4129" s="334"/>
      <c r="J4129" s="314"/>
      <c r="K4129" s="449"/>
      <c r="M4129" s="349" t="str">
        <f>N4129&amp;AS[[#This Row],[Insurer Code]]&amp;"; "&amp;O4129&amp;AS[[#This Row],[Reporting Year]]&amp;"; "&amp;P4129&amp;AS[[#This Row],[Insurance Category Code]]&amp;"; "&amp;Q4129&amp;AS[[#This Row],[Large Provider Entity Code]]&amp;"; "&amp;R4129&amp;AS[[#This Row],[Age Band Code]]&amp;"; "&amp;S4129&amp;AS[[#This Row],[Sex Code]]</f>
        <v xml:space="preserve">Insurer Code ; Reporting Year ; Insurance Category Code ; Large Provider Entity Code ; Age Band Code ; Sex Code </v>
      </c>
      <c r="N4129" s="345" t="s">
        <v>207</v>
      </c>
      <c r="O4129" s="345" t="s">
        <v>208</v>
      </c>
      <c r="P4129" s="345" t="s">
        <v>209</v>
      </c>
      <c r="Q4129" s="345" t="s">
        <v>210</v>
      </c>
      <c r="R4129" s="345" t="s">
        <v>223</v>
      </c>
      <c r="S4129" s="345" t="s">
        <v>224</v>
      </c>
    </row>
    <row r="4130" spans="1:19" x14ac:dyDescent="0.25">
      <c r="A4130" s="311"/>
      <c r="B4130" s="312"/>
      <c r="C4130" s="312"/>
      <c r="D4130" s="312"/>
      <c r="E4130" s="312"/>
      <c r="F4130" s="312"/>
      <c r="G4130" s="328"/>
      <c r="H4130" s="337"/>
      <c r="I4130" s="334"/>
      <c r="J4130" s="314"/>
      <c r="K4130" s="449"/>
      <c r="M4130" s="349" t="str">
        <f>N4130&amp;AS[[#This Row],[Insurer Code]]&amp;"; "&amp;O4130&amp;AS[[#This Row],[Reporting Year]]&amp;"; "&amp;P4130&amp;AS[[#This Row],[Insurance Category Code]]&amp;"; "&amp;Q4130&amp;AS[[#This Row],[Large Provider Entity Code]]&amp;"; "&amp;R4130&amp;AS[[#This Row],[Age Band Code]]&amp;"; "&amp;S4130&amp;AS[[#This Row],[Sex Code]]</f>
        <v xml:space="preserve">Insurer Code ; Reporting Year ; Insurance Category Code ; Large Provider Entity Code ; Age Band Code ; Sex Code </v>
      </c>
      <c r="N4130" s="345" t="s">
        <v>207</v>
      </c>
      <c r="O4130" s="345" t="s">
        <v>208</v>
      </c>
      <c r="P4130" s="345" t="s">
        <v>209</v>
      </c>
      <c r="Q4130" s="345" t="s">
        <v>210</v>
      </c>
      <c r="R4130" s="345" t="s">
        <v>223</v>
      </c>
      <c r="S4130" s="345" t="s">
        <v>224</v>
      </c>
    </row>
    <row r="4131" spans="1:19" x14ac:dyDescent="0.25">
      <c r="A4131" s="311"/>
      <c r="B4131" s="312"/>
      <c r="C4131" s="312"/>
      <c r="D4131" s="312"/>
      <c r="E4131" s="312"/>
      <c r="F4131" s="312"/>
      <c r="G4131" s="328"/>
      <c r="H4131" s="337"/>
      <c r="I4131" s="334"/>
      <c r="J4131" s="314"/>
      <c r="K4131" s="449"/>
      <c r="M4131" s="349" t="str">
        <f>N4131&amp;AS[[#This Row],[Insurer Code]]&amp;"; "&amp;O4131&amp;AS[[#This Row],[Reporting Year]]&amp;"; "&amp;P4131&amp;AS[[#This Row],[Insurance Category Code]]&amp;"; "&amp;Q4131&amp;AS[[#This Row],[Large Provider Entity Code]]&amp;"; "&amp;R4131&amp;AS[[#This Row],[Age Band Code]]&amp;"; "&amp;S4131&amp;AS[[#This Row],[Sex Code]]</f>
        <v xml:space="preserve">Insurer Code ; Reporting Year ; Insurance Category Code ; Large Provider Entity Code ; Age Band Code ; Sex Code </v>
      </c>
      <c r="N4131" s="345" t="s">
        <v>207</v>
      </c>
      <c r="O4131" s="345" t="s">
        <v>208</v>
      </c>
      <c r="P4131" s="345" t="s">
        <v>209</v>
      </c>
      <c r="Q4131" s="345" t="s">
        <v>210</v>
      </c>
      <c r="R4131" s="345" t="s">
        <v>223</v>
      </c>
      <c r="S4131" s="345" t="s">
        <v>224</v>
      </c>
    </row>
    <row r="4132" spans="1:19" x14ac:dyDescent="0.25">
      <c r="A4132" s="311"/>
      <c r="B4132" s="312"/>
      <c r="C4132" s="312"/>
      <c r="D4132" s="312"/>
      <c r="E4132" s="312"/>
      <c r="F4132" s="312"/>
      <c r="G4132" s="328"/>
      <c r="H4132" s="337"/>
      <c r="I4132" s="334"/>
      <c r="J4132" s="314"/>
      <c r="K4132" s="449"/>
      <c r="M4132" s="349" t="str">
        <f>N4132&amp;AS[[#This Row],[Insurer Code]]&amp;"; "&amp;O4132&amp;AS[[#This Row],[Reporting Year]]&amp;"; "&amp;P4132&amp;AS[[#This Row],[Insurance Category Code]]&amp;"; "&amp;Q4132&amp;AS[[#This Row],[Large Provider Entity Code]]&amp;"; "&amp;R4132&amp;AS[[#This Row],[Age Band Code]]&amp;"; "&amp;S4132&amp;AS[[#This Row],[Sex Code]]</f>
        <v xml:space="preserve">Insurer Code ; Reporting Year ; Insurance Category Code ; Large Provider Entity Code ; Age Band Code ; Sex Code </v>
      </c>
      <c r="N4132" s="345" t="s">
        <v>207</v>
      </c>
      <c r="O4132" s="345" t="s">
        <v>208</v>
      </c>
      <c r="P4132" s="345" t="s">
        <v>209</v>
      </c>
      <c r="Q4132" s="345" t="s">
        <v>210</v>
      </c>
      <c r="R4132" s="345" t="s">
        <v>223</v>
      </c>
      <c r="S4132" s="345" t="s">
        <v>224</v>
      </c>
    </row>
    <row r="4133" spans="1:19" x14ac:dyDescent="0.25">
      <c r="A4133" s="311"/>
      <c r="B4133" s="312"/>
      <c r="C4133" s="312"/>
      <c r="D4133" s="312"/>
      <c r="E4133" s="312"/>
      <c r="F4133" s="312"/>
      <c r="G4133" s="328"/>
      <c r="H4133" s="337"/>
      <c r="I4133" s="334"/>
      <c r="J4133" s="314"/>
      <c r="K4133" s="449"/>
      <c r="M4133" s="349" t="str">
        <f>N4133&amp;AS[[#This Row],[Insurer Code]]&amp;"; "&amp;O4133&amp;AS[[#This Row],[Reporting Year]]&amp;"; "&amp;P4133&amp;AS[[#This Row],[Insurance Category Code]]&amp;"; "&amp;Q4133&amp;AS[[#This Row],[Large Provider Entity Code]]&amp;"; "&amp;R4133&amp;AS[[#This Row],[Age Band Code]]&amp;"; "&amp;S4133&amp;AS[[#This Row],[Sex Code]]</f>
        <v xml:space="preserve">Insurer Code ; Reporting Year ; Insurance Category Code ; Large Provider Entity Code ; Age Band Code ; Sex Code </v>
      </c>
      <c r="N4133" s="345" t="s">
        <v>207</v>
      </c>
      <c r="O4133" s="345" t="s">
        <v>208</v>
      </c>
      <c r="P4133" s="345" t="s">
        <v>209</v>
      </c>
      <c r="Q4133" s="345" t="s">
        <v>210</v>
      </c>
      <c r="R4133" s="345" t="s">
        <v>223</v>
      </c>
      <c r="S4133" s="345" t="s">
        <v>224</v>
      </c>
    </row>
    <row r="4134" spans="1:19" x14ac:dyDescent="0.25">
      <c r="A4134" s="311"/>
      <c r="B4134" s="312"/>
      <c r="C4134" s="312"/>
      <c r="D4134" s="312"/>
      <c r="E4134" s="312"/>
      <c r="F4134" s="312"/>
      <c r="G4134" s="328"/>
      <c r="H4134" s="337"/>
      <c r="I4134" s="334"/>
      <c r="J4134" s="314"/>
      <c r="K4134" s="449"/>
      <c r="M4134" s="349" t="str">
        <f>N4134&amp;AS[[#This Row],[Insurer Code]]&amp;"; "&amp;O4134&amp;AS[[#This Row],[Reporting Year]]&amp;"; "&amp;P4134&amp;AS[[#This Row],[Insurance Category Code]]&amp;"; "&amp;Q4134&amp;AS[[#This Row],[Large Provider Entity Code]]&amp;"; "&amp;R4134&amp;AS[[#This Row],[Age Band Code]]&amp;"; "&amp;S4134&amp;AS[[#This Row],[Sex Code]]</f>
        <v xml:space="preserve">Insurer Code ; Reporting Year ; Insurance Category Code ; Large Provider Entity Code ; Age Band Code ; Sex Code </v>
      </c>
      <c r="N4134" s="345" t="s">
        <v>207</v>
      </c>
      <c r="O4134" s="345" t="s">
        <v>208</v>
      </c>
      <c r="P4134" s="345" t="s">
        <v>209</v>
      </c>
      <c r="Q4134" s="345" t="s">
        <v>210</v>
      </c>
      <c r="R4134" s="345" t="s">
        <v>223</v>
      </c>
      <c r="S4134" s="345" t="s">
        <v>224</v>
      </c>
    </row>
    <row r="4135" spans="1:19" x14ac:dyDescent="0.25">
      <c r="A4135" s="311"/>
      <c r="B4135" s="312"/>
      <c r="C4135" s="312"/>
      <c r="D4135" s="312"/>
      <c r="E4135" s="312"/>
      <c r="F4135" s="312"/>
      <c r="G4135" s="328"/>
      <c r="H4135" s="337"/>
      <c r="I4135" s="334"/>
      <c r="J4135" s="314"/>
      <c r="K4135" s="449"/>
      <c r="M4135" s="349" t="str">
        <f>N4135&amp;AS[[#This Row],[Insurer Code]]&amp;"; "&amp;O4135&amp;AS[[#This Row],[Reporting Year]]&amp;"; "&amp;P4135&amp;AS[[#This Row],[Insurance Category Code]]&amp;"; "&amp;Q4135&amp;AS[[#This Row],[Large Provider Entity Code]]&amp;"; "&amp;R4135&amp;AS[[#This Row],[Age Band Code]]&amp;"; "&amp;S4135&amp;AS[[#This Row],[Sex Code]]</f>
        <v xml:space="preserve">Insurer Code ; Reporting Year ; Insurance Category Code ; Large Provider Entity Code ; Age Band Code ; Sex Code </v>
      </c>
      <c r="N4135" s="345" t="s">
        <v>207</v>
      </c>
      <c r="O4135" s="345" t="s">
        <v>208</v>
      </c>
      <c r="P4135" s="345" t="s">
        <v>209</v>
      </c>
      <c r="Q4135" s="345" t="s">
        <v>210</v>
      </c>
      <c r="R4135" s="345" t="s">
        <v>223</v>
      </c>
      <c r="S4135" s="345" t="s">
        <v>224</v>
      </c>
    </row>
    <row r="4136" spans="1:19" x14ac:dyDescent="0.25">
      <c r="A4136" s="311"/>
      <c r="B4136" s="312"/>
      <c r="C4136" s="312"/>
      <c r="D4136" s="312"/>
      <c r="E4136" s="312"/>
      <c r="F4136" s="312"/>
      <c r="G4136" s="328"/>
      <c r="H4136" s="337"/>
      <c r="I4136" s="334"/>
      <c r="J4136" s="314"/>
      <c r="K4136" s="449"/>
      <c r="M4136" s="349" t="str">
        <f>N4136&amp;AS[[#This Row],[Insurer Code]]&amp;"; "&amp;O4136&amp;AS[[#This Row],[Reporting Year]]&amp;"; "&amp;P4136&amp;AS[[#This Row],[Insurance Category Code]]&amp;"; "&amp;Q4136&amp;AS[[#This Row],[Large Provider Entity Code]]&amp;"; "&amp;R4136&amp;AS[[#This Row],[Age Band Code]]&amp;"; "&amp;S4136&amp;AS[[#This Row],[Sex Code]]</f>
        <v xml:space="preserve">Insurer Code ; Reporting Year ; Insurance Category Code ; Large Provider Entity Code ; Age Band Code ; Sex Code </v>
      </c>
      <c r="N4136" s="345" t="s">
        <v>207</v>
      </c>
      <c r="O4136" s="345" t="s">
        <v>208</v>
      </c>
      <c r="P4136" s="345" t="s">
        <v>209</v>
      </c>
      <c r="Q4136" s="345" t="s">
        <v>210</v>
      </c>
      <c r="R4136" s="345" t="s">
        <v>223</v>
      </c>
      <c r="S4136" s="345" t="s">
        <v>224</v>
      </c>
    </row>
    <row r="4137" spans="1:19" x14ac:dyDescent="0.25">
      <c r="A4137" s="311"/>
      <c r="B4137" s="312"/>
      <c r="C4137" s="312"/>
      <c r="D4137" s="312"/>
      <c r="E4137" s="312"/>
      <c r="F4137" s="312"/>
      <c r="G4137" s="328"/>
      <c r="H4137" s="337"/>
      <c r="I4137" s="334"/>
      <c r="J4137" s="314"/>
      <c r="K4137" s="449"/>
      <c r="M4137" s="349" t="str">
        <f>N4137&amp;AS[[#This Row],[Insurer Code]]&amp;"; "&amp;O4137&amp;AS[[#This Row],[Reporting Year]]&amp;"; "&amp;P4137&amp;AS[[#This Row],[Insurance Category Code]]&amp;"; "&amp;Q4137&amp;AS[[#This Row],[Large Provider Entity Code]]&amp;"; "&amp;R4137&amp;AS[[#This Row],[Age Band Code]]&amp;"; "&amp;S4137&amp;AS[[#This Row],[Sex Code]]</f>
        <v xml:space="preserve">Insurer Code ; Reporting Year ; Insurance Category Code ; Large Provider Entity Code ; Age Band Code ; Sex Code </v>
      </c>
      <c r="N4137" s="345" t="s">
        <v>207</v>
      </c>
      <c r="O4137" s="345" t="s">
        <v>208</v>
      </c>
      <c r="P4137" s="345" t="s">
        <v>209</v>
      </c>
      <c r="Q4137" s="345" t="s">
        <v>210</v>
      </c>
      <c r="R4137" s="345" t="s">
        <v>223</v>
      </c>
      <c r="S4137" s="345" t="s">
        <v>224</v>
      </c>
    </row>
    <row r="4138" spans="1:19" x14ac:dyDescent="0.25">
      <c r="A4138" s="311"/>
      <c r="B4138" s="312"/>
      <c r="C4138" s="312"/>
      <c r="D4138" s="312"/>
      <c r="E4138" s="312"/>
      <c r="F4138" s="312"/>
      <c r="G4138" s="328"/>
      <c r="H4138" s="337"/>
      <c r="I4138" s="334"/>
      <c r="J4138" s="314"/>
      <c r="K4138" s="449"/>
      <c r="M4138" s="349" t="str">
        <f>N4138&amp;AS[[#This Row],[Insurer Code]]&amp;"; "&amp;O4138&amp;AS[[#This Row],[Reporting Year]]&amp;"; "&amp;P4138&amp;AS[[#This Row],[Insurance Category Code]]&amp;"; "&amp;Q4138&amp;AS[[#This Row],[Large Provider Entity Code]]&amp;"; "&amp;R4138&amp;AS[[#This Row],[Age Band Code]]&amp;"; "&amp;S4138&amp;AS[[#This Row],[Sex Code]]</f>
        <v xml:space="preserve">Insurer Code ; Reporting Year ; Insurance Category Code ; Large Provider Entity Code ; Age Band Code ; Sex Code </v>
      </c>
      <c r="N4138" s="345" t="s">
        <v>207</v>
      </c>
      <c r="O4138" s="345" t="s">
        <v>208</v>
      </c>
      <c r="P4138" s="345" t="s">
        <v>209</v>
      </c>
      <c r="Q4138" s="345" t="s">
        <v>210</v>
      </c>
      <c r="R4138" s="345" t="s">
        <v>223</v>
      </c>
      <c r="S4138" s="345" t="s">
        <v>224</v>
      </c>
    </row>
    <row r="4139" spans="1:19" x14ac:dyDescent="0.25">
      <c r="A4139" s="311"/>
      <c r="B4139" s="312"/>
      <c r="C4139" s="312"/>
      <c r="D4139" s="312"/>
      <c r="E4139" s="312"/>
      <c r="F4139" s="312"/>
      <c r="G4139" s="328"/>
      <c r="H4139" s="337"/>
      <c r="I4139" s="334"/>
      <c r="J4139" s="314"/>
      <c r="K4139" s="449"/>
      <c r="M4139" s="349" t="str">
        <f>N4139&amp;AS[[#This Row],[Insurer Code]]&amp;"; "&amp;O4139&amp;AS[[#This Row],[Reporting Year]]&amp;"; "&amp;P4139&amp;AS[[#This Row],[Insurance Category Code]]&amp;"; "&amp;Q4139&amp;AS[[#This Row],[Large Provider Entity Code]]&amp;"; "&amp;R4139&amp;AS[[#This Row],[Age Band Code]]&amp;"; "&amp;S4139&amp;AS[[#This Row],[Sex Code]]</f>
        <v xml:space="preserve">Insurer Code ; Reporting Year ; Insurance Category Code ; Large Provider Entity Code ; Age Band Code ; Sex Code </v>
      </c>
      <c r="N4139" s="345" t="s">
        <v>207</v>
      </c>
      <c r="O4139" s="345" t="s">
        <v>208</v>
      </c>
      <c r="P4139" s="345" t="s">
        <v>209</v>
      </c>
      <c r="Q4139" s="345" t="s">
        <v>210</v>
      </c>
      <c r="R4139" s="345" t="s">
        <v>223</v>
      </c>
      <c r="S4139" s="345" t="s">
        <v>224</v>
      </c>
    </row>
    <row r="4140" spans="1:19" x14ac:dyDescent="0.25">
      <c r="A4140" s="311"/>
      <c r="B4140" s="312"/>
      <c r="C4140" s="312"/>
      <c r="D4140" s="312"/>
      <c r="E4140" s="312"/>
      <c r="F4140" s="312"/>
      <c r="G4140" s="328"/>
      <c r="H4140" s="337"/>
      <c r="I4140" s="334"/>
      <c r="J4140" s="314"/>
      <c r="K4140" s="449"/>
      <c r="M4140" s="349" t="str">
        <f>N4140&amp;AS[[#This Row],[Insurer Code]]&amp;"; "&amp;O4140&amp;AS[[#This Row],[Reporting Year]]&amp;"; "&amp;P4140&amp;AS[[#This Row],[Insurance Category Code]]&amp;"; "&amp;Q4140&amp;AS[[#This Row],[Large Provider Entity Code]]&amp;"; "&amp;R4140&amp;AS[[#This Row],[Age Band Code]]&amp;"; "&amp;S4140&amp;AS[[#This Row],[Sex Code]]</f>
        <v xml:space="preserve">Insurer Code ; Reporting Year ; Insurance Category Code ; Large Provider Entity Code ; Age Band Code ; Sex Code </v>
      </c>
      <c r="N4140" s="345" t="s">
        <v>207</v>
      </c>
      <c r="O4140" s="345" t="s">
        <v>208</v>
      </c>
      <c r="P4140" s="345" t="s">
        <v>209</v>
      </c>
      <c r="Q4140" s="345" t="s">
        <v>210</v>
      </c>
      <c r="R4140" s="345" t="s">
        <v>223</v>
      </c>
      <c r="S4140" s="345" t="s">
        <v>224</v>
      </c>
    </row>
    <row r="4141" spans="1:19" x14ac:dyDescent="0.25">
      <c r="A4141" s="311"/>
      <c r="B4141" s="312"/>
      <c r="C4141" s="312"/>
      <c r="D4141" s="312"/>
      <c r="E4141" s="312"/>
      <c r="F4141" s="312"/>
      <c r="G4141" s="328"/>
      <c r="H4141" s="337"/>
      <c r="I4141" s="334"/>
      <c r="J4141" s="314"/>
      <c r="K4141" s="449"/>
      <c r="M4141" s="349" t="str">
        <f>N4141&amp;AS[[#This Row],[Insurer Code]]&amp;"; "&amp;O4141&amp;AS[[#This Row],[Reporting Year]]&amp;"; "&amp;P4141&amp;AS[[#This Row],[Insurance Category Code]]&amp;"; "&amp;Q4141&amp;AS[[#This Row],[Large Provider Entity Code]]&amp;"; "&amp;R4141&amp;AS[[#This Row],[Age Band Code]]&amp;"; "&amp;S4141&amp;AS[[#This Row],[Sex Code]]</f>
        <v xml:space="preserve">Insurer Code ; Reporting Year ; Insurance Category Code ; Large Provider Entity Code ; Age Band Code ; Sex Code </v>
      </c>
      <c r="N4141" s="345" t="s">
        <v>207</v>
      </c>
      <c r="O4141" s="345" t="s">
        <v>208</v>
      </c>
      <c r="P4141" s="345" t="s">
        <v>209</v>
      </c>
      <c r="Q4141" s="345" t="s">
        <v>210</v>
      </c>
      <c r="R4141" s="345" t="s">
        <v>223</v>
      </c>
      <c r="S4141" s="345" t="s">
        <v>224</v>
      </c>
    </row>
    <row r="4142" spans="1:19" x14ac:dyDescent="0.25">
      <c r="A4142" s="311"/>
      <c r="B4142" s="312"/>
      <c r="C4142" s="312"/>
      <c r="D4142" s="312"/>
      <c r="E4142" s="312"/>
      <c r="F4142" s="312"/>
      <c r="G4142" s="328"/>
      <c r="H4142" s="337"/>
      <c r="I4142" s="334"/>
      <c r="J4142" s="314"/>
      <c r="K4142" s="449"/>
      <c r="M4142" s="349" t="str">
        <f>N4142&amp;AS[[#This Row],[Insurer Code]]&amp;"; "&amp;O4142&amp;AS[[#This Row],[Reporting Year]]&amp;"; "&amp;P4142&amp;AS[[#This Row],[Insurance Category Code]]&amp;"; "&amp;Q4142&amp;AS[[#This Row],[Large Provider Entity Code]]&amp;"; "&amp;R4142&amp;AS[[#This Row],[Age Band Code]]&amp;"; "&amp;S4142&amp;AS[[#This Row],[Sex Code]]</f>
        <v xml:space="preserve">Insurer Code ; Reporting Year ; Insurance Category Code ; Large Provider Entity Code ; Age Band Code ; Sex Code </v>
      </c>
      <c r="N4142" s="345" t="s">
        <v>207</v>
      </c>
      <c r="O4142" s="345" t="s">
        <v>208</v>
      </c>
      <c r="P4142" s="345" t="s">
        <v>209</v>
      </c>
      <c r="Q4142" s="345" t="s">
        <v>210</v>
      </c>
      <c r="R4142" s="345" t="s">
        <v>223</v>
      </c>
      <c r="S4142" s="345" t="s">
        <v>224</v>
      </c>
    </row>
    <row r="4143" spans="1:19" x14ac:dyDescent="0.25">
      <c r="A4143" s="311"/>
      <c r="B4143" s="312"/>
      <c r="C4143" s="312"/>
      <c r="D4143" s="312"/>
      <c r="E4143" s="312"/>
      <c r="F4143" s="312"/>
      <c r="G4143" s="328"/>
      <c r="H4143" s="337"/>
      <c r="I4143" s="334"/>
      <c r="J4143" s="314"/>
      <c r="K4143" s="449"/>
      <c r="M4143" s="349" t="str">
        <f>N4143&amp;AS[[#This Row],[Insurer Code]]&amp;"; "&amp;O4143&amp;AS[[#This Row],[Reporting Year]]&amp;"; "&amp;P4143&amp;AS[[#This Row],[Insurance Category Code]]&amp;"; "&amp;Q4143&amp;AS[[#This Row],[Large Provider Entity Code]]&amp;"; "&amp;R4143&amp;AS[[#This Row],[Age Band Code]]&amp;"; "&amp;S4143&amp;AS[[#This Row],[Sex Code]]</f>
        <v xml:space="preserve">Insurer Code ; Reporting Year ; Insurance Category Code ; Large Provider Entity Code ; Age Band Code ; Sex Code </v>
      </c>
      <c r="N4143" s="345" t="s">
        <v>207</v>
      </c>
      <c r="O4143" s="345" t="s">
        <v>208</v>
      </c>
      <c r="P4143" s="345" t="s">
        <v>209</v>
      </c>
      <c r="Q4143" s="345" t="s">
        <v>210</v>
      </c>
      <c r="R4143" s="345" t="s">
        <v>223</v>
      </c>
      <c r="S4143" s="345" t="s">
        <v>224</v>
      </c>
    </row>
    <row r="4144" spans="1:19" x14ac:dyDescent="0.25">
      <c r="A4144" s="311"/>
      <c r="B4144" s="312"/>
      <c r="C4144" s="312"/>
      <c r="D4144" s="312"/>
      <c r="E4144" s="312"/>
      <c r="F4144" s="312"/>
      <c r="G4144" s="328"/>
      <c r="H4144" s="337"/>
      <c r="I4144" s="334"/>
      <c r="J4144" s="314"/>
      <c r="K4144" s="449"/>
      <c r="M4144" s="349" t="str">
        <f>N4144&amp;AS[[#This Row],[Insurer Code]]&amp;"; "&amp;O4144&amp;AS[[#This Row],[Reporting Year]]&amp;"; "&amp;P4144&amp;AS[[#This Row],[Insurance Category Code]]&amp;"; "&amp;Q4144&amp;AS[[#This Row],[Large Provider Entity Code]]&amp;"; "&amp;R4144&amp;AS[[#This Row],[Age Band Code]]&amp;"; "&amp;S4144&amp;AS[[#This Row],[Sex Code]]</f>
        <v xml:space="preserve">Insurer Code ; Reporting Year ; Insurance Category Code ; Large Provider Entity Code ; Age Band Code ; Sex Code </v>
      </c>
      <c r="N4144" s="345" t="s">
        <v>207</v>
      </c>
      <c r="O4144" s="345" t="s">
        <v>208</v>
      </c>
      <c r="P4144" s="345" t="s">
        <v>209</v>
      </c>
      <c r="Q4144" s="345" t="s">
        <v>210</v>
      </c>
      <c r="R4144" s="345" t="s">
        <v>223</v>
      </c>
      <c r="S4144" s="345" t="s">
        <v>224</v>
      </c>
    </row>
    <row r="4145" spans="1:19" x14ac:dyDescent="0.25">
      <c r="A4145" s="311"/>
      <c r="B4145" s="312"/>
      <c r="C4145" s="312"/>
      <c r="D4145" s="312"/>
      <c r="E4145" s="312"/>
      <c r="F4145" s="312"/>
      <c r="G4145" s="328"/>
      <c r="H4145" s="337"/>
      <c r="I4145" s="334"/>
      <c r="J4145" s="314"/>
      <c r="K4145" s="449"/>
      <c r="M4145" s="349" t="str">
        <f>N4145&amp;AS[[#This Row],[Insurer Code]]&amp;"; "&amp;O4145&amp;AS[[#This Row],[Reporting Year]]&amp;"; "&amp;P4145&amp;AS[[#This Row],[Insurance Category Code]]&amp;"; "&amp;Q4145&amp;AS[[#This Row],[Large Provider Entity Code]]&amp;"; "&amp;R4145&amp;AS[[#This Row],[Age Band Code]]&amp;"; "&amp;S4145&amp;AS[[#This Row],[Sex Code]]</f>
        <v xml:space="preserve">Insurer Code ; Reporting Year ; Insurance Category Code ; Large Provider Entity Code ; Age Band Code ; Sex Code </v>
      </c>
      <c r="N4145" s="345" t="s">
        <v>207</v>
      </c>
      <c r="O4145" s="345" t="s">
        <v>208</v>
      </c>
      <c r="P4145" s="345" t="s">
        <v>209</v>
      </c>
      <c r="Q4145" s="345" t="s">
        <v>210</v>
      </c>
      <c r="R4145" s="345" t="s">
        <v>223</v>
      </c>
      <c r="S4145" s="345" t="s">
        <v>224</v>
      </c>
    </row>
    <row r="4146" spans="1:19" x14ac:dyDescent="0.25">
      <c r="A4146" s="311"/>
      <c r="B4146" s="312"/>
      <c r="C4146" s="312"/>
      <c r="D4146" s="312"/>
      <c r="E4146" s="312"/>
      <c r="F4146" s="312"/>
      <c r="G4146" s="328"/>
      <c r="H4146" s="337"/>
      <c r="I4146" s="334"/>
      <c r="J4146" s="314"/>
      <c r="K4146" s="449"/>
      <c r="M4146" s="349" t="str">
        <f>N4146&amp;AS[[#This Row],[Insurer Code]]&amp;"; "&amp;O4146&amp;AS[[#This Row],[Reporting Year]]&amp;"; "&amp;P4146&amp;AS[[#This Row],[Insurance Category Code]]&amp;"; "&amp;Q4146&amp;AS[[#This Row],[Large Provider Entity Code]]&amp;"; "&amp;R4146&amp;AS[[#This Row],[Age Band Code]]&amp;"; "&amp;S4146&amp;AS[[#This Row],[Sex Code]]</f>
        <v xml:space="preserve">Insurer Code ; Reporting Year ; Insurance Category Code ; Large Provider Entity Code ; Age Band Code ; Sex Code </v>
      </c>
      <c r="N4146" s="345" t="s">
        <v>207</v>
      </c>
      <c r="O4146" s="345" t="s">
        <v>208</v>
      </c>
      <c r="P4146" s="345" t="s">
        <v>209</v>
      </c>
      <c r="Q4146" s="345" t="s">
        <v>210</v>
      </c>
      <c r="R4146" s="345" t="s">
        <v>223</v>
      </c>
      <c r="S4146" s="345" t="s">
        <v>224</v>
      </c>
    </row>
    <row r="4147" spans="1:19" x14ac:dyDescent="0.25">
      <c r="A4147" s="311"/>
      <c r="B4147" s="312"/>
      <c r="C4147" s="312"/>
      <c r="D4147" s="312"/>
      <c r="E4147" s="312"/>
      <c r="F4147" s="312"/>
      <c r="G4147" s="328"/>
      <c r="H4147" s="337"/>
      <c r="I4147" s="334"/>
      <c r="J4147" s="314"/>
      <c r="K4147" s="449"/>
      <c r="M4147" s="349" t="str">
        <f>N4147&amp;AS[[#This Row],[Insurer Code]]&amp;"; "&amp;O4147&amp;AS[[#This Row],[Reporting Year]]&amp;"; "&amp;P4147&amp;AS[[#This Row],[Insurance Category Code]]&amp;"; "&amp;Q4147&amp;AS[[#This Row],[Large Provider Entity Code]]&amp;"; "&amp;R4147&amp;AS[[#This Row],[Age Band Code]]&amp;"; "&amp;S4147&amp;AS[[#This Row],[Sex Code]]</f>
        <v xml:space="preserve">Insurer Code ; Reporting Year ; Insurance Category Code ; Large Provider Entity Code ; Age Band Code ; Sex Code </v>
      </c>
      <c r="N4147" s="345" t="s">
        <v>207</v>
      </c>
      <c r="O4147" s="345" t="s">
        <v>208</v>
      </c>
      <c r="P4147" s="345" t="s">
        <v>209</v>
      </c>
      <c r="Q4147" s="345" t="s">
        <v>210</v>
      </c>
      <c r="R4147" s="345" t="s">
        <v>223</v>
      </c>
      <c r="S4147" s="345" t="s">
        <v>224</v>
      </c>
    </row>
    <row r="4148" spans="1:19" x14ac:dyDescent="0.25">
      <c r="A4148" s="311"/>
      <c r="B4148" s="312"/>
      <c r="C4148" s="312"/>
      <c r="D4148" s="312"/>
      <c r="E4148" s="312"/>
      <c r="F4148" s="312"/>
      <c r="G4148" s="328"/>
      <c r="H4148" s="337"/>
      <c r="I4148" s="334"/>
      <c r="J4148" s="314"/>
      <c r="K4148" s="449"/>
      <c r="M4148" s="349" t="str">
        <f>N4148&amp;AS[[#This Row],[Insurer Code]]&amp;"; "&amp;O4148&amp;AS[[#This Row],[Reporting Year]]&amp;"; "&amp;P4148&amp;AS[[#This Row],[Insurance Category Code]]&amp;"; "&amp;Q4148&amp;AS[[#This Row],[Large Provider Entity Code]]&amp;"; "&amp;R4148&amp;AS[[#This Row],[Age Band Code]]&amp;"; "&amp;S4148&amp;AS[[#This Row],[Sex Code]]</f>
        <v xml:space="preserve">Insurer Code ; Reporting Year ; Insurance Category Code ; Large Provider Entity Code ; Age Band Code ; Sex Code </v>
      </c>
      <c r="N4148" s="345" t="s">
        <v>207</v>
      </c>
      <c r="O4148" s="345" t="s">
        <v>208</v>
      </c>
      <c r="P4148" s="345" t="s">
        <v>209</v>
      </c>
      <c r="Q4148" s="345" t="s">
        <v>210</v>
      </c>
      <c r="R4148" s="345" t="s">
        <v>223</v>
      </c>
      <c r="S4148" s="345" t="s">
        <v>224</v>
      </c>
    </row>
    <row r="4149" spans="1:19" x14ac:dyDescent="0.25">
      <c r="A4149" s="311"/>
      <c r="B4149" s="312"/>
      <c r="C4149" s="312"/>
      <c r="D4149" s="312"/>
      <c r="E4149" s="312"/>
      <c r="F4149" s="312"/>
      <c r="G4149" s="328"/>
      <c r="H4149" s="337"/>
      <c r="I4149" s="334"/>
      <c r="J4149" s="314"/>
      <c r="K4149" s="449"/>
      <c r="M4149" s="349" t="str">
        <f>N4149&amp;AS[[#This Row],[Insurer Code]]&amp;"; "&amp;O4149&amp;AS[[#This Row],[Reporting Year]]&amp;"; "&amp;P4149&amp;AS[[#This Row],[Insurance Category Code]]&amp;"; "&amp;Q4149&amp;AS[[#This Row],[Large Provider Entity Code]]&amp;"; "&amp;R4149&amp;AS[[#This Row],[Age Band Code]]&amp;"; "&amp;S4149&amp;AS[[#This Row],[Sex Code]]</f>
        <v xml:space="preserve">Insurer Code ; Reporting Year ; Insurance Category Code ; Large Provider Entity Code ; Age Band Code ; Sex Code </v>
      </c>
      <c r="N4149" s="345" t="s">
        <v>207</v>
      </c>
      <c r="O4149" s="345" t="s">
        <v>208</v>
      </c>
      <c r="P4149" s="345" t="s">
        <v>209</v>
      </c>
      <c r="Q4149" s="345" t="s">
        <v>210</v>
      </c>
      <c r="R4149" s="345" t="s">
        <v>223</v>
      </c>
      <c r="S4149" s="345" t="s">
        <v>224</v>
      </c>
    </row>
    <row r="4150" spans="1:19" x14ac:dyDescent="0.25">
      <c r="A4150" s="311"/>
      <c r="B4150" s="312"/>
      <c r="C4150" s="312"/>
      <c r="D4150" s="312"/>
      <c r="E4150" s="312"/>
      <c r="F4150" s="312"/>
      <c r="G4150" s="328"/>
      <c r="H4150" s="337"/>
      <c r="I4150" s="334"/>
      <c r="J4150" s="314"/>
      <c r="K4150" s="449"/>
      <c r="M4150" s="349" t="str">
        <f>N4150&amp;AS[[#This Row],[Insurer Code]]&amp;"; "&amp;O4150&amp;AS[[#This Row],[Reporting Year]]&amp;"; "&amp;P4150&amp;AS[[#This Row],[Insurance Category Code]]&amp;"; "&amp;Q4150&amp;AS[[#This Row],[Large Provider Entity Code]]&amp;"; "&amp;R4150&amp;AS[[#This Row],[Age Band Code]]&amp;"; "&amp;S4150&amp;AS[[#This Row],[Sex Code]]</f>
        <v xml:space="preserve">Insurer Code ; Reporting Year ; Insurance Category Code ; Large Provider Entity Code ; Age Band Code ; Sex Code </v>
      </c>
      <c r="N4150" s="345" t="s">
        <v>207</v>
      </c>
      <c r="O4150" s="345" t="s">
        <v>208</v>
      </c>
      <c r="P4150" s="345" t="s">
        <v>209</v>
      </c>
      <c r="Q4150" s="345" t="s">
        <v>210</v>
      </c>
      <c r="R4150" s="345" t="s">
        <v>223</v>
      </c>
      <c r="S4150" s="345" t="s">
        <v>224</v>
      </c>
    </row>
    <row r="4151" spans="1:19" x14ac:dyDescent="0.25">
      <c r="A4151" s="311"/>
      <c r="B4151" s="312"/>
      <c r="C4151" s="312"/>
      <c r="D4151" s="312"/>
      <c r="E4151" s="312"/>
      <c r="F4151" s="312"/>
      <c r="G4151" s="328"/>
      <c r="H4151" s="337"/>
      <c r="I4151" s="334"/>
      <c r="J4151" s="314"/>
      <c r="K4151" s="449"/>
      <c r="M4151" s="349" t="str">
        <f>N4151&amp;AS[[#This Row],[Insurer Code]]&amp;"; "&amp;O4151&amp;AS[[#This Row],[Reporting Year]]&amp;"; "&amp;P4151&amp;AS[[#This Row],[Insurance Category Code]]&amp;"; "&amp;Q4151&amp;AS[[#This Row],[Large Provider Entity Code]]&amp;"; "&amp;R4151&amp;AS[[#This Row],[Age Band Code]]&amp;"; "&amp;S4151&amp;AS[[#This Row],[Sex Code]]</f>
        <v xml:space="preserve">Insurer Code ; Reporting Year ; Insurance Category Code ; Large Provider Entity Code ; Age Band Code ; Sex Code </v>
      </c>
      <c r="N4151" s="345" t="s">
        <v>207</v>
      </c>
      <c r="O4151" s="345" t="s">
        <v>208</v>
      </c>
      <c r="P4151" s="345" t="s">
        <v>209</v>
      </c>
      <c r="Q4151" s="345" t="s">
        <v>210</v>
      </c>
      <c r="R4151" s="345" t="s">
        <v>223</v>
      </c>
      <c r="S4151" s="345" t="s">
        <v>224</v>
      </c>
    </row>
    <row r="4152" spans="1:19" x14ac:dyDescent="0.25">
      <c r="A4152" s="311"/>
      <c r="B4152" s="312"/>
      <c r="C4152" s="312"/>
      <c r="D4152" s="312"/>
      <c r="E4152" s="312"/>
      <c r="F4152" s="312"/>
      <c r="G4152" s="328"/>
      <c r="H4152" s="337"/>
      <c r="I4152" s="334"/>
      <c r="J4152" s="314"/>
      <c r="K4152" s="449"/>
      <c r="M4152" s="349" t="str">
        <f>N4152&amp;AS[[#This Row],[Insurer Code]]&amp;"; "&amp;O4152&amp;AS[[#This Row],[Reporting Year]]&amp;"; "&amp;P4152&amp;AS[[#This Row],[Insurance Category Code]]&amp;"; "&amp;Q4152&amp;AS[[#This Row],[Large Provider Entity Code]]&amp;"; "&amp;R4152&amp;AS[[#This Row],[Age Band Code]]&amp;"; "&amp;S4152&amp;AS[[#This Row],[Sex Code]]</f>
        <v xml:space="preserve">Insurer Code ; Reporting Year ; Insurance Category Code ; Large Provider Entity Code ; Age Band Code ; Sex Code </v>
      </c>
      <c r="N4152" s="345" t="s">
        <v>207</v>
      </c>
      <c r="O4152" s="345" t="s">
        <v>208</v>
      </c>
      <c r="P4152" s="345" t="s">
        <v>209</v>
      </c>
      <c r="Q4152" s="345" t="s">
        <v>210</v>
      </c>
      <c r="R4152" s="345" t="s">
        <v>223</v>
      </c>
      <c r="S4152" s="345" t="s">
        <v>224</v>
      </c>
    </row>
    <row r="4153" spans="1:19" x14ac:dyDescent="0.25">
      <c r="A4153" s="311"/>
      <c r="B4153" s="312"/>
      <c r="C4153" s="312"/>
      <c r="D4153" s="312"/>
      <c r="E4153" s="312"/>
      <c r="F4153" s="312"/>
      <c r="G4153" s="328"/>
      <c r="H4153" s="337"/>
      <c r="I4153" s="334"/>
      <c r="J4153" s="314"/>
      <c r="K4153" s="449"/>
      <c r="M4153" s="349" t="str">
        <f>N4153&amp;AS[[#This Row],[Insurer Code]]&amp;"; "&amp;O4153&amp;AS[[#This Row],[Reporting Year]]&amp;"; "&amp;P4153&amp;AS[[#This Row],[Insurance Category Code]]&amp;"; "&amp;Q4153&amp;AS[[#This Row],[Large Provider Entity Code]]&amp;"; "&amp;R4153&amp;AS[[#This Row],[Age Band Code]]&amp;"; "&amp;S4153&amp;AS[[#This Row],[Sex Code]]</f>
        <v xml:space="preserve">Insurer Code ; Reporting Year ; Insurance Category Code ; Large Provider Entity Code ; Age Band Code ; Sex Code </v>
      </c>
      <c r="N4153" s="345" t="s">
        <v>207</v>
      </c>
      <c r="O4153" s="345" t="s">
        <v>208</v>
      </c>
      <c r="P4153" s="345" t="s">
        <v>209</v>
      </c>
      <c r="Q4153" s="345" t="s">
        <v>210</v>
      </c>
      <c r="R4153" s="345" t="s">
        <v>223</v>
      </c>
      <c r="S4153" s="345" t="s">
        <v>224</v>
      </c>
    </row>
    <row r="4154" spans="1:19" x14ac:dyDescent="0.25">
      <c r="A4154" s="311"/>
      <c r="B4154" s="312"/>
      <c r="C4154" s="312"/>
      <c r="D4154" s="312"/>
      <c r="E4154" s="312"/>
      <c r="F4154" s="312"/>
      <c r="G4154" s="328"/>
      <c r="H4154" s="337"/>
      <c r="I4154" s="334"/>
      <c r="J4154" s="314"/>
      <c r="K4154" s="449"/>
      <c r="M4154" s="349" t="str">
        <f>N4154&amp;AS[[#This Row],[Insurer Code]]&amp;"; "&amp;O4154&amp;AS[[#This Row],[Reporting Year]]&amp;"; "&amp;P4154&amp;AS[[#This Row],[Insurance Category Code]]&amp;"; "&amp;Q4154&amp;AS[[#This Row],[Large Provider Entity Code]]&amp;"; "&amp;R4154&amp;AS[[#This Row],[Age Band Code]]&amp;"; "&amp;S4154&amp;AS[[#This Row],[Sex Code]]</f>
        <v xml:space="preserve">Insurer Code ; Reporting Year ; Insurance Category Code ; Large Provider Entity Code ; Age Band Code ; Sex Code </v>
      </c>
      <c r="N4154" s="345" t="s">
        <v>207</v>
      </c>
      <c r="O4154" s="345" t="s">
        <v>208</v>
      </c>
      <c r="P4154" s="345" t="s">
        <v>209</v>
      </c>
      <c r="Q4154" s="345" t="s">
        <v>210</v>
      </c>
      <c r="R4154" s="345" t="s">
        <v>223</v>
      </c>
      <c r="S4154" s="345" t="s">
        <v>224</v>
      </c>
    </row>
    <row r="4155" spans="1:19" x14ac:dyDescent="0.25">
      <c r="A4155" s="311"/>
      <c r="B4155" s="312"/>
      <c r="C4155" s="312"/>
      <c r="D4155" s="312"/>
      <c r="E4155" s="312"/>
      <c r="F4155" s="312"/>
      <c r="G4155" s="328"/>
      <c r="H4155" s="337"/>
      <c r="I4155" s="334"/>
      <c r="J4155" s="314"/>
      <c r="K4155" s="449"/>
      <c r="M4155" s="349" t="str">
        <f>N4155&amp;AS[[#This Row],[Insurer Code]]&amp;"; "&amp;O4155&amp;AS[[#This Row],[Reporting Year]]&amp;"; "&amp;P4155&amp;AS[[#This Row],[Insurance Category Code]]&amp;"; "&amp;Q4155&amp;AS[[#This Row],[Large Provider Entity Code]]&amp;"; "&amp;R4155&amp;AS[[#This Row],[Age Band Code]]&amp;"; "&amp;S4155&amp;AS[[#This Row],[Sex Code]]</f>
        <v xml:space="preserve">Insurer Code ; Reporting Year ; Insurance Category Code ; Large Provider Entity Code ; Age Band Code ; Sex Code </v>
      </c>
      <c r="N4155" s="345" t="s">
        <v>207</v>
      </c>
      <c r="O4155" s="345" t="s">
        <v>208</v>
      </c>
      <c r="P4155" s="345" t="s">
        <v>209</v>
      </c>
      <c r="Q4155" s="345" t="s">
        <v>210</v>
      </c>
      <c r="R4155" s="345" t="s">
        <v>223</v>
      </c>
      <c r="S4155" s="345" t="s">
        <v>224</v>
      </c>
    </row>
    <row r="4156" spans="1:19" x14ac:dyDescent="0.25">
      <c r="A4156" s="311"/>
      <c r="B4156" s="312"/>
      <c r="C4156" s="312"/>
      <c r="D4156" s="312"/>
      <c r="E4156" s="312"/>
      <c r="F4156" s="312"/>
      <c r="G4156" s="328"/>
      <c r="H4156" s="337"/>
      <c r="I4156" s="334"/>
      <c r="J4156" s="314"/>
      <c r="K4156" s="449"/>
      <c r="M4156" s="349" t="str">
        <f>N4156&amp;AS[[#This Row],[Insurer Code]]&amp;"; "&amp;O4156&amp;AS[[#This Row],[Reporting Year]]&amp;"; "&amp;P4156&amp;AS[[#This Row],[Insurance Category Code]]&amp;"; "&amp;Q4156&amp;AS[[#This Row],[Large Provider Entity Code]]&amp;"; "&amp;R4156&amp;AS[[#This Row],[Age Band Code]]&amp;"; "&amp;S4156&amp;AS[[#This Row],[Sex Code]]</f>
        <v xml:space="preserve">Insurer Code ; Reporting Year ; Insurance Category Code ; Large Provider Entity Code ; Age Band Code ; Sex Code </v>
      </c>
      <c r="N4156" s="345" t="s">
        <v>207</v>
      </c>
      <c r="O4156" s="345" t="s">
        <v>208</v>
      </c>
      <c r="P4156" s="345" t="s">
        <v>209</v>
      </c>
      <c r="Q4156" s="345" t="s">
        <v>210</v>
      </c>
      <c r="R4156" s="345" t="s">
        <v>223</v>
      </c>
      <c r="S4156" s="345" t="s">
        <v>224</v>
      </c>
    </row>
    <row r="4157" spans="1:19" x14ac:dyDescent="0.25">
      <c r="A4157" s="311"/>
      <c r="B4157" s="312"/>
      <c r="C4157" s="312"/>
      <c r="D4157" s="312"/>
      <c r="E4157" s="312"/>
      <c r="F4157" s="312"/>
      <c r="G4157" s="328"/>
      <c r="H4157" s="337"/>
      <c r="I4157" s="334"/>
      <c r="J4157" s="314"/>
      <c r="K4157" s="449"/>
      <c r="M4157" s="349" t="str">
        <f>N4157&amp;AS[[#This Row],[Insurer Code]]&amp;"; "&amp;O4157&amp;AS[[#This Row],[Reporting Year]]&amp;"; "&amp;P4157&amp;AS[[#This Row],[Insurance Category Code]]&amp;"; "&amp;Q4157&amp;AS[[#This Row],[Large Provider Entity Code]]&amp;"; "&amp;R4157&amp;AS[[#This Row],[Age Band Code]]&amp;"; "&amp;S4157&amp;AS[[#This Row],[Sex Code]]</f>
        <v xml:space="preserve">Insurer Code ; Reporting Year ; Insurance Category Code ; Large Provider Entity Code ; Age Band Code ; Sex Code </v>
      </c>
      <c r="N4157" s="345" t="s">
        <v>207</v>
      </c>
      <c r="O4157" s="345" t="s">
        <v>208</v>
      </c>
      <c r="P4157" s="345" t="s">
        <v>209</v>
      </c>
      <c r="Q4157" s="345" t="s">
        <v>210</v>
      </c>
      <c r="R4157" s="345" t="s">
        <v>223</v>
      </c>
      <c r="S4157" s="345" t="s">
        <v>224</v>
      </c>
    </row>
    <row r="4158" spans="1:19" x14ac:dyDescent="0.25">
      <c r="A4158" s="311"/>
      <c r="B4158" s="312"/>
      <c r="C4158" s="312"/>
      <c r="D4158" s="312"/>
      <c r="E4158" s="312"/>
      <c r="F4158" s="312"/>
      <c r="G4158" s="328"/>
      <c r="H4158" s="337"/>
      <c r="I4158" s="334"/>
      <c r="J4158" s="314"/>
      <c r="K4158" s="449"/>
      <c r="M4158" s="349" t="str">
        <f>N4158&amp;AS[[#This Row],[Insurer Code]]&amp;"; "&amp;O4158&amp;AS[[#This Row],[Reporting Year]]&amp;"; "&amp;P4158&amp;AS[[#This Row],[Insurance Category Code]]&amp;"; "&amp;Q4158&amp;AS[[#This Row],[Large Provider Entity Code]]&amp;"; "&amp;R4158&amp;AS[[#This Row],[Age Band Code]]&amp;"; "&amp;S4158&amp;AS[[#This Row],[Sex Code]]</f>
        <v xml:space="preserve">Insurer Code ; Reporting Year ; Insurance Category Code ; Large Provider Entity Code ; Age Band Code ; Sex Code </v>
      </c>
      <c r="N4158" s="345" t="s">
        <v>207</v>
      </c>
      <c r="O4158" s="345" t="s">
        <v>208</v>
      </c>
      <c r="P4158" s="345" t="s">
        <v>209</v>
      </c>
      <c r="Q4158" s="345" t="s">
        <v>210</v>
      </c>
      <c r="R4158" s="345" t="s">
        <v>223</v>
      </c>
      <c r="S4158" s="345" t="s">
        <v>224</v>
      </c>
    </row>
    <row r="4159" spans="1:19" x14ac:dyDescent="0.25">
      <c r="A4159" s="311"/>
      <c r="B4159" s="312"/>
      <c r="C4159" s="312"/>
      <c r="D4159" s="312"/>
      <c r="E4159" s="312"/>
      <c r="F4159" s="312"/>
      <c r="G4159" s="328"/>
      <c r="H4159" s="337"/>
      <c r="I4159" s="334"/>
      <c r="J4159" s="314"/>
      <c r="K4159" s="449"/>
      <c r="M4159" s="349" t="str">
        <f>N4159&amp;AS[[#This Row],[Insurer Code]]&amp;"; "&amp;O4159&amp;AS[[#This Row],[Reporting Year]]&amp;"; "&amp;P4159&amp;AS[[#This Row],[Insurance Category Code]]&amp;"; "&amp;Q4159&amp;AS[[#This Row],[Large Provider Entity Code]]&amp;"; "&amp;R4159&amp;AS[[#This Row],[Age Band Code]]&amp;"; "&amp;S4159&amp;AS[[#This Row],[Sex Code]]</f>
        <v xml:space="preserve">Insurer Code ; Reporting Year ; Insurance Category Code ; Large Provider Entity Code ; Age Band Code ; Sex Code </v>
      </c>
      <c r="N4159" s="345" t="s">
        <v>207</v>
      </c>
      <c r="O4159" s="345" t="s">
        <v>208</v>
      </c>
      <c r="P4159" s="345" t="s">
        <v>209</v>
      </c>
      <c r="Q4159" s="345" t="s">
        <v>210</v>
      </c>
      <c r="R4159" s="345" t="s">
        <v>223</v>
      </c>
      <c r="S4159" s="345" t="s">
        <v>224</v>
      </c>
    </row>
    <row r="4160" spans="1:19" x14ac:dyDescent="0.25">
      <c r="A4160" s="311"/>
      <c r="B4160" s="312"/>
      <c r="C4160" s="312"/>
      <c r="D4160" s="312"/>
      <c r="E4160" s="312"/>
      <c r="F4160" s="312"/>
      <c r="G4160" s="328"/>
      <c r="H4160" s="337"/>
      <c r="I4160" s="334"/>
      <c r="J4160" s="314"/>
      <c r="K4160" s="449"/>
      <c r="M4160" s="349" t="str">
        <f>N4160&amp;AS[[#This Row],[Insurer Code]]&amp;"; "&amp;O4160&amp;AS[[#This Row],[Reporting Year]]&amp;"; "&amp;P4160&amp;AS[[#This Row],[Insurance Category Code]]&amp;"; "&amp;Q4160&amp;AS[[#This Row],[Large Provider Entity Code]]&amp;"; "&amp;R4160&amp;AS[[#This Row],[Age Band Code]]&amp;"; "&amp;S4160&amp;AS[[#This Row],[Sex Code]]</f>
        <v xml:space="preserve">Insurer Code ; Reporting Year ; Insurance Category Code ; Large Provider Entity Code ; Age Band Code ; Sex Code </v>
      </c>
      <c r="N4160" s="345" t="s">
        <v>207</v>
      </c>
      <c r="O4160" s="345" t="s">
        <v>208</v>
      </c>
      <c r="P4160" s="345" t="s">
        <v>209</v>
      </c>
      <c r="Q4160" s="345" t="s">
        <v>210</v>
      </c>
      <c r="R4160" s="345" t="s">
        <v>223</v>
      </c>
      <c r="S4160" s="345" t="s">
        <v>224</v>
      </c>
    </row>
    <row r="4161" spans="1:19" x14ac:dyDescent="0.25">
      <c r="A4161" s="311"/>
      <c r="B4161" s="312"/>
      <c r="C4161" s="312"/>
      <c r="D4161" s="312"/>
      <c r="E4161" s="312"/>
      <c r="F4161" s="312"/>
      <c r="G4161" s="328"/>
      <c r="H4161" s="337"/>
      <c r="I4161" s="334"/>
      <c r="J4161" s="314"/>
      <c r="K4161" s="449"/>
      <c r="M4161" s="349" t="str">
        <f>N4161&amp;AS[[#This Row],[Insurer Code]]&amp;"; "&amp;O4161&amp;AS[[#This Row],[Reporting Year]]&amp;"; "&amp;P4161&amp;AS[[#This Row],[Insurance Category Code]]&amp;"; "&amp;Q4161&amp;AS[[#This Row],[Large Provider Entity Code]]&amp;"; "&amp;R4161&amp;AS[[#This Row],[Age Band Code]]&amp;"; "&amp;S4161&amp;AS[[#This Row],[Sex Code]]</f>
        <v xml:space="preserve">Insurer Code ; Reporting Year ; Insurance Category Code ; Large Provider Entity Code ; Age Band Code ; Sex Code </v>
      </c>
      <c r="N4161" s="345" t="s">
        <v>207</v>
      </c>
      <c r="O4161" s="345" t="s">
        <v>208</v>
      </c>
      <c r="P4161" s="345" t="s">
        <v>209</v>
      </c>
      <c r="Q4161" s="345" t="s">
        <v>210</v>
      </c>
      <c r="R4161" s="345" t="s">
        <v>223</v>
      </c>
      <c r="S4161" s="345" t="s">
        <v>224</v>
      </c>
    </row>
    <row r="4162" spans="1:19" x14ac:dyDescent="0.25">
      <c r="A4162" s="311"/>
      <c r="B4162" s="312"/>
      <c r="C4162" s="312"/>
      <c r="D4162" s="312"/>
      <c r="E4162" s="312"/>
      <c r="F4162" s="312"/>
      <c r="G4162" s="328"/>
      <c r="H4162" s="337"/>
      <c r="I4162" s="334"/>
      <c r="J4162" s="314"/>
      <c r="K4162" s="449"/>
      <c r="M4162" s="349" t="str">
        <f>N4162&amp;AS[[#This Row],[Insurer Code]]&amp;"; "&amp;O4162&amp;AS[[#This Row],[Reporting Year]]&amp;"; "&amp;P4162&amp;AS[[#This Row],[Insurance Category Code]]&amp;"; "&amp;Q4162&amp;AS[[#This Row],[Large Provider Entity Code]]&amp;"; "&amp;R4162&amp;AS[[#This Row],[Age Band Code]]&amp;"; "&amp;S4162&amp;AS[[#This Row],[Sex Code]]</f>
        <v xml:space="preserve">Insurer Code ; Reporting Year ; Insurance Category Code ; Large Provider Entity Code ; Age Band Code ; Sex Code </v>
      </c>
      <c r="N4162" s="345" t="s">
        <v>207</v>
      </c>
      <c r="O4162" s="345" t="s">
        <v>208</v>
      </c>
      <c r="P4162" s="345" t="s">
        <v>209</v>
      </c>
      <c r="Q4162" s="345" t="s">
        <v>210</v>
      </c>
      <c r="R4162" s="345" t="s">
        <v>223</v>
      </c>
      <c r="S4162" s="345" t="s">
        <v>224</v>
      </c>
    </row>
    <row r="4163" spans="1:19" x14ac:dyDescent="0.25">
      <c r="A4163" s="311"/>
      <c r="B4163" s="312"/>
      <c r="C4163" s="312"/>
      <c r="D4163" s="312"/>
      <c r="E4163" s="312"/>
      <c r="F4163" s="312"/>
      <c r="G4163" s="328"/>
      <c r="H4163" s="337"/>
      <c r="I4163" s="334"/>
      <c r="J4163" s="314"/>
      <c r="K4163" s="449"/>
      <c r="M4163" s="349" t="str">
        <f>N4163&amp;AS[[#This Row],[Insurer Code]]&amp;"; "&amp;O4163&amp;AS[[#This Row],[Reporting Year]]&amp;"; "&amp;P4163&amp;AS[[#This Row],[Insurance Category Code]]&amp;"; "&amp;Q4163&amp;AS[[#This Row],[Large Provider Entity Code]]&amp;"; "&amp;R4163&amp;AS[[#This Row],[Age Band Code]]&amp;"; "&amp;S4163&amp;AS[[#This Row],[Sex Code]]</f>
        <v xml:space="preserve">Insurer Code ; Reporting Year ; Insurance Category Code ; Large Provider Entity Code ; Age Band Code ; Sex Code </v>
      </c>
      <c r="N4163" s="345" t="s">
        <v>207</v>
      </c>
      <c r="O4163" s="345" t="s">
        <v>208</v>
      </c>
      <c r="P4163" s="345" t="s">
        <v>209</v>
      </c>
      <c r="Q4163" s="345" t="s">
        <v>210</v>
      </c>
      <c r="R4163" s="345" t="s">
        <v>223</v>
      </c>
      <c r="S4163" s="345" t="s">
        <v>224</v>
      </c>
    </row>
    <row r="4164" spans="1:19" x14ac:dyDescent="0.25">
      <c r="A4164" s="311"/>
      <c r="B4164" s="312"/>
      <c r="C4164" s="312"/>
      <c r="D4164" s="312"/>
      <c r="E4164" s="312"/>
      <c r="F4164" s="312"/>
      <c r="G4164" s="328"/>
      <c r="H4164" s="337"/>
      <c r="I4164" s="334"/>
      <c r="J4164" s="314"/>
      <c r="K4164" s="449"/>
      <c r="M4164" s="349" t="str">
        <f>N4164&amp;AS[[#This Row],[Insurer Code]]&amp;"; "&amp;O4164&amp;AS[[#This Row],[Reporting Year]]&amp;"; "&amp;P4164&amp;AS[[#This Row],[Insurance Category Code]]&amp;"; "&amp;Q4164&amp;AS[[#This Row],[Large Provider Entity Code]]&amp;"; "&amp;R4164&amp;AS[[#This Row],[Age Band Code]]&amp;"; "&amp;S4164&amp;AS[[#This Row],[Sex Code]]</f>
        <v xml:space="preserve">Insurer Code ; Reporting Year ; Insurance Category Code ; Large Provider Entity Code ; Age Band Code ; Sex Code </v>
      </c>
      <c r="N4164" s="345" t="s">
        <v>207</v>
      </c>
      <c r="O4164" s="345" t="s">
        <v>208</v>
      </c>
      <c r="P4164" s="345" t="s">
        <v>209</v>
      </c>
      <c r="Q4164" s="345" t="s">
        <v>210</v>
      </c>
      <c r="R4164" s="345" t="s">
        <v>223</v>
      </c>
      <c r="S4164" s="345" t="s">
        <v>224</v>
      </c>
    </row>
    <row r="4165" spans="1:19" x14ac:dyDescent="0.25">
      <c r="A4165" s="311"/>
      <c r="B4165" s="312"/>
      <c r="C4165" s="312"/>
      <c r="D4165" s="312"/>
      <c r="E4165" s="312"/>
      <c r="F4165" s="312"/>
      <c r="G4165" s="328"/>
      <c r="H4165" s="337"/>
      <c r="I4165" s="334"/>
      <c r="J4165" s="314"/>
      <c r="K4165" s="449"/>
      <c r="M4165" s="349" t="str">
        <f>N4165&amp;AS[[#This Row],[Insurer Code]]&amp;"; "&amp;O4165&amp;AS[[#This Row],[Reporting Year]]&amp;"; "&amp;P4165&amp;AS[[#This Row],[Insurance Category Code]]&amp;"; "&amp;Q4165&amp;AS[[#This Row],[Large Provider Entity Code]]&amp;"; "&amp;R4165&amp;AS[[#This Row],[Age Band Code]]&amp;"; "&amp;S4165&amp;AS[[#This Row],[Sex Code]]</f>
        <v xml:space="preserve">Insurer Code ; Reporting Year ; Insurance Category Code ; Large Provider Entity Code ; Age Band Code ; Sex Code </v>
      </c>
      <c r="N4165" s="345" t="s">
        <v>207</v>
      </c>
      <c r="O4165" s="345" t="s">
        <v>208</v>
      </c>
      <c r="P4165" s="345" t="s">
        <v>209</v>
      </c>
      <c r="Q4165" s="345" t="s">
        <v>210</v>
      </c>
      <c r="R4165" s="345" t="s">
        <v>223</v>
      </c>
      <c r="S4165" s="345" t="s">
        <v>224</v>
      </c>
    </row>
    <row r="4166" spans="1:19" x14ac:dyDescent="0.25">
      <c r="A4166" s="311"/>
      <c r="B4166" s="312"/>
      <c r="C4166" s="312"/>
      <c r="D4166" s="312"/>
      <c r="E4166" s="312"/>
      <c r="F4166" s="312"/>
      <c r="G4166" s="328"/>
      <c r="H4166" s="337"/>
      <c r="I4166" s="334"/>
      <c r="J4166" s="314"/>
      <c r="K4166" s="449"/>
      <c r="M4166" s="349" t="str">
        <f>N4166&amp;AS[[#This Row],[Insurer Code]]&amp;"; "&amp;O4166&amp;AS[[#This Row],[Reporting Year]]&amp;"; "&amp;P4166&amp;AS[[#This Row],[Insurance Category Code]]&amp;"; "&amp;Q4166&amp;AS[[#This Row],[Large Provider Entity Code]]&amp;"; "&amp;R4166&amp;AS[[#This Row],[Age Band Code]]&amp;"; "&amp;S4166&amp;AS[[#This Row],[Sex Code]]</f>
        <v xml:space="preserve">Insurer Code ; Reporting Year ; Insurance Category Code ; Large Provider Entity Code ; Age Band Code ; Sex Code </v>
      </c>
      <c r="N4166" s="345" t="s">
        <v>207</v>
      </c>
      <c r="O4166" s="345" t="s">
        <v>208</v>
      </c>
      <c r="P4166" s="345" t="s">
        <v>209</v>
      </c>
      <c r="Q4166" s="345" t="s">
        <v>210</v>
      </c>
      <c r="R4166" s="345" t="s">
        <v>223</v>
      </c>
      <c r="S4166" s="345" t="s">
        <v>224</v>
      </c>
    </row>
    <row r="4167" spans="1:19" x14ac:dyDescent="0.25">
      <c r="A4167" s="311"/>
      <c r="B4167" s="312"/>
      <c r="C4167" s="312"/>
      <c r="D4167" s="312"/>
      <c r="E4167" s="312"/>
      <c r="F4167" s="312"/>
      <c r="G4167" s="328"/>
      <c r="H4167" s="337"/>
      <c r="I4167" s="334"/>
      <c r="J4167" s="314"/>
      <c r="K4167" s="449"/>
      <c r="M4167" s="349" t="str">
        <f>N4167&amp;AS[[#This Row],[Insurer Code]]&amp;"; "&amp;O4167&amp;AS[[#This Row],[Reporting Year]]&amp;"; "&amp;P4167&amp;AS[[#This Row],[Insurance Category Code]]&amp;"; "&amp;Q4167&amp;AS[[#This Row],[Large Provider Entity Code]]&amp;"; "&amp;R4167&amp;AS[[#This Row],[Age Band Code]]&amp;"; "&amp;S4167&amp;AS[[#This Row],[Sex Code]]</f>
        <v xml:space="preserve">Insurer Code ; Reporting Year ; Insurance Category Code ; Large Provider Entity Code ; Age Band Code ; Sex Code </v>
      </c>
      <c r="N4167" s="345" t="s">
        <v>207</v>
      </c>
      <c r="O4167" s="345" t="s">
        <v>208</v>
      </c>
      <c r="P4167" s="345" t="s">
        <v>209</v>
      </c>
      <c r="Q4167" s="345" t="s">
        <v>210</v>
      </c>
      <c r="R4167" s="345" t="s">
        <v>223</v>
      </c>
      <c r="S4167" s="345" t="s">
        <v>224</v>
      </c>
    </row>
    <row r="4168" spans="1:19" x14ac:dyDescent="0.25">
      <c r="A4168" s="311"/>
      <c r="B4168" s="312"/>
      <c r="C4168" s="312"/>
      <c r="D4168" s="312"/>
      <c r="E4168" s="312"/>
      <c r="F4168" s="312"/>
      <c r="G4168" s="328"/>
      <c r="H4168" s="337"/>
      <c r="I4168" s="334"/>
      <c r="J4168" s="314"/>
      <c r="K4168" s="449"/>
      <c r="M4168" s="349" t="str">
        <f>N4168&amp;AS[[#This Row],[Insurer Code]]&amp;"; "&amp;O4168&amp;AS[[#This Row],[Reporting Year]]&amp;"; "&amp;P4168&amp;AS[[#This Row],[Insurance Category Code]]&amp;"; "&amp;Q4168&amp;AS[[#This Row],[Large Provider Entity Code]]&amp;"; "&amp;R4168&amp;AS[[#This Row],[Age Band Code]]&amp;"; "&amp;S4168&amp;AS[[#This Row],[Sex Code]]</f>
        <v xml:space="preserve">Insurer Code ; Reporting Year ; Insurance Category Code ; Large Provider Entity Code ; Age Band Code ; Sex Code </v>
      </c>
      <c r="N4168" s="345" t="s">
        <v>207</v>
      </c>
      <c r="O4168" s="345" t="s">
        <v>208</v>
      </c>
      <c r="P4168" s="345" t="s">
        <v>209</v>
      </c>
      <c r="Q4168" s="345" t="s">
        <v>210</v>
      </c>
      <c r="R4168" s="345" t="s">
        <v>223</v>
      </c>
      <c r="S4168" s="345" t="s">
        <v>224</v>
      </c>
    </row>
    <row r="4169" spans="1:19" x14ac:dyDescent="0.25">
      <c r="A4169" s="311"/>
      <c r="B4169" s="312"/>
      <c r="C4169" s="312"/>
      <c r="D4169" s="312"/>
      <c r="E4169" s="312"/>
      <c r="F4169" s="312"/>
      <c r="G4169" s="328"/>
      <c r="H4169" s="337"/>
      <c r="I4169" s="334"/>
      <c r="J4169" s="314"/>
      <c r="K4169" s="449"/>
      <c r="M4169" s="349" t="str">
        <f>N4169&amp;AS[[#This Row],[Insurer Code]]&amp;"; "&amp;O4169&amp;AS[[#This Row],[Reporting Year]]&amp;"; "&amp;P4169&amp;AS[[#This Row],[Insurance Category Code]]&amp;"; "&amp;Q4169&amp;AS[[#This Row],[Large Provider Entity Code]]&amp;"; "&amp;R4169&amp;AS[[#This Row],[Age Band Code]]&amp;"; "&amp;S4169&amp;AS[[#This Row],[Sex Code]]</f>
        <v xml:space="preserve">Insurer Code ; Reporting Year ; Insurance Category Code ; Large Provider Entity Code ; Age Band Code ; Sex Code </v>
      </c>
      <c r="N4169" s="345" t="s">
        <v>207</v>
      </c>
      <c r="O4169" s="345" t="s">
        <v>208</v>
      </c>
      <c r="P4169" s="345" t="s">
        <v>209</v>
      </c>
      <c r="Q4169" s="345" t="s">
        <v>210</v>
      </c>
      <c r="R4169" s="345" t="s">
        <v>223</v>
      </c>
      <c r="S4169" s="345" t="s">
        <v>224</v>
      </c>
    </row>
    <row r="4170" spans="1:19" x14ac:dyDescent="0.25">
      <c r="A4170" s="311"/>
      <c r="B4170" s="312"/>
      <c r="C4170" s="312"/>
      <c r="D4170" s="312"/>
      <c r="E4170" s="312"/>
      <c r="F4170" s="312"/>
      <c r="G4170" s="328"/>
      <c r="H4170" s="337"/>
      <c r="I4170" s="334"/>
      <c r="J4170" s="314"/>
      <c r="K4170" s="449"/>
      <c r="M4170" s="349" t="str">
        <f>N4170&amp;AS[[#This Row],[Insurer Code]]&amp;"; "&amp;O4170&amp;AS[[#This Row],[Reporting Year]]&amp;"; "&amp;P4170&amp;AS[[#This Row],[Insurance Category Code]]&amp;"; "&amp;Q4170&amp;AS[[#This Row],[Large Provider Entity Code]]&amp;"; "&amp;R4170&amp;AS[[#This Row],[Age Band Code]]&amp;"; "&amp;S4170&amp;AS[[#This Row],[Sex Code]]</f>
        <v xml:space="preserve">Insurer Code ; Reporting Year ; Insurance Category Code ; Large Provider Entity Code ; Age Band Code ; Sex Code </v>
      </c>
      <c r="N4170" s="345" t="s">
        <v>207</v>
      </c>
      <c r="O4170" s="345" t="s">
        <v>208</v>
      </c>
      <c r="P4170" s="345" t="s">
        <v>209</v>
      </c>
      <c r="Q4170" s="345" t="s">
        <v>210</v>
      </c>
      <c r="R4170" s="345" t="s">
        <v>223</v>
      </c>
      <c r="S4170" s="345" t="s">
        <v>224</v>
      </c>
    </row>
    <row r="4171" spans="1:19" x14ac:dyDescent="0.25">
      <c r="A4171" s="311"/>
      <c r="B4171" s="312"/>
      <c r="C4171" s="312"/>
      <c r="D4171" s="312"/>
      <c r="E4171" s="312"/>
      <c r="F4171" s="312"/>
      <c r="G4171" s="328"/>
      <c r="H4171" s="337"/>
      <c r="I4171" s="334"/>
      <c r="J4171" s="314"/>
      <c r="K4171" s="449"/>
      <c r="M4171" s="349" t="str">
        <f>N4171&amp;AS[[#This Row],[Insurer Code]]&amp;"; "&amp;O4171&amp;AS[[#This Row],[Reporting Year]]&amp;"; "&amp;P4171&amp;AS[[#This Row],[Insurance Category Code]]&amp;"; "&amp;Q4171&amp;AS[[#This Row],[Large Provider Entity Code]]&amp;"; "&amp;R4171&amp;AS[[#This Row],[Age Band Code]]&amp;"; "&amp;S4171&amp;AS[[#This Row],[Sex Code]]</f>
        <v xml:space="preserve">Insurer Code ; Reporting Year ; Insurance Category Code ; Large Provider Entity Code ; Age Band Code ; Sex Code </v>
      </c>
      <c r="N4171" s="345" t="s">
        <v>207</v>
      </c>
      <c r="O4171" s="345" t="s">
        <v>208</v>
      </c>
      <c r="P4171" s="345" t="s">
        <v>209</v>
      </c>
      <c r="Q4171" s="345" t="s">
        <v>210</v>
      </c>
      <c r="R4171" s="345" t="s">
        <v>223</v>
      </c>
      <c r="S4171" s="345" t="s">
        <v>224</v>
      </c>
    </row>
    <row r="4172" spans="1:19" x14ac:dyDescent="0.25">
      <c r="A4172" s="311"/>
      <c r="B4172" s="312"/>
      <c r="C4172" s="312"/>
      <c r="D4172" s="312"/>
      <c r="E4172" s="312"/>
      <c r="F4172" s="312"/>
      <c r="G4172" s="328"/>
      <c r="H4172" s="337"/>
      <c r="I4172" s="334"/>
      <c r="J4172" s="314"/>
      <c r="K4172" s="449"/>
      <c r="M4172" s="349" t="str">
        <f>N4172&amp;AS[[#This Row],[Insurer Code]]&amp;"; "&amp;O4172&amp;AS[[#This Row],[Reporting Year]]&amp;"; "&amp;P4172&amp;AS[[#This Row],[Insurance Category Code]]&amp;"; "&amp;Q4172&amp;AS[[#This Row],[Large Provider Entity Code]]&amp;"; "&amp;R4172&amp;AS[[#This Row],[Age Band Code]]&amp;"; "&amp;S4172&amp;AS[[#This Row],[Sex Code]]</f>
        <v xml:space="preserve">Insurer Code ; Reporting Year ; Insurance Category Code ; Large Provider Entity Code ; Age Band Code ; Sex Code </v>
      </c>
      <c r="N4172" s="345" t="s">
        <v>207</v>
      </c>
      <c r="O4172" s="345" t="s">
        <v>208</v>
      </c>
      <c r="P4172" s="345" t="s">
        <v>209</v>
      </c>
      <c r="Q4172" s="345" t="s">
        <v>210</v>
      </c>
      <c r="R4172" s="345" t="s">
        <v>223</v>
      </c>
      <c r="S4172" s="345" t="s">
        <v>224</v>
      </c>
    </row>
    <row r="4173" spans="1:19" x14ac:dyDescent="0.25">
      <c r="A4173" s="311"/>
      <c r="B4173" s="312"/>
      <c r="C4173" s="312"/>
      <c r="D4173" s="312"/>
      <c r="E4173" s="312"/>
      <c r="F4173" s="312"/>
      <c r="G4173" s="328"/>
      <c r="H4173" s="337"/>
      <c r="I4173" s="334"/>
      <c r="J4173" s="314"/>
      <c r="K4173" s="449"/>
      <c r="M4173" s="349" t="str">
        <f>N4173&amp;AS[[#This Row],[Insurer Code]]&amp;"; "&amp;O4173&amp;AS[[#This Row],[Reporting Year]]&amp;"; "&amp;P4173&amp;AS[[#This Row],[Insurance Category Code]]&amp;"; "&amp;Q4173&amp;AS[[#This Row],[Large Provider Entity Code]]&amp;"; "&amp;R4173&amp;AS[[#This Row],[Age Band Code]]&amp;"; "&amp;S4173&amp;AS[[#This Row],[Sex Code]]</f>
        <v xml:space="preserve">Insurer Code ; Reporting Year ; Insurance Category Code ; Large Provider Entity Code ; Age Band Code ; Sex Code </v>
      </c>
      <c r="N4173" s="345" t="s">
        <v>207</v>
      </c>
      <c r="O4173" s="345" t="s">
        <v>208</v>
      </c>
      <c r="P4173" s="345" t="s">
        <v>209</v>
      </c>
      <c r="Q4173" s="345" t="s">
        <v>210</v>
      </c>
      <c r="R4173" s="345" t="s">
        <v>223</v>
      </c>
      <c r="S4173" s="345" t="s">
        <v>224</v>
      </c>
    </row>
    <row r="4174" spans="1:19" x14ac:dyDescent="0.25">
      <c r="A4174" s="311"/>
      <c r="B4174" s="312"/>
      <c r="C4174" s="312"/>
      <c r="D4174" s="312"/>
      <c r="E4174" s="312"/>
      <c r="F4174" s="312"/>
      <c r="G4174" s="328"/>
      <c r="H4174" s="337"/>
      <c r="I4174" s="334"/>
      <c r="J4174" s="314"/>
      <c r="K4174" s="449"/>
      <c r="M4174" s="349" t="str">
        <f>N4174&amp;AS[[#This Row],[Insurer Code]]&amp;"; "&amp;O4174&amp;AS[[#This Row],[Reporting Year]]&amp;"; "&amp;P4174&amp;AS[[#This Row],[Insurance Category Code]]&amp;"; "&amp;Q4174&amp;AS[[#This Row],[Large Provider Entity Code]]&amp;"; "&amp;R4174&amp;AS[[#This Row],[Age Band Code]]&amp;"; "&amp;S4174&amp;AS[[#This Row],[Sex Code]]</f>
        <v xml:space="preserve">Insurer Code ; Reporting Year ; Insurance Category Code ; Large Provider Entity Code ; Age Band Code ; Sex Code </v>
      </c>
      <c r="N4174" s="345" t="s">
        <v>207</v>
      </c>
      <c r="O4174" s="345" t="s">
        <v>208</v>
      </c>
      <c r="P4174" s="345" t="s">
        <v>209</v>
      </c>
      <c r="Q4174" s="345" t="s">
        <v>210</v>
      </c>
      <c r="R4174" s="345" t="s">
        <v>223</v>
      </c>
      <c r="S4174" s="345" t="s">
        <v>224</v>
      </c>
    </row>
    <row r="4175" spans="1:19" x14ac:dyDescent="0.25">
      <c r="A4175" s="311"/>
      <c r="B4175" s="312"/>
      <c r="C4175" s="312"/>
      <c r="D4175" s="312"/>
      <c r="E4175" s="312"/>
      <c r="F4175" s="312"/>
      <c r="G4175" s="328"/>
      <c r="H4175" s="337"/>
      <c r="I4175" s="334"/>
      <c r="J4175" s="314"/>
      <c r="K4175" s="449"/>
      <c r="M4175" s="349" t="str">
        <f>N4175&amp;AS[[#This Row],[Insurer Code]]&amp;"; "&amp;O4175&amp;AS[[#This Row],[Reporting Year]]&amp;"; "&amp;P4175&amp;AS[[#This Row],[Insurance Category Code]]&amp;"; "&amp;Q4175&amp;AS[[#This Row],[Large Provider Entity Code]]&amp;"; "&amp;R4175&amp;AS[[#This Row],[Age Band Code]]&amp;"; "&amp;S4175&amp;AS[[#This Row],[Sex Code]]</f>
        <v xml:space="preserve">Insurer Code ; Reporting Year ; Insurance Category Code ; Large Provider Entity Code ; Age Band Code ; Sex Code </v>
      </c>
      <c r="N4175" s="345" t="s">
        <v>207</v>
      </c>
      <c r="O4175" s="345" t="s">
        <v>208</v>
      </c>
      <c r="P4175" s="345" t="s">
        <v>209</v>
      </c>
      <c r="Q4175" s="345" t="s">
        <v>210</v>
      </c>
      <c r="R4175" s="345" t="s">
        <v>223</v>
      </c>
      <c r="S4175" s="345" t="s">
        <v>224</v>
      </c>
    </row>
    <row r="4176" spans="1:19" x14ac:dyDescent="0.25">
      <c r="A4176" s="311"/>
      <c r="B4176" s="312"/>
      <c r="C4176" s="312"/>
      <c r="D4176" s="312"/>
      <c r="E4176" s="312"/>
      <c r="F4176" s="312"/>
      <c r="G4176" s="328"/>
      <c r="H4176" s="337"/>
      <c r="I4176" s="334"/>
      <c r="J4176" s="314"/>
      <c r="K4176" s="449"/>
      <c r="M4176" s="349" t="str">
        <f>N4176&amp;AS[[#This Row],[Insurer Code]]&amp;"; "&amp;O4176&amp;AS[[#This Row],[Reporting Year]]&amp;"; "&amp;P4176&amp;AS[[#This Row],[Insurance Category Code]]&amp;"; "&amp;Q4176&amp;AS[[#This Row],[Large Provider Entity Code]]&amp;"; "&amp;R4176&amp;AS[[#This Row],[Age Band Code]]&amp;"; "&amp;S4176&amp;AS[[#This Row],[Sex Code]]</f>
        <v xml:space="preserve">Insurer Code ; Reporting Year ; Insurance Category Code ; Large Provider Entity Code ; Age Band Code ; Sex Code </v>
      </c>
      <c r="N4176" s="345" t="s">
        <v>207</v>
      </c>
      <c r="O4176" s="345" t="s">
        <v>208</v>
      </c>
      <c r="P4176" s="345" t="s">
        <v>209</v>
      </c>
      <c r="Q4176" s="345" t="s">
        <v>210</v>
      </c>
      <c r="R4176" s="345" t="s">
        <v>223</v>
      </c>
      <c r="S4176" s="345" t="s">
        <v>224</v>
      </c>
    </row>
    <row r="4177" spans="1:19" x14ac:dyDescent="0.25">
      <c r="A4177" s="311"/>
      <c r="B4177" s="312"/>
      <c r="C4177" s="312"/>
      <c r="D4177" s="312"/>
      <c r="E4177" s="312"/>
      <c r="F4177" s="312"/>
      <c r="G4177" s="328"/>
      <c r="H4177" s="337"/>
      <c r="I4177" s="334"/>
      <c r="J4177" s="314"/>
      <c r="K4177" s="449"/>
      <c r="M4177" s="349" t="str">
        <f>N4177&amp;AS[[#This Row],[Insurer Code]]&amp;"; "&amp;O4177&amp;AS[[#This Row],[Reporting Year]]&amp;"; "&amp;P4177&amp;AS[[#This Row],[Insurance Category Code]]&amp;"; "&amp;Q4177&amp;AS[[#This Row],[Large Provider Entity Code]]&amp;"; "&amp;R4177&amp;AS[[#This Row],[Age Band Code]]&amp;"; "&amp;S4177&amp;AS[[#This Row],[Sex Code]]</f>
        <v xml:space="preserve">Insurer Code ; Reporting Year ; Insurance Category Code ; Large Provider Entity Code ; Age Band Code ; Sex Code </v>
      </c>
      <c r="N4177" s="345" t="s">
        <v>207</v>
      </c>
      <c r="O4177" s="345" t="s">
        <v>208</v>
      </c>
      <c r="P4177" s="345" t="s">
        <v>209</v>
      </c>
      <c r="Q4177" s="345" t="s">
        <v>210</v>
      </c>
      <c r="R4177" s="345" t="s">
        <v>223</v>
      </c>
      <c r="S4177" s="345" t="s">
        <v>224</v>
      </c>
    </row>
    <row r="4178" spans="1:19" x14ac:dyDescent="0.25">
      <c r="A4178" s="311"/>
      <c r="B4178" s="312"/>
      <c r="C4178" s="312"/>
      <c r="D4178" s="312"/>
      <c r="E4178" s="312"/>
      <c r="F4178" s="312"/>
      <c r="G4178" s="328"/>
      <c r="H4178" s="337"/>
      <c r="I4178" s="334"/>
      <c r="J4178" s="314"/>
      <c r="K4178" s="449"/>
      <c r="M4178" s="349" t="str">
        <f>N4178&amp;AS[[#This Row],[Insurer Code]]&amp;"; "&amp;O4178&amp;AS[[#This Row],[Reporting Year]]&amp;"; "&amp;P4178&amp;AS[[#This Row],[Insurance Category Code]]&amp;"; "&amp;Q4178&amp;AS[[#This Row],[Large Provider Entity Code]]&amp;"; "&amp;R4178&amp;AS[[#This Row],[Age Band Code]]&amp;"; "&amp;S4178&amp;AS[[#This Row],[Sex Code]]</f>
        <v xml:space="preserve">Insurer Code ; Reporting Year ; Insurance Category Code ; Large Provider Entity Code ; Age Band Code ; Sex Code </v>
      </c>
      <c r="N4178" s="345" t="s">
        <v>207</v>
      </c>
      <c r="O4178" s="345" t="s">
        <v>208</v>
      </c>
      <c r="P4178" s="345" t="s">
        <v>209</v>
      </c>
      <c r="Q4178" s="345" t="s">
        <v>210</v>
      </c>
      <c r="R4178" s="345" t="s">
        <v>223</v>
      </c>
      <c r="S4178" s="345" t="s">
        <v>224</v>
      </c>
    </row>
    <row r="4179" spans="1:19" x14ac:dyDescent="0.25">
      <c r="A4179" s="311"/>
      <c r="B4179" s="312"/>
      <c r="C4179" s="312"/>
      <c r="D4179" s="312"/>
      <c r="E4179" s="312"/>
      <c r="F4179" s="312"/>
      <c r="G4179" s="328"/>
      <c r="H4179" s="337"/>
      <c r="I4179" s="334"/>
      <c r="J4179" s="314"/>
      <c r="K4179" s="449"/>
      <c r="M4179" s="349" t="str">
        <f>N4179&amp;AS[[#This Row],[Insurer Code]]&amp;"; "&amp;O4179&amp;AS[[#This Row],[Reporting Year]]&amp;"; "&amp;P4179&amp;AS[[#This Row],[Insurance Category Code]]&amp;"; "&amp;Q4179&amp;AS[[#This Row],[Large Provider Entity Code]]&amp;"; "&amp;R4179&amp;AS[[#This Row],[Age Band Code]]&amp;"; "&amp;S4179&amp;AS[[#This Row],[Sex Code]]</f>
        <v xml:space="preserve">Insurer Code ; Reporting Year ; Insurance Category Code ; Large Provider Entity Code ; Age Band Code ; Sex Code </v>
      </c>
      <c r="N4179" s="345" t="s">
        <v>207</v>
      </c>
      <c r="O4179" s="345" t="s">
        <v>208</v>
      </c>
      <c r="P4179" s="345" t="s">
        <v>209</v>
      </c>
      <c r="Q4179" s="345" t="s">
        <v>210</v>
      </c>
      <c r="R4179" s="345" t="s">
        <v>223</v>
      </c>
      <c r="S4179" s="345" t="s">
        <v>224</v>
      </c>
    </row>
    <row r="4180" spans="1:19" x14ac:dyDescent="0.25">
      <c r="A4180" s="311"/>
      <c r="B4180" s="312"/>
      <c r="C4180" s="312"/>
      <c r="D4180" s="312"/>
      <c r="E4180" s="312"/>
      <c r="F4180" s="312"/>
      <c r="G4180" s="328"/>
      <c r="H4180" s="337"/>
      <c r="I4180" s="334"/>
      <c r="J4180" s="314"/>
      <c r="K4180" s="449"/>
      <c r="M4180" s="349" t="str">
        <f>N4180&amp;AS[[#This Row],[Insurer Code]]&amp;"; "&amp;O4180&amp;AS[[#This Row],[Reporting Year]]&amp;"; "&amp;P4180&amp;AS[[#This Row],[Insurance Category Code]]&amp;"; "&amp;Q4180&amp;AS[[#This Row],[Large Provider Entity Code]]&amp;"; "&amp;R4180&amp;AS[[#This Row],[Age Band Code]]&amp;"; "&amp;S4180&amp;AS[[#This Row],[Sex Code]]</f>
        <v xml:space="preserve">Insurer Code ; Reporting Year ; Insurance Category Code ; Large Provider Entity Code ; Age Band Code ; Sex Code </v>
      </c>
      <c r="N4180" s="345" t="s">
        <v>207</v>
      </c>
      <c r="O4180" s="345" t="s">
        <v>208</v>
      </c>
      <c r="P4180" s="345" t="s">
        <v>209</v>
      </c>
      <c r="Q4180" s="345" t="s">
        <v>210</v>
      </c>
      <c r="R4180" s="345" t="s">
        <v>223</v>
      </c>
      <c r="S4180" s="345" t="s">
        <v>224</v>
      </c>
    </row>
    <row r="4181" spans="1:19" x14ac:dyDescent="0.25">
      <c r="A4181" s="311"/>
      <c r="B4181" s="312"/>
      <c r="C4181" s="312"/>
      <c r="D4181" s="312"/>
      <c r="E4181" s="312"/>
      <c r="F4181" s="312"/>
      <c r="G4181" s="328"/>
      <c r="H4181" s="337"/>
      <c r="I4181" s="334"/>
      <c r="J4181" s="314"/>
      <c r="K4181" s="449"/>
      <c r="M4181" s="349" t="str">
        <f>N4181&amp;AS[[#This Row],[Insurer Code]]&amp;"; "&amp;O4181&amp;AS[[#This Row],[Reporting Year]]&amp;"; "&amp;P4181&amp;AS[[#This Row],[Insurance Category Code]]&amp;"; "&amp;Q4181&amp;AS[[#This Row],[Large Provider Entity Code]]&amp;"; "&amp;R4181&amp;AS[[#This Row],[Age Band Code]]&amp;"; "&amp;S4181&amp;AS[[#This Row],[Sex Code]]</f>
        <v xml:space="preserve">Insurer Code ; Reporting Year ; Insurance Category Code ; Large Provider Entity Code ; Age Band Code ; Sex Code </v>
      </c>
      <c r="N4181" s="345" t="s">
        <v>207</v>
      </c>
      <c r="O4181" s="345" t="s">
        <v>208</v>
      </c>
      <c r="P4181" s="345" t="s">
        <v>209</v>
      </c>
      <c r="Q4181" s="345" t="s">
        <v>210</v>
      </c>
      <c r="R4181" s="345" t="s">
        <v>223</v>
      </c>
      <c r="S4181" s="345" t="s">
        <v>224</v>
      </c>
    </row>
    <row r="4182" spans="1:19" x14ac:dyDescent="0.25">
      <c r="A4182" s="311"/>
      <c r="B4182" s="312"/>
      <c r="C4182" s="312"/>
      <c r="D4182" s="312"/>
      <c r="E4182" s="312"/>
      <c r="F4182" s="312"/>
      <c r="G4182" s="328"/>
      <c r="H4182" s="337"/>
      <c r="I4182" s="334"/>
      <c r="J4182" s="314"/>
      <c r="K4182" s="449"/>
      <c r="M4182" s="349" t="str">
        <f>N4182&amp;AS[[#This Row],[Insurer Code]]&amp;"; "&amp;O4182&amp;AS[[#This Row],[Reporting Year]]&amp;"; "&amp;P4182&amp;AS[[#This Row],[Insurance Category Code]]&amp;"; "&amp;Q4182&amp;AS[[#This Row],[Large Provider Entity Code]]&amp;"; "&amp;R4182&amp;AS[[#This Row],[Age Band Code]]&amp;"; "&amp;S4182&amp;AS[[#This Row],[Sex Code]]</f>
        <v xml:space="preserve">Insurer Code ; Reporting Year ; Insurance Category Code ; Large Provider Entity Code ; Age Band Code ; Sex Code </v>
      </c>
      <c r="N4182" s="345" t="s">
        <v>207</v>
      </c>
      <c r="O4182" s="345" t="s">
        <v>208</v>
      </c>
      <c r="P4182" s="345" t="s">
        <v>209</v>
      </c>
      <c r="Q4182" s="345" t="s">
        <v>210</v>
      </c>
      <c r="R4182" s="345" t="s">
        <v>223</v>
      </c>
      <c r="S4182" s="345" t="s">
        <v>224</v>
      </c>
    </row>
    <row r="4183" spans="1:19" x14ac:dyDescent="0.25">
      <c r="A4183" s="311"/>
      <c r="B4183" s="312"/>
      <c r="C4183" s="312"/>
      <c r="D4183" s="312"/>
      <c r="E4183" s="312"/>
      <c r="F4183" s="312"/>
      <c r="G4183" s="328"/>
      <c r="H4183" s="337"/>
      <c r="I4183" s="334"/>
      <c r="J4183" s="314"/>
      <c r="K4183" s="449"/>
      <c r="M4183" s="349" t="str">
        <f>N4183&amp;AS[[#This Row],[Insurer Code]]&amp;"; "&amp;O4183&amp;AS[[#This Row],[Reporting Year]]&amp;"; "&amp;P4183&amp;AS[[#This Row],[Insurance Category Code]]&amp;"; "&amp;Q4183&amp;AS[[#This Row],[Large Provider Entity Code]]&amp;"; "&amp;R4183&amp;AS[[#This Row],[Age Band Code]]&amp;"; "&amp;S4183&amp;AS[[#This Row],[Sex Code]]</f>
        <v xml:space="preserve">Insurer Code ; Reporting Year ; Insurance Category Code ; Large Provider Entity Code ; Age Band Code ; Sex Code </v>
      </c>
      <c r="N4183" s="345" t="s">
        <v>207</v>
      </c>
      <c r="O4183" s="345" t="s">
        <v>208</v>
      </c>
      <c r="P4183" s="345" t="s">
        <v>209</v>
      </c>
      <c r="Q4183" s="345" t="s">
        <v>210</v>
      </c>
      <c r="R4183" s="345" t="s">
        <v>223</v>
      </c>
      <c r="S4183" s="345" t="s">
        <v>224</v>
      </c>
    </row>
    <row r="4184" spans="1:19" x14ac:dyDescent="0.25">
      <c r="A4184" s="311"/>
      <c r="B4184" s="312"/>
      <c r="C4184" s="312"/>
      <c r="D4184" s="312"/>
      <c r="E4184" s="312"/>
      <c r="F4184" s="312"/>
      <c r="G4184" s="328"/>
      <c r="H4184" s="337"/>
      <c r="I4184" s="334"/>
      <c r="J4184" s="314"/>
      <c r="K4184" s="449"/>
      <c r="M4184" s="349" t="str">
        <f>N4184&amp;AS[[#This Row],[Insurer Code]]&amp;"; "&amp;O4184&amp;AS[[#This Row],[Reporting Year]]&amp;"; "&amp;P4184&amp;AS[[#This Row],[Insurance Category Code]]&amp;"; "&amp;Q4184&amp;AS[[#This Row],[Large Provider Entity Code]]&amp;"; "&amp;R4184&amp;AS[[#This Row],[Age Band Code]]&amp;"; "&amp;S4184&amp;AS[[#This Row],[Sex Code]]</f>
        <v xml:space="preserve">Insurer Code ; Reporting Year ; Insurance Category Code ; Large Provider Entity Code ; Age Band Code ; Sex Code </v>
      </c>
      <c r="N4184" s="345" t="s">
        <v>207</v>
      </c>
      <c r="O4184" s="345" t="s">
        <v>208</v>
      </c>
      <c r="P4184" s="345" t="s">
        <v>209</v>
      </c>
      <c r="Q4184" s="345" t="s">
        <v>210</v>
      </c>
      <c r="R4184" s="345" t="s">
        <v>223</v>
      </c>
      <c r="S4184" s="345" t="s">
        <v>224</v>
      </c>
    </row>
    <row r="4185" spans="1:19" x14ac:dyDescent="0.25">
      <c r="A4185" s="311"/>
      <c r="B4185" s="312"/>
      <c r="C4185" s="312"/>
      <c r="D4185" s="312"/>
      <c r="E4185" s="312"/>
      <c r="F4185" s="312"/>
      <c r="G4185" s="328"/>
      <c r="H4185" s="337"/>
      <c r="I4185" s="334"/>
      <c r="J4185" s="314"/>
      <c r="K4185" s="449"/>
      <c r="M4185" s="349" t="str">
        <f>N4185&amp;AS[[#This Row],[Insurer Code]]&amp;"; "&amp;O4185&amp;AS[[#This Row],[Reporting Year]]&amp;"; "&amp;P4185&amp;AS[[#This Row],[Insurance Category Code]]&amp;"; "&amp;Q4185&amp;AS[[#This Row],[Large Provider Entity Code]]&amp;"; "&amp;R4185&amp;AS[[#This Row],[Age Band Code]]&amp;"; "&amp;S4185&amp;AS[[#This Row],[Sex Code]]</f>
        <v xml:space="preserve">Insurer Code ; Reporting Year ; Insurance Category Code ; Large Provider Entity Code ; Age Band Code ; Sex Code </v>
      </c>
      <c r="N4185" s="345" t="s">
        <v>207</v>
      </c>
      <c r="O4185" s="345" t="s">
        <v>208</v>
      </c>
      <c r="P4185" s="345" t="s">
        <v>209</v>
      </c>
      <c r="Q4185" s="345" t="s">
        <v>210</v>
      </c>
      <c r="R4185" s="345" t="s">
        <v>223</v>
      </c>
      <c r="S4185" s="345" t="s">
        <v>224</v>
      </c>
    </row>
    <row r="4186" spans="1:19" x14ac:dyDescent="0.25">
      <c r="A4186" s="311"/>
      <c r="B4186" s="312"/>
      <c r="C4186" s="312"/>
      <c r="D4186" s="312"/>
      <c r="E4186" s="312"/>
      <c r="F4186" s="312"/>
      <c r="G4186" s="328"/>
      <c r="H4186" s="337"/>
      <c r="I4186" s="334"/>
      <c r="J4186" s="314"/>
      <c r="K4186" s="449"/>
      <c r="M4186" s="349" t="str">
        <f>N4186&amp;AS[[#This Row],[Insurer Code]]&amp;"; "&amp;O4186&amp;AS[[#This Row],[Reporting Year]]&amp;"; "&amp;P4186&amp;AS[[#This Row],[Insurance Category Code]]&amp;"; "&amp;Q4186&amp;AS[[#This Row],[Large Provider Entity Code]]&amp;"; "&amp;R4186&amp;AS[[#This Row],[Age Band Code]]&amp;"; "&amp;S4186&amp;AS[[#This Row],[Sex Code]]</f>
        <v xml:space="preserve">Insurer Code ; Reporting Year ; Insurance Category Code ; Large Provider Entity Code ; Age Band Code ; Sex Code </v>
      </c>
      <c r="N4186" s="345" t="s">
        <v>207</v>
      </c>
      <c r="O4186" s="345" t="s">
        <v>208</v>
      </c>
      <c r="P4186" s="345" t="s">
        <v>209</v>
      </c>
      <c r="Q4186" s="345" t="s">
        <v>210</v>
      </c>
      <c r="R4186" s="345" t="s">
        <v>223</v>
      </c>
      <c r="S4186" s="345" t="s">
        <v>224</v>
      </c>
    </row>
    <row r="4187" spans="1:19" x14ac:dyDescent="0.25">
      <c r="A4187" s="311"/>
      <c r="B4187" s="312"/>
      <c r="C4187" s="312"/>
      <c r="D4187" s="312"/>
      <c r="E4187" s="312"/>
      <c r="F4187" s="312"/>
      <c r="G4187" s="328"/>
      <c r="H4187" s="337"/>
      <c r="I4187" s="334"/>
      <c r="J4187" s="314"/>
      <c r="K4187" s="449"/>
      <c r="M4187" s="349" t="str">
        <f>N4187&amp;AS[[#This Row],[Insurer Code]]&amp;"; "&amp;O4187&amp;AS[[#This Row],[Reporting Year]]&amp;"; "&amp;P4187&amp;AS[[#This Row],[Insurance Category Code]]&amp;"; "&amp;Q4187&amp;AS[[#This Row],[Large Provider Entity Code]]&amp;"; "&amp;R4187&amp;AS[[#This Row],[Age Band Code]]&amp;"; "&amp;S4187&amp;AS[[#This Row],[Sex Code]]</f>
        <v xml:space="preserve">Insurer Code ; Reporting Year ; Insurance Category Code ; Large Provider Entity Code ; Age Band Code ; Sex Code </v>
      </c>
      <c r="N4187" s="345" t="s">
        <v>207</v>
      </c>
      <c r="O4187" s="345" t="s">
        <v>208</v>
      </c>
      <c r="P4187" s="345" t="s">
        <v>209</v>
      </c>
      <c r="Q4187" s="345" t="s">
        <v>210</v>
      </c>
      <c r="R4187" s="345" t="s">
        <v>223</v>
      </c>
      <c r="S4187" s="345" t="s">
        <v>224</v>
      </c>
    </row>
    <row r="4188" spans="1:19" x14ac:dyDescent="0.25">
      <c r="A4188" s="311"/>
      <c r="B4188" s="312"/>
      <c r="C4188" s="312"/>
      <c r="D4188" s="312"/>
      <c r="E4188" s="312"/>
      <c r="F4188" s="312"/>
      <c r="G4188" s="328"/>
      <c r="H4188" s="337"/>
      <c r="I4188" s="334"/>
      <c r="J4188" s="314"/>
      <c r="K4188" s="449"/>
      <c r="M4188" s="349" t="str">
        <f>N4188&amp;AS[[#This Row],[Insurer Code]]&amp;"; "&amp;O4188&amp;AS[[#This Row],[Reporting Year]]&amp;"; "&amp;P4188&amp;AS[[#This Row],[Insurance Category Code]]&amp;"; "&amp;Q4188&amp;AS[[#This Row],[Large Provider Entity Code]]&amp;"; "&amp;R4188&amp;AS[[#This Row],[Age Band Code]]&amp;"; "&amp;S4188&amp;AS[[#This Row],[Sex Code]]</f>
        <v xml:space="preserve">Insurer Code ; Reporting Year ; Insurance Category Code ; Large Provider Entity Code ; Age Band Code ; Sex Code </v>
      </c>
      <c r="N4188" s="345" t="s">
        <v>207</v>
      </c>
      <c r="O4188" s="345" t="s">
        <v>208</v>
      </c>
      <c r="P4188" s="345" t="s">
        <v>209</v>
      </c>
      <c r="Q4188" s="345" t="s">
        <v>210</v>
      </c>
      <c r="R4188" s="345" t="s">
        <v>223</v>
      </c>
      <c r="S4188" s="345" t="s">
        <v>224</v>
      </c>
    </row>
    <row r="4189" spans="1:19" x14ac:dyDescent="0.25">
      <c r="A4189" s="311"/>
      <c r="B4189" s="312"/>
      <c r="C4189" s="312"/>
      <c r="D4189" s="312"/>
      <c r="E4189" s="312"/>
      <c r="F4189" s="312"/>
      <c r="G4189" s="328"/>
      <c r="H4189" s="337"/>
      <c r="I4189" s="334"/>
      <c r="J4189" s="314"/>
      <c r="K4189" s="449"/>
      <c r="M4189" s="349" t="str">
        <f>N4189&amp;AS[[#This Row],[Insurer Code]]&amp;"; "&amp;O4189&amp;AS[[#This Row],[Reporting Year]]&amp;"; "&amp;P4189&amp;AS[[#This Row],[Insurance Category Code]]&amp;"; "&amp;Q4189&amp;AS[[#This Row],[Large Provider Entity Code]]&amp;"; "&amp;R4189&amp;AS[[#This Row],[Age Band Code]]&amp;"; "&amp;S4189&amp;AS[[#This Row],[Sex Code]]</f>
        <v xml:space="preserve">Insurer Code ; Reporting Year ; Insurance Category Code ; Large Provider Entity Code ; Age Band Code ; Sex Code </v>
      </c>
      <c r="N4189" s="345" t="s">
        <v>207</v>
      </c>
      <c r="O4189" s="345" t="s">
        <v>208</v>
      </c>
      <c r="P4189" s="345" t="s">
        <v>209</v>
      </c>
      <c r="Q4189" s="345" t="s">
        <v>210</v>
      </c>
      <c r="R4189" s="345" t="s">
        <v>223</v>
      </c>
      <c r="S4189" s="345" t="s">
        <v>224</v>
      </c>
    </row>
    <row r="4190" spans="1:19" x14ac:dyDescent="0.25">
      <c r="A4190" s="311"/>
      <c r="B4190" s="312"/>
      <c r="C4190" s="312"/>
      <c r="D4190" s="312"/>
      <c r="E4190" s="312"/>
      <c r="F4190" s="312"/>
      <c r="G4190" s="328"/>
      <c r="H4190" s="337"/>
      <c r="I4190" s="334"/>
      <c r="J4190" s="314"/>
      <c r="K4190" s="449"/>
      <c r="M4190" s="349" t="str">
        <f>N4190&amp;AS[[#This Row],[Insurer Code]]&amp;"; "&amp;O4190&amp;AS[[#This Row],[Reporting Year]]&amp;"; "&amp;P4190&amp;AS[[#This Row],[Insurance Category Code]]&amp;"; "&amp;Q4190&amp;AS[[#This Row],[Large Provider Entity Code]]&amp;"; "&amp;R4190&amp;AS[[#This Row],[Age Band Code]]&amp;"; "&amp;S4190&amp;AS[[#This Row],[Sex Code]]</f>
        <v xml:space="preserve">Insurer Code ; Reporting Year ; Insurance Category Code ; Large Provider Entity Code ; Age Band Code ; Sex Code </v>
      </c>
      <c r="N4190" s="345" t="s">
        <v>207</v>
      </c>
      <c r="O4190" s="345" t="s">
        <v>208</v>
      </c>
      <c r="P4190" s="345" t="s">
        <v>209</v>
      </c>
      <c r="Q4190" s="345" t="s">
        <v>210</v>
      </c>
      <c r="R4190" s="345" t="s">
        <v>223</v>
      </c>
      <c r="S4190" s="345" t="s">
        <v>224</v>
      </c>
    </row>
    <row r="4191" spans="1:19" x14ac:dyDescent="0.25">
      <c r="A4191" s="311"/>
      <c r="B4191" s="312"/>
      <c r="C4191" s="312"/>
      <c r="D4191" s="312"/>
      <c r="E4191" s="312"/>
      <c r="F4191" s="312"/>
      <c r="G4191" s="328"/>
      <c r="H4191" s="337"/>
      <c r="I4191" s="334"/>
      <c r="J4191" s="314"/>
      <c r="K4191" s="449"/>
      <c r="M4191" s="349" t="str">
        <f>N4191&amp;AS[[#This Row],[Insurer Code]]&amp;"; "&amp;O4191&amp;AS[[#This Row],[Reporting Year]]&amp;"; "&amp;P4191&amp;AS[[#This Row],[Insurance Category Code]]&amp;"; "&amp;Q4191&amp;AS[[#This Row],[Large Provider Entity Code]]&amp;"; "&amp;R4191&amp;AS[[#This Row],[Age Band Code]]&amp;"; "&amp;S4191&amp;AS[[#This Row],[Sex Code]]</f>
        <v xml:space="preserve">Insurer Code ; Reporting Year ; Insurance Category Code ; Large Provider Entity Code ; Age Band Code ; Sex Code </v>
      </c>
      <c r="N4191" s="345" t="s">
        <v>207</v>
      </c>
      <c r="O4191" s="345" t="s">
        <v>208</v>
      </c>
      <c r="P4191" s="345" t="s">
        <v>209</v>
      </c>
      <c r="Q4191" s="345" t="s">
        <v>210</v>
      </c>
      <c r="R4191" s="345" t="s">
        <v>223</v>
      </c>
      <c r="S4191" s="345" t="s">
        <v>224</v>
      </c>
    </row>
    <row r="4192" spans="1:19" x14ac:dyDescent="0.25">
      <c r="A4192" s="311"/>
      <c r="B4192" s="312"/>
      <c r="C4192" s="312"/>
      <c r="D4192" s="312"/>
      <c r="E4192" s="312"/>
      <c r="F4192" s="312"/>
      <c r="G4192" s="328"/>
      <c r="H4192" s="337"/>
      <c r="I4192" s="334"/>
      <c r="J4192" s="314"/>
      <c r="K4192" s="449"/>
      <c r="M4192" s="349" t="str">
        <f>N4192&amp;AS[[#This Row],[Insurer Code]]&amp;"; "&amp;O4192&amp;AS[[#This Row],[Reporting Year]]&amp;"; "&amp;P4192&amp;AS[[#This Row],[Insurance Category Code]]&amp;"; "&amp;Q4192&amp;AS[[#This Row],[Large Provider Entity Code]]&amp;"; "&amp;R4192&amp;AS[[#This Row],[Age Band Code]]&amp;"; "&amp;S4192&amp;AS[[#This Row],[Sex Code]]</f>
        <v xml:space="preserve">Insurer Code ; Reporting Year ; Insurance Category Code ; Large Provider Entity Code ; Age Band Code ; Sex Code </v>
      </c>
      <c r="N4192" s="345" t="s">
        <v>207</v>
      </c>
      <c r="O4192" s="345" t="s">
        <v>208</v>
      </c>
      <c r="P4192" s="345" t="s">
        <v>209</v>
      </c>
      <c r="Q4192" s="345" t="s">
        <v>210</v>
      </c>
      <c r="R4192" s="345" t="s">
        <v>223</v>
      </c>
      <c r="S4192" s="345" t="s">
        <v>224</v>
      </c>
    </row>
    <row r="4193" spans="1:19" x14ac:dyDescent="0.25">
      <c r="A4193" s="311"/>
      <c r="B4193" s="312"/>
      <c r="C4193" s="312"/>
      <c r="D4193" s="312"/>
      <c r="E4193" s="312"/>
      <c r="F4193" s="312"/>
      <c r="G4193" s="328"/>
      <c r="H4193" s="337"/>
      <c r="I4193" s="334"/>
      <c r="J4193" s="314"/>
      <c r="K4193" s="449"/>
      <c r="M4193" s="349" t="str">
        <f>N4193&amp;AS[[#This Row],[Insurer Code]]&amp;"; "&amp;O4193&amp;AS[[#This Row],[Reporting Year]]&amp;"; "&amp;P4193&amp;AS[[#This Row],[Insurance Category Code]]&amp;"; "&amp;Q4193&amp;AS[[#This Row],[Large Provider Entity Code]]&amp;"; "&amp;R4193&amp;AS[[#This Row],[Age Band Code]]&amp;"; "&amp;S4193&amp;AS[[#This Row],[Sex Code]]</f>
        <v xml:space="preserve">Insurer Code ; Reporting Year ; Insurance Category Code ; Large Provider Entity Code ; Age Band Code ; Sex Code </v>
      </c>
      <c r="N4193" s="345" t="s">
        <v>207</v>
      </c>
      <c r="O4193" s="345" t="s">
        <v>208</v>
      </c>
      <c r="P4193" s="345" t="s">
        <v>209</v>
      </c>
      <c r="Q4193" s="345" t="s">
        <v>210</v>
      </c>
      <c r="R4193" s="345" t="s">
        <v>223</v>
      </c>
      <c r="S4193" s="345" t="s">
        <v>224</v>
      </c>
    </row>
    <row r="4194" spans="1:19" x14ac:dyDescent="0.25">
      <c r="A4194" s="311"/>
      <c r="B4194" s="312"/>
      <c r="C4194" s="312"/>
      <c r="D4194" s="312"/>
      <c r="E4194" s="312"/>
      <c r="F4194" s="312"/>
      <c r="G4194" s="328"/>
      <c r="H4194" s="337"/>
      <c r="I4194" s="334"/>
      <c r="J4194" s="314"/>
      <c r="K4194" s="449"/>
      <c r="M4194" s="349" t="str">
        <f>N4194&amp;AS[[#This Row],[Insurer Code]]&amp;"; "&amp;O4194&amp;AS[[#This Row],[Reporting Year]]&amp;"; "&amp;P4194&amp;AS[[#This Row],[Insurance Category Code]]&amp;"; "&amp;Q4194&amp;AS[[#This Row],[Large Provider Entity Code]]&amp;"; "&amp;R4194&amp;AS[[#This Row],[Age Band Code]]&amp;"; "&amp;S4194&amp;AS[[#This Row],[Sex Code]]</f>
        <v xml:space="preserve">Insurer Code ; Reporting Year ; Insurance Category Code ; Large Provider Entity Code ; Age Band Code ; Sex Code </v>
      </c>
      <c r="N4194" s="345" t="s">
        <v>207</v>
      </c>
      <c r="O4194" s="345" t="s">
        <v>208</v>
      </c>
      <c r="P4194" s="345" t="s">
        <v>209</v>
      </c>
      <c r="Q4194" s="345" t="s">
        <v>210</v>
      </c>
      <c r="R4194" s="345" t="s">
        <v>223</v>
      </c>
      <c r="S4194" s="345" t="s">
        <v>224</v>
      </c>
    </row>
    <row r="4195" spans="1:19" x14ac:dyDescent="0.25">
      <c r="A4195" s="311"/>
      <c r="B4195" s="312"/>
      <c r="C4195" s="312"/>
      <c r="D4195" s="312"/>
      <c r="E4195" s="312"/>
      <c r="F4195" s="312"/>
      <c r="G4195" s="328"/>
      <c r="H4195" s="337"/>
      <c r="I4195" s="334"/>
      <c r="J4195" s="314"/>
      <c r="K4195" s="449"/>
      <c r="M4195" s="349" t="str">
        <f>N4195&amp;AS[[#This Row],[Insurer Code]]&amp;"; "&amp;O4195&amp;AS[[#This Row],[Reporting Year]]&amp;"; "&amp;P4195&amp;AS[[#This Row],[Insurance Category Code]]&amp;"; "&amp;Q4195&amp;AS[[#This Row],[Large Provider Entity Code]]&amp;"; "&amp;R4195&amp;AS[[#This Row],[Age Band Code]]&amp;"; "&amp;S4195&amp;AS[[#This Row],[Sex Code]]</f>
        <v xml:space="preserve">Insurer Code ; Reporting Year ; Insurance Category Code ; Large Provider Entity Code ; Age Band Code ; Sex Code </v>
      </c>
      <c r="N4195" s="345" t="s">
        <v>207</v>
      </c>
      <c r="O4195" s="345" t="s">
        <v>208</v>
      </c>
      <c r="P4195" s="345" t="s">
        <v>209</v>
      </c>
      <c r="Q4195" s="345" t="s">
        <v>210</v>
      </c>
      <c r="R4195" s="345" t="s">
        <v>223</v>
      </c>
      <c r="S4195" s="345" t="s">
        <v>224</v>
      </c>
    </row>
    <row r="4196" spans="1:19" x14ac:dyDescent="0.25">
      <c r="A4196" s="311"/>
      <c r="B4196" s="312"/>
      <c r="C4196" s="312"/>
      <c r="D4196" s="312"/>
      <c r="E4196" s="312"/>
      <c r="F4196" s="312"/>
      <c r="G4196" s="328"/>
      <c r="H4196" s="337"/>
      <c r="I4196" s="334"/>
      <c r="J4196" s="314"/>
      <c r="K4196" s="449"/>
      <c r="M4196" s="349" t="str">
        <f>N4196&amp;AS[[#This Row],[Insurer Code]]&amp;"; "&amp;O4196&amp;AS[[#This Row],[Reporting Year]]&amp;"; "&amp;P4196&amp;AS[[#This Row],[Insurance Category Code]]&amp;"; "&amp;Q4196&amp;AS[[#This Row],[Large Provider Entity Code]]&amp;"; "&amp;R4196&amp;AS[[#This Row],[Age Band Code]]&amp;"; "&amp;S4196&amp;AS[[#This Row],[Sex Code]]</f>
        <v xml:space="preserve">Insurer Code ; Reporting Year ; Insurance Category Code ; Large Provider Entity Code ; Age Band Code ; Sex Code </v>
      </c>
      <c r="N4196" s="345" t="s">
        <v>207</v>
      </c>
      <c r="O4196" s="345" t="s">
        <v>208</v>
      </c>
      <c r="P4196" s="345" t="s">
        <v>209</v>
      </c>
      <c r="Q4196" s="345" t="s">
        <v>210</v>
      </c>
      <c r="R4196" s="345" t="s">
        <v>223</v>
      </c>
      <c r="S4196" s="345" t="s">
        <v>224</v>
      </c>
    </row>
    <row r="4197" spans="1:19" x14ac:dyDescent="0.25">
      <c r="A4197" s="311"/>
      <c r="B4197" s="312"/>
      <c r="C4197" s="312"/>
      <c r="D4197" s="312"/>
      <c r="E4197" s="312"/>
      <c r="F4197" s="312"/>
      <c r="G4197" s="328"/>
      <c r="H4197" s="337"/>
      <c r="I4197" s="334"/>
      <c r="J4197" s="314"/>
      <c r="K4197" s="449"/>
      <c r="M4197" s="349" t="str">
        <f>N4197&amp;AS[[#This Row],[Insurer Code]]&amp;"; "&amp;O4197&amp;AS[[#This Row],[Reporting Year]]&amp;"; "&amp;P4197&amp;AS[[#This Row],[Insurance Category Code]]&amp;"; "&amp;Q4197&amp;AS[[#This Row],[Large Provider Entity Code]]&amp;"; "&amp;R4197&amp;AS[[#This Row],[Age Band Code]]&amp;"; "&amp;S4197&amp;AS[[#This Row],[Sex Code]]</f>
        <v xml:space="preserve">Insurer Code ; Reporting Year ; Insurance Category Code ; Large Provider Entity Code ; Age Band Code ; Sex Code </v>
      </c>
      <c r="N4197" s="345" t="s">
        <v>207</v>
      </c>
      <c r="O4197" s="345" t="s">
        <v>208</v>
      </c>
      <c r="P4197" s="345" t="s">
        <v>209</v>
      </c>
      <c r="Q4197" s="345" t="s">
        <v>210</v>
      </c>
      <c r="R4197" s="345" t="s">
        <v>223</v>
      </c>
      <c r="S4197" s="345" t="s">
        <v>224</v>
      </c>
    </row>
    <row r="4198" spans="1:19" x14ac:dyDescent="0.25">
      <c r="A4198" s="311"/>
      <c r="B4198" s="312"/>
      <c r="C4198" s="312"/>
      <c r="D4198" s="312"/>
      <c r="E4198" s="312"/>
      <c r="F4198" s="312"/>
      <c r="G4198" s="328"/>
      <c r="H4198" s="337"/>
      <c r="I4198" s="334"/>
      <c r="J4198" s="314"/>
      <c r="K4198" s="449"/>
      <c r="M4198" s="349" t="str">
        <f>N4198&amp;AS[[#This Row],[Insurer Code]]&amp;"; "&amp;O4198&amp;AS[[#This Row],[Reporting Year]]&amp;"; "&amp;P4198&amp;AS[[#This Row],[Insurance Category Code]]&amp;"; "&amp;Q4198&amp;AS[[#This Row],[Large Provider Entity Code]]&amp;"; "&amp;R4198&amp;AS[[#This Row],[Age Band Code]]&amp;"; "&amp;S4198&amp;AS[[#This Row],[Sex Code]]</f>
        <v xml:space="preserve">Insurer Code ; Reporting Year ; Insurance Category Code ; Large Provider Entity Code ; Age Band Code ; Sex Code </v>
      </c>
      <c r="N4198" s="345" t="s">
        <v>207</v>
      </c>
      <c r="O4198" s="345" t="s">
        <v>208</v>
      </c>
      <c r="P4198" s="345" t="s">
        <v>209</v>
      </c>
      <c r="Q4198" s="345" t="s">
        <v>210</v>
      </c>
      <c r="R4198" s="345" t="s">
        <v>223</v>
      </c>
      <c r="S4198" s="345" t="s">
        <v>224</v>
      </c>
    </row>
    <row r="4199" spans="1:19" x14ac:dyDescent="0.25">
      <c r="A4199" s="311"/>
      <c r="B4199" s="312"/>
      <c r="C4199" s="312"/>
      <c r="D4199" s="312"/>
      <c r="E4199" s="312"/>
      <c r="F4199" s="312"/>
      <c r="G4199" s="328"/>
      <c r="H4199" s="337"/>
      <c r="I4199" s="334"/>
      <c r="J4199" s="314"/>
      <c r="K4199" s="449"/>
      <c r="M4199" s="349" t="str">
        <f>N4199&amp;AS[[#This Row],[Insurer Code]]&amp;"; "&amp;O4199&amp;AS[[#This Row],[Reporting Year]]&amp;"; "&amp;P4199&amp;AS[[#This Row],[Insurance Category Code]]&amp;"; "&amp;Q4199&amp;AS[[#This Row],[Large Provider Entity Code]]&amp;"; "&amp;R4199&amp;AS[[#This Row],[Age Band Code]]&amp;"; "&amp;S4199&amp;AS[[#This Row],[Sex Code]]</f>
        <v xml:space="preserve">Insurer Code ; Reporting Year ; Insurance Category Code ; Large Provider Entity Code ; Age Band Code ; Sex Code </v>
      </c>
      <c r="N4199" s="345" t="s">
        <v>207</v>
      </c>
      <c r="O4199" s="345" t="s">
        <v>208</v>
      </c>
      <c r="P4199" s="345" t="s">
        <v>209</v>
      </c>
      <c r="Q4199" s="345" t="s">
        <v>210</v>
      </c>
      <c r="R4199" s="345" t="s">
        <v>223</v>
      </c>
      <c r="S4199" s="345" t="s">
        <v>224</v>
      </c>
    </row>
    <row r="4200" spans="1:19" x14ac:dyDescent="0.25">
      <c r="A4200" s="311"/>
      <c r="B4200" s="312"/>
      <c r="C4200" s="312"/>
      <c r="D4200" s="312"/>
      <c r="E4200" s="312"/>
      <c r="F4200" s="312"/>
      <c r="G4200" s="328"/>
      <c r="H4200" s="337"/>
      <c r="I4200" s="334"/>
      <c r="J4200" s="314"/>
      <c r="K4200" s="449"/>
      <c r="M4200" s="349" t="str">
        <f>N4200&amp;AS[[#This Row],[Insurer Code]]&amp;"; "&amp;O4200&amp;AS[[#This Row],[Reporting Year]]&amp;"; "&amp;P4200&amp;AS[[#This Row],[Insurance Category Code]]&amp;"; "&amp;Q4200&amp;AS[[#This Row],[Large Provider Entity Code]]&amp;"; "&amp;R4200&amp;AS[[#This Row],[Age Band Code]]&amp;"; "&amp;S4200&amp;AS[[#This Row],[Sex Code]]</f>
        <v xml:space="preserve">Insurer Code ; Reporting Year ; Insurance Category Code ; Large Provider Entity Code ; Age Band Code ; Sex Code </v>
      </c>
      <c r="N4200" s="345" t="s">
        <v>207</v>
      </c>
      <c r="O4200" s="345" t="s">
        <v>208</v>
      </c>
      <c r="P4200" s="345" t="s">
        <v>209</v>
      </c>
      <c r="Q4200" s="345" t="s">
        <v>210</v>
      </c>
      <c r="R4200" s="345" t="s">
        <v>223</v>
      </c>
      <c r="S4200" s="345" t="s">
        <v>224</v>
      </c>
    </row>
    <row r="4201" spans="1:19" x14ac:dyDescent="0.25">
      <c r="A4201" s="311"/>
      <c r="B4201" s="312"/>
      <c r="C4201" s="312"/>
      <c r="D4201" s="312"/>
      <c r="E4201" s="312"/>
      <c r="F4201" s="312"/>
      <c r="G4201" s="328"/>
      <c r="H4201" s="337"/>
      <c r="I4201" s="334"/>
      <c r="J4201" s="314"/>
      <c r="K4201" s="449"/>
      <c r="M4201" s="349" t="str">
        <f>N4201&amp;AS[[#This Row],[Insurer Code]]&amp;"; "&amp;O4201&amp;AS[[#This Row],[Reporting Year]]&amp;"; "&amp;P4201&amp;AS[[#This Row],[Insurance Category Code]]&amp;"; "&amp;Q4201&amp;AS[[#This Row],[Large Provider Entity Code]]&amp;"; "&amp;R4201&amp;AS[[#This Row],[Age Band Code]]&amp;"; "&amp;S4201&amp;AS[[#This Row],[Sex Code]]</f>
        <v xml:space="preserve">Insurer Code ; Reporting Year ; Insurance Category Code ; Large Provider Entity Code ; Age Band Code ; Sex Code </v>
      </c>
      <c r="N4201" s="345" t="s">
        <v>207</v>
      </c>
      <c r="O4201" s="345" t="s">
        <v>208</v>
      </c>
      <c r="P4201" s="345" t="s">
        <v>209</v>
      </c>
      <c r="Q4201" s="345" t="s">
        <v>210</v>
      </c>
      <c r="R4201" s="345" t="s">
        <v>223</v>
      </c>
      <c r="S4201" s="345" t="s">
        <v>224</v>
      </c>
    </row>
    <row r="4202" spans="1:19" x14ac:dyDescent="0.25">
      <c r="A4202" s="311"/>
      <c r="B4202" s="312"/>
      <c r="C4202" s="312"/>
      <c r="D4202" s="312"/>
      <c r="E4202" s="312"/>
      <c r="F4202" s="312"/>
      <c r="G4202" s="328"/>
      <c r="H4202" s="337"/>
      <c r="I4202" s="334"/>
      <c r="J4202" s="314"/>
      <c r="K4202" s="449"/>
      <c r="M4202" s="349" t="str">
        <f>N4202&amp;AS[[#This Row],[Insurer Code]]&amp;"; "&amp;O4202&amp;AS[[#This Row],[Reporting Year]]&amp;"; "&amp;P4202&amp;AS[[#This Row],[Insurance Category Code]]&amp;"; "&amp;Q4202&amp;AS[[#This Row],[Large Provider Entity Code]]&amp;"; "&amp;R4202&amp;AS[[#This Row],[Age Band Code]]&amp;"; "&amp;S4202&amp;AS[[#This Row],[Sex Code]]</f>
        <v xml:space="preserve">Insurer Code ; Reporting Year ; Insurance Category Code ; Large Provider Entity Code ; Age Band Code ; Sex Code </v>
      </c>
      <c r="N4202" s="345" t="s">
        <v>207</v>
      </c>
      <c r="O4202" s="345" t="s">
        <v>208</v>
      </c>
      <c r="P4202" s="345" t="s">
        <v>209</v>
      </c>
      <c r="Q4202" s="345" t="s">
        <v>210</v>
      </c>
      <c r="R4202" s="345" t="s">
        <v>223</v>
      </c>
      <c r="S4202" s="345" t="s">
        <v>224</v>
      </c>
    </row>
    <row r="4203" spans="1:19" x14ac:dyDescent="0.25">
      <c r="A4203" s="311"/>
      <c r="B4203" s="312"/>
      <c r="C4203" s="312"/>
      <c r="D4203" s="312"/>
      <c r="E4203" s="312"/>
      <c r="F4203" s="312"/>
      <c r="G4203" s="328"/>
      <c r="H4203" s="337"/>
      <c r="I4203" s="334"/>
      <c r="J4203" s="314"/>
      <c r="K4203" s="449"/>
      <c r="M4203" s="349" t="str">
        <f>N4203&amp;AS[[#This Row],[Insurer Code]]&amp;"; "&amp;O4203&amp;AS[[#This Row],[Reporting Year]]&amp;"; "&amp;P4203&amp;AS[[#This Row],[Insurance Category Code]]&amp;"; "&amp;Q4203&amp;AS[[#This Row],[Large Provider Entity Code]]&amp;"; "&amp;R4203&amp;AS[[#This Row],[Age Band Code]]&amp;"; "&amp;S4203&amp;AS[[#This Row],[Sex Code]]</f>
        <v xml:space="preserve">Insurer Code ; Reporting Year ; Insurance Category Code ; Large Provider Entity Code ; Age Band Code ; Sex Code </v>
      </c>
      <c r="N4203" s="345" t="s">
        <v>207</v>
      </c>
      <c r="O4203" s="345" t="s">
        <v>208</v>
      </c>
      <c r="P4203" s="345" t="s">
        <v>209</v>
      </c>
      <c r="Q4203" s="345" t="s">
        <v>210</v>
      </c>
      <c r="R4203" s="345" t="s">
        <v>223</v>
      </c>
      <c r="S4203" s="345" t="s">
        <v>224</v>
      </c>
    </row>
    <row r="4204" spans="1:19" x14ac:dyDescent="0.25">
      <c r="A4204" s="311"/>
      <c r="B4204" s="312"/>
      <c r="C4204" s="312"/>
      <c r="D4204" s="312"/>
      <c r="E4204" s="312"/>
      <c r="F4204" s="312"/>
      <c r="G4204" s="328"/>
      <c r="H4204" s="337"/>
      <c r="I4204" s="334"/>
      <c r="J4204" s="314"/>
      <c r="K4204" s="449"/>
      <c r="M4204" s="349" t="str">
        <f>N4204&amp;AS[[#This Row],[Insurer Code]]&amp;"; "&amp;O4204&amp;AS[[#This Row],[Reporting Year]]&amp;"; "&amp;P4204&amp;AS[[#This Row],[Insurance Category Code]]&amp;"; "&amp;Q4204&amp;AS[[#This Row],[Large Provider Entity Code]]&amp;"; "&amp;R4204&amp;AS[[#This Row],[Age Band Code]]&amp;"; "&amp;S4204&amp;AS[[#This Row],[Sex Code]]</f>
        <v xml:space="preserve">Insurer Code ; Reporting Year ; Insurance Category Code ; Large Provider Entity Code ; Age Band Code ; Sex Code </v>
      </c>
      <c r="N4204" s="345" t="s">
        <v>207</v>
      </c>
      <c r="O4204" s="345" t="s">
        <v>208</v>
      </c>
      <c r="P4204" s="345" t="s">
        <v>209</v>
      </c>
      <c r="Q4204" s="345" t="s">
        <v>210</v>
      </c>
      <c r="R4204" s="345" t="s">
        <v>223</v>
      </c>
      <c r="S4204" s="345" t="s">
        <v>224</v>
      </c>
    </row>
    <row r="4205" spans="1:19" x14ac:dyDescent="0.25">
      <c r="A4205" s="311"/>
      <c r="B4205" s="312"/>
      <c r="C4205" s="312"/>
      <c r="D4205" s="312"/>
      <c r="E4205" s="312"/>
      <c r="F4205" s="312"/>
      <c r="G4205" s="328"/>
      <c r="H4205" s="337"/>
      <c r="I4205" s="334"/>
      <c r="J4205" s="314"/>
      <c r="K4205" s="449"/>
      <c r="M4205" s="349" t="str">
        <f>N4205&amp;AS[[#This Row],[Insurer Code]]&amp;"; "&amp;O4205&amp;AS[[#This Row],[Reporting Year]]&amp;"; "&amp;P4205&amp;AS[[#This Row],[Insurance Category Code]]&amp;"; "&amp;Q4205&amp;AS[[#This Row],[Large Provider Entity Code]]&amp;"; "&amp;R4205&amp;AS[[#This Row],[Age Band Code]]&amp;"; "&amp;S4205&amp;AS[[#This Row],[Sex Code]]</f>
        <v xml:space="preserve">Insurer Code ; Reporting Year ; Insurance Category Code ; Large Provider Entity Code ; Age Band Code ; Sex Code </v>
      </c>
      <c r="N4205" s="345" t="s">
        <v>207</v>
      </c>
      <c r="O4205" s="345" t="s">
        <v>208</v>
      </c>
      <c r="P4205" s="345" t="s">
        <v>209</v>
      </c>
      <c r="Q4205" s="345" t="s">
        <v>210</v>
      </c>
      <c r="R4205" s="345" t="s">
        <v>223</v>
      </c>
      <c r="S4205" s="345" t="s">
        <v>224</v>
      </c>
    </row>
    <row r="4206" spans="1:19" x14ac:dyDescent="0.25">
      <c r="A4206" s="311"/>
      <c r="B4206" s="312"/>
      <c r="C4206" s="312"/>
      <c r="D4206" s="312"/>
      <c r="E4206" s="312"/>
      <c r="F4206" s="312"/>
      <c r="G4206" s="328"/>
      <c r="H4206" s="337"/>
      <c r="I4206" s="334"/>
      <c r="J4206" s="314"/>
      <c r="K4206" s="449"/>
      <c r="M4206" s="349" t="str">
        <f>N4206&amp;AS[[#This Row],[Insurer Code]]&amp;"; "&amp;O4206&amp;AS[[#This Row],[Reporting Year]]&amp;"; "&amp;P4206&amp;AS[[#This Row],[Insurance Category Code]]&amp;"; "&amp;Q4206&amp;AS[[#This Row],[Large Provider Entity Code]]&amp;"; "&amp;R4206&amp;AS[[#This Row],[Age Band Code]]&amp;"; "&amp;S4206&amp;AS[[#This Row],[Sex Code]]</f>
        <v xml:space="preserve">Insurer Code ; Reporting Year ; Insurance Category Code ; Large Provider Entity Code ; Age Band Code ; Sex Code </v>
      </c>
      <c r="N4206" s="345" t="s">
        <v>207</v>
      </c>
      <c r="O4206" s="345" t="s">
        <v>208</v>
      </c>
      <c r="P4206" s="345" t="s">
        <v>209</v>
      </c>
      <c r="Q4206" s="345" t="s">
        <v>210</v>
      </c>
      <c r="R4206" s="345" t="s">
        <v>223</v>
      </c>
      <c r="S4206" s="345" t="s">
        <v>224</v>
      </c>
    </row>
    <row r="4207" spans="1:19" x14ac:dyDescent="0.25">
      <c r="A4207" s="311"/>
      <c r="B4207" s="312"/>
      <c r="C4207" s="312"/>
      <c r="D4207" s="312"/>
      <c r="E4207" s="312"/>
      <c r="F4207" s="312"/>
      <c r="G4207" s="328"/>
      <c r="H4207" s="337"/>
      <c r="I4207" s="334"/>
      <c r="J4207" s="314"/>
      <c r="K4207" s="449"/>
      <c r="M4207" s="349" t="str">
        <f>N4207&amp;AS[[#This Row],[Insurer Code]]&amp;"; "&amp;O4207&amp;AS[[#This Row],[Reporting Year]]&amp;"; "&amp;P4207&amp;AS[[#This Row],[Insurance Category Code]]&amp;"; "&amp;Q4207&amp;AS[[#This Row],[Large Provider Entity Code]]&amp;"; "&amp;R4207&amp;AS[[#This Row],[Age Band Code]]&amp;"; "&amp;S4207&amp;AS[[#This Row],[Sex Code]]</f>
        <v xml:space="preserve">Insurer Code ; Reporting Year ; Insurance Category Code ; Large Provider Entity Code ; Age Band Code ; Sex Code </v>
      </c>
      <c r="N4207" s="345" t="s">
        <v>207</v>
      </c>
      <c r="O4207" s="345" t="s">
        <v>208</v>
      </c>
      <c r="P4207" s="345" t="s">
        <v>209</v>
      </c>
      <c r="Q4207" s="345" t="s">
        <v>210</v>
      </c>
      <c r="R4207" s="345" t="s">
        <v>223</v>
      </c>
      <c r="S4207" s="345" t="s">
        <v>224</v>
      </c>
    </row>
    <row r="4208" spans="1:19" x14ac:dyDescent="0.25">
      <c r="A4208" s="311"/>
      <c r="B4208" s="312"/>
      <c r="C4208" s="312"/>
      <c r="D4208" s="312"/>
      <c r="E4208" s="312"/>
      <c r="F4208" s="312"/>
      <c r="G4208" s="328"/>
      <c r="H4208" s="337"/>
      <c r="I4208" s="334"/>
      <c r="J4208" s="314"/>
      <c r="K4208" s="449"/>
      <c r="M4208" s="349" t="str">
        <f>N4208&amp;AS[[#This Row],[Insurer Code]]&amp;"; "&amp;O4208&amp;AS[[#This Row],[Reporting Year]]&amp;"; "&amp;P4208&amp;AS[[#This Row],[Insurance Category Code]]&amp;"; "&amp;Q4208&amp;AS[[#This Row],[Large Provider Entity Code]]&amp;"; "&amp;R4208&amp;AS[[#This Row],[Age Band Code]]&amp;"; "&amp;S4208&amp;AS[[#This Row],[Sex Code]]</f>
        <v xml:space="preserve">Insurer Code ; Reporting Year ; Insurance Category Code ; Large Provider Entity Code ; Age Band Code ; Sex Code </v>
      </c>
      <c r="N4208" s="345" t="s">
        <v>207</v>
      </c>
      <c r="O4208" s="345" t="s">
        <v>208</v>
      </c>
      <c r="P4208" s="345" t="s">
        <v>209</v>
      </c>
      <c r="Q4208" s="345" t="s">
        <v>210</v>
      </c>
      <c r="R4208" s="345" t="s">
        <v>223</v>
      </c>
      <c r="S4208" s="345" t="s">
        <v>224</v>
      </c>
    </row>
    <row r="4209" spans="1:19" x14ac:dyDescent="0.25">
      <c r="A4209" s="311"/>
      <c r="B4209" s="312"/>
      <c r="C4209" s="312"/>
      <c r="D4209" s="312"/>
      <c r="E4209" s="312"/>
      <c r="F4209" s="312"/>
      <c r="G4209" s="328"/>
      <c r="H4209" s="337"/>
      <c r="I4209" s="334"/>
      <c r="J4209" s="314"/>
      <c r="K4209" s="449"/>
      <c r="M4209" s="349" t="str">
        <f>N4209&amp;AS[[#This Row],[Insurer Code]]&amp;"; "&amp;O4209&amp;AS[[#This Row],[Reporting Year]]&amp;"; "&amp;P4209&amp;AS[[#This Row],[Insurance Category Code]]&amp;"; "&amp;Q4209&amp;AS[[#This Row],[Large Provider Entity Code]]&amp;"; "&amp;R4209&amp;AS[[#This Row],[Age Band Code]]&amp;"; "&amp;S4209&amp;AS[[#This Row],[Sex Code]]</f>
        <v xml:space="preserve">Insurer Code ; Reporting Year ; Insurance Category Code ; Large Provider Entity Code ; Age Band Code ; Sex Code </v>
      </c>
      <c r="N4209" s="345" t="s">
        <v>207</v>
      </c>
      <c r="O4209" s="345" t="s">
        <v>208</v>
      </c>
      <c r="P4209" s="345" t="s">
        <v>209</v>
      </c>
      <c r="Q4209" s="345" t="s">
        <v>210</v>
      </c>
      <c r="R4209" s="345" t="s">
        <v>223</v>
      </c>
      <c r="S4209" s="345" t="s">
        <v>224</v>
      </c>
    </row>
    <row r="4210" spans="1:19" x14ac:dyDescent="0.25">
      <c r="A4210" s="311"/>
      <c r="B4210" s="312"/>
      <c r="C4210" s="312"/>
      <c r="D4210" s="312"/>
      <c r="E4210" s="312"/>
      <c r="F4210" s="312"/>
      <c r="G4210" s="328"/>
      <c r="H4210" s="337"/>
      <c r="I4210" s="334"/>
      <c r="J4210" s="314"/>
      <c r="K4210" s="449"/>
      <c r="M4210" s="349" t="str">
        <f>N4210&amp;AS[[#This Row],[Insurer Code]]&amp;"; "&amp;O4210&amp;AS[[#This Row],[Reporting Year]]&amp;"; "&amp;P4210&amp;AS[[#This Row],[Insurance Category Code]]&amp;"; "&amp;Q4210&amp;AS[[#This Row],[Large Provider Entity Code]]&amp;"; "&amp;R4210&amp;AS[[#This Row],[Age Band Code]]&amp;"; "&amp;S4210&amp;AS[[#This Row],[Sex Code]]</f>
        <v xml:space="preserve">Insurer Code ; Reporting Year ; Insurance Category Code ; Large Provider Entity Code ; Age Band Code ; Sex Code </v>
      </c>
      <c r="N4210" s="345" t="s">
        <v>207</v>
      </c>
      <c r="O4210" s="345" t="s">
        <v>208</v>
      </c>
      <c r="P4210" s="345" t="s">
        <v>209</v>
      </c>
      <c r="Q4210" s="345" t="s">
        <v>210</v>
      </c>
      <c r="R4210" s="345" t="s">
        <v>223</v>
      </c>
      <c r="S4210" s="345" t="s">
        <v>224</v>
      </c>
    </row>
    <row r="4211" spans="1:19" x14ac:dyDescent="0.25">
      <c r="A4211" s="311"/>
      <c r="B4211" s="312"/>
      <c r="C4211" s="312"/>
      <c r="D4211" s="312"/>
      <c r="E4211" s="312"/>
      <c r="F4211" s="312"/>
      <c r="G4211" s="328"/>
      <c r="H4211" s="337"/>
      <c r="I4211" s="334"/>
      <c r="J4211" s="314"/>
      <c r="K4211" s="449"/>
      <c r="M4211" s="349" t="str">
        <f>N4211&amp;AS[[#This Row],[Insurer Code]]&amp;"; "&amp;O4211&amp;AS[[#This Row],[Reporting Year]]&amp;"; "&amp;P4211&amp;AS[[#This Row],[Insurance Category Code]]&amp;"; "&amp;Q4211&amp;AS[[#This Row],[Large Provider Entity Code]]&amp;"; "&amp;R4211&amp;AS[[#This Row],[Age Band Code]]&amp;"; "&amp;S4211&amp;AS[[#This Row],[Sex Code]]</f>
        <v xml:space="preserve">Insurer Code ; Reporting Year ; Insurance Category Code ; Large Provider Entity Code ; Age Band Code ; Sex Code </v>
      </c>
      <c r="N4211" s="345" t="s">
        <v>207</v>
      </c>
      <c r="O4211" s="345" t="s">
        <v>208</v>
      </c>
      <c r="P4211" s="345" t="s">
        <v>209</v>
      </c>
      <c r="Q4211" s="345" t="s">
        <v>210</v>
      </c>
      <c r="R4211" s="345" t="s">
        <v>223</v>
      </c>
      <c r="S4211" s="345" t="s">
        <v>224</v>
      </c>
    </row>
    <row r="4212" spans="1:19" x14ac:dyDescent="0.25">
      <c r="A4212" s="311"/>
      <c r="B4212" s="312"/>
      <c r="C4212" s="312"/>
      <c r="D4212" s="312"/>
      <c r="E4212" s="312"/>
      <c r="F4212" s="312"/>
      <c r="G4212" s="328"/>
      <c r="H4212" s="337"/>
      <c r="I4212" s="334"/>
      <c r="J4212" s="314"/>
      <c r="K4212" s="449"/>
      <c r="M4212" s="349" t="str">
        <f>N4212&amp;AS[[#This Row],[Insurer Code]]&amp;"; "&amp;O4212&amp;AS[[#This Row],[Reporting Year]]&amp;"; "&amp;P4212&amp;AS[[#This Row],[Insurance Category Code]]&amp;"; "&amp;Q4212&amp;AS[[#This Row],[Large Provider Entity Code]]&amp;"; "&amp;R4212&amp;AS[[#This Row],[Age Band Code]]&amp;"; "&amp;S4212&amp;AS[[#This Row],[Sex Code]]</f>
        <v xml:space="preserve">Insurer Code ; Reporting Year ; Insurance Category Code ; Large Provider Entity Code ; Age Band Code ; Sex Code </v>
      </c>
      <c r="N4212" s="345" t="s">
        <v>207</v>
      </c>
      <c r="O4212" s="345" t="s">
        <v>208</v>
      </c>
      <c r="P4212" s="345" t="s">
        <v>209</v>
      </c>
      <c r="Q4212" s="345" t="s">
        <v>210</v>
      </c>
      <c r="R4212" s="345" t="s">
        <v>223</v>
      </c>
      <c r="S4212" s="345" t="s">
        <v>224</v>
      </c>
    </row>
    <row r="4213" spans="1:19" x14ac:dyDescent="0.25">
      <c r="A4213" s="311"/>
      <c r="B4213" s="312"/>
      <c r="C4213" s="312"/>
      <c r="D4213" s="312"/>
      <c r="E4213" s="312"/>
      <c r="F4213" s="312"/>
      <c r="G4213" s="328"/>
      <c r="H4213" s="337"/>
      <c r="I4213" s="334"/>
      <c r="J4213" s="314"/>
      <c r="K4213" s="449"/>
      <c r="M4213" s="349" t="str">
        <f>N4213&amp;AS[[#This Row],[Insurer Code]]&amp;"; "&amp;O4213&amp;AS[[#This Row],[Reporting Year]]&amp;"; "&amp;P4213&amp;AS[[#This Row],[Insurance Category Code]]&amp;"; "&amp;Q4213&amp;AS[[#This Row],[Large Provider Entity Code]]&amp;"; "&amp;R4213&amp;AS[[#This Row],[Age Band Code]]&amp;"; "&amp;S4213&amp;AS[[#This Row],[Sex Code]]</f>
        <v xml:space="preserve">Insurer Code ; Reporting Year ; Insurance Category Code ; Large Provider Entity Code ; Age Band Code ; Sex Code </v>
      </c>
      <c r="N4213" s="345" t="s">
        <v>207</v>
      </c>
      <c r="O4213" s="345" t="s">
        <v>208</v>
      </c>
      <c r="P4213" s="345" t="s">
        <v>209</v>
      </c>
      <c r="Q4213" s="345" t="s">
        <v>210</v>
      </c>
      <c r="R4213" s="345" t="s">
        <v>223</v>
      </c>
      <c r="S4213" s="345" t="s">
        <v>224</v>
      </c>
    </row>
    <row r="4214" spans="1:19" x14ac:dyDescent="0.25">
      <c r="A4214" s="311"/>
      <c r="B4214" s="312"/>
      <c r="C4214" s="312"/>
      <c r="D4214" s="312"/>
      <c r="E4214" s="312"/>
      <c r="F4214" s="312"/>
      <c r="G4214" s="328"/>
      <c r="H4214" s="337"/>
      <c r="I4214" s="334"/>
      <c r="J4214" s="314"/>
      <c r="K4214" s="449"/>
      <c r="M4214" s="349" t="str">
        <f>N4214&amp;AS[[#This Row],[Insurer Code]]&amp;"; "&amp;O4214&amp;AS[[#This Row],[Reporting Year]]&amp;"; "&amp;P4214&amp;AS[[#This Row],[Insurance Category Code]]&amp;"; "&amp;Q4214&amp;AS[[#This Row],[Large Provider Entity Code]]&amp;"; "&amp;R4214&amp;AS[[#This Row],[Age Band Code]]&amp;"; "&amp;S4214&amp;AS[[#This Row],[Sex Code]]</f>
        <v xml:space="preserve">Insurer Code ; Reporting Year ; Insurance Category Code ; Large Provider Entity Code ; Age Band Code ; Sex Code </v>
      </c>
      <c r="N4214" s="345" t="s">
        <v>207</v>
      </c>
      <c r="O4214" s="345" t="s">
        <v>208</v>
      </c>
      <c r="P4214" s="345" t="s">
        <v>209</v>
      </c>
      <c r="Q4214" s="345" t="s">
        <v>210</v>
      </c>
      <c r="R4214" s="345" t="s">
        <v>223</v>
      </c>
      <c r="S4214" s="345" t="s">
        <v>224</v>
      </c>
    </row>
    <row r="4215" spans="1:19" x14ac:dyDescent="0.25">
      <c r="A4215" s="311"/>
      <c r="B4215" s="312"/>
      <c r="C4215" s="312"/>
      <c r="D4215" s="312"/>
      <c r="E4215" s="312"/>
      <c r="F4215" s="312"/>
      <c r="G4215" s="328"/>
      <c r="H4215" s="337"/>
      <c r="I4215" s="334"/>
      <c r="J4215" s="314"/>
      <c r="K4215" s="449"/>
      <c r="M4215" s="349" t="str">
        <f>N4215&amp;AS[[#This Row],[Insurer Code]]&amp;"; "&amp;O4215&amp;AS[[#This Row],[Reporting Year]]&amp;"; "&amp;P4215&amp;AS[[#This Row],[Insurance Category Code]]&amp;"; "&amp;Q4215&amp;AS[[#This Row],[Large Provider Entity Code]]&amp;"; "&amp;R4215&amp;AS[[#This Row],[Age Band Code]]&amp;"; "&amp;S4215&amp;AS[[#This Row],[Sex Code]]</f>
        <v xml:space="preserve">Insurer Code ; Reporting Year ; Insurance Category Code ; Large Provider Entity Code ; Age Band Code ; Sex Code </v>
      </c>
      <c r="N4215" s="345" t="s">
        <v>207</v>
      </c>
      <c r="O4215" s="345" t="s">
        <v>208</v>
      </c>
      <c r="P4215" s="345" t="s">
        <v>209</v>
      </c>
      <c r="Q4215" s="345" t="s">
        <v>210</v>
      </c>
      <c r="R4215" s="345" t="s">
        <v>223</v>
      </c>
      <c r="S4215" s="345" t="s">
        <v>224</v>
      </c>
    </row>
    <row r="4216" spans="1:19" x14ac:dyDescent="0.25">
      <c r="A4216" s="311"/>
      <c r="B4216" s="312"/>
      <c r="C4216" s="312"/>
      <c r="D4216" s="312"/>
      <c r="E4216" s="312"/>
      <c r="F4216" s="312"/>
      <c r="G4216" s="328"/>
      <c r="H4216" s="337"/>
      <c r="I4216" s="334"/>
      <c r="J4216" s="314"/>
      <c r="K4216" s="449"/>
      <c r="M4216" s="349" t="str">
        <f>N4216&amp;AS[[#This Row],[Insurer Code]]&amp;"; "&amp;O4216&amp;AS[[#This Row],[Reporting Year]]&amp;"; "&amp;P4216&amp;AS[[#This Row],[Insurance Category Code]]&amp;"; "&amp;Q4216&amp;AS[[#This Row],[Large Provider Entity Code]]&amp;"; "&amp;R4216&amp;AS[[#This Row],[Age Band Code]]&amp;"; "&amp;S4216&amp;AS[[#This Row],[Sex Code]]</f>
        <v xml:space="preserve">Insurer Code ; Reporting Year ; Insurance Category Code ; Large Provider Entity Code ; Age Band Code ; Sex Code </v>
      </c>
      <c r="N4216" s="345" t="s">
        <v>207</v>
      </c>
      <c r="O4216" s="345" t="s">
        <v>208</v>
      </c>
      <c r="P4216" s="345" t="s">
        <v>209</v>
      </c>
      <c r="Q4216" s="345" t="s">
        <v>210</v>
      </c>
      <c r="R4216" s="345" t="s">
        <v>223</v>
      </c>
      <c r="S4216" s="345" t="s">
        <v>224</v>
      </c>
    </row>
    <row r="4217" spans="1:19" x14ac:dyDescent="0.25">
      <c r="A4217" s="311"/>
      <c r="B4217" s="312"/>
      <c r="C4217" s="312"/>
      <c r="D4217" s="312"/>
      <c r="E4217" s="312"/>
      <c r="F4217" s="312"/>
      <c r="G4217" s="328"/>
      <c r="H4217" s="337"/>
      <c r="I4217" s="334"/>
      <c r="J4217" s="314"/>
      <c r="K4217" s="449"/>
      <c r="M4217" s="349" t="str">
        <f>N4217&amp;AS[[#This Row],[Insurer Code]]&amp;"; "&amp;O4217&amp;AS[[#This Row],[Reporting Year]]&amp;"; "&amp;P4217&amp;AS[[#This Row],[Insurance Category Code]]&amp;"; "&amp;Q4217&amp;AS[[#This Row],[Large Provider Entity Code]]&amp;"; "&amp;R4217&amp;AS[[#This Row],[Age Band Code]]&amp;"; "&amp;S4217&amp;AS[[#This Row],[Sex Code]]</f>
        <v xml:space="preserve">Insurer Code ; Reporting Year ; Insurance Category Code ; Large Provider Entity Code ; Age Band Code ; Sex Code </v>
      </c>
      <c r="N4217" s="345" t="s">
        <v>207</v>
      </c>
      <c r="O4217" s="345" t="s">
        <v>208</v>
      </c>
      <c r="P4217" s="345" t="s">
        <v>209</v>
      </c>
      <c r="Q4217" s="345" t="s">
        <v>210</v>
      </c>
      <c r="R4217" s="345" t="s">
        <v>223</v>
      </c>
      <c r="S4217" s="345" t="s">
        <v>224</v>
      </c>
    </row>
    <row r="4218" spans="1:19" x14ac:dyDescent="0.25">
      <c r="A4218" s="311"/>
      <c r="B4218" s="312"/>
      <c r="C4218" s="312"/>
      <c r="D4218" s="312"/>
      <c r="E4218" s="312"/>
      <c r="F4218" s="312"/>
      <c r="G4218" s="328"/>
      <c r="H4218" s="337"/>
      <c r="I4218" s="334"/>
      <c r="J4218" s="314"/>
      <c r="K4218" s="449"/>
      <c r="M4218" s="349" t="str">
        <f>N4218&amp;AS[[#This Row],[Insurer Code]]&amp;"; "&amp;O4218&amp;AS[[#This Row],[Reporting Year]]&amp;"; "&amp;P4218&amp;AS[[#This Row],[Insurance Category Code]]&amp;"; "&amp;Q4218&amp;AS[[#This Row],[Large Provider Entity Code]]&amp;"; "&amp;R4218&amp;AS[[#This Row],[Age Band Code]]&amp;"; "&amp;S4218&amp;AS[[#This Row],[Sex Code]]</f>
        <v xml:space="preserve">Insurer Code ; Reporting Year ; Insurance Category Code ; Large Provider Entity Code ; Age Band Code ; Sex Code </v>
      </c>
      <c r="N4218" s="345" t="s">
        <v>207</v>
      </c>
      <c r="O4218" s="345" t="s">
        <v>208</v>
      </c>
      <c r="P4218" s="345" t="s">
        <v>209</v>
      </c>
      <c r="Q4218" s="345" t="s">
        <v>210</v>
      </c>
      <c r="R4218" s="345" t="s">
        <v>223</v>
      </c>
      <c r="S4218" s="345" t="s">
        <v>224</v>
      </c>
    </row>
    <row r="4219" spans="1:19" x14ac:dyDescent="0.25">
      <c r="A4219" s="311"/>
      <c r="B4219" s="312"/>
      <c r="C4219" s="312"/>
      <c r="D4219" s="312"/>
      <c r="E4219" s="312"/>
      <c r="F4219" s="312"/>
      <c r="G4219" s="328"/>
      <c r="H4219" s="337"/>
      <c r="I4219" s="334"/>
      <c r="J4219" s="314"/>
      <c r="K4219" s="449"/>
      <c r="M4219" s="349" t="str">
        <f>N4219&amp;AS[[#This Row],[Insurer Code]]&amp;"; "&amp;O4219&amp;AS[[#This Row],[Reporting Year]]&amp;"; "&amp;P4219&amp;AS[[#This Row],[Insurance Category Code]]&amp;"; "&amp;Q4219&amp;AS[[#This Row],[Large Provider Entity Code]]&amp;"; "&amp;R4219&amp;AS[[#This Row],[Age Band Code]]&amp;"; "&amp;S4219&amp;AS[[#This Row],[Sex Code]]</f>
        <v xml:space="preserve">Insurer Code ; Reporting Year ; Insurance Category Code ; Large Provider Entity Code ; Age Band Code ; Sex Code </v>
      </c>
      <c r="N4219" s="345" t="s">
        <v>207</v>
      </c>
      <c r="O4219" s="345" t="s">
        <v>208</v>
      </c>
      <c r="P4219" s="345" t="s">
        <v>209</v>
      </c>
      <c r="Q4219" s="345" t="s">
        <v>210</v>
      </c>
      <c r="R4219" s="345" t="s">
        <v>223</v>
      </c>
      <c r="S4219" s="345" t="s">
        <v>224</v>
      </c>
    </row>
    <row r="4220" spans="1:19" x14ac:dyDescent="0.25">
      <c r="A4220" s="311"/>
      <c r="B4220" s="312"/>
      <c r="C4220" s="312"/>
      <c r="D4220" s="312"/>
      <c r="E4220" s="312"/>
      <c r="F4220" s="312"/>
      <c r="G4220" s="328"/>
      <c r="H4220" s="337"/>
      <c r="I4220" s="334"/>
      <c r="J4220" s="314"/>
      <c r="K4220" s="449"/>
      <c r="M4220" s="349" t="str">
        <f>N4220&amp;AS[[#This Row],[Insurer Code]]&amp;"; "&amp;O4220&amp;AS[[#This Row],[Reporting Year]]&amp;"; "&amp;P4220&amp;AS[[#This Row],[Insurance Category Code]]&amp;"; "&amp;Q4220&amp;AS[[#This Row],[Large Provider Entity Code]]&amp;"; "&amp;R4220&amp;AS[[#This Row],[Age Band Code]]&amp;"; "&amp;S4220&amp;AS[[#This Row],[Sex Code]]</f>
        <v xml:space="preserve">Insurer Code ; Reporting Year ; Insurance Category Code ; Large Provider Entity Code ; Age Band Code ; Sex Code </v>
      </c>
      <c r="N4220" s="345" t="s">
        <v>207</v>
      </c>
      <c r="O4220" s="345" t="s">
        <v>208</v>
      </c>
      <c r="P4220" s="345" t="s">
        <v>209</v>
      </c>
      <c r="Q4220" s="345" t="s">
        <v>210</v>
      </c>
      <c r="R4220" s="345" t="s">
        <v>223</v>
      </c>
      <c r="S4220" s="345" t="s">
        <v>224</v>
      </c>
    </row>
    <row r="4221" spans="1:19" x14ac:dyDescent="0.25">
      <c r="A4221" s="311"/>
      <c r="B4221" s="312"/>
      <c r="C4221" s="312"/>
      <c r="D4221" s="312"/>
      <c r="E4221" s="312"/>
      <c r="F4221" s="312"/>
      <c r="G4221" s="328"/>
      <c r="H4221" s="337"/>
      <c r="I4221" s="334"/>
      <c r="J4221" s="314"/>
      <c r="K4221" s="449"/>
      <c r="M4221" s="349" t="str">
        <f>N4221&amp;AS[[#This Row],[Insurer Code]]&amp;"; "&amp;O4221&amp;AS[[#This Row],[Reporting Year]]&amp;"; "&amp;P4221&amp;AS[[#This Row],[Insurance Category Code]]&amp;"; "&amp;Q4221&amp;AS[[#This Row],[Large Provider Entity Code]]&amp;"; "&amp;R4221&amp;AS[[#This Row],[Age Band Code]]&amp;"; "&amp;S4221&amp;AS[[#This Row],[Sex Code]]</f>
        <v xml:space="preserve">Insurer Code ; Reporting Year ; Insurance Category Code ; Large Provider Entity Code ; Age Band Code ; Sex Code </v>
      </c>
      <c r="N4221" s="345" t="s">
        <v>207</v>
      </c>
      <c r="O4221" s="345" t="s">
        <v>208</v>
      </c>
      <c r="P4221" s="345" t="s">
        <v>209</v>
      </c>
      <c r="Q4221" s="345" t="s">
        <v>210</v>
      </c>
      <c r="R4221" s="345" t="s">
        <v>223</v>
      </c>
      <c r="S4221" s="345" t="s">
        <v>224</v>
      </c>
    </row>
    <row r="4222" spans="1:19" x14ac:dyDescent="0.25">
      <c r="A4222" s="311"/>
      <c r="B4222" s="312"/>
      <c r="C4222" s="312"/>
      <c r="D4222" s="312"/>
      <c r="E4222" s="312"/>
      <c r="F4222" s="312"/>
      <c r="G4222" s="328"/>
      <c r="H4222" s="337"/>
      <c r="I4222" s="334"/>
      <c r="J4222" s="314"/>
      <c r="K4222" s="449"/>
      <c r="M4222" s="349" t="str">
        <f>N4222&amp;AS[[#This Row],[Insurer Code]]&amp;"; "&amp;O4222&amp;AS[[#This Row],[Reporting Year]]&amp;"; "&amp;P4222&amp;AS[[#This Row],[Insurance Category Code]]&amp;"; "&amp;Q4222&amp;AS[[#This Row],[Large Provider Entity Code]]&amp;"; "&amp;R4222&amp;AS[[#This Row],[Age Band Code]]&amp;"; "&amp;S4222&amp;AS[[#This Row],[Sex Code]]</f>
        <v xml:space="preserve">Insurer Code ; Reporting Year ; Insurance Category Code ; Large Provider Entity Code ; Age Band Code ; Sex Code </v>
      </c>
      <c r="N4222" s="345" t="s">
        <v>207</v>
      </c>
      <c r="O4222" s="345" t="s">
        <v>208</v>
      </c>
      <c r="P4222" s="345" t="s">
        <v>209</v>
      </c>
      <c r="Q4222" s="345" t="s">
        <v>210</v>
      </c>
      <c r="R4222" s="345" t="s">
        <v>223</v>
      </c>
      <c r="S4222" s="345" t="s">
        <v>224</v>
      </c>
    </row>
    <row r="4223" spans="1:19" x14ac:dyDescent="0.25">
      <c r="A4223" s="311"/>
      <c r="B4223" s="312"/>
      <c r="C4223" s="312"/>
      <c r="D4223" s="312"/>
      <c r="E4223" s="312"/>
      <c r="F4223" s="312"/>
      <c r="G4223" s="328"/>
      <c r="H4223" s="337"/>
      <c r="I4223" s="334"/>
      <c r="J4223" s="314"/>
      <c r="K4223" s="449"/>
      <c r="M4223" s="349" t="str">
        <f>N4223&amp;AS[[#This Row],[Insurer Code]]&amp;"; "&amp;O4223&amp;AS[[#This Row],[Reporting Year]]&amp;"; "&amp;P4223&amp;AS[[#This Row],[Insurance Category Code]]&amp;"; "&amp;Q4223&amp;AS[[#This Row],[Large Provider Entity Code]]&amp;"; "&amp;R4223&amp;AS[[#This Row],[Age Band Code]]&amp;"; "&amp;S4223&amp;AS[[#This Row],[Sex Code]]</f>
        <v xml:space="preserve">Insurer Code ; Reporting Year ; Insurance Category Code ; Large Provider Entity Code ; Age Band Code ; Sex Code </v>
      </c>
      <c r="N4223" s="345" t="s">
        <v>207</v>
      </c>
      <c r="O4223" s="345" t="s">
        <v>208</v>
      </c>
      <c r="P4223" s="345" t="s">
        <v>209</v>
      </c>
      <c r="Q4223" s="345" t="s">
        <v>210</v>
      </c>
      <c r="R4223" s="345" t="s">
        <v>223</v>
      </c>
      <c r="S4223" s="345" t="s">
        <v>224</v>
      </c>
    </row>
    <row r="4224" spans="1:19" x14ac:dyDescent="0.25">
      <c r="A4224" s="311"/>
      <c r="B4224" s="312"/>
      <c r="C4224" s="312"/>
      <c r="D4224" s="312"/>
      <c r="E4224" s="312"/>
      <c r="F4224" s="312"/>
      <c r="G4224" s="328"/>
      <c r="H4224" s="337"/>
      <c r="I4224" s="334"/>
      <c r="J4224" s="314"/>
      <c r="K4224" s="449"/>
      <c r="M4224" s="349" t="str">
        <f>N4224&amp;AS[[#This Row],[Insurer Code]]&amp;"; "&amp;O4224&amp;AS[[#This Row],[Reporting Year]]&amp;"; "&amp;P4224&amp;AS[[#This Row],[Insurance Category Code]]&amp;"; "&amp;Q4224&amp;AS[[#This Row],[Large Provider Entity Code]]&amp;"; "&amp;R4224&amp;AS[[#This Row],[Age Band Code]]&amp;"; "&amp;S4224&amp;AS[[#This Row],[Sex Code]]</f>
        <v xml:space="preserve">Insurer Code ; Reporting Year ; Insurance Category Code ; Large Provider Entity Code ; Age Band Code ; Sex Code </v>
      </c>
      <c r="N4224" s="345" t="s">
        <v>207</v>
      </c>
      <c r="O4224" s="345" t="s">
        <v>208</v>
      </c>
      <c r="P4224" s="345" t="s">
        <v>209</v>
      </c>
      <c r="Q4224" s="345" t="s">
        <v>210</v>
      </c>
      <c r="R4224" s="345" t="s">
        <v>223</v>
      </c>
      <c r="S4224" s="345" t="s">
        <v>224</v>
      </c>
    </row>
    <row r="4225" spans="1:19" x14ac:dyDescent="0.25">
      <c r="A4225" s="311"/>
      <c r="B4225" s="312"/>
      <c r="C4225" s="312"/>
      <c r="D4225" s="312"/>
      <c r="E4225" s="312"/>
      <c r="F4225" s="312"/>
      <c r="G4225" s="328"/>
      <c r="H4225" s="337"/>
      <c r="I4225" s="334"/>
      <c r="J4225" s="314"/>
      <c r="K4225" s="449"/>
      <c r="M4225" s="349" t="str">
        <f>N4225&amp;AS[[#This Row],[Insurer Code]]&amp;"; "&amp;O4225&amp;AS[[#This Row],[Reporting Year]]&amp;"; "&amp;P4225&amp;AS[[#This Row],[Insurance Category Code]]&amp;"; "&amp;Q4225&amp;AS[[#This Row],[Large Provider Entity Code]]&amp;"; "&amp;R4225&amp;AS[[#This Row],[Age Band Code]]&amp;"; "&amp;S4225&amp;AS[[#This Row],[Sex Code]]</f>
        <v xml:space="preserve">Insurer Code ; Reporting Year ; Insurance Category Code ; Large Provider Entity Code ; Age Band Code ; Sex Code </v>
      </c>
      <c r="N4225" s="345" t="s">
        <v>207</v>
      </c>
      <c r="O4225" s="345" t="s">
        <v>208</v>
      </c>
      <c r="P4225" s="345" t="s">
        <v>209</v>
      </c>
      <c r="Q4225" s="345" t="s">
        <v>210</v>
      </c>
      <c r="R4225" s="345" t="s">
        <v>223</v>
      </c>
      <c r="S4225" s="345" t="s">
        <v>224</v>
      </c>
    </row>
    <row r="4226" spans="1:19" x14ac:dyDescent="0.25">
      <c r="A4226" s="311"/>
      <c r="B4226" s="312"/>
      <c r="C4226" s="312"/>
      <c r="D4226" s="312"/>
      <c r="E4226" s="312"/>
      <c r="F4226" s="312"/>
      <c r="G4226" s="328"/>
      <c r="H4226" s="337"/>
      <c r="I4226" s="334"/>
      <c r="J4226" s="314"/>
      <c r="K4226" s="449"/>
      <c r="M4226" s="349" t="str">
        <f>N4226&amp;AS[[#This Row],[Insurer Code]]&amp;"; "&amp;O4226&amp;AS[[#This Row],[Reporting Year]]&amp;"; "&amp;P4226&amp;AS[[#This Row],[Insurance Category Code]]&amp;"; "&amp;Q4226&amp;AS[[#This Row],[Large Provider Entity Code]]&amp;"; "&amp;R4226&amp;AS[[#This Row],[Age Band Code]]&amp;"; "&amp;S4226&amp;AS[[#This Row],[Sex Code]]</f>
        <v xml:space="preserve">Insurer Code ; Reporting Year ; Insurance Category Code ; Large Provider Entity Code ; Age Band Code ; Sex Code </v>
      </c>
      <c r="N4226" s="345" t="s">
        <v>207</v>
      </c>
      <c r="O4226" s="345" t="s">
        <v>208</v>
      </c>
      <c r="P4226" s="345" t="s">
        <v>209</v>
      </c>
      <c r="Q4226" s="345" t="s">
        <v>210</v>
      </c>
      <c r="R4226" s="345" t="s">
        <v>223</v>
      </c>
      <c r="S4226" s="345" t="s">
        <v>224</v>
      </c>
    </row>
    <row r="4227" spans="1:19" x14ac:dyDescent="0.25">
      <c r="A4227" s="311"/>
      <c r="B4227" s="312"/>
      <c r="C4227" s="312"/>
      <c r="D4227" s="312"/>
      <c r="E4227" s="312"/>
      <c r="F4227" s="312"/>
      <c r="G4227" s="328"/>
      <c r="H4227" s="337"/>
      <c r="I4227" s="334"/>
      <c r="J4227" s="314"/>
      <c r="K4227" s="449"/>
      <c r="M4227" s="349" t="str">
        <f>N4227&amp;AS[[#This Row],[Insurer Code]]&amp;"; "&amp;O4227&amp;AS[[#This Row],[Reporting Year]]&amp;"; "&amp;P4227&amp;AS[[#This Row],[Insurance Category Code]]&amp;"; "&amp;Q4227&amp;AS[[#This Row],[Large Provider Entity Code]]&amp;"; "&amp;R4227&amp;AS[[#This Row],[Age Band Code]]&amp;"; "&amp;S4227&amp;AS[[#This Row],[Sex Code]]</f>
        <v xml:space="preserve">Insurer Code ; Reporting Year ; Insurance Category Code ; Large Provider Entity Code ; Age Band Code ; Sex Code </v>
      </c>
      <c r="N4227" s="345" t="s">
        <v>207</v>
      </c>
      <c r="O4227" s="345" t="s">
        <v>208</v>
      </c>
      <c r="P4227" s="345" t="s">
        <v>209</v>
      </c>
      <c r="Q4227" s="345" t="s">
        <v>210</v>
      </c>
      <c r="R4227" s="345" t="s">
        <v>223</v>
      </c>
      <c r="S4227" s="345" t="s">
        <v>224</v>
      </c>
    </row>
    <row r="4228" spans="1:19" x14ac:dyDescent="0.25">
      <c r="A4228" s="311"/>
      <c r="B4228" s="312"/>
      <c r="C4228" s="312"/>
      <c r="D4228" s="312"/>
      <c r="E4228" s="312"/>
      <c r="F4228" s="312"/>
      <c r="G4228" s="328"/>
      <c r="H4228" s="337"/>
      <c r="I4228" s="334"/>
      <c r="J4228" s="314"/>
      <c r="K4228" s="449"/>
      <c r="M4228" s="349" t="str">
        <f>N4228&amp;AS[[#This Row],[Insurer Code]]&amp;"; "&amp;O4228&amp;AS[[#This Row],[Reporting Year]]&amp;"; "&amp;P4228&amp;AS[[#This Row],[Insurance Category Code]]&amp;"; "&amp;Q4228&amp;AS[[#This Row],[Large Provider Entity Code]]&amp;"; "&amp;R4228&amp;AS[[#This Row],[Age Band Code]]&amp;"; "&amp;S4228&amp;AS[[#This Row],[Sex Code]]</f>
        <v xml:space="preserve">Insurer Code ; Reporting Year ; Insurance Category Code ; Large Provider Entity Code ; Age Band Code ; Sex Code </v>
      </c>
      <c r="N4228" s="345" t="s">
        <v>207</v>
      </c>
      <c r="O4228" s="345" t="s">
        <v>208</v>
      </c>
      <c r="P4228" s="345" t="s">
        <v>209</v>
      </c>
      <c r="Q4228" s="345" t="s">
        <v>210</v>
      </c>
      <c r="R4228" s="345" t="s">
        <v>223</v>
      </c>
      <c r="S4228" s="345" t="s">
        <v>224</v>
      </c>
    </row>
    <row r="4229" spans="1:19" x14ac:dyDescent="0.25">
      <c r="A4229" s="311"/>
      <c r="B4229" s="312"/>
      <c r="C4229" s="312"/>
      <c r="D4229" s="312"/>
      <c r="E4229" s="312"/>
      <c r="F4229" s="312"/>
      <c r="G4229" s="328"/>
      <c r="H4229" s="337"/>
      <c r="I4229" s="334"/>
      <c r="J4229" s="314"/>
      <c r="K4229" s="449"/>
      <c r="M4229" s="349" t="str">
        <f>N4229&amp;AS[[#This Row],[Insurer Code]]&amp;"; "&amp;O4229&amp;AS[[#This Row],[Reporting Year]]&amp;"; "&amp;P4229&amp;AS[[#This Row],[Insurance Category Code]]&amp;"; "&amp;Q4229&amp;AS[[#This Row],[Large Provider Entity Code]]&amp;"; "&amp;R4229&amp;AS[[#This Row],[Age Band Code]]&amp;"; "&amp;S4229&amp;AS[[#This Row],[Sex Code]]</f>
        <v xml:space="preserve">Insurer Code ; Reporting Year ; Insurance Category Code ; Large Provider Entity Code ; Age Band Code ; Sex Code </v>
      </c>
      <c r="N4229" s="345" t="s">
        <v>207</v>
      </c>
      <c r="O4229" s="345" t="s">
        <v>208</v>
      </c>
      <c r="P4229" s="345" t="s">
        <v>209</v>
      </c>
      <c r="Q4229" s="345" t="s">
        <v>210</v>
      </c>
      <c r="R4229" s="345" t="s">
        <v>223</v>
      </c>
      <c r="S4229" s="345" t="s">
        <v>224</v>
      </c>
    </row>
    <row r="4230" spans="1:19" x14ac:dyDescent="0.25">
      <c r="A4230" s="311"/>
      <c r="B4230" s="312"/>
      <c r="C4230" s="312"/>
      <c r="D4230" s="312"/>
      <c r="E4230" s="312"/>
      <c r="F4230" s="312"/>
      <c r="G4230" s="328"/>
      <c r="H4230" s="337"/>
      <c r="I4230" s="334"/>
      <c r="J4230" s="314"/>
      <c r="K4230" s="449"/>
      <c r="M4230" s="349" t="str">
        <f>N4230&amp;AS[[#This Row],[Insurer Code]]&amp;"; "&amp;O4230&amp;AS[[#This Row],[Reporting Year]]&amp;"; "&amp;P4230&amp;AS[[#This Row],[Insurance Category Code]]&amp;"; "&amp;Q4230&amp;AS[[#This Row],[Large Provider Entity Code]]&amp;"; "&amp;R4230&amp;AS[[#This Row],[Age Band Code]]&amp;"; "&amp;S4230&amp;AS[[#This Row],[Sex Code]]</f>
        <v xml:space="preserve">Insurer Code ; Reporting Year ; Insurance Category Code ; Large Provider Entity Code ; Age Band Code ; Sex Code </v>
      </c>
      <c r="N4230" s="345" t="s">
        <v>207</v>
      </c>
      <c r="O4230" s="345" t="s">
        <v>208</v>
      </c>
      <c r="P4230" s="345" t="s">
        <v>209</v>
      </c>
      <c r="Q4230" s="345" t="s">
        <v>210</v>
      </c>
      <c r="R4230" s="345" t="s">
        <v>223</v>
      </c>
      <c r="S4230" s="345" t="s">
        <v>224</v>
      </c>
    </row>
    <row r="4231" spans="1:19" x14ac:dyDescent="0.25">
      <c r="A4231" s="311"/>
      <c r="B4231" s="312"/>
      <c r="C4231" s="312"/>
      <c r="D4231" s="312"/>
      <c r="E4231" s="312"/>
      <c r="F4231" s="312"/>
      <c r="G4231" s="328"/>
      <c r="H4231" s="337"/>
      <c r="I4231" s="334"/>
      <c r="J4231" s="314"/>
      <c r="K4231" s="449"/>
      <c r="M4231" s="349" t="str">
        <f>N4231&amp;AS[[#This Row],[Insurer Code]]&amp;"; "&amp;O4231&amp;AS[[#This Row],[Reporting Year]]&amp;"; "&amp;P4231&amp;AS[[#This Row],[Insurance Category Code]]&amp;"; "&amp;Q4231&amp;AS[[#This Row],[Large Provider Entity Code]]&amp;"; "&amp;R4231&amp;AS[[#This Row],[Age Band Code]]&amp;"; "&amp;S4231&amp;AS[[#This Row],[Sex Code]]</f>
        <v xml:space="preserve">Insurer Code ; Reporting Year ; Insurance Category Code ; Large Provider Entity Code ; Age Band Code ; Sex Code </v>
      </c>
      <c r="N4231" s="345" t="s">
        <v>207</v>
      </c>
      <c r="O4231" s="345" t="s">
        <v>208</v>
      </c>
      <c r="P4231" s="345" t="s">
        <v>209</v>
      </c>
      <c r="Q4231" s="345" t="s">
        <v>210</v>
      </c>
      <c r="R4231" s="345" t="s">
        <v>223</v>
      </c>
      <c r="S4231" s="345" t="s">
        <v>224</v>
      </c>
    </row>
    <row r="4232" spans="1:19" x14ac:dyDescent="0.25">
      <c r="A4232" s="311"/>
      <c r="B4232" s="312"/>
      <c r="C4232" s="312"/>
      <c r="D4232" s="312"/>
      <c r="E4232" s="312"/>
      <c r="F4232" s="312"/>
      <c r="G4232" s="328"/>
      <c r="H4232" s="337"/>
      <c r="I4232" s="334"/>
      <c r="J4232" s="314"/>
      <c r="K4232" s="449"/>
      <c r="M4232" s="349" t="str">
        <f>N4232&amp;AS[[#This Row],[Insurer Code]]&amp;"; "&amp;O4232&amp;AS[[#This Row],[Reporting Year]]&amp;"; "&amp;P4232&amp;AS[[#This Row],[Insurance Category Code]]&amp;"; "&amp;Q4232&amp;AS[[#This Row],[Large Provider Entity Code]]&amp;"; "&amp;R4232&amp;AS[[#This Row],[Age Band Code]]&amp;"; "&amp;S4232&amp;AS[[#This Row],[Sex Code]]</f>
        <v xml:space="preserve">Insurer Code ; Reporting Year ; Insurance Category Code ; Large Provider Entity Code ; Age Band Code ; Sex Code </v>
      </c>
      <c r="N4232" s="345" t="s">
        <v>207</v>
      </c>
      <c r="O4232" s="345" t="s">
        <v>208</v>
      </c>
      <c r="P4232" s="345" t="s">
        <v>209</v>
      </c>
      <c r="Q4232" s="345" t="s">
        <v>210</v>
      </c>
      <c r="R4232" s="345" t="s">
        <v>223</v>
      </c>
      <c r="S4232" s="345" t="s">
        <v>224</v>
      </c>
    </row>
    <row r="4233" spans="1:19" x14ac:dyDescent="0.25">
      <c r="A4233" s="311"/>
      <c r="B4233" s="312"/>
      <c r="C4233" s="312"/>
      <c r="D4233" s="312"/>
      <c r="E4233" s="312"/>
      <c r="F4233" s="312"/>
      <c r="G4233" s="328"/>
      <c r="H4233" s="337"/>
      <c r="I4233" s="334"/>
      <c r="J4233" s="314"/>
      <c r="K4233" s="449"/>
      <c r="M4233" s="349" t="str">
        <f>N4233&amp;AS[[#This Row],[Insurer Code]]&amp;"; "&amp;O4233&amp;AS[[#This Row],[Reporting Year]]&amp;"; "&amp;P4233&amp;AS[[#This Row],[Insurance Category Code]]&amp;"; "&amp;Q4233&amp;AS[[#This Row],[Large Provider Entity Code]]&amp;"; "&amp;R4233&amp;AS[[#This Row],[Age Band Code]]&amp;"; "&amp;S4233&amp;AS[[#This Row],[Sex Code]]</f>
        <v xml:space="preserve">Insurer Code ; Reporting Year ; Insurance Category Code ; Large Provider Entity Code ; Age Band Code ; Sex Code </v>
      </c>
      <c r="N4233" s="345" t="s">
        <v>207</v>
      </c>
      <c r="O4233" s="345" t="s">
        <v>208</v>
      </c>
      <c r="P4233" s="345" t="s">
        <v>209</v>
      </c>
      <c r="Q4233" s="345" t="s">
        <v>210</v>
      </c>
      <c r="R4233" s="345" t="s">
        <v>223</v>
      </c>
      <c r="S4233" s="345" t="s">
        <v>224</v>
      </c>
    </row>
    <row r="4234" spans="1:19" x14ac:dyDescent="0.25">
      <c r="A4234" s="311"/>
      <c r="B4234" s="312"/>
      <c r="C4234" s="312"/>
      <c r="D4234" s="312"/>
      <c r="E4234" s="312"/>
      <c r="F4234" s="312"/>
      <c r="G4234" s="328"/>
      <c r="H4234" s="337"/>
      <c r="I4234" s="334"/>
      <c r="J4234" s="314"/>
      <c r="K4234" s="449"/>
      <c r="M4234" s="349" t="str">
        <f>N4234&amp;AS[[#This Row],[Insurer Code]]&amp;"; "&amp;O4234&amp;AS[[#This Row],[Reporting Year]]&amp;"; "&amp;P4234&amp;AS[[#This Row],[Insurance Category Code]]&amp;"; "&amp;Q4234&amp;AS[[#This Row],[Large Provider Entity Code]]&amp;"; "&amp;R4234&amp;AS[[#This Row],[Age Band Code]]&amp;"; "&amp;S4234&amp;AS[[#This Row],[Sex Code]]</f>
        <v xml:space="preserve">Insurer Code ; Reporting Year ; Insurance Category Code ; Large Provider Entity Code ; Age Band Code ; Sex Code </v>
      </c>
      <c r="N4234" s="345" t="s">
        <v>207</v>
      </c>
      <c r="O4234" s="345" t="s">
        <v>208</v>
      </c>
      <c r="P4234" s="345" t="s">
        <v>209</v>
      </c>
      <c r="Q4234" s="345" t="s">
        <v>210</v>
      </c>
      <c r="R4234" s="345" t="s">
        <v>223</v>
      </c>
      <c r="S4234" s="345" t="s">
        <v>224</v>
      </c>
    </row>
    <row r="4235" spans="1:19" x14ac:dyDescent="0.25">
      <c r="A4235" s="311"/>
      <c r="B4235" s="312"/>
      <c r="C4235" s="312"/>
      <c r="D4235" s="312"/>
      <c r="E4235" s="312"/>
      <c r="F4235" s="312"/>
      <c r="G4235" s="328"/>
      <c r="H4235" s="337"/>
      <c r="I4235" s="334"/>
      <c r="J4235" s="314"/>
      <c r="K4235" s="449"/>
      <c r="M4235" s="349" t="str">
        <f>N4235&amp;AS[[#This Row],[Insurer Code]]&amp;"; "&amp;O4235&amp;AS[[#This Row],[Reporting Year]]&amp;"; "&amp;P4235&amp;AS[[#This Row],[Insurance Category Code]]&amp;"; "&amp;Q4235&amp;AS[[#This Row],[Large Provider Entity Code]]&amp;"; "&amp;R4235&amp;AS[[#This Row],[Age Band Code]]&amp;"; "&amp;S4235&amp;AS[[#This Row],[Sex Code]]</f>
        <v xml:space="preserve">Insurer Code ; Reporting Year ; Insurance Category Code ; Large Provider Entity Code ; Age Band Code ; Sex Code </v>
      </c>
      <c r="N4235" s="345" t="s">
        <v>207</v>
      </c>
      <c r="O4235" s="345" t="s">
        <v>208</v>
      </c>
      <c r="P4235" s="345" t="s">
        <v>209</v>
      </c>
      <c r="Q4235" s="345" t="s">
        <v>210</v>
      </c>
      <c r="R4235" s="345" t="s">
        <v>223</v>
      </c>
      <c r="S4235" s="345" t="s">
        <v>224</v>
      </c>
    </row>
    <row r="4236" spans="1:19" x14ac:dyDescent="0.25">
      <c r="A4236" s="311"/>
      <c r="B4236" s="312"/>
      <c r="C4236" s="312"/>
      <c r="D4236" s="312"/>
      <c r="E4236" s="312"/>
      <c r="F4236" s="312"/>
      <c r="G4236" s="328"/>
      <c r="H4236" s="337"/>
      <c r="I4236" s="334"/>
      <c r="J4236" s="314"/>
      <c r="K4236" s="449"/>
      <c r="M4236" s="349" t="str">
        <f>N4236&amp;AS[[#This Row],[Insurer Code]]&amp;"; "&amp;O4236&amp;AS[[#This Row],[Reporting Year]]&amp;"; "&amp;P4236&amp;AS[[#This Row],[Insurance Category Code]]&amp;"; "&amp;Q4236&amp;AS[[#This Row],[Large Provider Entity Code]]&amp;"; "&amp;R4236&amp;AS[[#This Row],[Age Band Code]]&amp;"; "&amp;S4236&amp;AS[[#This Row],[Sex Code]]</f>
        <v xml:space="preserve">Insurer Code ; Reporting Year ; Insurance Category Code ; Large Provider Entity Code ; Age Band Code ; Sex Code </v>
      </c>
      <c r="N4236" s="345" t="s">
        <v>207</v>
      </c>
      <c r="O4236" s="345" t="s">
        <v>208</v>
      </c>
      <c r="P4236" s="345" t="s">
        <v>209</v>
      </c>
      <c r="Q4236" s="345" t="s">
        <v>210</v>
      </c>
      <c r="R4236" s="345" t="s">
        <v>223</v>
      </c>
      <c r="S4236" s="345" t="s">
        <v>224</v>
      </c>
    </row>
    <row r="4237" spans="1:19" x14ac:dyDescent="0.25">
      <c r="A4237" s="311"/>
      <c r="B4237" s="312"/>
      <c r="C4237" s="312"/>
      <c r="D4237" s="312"/>
      <c r="E4237" s="312"/>
      <c r="F4237" s="312"/>
      <c r="G4237" s="328"/>
      <c r="H4237" s="337"/>
      <c r="I4237" s="334"/>
      <c r="J4237" s="314"/>
      <c r="K4237" s="449"/>
      <c r="M4237" s="349" t="str">
        <f>N4237&amp;AS[[#This Row],[Insurer Code]]&amp;"; "&amp;O4237&amp;AS[[#This Row],[Reporting Year]]&amp;"; "&amp;P4237&amp;AS[[#This Row],[Insurance Category Code]]&amp;"; "&amp;Q4237&amp;AS[[#This Row],[Large Provider Entity Code]]&amp;"; "&amp;R4237&amp;AS[[#This Row],[Age Band Code]]&amp;"; "&amp;S4237&amp;AS[[#This Row],[Sex Code]]</f>
        <v xml:space="preserve">Insurer Code ; Reporting Year ; Insurance Category Code ; Large Provider Entity Code ; Age Band Code ; Sex Code </v>
      </c>
      <c r="N4237" s="345" t="s">
        <v>207</v>
      </c>
      <c r="O4237" s="345" t="s">
        <v>208</v>
      </c>
      <c r="P4237" s="345" t="s">
        <v>209</v>
      </c>
      <c r="Q4237" s="345" t="s">
        <v>210</v>
      </c>
      <c r="R4237" s="345" t="s">
        <v>223</v>
      </c>
      <c r="S4237" s="345" t="s">
        <v>224</v>
      </c>
    </row>
    <row r="4238" spans="1:19" x14ac:dyDescent="0.25">
      <c r="A4238" s="311"/>
      <c r="B4238" s="312"/>
      <c r="C4238" s="312"/>
      <c r="D4238" s="312"/>
      <c r="E4238" s="312"/>
      <c r="F4238" s="312"/>
      <c r="G4238" s="328"/>
      <c r="H4238" s="337"/>
      <c r="I4238" s="334"/>
      <c r="J4238" s="314"/>
      <c r="K4238" s="449"/>
      <c r="M4238" s="349" t="str">
        <f>N4238&amp;AS[[#This Row],[Insurer Code]]&amp;"; "&amp;O4238&amp;AS[[#This Row],[Reporting Year]]&amp;"; "&amp;P4238&amp;AS[[#This Row],[Insurance Category Code]]&amp;"; "&amp;Q4238&amp;AS[[#This Row],[Large Provider Entity Code]]&amp;"; "&amp;R4238&amp;AS[[#This Row],[Age Band Code]]&amp;"; "&amp;S4238&amp;AS[[#This Row],[Sex Code]]</f>
        <v xml:space="preserve">Insurer Code ; Reporting Year ; Insurance Category Code ; Large Provider Entity Code ; Age Band Code ; Sex Code </v>
      </c>
      <c r="N4238" s="345" t="s">
        <v>207</v>
      </c>
      <c r="O4238" s="345" t="s">
        <v>208</v>
      </c>
      <c r="P4238" s="345" t="s">
        <v>209</v>
      </c>
      <c r="Q4238" s="345" t="s">
        <v>210</v>
      </c>
      <c r="R4238" s="345" t="s">
        <v>223</v>
      </c>
      <c r="S4238" s="345" t="s">
        <v>224</v>
      </c>
    </row>
    <row r="4239" spans="1:19" x14ac:dyDescent="0.25">
      <c r="A4239" s="311"/>
      <c r="B4239" s="312"/>
      <c r="C4239" s="312"/>
      <c r="D4239" s="312"/>
      <c r="E4239" s="312"/>
      <c r="F4239" s="312"/>
      <c r="G4239" s="328"/>
      <c r="H4239" s="337"/>
      <c r="I4239" s="334"/>
      <c r="J4239" s="314"/>
      <c r="K4239" s="449"/>
      <c r="M4239" s="349" t="str">
        <f>N4239&amp;AS[[#This Row],[Insurer Code]]&amp;"; "&amp;O4239&amp;AS[[#This Row],[Reporting Year]]&amp;"; "&amp;P4239&amp;AS[[#This Row],[Insurance Category Code]]&amp;"; "&amp;Q4239&amp;AS[[#This Row],[Large Provider Entity Code]]&amp;"; "&amp;R4239&amp;AS[[#This Row],[Age Band Code]]&amp;"; "&amp;S4239&amp;AS[[#This Row],[Sex Code]]</f>
        <v xml:space="preserve">Insurer Code ; Reporting Year ; Insurance Category Code ; Large Provider Entity Code ; Age Band Code ; Sex Code </v>
      </c>
      <c r="N4239" s="345" t="s">
        <v>207</v>
      </c>
      <c r="O4239" s="345" t="s">
        <v>208</v>
      </c>
      <c r="P4239" s="345" t="s">
        <v>209</v>
      </c>
      <c r="Q4239" s="345" t="s">
        <v>210</v>
      </c>
      <c r="R4239" s="345" t="s">
        <v>223</v>
      </c>
      <c r="S4239" s="345" t="s">
        <v>224</v>
      </c>
    </row>
    <row r="4240" spans="1:19" x14ac:dyDescent="0.25">
      <c r="A4240" s="311"/>
      <c r="B4240" s="312"/>
      <c r="C4240" s="312"/>
      <c r="D4240" s="312"/>
      <c r="E4240" s="312"/>
      <c r="F4240" s="312"/>
      <c r="G4240" s="328"/>
      <c r="H4240" s="337"/>
      <c r="I4240" s="334"/>
      <c r="J4240" s="314"/>
      <c r="K4240" s="449"/>
      <c r="M4240" s="349" t="str">
        <f>N4240&amp;AS[[#This Row],[Insurer Code]]&amp;"; "&amp;O4240&amp;AS[[#This Row],[Reporting Year]]&amp;"; "&amp;P4240&amp;AS[[#This Row],[Insurance Category Code]]&amp;"; "&amp;Q4240&amp;AS[[#This Row],[Large Provider Entity Code]]&amp;"; "&amp;R4240&amp;AS[[#This Row],[Age Band Code]]&amp;"; "&amp;S4240&amp;AS[[#This Row],[Sex Code]]</f>
        <v xml:space="preserve">Insurer Code ; Reporting Year ; Insurance Category Code ; Large Provider Entity Code ; Age Band Code ; Sex Code </v>
      </c>
      <c r="N4240" s="345" t="s">
        <v>207</v>
      </c>
      <c r="O4240" s="345" t="s">
        <v>208</v>
      </c>
      <c r="P4240" s="345" t="s">
        <v>209</v>
      </c>
      <c r="Q4240" s="345" t="s">
        <v>210</v>
      </c>
      <c r="R4240" s="345" t="s">
        <v>223</v>
      </c>
      <c r="S4240" s="345" t="s">
        <v>224</v>
      </c>
    </row>
    <row r="4241" spans="1:19" x14ac:dyDescent="0.25">
      <c r="A4241" s="311"/>
      <c r="B4241" s="312"/>
      <c r="C4241" s="312"/>
      <c r="D4241" s="312"/>
      <c r="E4241" s="312"/>
      <c r="F4241" s="312"/>
      <c r="G4241" s="328"/>
      <c r="H4241" s="337"/>
      <c r="I4241" s="334"/>
      <c r="J4241" s="314"/>
      <c r="K4241" s="449"/>
      <c r="M4241" s="349" t="str">
        <f>N4241&amp;AS[[#This Row],[Insurer Code]]&amp;"; "&amp;O4241&amp;AS[[#This Row],[Reporting Year]]&amp;"; "&amp;P4241&amp;AS[[#This Row],[Insurance Category Code]]&amp;"; "&amp;Q4241&amp;AS[[#This Row],[Large Provider Entity Code]]&amp;"; "&amp;R4241&amp;AS[[#This Row],[Age Band Code]]&amp;"; "&amp;S4241&amp;AS[[#This Row],[Sex Code]]</f>
        <v xml:space="preserve">Insurer Code ; Reporting Year ; Insurance Category Code ; Large Provider Entity Code ; Age Band Code ; Sex Code </v>
      </c>
      <c r="N4241" s="345" t="s">
        <v>207</v>
      </c>
      <c r="O4241" s="345" t="s">
        <v>208</v>
      </c>
      <c r="P4241" s="345" t="s">
        <v>209</v>
      </c>
      <c r="Q4241" s="345" t="s">
        <v>210</v>
      </c>
      <c r="R4241" s="345" t="s">
        <v>223</v>
      </c>
      <c r="S4241" s="345" t="s">
        <v>224</v>
      </c>
    </row>
    <row r="4242" spans="1:19" x14ac:dyDescent="0.25">
      <c r="A4242" s="311"/>
      <c r="B4242" s="312"/>
      <c r="C4242" s="312"/>
      <c r="D4242" s="312"/>
      <c r="E4242" s="312"/>
      <c r="F4242" s="312"/>
      <c r="G4242" s="328"/>
      <c r="H4242" s="337"/>
      <c r="I4242" s="334"/>
      <c r="J4242" s="314"/>
      <c r="K4242" s="449"/>
      <c r="M4242" s="349" t="str">
        <f>N4242&amp;AS[[#This Row],[Insurer Code]]&amp;"; "&amp;O4242&amp;AS[[#This Row],[Reporting Year]]&amp;"; "&amp;P4242&amp;AS[[#This Row],[Insurance Category Code]]&amp;"; "&amp;Q4242&amp;AS[[#This Row],[Large Provider Entity Code]]&amp;"; "&amp;R4242&amp;AS[[#This Row],[Age Band Code]]&amp;"; "&amp;S4242&amp;AS[[#This Row],[Sex Code]]</f>
        <v xml:space="preserve">Insurer Code ; Reporting Year ; Insurance Category Code ; Large Provider Entity Code ; Age Band Code ; Sex Code </v>
      </c>
      <c r="N4242" s="345" t="s">
        <v>207</v>
      </c>
      <c r="O4242" s="345" t="s">
        <v>208</v>
      </c>
      <c r="P4242" s="345" t="s">
        <v>209</v>
      </c>
      <c r="Q4242" s="345" t="s">
        <v>210</v>
      </c>
      <c r="R4242" s="345" t="s">
        <v>223</v>
      </c>
      <c r="S4242" s="345" t="s">
        <v>224</v>
      </c>
    </row>
    <row r="4243" spans="1:19" x14ac:dyDescent="0.25">
      <c r="A4243" s="311"/>
      <c r="B4243" s="312"/>
      <c r="C4243" s="312"/>
      <c r="D4243" s="312"/>
      <c r="E4243" s="312"/>
      <c r="F4243" s="312"/>
      <c r="G4243" s="328"/>
      <c r="H4243" s="337"/>
      <c r="I4243" s="334"/>
      <c r="J4243" s="314"/>
      <c r="K4243" s="449"/>
      <c r="M4243" s="349" t="str">
        <f>N4243&amp;AS[[#This Row],[Insurer Code]]&amp;"; "&amp;O4243&amp;AS[[#This Row],[Reporting Year]]&amp;"; "&amp;P4243&amp;AS[[#This Row],[Insurance Category Code]]&amp;"; "&amp;Q4243&amp;AS[[#This Row],[Large Provider Entity Code]]&amp;"; "&amp;R4243&amp;AS[[#This Row],[Age Band Code]]&amp;"; "&amp;S4243&amp;AS[[#This Row],[Sex Code]]</f>
        <v xml:space="preserve">Insurer Code ; Reporting Year ; Insurance Category Code ; Large Provider Entity Code ; Age Band Code ; Sex Code </v>
      </c>
      <c r="N4243" s="345" t="s">
        <v>207</v>
      </c>
      <c r="O4243" s="345" t="s">
        <v>208</v>
      </c>
      <c r="P4243" s="345" t="s">
        <v>209</v>
      </c>
      <c r="Q4243" s="345" t="s">
        <v>210</v>
      </c>
      <c r="R4243" s="345" t="s">
        <v>223</v>
      </c>
      <c r="S4243" s="345" t="s">
        <v>224</v>
      </c>
    </row>
    <row r="4244" spans="1:19" x14ac:dyDescent="0.25">
      <c r="A4244" s="311"/>
      <c r="B4244" s="312"/>
      <c r="C4244" s="312"/>
      <c r="D4244" s="312"/>
      <c r="E4244" s="312"/>
      <c r="F4244" s="312"/>
      <c r="G4244" s="328"/>
      <c r="H4244" s="337"/>
      <c r="I4244" s="334"/>
      <c r="J4244" s="314"/>
      <c r="K4244" s="449"/>
      <c r="M4244" s="349" t="str">
        <f>N4244&amp;AS[[#This Row],[Insurer Code]]&amp;"; "&amp;O4244&amp;AS[[#This Row],[Reporting Year]]&amp;"; "&amp;P4244&amp;AS[[#This Row],[Insurance Category Code]]&amp;"; "&amp;Q4244&amp;AS[[#This Row],[Large Provider Entity Code]]&amp;"; "&amp;R4244&amp;AS[[#This Row],[Age Band Code]]&amp;"; "&amp;S4244&amp;AS[[#This Row],[Sex Code]]</f>
        <v xml:space="preserve">Insurer Code ; Reporting Year ; Insurance Category Code ; Large Provider Entity Code ; Age Band Code ; Sex Code </v>
      </c>
      <c r="N4244" s="345" t="s">
        <v>207</v>
      </c>
      <c r="O4244" s="345" t="s">
        <v>208</v>
      </c>
      <c r="P4244" s="345" t="s">
        <v>209</v>
      </c>
      <c r="Q4244" s="345" t="s">
        <v>210</v>
      </c>
      <c r="R4244" s="345" t="s">
        <v>223</v>
      </c>
      <c r="S4244" s="345" t="s">
        <v>224</v>
      </c>
    </row>
    <row r="4245" spans="1:19" x14ac:dyDescent="0.25">
      <c r="A4245" s="311"/>
      <c r="B4245" s="312"/>
      <c r="C4245" s="312"/>
      <c r="D4245" s="312"/>
      <c r="E4245" s="312"/>
      <c r="F4245" s="312"/>
      <c r="G4245" s="328"/>
      <c r="H4245" s="337"/>
      <c r="I4245" s="334"/>
      <c r="J4245" s="314"/>
      <c r="K4245" s="449"/>
      <c r="M4245" s="349" t="str">
        <f>N4245&amp;AS[[#This Row],[Insurer Code]]&amp;"; "&amp;O4245&amp;AS[[#This Row],[Reporting Year]]&amp;"; "&amp;P4245&amp;AS[[#This Row],[Insurance Category Code]]&amp;"; "&amp;Q4245&amp;AS[[#This Row],[Large Provider Entity Code]]&amp;"; "&amp;R4245&amp;AS[[#This Row],[Age Band Code]]&amp;"; "&amp;S4245&amp;AS[[#This Row],[Sex Code]]</f>
        <v xml:space="preserve">Insurer Code ; Reporting Year ; Insurance Category Code ; Large Provider Entity Code ; Age Band Code ; Sex Code </v>
      </c>
      <c r="N4245" s="345" t="s">
        <v>207</v>
      </c>
      <c r="O4245" s="345" t="s">
        <v>208</v>
      </c>
      <c r="P4245" s="345" t="s">
        <v>209</v>
      </c>
      <c r="Q4245" s="345" t="s">
        <v>210</v>
      </c>
      <c r="R4245" s="345" t="s">
        <v>223</v>
      </c>
      <c r="S4245" s="345" t="s">
        <v>224</v>
      </c>
    </row>
    <row r="4246" spans="1:19" x14ac:dyDescent="0.25">
      <c r="A4246" s="311"/>
      <c r="B4246" s="312"/>
      <c r="C4246" s="312"/>
      <c r="D4246" s="312"/>
      <c r="E4246" s="312"/>
      <c r="F4246" s="312"/>
      <c r="G4246" s="328"/>
      <c r="H4246" s="337"/>
      <c r="I4246" s="334"/>
      <c r="J4246" s="314"/>
      <c r="K4246" s="449"/>
      <c r="M4246" s="349" t="str">
        <f>N4246&amp;AS[[#This Row],[Insurer Code]]&amp;"; "&amp;O4246&amp;AS[[#This Row],[Reporting Year]]&amp;"; "&amp;P4246&amp;AS[[#This Row],[Insurance Category Code]]&amp;"; "&amp;Q4246&amp;AS[[#This Row],[Large Provider Entity Code]]&amp;"; "&amp;R4246&amp;AS[[#This Row],[Age Band Code]]&amp;"; "&amp;S4246&amp;AS[[#This Row],[Sex Code]]</f>
        <v xml:space="preserve">Insurer Code ; Reporting Year ; Insurance Category Code ; Large Provider Entity Code ; Age Band Code ; Sex Code </v>
      </c>
      <c r="N4246" s="345" t="s">
        <v>207</v>
      </c>
      <c r="O4246" s="345" t="s">
        <v>208</v>
      </c>
      <c r="P4246" s="345" t="s">
        <v>209</v>
      </c>
      <c r="Q4246" s="345" t="s">
        <v>210</v>
      </c>
      <c r="R4246" s="345" t="s">
        <v>223</v>
      </c>
      <c r="S4246" s="345" t="s">
        <v>224</v>
      </c>
    </row>
    <row r="4247" spans="1:19" x14ac:dyDescent="0.25">
      <c r="A4247" s="311"/>
      <c r="B4247" s="312"/>
      <c r="C4247" s="312"/>
      <c r="D4247" s="312"/>
      <c r="E4247" s="312"/>
      <c r="F4247" s="312"/>
      <c r="G4247" s="328"/>
      <c r="H4247" s="337"/>
      <c r="I4247" s="334"/>
      <c r="J4247" s="314"/>
      <c r="K4247" s="449"/>
      <c r="M4247" s="349" t="str">
        <f>N4247&amp;AS[[#This Row],[Insurer Code]]&amp;"; "&amp;O4247&amp;AS[[#This Row],[Reporting Year]]&amp;"; "&amp;P4247&amp;AS[[#This Row],[Insurance Category Code]]&amp;"; "&amp;Q4247&amp;AS[[#This Row],[Large Provider Entity Code]]&amp;"; "&amp;R4247&amp;AS[[#This Row],[Age Band Code]]&amp;"; "&amp;S4247&amp;AS[[#This Row],[Sex Code]]</f>
        <v xml:space="preserve">Insurer Code ; Reporting Year ; Insurance Category Code ; Large Provider Entity Code ; Age Band Code ; Sex Code </v>
      </c>
      <c r="N4247" s="345" t="s">
        <v>207</v>
      </c>
      <c r="O4247" s="345" t="s">
        <v>208</v>
      </c>
      <c r="P4247" s="345" t="s">
        <v>209</v>
      </c>
      <c r="Q4247" s="345" t="s">
        <v>210</v>
      </c>
      <c r="R4247" s="345" t="s">
        <v>223</v>
      </c>
      <c r="S4247" s="345" t="s">
        <v>224</v>
      </c>
    </row>
    <row r="4248" spans="1:19" x14ac:dyDescent="0.25">
      <c r="A4248" s="311"/>
      <c r="B4248" s="312"/>
      <c r="C4248" s="312"/>
      <c r="D4248" s="312"/>
      <c r="E4248" s="312"/>
      <c r="F4248" s="312"/>
      <c r="G4248" s="328"/>
      <c r="H4248" s="337"/>
      <c r="I4248" s="334"/>
      <c r="J4248" s="314"/>
      <c r="K4248" s="449"/>
      <c r="M4248" s="349" t="str">
        <f>N4248&amp;AS[[#This Row],[Insurer Code]]&amp;"; "&amp;O4248&amp;AS[[#This Row],[Reporting Year]]&amp;"; "&amp;P4248&amp;AS[[#This Row],[Insurance Category Code]]&amp;"; "&amp;Q4248&amp;AS[[#This Row],[Large Provider Entity Code]]&amp;"; "&amp;R4248&amp;AS[[#This Row],[Age Band Code]]&amp;"; "&amp;S4248&amp;AS[[#This Row],[Sex Code]]</f>
        <v xml:space="preserve">Insurer Code ; Reporting Year ; Insurance Category Code ; Large Provider Entity Code ; Age Band Code ; Sex Code </v>
      </c>
      <c r="N4248" s="345" t="s">
        <v>207</v>
      </c>
      <c r="O4248" s="345" t="s">
        <v>208</v>
      </c>
      <c r="P4248" s="345" t="s">
        <v>209</v>
      </c>
      <c r="Q4248" s="345" t="s">
        <v>210</v>
      </c>
      <c r="R4248" s="345" t="s">
        <v>223</v>
      </c>
      <c r="S4248" s="345" t="s">
        <v>224</v>
      </c>
    </row>
    <row r="4249" spans="1:19" x14ac:dyDescent="0.25">
      <c r="A4249" s="311"/>
      <c r="B4249" s="312"/>
      <c r="C4249" s="312"/>
      <c r="D4249" s="312"/>
      <c r="E4249" s="312"/>
      <c r="F4249" s="312"/>
      <c r="G4249" s="328"/>
      <c r="H4249" s="337"/>
      <c r="I4249" s="334"/>
      <c r="J4249" s="314"/>
      <c r="K4249" s="449"/>
      <c r="M4249" s="349" t="str">
        <f>N4249&amp;AS[[#This Row],[Insurer Code]]&amp;"; "&amp;O4249&amp;AS[[#This Row],[Reporting Year]]&amp;"; "&amp;P4249&amp;AS[[#This Row],[Insurance Category Code]]&amp;"; "&amp;Q4249&amp;AS[[#This Row],[Large Provider Entity Code]]&amp;"; "&amp;R4249&amp;AS[[#This Row],[Age Band Code]]&amp;"; "&amp;S4249&amp;AS[[#This Row],[Sex Code]]</f>
        <v xml:space="preserve">Insurer Code ; Reporting Year ; Insurance Category Code ; Large Provider Entity Code ; Age Band Code ; Sex Code </v>
      </c>
      <c r="N4249" s="345" t="s">
        <v>207</v>
      </c>
      <c r="O4249" s="345" t="s">
        <v>208</v>
      </c>
      <c r="P4249" s="345" t="s">
        <v>209</v>
      </c>
      <c r="Q4249" s="345" t="s">
        <v>210</v>
      </c>
      <c r="R4249" s="345" t="s">
        <v>223</v>
      </c>
      <c r="S4249" s="345" t="s">
        <v>224</v>
      </c>
    </row>
    <row r="4250" spans="1:19" x14ac:dyDescent="0.25">
      <c r="A4250" s="311"/>
      <c r="B4250" s="312"/>
      <c r="C4250" s="312"/>
      <c r="D4250" s="312"/>
      <c r="E4250" s="312"/>
      <c r="F4250" s="312"/>
      <c r="G4250" s="328"/>
      <c r="H4250" s="337"/>
      <c r="I4250" s="334"/>
      <c r="J4250" s="314"/>
      <c r="K4250" s="449"/>
      <c r="M4250" s="349" t="str">
        <f>N4250&amp;AS[[#This Row],[Insurer Code]]&amp;"; "&amp;O4250&amp;AS[[#This Row],[Reporting Year]]&amp;"; "&amp;P4250&amp;AS[[#This Row],[Insurance Category Code]]&amp;"; "&amp;Q4250&amp;AS[[#This Row],[Large Provider Entity Code]]&amp;"; "&amp;R4250&amp;AS[[#This Row],[Age Band Code]]&amp;"; "&amp;S4250&amp;AS[[#This Row],[Sex Code]]</f>
        <v xml:space="preserve">Insurer Code ; Reporting Year ; Insurance Category Code ; Large Provider Entity Code ; Age Band Code ; Sex Code </v>
      </c>
      <c r="N4250" s="345" t="s">
        <v>207</v>
      </c>
      <c r="O4250" s="345" t="s">
        <v>208</v>
      </c>
      <c r="P4250" s="345" t="s">
        <v>209</v>
      </c>
      <c r="Q4250" s="345" t="s">
        <v>210</v>
      </c>
      <c r="R4250" s="345" t="s">
        <v>223</v>
      </c>
      <c r="S4250" s="345" t="s">
        <v>224</v>
      </c>
    </row>
    <row r="4251" spans="1:19" x14ac:dyDescent="0.25">
      <c r="A4251" s="311"/>
      <c r="B4251" s="312"/>
      <c r="C4251" s="312"/>
      <c r="D4251" s="312"/>
      <c r="E4251" s="312"/>
      <c r="F4251" s="312"/>
      <c r="G4251" s="328"/>
      <c r="H4251" s="337"/>
      <c r="I4251" s="334"/>
      <c r="J4251" s="314"/>
      <c r="K4251" s="449"/>
      <c r="M4251" s="349" t="str">
        <f>N4251&amp;AS[[#This Row],[Insurer Code]]&amp;"; "&amp;O4251&amp;AS[[#This Row],[Reporting Year]]&amp;"; "&amp;P4251&amp;AS[[#This Row],[Insurance Category Code]]&amp;"; "&amp;Q4251&amp;AS[[#This Row],[Large Provider Entity Code]]&amp;"; "&amp;R4251&amp;AS[[#This Row],[Age Band Code]]&amp;"; "&amp;S4251&amp;AS[[#This Row],[Sex Code]]</f>
        <v xml:space="preserve">Insurer Code ; Reporting Year ; Insurance Category Code ; Large Provider Entity Code ; Age Band Code ; Sex Code </v>
      </c>
      <c r="N4251" s="345" t="s">
        <v>207</v>
      </c>
      <c r="O4251" s="345" t="s">
        <v>208</v>
      </c>
      <c r="P4251" s="345" t="s">
        <v>209</v>
      </c>
      <c r="Q4251" s="345" t="s">
        <v>210</v>
      </c>
      <c r="R4251" s="345" t="s">
        <v>223</v>
      </c>
      <c r="S4251" s="345" t="s">
        <v>224</v>
      </c>
    </row>
    <row r="4252" spans="1:19" x14ac:dyDescent="0.25">
      <c r="A4252" s="311"/>
      <c r="B4252" s="312"/>
      <c r="C4252" s="312"/>
      <c r="D4252" s="312"/>
      <c r="E4252" s="312"/>
      <c r="F4252" s="312"/>
      <c r="G4252" s="328"/>
      <c r="H4252" s="337"/>
      <c r="I4252" s="334"/>
      <c r="J4252" s="314"/>
      <c r="K4252" s="449"/>
      <c r="M4252" s="349" t="str">
        <f>N4252&amp;AS[[#This Row],[Insurer Code]]&amp;"; "&amp;O4252&amp;AS[[#This Row],[Reporting Year]]&amp;"; "&amp;P4252&amp;AS[[#This Row],[Insurance Category Code]]&amp;"; "&amp;Q4252&amp;AS[[#This Row],[Large Provider Entity Code]]&amp;"; "&amp;R4252&amp;AS[[#This Row],[Age Band Code]]&amp;"; "&amp;S4252&amp;AS[[#This Row],[Sex Code]]</f>
        <v xml:space="preserve">Insurer Code ; Reporting Year ; Insurance Category Code ; Large Provider Entity Code ; Age Band Code ; Sex Code </v>
      </c>
      <c r="N4252" s="345" t="s">
        <v>207</v>
      </c>
      <c r="O4252" s="345" t="s">
        <v>208</v>
      </c>
      <c r="P4252" s="345" t="s">
        <v>209</v>
      </c>
      <c r="Q4252" s="345" t="s">
        <v>210</v>
      </c>
      <c r="R4252" s="345" t="s">
        <v>223</v>
      </c>
      <c r="S4252" s="345" t="s">
        <v>224</v>
      </c>
    </row>
    <row r="4253" spans="1:19" x14ac:dyDescent="0.25">
      <c r="A4253" s="311"/>
      <c r="B4253" s="312"/>
      <c r="C4253" s="312"/>
      <c r="D4253" s="312"/>
      <c r="E4253" s="312"/>
      <c r="F4253" s="312"/>
      <c r="G4253" s="328"/>
      <c r="H4253" s="337"/>
      <c r="I4253" s="334"/>
      <c r="J4253" s="314"/>
      <c r="K4253" s="449"/>
      <c r="M4253" s="349" t="str">
        <f>N4253&amp;AS[[#This Row],[Insurer Code]]&amp;"; "&amp;O4253&amp;AS[[#This Row],[Reporting Year]]&amp;"; "&amp;P4253&amp;AS[[#This Row],[Insurance Category Code]]&amp;"; "&amp;Q4253&amp;AS[[#This Row],[Large Provider Entity Code]]&amp;"; "&amp;R4253&amp;AS[[#This Row],[Age Band Code]]&amp;"; "&amp;S4253&amp;AS[[#This Row],[Sex Code]]</f>
        <v xml:space="preserve">Insurer Code ; Reporting Year ; Insurance Category Code ; Large Provider Entity Code ; Age Band Code ; Sex Code </v>
      </c>
      <c r="N4253" s="345" t="s">
        <v>207</v>
      </c>
      <c r="O4253" s="345" t="s">
        <v>208</v>
      </c>
      <c r="P4253" s="345" t="s">
        <v>209</v>
      </c>
      <c r="Q4253" s="345" t="s">
        <v>210</v>
      </c>
      <c r="R4253" s="345" t="s">
        <v>223</v>
      </c>
      <c r="S4253" s="345" t="s">
        <v>224</v>
      </c>
    </row>
    <row r="4254" spans="1:19" x14ac:dyDescent="0.25">
      <c r="A4254" s="311"/>
      <c r="B4254" s="312"/>
      <c r="C4254" s="312"/>
      <c r="D4254" s="312"/>
      <c r="E4254" s="312"/>
      <c r="F4254" s="312"/>
      <c r="G4254" s="328"/>
      <c r="H4254" s="337"/>
      <c r="I4254" s="334"/>
      <c r="J4254" s="314"/>
      <c r="K4254" s="449"/>
      <c r="M4254" s="349" t="str">
        <f>N4254&amp;AS[[#This Row],[Insurer Code]]&amp;"; "&amp;O4254&amp;AS[[#This Row],[Reporting Year]]&amp;"; "&amp;P4254&amp;AS[[#This Row],[Insurance Category Code]]&amp;"; "&amp;Q4254&amp;AS[[#This Row],[Large Provider Entity Code]]&amp;"; "&amp;R4254&amp;AS[[#This Row],[Age Band Code]]&amp;"; "&amp;S4254&amp;AS[[#This Row],[Sex Code]]</f>
        <v xml:space="preserve">Insurer Code ; Reporting Year ; Insurance Category Code ; Large Provider Entity Code ; Age Band Code ; Sex Code </v>
      </c>
      <c r="N4254" s="345" t="s">
        <v>207</v>
      </c>
      <c r="O4254" s="345" t="s">
        <v>208</v>
      </c>
      <c r="P4254" s="345" t="s">
        <v>209</v>
      </c>
      <c r="Q4254" s="345" t="s">
        <v>210</v>
      </c>
      <c r="R4254" s="345" t="s">
        <v>223</v>
      </c>
      <c r="S4254" s="345" t="s">
        <v>224</v>
      </c>
    </row>
    <row r="4255" spans="1:19" x14ac:dyDescent="0.25">
      <c r="A4255" s="311"/>
      <c r="B4255" s="312"/>
      <c r="C4255" s="312"/>
      <c r="D4255" s="312"/>
      <c r="E4255" s="312"/>
      <c r="F4255" s="312"/>
      <c r="G4255" s="328"/>
      <c r="H4255" s="337"/>
      <c r="I4255" s="334"/>
      <c r="J4255" s="314"/>
      <c r="K4255" s="449"/>
      <c r="M4255" s="349" t="str">
        <f>N4255&amp;AS[[#This Row],[Insurer Code]]&amp;"; "&amp;O4255&amp;AS[[#This Row],[Reporting Year]]&amp;"; "&amp;P4255&amp;AS[[#This Row],[Insurance Category Code]]&amp;"; "&amp;Q4255&amp;AS[[#This Row],[Large Provider Entity Code]]&amp;"; "&amp;R4255&amp;AS[[#This Row],[Age Band Code]]&amp;"; "&amp;S4255&amp;AS[[#This Row],[Sex Code]]</f>
        <v xml:space="preserve">Insurer Code ; Reporting Year ; Insurance Category Code ; Large Provider Entity Code ; Age Band Code ; Sex Code </v>
      </c>
      <c r="N4255" s="345" t="s">
        <v>207</v>
      </c>
      <c r="O4255" s="345" t="s">
        <v>208</v>
      </c>
      <c r="P4255" s="345" t="s">
        <v>209</v>
      </c>
      <c r="Q4255" s="345" t="s">
        <v>210</v>
      </c>
      <c r="R4255" s="345" t="s">
        <v>223</v>
      </c>
      <c r="S4255" s="345" t="s">
        <v>224</v>
      </c>
    </row>
    <row r="4256" spans="1:19" x14ac:dyDescent="0.25">
      <c r="A4256" s="311"/>
      <c r="B4256" s="312"/>
      <c r="C4256" s="312"/>
      <c r="D4256" s="312"/>
      <c r="E4256" s="312"/>
      <c r="F4256" s="312"/>
      <c r="G4256" s="328"/>
      <c r="H4256" s="337"/>
      <c r="I4256" s="334"/>
      <c r="J4256" s="314"/>
      <c r="K4256" s="449"/>
      <c r="M4256" s="349" t="str">
        <f>N4256&amp;AS[[#This Row],[Insurer Code]]&amp;"; "&amp;O4256&amp;AS[[#This Row],[Reporting Year]]&amp;"; "&amp;P4256&amp;AS[[#This Row],[Insurance Category Code]]&amp;"; "&amp;Q4256&amp;AS[[#This Row],[Large Provider Entity Code]]&amp;"; "&amp;R4256&amp;AS[[#This Row],[Age Band Code]]&amp;"; "&amp;S4256&amp;AS[[#This Row],[Sex Code]]</f>
        <v xml:space="preserve">Insurer Code ; Reporting Year ; Insurance Category Code ; Large Provider Entity Code ; Age Band Code ; Sex Code </v>
      </c>
      <c r="N4256" s="345" t="s">
        <v>207</v>
      </c>
      <c r="O4256" s="345" t="s">
        <v>208</v>
      </c>
      <c r="P4256" s="345" t="s">
        <v>209</v>
      </c>
      <c r="Q4256" s="345" t="s">
        <v>210</v>
      </c>
      <c r="R4256" s="345" t="s">
        <v>223</v>
      </c>
      <c r="S4256" s="345" t="s">
        <v>224</v>
      </c>
    </row>
    <row r="4257" spans="1:19" x14ac:dyDescent="0.25">
      <c r="A4257" s="311"/>
      <c r="B4257" s="312"/>
      <c r="C4257" s="312"/>
      <c r="D4257" s="312"/>
      <c r="E4257" s="312"/>
      <c r="F4257" s="312"/>
      <c r="G4257" s="328"/>
      <c r="H4257" s="337"/>
      <c r="I4257" s="334"/>
      <c r="J4257" s="314"/>
      <c r="K4257" s="449"/>
      <c r="M4257" s="349" t="str">
        <f>N4257&amp;AS[[#This Row],[Insurer Code]]&amp;"; "&amp;O4257&amp;AS[[#This Row],[Reporting Year]]&amp;"; "&amp;P4257&amp;AS[[#This Row],[Insurance Category Code]]&amp;"; "&amp;Q4257&amp;AS[[#This Row],[Large Provider Entity Code]]&amp;"; "&amp;R4257&amp;AS[[#This Row],[Age Band Code]]&amp;"; "&amp;S4257&amp;AS[[#This Row],[Sex Code]]</f>
        <v xml:space="preserve">Insurer Code ; Reporting Year ; Insurance Category Code ; Large Provider Entity Code ; Age Band Code ; Sex Code </v>
      </c>
      <c r="N4257" s="345" t="s">
        <v>207</v>
      </c>
      <c r="O4257" s="345" t="s">
        <v>208</v>
      </c>
      <c r="P4257" s="345" t="s">
        <v>209</v>
      </c>
      <c r="Q4257" s="345" t="s">
        <v>210</v>
      </c>
      <c r="R4257" s="345" t="s">
        <v>223</v>
      </c>
      <c r="S4257" s="345" t="s">
        <v>224</v>
      </c>
    </row>
    <row r="4258" spans="1:19" x14ac:dyDescent="0.25">
      <c r="A4258" s="311"/>
      <c r="B4258" s="312"/>
      <c r="C4258" s="312"/>
      <c r="D4258" s="312"/>
      <c r="E4258" s="312"/>
      <c r="F4258" s="312"/>
      <c r="G4258" s="328"/>
      <c r="H4258" s="337"/>
      <c r="I4258" s="334"/>
      <c r="J4258" s="314"/>
      <c r="K4258" s="449"/>
      <c r="M4258" s="349" t="str">
        <f>N4258&amp;AS[[#This Row],[Insurer Code]]&amp;"; "&amp;O4258&amp;AS[[#This Row],[Reporting Year]]&amp;"; "&amp;P4258&amp;AS[[#This Row],[Insurance Category Code]]&amp;"; "&amp;Q4258&amp;AS[[#This Row],[Large Provider Entity Code]]&amp;"; "&amp;R4258&amp;AS[[#This Row],[Age Band Code]]&amp;"; "&amp;S4258&amp;AS[[#This Row],[Sex Code]]</f>
        <v xml:space="preserve">Insurer Code ; Reporting Year ; Insurance Category Code ; Large Provider Entity Code ; Age Band Code ; Sex Code </v>
      </c>
      <c r="N4258" s="345" t="s">
        <v>207</v>
      </c>
      <c r="O4258" s="345" t="s">
        <v>208</v>
      </c>
      <c r="P4258" s="345" t="s">
        <v>209</v>
      </c>
      <c r="Q4258" s="345" t="s">
        <v>210</v>
      </c>
      <c r="R4258" s="345" t="s">
        <v>223</v>
      </c>
      <c r="S4258" s="345" t="s">
        <v>224</v>
      </c>
    </row>
    <row r="4259" spans="1:19" x14ac:dyDescent="0.25">
      <c r="A4259" s="311"/>
      <c r="B4259" s="312"/>
      <c r="C4259" s="312"/>
      <c r="D4259" s="312"/>
      <c r="E4259" s="312"/>
      <c r="F4259" s="312"/>
      <c r="G4259" s="328"/>
      <c r="H4259" s="337"/>
      <c r="I4259" s="334"/>
      <c r="J4259" s="314"/>
      <c r="K4259" s="449"/>
      <c r="M4259" s="349" t="str">
        <f>N4259&amp;AS[[#This Row],[Insurer Code]]&amp;"; "&amp;O4259&amp;AS[[#This Row],[Reporting Year]]&amp;"; "&amp;P4259&amp;AS[[#This Row],[Insurance Category Code]]&amp;"; "&amp;Q4259&amp;AS[[#This Row],[Large Provider Entity Code]]&amp;"; "&amp;R4259&amp;AS[[#This Row],[Age Band Code]]&amp;"; "&amp;S4259&amp;AS[[#This Row],[Sex Code]]</f>
        <v xml:space="preserve">Insurer Code ; Reporting Year ; Insurance Category Code ; Large Provider Entity Code ; Age Band Code ; Sex Code </v>
      </c>
      <c r="N4259" s="345" t="s">
        <v>207</v>
      </c>
      <c r="O4259" s="345" t="s">
        <v>208</v>
      </c>
      <c r="P4259" s="345" t="s">
        <v>209</v>
      </c>
      <c r="Q4259" s="345" t="s">
        <v>210</v>
      </c>
      <c r="R4259" s="345" t="s">
        <v>223</v>
      </c>
      <c r="S4259" s="345" t="s">
        <v>224</v>
      </c>
    </row>
    <row r="4260" spans="1:19" x14ac:dyDescent="0.25">
      <c r="A4260" s="311"/>
      <c r="B4260" s="312"/>
      <c r="C4260" s="312"/>
      <c r="D4260" s="312"/>
      <c r="E4260" s="312"/>
      <c r="F4260" s="312"/>
      <c r="G4260" s="328"/>
      <c r="H4260" s="337"/>
      <c r="I4260" s="334"/>
      <c r="J4260" s="314"/>
      <c r="K4260" s="449"/>
      <c r="M4260" s="349" t="str">
        <f>N4260&amp;AS[[#This Row],[Insurer Code]]&amp;"; "&amp;O4260&amp;AS[[#This Row],[Reporting Year]]&amp;"; "&amp;P4260&amp;AS[[#This Row],[Insurance Category Code]]&amp;"; "&amp;Q4260&amp;AS[[#This Row],[Large Provider Entity Code]]&amp;"; "&amp;R4260&amp;AS[[#This Row],[Age Band Code]]&amp;"; "&amp;S4260&amp;AS[[#This Row],[Sex Code]]</f>
        <v xml:space="preserve">Insurer Code ; Reporting Year ; Insurance Category Code ; Large Provider Entity Code ; Age Band Code ; Sex Code </v>
      </c>
      <c r="N4260" s="345" t="s">
        <v>207</v>
      </c>
      <c r="O4260" s="345" t="s">
        <v>208</v>
      </c>
      <c r="P4260" s="345" t="s">
        <v>209</v>
      </c>
      <c r="Q4260" s="345" t="s">
        <v>210</v>
      </c>
      <c r="R4260" s="345" t="s">
        <v>223</v>
      </c>
      <c r="S4260" s="345" t="s">
        <v>224</v>
      </c>
    </row>
    <row r="4261" spans="1:19" x14ac:dyDescent="0.25">
      <c r="A4261" s="311"/>
      <c r="B4261" s="312"/>
      <c r="C4261" s="312"/>
      <c r="D4261" s="312"/>
      <c r="E4261" s="312"/>
      <c r="F4261" s="312"/>
      <c r="G4261" s="328"/>
      <c r="H4261" s="337"/>
      <c r="I4261" s="334"/>
      <c r="J4261" s="314"/>
      <c r="K4261" s="449"/>
      <c r="M4261" s="349" t="str">
        <f>N4261&amp;AS[[#This Row],[Insurer Code]]&amp;"; "&amp;O4261&amp;AS[[#This Row],[Reporting Year]]&amp;"; "&amp;P4261&amp;AS[[#This Row],[Insurance Category Code]]&amp;"; "&amp;Q4261&amp;AS[[#This Row],[Large Provider Entity Code]]&amp;"; "&amp;R4261&amp;AS[[#This Row],[Age Band Code]]&amp;"; "&amp;S4261&amp;AS[[#This Row],[Sex Code]]</f>
        <v xml:space="preserve">Insurer Code ; Reporting Year ; Insurance Category Code ; Large Provider Entity Code ; Age Band Code ; Sex Code </v>
      </c>
      <c r="N4261" s="345" t="s">
        <v>207</v>
      </c>
      <c r="O4261" s="345" t="s">
        <v>208</v>
      </c>
      <c r="P4261" s="345" t="s">
        <v>209</v>
      </c>
      <c r="Q4261" s="345" t="s">
        <v>210</v>
      </c>
      <c r="R4261" s="345" t="s">
        <v>223</v>
      </c>
      <c r="S4261" s="345" t="s">
        <v>224</v>
      </c>
    </row>
    <row r="4262" spans="1:19" x14ac:dyDescent="0.25">
      <c r="A4262" s="311"/>
      <c r="B4262" s="312"/>
      <c r="C4262" s="312"/>
      <c r="D4262" s="312"/>
      <c r="E4262" s="312"/>
      <c r="F4262" s="312"/>
      <c r="G4262" s="328"/>
      <c r="H4262" s="337"/>
      <c r="I4262" s="334"/>
      <c r="J4262" s="314"/>
      <c r="K4262" s="449"/>
      <c r="M4262" s="349" t="str">
        <f>N4262&amp;AS[[#This Row],[Insurer Code]]&amp;"; "&amp;O4262&amp;AS[[#This Row],[Reporting Year]]&amp;"; "&amp;P4262&amp;AS[[#This Row],[Insurance Category Code]]&amp;"; "&amp;Q4262&amp;AS[[#This Row],[Large Provider Entity Code]]&amp;"; "&amp;R4262&amp;AS[[#This Row],[Age Band Code]]&amp;"; "&amp;S4262&amp;AS[[#This Row],[Sex Code]]</f>
        <v xml:space="preserve">Insurer Code ; Reporting Year ; Insurance Category Code ; Large Provider Entity Code ; Age Band Code ; Sex Code </v>
      </c>
      <c r="N4262" s="345" t="s">
        <v>207</v>
      </c>
      <c r="O4262" s="345" t="s">
        <v>208</v>
      </c>
      <c r="P4262" s="345" t="s">
        <v>209</v>
      </c>
      <c r="Q4262" s="345" t="s">
        <v>210</v>
      </c>
      <c r="R4262" s="345" t="s">
        <v>223</v>
      </c>
      <c r="S4262" s="345" t="s">
        <v>224</v>
      </c>
    </row>
    <row r="4263" spans="1:19" x14ac:dyDescent="0.25">
      <c r="A4263" s="311"/>
      <c r="B4263" s="312"/>
      <c r="C4263" s="312"/>
      <c r="D4263" s="312"/>
      <c r="E4263" s="312"/>
      <c r="F4263" s="312"/>
      <c r="G4263" s="328"/>
      <c r="H4263" s="337"/>
      <c r="I4263" s="334"/>
      <c r="J4263" s="314"/>
      <c r="K4263" s="449"/>
      <c r="M4263" s="349" t="str">
        <f>N4263&amp;AS[[#This Row],[Insurer Code]]&amp;"; "&amp;O4263&amp;AS[[#This Row],[Reporting Year]]&amp;"; "&amp;P4263&amp;AS[[#This Row],[Insurance Category Code]]&amp;"; "&amp;Q4263&amp;AS[[#This Row],[Large Provider Entity Code]]&amp;"; "&amp;R4263&amp;AS[[#This Row],[Age Band Code]]&amp;"; "&amp;S4263&amp;AS[[#This Row],[Sex Code]]</f>
        <v xml:space="preserve">Insurer Code ; Reporting Year ; Insurance Category Code ; Large Provider Entity Code ; Age Band Code ; Sex Code </v>
      </c>
      <c r="N4263" s="345" t="s">
        <v>207</v>
      </c>
      <c r="O4263" s="345" t="s">
        <v>208</v>
      </c>
      <c r="P4263" s="345" t="s">
        <v>209</v>
      </c>
      <c r="Q4263" s="345" t="s">
        <v>210</v>
      </c>
      <c r="R4263" s="345" t="s">
        <v>223</v>
      </c>
      <c r="S4263" s="345" t="s">
        <v>224</v>
      </c>
    </row>
    <row r="4264" spans="1:19" x14ac:dyDescent="0.25">
      <c r="A4264" s="311"/>
      <c r="B4264" s="312"/>
      <c r="C4264" s="312"/>
      <c r="D4264" s="312"/>
      <c r="E4264" s="312"/>
      <c r="F4264" s="312"/>
      <c r="G4264" s="328"/>
      <c r="H4264" s="337"/>
      <c r="I4264" s="334"/>
      <c r="J4264" s="314"/>
      <c r="K4264" s="449"/>
      <c r="M4264" s="349" t="str">
        <f>N4264&amp;AS[[#This Row],[Insurer Code]]&amp;"; "&amp;O4264&amp;AS[[#This Row],[Reporting Year]]&amp;"; "&amp;P4264&amp;AS[[#This Row],[Insurance Category Code]]&amp;"; "&amp;Q4264&amp;AS[[#This Row],[Large Provider Entity Code]]&amp;"; "&amp;R4264&amp;AS[[#This Row],[Age Band Code]]&amp;"; "&amp;S4264&amp;AS[[#This Row],[Sex Code]]</f>
        <v xml:space="preserve">Insurer Code ; Reporting Year ; Insurance Category Code ; Large Provider Entity Code ; Age Band Code ; Sex Code </v>
      </c>
      <c r="N4264" s="345" t="s">
        <v>207</v>
      </c>
      <c r="O4264" s="345" t="s">
        <v>208</v>
      </c>
      <c r="P4264" s="345" t="s">
        <v>209</v>
      </c>
      <c r="Q4264" s="345" t="s">
        <v>210</v>
      </c>
      <c r="R4264" s="345" t="s">
        <v>223</v>
      </c>
      <c r="S4264" s="345" t="s">
        <v>224</v>
      </c>
    </row>
    <row r="4265" spans="1:19" x14ac:dyDescent="0.25">
      <c r="A4265" s="311"/>
      <c r="B4265" s="312"/>
      <c r="C4265" s="312"/>
      <c r="D4265" s="312"/>
      <c r="E4265" s="312"/>
      <c r="F4265" s="312"/>
      <c r="G4265" s="328"/>
      <c r="H4265" s="337"/>
      <c r="I4265" s="334"/>
      <c r="J4265" s="314"/>
      <c r="K4265" s="449"/>
      <c r="M4265" s="349" t="str">
        <f>N4265&amp;AS[[#This Row],[Insurer Code]]&amp;"; "&amp;O4265&amp;AS[[#This Row],[Reporting Year]]&amp;"; "&amp;P4265&amp;AS[[#This Row],[Insurance Category Code]]&amp;"; "&amp;Q4265&amp;AS[[#This Row],[Large Provider Entity Code]]&amp;"; "&amp;R4265&amp;AS[[#This Row],[Age Band Code]]&amp;"; "&amp;S4265&amp;AS[[#This Row],[Sex Code]]</f>
        <v xml:space="preserve">Insurer Code ; Reporting Year ; Insurance Category Code ; Large Provider Entity Code ; Age Band Code ; Sex Code </v>
      </c>
      <c r="N4265" s="345" t="s">
        <v>207</v>
      </c>
      <c r="O4265" s="345" t="s">
        <v>208</v>
      </c>
      <c r="P4265" s="345" t="s">
        <v>209</v>
      </c>
      <c r="Q4265" s="345" t="s">
        <v>210</v>
      </c>
      <c r="R4265" s="345" t="s">
        <v>223</v>
      </c>
      <c r="S4265" s="345" t="s">
        <v>224</v>
      </c>
    </row>
    <row r="4266" spans="1:19" x14ac:dyDescent="0.25">
      <c r="A4266" s="311"/>
      <c r="B4266" s="312"/>
      <c r="C4266" s="312"/>
      <c r="D4266" s="312"/>
      <c r="E4266" s="312"/>
      <c r="F4266" s="312"/>
      <c r="G4266" s="328"/>
      <c r="H4266" s="337"/>
      <c r="I4266" s="334"/>
      <c r="J4266" s="314"/>
      <c r="K4266" s="449"/>
      <c r="M4266" s="349" t="str">
        <f>N4266&amp;AS[[#This Row],[Insurer Code]]&amp;"; "&amp;O4266&amp;AS[[#This Row],[Reporting Year]]&amp;"; "&amp;P4266&amp;AS[[#This Row],[Insurance Category Code]]&amp;"; "&amp;Q4266&amp;AS[[#This Row],[Large Provider Entity Code]]&amp;"; "&amp;R4266&amp;AS[[#This Row],[Age Band Code]]&amp;"; "&amp;S4266&amp;AS[[#This Row],[Sex Code]]</f>
        <v xml:space="preserve">Insurer Code ; Reporting Year ; Insurance Category Code ; Large Provider Entity Code ; Age Band Code ; Sex Code </v>
      </c>
      <c r="N4266" s="345" t="s">
        <v>207</v>
      </c>
      <c r="O4266" s="345" t="s">
        <v>208</v>
      </c>
      <c r="P4266" s="345" t="s">
        <v>209</v>
      </c>
      <c r="Q4266" s="345" t="s">
        <v>210</v>
      </c>
      <c r="R4266" s="345" t="s">
        <v>223</v>
      </c>
      <c r="S4266" s="345" t="s">
        <v>224</v>
      </c>
    </row>
    <row r="4267" spans="1:19" x14ac:dyDescent="0.25">
      <c r="A4267" s="311"/>
      <c r="B4267" s="312"/>
      <c r="C4267" s="312"/>
      <c r="D4267" s="312"/>
      <c r="E4267" s="312"/>
      <c r="F4267" s="312"/>
      <c r="G4267" s="328"/>
      <c r="H4267" s="337"/>
      <c r="I4267" s="334"/>
      <c r="J4267" s="314"/>
      <c r="K4267" s="449"/>
      <c r="M4267" s="349" t="str">
        <f>N4267&amp;AS[[#This Row],[Insurer Code]]&amp;"; "&amp;O4267&amp;AS[[#This Row],[Reporting Year]]&amp;"; "&amp;P4267&amp;AS[[#This Row],[Insurance Category Code]]&amp;"; "&amp;Q4267&amp;AS[[#This Row],[Large Provider Entity Code]]&amp;"; "&amp;R4267&amp;AS[[#This Row],[Age Band Code]]&amp;"; "&amp;S4267&amp;AS[[#This Row],[Sex Code]]</f>
        <v xml:space="preserve">Insurer Code ; Reporting Year ; Insurance Category Code ; Large Provider Entity Code ; Age Band Code ; Sex Code </v>
      </c>
      <c r="N4267" s="345" t="s">
        <v>207</v>
      </c>
      <c r="O4267" s="345" t="s">
        <v>208</v>
      </c>
      <c r="P4267" s="345" t="s">
        <v>209</v>
      </c>
      <c r="Q4267" s="345" t="s">
        <v>210</v>
      </c>
      <c r="R4267" s="345" t="s">
        <v>223</v>
      </c>
      <c r="S4267" s="345" t="s">
        <v>224</v>
      </c>
    </row>
    <row r="4268" spans="1:19" x14ac:dyDescent="0.25">
      <c r="A4268" s="311"/>
      <c r="B4268" s="312"/>
      <c r="C4268" s="312"/>
      <c r="D4268" s="312"/>
      <c r="E4268" s="312"/>
      <c r="F4268" s="312"/>
      <c r="G4268" s="328"/>
      <c r="H4268" s="337"/>
      <c r="I4268" s="334"/>
      <c r="J4268" s="314"/>
      <c r="K4268" s="449"/>
      <c r="M4268" s="349" t="str">
        <f>N4268&amp;AS[[#This Row],[Insurer Code]]&amp;"; "&amp;O4268&amp;AS[[#This Row],[Reporting Year]]&amp;"; "&amp;P4268&amp;AS[[#This Row],[Insurance Category Code]]&amp;"; "&amp;Q4268&amp;AS[[#This Row],[Large Provider Entity Code]]&amp;"; "&amp;R4268&amp;AS[[#This Row],[Age Band Code]]&amp;"; "&amp;S4268&amp;AS[[#This Row],[Sex Code]]</f>
        <v xml:space="preserve">Insurer Code ; Reporting Year ; Insurance Category Code ; Large Provider Entity Code ; Age Band Code ; Sex Code </v>
      </c>
      <c r="N4268" s="345" t="s">
        <v>207</v>
      </c>
      <c r="O4268" s="345" t="s">
        <v>208</v>
      </c>
      <c r="P4268" s="345" t="s">
        <v>209</v>
      </c>
      <c r="Q4268" s="345" t="s">
        <v>210</v>
      </c>
      <c r="R4268" s="345" t="s">
        <v>223</v>
      </c>
      <c r="S4268" s="345" t="s">
        <v>224</v>
      </c>
    </row>
    <row r="4269" spans="1:19" x14ac:dyDescent="0.25">
      <c r="A4269" s="311"/>
      <c r="B4269" s="312"/>
      <c r="C4269" s="312"/>
      <c r="D4269" s="312"/>
      <c r="E4269" s="312"/>
      <c r="F4269" s="312"/>
      <c r="G4269" s="328"/>
      <c r="H4269" s="337"/>
      <c r="I4269" s="334"/>
      <c r="J4269" s="314"/>
      <c r="K4269" s="449"/>
      <c r="M4269" s="349" t="str">
        <f>N4269&amp;AS[[#This Row],[Insurer Code]]&amp;"; "&amp;O4269&amp;AS[[#This Row],[Reporting Year]]&amp;"; "&amp;P4269&amp;AS[[#This Row],[Insurance Category Code]]&amp;"; "&amp;Q4269&amp;AS[[#This Row],[Large Provider Entity Code]]&amp;"; "&amp;R4269&amp;AS[[#This Row],[Age Band Code]]&amp;"; "&amp;S4269&amp;AS[[#This Row],[Sex Code]]</f>
        <v xml:space="preserve">Insurer Code ; Reporting Year ; Insurance Category Code ; Large Provider Entity Code ; Age Band Code ; Sex Code </v>
      </c>
      <c r="N4269" s="345" t="s">
        <v>207</v>
      </c>
      <c r="O4269" s="345" t="s">
        <v>208</v>
      </c>
      <c r="P4269" s="345" t="s">
        <v>209</v>
      </c>
      <c r="Q4269" s="345" t="s">
        <v>210</v>
      </c>
      <c r="R4269" s="345" t="s">
        <v>223</v>
      </c>
      <c r="S4269" s="345" t="s">
        <v>224</v>
      </c>
    </row>
    <row r="4270" spans="1:19" x14ac:dyDescent="0.25">
      <c r="A4270" s="311"/>
      <c r="B4270" s="312"/>
      <c r="C4270" s="312"/>
      <c r="D4270" s="312"/>
      <c r="E4270" s="312"/>
      <c r="F4270" s="312"/>
      <c r="G4270" s="328"/>
      <c r="H4270" s="337"/>
      <c r="I4270" s="334"/>
      <c r="J4270" s="314"/>
      <c r="K4270" s="449"/>
      <c r="M4270" s="349" t="str">
        <f>N4270&amp;AS[[#This Row],[Insurer Code]]&amp;"; "&amp;O4270&amp;AS[[#This Row],[Reporting Year]]&amp;"; "&amp;P4270&amp;AS[[#This Row],[Insurance Category Code]]&amp;"; "&amp;Q4270&amp;AS[[#This Row],[Large Provider Entity Code]]&amp;"; "&amp;R4270&amp;AS[[#This Row],[Age Band Code]]&amp;"; "&amp;S4270&amp;AS[[#This Row],[Sex Code]]</f>
        <v xml:space="preserve">Insurer Code ; Reporting Year ; Insurance Category Code ; Large Provider Entity Code ; Age Band Code ; Sex Code </v>
      </c>
      <c r="N4270" s="345" t="s">
        <v>207</v>
      </c>
      <c r="O4270" s="345" t="s">
        <v>208</v>
      </c>
      <c r="P4270" s="345" t="s">
        <v>209</v>
      </c>
      <c r="Q4270" s="345" t="s">
        <v>210</v>
      </c>
      <c r="R4270" s="345" t="s">
        <v>223</v>
      </c>
      <c r="S4270" s="345" t="s">
        <v>224</v>
      </c>
    </row>
    <row r="4271" spans="1:19" x14ac:dyDescent="0.25">
      <c r="A4271" s="311"/>
      <c r="B4271" s="312"/>
      <c r="C4271" s="312"/>
      <c r="D4271" s="312"/>
      <c r="E4271" s="312"/>
      <c r="F4271" s="312"/>
      <c r="G4271" s="328"/>
      <c r="H4271" s="337"/>
      <c r="I4271" s="334"/>
      <c r="J4271" s="314"/>
      <c r="K4271" s="449"/>
      <c r="M4271" s="349" t="str">
        <f>N4271&amp;AS[[#This Row],[Insurer Code]]&amp;"; "&amp;O4271&amp;AS[[#This Row],[Reporting Year]]&amp;"; "&amp;P4271&amp;AS[[#This Row],[Insurance Category Code]]&amp;"; "&amp;Q4271&amp;AS[[#This Row],[Large Provider Entity Code]]&amp;"; "&amp;R4271&amp;AS[[#This Row],[Age Band Code]]&amp;"; "&amp;S4271&amp;AS[[#This Row],[Sex Code]]</f>
        <v xml:space="preserve">Insurer Code ; Reporting Year ; Insurance Category Code ; Large Provider Entity Code ; Age Band Code ; Sex Code </v>
      </c>
      <c r="N4271" s="345" t="s">
        <v>207</v>
      </c>
      <c r="O4271" s="345" t="s">
        <v>208</v>
      </c>
      <c r="P4271" s="345" t="s">
        <v>209</v>
      </c>
      <c r="Q4271" s="345" t="s">
        <v>210</v>
      </c>
      <c r="R4271" s="345" t="s">
        <v>223</v>
      </c>
      <c r="S4271" s="345" t="s">
        <v>224</v>
      </c>
    </row>
    <row r="4272" spans="1:19" x14ac:dyDescent="0.25">
      <c r="A4272" s="311"/>
      <c r="B4272" s="312"/>
      <c r="C4272" s="312"/>
      <c r="D4272" s="312"/>
      <c r="E4272" s="312"/>
      <c r="F4272" s="312"/>
      <c r="G4272" s="328"/>
      <c r="H4272" s="337"/>
      <c r="I4272" s="334"/>
      <c r="J4272" s="314"/>
      <c r="K4272" s="449"/>
      <c r="M4272" s="349" t="str">
        <f>N4272&amp;AS[[#This Row],[Insurer Code]]&amp;"; "&amp;O4272&amp;AS[[#This Row],[Reporting Year]]&amp;"; "&amp;P4272&amp;AS[[#This Row],[Insurance Category Code]]&amp;"; "&amp;Q4272&amp;AS[[#This Row],[Large Provider Entity Code]]&amp;"; "&amp;R4272&amp;AS[[#This Row],[Age Band Code]]&amp;"; "&amp;S4272&amp;AS[[#This Row],[Sex Code]]</f>
        <v xml:space="preserve">Insurer Code ; Reporting Year ; Insurance Category Code ; Large Provider Entity Code ; Age Band Code ; Sex Code </v>
      </c>
      <c r="N4272" s="345" t="s">
        <v>207</v>
      </c>
      <c r="O4272" s="345" t="s">
        <v>208</v>
      </c>
      <c r="P4272" s="345" t="s">
        <v>209</v>
      </c>
      <c r="Q4272" s="345" t="s">
        <v>210</v>
      </c>
      <c r="R4272" s="345" t="s">
        <v>223</v>
      </c>
      <c r="S4272" s="345" t="s">
        <v>224</v>
      </c>
    </row>
    <row r="4273" spans="1:19" x14ac:dyDescent="0.25">
      <c r="A4273" s="311"/>
      <c r="B4273" s="312"/>
      <c r="C4273" s="312"/>
      <c r="D4273" s="312"/>
      <c r="E4273" s="312"/>
      <c r="F4273" s="312"/>
      <c r="G4273" s="328"/>
      <c r="H4273" s="337"/>
      <c r="I4273" s="334"/>
      <c r="J4273" s="314"/>
      <c r="K4273" s="449"/>
      <c r="M4273" s="349" t="str">
        <f>N4273&amp;AS[[#This Row],[Insurer Code]]&amp;"; "&amp;O4273&amp;AS[[#This Row],[Reporting Year]]&amp;"; "&amp;P4273&amp;AS[[#This Row],[Insurance Category Code]]&amp;"; "&amp;Q4273&amp;AS[[#This Row],[Large Provider Entity Code]]&amp;"; "&amp;R4273&amp;AS[[#This Row],[Age Band Code]]&amp;"; "&amp;S4273&amp;AS[[#This Row],[Sex Code]]</f>
        <v xml:space="preserve">Insurer Code ; Reporting Year ; Insurance Category Code ; Large Provider Entity Code ; Age Band Code ; Sex Code </v>
      </c>
      <c r="N4273" s="345" t="s">
        <v>207</v>
      </c>
      <c r="O4273" s="345" t="s">
        <v>208</v>
      </c>
      <c r="P4273" s="345" t="s">
        <v>209</v>
      </c>
      <c r="Q4273" s="345" t="s">
        <v>210</v>
      </c>
      <c r="R4273" s="345" t="s">
        <v>223</v>
      </c>
      <c r="S4273" s="345" t="s">
        <v>224</v>
      </c>
    </row>
    <row r="4274" spans="1:19" x14ac:dyDescent="0.25">
      <c r="A4274" s="311"/>
      <c r="B4274" s="312"/>
      <c r="C4274" s="312"/>
      <c r="D4274" s="312"/>
      <c r="E4274" s="312"/>
      <c r="F4274" s="312"/>
      <c r="G4274" s="328"/>
      <c r="H4274" s="337"/>
      <c r="I4274" s="334"/>
      <c r="J4274" s="314"/>
      <c r="K4274" s="449"/>
      <c r="M4274" s="349" t="str">
        <f>N4274&amp;AS[[#This Row],[Insurer Code]]&amp;"; "&amp;O4274&amp;AS[[#This Row],[Reporting Year]]&amp;"; "&amp;P4274&amp;AS[[#This Row],[Insurance Category Code]]&amp;"; "&amp;Q4274&amp;AS[[#This Row],[Large Provider Entity Code]]&amp;"; "&amp;R4274&amp;AS[[#This Row],[Age Band Code]]&amp;"; "&amp;S4274&amp;AS[[#This Row],[Sex Code]]</f>
        <v xml:space="preserve">Insurer Code ; Reporting Year ; Insurance Category Code ; Large Provider Entity Code ; Age Band Code ; Sex Code </v>
      </c>
      <c r="N4274" s="345" t="s">
        <v>207</v>
      </c>
      <c r="O4274" s="345" t="s">
        <v>208</v>
      </c>
      <c r="P4274" s="345" t="s">
        <v>209</v>
      </c>
      <c r="Q4274" s="345" t="s">
        <v>210</v>
      </c>
      <c r="R4274" s="345" t="s">
        <v>223</v>
      </c>
      <c r="S4274" s="345" t="s">
        <v>224</v>
      </c>
    </row>
    <row r="4275" spans="1:19" x14ac:dyDescent="0.25">
      <c r="A4275" s="311"/>
      <c r="B4275" s="312"/>
      <c r="C4275" s="312"/>
      <c r="D4275" s="312"/>
      <c r="E4275" s="312"/>
      <c r="F4275" s="312"/>
      <c r="G4275" s="328"/>
      <c r="H4275" s="337"/>
      <c r="I4275" s="334"/>
      <c r="J4275" s="314"/>
      <c r="K4275" s="449"/>
      <c r="M4275" s="349" t="str">
        <f>N4275&amp;AS[[#This Row],[Insurer Code]]&amp;"; "&amp;O4275&amp;AS[[#This Row],[Reporting Year]]&amp;"; "&amp;P4275&amp;AS[[#This Row],[Insurance Category Code]]&amp;"; "&amp;Q4275&amp;AS[[#This Row],[Large Provider Entity Code]]&amp;"; "&amp;R4275&amp;AS[[#This Row],[Age Band Code]]&amp;"; "&amp;S4275&amp;AS[[#This Row],[Sex Code]]</f>
        <v xml:space="preserve">Insurer Code ; Reporting Year ; Insurance Category Code ; Large Provider Entity Code ; Age Band Code ; Sex Code </v>
      </c>
      <c r="N4275" s="345" t="s">
        <v>207</v>
      </c>
      <c r="O4275" s="345" t="s">
        <v>208</v>
      </c>
      <c r="P4275" s="345" t="s">
        <v>209</v>
      </c>
      <c r="Q4275" s="345" t="s">
        <v>210</v>
      </c>
      <c r="R4275" s="345" t="s">
        <v>223</v>
      </c>
      <c r="S4275" s="345" t="s">
        <v>224</v>
      </c>
    </row>
    <row r="4276" spans="1:19" x14ac:dyDescent="0.25">
      <c r="A4276" s="311"/>
      <c r="B4276" s="312"/>
      <c r="C4276" s="312"/>
      <c r="D4276" s="312"/>
      <c r="E4276" s="312"/>
      <c r="F4276" s="312"/>
      <c r="G4276" s="328"/>
      <c r="H4276" s="337"/>
      <c r="I4276" s="334"/>
      <c r="J4276" s="314"/>
      <c r="K4276" s="449"/>
      <c r="M4276" s="349" t="str">
        <f>N4276&amp;AS[[#This Row],[Insurer Code]]&amp;"; "&amp;O4276&amp;AS[[#This Row],[Reporting Year]]&amp;"; "&amp;P4276&amp;AS[[#This Row],[Insurance Category Code]]&amp;"; "&amp;Q4276&amp;AS[[#This Row],[Large Provider Entity Code]]&amp;"; "&amp;R4276&amp;AS[[#This Row],[Age Band Code]]&amp;"; "&amp;S4276&amp;AS[[#This Row],[Sex Code]]</f>
        <v xml:space="preserve">Insurer Code ; Reporting Year ; Insurance Category Code ; Large Provider Entity Code ; Age Band Code ; Sex Code </v>
      </c>
      <c r="N4276" s="345" t="s">
        <v>207</v>
      </c>
      <c r="O4276" s="345" t="s">
        <v>208</v>
      </c>
      <c r="P4276" s="345" t="s">
        <v>209</v>
      </c>
      <c r="Q4276" s="345" t="s">
        <v>210</v>
      </c>
      <c r="R4276" s="345" t="s">
        <v>223</v>
      </c>
      <c r="S4276" s="345" t="s">
        <v>224</v>
      </c>
    </row>
    <row r="4277" spans="1:19" x14ac:dyDescent="0.25">
      <c r="A4277" s="311"/>
      <c r="B4277" s="312"/>
      <c r="C4277" s="312"/>
      <c r="D4277" s="312"/>
      <c r="E4277" s="312"/>
      <c r="F4277" s="312"/>
      <c r="G4277" s="328"/>
      <c r="H4277" s="337"/>
      <c r="I4277" s="334"/>
      <c r="J4277" s="314"/>
      <c r="K4277" s="449"/>
      <c r="M4277" s="349" t="str">
        <f>N4277&amp;AS[[#This Row],[Insurer Code]]&amp;"; "&amp;O4277&amp;AS[[#This Row],[Reporting Year]]&amp;"; "&amp;P4277&amp;AS[[#This Row],[Insurance Category Code]]&amp;"; "&amp;Q4277&amp;AS[[#This Row],[Large Provider Entity Code]]&amp;"; "&amp;R4277&amp;AS[[#This Row],[Age Band Code]]&amp;"; "&amp;S4277&amp;AS[[#This Row],[Sex Code]]</f>
        <v xml:space="preserve">Insurer Code ; Reporting Year ; Insurance Category Code ; Large Provider Entity Code ; Age Band Code ; Sex Code </v>
      </c>
      <c r="N4277" s="345" t="s">
        <v>207</v>
      </c>
      <c r="O4277" s="345" t="s">
        <v>208</v>
      </c>
      <c r="P4277" s="345" t="s">
        <v>209</v>
      </c>
      <c r="Q4277" s="345" t="s">
        <v>210</v>
      </c>
      <c r="R4277" s="345" t="s">
        <v>223</v>
      </c>
      <c r="S4277" s="345" t="s">
        <v>224</v>
      </c>
    </row>
    <row r="4278" spans="1:19" x14ac:dyDescent="0.25">
      <c r="A4278" s="311"/>
      <c r="B4278" s="312"/>
      <c r="C4278" s="312"/>
      <c r="D4278" s="312"/>
      <c r="E4278" s="312"/>
      <c r="F4278" s="312"/>
      <c r="G4278" s="328"/>
      <c r="H4278" s="337"/>
      <c r="I4278" s="334"/>
      <c r="J4278" s="314"/>
      <c r="K4278" s="449"/>
      <c r="M4278" s="349" t="str">
        <f>N4278&amp;AS[[#This Row],[Insurer Code]]&amp;"; "&amp;O4278&amp;AS[[#This Row],[Reporting Year]]&amp;"; "&amp;P4278&amp;AS[[#This Row],[Insurance Category Code]]&amp;"; "&amp;Q4278&amp;AS[[#This Row],[Large Provider Entity Code]]&amp;"; "&amp;R4278&amp;AS[[#This Row],[Age Band Code]]&amp;"; "&amp;S4278&amp;AS[[#This Row],[Sex Code]]</f>
        <v xml:space="preserve">Insurer Code ; Reporting Year ; Insurance Category Code ; Large Provider Entity Code ; Age Band Code ; Sex Code </v>
      </c>
      <c r="N4278" s="345" t="s">
        <v>207</v>
      </c>
      <c r="O4278" s="345" t="s">
        <v>208</v>
      </c>
      <c r="P4278" s="345" t="s">
        <v>209</v>
      </c>
      <c r="Q4278" s="345" t="s">
        <v>210</v>
      </c>
      <c r="R4278" s="345" t="s">
        <v>223</v>
      </c>
      <c r="S4278" s="345" t="s">
        <v>224</v>
      </c>
    </row>
    <row r="4279" spans="1:19" x14ac:dyDescent="0.25">
      <c r="A4279" s="311"/>
      <c r="B4279" s="312"/>
      <c r="C4279" s="312"/>
      <c r="D4279" s="312"/>
      <c r="E4279" s="312"/>
      <c r="F4279" s="312"/>
      <c r="G4279" s="328"/>
      <c r="H4279" s="337"/>
      <c r="I4279" s="334"/>
      <c r="J4279" s="314"/>
      <c r="K4279" s="449"/>
      <c r="M4279" s="349" t="str">
        <f>N4279&amp;AS[[#This Row],[Insurer Code]]&amp;"; "&amp;O4279&amp;AS[[#This Row],[Reporting Year]]&amp;"; "&amp;P4279&amp;AS[[#This Row],[Insurance Category Code]]&amp;"; "&amp;Q4279&amp;AS[[#This Row],[Large Provider Entity Code]]&amp;"; "&amp;R4279&amp;AS[[#This Row],[Age Band Code]]&amp;"; "&amp;S4279&amp;AS[[#This Row],[Sex Code]]</f>
        <v xml:space="preserve">Insurer Code ; Reporting Year ; Insurance Category Code ; Large Provider Entity Code ; Age Band Code ; Sex Code </v>
      </c>
      <c r="N4279" s="345" t="s">
        <v>207</v>
      </c>
      <c r="O4279" s="345" t="s">
        <v>208</v>
      </c>
      <c r="P4279" s="345" t="s">
        <v>209</v>
      </c>
      <c r="Q4279" s="345" t="s">
        <v>210</v>
      </c>
      <c r="R4279" s="345" t="s">
        <v>223</v>
      </c>
      <c r="S4279" s="345" t="s">
        <v>224</v>
      </c>
    </row>
    <row r="4280" spans="1:19" x14ac:dyDescent="0.25">
      <c r="A4280" s="311"/>
      <c r="B4280" s="312"/>
      <c r="C4280" s="312"/>
      <c r="D4280" s="312"/>
      <c r="E4280" s="312"/>
      <c r="F4280" s="312"/>
      <c r="G4280" s="328"/>
      <c r="H4280" s="337"/>
      <c r="I4280" s="334"/>
      <c r="J4280" s="314"/>
      <c r="K4280" s="449"/>
      <c r="M4280" s="349" t="str">
        <f>N4280&amp;AS[[#This Row],[Insurer Code]]&amp;"; "&amp;O4280&amp;AS[[#This Row],[Reporting Year]]&amp;"; "&amp;P4280&amp;AS[[#This Row],[Insurance Category Code]]&amp;"; "&amp;Q4280&amp;AS[[#This Row],[Large Provider Entity Code]]&amp;"; "&amp;R4280&amp;AS[[#This Row],[Age Band Code]]&amp;"; "&amp;S4280&amp;AS[[#This Row],[Sex Code]]</f>
        <v xml:space="preserve">Insurer Code ; Reporting Year ; Insurance Category Code ; Large Provider Entity Code ; Age Band Code ; Sex Code </v>
      </c>
      <c r="N4280" s="345" t="s">
        <v>207</v>
      </c>
      <c r="O4280" s="345" t="s">
        <v>208</v>
      </c>
      <c r="P4280" s="345" t="s">
        <v>209</v>
      </c>
      <c r="Q4280" s="345" t="s">
        <v>210</v>
      </c>
      <c r="R4280" s="345" t="s">
        <v>223</v>
      </c>
      <c r="S4280" s="345" t="s">
        <v>224</v>
      </c>
    </row>
    <row r="4281" spans="1:19" x14ac:dyDescent="0.25">
      <c r="A4281" s="311"/>
      <c r="B4281" s="312"/>
      <c r="C4281" s="312"/>
      <c r="D4281" s="312"/>
      <c r="E4281" s="312"/>
      <c r="F4281" s="312"/>
      <c r="G4281" s="328"/>
      <c r="H4281" s="337"/>
      <c r="I4281" s="334"/>
      <c r="J4281" s="314"/>
      <c r="K4281" s="449"/>
      <c r="M4281" s="349" t="str">
        <f>N4281&amp;AS[[#This Row],[Insurer Code]]&amp;"; "&amp;O4281&amp;AS[[#This Row],[Reporting Year]]&amp;"; "&amp;P4281&amp;AS[[#This Row],[Insurance Category Code]]&amp;"; "&amp;Q4281&amp;AS[[#This Row],[Large Provider Entity Code]]&amp;"; "&amp;R4281&amp;AS[[#This Row],[Age Band Code]]&amp;"; "&amp;S4281&amp;AS[[#This Row],[Sex Code]]</f>
        <v xml:space="preserve">Insurer Code ; Reporting Year ; Insurance Category Code ; Large Provider Entity Code ; Age Band Code ; Sex Code </v>
      </c>
      <c r="N4281" s="345" t="s">
        <v>207</v>
      </c>
      <c r="O4281" s="345" t="s">
        <v>208</v>
      </c>
      <c r="P4281" s="345" t="s">
        <v>209</v>
      </c>
      <c r="Q4281" s="345" t="s">
        <v>210</v>
      </c>
      <c r="R4281" s="345" t="s">
        <v>223</v>
      </c>
      <c r="S4281" s="345" t="s">
        <v>224</v>
      </c>
    </row>
    <row r="4282" spans="1:19" x14ac:dyDescent="0.25">
      <c r="A4282" s="311"/>
      <c r="B4282" s="312"/>
      <c r="C4282" s="312"/>
      <c r="D4282" s="312"/>
      <c r="E4282" s="312"/>
      <c r="F4282" s="312"/>
      <c r="G4282" s="328"/>
      <c r="H4282" s="337"/>
      <c r="I4282" s="334"/>
      <c r="J4282" s="314"/>
      <c r="K4282" s="449"/>
      <c r="M4282" s="349" t="str">
        <f>N4282&amp;AS[[#This Row],[Insurer Code]]&amp;"; "&amp;O4282&amp;AS[[#This Row],[Reporting Year]]&amp;"; "&amp;P4282&amp;AS[[#This Row],[Insurance Category Code]]&amp;"; "&amp;Q4282&amp;AS[[#This Row],[Large Provider Entity Code]]&amp;"; "&amp;R4282&amp;AS[[#This Row],[Age Band Code]]&amp;"; "&amp;S4282&amp;AS[[#This Row],[Sex Code]]</f>
        <v xml:space="preserve">Insurer Code ; Reporting Year ; Insurance Category Code ; Large Provider Entity Code ; Age Band Code ; Sex Code </v>
      </c>
      <c r="N4282" s="345" t="s">
        <v>207</v>
      </c>
      <c r="O4282" s="345" t="s">
        <v>208</v>
      </c>
      <c r="P4282" s="345" t="s">
        <v>209</v>
      </c>
      <c r="Q4282" s="345" t="s">
        <v>210</v>
      </c>
      <c r="R4282" s="345" t="s">
        <v>223</v>
      </c>
      <c r="S4282" s="345" t="s">
        <v>224</v>
      </c>
    </row>
    <row r="4283" spans="1:19" x14ac:dyDescent="0.25">
      <c r="A4283" s="311"/>
      <c r="B4283" s="312"/>
      <c r="C4283" s="312"/>
      <c r="D4283" s="312"/>
      <c r="E4283" s="312"/>
      <c r="F4283" s="312"/>
      <c r="G4283" s="328"/>
      <c r="H4283" s="337"/>
      <c r="I4283" s="334"/>
      <c r="J4283" s="314"/>
      <c r="K4283" s="449"/>
      <c r="M4283" s="349" t="str">
        <f>N4283&amp;AS[[#This Row],[Insurer Code]]&amp;"; "&amp;O4283&amp;AS[[#This Row],[Reporting Year]]&amp;"; "&amp;P4283&amp;AS[[#This Row],[Insurance Category Code]]&amp;"; "&amp;Q4283&amp;AS[[#This Row],[Large Provider Entity Code]]&amp;"; "&amp;R4283&amp;AS[[#This Row],[Age Band Code]]&amp;"; "&amp;S4283&amp;AS[[#This Row],[Sex Code]]</f>
        <v xml:space="preserve">Insurer Code ; Reporting Year ; Insurance Category Code ; Large Provider Entity Code ; Age Band Code ; Sex Code </v>
      </c>
      <c r="N4283" s="345" t="s">
        <v>207</v>
      </c>
      <c r="O4283" s="345" t="s">
        <v>208</v>
      </c>
      <c r="P4283" s="345" t="s">
        <v>209</v>
      </c>
      <c r="Q4283" s="345" t="s">
        <v>210</v>
      </c>
      <c r="R4283" s="345" t="s">
        <v>223</v>
      </c>
      <c r="S4283" s="345" t="s">
        <v>224</v>
      </c>
    </row>
    <row r="4284" spans="1:19" x14ac:dyDescent="0.25">
      <c r="A4284" s="311"/>
      <c r="B4284" s="312"/>
      <c r="C4284" s="312"/>
      <c r="D4284" s="312"/>
      <c r="E4284" s="312"/>
      <c r="F4284" s="312"/>
      <c r="G4284" s="328"/>
      <c r="H4284" s="337"/>
      <c r="I4284" s="334"/>
      <c r="J4284" s="314"/>
      <c r="K4284" s="449"/>
      <c r="M4284" s="349" t="str">
        <f>N4284&amp;AS[[#This Row],[Insurer Code]]&amp;"; "&amp;O4284&amp;AS[[#This Row],[Reporting Year]]&amp;"; "&amp;P4284&amp;AS[[#This Row],[Insurance Category Code]]&amp;"; "&amp;Q4284&amp;AS[[#This Row],[Large Provider Entity Code]]&amp;"; "&amp;R4284&amp;AS[[#This Row],[Age Band Code]]&amp;"; "&amp;S4284&amp;AS[[#This Row],[Sex Code]]</f>
        <v xml:space="preserve">Insurer Code ; Reporting Year ; Insurance Category Code ; Large Provider Entity Code ; Age Band Code ; Sex Code </v>
      </c>
      <c r="N4284" s="345" t="s">
        <v>207</v>
      </c>
      <c r="O4284" s="345" t="s">
        <v>208</v>
      </c>
      <c r="P4284" s="345" t="s">
        <v>209</v>
      </c>
      <c r="Q4284" s="345" t="s">
        <v>210</v>
      </c>
      <c r="R4284" s="345" t="s">
        <v>223</v>
      </c>
      <c r="S4284" s="345" t="s">
        <v>224</v>
      </c>
    </row>
    <row r="4285" spans="1:19" x14ac:dyDescent="0.25">
      <c r="A4285" s="311"/>
      <c r="B4285" s="312"/>
      <c r="C4285" s="312"/>
      <c r="D4285" s="312"/>
      <c r="E4285" s="312"/>
      <c r="F4285" s="312"/>
      <c r="G4285" s="328"/>
      <c r="H4285" s="337"/>
      <c r="I4285" s="334"/>
      <c r="J4285" s="314"/>
      <c r="K4285" s="449"/>
      <c r="M4285" s="349" t="str">
        <f>N4285&amp;AS[[#This Row],[Insurer Code]]&amp;"; "&amp;O4285&amp;AS[[#This Row],[Reporting Year]]&amp;"; "&amp;P4285&amp;AS[[#This Row],[Insurance Category Code]]&amp;"; "&amp;Q4285&amp;AS[[#This Row],[Large Provider Entity Code]]&amp;"; "&amp;R4285&amp;AS[[#This Row],[Age Band Code]]&amp;"; "&amp;S4285&amp;AS[[#This Row],[Sex Code]]</f>
        <v xml:space="preserve">Insurer Code ; Reporting Year ; Insurance Category Code ; Large Provider Entity Code ; Age Band Code ; Sex Code </v>
      </c>
      <c r="N4285" s="345" t="s">
        <v>207</v>
      </c>
      <c r="O4285" s="345" t="s">
        <v>208</v>
      </c>
      <c r="P4285" s="345" t="s">
        <v>209</v>
      </c>
      <c r="Q4285" s="345" t="s">
        <v>210</v>
      </c>
      <c r="R4285" s="345" t="s">
        <v>223</v>
      </c>
      <c r="S4285" s="345" t="s">
        <v>224</v>
      </c>
    </row>
    <row r="4286" spans="1:19" x14ac:dyDescent="0.25">
      <c r="A4286" s="311"/>
      <c r="B4286" s="312"/>
      <c r="C4286" s="312"/>
      <c r="D4286" s="312"/>
      <c r="E4286" s="312"/>
      <c r="F4286" s="312"/>
      <c r="G4286" s="328"/>
      <c r="H4286" s="337"/>
      <c r="I4286" s="334"/>
      <c r="J4286" s="314"/>
      <c r="K4286" s="449"/>
      <c r="M4286" s="349" t="str">
        <f>N4286&amp;AS[[#This Row],[Insurer Code]]&amp;"; "&amp;O4286&amp;AS[[#This Row],[Reporting Year]]&amp;"; "&amp;P4286&amp;AS[[#This Row],[Insurance Category Code]]&amp;"; "&amp;Q4286&amp;AS[[#This Row],[Large Provider Entity Code]]&amp;"; "&amp;R4286&amp;AS[[#This Row],[Age Band Code]]&amp;"; "&amp;S4286&amp;AS[[#This Row],[Sex Code]]</f>
        <v xml:space="preserve">Insurer Code ; Reporting Year ; Insurance Category Code ; Large Provider Entity Code ; Age Band Code ; Sex Code </v>
      </c>
      <c r="N4286" s="345" t="s">
        <v>207</v>
      </c>
      <c r="O4286" s="345" t="s">
        <v>208</v>
      </c>
      <c r="P4286" s="345" t="s">
        <v>209</v>
      </c>
      <c r="Q4286" s="345" t="s">
        <v>210</v>
      </c>
      <c r="R4286" s="345" t="s">
        <v>223</v>
      </c>
      <c r="S4286" s="345" t="s">
        <v>224</v>
      </c>
    </row>
    <row r="4287" spans="1:19" x14ac:dyDescent="0.25">
      <c r="A4287" s="311"/>
      <c r="B4287" s="312"/>
      <c r="C4287" s="312"/>
      <c r="D4287" s="312"/>
      <c r="E4287" s="312"/>
      <c r="F4287" s="312"/>
      <c r="G4287" s="328"/>
      <c r="H4287" s="337"/>
      <c r="I4287" s="334"/>
      <c r="J4287" s="314"/>
      <c r="K4287" s="449"/>
      <c r="M4287" s="349" t="str">
        <f>N4287&amp;AS[[#This Row],[Insurer Code]]&amp;"; "&amp;O4287&amp;AS[[#This Row],[Reporting Year]]&amp;"; "&amp;P4287&amp;AS[[#This Row],[Insurance Category Code]]&amp;"; "&amp;Q4287&amp;AS[[#This Row],[Large Provider Entity Code]]&amp;"; "&amp;R4287&amp;AS[[#This Row],[Age Band Code]]&amp;"; "&amp;S4287&amp;AS[[#This Row],[Sex Code]]</f>
        <v xml:space="preserve">Insurer Code ; Reporting Year ; Insurance Category Code ; Large Provider Entity Code ; Age Band Code ; Sex Code </v>
      </c>
      <c r="N4287" s="345" t="s">
        <v>207</v>
      </c>
      <c r="O4287" s="345" t="s">
        <v>208</v>
      </c>
      <c r="P4287" s="345" t="s">
        <v>209</v>
      </c>
      <c r="Q4287" s="345" t="s">
        <v>210</v>
      </c>
      <c r="R4287" s="345" t="s">
        <v>223</v>
      </c>
      <c r="S4287" s="345" t="s">
        <v>224</v>
      </c>
    </row>
    <row r="4288" spans="1:19" x14ac:dyDescent="0.25">
      <c r="A4288" s="311"/>
      <c r="B4288" s="312"/>
      <c r="C4288" s="312"/>
      <c r="D4288" s="312"/>
      <c r="E4288" s="312"/>
      <c r="F4288" s="312"/>
      <c r="G4288" s="328"/>
      <c r="H4288" s="337"/>
      <c r="I4288" s="334"/>
      <c r="J4288" s="314"/>
      <c r="K4288" s="449"/>
      <c r="M4288" s="349" t="str">
        <f>N4288&amp;AS[[#This Row],[Insurer Code]]&amp;"; "&amp;O4288&amp;AS[[#This Row],[Reporting Year]]&amp;"; "&amp;P4288&amp;AS[[#This Row],[Insurance Category Code]]&amp;"; "&amp;Q4288&amp;AS[[#This Row],[Large Provider Entity Code]]&amp;"; "&amp;R4288&amp;AS[[#This Row],[Age Band Code]]&amp;"; "&amp;S4288&amp;AS[[#This Row],[Sex Code]]</f>
        <v xml:space="preserve">Insurer Code ; Reporting Year ; Insurance Category Code ; Large Provider Entity Code ; Age Band Code ; Sex Code </v>
      </c>
      <c r="N4288" s="345" t="s">
        <v>207</v>
      </c>
      <c r="O4288" s="345" t="s">
        <v>208</v>
      </c>
      <c r="P4288" s="345" t="s">
        <v>209</v>
      </c>
      <c r="Q4288" s="345" t="s">
        <v>210</v>
      </c>
      <c r="R4288" s="345" t="s">
        <v>223</v>
      </c>
      <c r="S4288" s="345" t="s">
        <v>224</v>
      </c>
    </row>
    <row r="4289" spans="1:19" x14ac:dyDescent="0.25">
      <c r="A4289" s="311"/>
      <c r="B4289" s="312"/>
      <c r="C4289" s="312"/>
      <c r="D4289" s="312"/>
      <c r="E4289" s="312"/>
      <c r="F4289" s="312"/>
      <c r="G4289" s="328"/>
      <c r="H4289" s="337"/>
      <c r="I4289" s="334"/>
      <c r="J4289" s="314"/>
      <c r="K4289" s="449"/>
      <c r="M4289" s="349" t="str">
        <f>N4289&amp;AS[[#This Row],[Insurer Code]]&amp;"; "&amp;O4289&amp;AS[[#This Row],[Reporting Year]]&amp;"; "&amp;P4289&amp;AS[[#This Row],[Insurance Category Code]]&amp;"; "&amp;Q4289&amp;AS[[#This Row],[Large Provider Entity Code]]&amp;"; "&amp;R4289&amp;AS[[#This Row],[Age Band Code]]&amp;"; "&amp;S4289&amp;AS[[#This Row],[Sex Code]]</f>
        <v xml:space="preserve">Insurer Code ; Reporting Year ; Insurance Category Code ; Large Provider Entity Code ; Age Band Code ; Sex Code </v>
      </c>
      <c r="N4289" s="345" t="s">
        <v>207</v>
      </c>
      <c r="O4289" s="345" t="s">
        <v>208</v>
      </c>
      <c r="P4289" s="345" t="s">
        <v>209</v>
      </c>
      <c r="Q4289" s="345" t="s">
        <v>210</v>
      </c>
      <c r="R4289" s="345" t="s">
        <v>223</v>
      </c>
      <c r="S4289" s="345" t="s">
        <v>224</v>
      </c>
    </row>
    <row r="4290" spans="1:19" x14ac:dyDescent="0.25">
      <c r="A4290" s="311"/>
      <c r="B4290" s="312"/>
      <c r="C4290" s="312"/>
      <c r="D4290" s="312"/>
      <c r="E4290" s="312"/>
      <c r="F4290" s="312"/>
      <c r="G4290" s="328"/>
      <c r="H4290" s="337"/>
      <c r="I4290" s="334"/>
      <c r="J4290" s="314"/>
      <c r="K4290" s="449"/>
      <c r="M4290" s="349" t="str">
        <f>N4290&amp;AS[[#This Row],[Insurer Code]]&amp;"; "&amp;O4290&amp;AS[[#This Row],[Reporting Year]]&amp;"; "&amp;P4290&amp;AS[[#This Row],[Insurance Category Code]]&amp;"; "&amp;Q4290&amp;AS[[#This Row],[Large Provider Entity Code]]&amp;"; "&amp;R4290&amp;AS[[#This Row],[Age Band Code]]&amp;"; "&amp;S4290&amp;AS[[#This Row],[Sex Code]]</f>
        <v xml:space="preserve">Insurer Code ; Reporting Year ; Insurance Category Code ; Large Provider Entity Code ; Age Band Code ; Sex Code </v>
      </c>
      <c r="N4290" s="345" t="s">
        <v>207</v>
      </c>
      <c r="O4290" s="345" t="s">
        <v>208</v>
      </c>
      <c r="P4290" s="345" t="s">
        <v>209</v>
      </c>
      <c r="Q4290" s="345" t="s">
        <v>210</v>
      </c>
      <c r="R4290" s="345" t="s">
        <v>223</v>
      </c>
      <c r="S4290" s="345" t="s">
        <v>224</v>
      </c>
    </row>
    <row r="4291" spans="1:19" x14ac:dyDescent="0.25">
      <c r="A4291" s="311"/>
      <c r="B4291" s="312"/>
      <c r="C4291" s="312"/>
      <c r="D4291" s="312"/>
      <c r="E4291" s="312"/>
      <c r="F4291" s="312"/>
      <c r="G4291" s="328"/>
      <c r="H4291" s="337"/>
      <c r="I4291" s="334"/>
      <c r="J4291" s="314"/>
      <c r="K4291" s="449"/>
      <c r="M4291" s="349" t="str">
        <f>N4291&amp;AS[[#This Row],[Insurer Code]]&amp;"; "&amp;O4291&amp;AS[[#This Row],[Reporting Year]]&amp;"; "&amp;P4291&amp;AS[[#This Row],[Insurance Category Code]]&amp;"; "&amp;Q4291&amp;AS[[#This Row],[Large Provider Entity Code]]&amp;"; "&amp;R4291&amp;AS[[#This Row],[Age Band Code]]&amp;"; "&amp;S4291&amp;AS[[#This Row],[Sex Code]]</f>
        <v xml:space="preserve">Insurer Code ; Reporting Year ; Insurance Category Code ; Large Provider Entity Code ; Age Band Code ; Sex Code </v>
      </c>
      <c r="N4291" s="345" t="s">
        <v>207</v>
      </c>
      <c r="O4291" s="345" t="s">
        <v>208</v>
      </c>
      <c r="P4291" s="345" t="s">
        <v>209</v>
      </c>
      <c r="Q4291" s="345" t="s">
        <v>210</v>
      </c>
      <c r="R4291" s="345" t="s">
        <v>223</v>
      </c>
      <c r="S4291" s="345" t="s">
        <v>224</v>
      </c>
    </row>
    <row r="4292" spans="1:19" x14ac:dyDescent="0.25">
      <c r="A4292" s="311"/>
      <c r="B4292" s="312"/>
      <c r="C4292" s="312"/>
      <c r="D4292" s="312"/>
      <c r="E4292" s="312"/>
      <c r="F4292" s="312"/>
      <c r="G4292" s="328"/>
      <c r="H4292" s="337"/>
      <c r="I4292" s="334"/>
      <c r="J4292" s="314"/>
      <c r="K4292" s="449"/>
      <c r="M4292" s="349" t="str">
        <f>N4292&amp;AS[[#This Row],[Insurer Code]]&amp;"; "&amp;O4292&amp;AS[[#This Row],[Reporting Year]]&amp;"; "&amp;P4292&amp;AS[[#This Row],[Insurance Category Code]]&amp;"; "&amp;Q4292&amp;AS[[#This Row],[Large Provider Entity Code]]&amp;"; "&amp;R4292&amp;AS[[#This Row],[Age Band Code]]&amp;"; "&amp;S4292&amp;AS[[#This Row],[Sex Code]]</f>
        <v xml:space="preserve">Insurer Code ; Reporting Year ; Insurance Category Code ; Large Provider Entity Code ; Age Band Code ; Sex Code </v>
      </c>
      <c r="N4292" s="345" t="s">
        <v>207</v>
      </c>
      <c r="O4292" s="345" t="s">
        <v>208</v>
      </c>
      <c r="P4292" s="345" t="s">
        <v>209</v>
      </c>
      <c r="Q4292" s="345" t="s">
        <v>210</v>
      </c>
      <c r="R4292" s="345" t="s">
        <v>223</v>
      </c>
      <c r="S4292" s="345" t="s">
        <v>224</v>
      </c>
    </row>
    <row r="4293" spans="1:19" x14ac:dyDescent="0.25">
      <c r="A4293" s="311"/>
      <c r="B4293" s="312"/>
      <c r="C4293" s="312"/>
      <c r="D4293" s="312"/>
      <c r="E4293" s="312"/>
      <c r="F4293" s="312"/>
      <c r="G4293" s="328"/>
      <c r="H4293" s="337"/>
      <c r="I4293" s="334"/>
      <c r="J4293" s="314"/>
      <c r="K4293" s="449"/>
      <c r="M4293" s="349" t="str">
        <f>N4293&amp;AS[[#This Row],[Insurer Code]]&amp;"; "&amp;O4293&amp;AS[[#This Row],[Reporting Year]]&amp;"; "&amp;P4293&amp;AS[[#This Row],[Insurance Category Code]]&amp;"; "&amp;Q4293&amp;AS[[#This Row],[Large Provider Entity Code]]&amp;"; "&amp;R4293&amp;AS[[#This Row],[Age Band Code]]&amp;"; "&amp;S4293&amp;AS[[#This Row],[Sex Code]]</f>
        <v xml:space="preserve">Insurer Code ; Reporting Year ; Insurance Category Code ; Large Provider Entity Code ; Age Band Code ; Sex Code </v>
      </c>
      <c r="N4293" s="345" t="s">
        <v>207</v>
      </c>
      <c r="O4293" s="345" t="s">
        <v>208</v>
      </c>
      <c r="P4293" s="345" t="s">
        <v>209</v>
      </c>
      <c r="Q4293" s="345" t="s">
        <v>210</v>
      </c>
      <c r="R4293" s="345" t="s">
        <v>223</v>
      </c>
      <c r="S4293" s="345" t="s">
        <v>224</v>
      </c>
    </row>
    <row r="4294" spans="1:19" x14ac:dyDescent="0.25">
      <c r="A4294" s="311"/>
      <c r="B4294" s="312"/>
      <c r="C4294" s="312"/>
      <c r="D4294" s="312"/>
      <c r="E4294" s="312"/>
      <c r="F4294" s="312"/>
      <c r="G4294" s="328"/>
      <c r="H4294" s="337"/>
      <c r="I4294" s="334"/>
      <c r="J4294" s="314"/>
      <c r="K4294" s="449"/>
      <c r="M4294" s="349" t="str">
        <f>N4294&amp;AS[[#This Row],[Insurer Code]]&amp;"; "&amp;O4294&amp;AS[[#This Row],[Reporting Year]]&amp;"; "&amp;P4294&amp;AS[[#This Row],[Insurance Category Code]]&amp;"; "&amp;Q4294&amp;AS[[#This Row],[Large Provider Entity Code]]&amp;"; "&amp;R4294&amp;AS[[#This Row],[Age Band Code]]&amp;"; "&amp;S4294&amp;AS[[#This Row],[Sex Code]]</f>
        <v xml:space="preserve">Insurer Code ; Reporting Year ; Insurance Category Code ; Large Provider Entity Code ; Age Band Code ; Sex Code </v>
      </c>
      <c r="N4294" s="345" t="s">
        <v>207</v>
      </c>
      <c r="O4294" s="345" t="s">
        <v>208</v>
      </c>
      <c r="P4294" s="345" t="s">
        <v>209</v>
      </c>
      <c r="Q4294" s="345" t="s">
        <v>210</v>
      </c>
      <c r="R4294" s="345" t="s">
        <v>223</v>
      </c>
      <c r="S4294" s="345" t="s">
        <v>224</v>
      </c>
    </row>
    <row r="4295" spans="1:19" x14ac:dyDescent="0.25">
      <c r="A4295" s="311"/>
      <c r="B4295" s="312"/>
      <c r="C4295" s="312"/>
      <c r="D4295" s="312"/>
      <c r="E4295" s="312"/>
      <c r="F4295" s="312"/>
      <c r="G4295" s="328"/>
      <c r="H4295" s="337"/>
      <c r="I4295" s="334"/>
      <c r="J4295" s="314"/>
      <c r="K4295" s="449"/>
      <c r="M4295" s="349" t="str">
        <f>N4295&amp;AS[[#This Row],[Insurer Code]]&amp;"; "&amp;O4295&amp;AS[[#This Row],[Reporting Year]]&amp;"; "&amp;P4295&amp;AS[[#This Row],[Insurance Category Code]]&amp;"; "&amp;Q4295&amp;AS[[#This Row],[Large Provider Entity Code]]&amp;"; "&amp;R4295&amp;AS[[#This Row],[Age Band Code]]&amp;"; "&amp;S4295&amp;AS[[#This Row],[Sex Code]]</f>
        <v xml:space="preserve">Insurer Code ; Reporting Year ; Insurance Category Code ; Large Provider Entity Code ; Age Band Code ; Sex Code </v>
      </c>
      <c r="N4295" s="345" t="s">
        <v>207</v>
      </c>
      <c r="O4295" s="345" t="s">
        <v>208</v>
      </c>
      <c r="P4295" s="345" t="s">
        <v>209</v>
      </c>
      <c r="Q4295" s="345" t="s">
        <v>210</v>
      </c>
      <c r="R4295" s="345" t="s">
        <v>223</v>
      </c>
      <c r="S4295" s="345" t="s">
        <v>224</v>
      </c>
    </row>
    <row r="4296" spans="1:19" x14ac:dyDescent="0.25">
      <c r="A4296" s="311"/>
      <c r="B4296" s="312"/>
      <c r="C4296" s="312"/>
      <c r="D4296" s="312"/>
      <c r="E4296" s="312"/>
      <c r="F4296" s="312"/>
      <c r="G4296" s="328"/>
      <c r="H4296" s="337"/>
      <c r="I4296" s="334"/>
      <c r="J4296" s="314"/>
      <c r="K4296" s="449"/>
      <c r="M4296" s="349" t="str">
        <f>N4296&amp;AS[[#This Row],[Insurer Code]]&amp;"; "&amp;O4296&amp;AS[[#This Row],[Reporting Year]]&amp;"; "&amp;P4296&amp;AS[[#This Row],[Insurance Category Code]]&amp;"; "&amp;Q4296&amp;AS[[#This Row],[Large Provider Entity Code]]&amp;"; "&amp;R4296&amp;AS[[#This Row],[Age Band Code]]&amp;"; "&amp;S4296&amp;AS[[#This Row],[Sex Code]]</f>
        <v xml:space="preserve">Insurer Code ; Reporting Year ; Insurance Category Code ; Large Provider Entity Code ; Age Band Code ; Sex Code </v>
      </c>
      <c r="N4296" s="345" t="s">
        <v>207</v>
      </c>
      <c r="O4296" s="345" t="s">
        <v>208</v>
      </c>
      <c r="P4296" s="345" t="s">
        <v>209</v>
      </c>
      <c r="Q4296" s="345" t="s">
        <v>210</v>
      </c>
      <c r="R4296" s="345" t="s">
        <v>223</v>
      </c>
      <c r="S4296" s="345" t="s">
        <v>224</v>
      </c>
    </row>
    <row r="4297" spans="1:19" x14ac:dyDescent="0.25">
      <c r="A4297" s="311"/>
      <c r="B4297" s="312"/>
      <c r="C4297" s="312"/>
      <c r="D4297" s="312"/>
      <c r="E4297" s="312"/>
      <c r="F4297" s="312"/>
      <c r="G4297" s="328"/>
      <c r="H4297" s="337"/>
      <c r="I4297" s="334"/>
      <c r="J4297" s="314"/>
      <c r="K4297" s="449"/>
      <c r="M4297" s="349" t="str">
        <f>N4297&amp;AS[[#This Row],[Insurer Code]]&amp;"; "&amp;O4297&amp;AS[[#This Row],[Reporting Year]]&amp;"; "&amp;P4297&amp;AS[[#This Row],[Insurance Category Code]]&amp;"; "&amp;Q4297&amp;AS[[#This Row],[Large Provider Entity Code]]&amp;"; "&amp;R4297&amp;AS[[#This Row],[Age Band Code]]&amp;"; "&amp;S4297&amp;AS[[#This Row],[Sex Code]]</f>
        <v xml:space="preserve">Insurer Code ; Reporting Year ; Insurance Category Code ; Large Provider Entity Code ; Age Band Code ; Sex Code </v>
      </c>
      <c r="N4297" s="345" t="s">
        <v>207</v>
      </c>
      <c r="O4297" s="345" t="s">
        <v>208</v>
      </c>
      <c r="P4297" s="345" t="s">
        <v>209</v>
      </c>
      <c r="Q4297" s="345" t="s">
        <v>210</v>
      </c>
      <c r="R4297" s="345" t="s">
        <v>223</v>
      </c>
      <c r="S4297" s="345" t="s">
        <v>224</v>
      </c>
    </row>
    <row r="4298" spans="1:19" x14ac:dyDescent="0.25">
      <c r="A4298" s="311"/>
      <c r="B4298" s="312"/>
      <c r="C4298" s="312"/>
      <c r="D4298" s="312"/>
      <c r="E4298" s="312"/>
      <c r="F4298" s="312"/>
      <c r="G4298" s="328"/>
      <c r="H4298" s="337"/>
      <c r="I4298" s="334"/>
      <c r="J4298" s="314"/>
      <c r="K4298" s="449"/>
      <c r="M4298" s="349" t="str">
        <f>N4298&amp;AS[[#This Row],[Insurer Code]]&amp;"; "&amp;O4298&amp;AS[[#This Row],[Reporting Year]]&amp;"; "&amp;P4298&amp;AS[[#This Row],[Insurance Category Code]]&amp;"; "&amp;Q4298&amp;AS[[#This Row],[Large Provider Entity Code]]&amp;"; "&amp;R4298&amp;AS[[#This Row],[Age Band Code]]&amp;"; "&amp;S4298&amp;AS[[#This Row],[Sex Code]]</f>
        <v xml:space="preserve">Insurer Code ; Reporting Year ; Insurance Category Code ; Large Provider Entity Code ; Age Band Code ; Sex Code </v>
      </c>
      <c r="N4298" s="345" t="s">
        <v>207</v>
      </c>
      <c r="O4298" s="345" t="s">
        <v>208</v>
      </c>
      <c r="P4298" s="345" t="s">
        <v>209</v>
      </c>
      <c r="Q4298" s="345" t="s">
        <v>210</v>
      </c>
      <c r="R4298" s="345" t="s">
        <v>223</v>
      </c>
      <c r="S4298" s="345" t="s">
        <v>224</v>
      </c>
    </row>
    <row r="4299" spans="1:19" x14ac:dyDescent="0.25">
      <c r="A4299" s="311"/>
      <c r="B4299" s="312"/>
      <c r="C4299" s="312"/>
      <c r="D4299" s="312"/>
      <c r="E4299" s="312"/>
      <c r="F4299" s="312"/>
      <c r="G4299" s="328"/>
      <c r="H4299" s="337"/>
      <c r="I4299" s="334"/>
      <c r="J4299" s="314"/>
      <c r="K4299" s="449"/>
      <c r="M4299" s="349" t="str">
        <f>N4299&amp;AS[[#This Row],[Insurer Code]]&amp;"; "&amp;O4299&amp;AS[[#This Row],[Reporting Year]]&amp;"; "&amp;P4299&amp;AS[[#This Row],[Insurance Category Code]]&amp;"; "&amp;Q4299&amp;AS[[#This Row],[Large Provider Entity Code]]&amp;"; "&amp;R4299&amp;AS[[#This Row],[Age Band Code]]&amp;"; "&amp;S4299&amp;AS[[#This Row],[Sex Code]]</f>
        <v xml:space="preserve">Insurer Code ; Reporting Year ; Insurance Category Code ; Large Provider Entity Code ; Age Band Code ; Sex Code </v>
      </c>
      <c r="N4299" s="345" t="s">
        <v>207</v>
      </c>
      <c r="O4299" s="345" t="s">
        <v>208</v>
      </c>
      <c r="P4299" s="345" t="s">
        <v>209</v>
      </c>
      <c r="Q4299" s="345" t="s">
        <v>210</v>
      </c>
      <c r="R4299" s="345" t="s">
        <v>223</v>
      </c>
      <c r="S4299" s="345" t="s">
        <v>224</v>
      </c>
    </row>
    <row r="4300" spans="1:19" x14ac:dyDescent="0.25">
      <c r="A4300" s="311"/>
      <c r="B4300" s="312"/>
      <c r="C4300" s="312"/>
      <c r="D4300" s="312"/>
      <c r="E4300" s="312"/>
      <c r="F4300" s="312"/>
      <c r="G4300" s="328"/>
      <c r="H4300" s="337"/>
      <c r="I4300" s="334"/>
      <c r="J4300" s="314"/>
      <c r="K4300" s="449"/>
      <c r="M4300" s="349" t="str">
        <f>N4300&amp;AS[[#This Row],[Insurer Code]]&amp;"; "&amp;O4300&amp;AS[[#This Row],[Reporting Year]]&amp;"; "&amp;P4300&amp;AS[[#This Row],[Insurance Category Code]]&amp;"; "&amp;Q4300&amp;AS[[#This Row],[Large Provider Entity Code]]&amp;"; "&amp;R4300&amp;AS[[#This Row],[Age Band Code]]&amp;"; "&amp;S4300&amp;AS[[#This Row],[Sex Code]]</f>
        <v xml:space="preserve">Insurer Code ; Reporting Year ; Insurance Category Code ; Large Provider Entity Code ; Age Band Code ; Sex Code </v>
      </c>
      <c r="N4300" s="345" t="s">
        <v>207</v>
      </c>
      <c r="O4300" s="345" t="s">
        <v>208</v>
      </c>
      <c r="P4300" s="345" t="s">
        <v>209</v>
      </c>
      <c r="Q4300" s="345" t="s">
        <v>210</v>
      </c>
      <c r="R4300" s="345" t="s">
        <v>223</v>
      </c>
      <c r="S4300" s="345" t="s">
        <v>224</v>
      </c>
    </row>
    <row r="4301" spans="1:19" x14ac:dyDescent="0.25">
      <c r="A4301" s="311"/>
      <c r="B4301" s="312"/>
      <c r="C4301" s="312"/>
      <c r="D4301" s="312"/>
      <c r="E4301" s="312"/>
      <c r="F4301" s="312"/>
      <c r="G4301" s="328"/>
      <c r="H4301" s="337"/>
      <c r="I4301" s="334"/>
      <c r="J4301" s="314"/>
      <c r="K4301" s="449"/>
      <c r="M4301" s="349" t="str">
        <f>N4301&amp;AS[[#This Row],[Insurer Code]]&amp;"; "&amp;O4301&amp;AS[[#This Row],[Reporting Year]]&amp;"; "&amp;P4301&amp;AS[[#This Row],[Insurance Category Code]]&amp;"; "&amp;Q4301&amp;AS[[#This Row],[Large Provider Entity Code]]&amp;"; "&amp;R4301&amp;AS[[#This Row],[Age Band Code]]&amp;"; "&amp;S4301&amp;AS[[#This Row],[Sex Code]]</f>
        <v xml:space="preserve">Insurer Code ; Reporting Year ; Insurance Category Code ; Large Provider Entity Code ; Age Band Code ; Sex Code </v>
      </c>
      <c r="N4301" s="345" t="s">
        <v>207</v>
      </c>
      <c r="O4301" s="345" t="s">
        <v>208</v>
      </c>
      <c r="P4301" s="345" t="s">
        <v>209</v>
      </c>
      <c r="Q4301" s="345" t="s">
        <v>210</v>
      </c>
      <c r="R4301" s="345" t="s">
        <v>223</v>
      </c>
      <c r="S4301" s="345" t="s">
        <v>224</v>
      </c>
    </row>
    <row r="4302" spans="1:19" x14ac:dyDescent="0.25">
      <c r="A4302" s="311"/>
      <c r="B4302" s="312"/>
      <c r="C4302" s="312"/>
      <c r="D4302" s="312"/>
      <c r="E4302" s="312"/>
      <c r="F4302" s="312"/>
      <c r="G4302" s="328"/>
      <c r="H4302" s="337"/>
      <c r="I4302" s="334"/>
      <c r="J4302" s="314"/>
      <c r="K4302" s="449"/>
      <c r="M4302" s="349" t="str">
        <f>N4302&amp;AS[[#This Row],[Insurer Code]]&amp;"; "&amp;O4302&amp;AS[[#This Row],[Reporting Year]]&amp;"; "&amp;P4302&amp;AS[[#This Row],[Insurance Category Code]]&amp;"; "&amp;Q4302&amp;AS[[#This Row],[Large Provider Entity Code]]&amp;"; "&amp;R4302&amp;AS[[#This Row],[Age Band Code]]&amp;"; "&amp;S4302&amp;AS[[#This Row],[Sex Code]]</f>
        <v xml:space="preserve">Insurer Code ; Reporting Year ; Insurance Category Code ; Large Provider Entity Code ; Age Band Code ; Sex Code </v>
      </c>
      <c r="N4302" s="345" t="s">
        <v>207</v>
      </c>
      <c r="O4302" s="345" t="s">
        <v>208</v>
      </c>
      <c r="P4302" s="345" t="s">
        <v>209</v>
      </c>
      <c r="Q4302" s="345" t="s">
        <v>210</v>
      </c>
      <c r="R4302" s="345" t="s">
        <v>223</v>
      </c>
      <c r="S4302" s="345" t="s">
        <v>224</v>
      </c>
    </row>
    <row r="4303" spans="1:19" x14ac:dyDescent="0.25">
      <c r="A4303" s="311"/>
      <c r="B4303" s="312"/>
      <c r="C4303" s="312"/>
      <c r="D4303" s="312"/>
      <c r="E4303" s="312"/>
      <c r="F4303" s="312"/>
      <c r="G4303" s="328"/>
      <c r="H4303" s="337"/>
      <c r="I4303" s="334"/>
      <c r="J4303" s="314"/>
      <c r="K4303" s="449"/>
      <c r="M4303" s="349" t="str">
        <f>N4303&amp;AS[[#This Row],[Insurer Code]]&amp;"; "&amp;O4303&amp;AS[[#This Row],[Reporting Year]]&amp;"; "&amp;P4303&amp;AS[[#This Row],[Insurance Category Code]]&amp;"; "&amp;Q4303&amp;AS[[#This Row],[Large Provider Entity Code]]&amp;"; "&amp;R4303&amp;AS[[#This Row],[Age Band Code]]&amp;"; "&amp;S4303&amp;AS[[#This Row],[Sex Code]]</f>
        <v xml:space="preserve">Insurer Code ; Reporting Year ; Insurance Category Code ; Large Provider Entity Code ; Age Band Code ; Sex Code </v>
      </c>
      <c r="N4303" s="345" t="s">
        <v>207</v>
      </c>
      <c r="O4303" s="345" t="s">
        <v>208</v>
      </c>
      <c r="P4303" s="345" t="s">
        <v>209</v>
      </c>
      <c r="Q4303" s="345" t="s">
        <v>210</v>
      </c>
      <c r="R4303" s="345" t="s">
        <v>223</v>
      </c>
      <c r="S4303" s="345" t="s">
        <v>224</v>
      </c>
    </row>
    <row r="4304" spans="1:19" x14ac:dyDescent="0.25">
      <c r="A4304" s="311"/>
      <c r="B4304" s="312"/>
      <c r="C4304" s="312"/>
      <c r="D4304" s="312"/>
      <c r="E4304" s="312"/>
      <c r="F4304" s="312"/>
      <c r="G4304" s="328"/>
      <c r="H4304" s="337"/>
      <c r="I4304" s="334"/>
      <c r="J4304" s="314"/>
      <c r="K4304" s="449"/>
      <c r="M4304" s="349" t="str">
        <f>N4304&amp;AS[[#This Row],[Insurer Code]]&amp;"; "&amp;O4304&amp;AS[[#This Row],[Reporting Year]]&amp;"; "&amp;P4304&amp;AS[[#This Row],[Insurance Category Code]]&amp;"; "&amp;Q4304&amp;AS[[#This Row],[Large Provider Entity Code]]&amp;"; "&amp;R4304&amp;AS[[#This Row],[Age Band Code]]&amp;"; "&amp;S4304&amp;AS[[#This Row],[Sex Code]]</f>
        <v xml:space="preserve">Insurer Code ; Reporting Year ; Insurance Category Code ; Large Provider Entity Code ; Age Band Code ; Sex Code </v>
      </c>
      <c r="N4304" s="345" t="s">
        <v>207</v>
      </c>
      <c r="O4304" s="345" t="s">
        <v>208</v>
      </c>
      <c r="P4304" s="345" t="s">
        <v>209</v>
      </c>
      <c r="Q4304" s="345" t="s">
        <v>210</v>
      </c>
      <c r="R4304" s="345" t="s">
        <v>223</v>
      </c>
      <c r="S4304" s="345" t="s">
        <v>224</v>
      </c>
    </row>
    <row r="4305" spans="1:19" x14ac:dyDescent="0.25">
      <c r="A4305" s="311"/>
      <c r="B4305" s="312"/>
      <c r="C4305" s="312"/>
      <c r="D4305" s="312"/>
      <c r="E4305" s="312"/>
      <c r="F4305" s="312"/>
      <c r="G4305" s="328"/>
      <c r="H4305" s="337"/>
      <c r="I4305" s="334"/>
      <c r="J4305" s="314"/>
      <c r="K4305" s="449"/>
      <c r="M4305" s="349" t="str">
        <f>N4305&amp;AS[[#This Row],[Insurer Code]]&amp;"; "&amp;O4305&amp;AS[[#This Row],[Reporting Year]]&amp;"; "&amp;P4305&amp;AS[[#This Row],[Insurance Category Code]]&amp;"; "&amp;Q4305&amp;AS[[#This Row],[Large Provider Entity Code]]&amp;"; "&amp;R4305&amp;AS[[#This Row],[Age Band Code]]&amp;"; "&amp;S4305&amp;AS[[#This Row],[Sex Code]]</f>
        <v xml:space="preserve">Insurer Code ; Reporting Year ; Insurance Category Code ; Large Provider Entity Code ; Age Band Code ; Sex Code </v>
      </c>
      <c r="N4305" s="345" t="s">
        <v>207</v>
      </c>
      <c r="O4305" s="345" t="s">
        <v>208</v>
      </c>
      <c r="P4305" s="345" t="s">
        <v>209</v>
      </c>
      <c r="Q4305" s="345" t="s">
        <v>210</v>
      </c>
      <c r="R4305" s="345" t="s">
        <v>223</v>
      </c>
      <c r="S4305" s="345" t="s">
        <v>224</v>
      </c>
    </row>
    <row r="4306" spans="1:19" x14ac:dyDescent="0.25">
      <c r="A4306" s="311"/>
      <c r="B4306" s="312"/>
      <c r="C4306" s="312"/>
      <c r="D4306" s="312"/>
      <c r="E4306" s="312"/>
      <c r="F4306" s="312"/>
      <c r="G4306" s="328"/>
      <c r="H4306" s="337"/>
      <c r="I4306" s="334"/>
      <c r="J4306" s="314"/>
      <c r="K4306" s="449"/>
      <c r="M4306" s="349" t="str">
        <f>N4306&amp;AS[[#This Row],[Insurer Code]]&amp;"; "&amp;O4306&amp;AS[[#This Row],[Reporting Year]]&amp;"; "&amp;P4306&amp;AS[[#This Row],[Insurance Category Code]]&amp;"; "&amp;Q4306&amp;AS[[#This Row],[Large Provider Entity Code]]&amp;"; "&amp;R4306&amp;AS[[#This Row],[Age Band Code]]&amp;"; "&amp;S4306&amp;AS[[#This Row],[Sex Code]]</f>
        <v xml:space="preserve">Insurer Code ; Reporting Year ; Insurance Category Code ; Large Provider Entity Code ; Age Band Code ; Sex Code </v>
      </c>
      <c r="N4306" s="345" t="s">
        <v>207</v>
      </c>
      <c r="O4306" s="345" t="s">
        <v>208</v>
      </c>
      <c r="P4306" s="345" t="s">
        <v>209</v>
      </c>
      <c r="Q4306" s="345" t="s">
        <v>210</v>
      </c>
      <c r="R4306" s="345" t="s">
        <v>223</v>
      </c>
      <c r="S4306" s="345" t="s">
        <v>224</v>
      </c>
    </row>
    <row r="4307" spans="1:19" x14ac:dyDescent="0.25">
      <c r="A4307" s="311"/>
      <c r="B4307" s="312"/>
      <c r="C4307" s="312"/>
      <c r="D4307" s="312"/>
      <c r="E4307" s="312"/>
      <c r="F4307" s="312"/>
      <c r="G4307" s="328"/>
      <c r="H4307" s="337"/>
      <c r="I4307" s="334"/>
      <c r="J4307" s="314"/>
      <c r="K4307" s="449"/>
      <c r="M4307" s="349" t="str">
        <f>N4307&amp;AS[[#This Row],[Insurer Code]]&amp;"; "&amp;O4307&amp;AS[[#This Row],[Reporting Year]]&amp;"; "&amp;P4307&amp;AS[[#This Row],[Insurance Category Code]]&amp;"; "&amp;Q4307&amp;AS[[#This Row],[Large Provider Entity Code]]&amp;"; "&amp;R4307&amp;AS[[#This Row],[Age Band Code]]&amp;"; "&amp;S4307&amp;AS[[#This Row],[Sex Code]]</f>
        <v xml:space="preserve">Insurer Code ; Reporting Year ; Insurance Category Code ; Large Provider Entity Code ; Age Band Code ; Sex Code </v>
      </c>
      <c r="N4307" s="345" t="s">
        <v>207</v>
      </c>
      <c r="O4307" s="345" t="s">
        <v>208</v>
      </c>
      <c r="P4307" s="345" t="s">
        <v>209</v>
      </c>
      <c r="Q4307" s="345" t="s">
        <v>210</v>
      </c>
      <c r="R4307" s="345" t="s">
        <v>223</v>
      </c>
      <c r="S4307" s="345" t="s">
        <v>224</v>
      </c>
    </row>
    <row r="4308" spans="1:19" x14ac:dyDescent="0.25">
      <c r="A4308" s="311"/>
      <c r="B4308" s="312"/>
      <c r="C4308" s="312"/>
      <c r="D4308" s="312"/>
      <c r="E4308" s="312"/>
      <c r="F4308" s="312"/>
      <c r="G4308" s="328"/>
      <c r="H4308" s="337"/>
      <c r="I4308" s="334"/>
      <c r="J4308" s="314"/>
      <c r="K4308" s="449"/>
      <c r="M4308" s="349" t="str">
        <f>N4308&amp;AS[[#This Row],[Insurer Code]]&amp;"; "&amp;O4308&amp;AS[[#This Row],[Reporting Year]]&amp;"; "&amp;P4308&amp;AS[[#This Row],[Insurance Category Code]]&amp;"; "&amp;Q4308&amp;AS[[#This Row],[Large Provider Entity Code]]&amp;"; "&amp;R4308&amp;AS[[#This Row],[Age Band Code]]&amp;"; "&amp;S4308&amp;AS[[#This Row],[Sex Code]]</f>
        <v xml:space="preserve">Insurer Code ; Reporting Year ; Insurance Category Code ; Large Provider Entity Code ; Age Band Code ; Sex Code </v>
      </c>
      <c r="N4308" s="345" t="s">
        <v>207</v>
      </c>
      <c r="O4308" s="345" t="s">
        <v>208</v>
      </c>
      <c r="P4308" s="345" t="s">
        <v>209</v>
      </c>
      <c r="Q4308" s="345" t="s">
        <v>210</v>
      </c>
      <c r="R4308" s="345" t="s">
        <v>223</v>
      </c>
      <c r="S4308" s="345" t="s">
        <v>224</v>
      </c>
    </row>
    <row r="4309" spans="1:19" x14ac:dyDescent="0.25">
      <c r="A4309" s="311"/>
      <c r="B4309" s="312"/>
      <c r="C4309" s="312"/>
      <c r="D4309" s="312"/>
      <c r="E4309" s="312"/>
      <c r="F4309" s="312"/>
      <c r="G4309" s="328"/>
      <c r="H4309" s="337"/>
      <c r="I4309" s="334"/>
      <c r="J4309" s="314"/>
      <c r="K4309" s="449"/>
      <c r="M4309" s="349" t="str">
        <f>N4309&amp;AS[[#This Row],[Insurer Code]]&amp;"; "&amp;O4309&amp;AS[[#This Row],[Reporting Year]]&amp;"; "&amp;P4309&amp;AS[[#This Row],[Insurance Category Code]]&amp;"; "&amp;Q4309&amp;AS[[#This Row],[Large Provider Entity Code]]&amp;"; "&amp;R4309&amp;AS[[#This Row],[Age Band Code]]&amp;"; "&amp;S4309&amp;AS[[#This Row],[Sex Code]]</f>
        <v xml:space="preserve">Insurer Code ; Reporting Year ; Insurance Category Code ; Large Provider Entity Code ; Age Band Code ; Sex Code </v>
      </c>
      <c r="N4309" s="345" t="s">
        <v>207</v>
      </c>
      <c r="O4309" s="345" t="s">
        <v>208</v>
      </c>
      <c r="P4309" s="345" t="s">
        <v>209</v>
      </c>
      <c r="Q4309" s="345" t="s">
        <v>210</v>
      </c>
      <c r="R4309" s="345" t="s">
        <v>223</v>
      </c>
      <c r="S4309" s="345" t="s">
        <v>224</v>
      </c>
    </row>
    <row r="4310" spans="1:19" x14ac:dyDescent="0.25">
      <c r="A4310" s="311"/>
      <c r="B4310" s="312"/>
      <c r="C4310" s="312"/>
      <c r="D4310" s="312"/>
      <c r="E4310" s="312"/>
      <c r="F4310" s="312"/>
      <c r="G4310" s="328"/>
      <c r="H4310" s="337"/>
      <c r="I4310" s="334"/>
      <c r="J4310" s="314"/>
      <c r="K4310" s="449"/>
      <c r="M4310" s="349" t="str">
        <f>N4310&amp;AS[[#This Row],[Insurer Code]]&amp;"; "&amp;O4310&amp;AS[[#This Row],[Reporting Year]]&amp;"; "&amp;P4310&amp;AS[[#This Row],[Insurance Category Code]]&amp;"; "&amp;Q4310&amp;AS[[#This Row],[Large Provider Entity Code]]&amp;"; "&amp;R4310&amp;AS[[#This Row],[Age Band Code]]&amp;"; "&amp;S4310&amp;AS[[#This Row],[Sex Code]]</f>
        <v xml:space="preserve">Insurer Code ; Reporting Year ; Insurance Category Code ; Large Provider Entity Code ; Age Band Code ; Sex Code </v>
      </c>
      <c r="N4310" s="345" t="s">
        <v>207</v>
      </c>
      <c r="O4310" s="345" t="s">
        <v>208</v>
      </c>
      <c r="P4310" s="345" t="s">
        <v>209</v>
      </c>
      <c r="Q4310" s="345" t="s">
        <v>210</v>
      </c>
      <c r="R4310" s="345" t="s">
        <v>223</v>
      </c>
      <c r="S4310" s="345" t="s">
        <v>224</v>
      </c>
    </row>
    <row r="4311" spans="1:19" x14ac:dyDescent="0.25">
      <c r="A4311" s="311"/>
      <c r="B4311" s="312"/>
      <c r="C4311" s="312"/>
      <c r="D4311" s="312"/>
      <c r="E4311" s="312"/>
      <c r="F4311" s="312"/>
      <c r="G4311" s="328"/>
      <c r="H4311" s="337"/>
      <c r="I4311" s="334"/>
      <c r="J4311" s="314"/>
      <c r="K4311" s="449"/>
      <c r="M4311" s="349" t="str">
        <f>N4311&amp;AS[[#This Row],[Insurer Code]]&amp;"; "&amp;O4311&amp;AS[[#This Row],[Reporting Year]]&amp;"; "&amp;P4311&amp;AS[[#This Row],[Insurance Category Code]]&amp;"; "&amp;Q4311&amp;AS[[#This Row],[Large Provider Entity Code]]&amp;"; "&amp;R4311&amp;AS[[#This Row],[Age Band Code]]&amp;"; "&amp;S4311&amp;AS[[#This Row],[Sex Code]]</f>
        <v xml:space="preserve">Insurer Code ; Reporting Year ; Insurance Category Code ; Large Provider Entity Code ; Age Band Code ; Sex Code </v>
      </c>
      <c r="N4311" s="345" t="s">
        <v>207</v>
      </c>
      <c r="O4311" s="345" t="s">
        <v>208</v>
      </c>
      <c r="P4311" s="345" t="s">
        <v>209</v>
      </c>
      <c r="Q4311" s="345" t="s">
        <v>210</v>
      </c>
      <c r="R4311" s="345" t="s">
        <v>223</v>
      </c>
      <c r="S4311" s="345" t="s">
        <v>224</v>
      </c>
    </row>
    <row r="4312" spans="1:19" x14ac:dyDescent="0.25">
      <c r="A4312" s="311"/>
      <c r="B4312" s="312"/>
      <c r="C4312" s="312"/>
      <c r="D4312" s="312"/>
      <c r="E4312" s="312"/>
      <c r="F4312" s="312"/>
      <c r="G4312" s="328"/>
      <c r="H4312" s="337"/>
      <c r="I4312" s="334"/>
      <c r="J4312" s="314"/>
      <c r="K4312" s="449"/>
      <c r="M4312" s="349" t="str">
        <f>N4312&amp;AS[[#This Row],[Insurer Code]]&amp;"; "&amp;O4312&amp;AS[[#This Row],[Reporting Year]]&amp;"; "&amp;P4312&amp;AS[[#This Row],[Insurance Category Code]]&amp;"; "&amp;Q4312&amp;AS[[#This Row],[Large Provider Entity Code]]&amp;"; "&amp;R4312&amp;AS[[#This Row],[Age Band Code]]&amp;"; "&amp;S4312&amp;AS[[#This Row],[Sex Code]]</f>
        <v xml:space="preserve">Insurer Code ; Reporting Year ; Insurance Category Code ; Large Provider Entity Code ; Age Band Code ; Sex Code </v>
      </c>
      <c r="N4312" s="345" t="s">
        <v>207</v>
      </c>
      <c r="O4312" s="345" t="s">
        <v>208</v>
      </c>
      <c r="P4312" s="345" t="s">
        <v>209</v>
      </c>
      <c r="Q4312" s="345" t="s">
        <v>210</v>
      </c>
      <c r="R4312" s="345" t="s">
        <v>223</v>
      </c>
      <c r="S4312" s="345" t="s">
        <v>224</v>
      </c>
    </row>
    <row r="4313" spans="1:19" x14ac:dyDescent="0.25">
      <c r="A4313" s="311"/>
      <c r="B4313" s="312"/>
      <c r="C4313" s="312"/>
      <c r="D4313" s="312"/>
      <c r="E4313" s="312"/>
      <c r="F4313" s="312"/>
      <c r="G4313" s="328"/>
      <c r="H4313" s="337"/>
      <c r="I4313" s="334"/>
      <c r="J4313" s="314"/>
      <c r="K4313" s="449"/>
      <c r="M4313" s="349" t="str">
        <f>N4313&amp;AS[[#This Row],[Insurer Code]]&amp;"; "&amp;O4313&amp;AS[[#This Row],[Reporting Year]]&amp;"; "&amp;P4313&amp;AS[[#This Row],[Insurance Category Code]]&amp;"; "&amp;Q4313&amp;AS[[#This Row],[Large Provider Entity Code]]&amp;"; "&amp;R4313&amp;AS[[#This Row],[Age Band Code]]&amp;"; "&amp;S4313&amp;AS[[#This Row],[Sex Code]]</f>
        <v xml:space="preserve">Insurer Code ; Reporting Year ; Insurance Category Code ; Large Provider Entity Code ; Age Band Code ; Sex Code </v>
      </c>
      <c r="N4313" s="345" t="s">
        <v>207</v>
      </c>
      <c r="O4313" s="345" t="s">
        <v>208</v>
      </c>
      <c r="P4313" s="345" t="s">
        <v>209</v>
      </c>
      <c r="Q4313" s="345" t="s">
        <v>210</v>
      </c>
      <c r="R4313" s="345" t="s">
        <v>223</v>
      </c>
      <c r="S4313" s="345" t="s">
        <v>224</v>
      </c>
    </row>
    <row r="4314" spans="1:19" x14ac:dyDescent="0.25">
      <c r="A4314" s="311"/>
      <c r="B4314" s="312"/>
      <c r="C4314" s="312"/>
      <c r="D4314" s="312"/>
      <c r="E4314" s="312"/>
      <c r="F4314" s="312"/>
      <c r="G4314" s="328"/>
      <c r="H4314" s="337"/>
      <c r="I4314" s="334"/>
      <c r="J4314" s="314"/>
      <c r="K4314" s="449"/>
      <c r="M4314" s="349" t="str">
        <f>N4314&amp;AS[[#This Row],[Insurer Code]]&amp;"; "&amp;O4314&amp;AS[[#This Row],[Reporting Year]]&amp;"; "&amp;P4314&amp;AS[[#This Row],[Insurance Category Code]]&amp;"; "&amp;Q4314&amp;AS[[#This Row],[Large Provider Entity Code]]&amp;"; "&amp;R4314&amp;AS[[#This Row],[Age Band Code]]&amp;"; "&amp;S4314&amp;AS[[#This Row],[Sex Code]]</f>
        <v xml:space="preserve">Insurer Code ; Reporting Year ; Insurance Category Code ; Large Provider Entity Code ; Age Band Code ; Sex Code </v>
      </c>
      <c r="N4314" s="345" t="s">
        <v>207</v>
      </c>
      <c r="O4314" s="345" t="s">
        <v>208</v>
      </c>
      <c r="P4314" s="345" t="s">
        <v>209</v>
      </c>
      <c r="Q4314" s="345" t="s">
        <v>210</v>
      </c>
      <c r="R4314" s="345" t="s">
        <v>223</v>
      </c>
      <c r="S4314" s="345" t="s">
        <v>224</v>
      </c>
    </row>
    <row r="4315" spans="1:19" x14ac:dyDescent="0.25">
      <c r="A4315" s="311"/>
      <c r="B4315" s="312"/>
      <c r="C4315" s="312"/>
      <c r="D4315" s="312"/>
      <c r="E4315" s="312"/>
      <c r="F4315" s="312"/>
      <c r="G4315" s="328"/>
      <c r="H4315" s="337"/>
      <c r="I4315" s="334"/>
      <c r="J4315" s="314"/>
      <c r="K4315" s="449"/>
      <c r="M4315" s="349" t="str">
        <f>N4315&amp;AS[[#This Row],[Insurer Code]]&amp;"; "&amp;O4315&amp;AS[[#This Row],[Reporting Year]]&amp;"; "&amp;P4315&amp;AS[[#This Row],[Insurance Category Code]]&amp;"; "&amp;Q4315&amp;AS[[#This Row],[Large Provider Entity Code]]&amp;"; "&amp;R4315&amp;AS[[#This Row],[Age Band Code]]&amp;"; "&amp;S4315&amp;AS[[#This Row],[Sex Code]]</f>
        <v xml:space="preserve">Insurer Code ; Reporting Year ; Insurance Category Code ; Large Provider Entity Code ; Age Band Code ; Sex Code </v>
      </c>
      <c r="N4315" s="345" t="s">
        <v>207</v>
      </c>
      <c r="O4315" s="345" t="s">
        <v>208</v>
      </c>
      <c r="P4315" s="345" t="s">
        <v>209</v>
      </c>
      <c r="Q4315" s="345" t="s">
        <v>210</v>
      </c>
      <c r="R4315" s="345" t="s">
        <v>223</v>
      </c>
      <c r="S4315" s="345" t="s">
        <v>224</v>
      </c>
    </row>
    <row r="4316" spans="1:19" x14ac:dyDescent="0.25">
      <c r="A4316" s="311"/>
      <c r="B4316" s="312"/>
      <c r="C4316" s="312"/>
      <c r="D4316" s="312"/>
      <c r="E4316" s="312"/>
      <c r="F4316" s="312"/>
      <c r="G4316" s="328"/>
      <c r="H4316" s="337"/>
      <c r="I4316" s="334"/>
      <c r="J4316" s="314"/>
      <c r="K4316" s="449"/>
      <c r="M4316" s="349" t="str">
        <f>N4316&amp;AS[[#This Row],[Insurer Code]]&amp;"; "&amp;O4316&amp;AS[[#This Row],[Reporting Year]]&amp;"; "&amp;P4316&amp;AS[[#This Row],[Insurance Category Code]]&amp;"; "&amp;Q4316&amp;AS[[#This Row],[Large Provider Entity Code]]&amp;"; "&amp;R4316&amp;AS[[#This Row],[Age Band Code]]&amp;"; "&amp;S4316&amp;AS[[#This Row],[Sex Code]]</f>
        <v xml:space="preserve">Insurer Code ; Reporting Year ; Insurance Category Code ; Large Provider Entity Code ; Age Band Code ; Sex Code </v>
      </c>
      <c r="N4316" s="345" t="s">
        <v>207</v>
      </c>
      <c r="O4316" s="345" t="s">
        <v>208</v>
      </c>
      <c r="P4316" s="345" t="s">
        <v>209</v>
      </c>
      <c r="Q4316" s="345" t="s">
        <v>210</v>
      </c>
      <c r="R4316" s="345" t="s">
        <v>223</v>
      </c>
      <c r="S4316" s="345" t="s">
        <v>224</v>
      </c>
    </row>
    <row r="4317" spans="1:19" x14ac:dyDescent="0.25">
      <c r="A4317" s="311"/>
      <c r="B4317" s="312"/>
      <c r="C4317" s="312"/>
      <c r="D4317" s="312"/>
      <c r="E4317" s="312"/>
      <c r="F4317" s="312"/>
      <c r="G4317" s="328"/>
      <c r="H4317" s="337"/>
      <c r="I4317" s="334"/>
      <c r="J4317" s="314"/>
      <c r="K4317" s="449"/>
      <c r="M4317" s="349" t="str">
        <f>N4317&amp;AS[[#This Row],[Insurer Code]]&amp;"; "&amp;O4317&amp;AS[[#This Row],[Reporting Year]]&amp;"; "&amp;P4317&amp;AS[[#This Row],[Insurance Category Code]]&amp;"; "&amp;Q4317&amp;AS[[#This Row],[Large Provider Entity Code]]&amp;"; "&amp;R4317&amp;AS[[#This Row],[Age Band Code]]&amp;"; "&amp;S4317&amp;AS[[#This Row],[Sex Code]]</f>
        <v xml:space="preserve">Insurer Code ; Reporting Year ; Insurance Category Code ; Large Provider Entity Code ; Age Band Code ; Sex Code </v>
      </c>
      <c r="N4317" s="345" t="s">
        <v>207</v>
      </c>
      <c r="O4317" s="345" t="s">
        <v>208</v>
      </c>
      <c r="P4317" s="345" t="s">
        <v>209</v>
      </c>
      <c r="Q4317" s="345" t="s">
        <v>210</v>
      </c>
      <c r="R4317" s="345" t="s">
        <v>223</v>
      </c>
      <c r="S4317" s="345" t="s">
        <v>224</v>
      </c>
    </row>
    <row r="4318" spans="1:19" x14ac:dyDescent="0.25">
      <c r="A4318" s="311"/>
      <c r="B4318" s="312"/>
      <c r="C4318" s="312"/>
      <c r="D4318" s="312"/>
      <c r="E4318" s="312"/>
      <c r="F4318" s="312"/>
      <c r="G4318" s="328"/>
      <c r="H4318" s="337"/>
      <c r="I4318" s="334"/>
      <c r="J4318" s="314"/>
      <c r="K4318" s="449"/>
      <c r="M4318" s="349" t="str">
        <f>N4318&amp;AS[[#This Row],[Insurer Code]]&amp;"; "&amp;O4318&amp;AS[[#This Row],[Reporting Year]]&amp;"; "&amp;P4318&amp;AS[[#This Row],[Insurance Category Code]]&amp;"; "&amp;Q4318&amp;AS[[#This Row],[Large Provider Entity Code]]&amp;"; "&amp;R4318&amp;AS[[#This Row],[Age Band Code]]&amp;"; "&amp;S4318&amp;AS[[#This Row],[Sex Code]]</f>
        <v xml:space="preserve">Insurer Code ; Reporting Year ; Insurance Category Code ; Large Provider Entity Code ; Age Band Code ; Sex Code </v>
      </c>
      <c r="N4318" s="345" t="s">
        <v>207</v>
      </c>
      <c r="O4318" s="345" t="s">
        <v>208</v>
      </c>
      <c r="P4318" s="345" t="s">
        <v>209</v>
      </c>
      <c r="Q4318" s="345" t="s">
        <v>210</v>
      </c>
      <c r="R4318" s="345" t="s">
        <v>223</v>
      </c>
      <c r="S4318" s="345" t="s">
        <v>224</v>
      </c>
    </row>
    <row r="4319" spans="1:19" x14ac:dyDescent="0.25">
      <c r="A4319" s="311"/>
      <c r="B4319" s="312"/>
      <c r="C4319" s="312"/>
      <c r="D4319" s="312"/>
      <c r="E4319" s="312"/>
      <c r="F4319" s="312"/>
      <c r="G4319" s="328"/>
      <c r="H4319" s="337"/>
      <c r="I4319" s="334"/>
      <c r="J4319" s="314"/>
      <c r="K4319" s="449"/>
      <c r="M4319" s="349" t="str">
        <f>N4319&amp;AS[[#This Row],[Insurer Code]]&amp;"; "&amp;O4319&amp;AS[[#This Row],[Reporting Year]]&amp;"; "&amp;P4319&amp;AS[[#This Row],[Insurance Category Code]]&amp;"; "&amp;Q4319&amp;AS[[#This Row],[Large Provider Entity Code]]&amp;"; "&amp;R4319&amp;AS[[#This Row],[Age Band Code]]&amp;"; "&amp;S4319&amp;AS[[#This Row],[Sex Code]]</f>
        <v xml:space="preserve">Insurer Code ; Reporting Year ; Insurance Category Code ; Large Provider Entity Code ; Age Band Code ; Sex Code </v>
      </c>
      <c r="N4319" s="345" t="s">
        <v>207</v>
      </c>
      <c r="O4319" s="345" t="s">
        <v>208</v>
      </c>
      <c r="P4319" s="345" t="s">
        <v>209</v>
      </c>
      <c r="Q4319" s="345" t="s">
        <v>210</v>
      </c>
      <c r="R4319" s="345" t="s">
        <v>223</v>
      </c>
      <c r="S4319" s="345" t="s">
        <v>224</v>
      </c>
    </row>
    <row r="4320" spans="1:19" x14ac:dyDescent="0.25">
      <c r="A4320" s="311"/>
      <c r="B4320" s="312"/>
      <c r="C4320" s="312"/>
      <c r="D4320" s="312"/>
      <c r="E4320" s="312"/>
      <c r="F4320" s="312"/>
      <c r="G4320" s="328"/>
      <c r="H4320" s="337"/>
      <c r="I4320" s="334"/>
      <c r="J4320" s="314"/>
      <c r="K4320" s="449"/>
      <c r="M4320" s="349" t="str">
        <f>N4320&amp;AS[[#This Row],[Insurer Code]]&amp;"; "&amp;O4320&amp;AS[[#This Row],[Reporting Year]]&amp;"; "&amp;P4320&amp;AS[[#This Row],[Insurance Category Code]]&amp;"; "&amp;Q4320&amp;AS[[#This Row],[Large Provider Entity Code]]&amp;"; "&amp;R4320&amp;AS[[#This Row],[Age Band Code]]&amp;"; "&amp;S4320&amp;AS[[#This Row],[Sex Code]]</f>
        <v xml:space="preserve">Insurer Code ; Reporting Year ; Insurance Category Code ; Large Provider Entity Code ; Age Band Code ; Sex Code </v>
      </c>
      <c r="N4320" s="345" t="s">
        <v>207</v>
      </c>
      <c r="O4320" s="345" t="s">
        <v>208</v>
      </c>
      <c r="P4320" s="345" t="s">
        <v>209</v>
      </c>
      <c r="Q4320" s="345" t="s">
        <v>210</v>
      </c>
      <c r="R4320" s="345" t="s">
        <v>223</v>
      </c>
      <c r="S4320" s="345" t="s">
        <v>224</v>
      </c>
    </row>
    <row r="4321" spans="1:19" x14ac:dyDescent="0.25">
      <c r="A4321" s="311"/>
      <c r="B4321" s="312"/>
      <c r="C4321" s="312"/>
      <c r="D4321" s="312"/>
      <c r="E4321" s="312"/>
      <c r="F4321" s="312"/>
      <c r="G4321" s="328"/>
      <c r="H4321" s="337"/>
      <c r="I4321" s="334"/>
      <c r="J4321" s="314"/>
      <c r="K4321" s="449"/>
      <c r="M4321" s="349" t="str">
        <f>N4321&amp;AS[[#This Row],[Insurer Code]]&amp;"; "&amp;O4321&amp;AS[[#This Row],[Reporting Year]]&amp;"; "&amp;P4321&amp;AS[[#This Row],[Insurance Category Code]]&amp;"; "&amp;Q4321&amp;AS[[#This Row],[Large Provider Entity Code]]&amp;"; "&amp;R4321&amp;AS[[#This Row],[Age Band Code]]&amp;"; "&amp;S4321&amp;AS[[#This Row],[Sex Code]]</f>
        <v xml:space="preserve">Insurer Code ; Reporting Year ; Insurance Category Code ; Large Provider Entity Code ; Age Band Code ; Sex Code </v>
      </c>
      <c r="N4321" s="345" t="s">
        <v>207</v>
      </c>
      <c r="O4321" s="345" t="s">
        <v>208</v>
      </c>
      <c r="P4321" s="345" t="s">
        <v>209</v>
      </c>
      <c r="Q4321" s="345" t="s">
        <v>210</v>
      </c>
      <c r="R4321" s="345" t="s">
        <v>223</v>
      </c>
      <c r="S4321" s="345" t="s">
        <v>224</v>
      </c>
    </row>
    <row r="4322" spans="1:19" x14ac:dyDescent="0.25">
      <c r="A4322" s="311"/>
      <c r="B4322" s="312"/>
      <c r="C4322" s="312"/>
      <c r="D4322" s="312"/>
      <c r="E4322" s="312"/>
      <c r="F4322" s="312"/>
      <c r="G4322" s="328"/>
      <c r="H4322" s="337"/>
      <c r="I4322" s="334"/>
      <c r="J4322" s="314"/>
      <c r="K4322" s="449"/>
      <c r="M4322" s="349" t="str">
        <f>N4322&amp;AS[[#This Row],[Insurer Code]]&amp;"; "&amp;O4322&amp;AS[[#This Row],[Reporting Year]]&amp;"; "&amp;P4322&amp;AS[[#This Row],[Insurance Category Code]]&amp;"; "&amp;Q4322&amp;AS[[#This Row],[Large Provider Entity Code]]&amp;"; "&amp;R4322&amp;AS[[#This Row],[Age Band Code]]&amp;"; "&amp;S4322&amp;AS[[#This Row],[Sex Code]]</f>
        <v xml:space="preserve">Insurer Code ; Reporting Year ; Insurance Category Code ; Large Provider Entity Code ; Age Band Code ; Sex Code </v>
      </c>
      <c r="N4322" s="345" t="s">
        <v>207</v>
      </c>
      <c r="O4322" s="345" t="s">
        <v>208</v>
      </c>
      <c r="P4322" s="345" t="s">
        <v>209</v>
      </c>
      <c r="Q4322" s="345" t="s">
        <v>210</v>
      </c>
      <c r="R4322" s="345" t="s">
        <v>223</v>
      </c>
      <c r="S4322" s="345" t="s">
        <v>224</v>
      </c>
    </row>
    <row r="4323" spans="1:19" x14ac:dyDescent="0.25">
      <c r="A4323" s="311"/>
      <c r="B4323" s="312"/>
      <c r="C4323" s="312"/>
      <c r="D4323" s="312"/>
      <c r="E4323" s="312"/>
      <c r="F4323" s="312"/>
      <c r="G4323" s="328"/>
      <c r="H4323" s="337"/>
      <c r="I4323" s="334"/>
      <c r="J4323" s="314"/>
      <c r="K4323" s="449"/>
      <c r="M4323" s="349" t="str">
        <f>N4323&amp;AS[[#This Row],[Insurer Code]]&amp;"; "&amp;O4323&amp;AS[[#This Row],[Reporting Year]]&amp;"; "&amp;P4323&amp;AS[[#This Row],[Insurance Category Code]]&amp;"; "&amp;Q4323&amp;AS[[#This Row],[Large Provider Entity Code]]&amp;"; "&amp;R4323&amp;AS[[#This Row],[Age Band Code]]&amp;"; "&amp;S4323&amp;AS[[#This Row],[Sex Code]]</f>
        <v xml:space="preserve">Insurer Code ; Reporting Year ; Insurance Category Code ; Large Provider Entity Code ; Age Band Code ; Sex Code </v>
      </c>
      <c r="N4323" s="345" t="s">
        <v>207</v>
      </c>
      <c r="O4323" s="345" t="s">
        <v>208</v>
      </c>
      <c r="P4323" s="345" t="s">
        <v>209</v>
      </c>
      <c r="Q4323" s="345" t="s">
        <v>210</v>
      </c>
      <c r="R4323" s="345" t="s">
        <v>223</v>
      </c>
      <c r="S4323" s="345" t="s">
        <v>224</v>
      </c>
    </row>
    <row r="4324" spans="1:19" x14ac:dyDescent="0.25">
      <c r="A4324" s="311"/>
      <c r="B4324" s="312"/>
      <c r="C4324" s="312"/>
      <c r="D4324" s="312"/>
      <c r="E4324" s="312"/>
      <c r="F4324" s="312"/>
      <c r="G4324" s="328"/>
      <c r="H4324" s="337"/>
      <c r="I4324" s="334"/>
      <c r="J4324" s="314"/>
      <c r="K4324" s="449"/>
      <c r="M4324" s="349" t="str">
        <f>N4324&amp;AS[[#This Row],[Insurer Code]]&amp;"; "&amp;O4324&amp;AS[[#This Row],[Reporting Year]]&amp;"; "&amp;P4324&amp;AS[[#This Row],[Insurance Category Code]]&amp;"; "&amp;Q4324&amp;AS[[#This Row],[Large Provider Entity Code]]&amp;"; "&amp;R4324&amp;AS[[#This Row],[Age Band Code]]&amp;"; "&amp;S4324&amp;AS[[#This Row],[Sex Code]]</f>
        <v xml:space="preserve">Insurer Code ; Reporting Year ; Insurance Category Code ; Large Provider Entity Code ; Age Band Code ; Sex Code </v>
      </c>
      <c r="N4324" s="345" t="s">
        <v>207</v>
      </c>
      <c r="O4324" s="345" t="s">
        <v>208</v>
      </c>
      <c r="P4324" s="345" t="s">
        <v>209</v>
      </c>
      <c r="Q4324" s="345" t="s">
        <v>210</v>
      </c>
      <c r="R4324" s="345" t="s">
        <v>223</v>
      </c>
      <c r="S4324" s="345" t="s">
        <v>224</v>
      </c>
    </row>
    <row r="4325" spans="1:19" x14ac:dyDescent="0.25">
      <c r="A4325" s="311"/>
      <c r="B4325" s="312"/>
      <c r="C4325" s="312"/>
      <c r="D4325" s="312"/>
      <c r="E4325" s="312"/>
      <c r="F4325" s="312"/>
      <c r="G4325" s="328"/>
      <c r="H4325" s="337"/>
      <c r="I4325" s="334"/>
      <c r="J4325" s="314"/>
      <c r="K4325" s="449"/>
      <c r="M4325" s="349" t="str">
        <f>N4325&amp;AS[[#This Row],[Insurer Code]]&amp;"; "&amp;O4325&amp;AS[[#This Row],[Reporting Year]]&amp;"; "&amp;P4325&amp;AS[[#This Row],[Insurance Category Code]]&amp;"; "&amp;Q4325&amp;AS[[#This Row],[Large Provider Entity Code]]&amp;"; "&amp;R4325&amp;AS[[#This Row],[Age Band Code]]&amp;"; "&amp;S4325&amp;AS[[#This Row],[Sex Code]]</f>
        <v xml:space="preserve">Insurer Code ; Reporting Year ; Insurance Category Code ; Large Provider Entity Code ; Age Band Code ; Sex Code </v>
      </c>
      <c r="N4325" s="345" t="s">
        <v>207</v>
      </c>
      <c r="O4325" s="345" t="s">
        <v>208</v>
      </c>
      <c r="P4325" s="345" t="s">
        <v>209</v>
      </c>
      <c r="Q4325" s="345" t="s">
        <v>210</v>
      </c>
      <c r="R4325" s="345" t="s">
        <v>223</v>
      </c>
      <c r="S4325" s="345" t="s">
        <v>224</v>
      </c>
    </row>
    <row r="4326" spans="1:19" x14ac:dyDescent="0.25">
      <c r="A4326" s="311"/>
      <c r="B4326" s="312"/>
      <c r="C4326" s="312"/>
      <c r="D4326" s="312"/>
      <c r="E4326" s="312"/>
      <c r="F4326" s="312"/>
      <c r="G4326" s="328"/>
      <c r="H4326" s="337"/>
      <c r="I4326" s="334"/>
      <c r="J4326" s="314"/>
      <c r="K4326" s="449"/>
      <c r="M4326" s="349" t="str">
        <f>N4326&amp;AS[[#This Row],[Insurer Code]]&amp;"; "&amp;O4326&amp;AS[[#This Row],[Reporting Year]]&amp;"; "&amp;P4326&amp;AS[[#This Row],[Insurance Category Code]]&amp;"; "&amp;Q4326&amp;AS[[#This Row],[Large Provider Entity Code]]&amp;"; "&amp;R4326&amp;AS[[#This Row],[Age Band Code]]&amp;"; "&amp;S4326&amp;AS[[#This Row],[Sex Code]]</f>
        <v xml:space="preserve">Insurer Code ; Reporting Year ; Insurance Category Code ; Large Provider Entity Code ; Age Band Code ; Sex Code </v>
      </c>
      <c r="N4326" s="345" t="s">
        <v>207</v>
      </c>
      <c r="O4326" s="345" t="s">
        <v>208</v>
      </c>
      <c r="P4326" s="345" t="s">
        <v>209</v>
      </c>
      <c r="Q4326" s="345" t="s">
        <v>210</v>
      </c>
      <c r="R4326" s="345" t="s">
        <v>223</v>
      </c>
      <c r="S4326" s="345" t="s">
        <v>224</v>
      </c>
    </row>
    <row r="4327" spans="1:19" x14ac:dyDescent="0.25">
      <c r="A4327" s="311"/>
      <c r="B4327" s="312"/>
      <c r="C4327" s="312"/>
      <c r="D4327" s="312"/>
      <c r="E4327" s="312"/>
      <c r="F4327" s="312"/>
      <c r="G4327" s="328"/>
      <c r="H4327" s="337"/>
      <c r="I4327" s="334"/>
      <c r="J4327" s="314"/>
      <c r="K4327" s="449"/>
      <c r="M4327" s="349" t="str">
        <f>N4327&amp;AS[[#This Row],[Insurer Code]]&amp;"; "&amp;O4327&amp;AS[[#This Row],[Reporting Year]]&amp;"; "&amp;P4327&amp;AS[[#This Row],[Insurance Category Code]]&amp;"; "&amp;Q4327&amp;AS[[#This Row],[Large Provider Entity Code]]&amp;"; "&amp;R4327&amp;AS[[#This Row],[Age Band Code]]&amp;"; "&amp;S4327&amp;AS[[#This Row],[Sex Code]]</f>
        <v xml:space="preserve">Insurer Code ; Reporting Year ; Insurance Category Code ; Large Provider Entity Code ; Age Band Code ; Sex Code </v>
      </c>
      <c r="N4327" s="345" t="s">
        <v>207</v>
      </c>
      <c r="O4327" s="345" t="s">
        <v>208</v>
      </c>
      <c r="P4327" s="345" t="s">
        <v>209</v>
      </c>
      <c r="Q4327" s="345" t="s">
        <v>210</v>
      </c>
      <c r="R4327" s="345" t="s">
        <v>223</v>
      </c>
      <c r="S4327" s="345" t="s">
        <v>224</v>
      </c>
    </row>
    <row r="4328" spans="1:19" x14ac:dyDescent="0.25">
      <c r="A4328" s="311"/>
      <c r="B4328" s="312"/>
      <c r="C4328" s="312"/>
      <c r="D4328" s="312"/>
      <c r="E4328" s="312"/>
      <c r="F4328" s="312"/>
      <c r="G4328" s="328"/>
      <c r="H4328" s="337"/>
      <c r="I4328" s="334"/>
      <c r="J4328" s="314"/>
      <c r="K4328" s="449"/>
      <c r="M4328" s="349" t="str">
        <f>N4328&amp;AS[[#This Row],[Insurer Code]]&amp;"; "&amp;O4328&amp;AS[[#This Row],[Reporting Year]]&amp;"; "&amp;P4328&amp;AS[[#This Row],[Insurance Category Code]]&amp;"; "&amp;Q4328&amp;AS[[#This Row],[Large Provider Entity Code]]&amp;"; "&amp;R4328&amp;AS[[#This Row],[Age Band Code]]&amp;"; "&amp;S4328&amp;AS[[#This Row],[Sex Code]]</f>
        <v xml:space="preserve">Insurer Code ; Reporting Year ; Insurance Category Code ; Large Provider Entity Code ; Age Band Code ; Sex Code </v>
      </c>
      <c r="N4328" s="345" t="s">
        <v>207</v>
      </c>
      <c r="O4328" s="345" t="s">
        <v>208</v>
      </c>
      <c r="P4328" s="345" t="s">
        <v>209</v>
      </c>
      <c r="Q4328" s="345" t="s">
        <v>210</v>
      </c>
      <c r="R4328" s="345" t="s">
        <v>223</v>
      </c>
      <c r="S4328" s="345" t="s">
        <v>224</v>
      </c>
    </row>
    <row r="4329" spans="1:19" x14ac:dyDescent="0.25">
      <c r="A4329" s="311"/>
      <c r="B4329" s="312"/>
      <c r="C4329" s="312"/>
      <c r="D4329" s="312"/>
      <c r="E4329" s="312"/>
      <c r="F4329" s="312"/>
      <c r="G4329" s="328"/>
      <c r="H4329" s="337"/>
      <c r="I4329" s="334"/>
      <c r="J4329" s="314"/>
      <c r="K4329" s="449"/>
      <c r="M4329" s="349" t="str">
        <f>N4329&amp;AS[[#This Row],[Insurer Code]]&amp;"; "&amp;O4329&amp;AS[[#This Row],[Reporting Year]]&amp;"; "&amp;P4329&amp;AS[[#This Row],[Insurance Category Code]]&amp;"; "&amp;Q4329&amp;AS[[#This Row],[Large Provider Entity Code]]&amp;"; "&amp;R4329&amp;AS[[#This Row],[Age Band Code]]&amp;"; "&amp;S4329&amp;AS[[#This Row],[Sex Code]]</f>
        <v xml:space="preserve">Insurer Code ; Reporting Year ; Insurance Category Code ; Large Provider Entity Code ; Age Band Code ; Sex Code </v>
      </c>
      <c r="N4329" s="345" t="s">
        <v>207</v>
      </c>
      <c r="O4329" s="345" t="s">
        <v>208</v>
      </c>
      <c r="P4329" s="345" t="s">
        <v>209</v>
      </c>
      <c r="Q4329" s="345" t="s">
        <v>210</v>
      </c>
      <c r="R4329" s="345" t="s">
        <v>223</v>
      </c>
      <c r="S4329" s="345" t="s">
        <v>224</v>
      </c>
    </row>
    <row r="4330" spans="1:19" x14ac:dyDescent="0.25">
      <c r="A4330" s="311"/>
      <c r="B4330" s="312"/>
      <c r="C4330" s="312"/>
      <c r="D4330" s="312"/>
      <c r="E4330" s="312"/>
      <c r="F4330" s="312"/>
      <c r="G4330" s="328"/>
      <c r="H4330" s="337"/>
      <c r="I4330" s="334"/>
      <c r="J4330" s="314"/>
      <c r="K4330" s="449"/>
      <c r="M4330" s="349" t="str">
        <f>N4330&amp;AS[[#This Row],[Insurer Code]]&amp;"; "&amp;O4330&amp;AS[[#This Row],[Reporting Year]]&amp;"; "&amp;P4330&amp;AS[[#This Row],[Insurance Category Code]]&amp;"; "&amp;Q4330&amp;AS[[#This Row],[Large Provider Entity Code]]&amp;"; "&amp;R4330&amp;AS[[#This Row],[Age Band Code]]&amp;"; "&amp;S4330&amp;AS[[#This Row],[Sex Code]]</f>
        <v xml:space="preserve">Insurer Code ; Reporting Year ; Insurance Category Code ; Large Provider Entity Code ; Age Band Code ; Sex Code </v>
      </c>
      <c r="N4330" s="345" t="s">
        <v>207</v>
      </c>
      <c r="O4330" s="345" t="s">
        <v>208</v>
      </c>
      <c r="P4330" s="345" t="s">
        <v>209</v>
      </c>
      <c r="Q4330" s="345" t="s">
        <v>210</v>
      </c>
      <c r="R4330" s="345" t="s">
        <v>223</v>
      </c>
      <c r="S4330" s="345" t="s">
        <v>224</v>
      </c>
    </row>
    <row r="4331" spans="1:19" x14ac:dyDescent="0.25">
      <c r="A4331" s="311"/>
      <c r="B4331" s="312"/>
      <c r="C4331" s="312"/>
      <c r="D4331" s="312"/>
      <c r="E4331" s="312"/>
      <c r="F4331" s="312"/>
      <c r="G4331" s="328"/>
      <c r="H4331" s="337"/>
      <c r="I4331" s="334"/>
      <c r="J4331" s="314"/>
      <c r="K4331" s="449"/>
      <c r="M4331" s="349" t="str">
        <f>N4331&amp;AS[[#This Row],[Insurer Code]]&amp;"; "&amp;O4331&amp;AS[[#This Row],[Reporting Year]]&amp;"; "&amp;P4331&amp;AS[[#This Row],[Insurance Category Code]]&amp;"; "&amp;Q4331&amp;AS[[#This Row],[Large Provider Entity Code]]&amp;"; "&amp;R4331&amp;AS[[#This Row],[Age Band Code]]&amp;"; "&amp;S4331&amp;AS[[#This Row],[Sex Code]]</f>
        <v xml:space="preserve">Insurer Code ; Reporting Year ; Insurance Category Code ; Large Provider Entity Code ; Age Band Code ; Sex Code </v>
      </c>
      <c r="N4331" s="345" t="s">
        <v>207</v>
      </c>
      <c r="O4331" s="345" t="s">
        <v>208</v>
      </c>
      <c r="P4331" s="345" t="s">
        <v>209</v>
      </c>
      <c r="Q4331" s="345" t="s">
        <v>210</v>
      </c>
      <c r="R4331" s="345" t="s">
        <v>223</v>
      </c>
      <c r="S4331" s="345" t="s">
        <v>224</v>
      </c>
    </row>
    <row r="4332" spans="1:19" x14ac:dyDescent="0.25">
      <c r="A4332" s="311"/>
      <c r="B4332" s="312"/>
      <c r="C4332" s="312"/>
      <c r="D4332" s="312"/>
      <c r="E4332" s="312"/>
      <c r="F4332" s="312"/>
      <c r="G4332" s="328"/>
      <c r="H4332" s="337"/>
      <c r="I4332" s="334"/>
      <c r="J4332" s="314"/>
      <c r="K4332" s="449"/>
      <c r="M4332" s="349" t="str">
        <f>N4332&amp;AS[[#This Row],[Insurer Code]]&amp;"; "&amp;O4332&amp;AS[[#This Row],[Reporting Year]]&amp;"; "&amp;P4332&amp;AS[[#This Row],[Insurance Category Code]]&amp;"; "&amp;Q4332&amp;AS[[#This Row],[Large Provider Entity Code]]&amp;"; "&amp;R4332&amp;AS[[#This Row],[Age Band Code]]&amp;"; "&amp;S4332&amp;AS[[#This Row],[Sex Code]]</f>
        <v xml:space="preserve">Insurer Code ; Reporting Year ; Insurance Category Code ; Large Provider Entity Code ; Age Band Code ; Sex Code </v>
      </c>
      <c r="N4332" s="345" t="s">
        <v>207</v>
      </c>
      <c r="O4332" s="345" t="s">
        <v>208</v>
      </c>
      <c r="P4332" s="345" t="s">
        <v>209</v>
      </c>
      <c r="Q4332" s="345" t="s">
        <v>210</v>
      </c>
      <c r="R4332" s="345" t="s">
        <v>223</v>
      </c>
      <c r="S4332" s="345" t="s">
        <v>224</v>
      </c>
    </row>
    <row r="4333" spans="1:19" x14ac:dyDescent="0.25">
      <c r="A4333" s="311"/>
      <c r="B4333" s="312"/>
      <c r="C4333" s="312"/>
      <c r="D4333" s="312"/>
      <c r="E4333" s="312"/>
      <c r="F4333" s="312"/>
      <c r="G4333" s="328"/>
      <c r="H4333" s="337"/>
      <c r="I4333" s="334"/>
      <c r="J4333" s="314"/>
      <c r="K4333" s="449"/>
      <c r="M4333" s="349" t="str">
        <f>N4333&amp;AS[[#This Row],[Insurer Code]]&amp;"; "&amp;O4333&amp;AS[[#This Row],[Reporting Year]]&amp;"; "&amp;P4333&amp;AS[[#This Row],[Insurance Category Code]]&amp;"; "&amp;Q4333&amp;AS[[#This Row],[Large Provider Entity Code]]&amp;"; "&amp;R4333&amp;AS[[#This Row],[Age Band Code]]&amp;"; "&amp;S4333&amp;AS[[#This Row],[Sex Code]]</f>
        <v xml:space="preserve">Insurer Code ; Reporting Year ; Insurance Category Code ; Large Provider Entity Code ; Age Band Code ; Sex Code </v>
      </c>
      <c r="N4333" s="345" t="s">
        <v>207</v>
      </c>
      <c r="O4333" s="345" t="s">
        <v>208</v>
      </c>
      <c r="P4333" s="345" t="s">
        <v>209</v>
      </c>
      <c r="Q4333" s="345" t="s">
        <v>210</v>
      </c>
      <c r="R4333" s="345" t="s">
        <v>223</v>
      </c>
      <c r="S4333" s="345" t="s">
        <v>224</v>
      </c>
    </row>
    <row r="4334" spans="1:19" x14ac:dyDescent="0.25">
      <c r="A4334" s="311"/>
      <c r="B4334" s="312"/>
      <c r="C4334" s="312"/>
      <c r="D4334" s="312"/>
      <c r="E4334" s="312"/>
      <c r="F4334" s="312"/>
      <c r="G4334" s="328"/>
      <c r="H4334" s="337"/>
      <c r="I4334" s="334"/>
      <c r="J4334" s="314"/>
      <c r="K4334" s="449"/>
      <c r="M4334" s="349" t="str">
        <f>N4334&amp;AS[[#This Row],[Insurer Code]]&amp;"; "&amp;O4334&amp;AS[[#This Row],[Reporting Year]]&amp;"; "&amp;P4334&amp;AS[[#This Row],[Insurance Category Code]]&amp;"; "&amp;Q4334&amp;AS[[#This Row],[Large Provider Entity Code]]&amp;"; "&amp;R4334&amp;AS[[#This Row],[Age Band Code]]&amp;"; "&amp;S4334&amp;AS[[#This Row],[Sex Code]]</f>
        <v xml:space="preserve">Insurer Code ; Reporting Year ; Insurance Category Code ; Large Provider Entity Code ; Age Band Code ; Sex Code </v>
      </c>
      <c r="N4334" s="345" t="s">
        <v>207</v>
      </c>
      <c r="O4334" s="345" t="s">
        <v>208</v>
      </c>
      <c r="P4334" s="345" t="s">
        <v>209</v>
      </c>
      <c r="Q4334" s="345" t="s">
        <v>210</v>
      </c>
      <c r="R4334" s="345" t="s">
        <v>223</v>
      </c>
      <c r="S4334" s="345" t="s">
        <v>224</v>
      </c>
    </row>
    <row r="4335" spans="1:19" x14ac:dyDescent="0.25">
      <c r="A4335" s="311"/>
      <c r="B4335" s="312"/>
      <c r="C4335" s="312"/>
      <c r="D4335" s="312"/>
      <c r="E4335" s="312"/>
      <c r="F4335" s="312"/>
      <c r="G4335" s="328"/>
      <c r="H4335" s="337"/>
      <c r="I4335" s="334"/>
      <c r="J4335" s="314"/>
      <c r="K4335" s="449"/>
      <c r="M4335" s="349" t="str">
        <f>N4335&amp;AS[[#This Row],[Insurer Code]]&amp;"; "&amp;O4335&amp;AS[[#This Row],[Reporting Year]]&amp;"; "&amp;P4335&amp;AS[[#This Row],[Insurance Category Code]]&amp;"; "&amp;Q4335&amp;AS[[#This Row],[Large Provider Entity Code]]&amp;"; "&amp;R4335&amp;AS[[#This Row],[Age Band Code]]&amp;"; "&amp;S4335&amp;AS[[#This Row],[Sex Code]]</f>
        <v xml:space="preserve">Insurer Code ; Reporting Year ; Insurance Category Code ; Large Provider Entity Code ; Age Band Code ; Sex Code </v>
      </c>
      <c r="N4335" s="345" t="s">
        <v>207</v>
      </c>
      <c r="O4335" s="345" t="s">
        <v>208</v>
      </c>
      <c r="P4335" s="345" t="s">
        <v>209</v>
      </c>
      <c r="Q4335" s="345" t="s">
        <v>210</v>
      </c>
      <c r="R4335" s="345" t="s">
        <v>223</v>
      </c>
      <c r="S4335" s="345" t="s">
        <v>224</v>
      </c>
    </row>
    <row r="4336" spans="1:19" x14ac:dyDescent="0.25">
      <c r="A4336" s="311"/>
      <c r="B4336" s="312"/>
      <c r="C4336" s="312"/>
      <c r="D4336" s="312"/>
      <c r="E4336" s="312"/>
      <c r="F4336" s="312"/>
      <c r="G4336" s="328"/>
      <c r="H4336" s="337"/>
      <c r="I4336" s="334"/>
      <c r="J4336" s="314"/>
      <c r="K4336" s="449"/>
      <c r="M4336" s="349" t="str">
        <f>N4336&amp;AS[[#This Row],[Insurer Code]]&amp;"; "&amp;O4336&amp;AS[[#This Row],[Reporting Year]]&amp;"; "&amp;P4336&amp;AS[[#This Row],[Insurance Category Code]]&amp;"; "&amp;Q4336&amp;AS[[#This Row],[Large Provider Entity Code]]&amp;"; "&amp;R4336&amp;AS[[#This Row],[Age Band Code]]&amp;"; "&amp;S4336&amp;AS[[#This Row],[Sex Code]]</f>
        <v xml:space="preserve">Insurer Code ; Reporting Year ; Insurance Category Code ; Large Provider Entity Code ; Age Band Code ; Sex Code </v>
      </c>
      <c r="N4336" s="345" t="s">
        <v>207</v>
      </c>
      <c r="O4336" s="345" t="s">
        <v>208</v>
      </c>
      <c r="P4336" s="345" t="s">
        <v>209</v>
      </c>
      <c r="Q4336" s="345" t="s">
        <v>210</v>
      </c>
      <c r="R4336" s="345" t="s">
        <v>223</v>
      </c>
      <c r="S4336" s="345" t="s">
        <v>224</v>
      </c>
    </row>
    <row r="4337" spans="1:19" x14ac:dyDescent="0.25">
      <c r="A4337" s="311"/>
      <c r="B4337" s="312"/>
      <c r="C4337" s="312"/>
      <c r="D4337" s="312"/>
      <c r="E4337" s="312"/>
      <c r="F4337" s="312"/>
      <c r="G4337" s="328"/>
      <c r="H4337" s="337"/>
      <c r="I4337" s="334"/>
      <c r="J4337" s="314"/>
      <c r="K4337" s="449"/>
      <c r="M4337" s="349" t="str">
        <f>N4337&amp;AS[[#This Row],[Insurer Code]]&amp;"; "&amp;O4337&amp;AS[[#This Row],[Reporting Year]]&amp;"; "&amp;P4337&amp;AS[[#This Row],[Insurance Category Code]]&amp;"; "&amp;Q4337&amp;AS[[#This Row],[Large Provider Entity Code]]&amp;"; "&amp;R4337&amp;AS[[#This Row],[Age Band Code]]&amp;"; "&amp;S4337&amp;AS[[#This Row],[Sex Code]]</f>
        <v xml:space="preserve">Insurer Code ; Reporting Year ; Insurance Category Code ; Large Provider Entity Code ; Age Band Code ; Sex Code </v>
      </c>
      <c r="N4337" s="345" t="s">
        <v>207</v>
      </c>
      <c r="O4337" s="345" t="s">
        <v>208</v>
      </c>
      <c r="P4337" s="345" t="s">
        <v>209</v>
      </c>
      <c r="Q4337" s="345" t="s">
        <v>210</v>
      </c>
      <c r="R4337" s="345" t="s">
        <v>223</v>
      </c>
      <c r="S4337" s="345" t="s">
        <v>224</v>
      </c>
    </row>
    <row r="4338" spans="1:19" x14ac:dyDescent="0.25">
      <c r="A4338" s="311"/>
      <c r="B4338" s="312"/>
      <c r="C4338" s="312"/>
      <c r="D4338" s="312"/>
      <c r="E4338" s="312"/>
      <c r="F4338" s="312"/>
      <c r="G4338" s="328"/>
      <c r="H4338" s="337"/>
      <c r="I4338" s="334"/>
      <c r="J4338" s="314"/>
      <c r="K4338" s="449"/>
      <c r="M4338" s="349" t="str">
        <f>N4338&amp;AS[[#This Row],[Insurer Code]]&amp;"; "&amp;O4338&amp;AS[[#This Row],[Reporting Year]]&amp;"; "&amp;P4338&amp;AS[[#This Row],[Insurance Category Code]]&amp;"; "&amp;Q4338&amp;AS[[#This Row],[Large Provider Entity Code]]&amp;"; "&amp;R4338&amp;AS[[#This Row],[Age Band Code]]&amp;"; "&amp;S4338&amp;AS[[#This Row],[Sex Code]]</f>
        <v xml:space="preserve">Insurer Code ; Reporting Year ; Insurance Category Code ; Large Provider Entity Code ; Age Band Code ; Sex Code </v>
      </c>
      <c r="N4338" s="345" t="s">
        <v>207</v>
      </c>
      <c r="O4338" s="345" t="s">
        <v>208</v>
      </c>
      <c r="P4338" s="345" t="s">
        <v>209</v>
      </c>
      <c r="Q4338" s="345" t="s">
        <v>210</v>
      </c>
      <c r="R4338" s="345" t="s">
        <v>223</v>
      </c>
      <c r="S4338" s="345" t="s">
        <v>224</v>
      </c>
    </row>
    <row r="4339" spans="1:19" x14ac:dyDescent="0.25">
      <c r="A4339" s="311"/>
      <c r="B4339" s="312"/>
      <c r="C4339" s="312"/>
      <c r="D4339" s="312"/>
      <c r="E4339" s="312"/>
      <c r="F4339" s="312"/>
      <c r="G4339" s="328"/>
      <c r="H4339" s="337"/>
      <c r="I4339" s="334"/>
      <c r="J4339" s="314"/>
      <c r="K4339" s="449"/>
      <c r="M4339" s="349" t="str">
        <f>N4339&amp;AS[[#This Row],[Insurer Code]]&amp;"; "&amp;O4339&amp;AS[[#This Row],[Reporting Year]]&amp;"; "&amp;P4339&amp;AS[[#This Row],[Insurance Category Code]]&amp;"; "&amp;Q4339&amp;AS[[#This Row],[Large Provider Entity Code]]&amp;"; "&amp;R4339&amp;AS[[#This Row],[Age Band Code]]&amp;"; "&amp;S4339&amp;AS[[#This Row],[Sex Code]]</f>
        <v xml:space="preserve">Insurer Code ; Reporting Year ; Insurance Category Code ; Large Provider Entity Code ; Age Band Code ; Sex Code </v>
      </c>
      <c r="N4339" s="345" t="s">
        <v>207</v>
      </c>
      <c r="O4339" s="345" t="s">
        <v>208</v>
      </c>
      <c r="P4339" s="345" t="s">
        <v>209</v>
      </c>
      <c r="Q4339" s="345" t="s">
        <v>210</v>
      </c>
      <c r="R4339" s="345" t="s">
        <v>223</v>
      </c>
      <c r="S4339" s="345" t="s">
        <v>224</v>
      </c>
    </row>
    <row r="4340" spans="1:19" x14ac:dyDescent="0.25">
      <c r="A4340" s="311"/>
      <c r="B4340" s="312"/>
      <c r="C4340" s="312"/>
      <c r="D4340" s="312"/>
      <c r="E4340" s="312"/>
      <c r="F4340" s="312"/>
      <c r="G4340" s="328"/>
      <c r="H4340" s="337"/>
      <c r="I4340" s="334"/>
      <c r="J4340" s="314"/>
      <c r="K4340" s="449"/>
      <c r="M4340" s="349" t="str">
        <f>N4340&amp;AS[[#This Row],[Insurer Code]]&amp;"; "&amp;O4340&amp;AS[[#This Row],[Reporting Year]]&amp;"; "&amp;P4340&amp;AS[[#This Row],[Insurance Category Code]]&amp;"; "&amp;Q4340&amp;AS[[#This Row],[Large Provider Entity Code]]&amp;"; "&amp;R4340&amp;AS[[#This Row],[Age Band Code]]&amp;"; "&amp;S4340&amp;AS[[#This Row],[Sex Code]]</f>
        <v xml:space="preserve">Insurer Code ; Reporting Year ; Insurance Category Code ; Large Provider Entity Code ; Age Band Code ; Sex Code </v>
      </c>
      <c r="N4340" s="345" t="s">
        <v>207</v>
      </c>
      <c r="O4340" s="345" t="s">
        <v>208</v>
      </c>
      <c r="P4340" s="345" t="s">
        <v>209</v>
      </c>
      <c r="Q4340" s="345" t="s">
        <v>210</v>
      </c>
      <c r="R4340" s="345" t="s">
        <v>223</v>
      </c>
      <c r="S4340" s="345" t="s">
        <v>224</v>
      </c>
    </row>
    <row r="4341" spans="1:19" x14ac:dyDescent="0.25">
      <c r="A4341" s="311"/>
      <c r="B4341" s="312"/>
      <c r="C4341" s="312"/>
      <c r="D4341" s="312"/>
      <c r="E4341" s="312"/>
      <c r="F4341" s="312"/>
      <c r="G4341" s="328"/>
      <c r="H4341" s="337"/>
      <c r="I4341" s="334"/>
      <c r="J4341" s="314"/>
      <c r="K4341" s="449"/>
      <c r="M4341" s="349" t="str">
        <f>N4341&amp;AS[[#This Row],[Insurer Code]]&amp;"; "&amp;O4341&amp;AS[[#This Row],[Reporting Year]]&amp;"; "&amp;P4341&amp;AS[[#This Row],[Insurance Category Code]]&amp;"; "&amp;Q4341&amp;AS[[#This Row],[Large Provider Entity Code]]&amp;"; "&amp;R4341&amp;AS[[#This Row],[Age Band Code]]&amp;"; "&amp;S4341&amp;AS[[#This Row],[Sex Code]]</f>
        <v xml:space="preserve">Insurer Code ; Reporting Year ; Insurance Category Code ; Large Provider Entity Code ; Age Band Code ; Sex Code </v>
      </c>
      <c r="N4341" s="345" t="s">
        <v>207</v>
      </c>
      <c r="O4341" s="345" t="s">
        <v>208</v>
      </c>
      <c r="P4341" s="345" t="s">
        <v>209</v>
      </c>
      <c r="Q4341" s="345" t="s">
        <v>210</v>
      </c>
      <c r="R4341" s="345" t="s">
        <v>223</v>
      </c>
      <c r="S4341" s="345" t="s">
        <v>224</v>
      </c>
    </row>
    <row r="4342" spans="1:19" x14ac:dyDescent="0.25">
      <c r="A4342" s="311"/>
      <c r="B4342" s="312"/>
      <c r="C4342" s="312"/>
      <c r="D4342" s="312"/>
      <c r="E4342" s="312"/>
      <c r="F4342" s="312"/>
      <c r="G4342" s="328"/>
      <c r="H4342" s="337"/>
      <c r="I4342" s="334"/>
      <c r="J4342" s="314"/>
      <c r="K4342" s="449"/>
      <c r="M4342" s="349" t="str">
        <f>N4342&amp;AS[[#This Row],[Insurer Code]]&amp;"; "&amp;O4342&amp;AS[[#This Row],[Reporting Year]]&amp;"; "&amp;P4342&amp;AS[[#This Row],[Insurance Category Code]]&amp;"; "&amp;Q4342&amp;AS[[#This Row],[Large Provider Entity Code]]&amp;"; "&amp;R4342&amp;AS[[#This Row],[Age Band Code]]&amp;"; "&amp;S4342&amp;AS[[#This Row],[Sex Code]]</f>
        <v xml:space="preserve">Insurer Code ; Reporting Year ; Insurance Category Code ; Large Provider Entity Code ; Age Band Code ; Sex Code </v>
      </c>
      <c r="N4342" s="345" t="s">
        <v>207</v>
      </c>
      <c r="O4342" s="345" t="s">
        <v>208</v>
      </c>
      <c r="P4342" s="345" t="s">
        <v>209</v>
      </c>
      <c r="Q4342" s="345" t="s">
        <v>210</v>
      </c>
      <c r="R4342" s="345" t="s">
        <v>223</v>
      </c>
      <c r="S4342" s="345" t="s">
        <v>224</v>
      </c>
    </row>
    <row r="4343" spans="1:19" x14ac:dyDescent="0.25">
      <c r="A4343" s="311"/>
      <c r="B4343" s="312"/>
      <c r="C4343" s="312"/>
      <c r="D4343" s="312"/>
      <c r="E4343" s="312"/>
      <c r="F4343" s="312"/>
      <c r="G4343" s="328"/>
      <c r="H4343" s="337"/>
      <c r="I4343" s="334"/>
      <c r="J4343" s="314"/>
      <c r="K4343" s="449"/>
      <c r="M4343" s="349" t="str">
        <f>N4343&amp;AS[[#This Row],[Insurer Code]]&amp;"; "&amp;O4343&amp;AS[[#This Row],[Reporting Year]]&amp;"; "&amp;P4343&amp;AS[[#This Row],[Insurance Category Code]]&amp;"; "&amp;Q4343&amp;AS[[#This Row],[Large Provider Entity Code]]&amp;"; "&amp;R4343&amp;AS[[#This Row],[Age Band Code]]&amp;"; "&amp;S4343&amp;AS[[#This Row],[Sex Code]]</f>
        <v xml:space="preserve">Insurer Code ; Reporting Year ; Insurance Category Code ; Large Provider Entity Code ; Age Band Code ; Sex Code </v>
      </c>
      <c r="N4343" s="345" t="s">
        <v>207</v>
      </c>
      <c r="O4343" s="345" t="s">
        <v>208</v>
      </c>
      <c r="P4343" s="345" t="s">
        <v>209</v>
      </c>
      <c r="Q4343" s="345" t="s">
        <v>210</v>
      </c>
      <c r="R4343" s="345" t="s">
        <v>223</v>
      </c>
      <c r="S4343" s="345" t="s">
        <v>224</v>
      </c>
    </row>
    <row r="4344" spans="1:19" x14ac:dyDescent="0.25">
      <c r="A4344" s="311"/>
      <c r="B4344" s="312"/>
      <c r="C4344" s="312"/>
      <c r="D4344" s="312"/>
      <c r="E4344" s="312"/>
      <c r="F4344" s="312"/>
      <c r="G4344" s="328"/>
      <c r="H4344" s="337"/>
      <c r="I4344" s="334"/>
      <c r="J4344" s="314"/>
      <c r="K4344" s="449"/>
      <c r="M4344" s="349" t="str">
        <f>N4344&amp;AS[[#This Row],[Insurer Code]]&amp;"; "&amp;O4344&amp;AS[[#This Row],[Reporting Year]]&amp;"; "&amp;P4344&amp;AS[[#This Row],[Insurance Category Code]]&amp;"; "&amp;Q4344&amp;AS[[#This Row],[Large Provider Entity Code]]&amp;"; "&amp;R4344&amp;AS[[#This Row],[Age Band Code]]&amp;"; "&amp;S4344&amp;AS[[#This Row],[Sex Code]]</f>
        <v xml:space="preserve">Insurer Code ; Reporting Year ; Insurance Category Code ; Large Provider Entity Code ; Age Band Code ; Sex Code </v>
      </c>
      <c r="N4344" s="345" t="s">
        <v>207</v>
      </c>
      <c r="O4344" s="345" t="s">
        <v>208</v>
      </c>
      <c r="P4344" s="345" t="s">
        <v>209</v>
      </c>
      <c r="Q4344" s="345" t="s">
        <v>210</v>
      </c>
      <c r="R4344" s="345" t="s">
        <v>223</v>
      </c>
      <c r="S4344" s="345" t="s">
        <v>224</v>
      </c>
    </row>
    <row r="4345" spans="1:19" x14ac:dyDescent="0.25">
      <c r="A4345" s="311"/>
      <c r="B4345" s="312"/>
      <c r="C4345" s="312"/>
      <c r="D4345" s="312"/>
      <c r="E4345" s="312"/>
      <c r="F4345" s="312"/>
      <c r="G4345" s="328"/>
      <c r="H4345" s="337"/>
      <c r="I4345" s="334"/>
      <c r="J4345" s="314"/>
      <c r="K4345" s="449"/>
      <c r="M4345" s="349" t="str">
        <f>N4345&amp;AS[[#This Row],[Insurer Code]]&amp;"; "&amp;O4345&amp;AS[[#This Row],[Reporting Year]]&amp;"; "&amp;P4345&amp;AS[[#This Row],[Insurance Category Code]]&amp;"; "&amp;Q4345&amp;AS[[#This Row],[Large Provider Entity Code]]&amp;"; "&amp;R4345&amp;AS[[#This Row],[Age Band Code]]&amp;"; "&amp;S4345&amp;AS[[#This Row],[Sex Code]]</f>
        <v xml:space="preserve">Insurer Code ; Reporting Year ; Insurance Category Code ; Large Provider Entity Code ; Age Band Code ; Sex Code </v>
      </c>
      <c r="N4345" s="345" t="s">
        <v>207</v>
      </c>
      <c r="O4345" s="345" t="s">
        <v>208</v>
      </c>
      <c r="P4345" s="345" t="s">
        <v>209</v>
      </c>
      <c r="Q4345" s="345" t="s">
        <v>210</v>
      </c>
      <c r="R4345" s="345" t="s">
        <v>223</v>
      </c>
      <c r="S4345" s="345" t="s">
        <v>224</v>
      </c>
    </row>
    <row r="4346" spans="1:19" x14ac:dyDescent="0.25">
      <c r="A4346" s="311"/>
      <c r="B4346" s="312"/>
      <c r="C4346" s="312"/>
      <c r="D4346" s="312"/>
      <c r="E4346" s="312"/>
      <c r="F4346" s="312"/>
      <c r="G4346" s="328"/>
      <c r="H4346" s="337"/>
      <c r="I4346" s="334"/>
      <c r="J4346" s="314"/>
      <c r="K4346" s="449"/>
      <c r="M4346" s="349" t="str">
        <f>N4346&amp;AS[[#This Row],[Insurer Code]]&amp;"; "&amp;O4346&amp;AS[[#This Row],[Reporting Year]]&amp;"; "&amp;P4346&amp;AS[[#This Row],[Insurance Category Code]]&amp;"; "&amp;Q4346&amp;AS[[#This Row],[Large Provider Entity Code]]&amp;"; "&amp;R4346&amp;AS[[#This Row],[Age Band Code]]&amp;"; "&amp;S4346&amp;AS[[#This Row],[Sex Code]]</f>
        <v xml:space="preserve">Insurer Code ; Reporting Year ; Insurance Category Code ; Large Provider Entity Code ; Age Band Code ; Sex Code </v>
      </c>
      <c r="N4346" s="345" t="s">
        <v>207</v>
      </c>
      <c r="O4346" s="345" t="s">
        <v>208</v>
      </c>
      <c r="P4346" s="345" t="s">
        <v>209</v>
      </c>
      <c r="Q4346" s="345" t="s">
        <v>210</v>
      </c>
      <c r="R4346" s="345" t="s">
        <v>223</v>
      </c>
      <c r="S4346" s="345" t="s">
        <v>224</v>
      </c>
    </row>
    <row r="4347" spans="1:19" x14ac:dyDescent="0.25">
      <c r="A4347" s="311"/>
      <c r="B4347" s="312"/>
      <c r="C4347" s="312"/>
      <c r="D4347" s="312"/>
      <c r="E4347" s="312"/>
      <c r="F4347" s="312"/>
      <c r="G4347" s="328"/>
      <c r="H4347" s="337"/>
      <c r="I4347" s="334"/>
      <c r="J4347" s="314"/>
      <c r="K4347" s="449"/>
      <c r="M4347" s="349" t="str">
        <f>N4347&amp;AS[[#This Row],[Insurer Code]]&amp;"; "&amp;O4347&amp;AS[[#This Row],[Reporting Year]]&amp;"; "&amp;P4347&amp;AS[[#This Row],[Insurance Category Code]]&amp;"; "&amp;Q4347&amp;AS[[#This Row],[Large Provider Entity Code]]&amp;"; "&amp;R4347&amp;AS[[#This Row],[Age Band Code]]&amp;"; "&amp;S4347&amp;AS[[#This Row],[Sex Code]]</f>
        <v xml:space="preserve">Insurer Code ; Reporting Year ; Insurance Category Code ; Large Provider Entity Code ; Age Band Code ; Sex Code </v>
      </c>
      <c r="N4347" s="345" t="s">
        <v>207</v>
      </c>
      <c r="O4347" s="345" t="s">
        <v>208</v>
      </c>
      <c r="P4347" s="345" t="s">
        <v>209</v>
      </c>
      <c r="Q4347" s="345" t="s">
        <v>210</v>
      </c>
      <c r="R4347" s="345" t="s">
        <v>223</v>
      </c>
      <c r="S4347" s="345" t="s">
        <v>224</v>
      </c>
    </row>
    <row r="4348" spans="1:19" x14ac:dyDescent="0.25">
      <c r="A4348" s="311"/>
      <c r="B4348" s="312"/>
      <c r="C4348" s="312"/>
      <c r="D4348" s="312"/>
      <c r="E4348" s="312"/>
      <c r="F4348" s="312"/>
      <c r="G4348" s="328"/>
      <c r="H4348" s="337"/>
      <c r="I4348" s="334"/>
      <c r="J4348" s="314"/>
      <c r="K4348" s="449"/>
      <c r="M4348" s="349" t="str">
        <f>N4348&amp;AS[[#This Row],[Insurer Code]]&amp;"; "&amp;O4348&amp;AS[[#This Row],[Reporting Year]]&amp;"; "&amp;P4348&amp;AS[[#This Row],[Insurance Category Code]]&amp;"; "&amp;Q4348&amp;AS[[#This Row],[Large Provider Entity Code]]&amp;"; "&amp;R4348&amp;AS[[#This Row],[Age Band Code]]&amp;"; "&amp;S4348&amp;AS[[#This Row],[Sex Code]]</f>
        <v xml:space="preserve">Insurer Code ; Reporting Year ; Insurance Category Code ; Large Provider Entity Code ; Age Band Code ; Sex Code </v>
      </c>
      <c r="N4348" s="345" t="s">
        <v>207</v>
      </c>
      <c r="O4348" s="345" t="s">
        <v>208</v>
      </c>
      <c r="P4348" s="345" t="s">
        <v>209</v>
      </c>
      <c r="Q4348" s="345" t="s">
        <v>210</v>
      </c>
      <c r="R4348" s="345" t="s">
        <v>223</v>
      </c>
      <c r="S4348" s="345" t="s">
        <v>224</v>
      </c>
    </row>
    <row r="4349" spans="1:19" x14ac:dyDescent="0.25">
      <c r="A4349" s="311"/>
      <c r="B4349" s="312"/>
      <c r="C4349" s="312"/>
      <c r="D4349" s="312"/>
      <c r="E4349" s="312"/>
      <c r="F4349" s="312"/>
      <c r="G4349" s="328"/>
      <c r="H4349" s="337"/>
      <c r="I4349" s="334"/>
      <c r="J4349" s="314"/>
      <c r="K4349" s="449"/>
      <c r="M4349" s="349" t="str">
        <f>N4349&amp;AS[[#This Row],[Insurer Code]]&amp;"; "&amp;O4349&amp;AS[[#This Row],[Reporting Year]]&amp;"; "&amp;P4349&amp;AS[[#This Row],[Insurance Category Code]]&amp;"; "&amp;Q4349&amp;AS[[#This Row],[Large Provider Entity Code]]&amp;"; "&amp;R4349&amp;AS[[#This Row],[Age Band Code]]&amp;"; "&amp;S4349&amp;AS[[#This Row],[Sex Code]]</f>
        <v xml:space="preserve">Insurer Code ; Reporting Year ; Insurance Category Code ; Large Provider Entity Code ; Age Band Code ; Sex Code </v>
      </c>
      <c r="N4349" s="345" t="s">
        <v>207</v>
      </c>
      <c r="O4349" s="345" t="s">
        <v>208</v>
      </c>
      <c r="P4349" s="345" t="s">
        <v>209</v>
      </c>
      <c r="Q4349" s="345" t="s">
        <v>210</v>
      </c>
      <c r="R4349" s="345" t="s">
        <v>223</v>
      </c>
      <c r="S4349" s="345" t="s">
        <v>224</v>
      </c>
    </row>
    <row r="4350" spans="1:19" x14ac:dyDescent="0.25">
      <c r="A4350" s="311"/>
      <c r="B4350" s="312"/>
      <c r="C4350" s="312"/>
      <c r="D4350" s="312"/>
      <c r="E4350" s="312"/>
      <c r="F4350" s="312"/>
      <c r="G4350" s="328"/>
      <c r="H4350" s="337"/>
      <c r="I4350" s="334"/>
      <c r="J4350" s="314"/>
      <c r="K4350" s="449"/>
      <c r="M4350" s="349" t="str">
        <f>N4350&amp;AS[[#This Row],[Insurer Code]]&amp;"; "&amp;O4350&amp;AS[[#This Row],[Reporting Year]]&amp;"; "&amp;P4350&amp;AS[[#This Row],[Insurance Category Code]]&amp;"; "&amp;Q4350&amp;AS[[#This Row],[Large Provider Entity Code]]&amp;"; "&amp;R4350&amp;AS[[#This Row],[Age Band Code]]&amp;"; "&amp;S4350&amp;AS[[#This Row],[Sex Code]]</f>
        <v xml:space="preserve">Insurer Code ; Reporting Year ; Insurance Category Code ; Large Provider Entity Code ; Age Band Code ; Sex Code </v>
      </c>
      <c r="N4350" s="345" t="s">
        <v>207</v>
      </c>
      <c r="O4350" s="345" t="s">
        <v>208</v>
      </c>
      <c r="P4350" s="345" t="s">
        <v>209</v>
      </c>
      <c r="Q4350" s="345" t="s">
        <v>210</v>
      </c>
      <c r="R4350" s="345" t="s">
        <v>223</v>
      </c>
      <c r="S4350" s="345" t="s">
        <v>224</v>
      </c>
    </row>
    <row r="4351" spans="1:19" x14ac:dyDescent="0.25">
      <c r="A4351" s="311"/>
      <c r="B4351" s="312"/>
      <c r="C4351" s="312"/>
      <c r="D4351" s="312"/>
      <c r="E4351" s="312"/>
      <c r="F4351" s="312"/>
      <c r="G4351" s="328"/>
      <c r="H4351" s="337"/>
      <c r="I4351" s="334"/>
      <c r="J4351" s="314"/>
      <c r="K4351" s="449"/>
      <c r="M4351" s="349" t="str">
        <f>N4351&amp;AS[[#This Row],[Insurer Code]]&amp;"; "&amp;O4351&amp;AS[[#This Row],[Reporting Year]]&amp;"; "&amp;P4351&amp;AS[[#This Row],[Insurance Category Code]]&amp;"; "&amp;Q4351&amp;AS[[#This Row],[Large Provider Entity Code]]&amp;"; "&amp;R4351&amp;AS[[#This Row],[Age Band Code]]&amp;"; "&amp;S4351&amp;AS[[#This Row],[Sex Code]]</f>
        <v xml:space="preserve">Insurer Code ; Reporting Year ; Insurance Category Code ; Large Provider Entity Code ; Age Band Code ; Sex Code </v>
      </c>
      <c r="N4351" s="345" t="s">
        <v>207</v>
      </c>
      <c r="O4351" s="345" t="s">
        <v>208</v>
      </c>
      <c r="P4351" s="345" t="s">
        <v>209</v>
      </c>
      <c r="Q4351" s="345" t="s">
        <v>210</v>
      </c>
      <c r="R4351" s="345" t="s">
        <v>223</v>
      </c>
      <c r="S4351" s="345" t="s">
        <v>224</v>
      </c>
    </row>
    <row r="4352" spans="1:19" x14ac:dyDescent="0.25">
      <c r="A4352" s="311"/>
      <c r="B4352" s="312"/>
      <c r="C4352" s="312"/>
      <c r="D4352" s="312"/>
      <c r="E4352" s="312"/>
      <c r="F4352" s="312"/>
      <c r="G4352" s="328"/>
      <c r="H4352" s="337"/>
      <c r="I4352" s="334"/>
      <c r="J4352" s="314"/>
      <c r="K4352" s="449"/>
      <c r="M4352" s="349" t="str">
        <f>N4352&amp;AS[[#This Row],[Insurer Code]]&amp;"; "&amp;O4352&amp;AS[[#This Row],[Reporting Year]]&amp;"; "&amp;P4352&amp;AS[[#This Row],[Insurance Category Code]]&amp;"; "&amp;Q4352&amp;AS[[#This Row],[Large Provider Entity Code]]&amp;"; "&amp;R4352&amp;AS[[#This Row],[Age Band Code]]&amp;"; "&amp;S4352&amp;AS[[#This Row],[Sex Code]]</f>
        <v xml:space="preserve">Insurer Code ; Reporting Year ; Insurance Category Code ; Large Provider Entity Code ; Age Band Code ; Sex Code </v>
      </c>
      <c r="N4352" s="345" t="s">
        <v>207</v>
      </c>
      <c r="O4352" s="345" t="s">
        <v>208</v>
      </c>
      <c r="P4352" s="345" t="s">
        <v>209</v>
      </c>
      <c r="Q4352" s="345" t="s">
        <v>210</v>
      </c>
      <c r="R4352" s="345" t="s">
        <v>223</v>
      </c>
      <c r="S4352" s="345" t="s">
        <v>224</v>
      </c>
    </row>
    <row r="4353" spans="1:19" x14ac:dyDescent="0.25">
      <c r="A4353" s="311"/>
      <c r="B4353" s="312"/>
      <c r="C4353" s="312"/>
      <c r="D4353" s="312"/>
      <c r="E4353" s="312"/>
      <c r="F4353" s="312"/>
      <c r="G4353" s="328"/>
      <c r="H4353" s="337"/>
      <c r="I4353" s="334"/>
      <c r="J4353" s="314"/>
      <c r="K4353" s="449"/>
      <c r="M4353" s="349" t="str">
        <f>N4353&amp;AS[[#This Row],[Insurer Code]]&amp;"; "&amp;O4353&amp;AS[[#This Row],[Reporting Year]]&amp;"; "&amp;P4353&amp;AS[[#This Row],[Insurance Category Code]]&amp;"; "&amp;Q4353&amp;AS[[#This Row],[Large Provider Entity Code]]&amp;"; "&amp;R4353&amp;AS[[#This Row],[Age Band Code]]&amp;"; "&amp;S4353&amp;AS[[#This Row],[Sex Code]]</f>
        <v xml:space="preserve">Insurer Code ; Reporting Year ; Insurance Category Code ; Large Provider Entity Code ; Age Band Code ; Sex Code </v>
      </c>
      <c r="N4353" s="345" t="s">
        <v>207</v>
      </c>
      <c r="O4353" s="345" t="s">
        <v>208</v>
      </c>
      <c r="P4353" s="345" t="s">
        <v>209</v>
      </c>
      <c r="Q4353" s="345" t="s">
        <v>210</v>
      </c>
      <c r="R4353" s="345" t="s">
        <v>223</v>
      </c>
      <c r="S4353" s="345" t="s">
        <v>224</v>
      </c>
    </row>
    <row r="4354" spans="1:19" x14ac:dyDescent="0.25">
      <c r="A4354" s="311"/>
      <c r="B4354" s="312"/>
      <c r="C4354" s="312"/>
      <c r="D4354" s="312"/>
      <c r="E4354" s="312"/>
      <c r="F4354" s="312"/>
      <c r="G4354" s="328"/>
      <c r="H4354" s="337"/>
      <c r="I4354" s="334"/>
      <c r="J4354" s="314"/>
      <c r="K4354" s="449"/>
      <c r="M4354" s="349" t="str">
        <f>N4354&amp;AS[[#This Row],[Insurer Code]]&amp;"; "&amp;O4354&amp;AS[[#This Row],[Reporting Year]]&amp;"; "&amp;P4354&amp;AS[[#This Row],[Insurance Category Code]]&amp;"; "&amp;Q4354&amp;AS[[#This Row],[Large Provider Entity Code]]&amp;"; "&amp;R4354&amp;AS[[#This Row],[Age Band Code]]&amp;"; "&amp;S4354&amp;AS[[#This Row],[Sex Code]]</f>
        <v xml:space="preserve">Insurer Code ; Reporting Year ; Insurance Category Code ; Large Provider Entity Code ; Age Band Code ; Sex Code </v>
      </c>
      <c r="N4354" s="345" t="s">
        <v>207</v>
      </c>
      <c r="O4354" s="345" t="s">
        <v>208</v>
      </c>
      <c r="P4354" s="345" t="s">
        <v>209</v>
      </c>
      <c r="Q4354" s="345" t="s">
        <v>210</v>
      </c>
      <c r="R4354" s="345" t="s">
        <v>223</v>
      </c>
      <c r="S4354" s="345" t="s">
        <v>224</v>
      </c>
    </row>
    <row r="4355" spans="1:19" x14ac:dyDescent="0.25">
      <c r="A4355" s="311"/>
      <c r="B4355" s="312"/>
      <c r="C4355" s="312"/>
      <c r="D4355" s="312"/>
      <c r="E4355" s="312"/>
      <c r="F4355" s="312"/>
      <c r="G4355" s="328"/>
      <c r="H4355" s="337"/>
      <c r="I4355" s="334"/>
      <c r="J4355" s="314"/>
      <c r="K4355" s="449"/>
      <c r="M4355" s="349" t="str">
        <f>N4355&amp;AS[[#This Row],[Insurer Code]]&amp;"; "&amp;O4355&amp;AS[[#This Row],[Reporting Year]]&amp;"; "&amp;P4355&amp;AS[[#This Row],[Insurance Category Code]]&amp;"; "&amp;Q4355&amp;AS[[#This Row],[Large Provider Entity Code]]&amp;"; "&amp;R4355&amp;AS[[#This Row],[Age Band Code]]&amp;"; "&amp;S4355&amp;AS[[#This Row],[Sex Code]]</f>
        <v xml:space="preserve">Insurer Code ; Reporting Year ; Insurance Category Code ; Large Provider Entity Code ; Age Band Code ; Sex Code </v>
      </c>
      <c r="N4355" s="345" t="s">
        <v>207</v>
      </c>
      <c r="O4355" s="345" t="s">
        <v>208</v>
      </c>
      <c r="P4355" s="345" t="s">
        <v>209</v>
      </c>
      <c r="Q4355" s="345" t="s">
        <v>210</v>
      </c>
      <c r="R4355" s="345" t="s">
        <v>223</v>
      </c>
      <c r="S4355" s="345" t="s">
        <v>224</v>
      </c>
    </row>
    <row r="4356" spans="1:19" x14ac:dyDescent="0.25">
      <c r="A4356" s="311"/>
      <c r="B4356" s="312"/>
      <c r="C4356" s="312"/>
      <c r="D4356" s="312"/>
      <c r="E4356" s="312"/>
      <c r="F4356" s="312"/>
      <c r="G4356" s="328"/>
      <c r="H4356" s="337"/>
      <c r="I4356" s="334"/>
      <c r="J4356" s="314"/>
      <c r="K4356" s="449"/>
      <c r="M4356" s="349" t="str">
        <f>N4356&amp;AS[[#This Row],[Insurer Code]]&amp;"; "&amp;O4356&amp;AS[[#This Row],[Reporting Year]]&amp;"; "&amp;P4356&amp;AS[[#This Row],[Insurance Category Code]]&amp;"; "&amp;Q4356&amp;AS[[#This Row],[Large Provider Entity Code]]&amp;"; "&amp;R4356&amp;AS[[#This Row],[Age Band Code]]&amp;"; "&amp;S4356&amp;AS[[#This Row],[Sex Code]]</f>
        <v xml:space="preserve">Insurer Code ; Reporting Year ; Insurance Category Code ; Large Provider Entity Code ; Age Band Code ; Sex Code </v>
      </c>
      <c r="N4356" s="345" t="s">
        <v>207</v>
      </c>
      <c r="O4356" s="345" t="s">
        <v>208</v>
      </c>
      <c r="P4356" s="345" t="s">
        <v>209</v>
      </c>
      <c r="Q4356" s="345" t="s">
        <v>210</v>
      </c>
      <c r="R4356" s="345" t="s">
        <v>223</v>
      </c>
      <c r="S4356" s="345" t="s">
        <v>224</v>
      </c>
    </row>
    <row r="4357" spans="1:19" x14ac:dyDescent="0.25">
      <c r="A4357" s="311"/>
      <c r="B4357" s="312"/>
      <c r="C4357" s="312"/>
      <c r="D4357" s="312"/>
      <c r="E4357" s="312"/>
      <c r="F4357" s="312"/>
      <c r="G4357" s="328"/>
      <c r="H4357" s="337"/>
      <c r="I4357" s="334"/>
      <c r="J4357" s="314"/>
      <c r="K4357" s="449"/>
      <c r="M4357" s="349" t="str">
        <f>N4357&amp;AS[[#This Row],[Insurer Code]]&amp;"; "&amp;O4357&amp;AS[[#This Row],[Reporting Year]]&amp;"; "&amp;P4357&amp;AS[[#This Row],[Insurance Category Code]]&amp;"; "&amp;Q4357&amp;AS[[#This Row],[Large Provider Entity Code]]&amp;"; "&amp;R4357&amp;AS[[#This Row],[Age Band Code]]&amp;"; "&amp;S4357&amp;AS[[#This Row],[Sex Code]]</f>
        <v xml:space="preserve">Insurer Code ; Reporting Year ; Insurance Category Code ; Large Provider Entity Code ; Age Band Code ; Sex Code </v>
      </c>
      <c r="N4357" s="345" t="s">
        <v>207</v>
      </c>
      <c r="O4357" s="345" t="s">
        <v>208</v>
      </c>
      <c r="P4357" s="345" t="s">
        <v>209</v>
      </c>
      <c r="Q4357" s="345" t="s">
        <v>210</v>
      </c>
      <c r="R4357" s="345" t="s">
        <v>223</v>
      </c>
      <c r="S4357" s="345" t="s">
        <v>224</v>
      </c>
    </row>
    <row r="4358" spans="1:19" x14ac:dyDescent="0.25">
      <c r="A4358" s="311"/>
      <c r="B4358" s="312"/>
      <c r="C4358" s="312"/>
      <c r="D4358" s="312"/>
      <c r="E4358" s="312"/>
      <c r="F4358" s="312"/>
      <c r="G4358" s="328"/>
      <c r="H4358" s="337"/>
      <c r="I4358" s="334"/>
      <c r="J4358" s="314"/>
      <c r="K4358" s="449"/>
      <c r="M4358" s="349" t="str">
        <f>N4358&amp;AS[[#This Row],[Insurer Code]]&amp;"; "&amp;O4358&amp;AS[[#This Row],[Reporting Year]]&amp;"; "&amp;P4358&amp;AS[[#This Row],[Insurance Category Code]]&amp;"; "&amp;Q4358&amp;AS[[#This Row],[Large Provider Entity Code]]&amp;"; "&amp;R4358&amp;AS[[#This Row],[Age Band Code]]&amp;"; "&amp;S4358&amp;AS[[#This Row],[Sex Code]]</f>
        <v xml:space="preserve">Insurer Code ; Reporting Year ; Insurance Category Code ; Large Provider Entity Code ; Age Band Code ; Sex Code </v>
      </c>
      <c r="N4358" s="345" t="s">
        <v>207</v>
      </c>
      <c r="O4358" s="345" t="s">
        <v>208</v>
      </c>
      <c r="P4358" s="345" t="s">
        <v>209</v>
      </c>
      <c r="Q4358" s="345" t="s">
        <v>210</v>
      </c>
      <c r="R4358" s="345" t="s">
        <v>223</v>
      </c>
      <c r="S4358" s="345" t="s">
        <v>224</v>
      </c>
    </row>
    <row r="4359" spans="1:19" x14ac:dyDescent="0.25">
      <c r="A4359" s="311"/>
      <c r="B4359" s="312"/>
      <c r="C4359" s="312"/>
      <c r="D4359" s="312"/>
      <c r="E4359" s="312"/>
      <c r="F4359" s="312"/>
      <c r="G4359" s="328"/>
      <c r="H4359" s="337"/>
      <c r="I4359" s="334"/>
      <c r="J4359" s="314"/>
      <c r="K4359" s="449"/>
      <c r="M4359" s="349" t="str">
        <f>N4359&amp;AS[[#This Row],[Insurer Code]]&amp;"; "&amp;O4359&amp;AS[[#This Row],[Reporting Year]]&amp;"; "&amp;P4359&amp;AS[[#This Row],[Insurance Category Code]]&amp;"; "&amp;Q4359&amp;AS[[#This Row],[Large Provider Entity Code]]&amp;"; "&amp;R4359&amp;AS[[#This Row],[Age Band Code]]&amp;"; "&amp;S4359&amp;AS[[#This Row],[Sex Code]]</f>
        <v xml:space="preserve">Insurer Code ; Reporting Year ; Insurance Category Code ; Large Provider Entity Code ; Age Band Code ; Sex Code </v>
      </c>
      <c r="N4359" s="345" t="s">
        <v>207</v>
      </c>
      <c r="O4359" s="345" t="s">
        <v>208</v>
      </c>
      <c r="P4359" s="345" t="s">
        <v>209</v>
      </c>
      <c r="Q4359" s="345" t="s">
        <v>210</v>
      </c>
      <c r="R4359" s="345" t="s">
        <v>223</v>
      </c>
      <c r="S4359" s="345" t="s">
        <v>224</v>
      </c>
    </row>
    <row r="4360" spans="1:19" x14ac:dyDescent="0.25">
      <c r="A4360" s="311"/>
      <c r="B4360" s="312"/>
      <c r="C4360" s="312"/>
      <c r="D4360" s="312"/>
      <c r="E4360" s="312"/>
      <c r="F4360" s="312"/>
      <c r="G4360" s="328"/>
      <c r="H4360" s="337"/>
      <c r="I4360" s="334"/>
      <c r="J4360" s="314"/>
      <c r="K4360" s="449"/>
      <c r="M4360" s="349" t="str">
        <f>N4360&amp;AS[[#This Row],[Insurer Code]]&amp;"; "&amp;O4360&amp;AS[[#This Row],[Reporting Year]]&amp;"; "&amp;P4360&amp;AS[[#This Row],[Insurance Category Code]]&amp;"; "&amp;Q4360&amp;AS[[#This Row],[Large Provider Entity Code]]&amp;"; "&amp;R4360&amp;AS[[#This Row],[Age Band Code]]&amp;"; "&amp;S4360&amp;AS[[#This Row],[Sex Code]]</f>
        <v xml:space="preserve">Insurer Code ; Reporting Year ; Insurance Category Code ; Large Provider Entity Code ; Age Band Code ; Sex Code </v>
      </c>
      <c r="N4360" s="345" t="s">
        <v>207</v>
      </c>
      <c r="O4360" s="345" t="s">
        <v>208</v>
      </c>
      <c r="P4360" s="345" t="s">
        <v>209</v>
      </c>
      <c r="Q4360" s="345" t="s">
        <v>210</v>
      </c>
      <c r="R4360" s="345" t="s">
        <v>223</v>
      </c>
      <c r="S4360" s="345" t="s">
        <v>224</v>
      </c>
    </row>
    <row r="4361" spans="1:19" x14ac:dyDescent="0.25">
      <c r="A4361" s="311"/>
      <c r="B4361" s="312"/>
      <c r="C4361" s="312"/>
      <c r="D4361" s="312"/>
      <c r="E4361" s="312"/>
      <c r="F4361" s="312"/>
      <c r="G4361" s="328"/>
      <c r="H4361" s="337"/>
      <c r="I4361" s="334"/>
      <c r="J4361" s="314"/>
      <c r="K4361" s="449"/>
      <c r="M4361" s="349" t="str">
        <f>N4361&amp;AS[[#This Row],[Insurer Code]]&amp;"; "&amp;O4361&amp;AS[[#This Row],[Reporting Year]]&amp;"; "&amp;P4361&amp;AS[[#This Row],[Insurance Category Code]]&amp;"; "&amp;Q4361&amp;AS[[#This Row],[Large Provider Entity Code]]&amp;"; "&amp;R4361&amp;AS[[#This Row],[Age Band Code]]&amp;"; "&amp;S4361&amp;AS[[#This Row],[Sex Code]]</f>
        <v xml:space="preserve">Insurer Code ; Reporting Year ; Insurance Category Code ; Large Provider Entity Code ; Age Band Code ; Sex Code </v>
      </c>
      <c r="N4361" s="345" t="s">
        <v>207</v>
      </c>
      <c r="O4361" s="345" t="s">
        <v>208</v>
      </c>
      <c r="P4361" s="345" t="s">
        <v>209</v>
      </c>
      <c r="Q4361" s="345" t="s">
        <v>210</v>
      </c>
      <c r="R4361" s="345" t="s">
        <v>223</v>
      </c>
      <c r="S4361" s="345" t="s">
        <v>224</v>
      </c>
    </row>
    <row r="4362" spans="1:19" x14ac:dyDescent="0.25">
      <c r="A4362" s="311"/>
      <c r="B4362" s="312"/>
      <c r="C4362" s="312"/>
      <c r="D4362" s="312"/>
      <c r="E4362" s="312"/>
      <c r="F4362" s="312"/>
      <c r="G4362" s="328"/>
      <c r="H4362" s="337"/>
      <c r="I4362" s="334"/>
      <c r="J4362" s="314"/>
      <c r="K4362" s="449"/>
      <c r="M4362" s="349" t="str">
        <f>N4362&amp;AS[[#This Row],[Insurer Code]]&amp;"; "&amp;O4362&amp;AS[[#This Row],[Reporting Year]]&amp;"; "&amp;P4362&amp;AS[[#This Row],[Insurance Category Code]]&amp;"; "&amp;Q4362&amp;AS[[#This Row],[Large Provider Entity Code]]&amp;"; "&amp;R4362&amp;AS[[#This Row],[Age Band Code]]&amp;"; "&amp;S4362&amp;AS[[#This Row],[Sex Code]]</f>
        <v xml:space="preserve">Insurer Code ; Reporting Year ; Insurance Category Code ; Large Provider Entity Code ; Age Band Code ; Sex Code </v>
      </c>
      <c r="N4362" s="345" t="s">
        <v>207</v>
      </c>
      <c r="O4362" s="345" t="s">
        <v>208</v>
      </c>
      <c r="P4362" s="345" t="s">
        <v>209</v>
      </c>
      <c r="Q4362" s="345" t="s">
        <v>210</v>
      </c>
      <c r="R4362" s="345" t="s">
        <v>223</v>
      </c>
      <c r="S4362" s="345" t="s">
        <v>224</v>
      </c>
    </row>
    <row r="4363" spans="1:19" x14ac:dyDescent="0.25">
      <c r="A4363" s="311"/>
      <c r="B4363" s="312"/>
      <c r="C4363" s="312"/>
      <c r="D4363" s="312"/>
      <c r="E4363" s="312"/>
      <c r="F4363" s="312"/>
      <c r="G4363" s="328"/>
      <c r="H4363" s="337"/>
      <c r="I4363" s="334"/>
      <c r="J4363" s="314"/>
      <c r="K4363" s="449"/>
      <c r="M4363" s="349" t="str">
        <f>N4363&amp;AS[[#This Row],[Insurer Code]]&amp;"; "&amp;O4363&amp;AS[[#This Row],[Reporting Year]]&amp;"; "&amp;P4363&amp;AS[[#This Row],[Insurance Category Code]]&amp;"; "&amp;Q4363&amp;AS[[#This Row],[Large Provider Entity Code]]&amp;"; "&amp;R4363&amp;AS[[#This Row],[Age Band Code]]&amp;"; "&amp;S4363&amp;AS[[#This Row],[Sex Code]]</f>
        <v xml:space="preserve">Insurer Code ; Reporting Year ; Insurance Category Code ; Large Provider Entity Code ; Age Band Code ; Sex Code </v>
      </c>
      <c r="N4363" s="345" t="s">
        <v>207</v>
      </c>
      <c r="O4363" s="345" t="s">
        <v>208</v>
      </c>
      <c r="P4363" s="345" t="s">
        <v>209</v>
      </c>
      <c r="Q4363" s="345" t="s">
        <v>210</v>
      </c>
      <c r="R4363" s="345" t="s">
        <v>223</v>
      </c>
      <c r="S4363" s="345" t="s">
        <v>224</v>
      </c>
    </row>
    <row r="4364" spans="1:19" x14ac:dyDescent="0.25">
      <c r="A4364" s="311"/>
      <c r="B4364" s="312"/>
      <c r="C4364" s="312"/>
      <c r="D4364" s="312"/>
      <c r="E4364" s="312"/>
      <c r="F4364" s="312"/>
      <c r="G4364" s="328"/>
      <c r="H4364" s="337"/>
      <c r="I4364" s="334"/>
      <c r="J4364" s="314"/>
      <c r="K4364" s="449"/>
      <c r="M4364" s="349" t="str">
        <f>N4364&amp;AS[[#This Row],[Insurer Code]]&amp;"; "&amp;O4364&amp;AS[[#This Row],[Reporting Year]]&amp;"; "&amp;P4364&amp;AS[[#This Row],[Insurance Category Code]]&amp;"; "&amp;Q4364&amp;AS[[#This Row],[Large Provider Entity Code]]&amp;"; "&amp;R4364&amp;AS[[#This Row],[Age Band Code]]&amp;"; "&amp;S4364&amp;AS[[#This Row],[Sex Code]]</f>
        <v xml:space="preserve">Insurer Code ; Reporting Year ; Insurance Category Code ; Large Provider Entity Code ; Age Band Code ; Sex Code </v>
      </c>
      <c r="N4364" s="345" t="s">
        <v>207</v>
      </c>
      <c r="O4364" s="345" t="s">
        <v>208</v>
      </c>
      <c r="P4364" s="345" t="s">
        <v>209</v>
      </c>
      <c r="Q4364" s="345" t="s">
        <v>210</v>
      </c>
      <c r="R4364" s="345" t="s">
        <v>223</v>
      </c>
      <c r="S4364" s="345" t="s">
        <v>224</v>
      </c>
    </row>
    <row r="4365" spans="1:19" x14ac:dyDescent="0.25">
      <c r="A4365" s="311"/>
      <c r="B4365" s="312"/>
      <c r="C4365" s="312"/>
      <c r="D4365" s="312"/>
      <c r="E4365" s="312"/>
      <c r="F4365" s="312"/>
      <c r="G4365" s="328"/>
      <c r="H4365" s="337"/>
      <c r="I4365" s="334"/>
      <c r="J4365" s="314"/>
      <c r="K4365" s="449"/>
      <c r="M4365" s="349" t="str">
        <f>N4365&amp;AS[[#This Row],[Insurer Code]]&amp;"; "&amp;O4365&amp;AS[[#This Row],[Reporting Year]]&amp;"; "&amp;P4365&amp;AS[[#This Row],[Insurance Category Code]]&amp;"; "&amp;Q4365&amp;AS[[#This Row],[Large Provider Entity Code]]&amp;"; "&amp;R4365&amp;AS[[#This Row],[Age Band Code]]&amp;"; "&amp;S4365&amp;AS[[#This Row],[Sex Code]]</f>
        <v xml:space="preserve">Insurer Code ; Reporting Year ; Insurance Category Code ; Large Provider Entity Code ; Age Band Code ; Sex Code </v>
      </c>
      <c r="N4365" s="345" t="s">
        <v>207</v>
      </c>
      <c r="O4365" s="345" t="s">
        <v>208</v>
      </c>
      <c r="P4365" s="345" t="s">
        <v>209</v>
      </c>
      <c r="Q4365" s="345" t="s">
        <v>210</v>
      </c>
      <c r="R4365" s="345" t="s">
        <v>223</v>
      </c>
      <c r="S4365" s="345" t="s">
        <v>224</v>
      </c>
    </row>
    <row r="4366" spans="1:19" x14ac:dyDescent="0.25">
      <c r="A4366" s="311"/>
      <c r="B4366" s="312"/>
      <c r="C4366" s="312"/>
      <c r="D4366" s="312"/>
      <c r="E4366" s="312"/>
      <c r="F4366" s="312"/>
      <c r="G4366" s="328"/>
      <c r="H4366" s="337"/>
      <c r="I4366" s="334"/>
      <c r="J4366" s="314"/>
      <c r="K4366" s="449"/>
      <c r="M4366" s="349" t="str">
        <f>N4366&amp;AS[[#This Row],[Insurer Code]]&amp;"; "&amp;O4366&amp;AS[[#This Row],[Reporting Year]]&amp;"; "&amp;P4366&amp;AS[[#This Row],[Insurance Category Code]]&amp;"; "&amp;Q4366&amp;AS[[#This Row],[Large Provider Entity Code]]&amp;"; "&amp;R4366&amp;AS[[#This Row],[Age Band Code]]&amp;"; "&amp;S4366&amp;AS[[#This Row],[Sex Code]]</f>
        <v xml:space="preserve">Insurer Code ; Reporting Year ; Insurance Category Code ; Large Provider Entity Code ; Age Band Code ; Sex Code </v>
      </c>
      <c r="N4366" s="345" t="s">
        <v>207</v>
      </c>
      <c r="O4366" s="345" t="s">
        <v>208</v>
      </c>
      <c r="P4366" s="345" t="s">
        <v>209</v>
      </c>
      <c r="Q4366" s="345" t="s">
        <v>210</v>
      </c>
      <c r="R4366" s="345" t="s">
        <v>223</v>
      </c>
      <c r="S4366" s="345" t="s">
        <v>224</v>
      </c>
    </row>
    <row r="4367" spans="1:19" x14ac:dyDescent="0.25">
      <c r="A4367" s="311"/>
      <c r="B4367" s="312"/>
      <c r="C4367" s="312"/>
      <c r="D4367" s="312"/>
      <c r="E4367" s="312"/>
      <c r="F4367" s="312"/>
      <c r="G4367" s="328"/>
      <c r="H4367" s="337"/>
      <c r="I4367" s="334"/>
      <c r="J4367" s="314"/>
      <c r="K4367" s="449"/>
      <c r="M4367" s="349" t="str">
        <f>N4367&amp;AS[[#This Row],[Insurer Code]]&amp;"; "&amp;O4367&amp;AS[[#This Row],[Reporting Year]]&amp;"; "&amp;P4367&amp;AS[[#This Row],[Insurance Category Code]]&amp;"; "&amp;Q4367&amp;AS[[#This Row],[Large Provider Entity Code]]&amp;"; "&amp;R4367&amp;AS[[#This Row],[Age Band Code]]&amp;"; "&amp;S4367&amp;AS[[#This Row],[Sex Code]]</f>
        <v xml:space="preserve">Insurer Code ; Reporting Year ; Insurance Category Code ; Large Provider Entity Code ; Age Band Code ; Sex Code </v>
      </c>
      <c r="N4367" s="345" t="s">
        <v>207</v>
      </c>
      <c r="O4367" s="345" t="s">
        <v>208</v>
      </c>
      <c r="P4367" s="345" t="s">
        <v>209</v>
      </c>
      <c r="Q4367" s="345" t="s">
        <v>210</v>
      </c>
      <c r="R4367" s="345" t="s">
        <v>223</v>
      </c>
      <c r="S4367" s="345" t="s">
        <v>224</v>
      </c>
    </row>
    <row r="4368" spans="1:19" x14ac:dyDescent="0.25">
      <c r="A4368" s="311"/>
      <c r="B4368" s="312"/>
      <c r="C4368" s="312"/>
      <c r="D4368" s="312"/>
      <c r="E4368" s="312"/>
      <c r="F4368" s="312"/>
      <c r="G4368" s="328"/>
      <c r="H4368" s="337"/>
      <c r="I4368" s="334"/>
      <c r="J4368" s="314"/>
      <c r="K4368" s="449"/>
      <c r="M4368" s="349" t="str">
        <f>N4368&amp;AS[[#This Row],[Insurer Code]]&amp;"; "&amp;O4368&amp;AS[[#This Row],[Reporting Year]]&amp;"; "&amp;P4368&amp;AS[[#This Row],[Insurance Category Code]]&amp;"; "&amp;Q4368&amp;AS[[#This Row],[Large Provider Entity Code]]&amp;"; "&amp;R4368&amp;AS[[#This Row],[Age Band Code]]&amp;"; "&amp;S4368&amp;AS[[#This Row],[Sex Code]]</f>
        <v xml:space="preserve">Insurer Code ; Reporting Year ; Insurance Category Code ; Large Provider Entity Code ; Age Band Code ; Sex Code </v>
      </c>
      <c r="N4368" s="345" t="s">
        <v>207</v>
      </c>
      <c r="O4368" s="345" t="s">
        <v>208</v>
      </c>
      <c r="P4368" s="345" t="s">
        <v>209</v>
      </c>
      <c r="Q4368" s="345" t="s">
        <v>210</v>
      </c>
      <c r="R4368" s="345" t="s">
        <v>223</v>
      </c>
      <c r="S4368" s="345" t="s">
        <v>224</v>
      </c>
    </row>
    <row r="4369" spans="1:19" x14ac:dyDescent="0.25">
      <c r="A4369" s="311"/>
      <c r="B4369" s="312"/>
      <c r="C4369" s="312"/>
      <c r="D4369" s="312"/>
      <c r="E4369" s="312"/>
      <c r="F4369" s="312"/>
      <c r="G4369" s="328"/>
      <c r="H4369" s="337"/>
      <c r="I4369" s="334"/>
      <c r="J4369" s="314"/>
      <c r="K4369" s="449"/>
      <c r="M4369" s="349" t="str">
        <f>N4369&amp;AS[[#This Row],[Insurer Code]]&amp;"; "&amp;O4369&amp;AS[[#This Row],[Reporting Year]]&amp;"; "&amp;P4369&amp;AS[[#This Row],[Insurance Category Code]]&amp;"; "&amp;Q4369&amp;AS[[#This Row],[Large Provider Entity Code]]&amp;"; "&amp;R4369&amp;AS[[#This Row],[Age Band Code]]&amp;"; "&amp;S4369&amp;AS[[#This Row],[Sex Code]]</f>
        <v xml:space="preserve">Insurer Code ; Reporting Year ; Insurance Category Code ; Large Provider Entity Code ; Age Band Code ; Sex Code </v>
      </c>
      <c r="N4369" s="345" t="s">
        <v>207</v>
      </c>
      <c r="O4369" s="345" t="s">
        <v>208</v>
      </c>
      <c r="P4369" s="345" t="s">
        <v>209</v>
      </c>
      <c r="Q4369" s="345" t="s">
        <v>210</v>
      </c>
      <c r="R4369" s="345" t="s">
        <v>223</v>
      </c>
      <c r="S4369" s="345" t="s">
        <v>224</v>
      </c>
    </row>
    <row r="4370" spans="1:19" x14ac:dyDescent="0.25">
      <c r="A4370" s="311"/>
      <c r="B4370" s="312"/>
      <c r="C4370" s="312"/>
      <c r="D4370" s="312"/>
      <c r="E4370" s="312"/>
      <c r="F4370" s="312"/>
      <c r="G4370" s="328"/>
      <c r="H4370" s="337"/>
      <c r="I4370" s="334"/>
      <c r="J4370" s="314"/>
      <c r="K4370" s="449"/>
      <c r="M4370" s="349" t="str">
        <f>N4370&amp;AS[[#This Row],[Insurer Code]]&amp;"; "&amp;O4370&amp;AS[[#This Row],[Reporting Year]]&amp;"; "&amp;P4370&amp;AS[[#This Row],[Insurance Category Code]]&amp;"; "&amp;Q4370&amp;AS[[#This Row],[Large Provider Entity Code]]&amp;"; "&amp;R4370&amp;AS[[#This Row],[Age Band Code]]&amp;"; "&amp;S4370&amp;AS[[#This Row],[Sex Code]]</f>
        <v xml:space="preserve">Insurer Code ; Reporting Year ; Insurance Category Code ; Large Provider Entity Code ; Age Band Code ; Sex Code </v>
      </c>
      <c r="N4370" s="345" t="s">
        <v>207</v>
      </c>
      <c r="O4370" s="345" t="s">
        <v>208</v>
      </c>
      <c r="P4370" s="345" t="s">
        <v>209</v>
      </c>
      <c r="Q4370" s="345" t="s">
        <v>210</v>
      </c>
      <c r="R4370" s="345" t="s">
        <v>223</v>
      </c>
      <c r="S4370" s="345" t="s">
        <v>224</v>
      </c>
    </row>
    <row r="4371" spans="1:19" x14ac:dyDescent="0.25">
      <c r="A4371" s="311"/>
      <c r="B4371" s="312"/>
      <c r="C4371" s="312"/>
      <c r="D4371" s="312"/>
      <c r="E4371" s="312"/>
      <c r="F4371" s="312"/>
      <c r="G4371" s="328"/>
      <c r="H4371" s="337"/>
      <c r="I4371" s="334"/>
      <c r="J4371" s="314"/>
      <c r="K4371" s="449"/>
      <c r="M4371" s="349" t="str">
        <f>N4371&amp;AS[[#This Row],[Insurer Code]]&amp;"; "&amp;O4371&amp;AS[[#This Row],[Reporting Year]]&amp;"; "&amp;P4371&amp;AS[[#This Row],[Insurance Category Code]]&amp;"; "&amp;Q4371&amp;AS[[#This Row],[Large Provider Entity Code]]&amp;"; "&amp;R4371&amp;AS[[#This Row],[Age Band Code]]&amp;"; "&amp;S4371&amp;AS[[#This Row],[Sex Code]]</f>
        <v xml:space="preserve">Insurer Code ; Reporting Year ; Insurance Category Code ; Large Provider Entity Code ; Age Band Code ; Sex Code </v>
      </c>
      <c r="N4371" s="345" t="s">
        <v>207</v>
      </c>
      <c r="O4371" s="345" t="s">
        <v>208</v>
      </c>
      <c r="P4371" s="345" t="s">
        <v>209</v>
      </c>
      <c r="Q4371" s="345" t="s">
        <v>210</v>
      </c>
      <c r="R4371" s="345" t="s">
        <v>223</v>
      </c>
      <c r="S4371" s="345" t="s">
        <v>224</v>
      </c>
    </row>
    <row r="4372" spans="1:19" x14ac:dyDescent="0.25">
      <c r="A4372" s="311"/>
      <c r="B4372" s="312"/>
      <c r="C4372" s="312"/>
      <c r="D4372" s="312"/>
      <c r="E4372" s="312"/>
      <c r="F4372" s="312"/>
      <c r="G4372" s="328"/>
      <c r="H4372" s="337"/>
      <c r="I4372" s="334"/>
      <c r="J4372" s="314"/>
      <c r="K4372" s="449"/>
      <c r="M4372" s="349" t="str">
        <f>N4372&amp;AS[[#This Row],[Insurer Code]]&amp;"; "&amp;O4372&amp;AS[[#This Row],[Reporting Year]]&amp;"; "&amp;P4372&amp;AS[[#This Row],[Insurance Category Code]]&amp;"; "&amp;Q4372&amp;AS[[#This Row],[Large Provider Entity Code]]&amp;"; "&amp;R4372&amp;AS[[#This Row],[Age Band Code]]&amp;"; "&amp;S4372&amp;AS[[#This Row],[Sex Code]]</f>
        <v xml:space="preserve">Insurer Code ; Reporting Year ; Insurance Category Code ; Large Provider Entity Code ; Age Band Code ; Sex Code </v>
      </c>
      <c r="N4372" s="345" t="s">
        <v>207</v>
      </c>
      <c r="O4372" s="345" t="s">
        <v>208</v>
      </c>
      <c r="P4372" s="345" t="s">
        <v>209</v>
      </c>
      <c r="Q4372" s="345" t="s">
        <v>210</v>
      </c>
      <c r="R4372" s="345" t="s">
        <v>223</v>
      </c>
      <c r="S4372" s="345" t="s">
        <v>224</v>
      </c>
    </row>
    <row r="4373" spans="1:19" x14ac:dyDescent="0.25">
      <c r="A4373" s="311"/>
      <c r="B4373" s="312"/>
      <c r="C4373" s="312"/>
      <c r="D4373" s="312"/>
      <c r="E4373" s="312"/>
      <c r="F4373" s="312"/>
      <c r="G4373" s="328"/>
      <c r="H4373" s="337"/>
      <c r="I4373" s="334"/>
      <c r="J4373" s="314"/>
      <c r="K4373" s="449"/>
      <c r="M4373" s="349" t="str">
        <f>N4373&amp;AS[[#This Row],[Insurer Code]]&amp;"; "&amp;O4373&amp;AS[[#This Row],[Reporting Year]]&amp;"; "&amp;P4373&amp;AS[[#This Row],[Insurance Category Code]]&amp;"; "&amp;Q4373&amp;AS[[#This Row],[Large Provider Entity Code]]&amp;"; "&amp;R4373&amp;AS[[#This Row],[Age Band Code]]&amp;"; "&amp;S4373&amp;AS[[#This Row],[Sex Code]]</f>
        <v xml:space="preserve">Insurer Code ; Reporting Year ; Insurance Category Code ; Large Provider Entity Code ; Age Band Code ; Sex Code </v>
      </c>
      <c r="N4373" s="345" t="s">
        <v>207</v>
      </c>
      <c r="O4373" s="345" t="s">
        <v>208</v>
      </c>
      <c r="P4373" s="345" t="s">
        <v>209</v>
      </c>
      <c r="Q4373" s="345" t="s">
        <v>210</v>
      </c>
      <c r="R4373" s="345" t="s">
        <v>223</v>
      </c>
      <c r="S4373" s="345" t="s">
        <v>224</v>
      </c>
    </row>
    <row r="4374" spans="1:19" x14ac:dyDescent="0.25">
      <c r="A4374" s="311"/>
      <c r="B4374" s="312"/>
      <c r="C4374" s="312"/>
      <c r="D4374" s="312"/>
      <c r="E4374" s="312"/>
      <c r="F4374" s="312"/>
      <c r="G4374" s="328"/>
      <c r="H4374" s="337"/>
      <c r="I4374" s="334"/>
      <c r="J4374" s="314"/>
      <c r="K4374" s="449"/>
      <c r="M4374" s="349" t="str">
        <f>N4374&amp;AS[[#This Row],[Insurer Code]]&amp;"; "&amp;O4374&amp;AS[[#This Row],[Reporting Year]]&amp;"; "&amp;P4374&amp;AS[[#This Row],[Insurance Category Code]]&amp;"; "&amp;Q4374&amp;AS[[#This Row],[Large Provider Entity Code]]&amp;"; "&amp;R4374&amp;AS[[#This Row],[Age Band Code]]&amp;"; "&amp;S4374&amp;AS[[#This Row],[Sex Code]]</f>
        <v xml:space="preserve">Insurer Code ; Reporting Year ; Insurance Category Code ; Large Provider Entity Code ; Age Band Code ; Sex Code </v>
      </c>
      <c r="N4374" s="345" t="s">
        <v>207</v>
      </c>
      <c r="O4374" s="345" t="s">
        <v>208</v>
      </c>
      <c r="P4374" s="345" t="s">
        <v>209</v>
      </c>
      <c r="Q4374" s="345" t="s">
        <v>210</v>
      </c>
      <c r="R4374" s="345" t="s">
        <v>223</v>
      </c>
      <c r="S4374" s="345" t="s">
        <v>224</v>
      </c>
    </row>
    <row r="4375" spans="1:19" x14ac:dyDescent="0.25">
      <c r="A4375" s="311"/>
      <c r="B4375" s="312"/>
      <c r="C4375" s="312"/>
      <c r="D4375" s="312"/>
      <c r="E4375" s="312"/>
      <c r="F4375" s="312"/>
      <c r="G4375" s="328"/>
      <c r="H4375" s="337"/>
      <c r="I4375" s="334"/>
      <c r="J4375" s="314"/>
      <c r="K4375" s="449"/>
      <c r="M4375" s="349" t="str">
        <f>N4375&amp;AS[[#This Row],[Insurer Code]]&amp;"; "&amp;O4375&amp;AS[[#This Row],[Reporting Year]]&amp;"; "&amp;P4375&amp;AS[[#This Row],[Insurance Category Code]]&amp;"; "&amp;Q4375&amp;AS[[#This Row],[Large Provider Entity Code]]&amp;"; "&amp;R4375&amp;AS[[#This Row],[Age Band Code]]&amp;"; "&amp;S4375&amp;AS[[#This Row],[Sex Code]]</f>
        <v xml:space="preserve">Insurer Code ; Reporting Year ; Insurance Category Code ; Large Provider Entity Code ; Age Band Code ; Sex Code </v>
      </c>
      <c r="N4375" s="345" t="s">
        <v>207</v>
      </c>
      <c r="O4375" s="345" t="s">
        <v>208</v>
      </c>
      <c r="P4375" s="345" t="s">
        <v>209</v>
      </c>
      <c r="Q4375" s="345" t="s">
        <v>210</v>
      </c>
      <c r="R4375" s="345" t="s">
        <v>223</v>
      </c>
      <c r="S4375" s="345" t="s">
        <v>224</v>
      </c>
    </row>
    <row r="4376" spans="1:19" x14ac:dyDescent="0.25">
      <c r="A4376" s="311"/>
      <c r="B4376" s="312"/>
      <c r="C4376" s="312"/>
      <c r="D4376" s="312"/>
      <c r="E4376" s="312"/>
      <c r="F4376" s="312"/>
      <c r="G4376" s="328"/>
      <c r="H4376" s="337"/>
      <c r="I4376" s="334"/>
      <c r="J4376" s="314"/>
      <c r="K4376" s="449"/>
      <c r="M4376" s="349" t="str">
        <f>N4376&amp;AS[[#This Row],[Insurer Code]]&amp;"; "&amp;O4376&amp;AS[[#This Row],[Reporting Year]]&amp;"; "&amp;P4376&amp;AS[[#This Row],[Insurance Category Code]]&amp;"; "&amp;Q4376&amp;AS[[#This Row],[Large Provider Entity Code]]&amp;"; "&amp;R4376&amp;AS[[#This Row],[Age Band Code]]&amp;"; "&amp;S4376&amp;AS[[#This Row],[Sex Code]]</f>
        <v xml:space="preserve">Insurer Code ; Reporting Year ; Insurance Category Code ; Large Provider Entity Code ; Age Band Code ; Sex Code </v>
      </c>
      <c r="N4376" s="345" t="s">
        <v>207</v>
      </c>
      <c r="O4376" s="345" t="s">
        <v>208</v>
      </c>
      <c r="P4376" s="345" t="s">
        <v>209</v>
      </c>
      <c r="Q4376" s="345" t="s">
        <v>210</v>
      </c>
      <c r="R4376" s="345" t="s">
        <v>223</v>
      </c>
      <c r="S4376" s="345" t="s">
        <v>224</v>
      </c>
    </row>
    <row r="4377" spans="1:19" x14ac:dyDescent="0.25">
      <c r="A4377" s="311"/>
      <c r="B4377" s="312"/>
      <c r="C4377" s="312"/>
      <c r="D4377" s="312"/>
      <c r="E4377" s="312"/>
      <c r="F4377" s="312"/>
      <c r="G4377" s="328"/>
      <c r="H4377" s="337"/>
      <c r="I4377" s="334"/>
      <c r="J4377" s="314"/>
      <c r="K4377" s="449"/>
      <c r="M4377" s="349" t="str">
        <f>N4377&amp;AS[[#This Row],[Insurer Code]]&amp;"; "&amp;O4377&amp;AS[[#This Row],[Reporting Year]]&amp;"; "&amp;P4377&amp;AS[[#This Row],[Insurance Category Code]]&amp;"; "&amp;Q4377&amp;AS[[#This Row],[Large Provider Entity Code]]&amp;"; "&amp;R4377&amp;AS[[#This Row],[Age Band Code]]&amp;"; "&amp;S4377&amp;AS[[#This Row],[Sex Code]]</f>
        <v xml:space="preserve">Insurer Code ; Reporting Year ; Insurance Category Code ; Large Provider Entity Code ; Age Band Code ; Sex Code </v>
      </c>
      <c r="N4377" s="345" t="s">
        <v>207</v>
      </c>
      <c r="O4377" s="345" t="s">
        <v>208</v>
      </c>
      <c r="P4377" s="345" t="s">
        <v>209</v>
      </c>
      <c r="Q4377" s="345" t="s">
        <v>210</v>
      </c>
      <c r="R4377" s="345" t="s">
        <v>223</v>
      </c>
      <c r="S4377" s="345" t="s">
        <v>224</v>
      </c>
    </row>
    <row r="4378" spans="1:19" x14ac:dyDescent="0.25">
      <c r="A4378" s="311"/>
      <c r="B4378" s="312"/>
      <c r="C4378" s="312"/>
      <c r="D4378" s="312"/>
      <c r="E4378" s="312"/>
      <c r="F4378" s="312"/>
      <c r="G4378" s="328"/>
      <c r="H4378" s="337"/>
      <c r="I4378" s="334"/>
      <c r="J4378" s="314"/>
      <c r="K4378" s="449"/>
      <c r="M4378" s="349" t="str">
        <f>N4378&amp;AS[[#This Row],[Insurer Code]]&amp;"; "&amp;O4378&amp;AS[[#This Row],[Reporting Year]]&amp;"; "&amp;P4378&amp;AS[[#This Row],[Insurance Category Code]]&amp;"; "&amp;Q4378&amp;AS[[#This Row],[Large Provider Entity Code]]&amp;"; "&amp;R4378&amp;AS[[#This Row],[Age Band Code]]&amp;"; "&amp;S4378&amp;AS[[#This Row],[Sex Code]]</f>
        <v xml:space="preserve">Insurer Code ; Reporting Year ; Insurance Category Code ; Large Provider Entity Code ; Age Band Code ; Sex Code </v>
      </c>
      <c r="N4378" s="345" t="s">
        <v>207</v>
      </c>
      <c r="O4378" s="345" t="s">
        <v>208</v>
      </c>
      <c r="P4378" s="345" t="s">
        <v>209</v>
      </c>
      <c r="Q4378" s="345" t="s">
        <v>210</v>
      </c>
      <c r="R4378" s="345" t="s">
        <v>223</v>
      </c>
      <c r="S4378" s="345" t="s">
        <v>224</v>
      </c>
    </row>
    <row r="4379" spans="1:19" x14ac:dyDescent="0.25">
      <c r="A4379" s="311"/>
      <c r="B4379" s="312"/>
      <c r="C4379" s="312"/>
      <c r="D4379" s="312"/>
      <c r="E4379" s="312"/>
      <c r="F4379" s="312"/>
      <c r="G4379" s="328"/>
      <c r="H4379" s="337"/>
      <c r="I4379" s="334"/>
      <c r="J4379" s="314"/>
      <c r="K4379" s="449"/>
      <c r="M4379" s="349" t="str">
        <f>N4379&amp;AS[[#This Row],[Insurer Code]]&amp;"; "&amp;O4379&amp;AS[[#This Row],[Reporting Year]]&amp;"; "&amp;P4379&amp;AS[[#This Row],[Insurance Category Code]]&amp;"; "&amp;Q4379&amp;AS[[#This Row],[Large Provider Entity Code]]&amp;"; "&amp;R4379&amp;AS[[#This Row],[Age Band Code]]&amp;"; "&amp;S4379&amp;AS[[#This Row],[Sex Code]]</f>
        <v xml:space="preserve">Insurer Code ; Reporting Year ; Insurance Category Code ; Large Provider Entity Code ; Age Band Code ; Sex Code </v>
      </c>
      <c r="N4379" s="345" t="s">
        <v>207</v>
      </c>
      <c r="O4379" s="345" t="s">
        <v>208</v>
      </c>
      <c r="P4379" s="345" t="s">
        <v>209</v>
      </c>
      <c r="Q4379" s="345" t="s">
        <v>210</v>
      </c>
      <c r="R4379" s="345" t="s">
        <v>223</v>
      </c>
      <c r="S4379" s="345" t="s">
        <v>224</v>
      </c>
    </row>
    <row r="4380" spans="1:19" x14ac:dyDescent="0.25">
      <c r="A4380" s="311"/>
      <c r="B4380" s="312"/>
      <c r="C4380" s="312"/>
      <c r="D4380" s="312"/>
      <c r="E4380" s="312"/>
      <c r="F4380" s="312"/>
      <c r="G4380" s="328"/>
      <c r="H4380" s="337"/>
      <c r="I4380" s="334"/>
      <c r="J4380" s="314"/>
      <c r="K4380" s="449"/>
      <c r="M4380" s="349" t="str">
        <f>N4380&amp;AS[[#This Row],[Insurer Code]]&amp;"; "&amp;O4380&amp;AS[[#This Row],[Reporting Year]]&amp;"; "&amp;P4380&amp;AS[[#This Row],[Insurance Category Code]]&amp;"; "&amp;Q4380&amp;AS[[#This Row],[Large Provider Entity Code]]&amp;"; "&amp;R4380&amp;AS[[#This Row],[Age Band Code]]&amp;"; "&amp;S4380&amp;AS[[#This Row],[Sex Code]]</f>
        <v xml:space="preserve">Insurer Code ; Reporting Year ; Insurance Category Code ; Large Provider Entity Code ; Age Band Code ; Sex Code </v>
      </c>
      <c r="N4380" s="345" t="s">
        <v>207</v>
      </c>
      <c r="O4380" s="345" t="s">
        <v>208</v>
      </c>
      <c r="P4380" s="345" t="s">
        <v>209</v>
      </c>
      <c r="Q4380" s="345" t="s">
        <v>210</v>
      </c>
      <c r="R4380" s="345" t="s">
        <v>223</v>
      </c>
      <c r="S4380" s="345" t="s">
        <v>224</v>
      </c>
    </row>
    <row r="4381" spans="1:19" x14ac:dyDescent="0.25">
      <c r="A4381" s="311"/>
      <c r="B4381" s="312"/>
      <c r="C4381" s="312"/>
      <c r="D4381" s="312"/>
      <c r="E4381" s="312"/>
      <c r="F4381" s="312"/>
      <c r="G4381" s="328"/>
      <c r="H4381" s="337"/>
      <c r="I4381" s="334"/>
      <c r="J4381" s="314"/>
      <c r="K4381" s="449"/>
      <c r="M4381" s="349" t="str">
        <f>N4381&amp;AS[[#This Row],[Insurer Code]]&amp;"; "&amp;O4381&amp;AS[[#This Row],[Reporting Year]]&amp;"; "&amp;P4381&amp;AS[[#This Row],[Insurance Category Code]]&amp;"; "&amp;Q4381&amp;AS[[#This Row],[Large Provider Entity Code]]&amp;"; "&amp;R4381&amp;AS[[#This Row],[Age Band Code]]&amp;"; "&amp;S4381&amp;AS[[#This Row],[Sex Code]]</f>
        <v xml:space="preserve">Insurer Code ; Reporting Year ; Insurance Category Code ; Large Provider Entity Code ; Age Band Code ; Sex Code </v>
      </c>
      <c r="N4381" s="345" t="s">
        <v>207</v>
      </c>
      <c r="O4381" s="345" t="s">
        <v>208</v>
      </c>
      <c r="P4381" s="345" t="s">
        <v>209</v>
      </c>
      <c r="Q4381" s="345" t="s">
        <v>210</v>
      </c>
      <c r="R4381" s="345" t="s">
        <v>223</v>
      </c>
      <c r="S4381" s="345" t="s">
        <v>224</v>
      </c>
    </row>
    <row r="4382" spans="1:19" x14ac:dyDescent="0.25">
      <c r="A4382" s="311"/>
      <c r="B4382" s="312"/>
      <c r="C4382" s="312"/>
      <c r="D4382" s="312"/>
      <c r="E4382" s="312"/>
      <c r="F4382" s="312"/>
      <c r="G4382" s="328"/>
      <c r="H4382" s="337"/>
      <c r="I4382" s="334"/>
      <c r="J4382" s="314"/>
      <c r="K4382" s="449"/>
      <c r="M4382" s="349" t="str">
        <f>N4382&amp;AS[[#This Row],[Insurer Code]]&amp;"; "&amp;O4382&amp;AS[[#This Row],[Reporting Year]]&amp;"; "&amp;P4382&amp;AS[[#This Row],[Insurance Category Code]]&amp;"; "&amp;Q4382&amp;AS[[#This Row],[Large Provider Entity Code]]&amp;"; "&amp;R4382&amp;AS[[#This Row],[Age Band Code]]&amp;"; "&amp;S4382&amp;AS[[#This Row],[Sex Code]]</f>
        <v xml:space="preserve">Insurer Code ; Reporting Year ; Insurance Category Code ; Large Provider Entity Code ; Age Band Code ; Sex Code </v>
      </c>
      <c r="N4382" s="345" t="s">
        <v>207</v>
      </c>
      <c r="O4382" s="345" t="s">
        <v>208</v>
      </c>
      <c r="P4382" s="345" t="s">
        <v>209</v>
      </c>
      <c r="Q4382" s="345" t="s">
        <v>210</v>
      </c>
      <c r="R4382" s="345" t="s">
        <v>223</v>
      </c>
      <c r="S4382" s="345" t="s">
        <v>224</v>
      </c>
    </row>
    <row r="4383" spans="1:19" x14ac:dyDescent="0.25">
      <c r="A4383" s="311"/>
      <c r="B4383" s="312"/>
      <c r="C4383" s="312"/>
      <c r="D4383" s="312"/>
      <c r="E4383" s="312"/>
      <c r="F4383" s="312"/>
      <c r="G4383" s="328"/>
      <c r="H4383" s="337"/>
      <c r="I4383" s="334"/>
      <c r="J4383" s="314"/>
      <c r="K4383" s="449"/>
      <c r="M4383" s="349" t="str">
        <f>N4383&amp;AS[[#This Row],[Insurer Code]]&amp;"; "&amp;O4383&amp;AS[[#This Row],[Reporting Year]]&amp;"; "&amp;P4383&amp;AS[[#This Row],[Insurance Category Code]]&amp;"; "&amp;Q4383&amp;AS[[#This Row],[Large Provider Entity Code]]&amp;"; "&amp;R4383&amp;AS[[#This Row],[Age Band Code]]&amp;"; "&amp;S4383&amp;AS[[#This Row],[Sex Code]]</f>
        <v xml:space="preserve">Insurer Code ; Reporting Year ; Insurance Category Code ; Large Provider Entity Code ; Age Band Code ; Sex Code </v>
      </c>
      <c r="N4383" s="345" t="s">
        <v>207</v>
      </c>
      <c r="O4383" s="345" t="s">
        <v>208</v>
      </c>
      <c r="P4383" s="345" t="s">
        <v>209</v>
      </c>
      <c r="Q4383" s="345" t="s">
        <v>210</v>
      </c>
      <c r="R4383" s="345" t="s">
        <v>223</v>
      </c>
      <c r="S4383" s="345" t="s">
        <v>224</v>
      </c>
    </row>
    <row r="4384" spans="1:19" x14ac:dyDescent="0.25">
      <c r="A4384" s="311"/>
      <c r="B4384" s="312"/>
      <c r="C4384" s="312"/>
      <c r="D4384" s="312"/>
      <c r="E4384" s="312"/>
      <c r="F4384" s="312"/>
      <c r="G4384" s="328"/>
      <c r="H4384" s="337"/>
      <c r="I4384" s="334"/>
      <c r="J4384" s="314"/>
      <c r="K4384" s="449"/>
      <c r="M4384" s="349" t="str">
        <f>N4384&amp;AS[[#This Row],[Insurer Code]]&amp;"; "&amp;O4384&amp;AS[[#This Row],[Reporting Year]]&amp;"; "&amp;P4384&amp;AS[[#This Row],[Insurance Category Code]]&amp;"; "&amp;Q4384&amp;AS[[#This Row],[Large Provider Entity Code]]&amp;"; "&amp;R4384&amp;AS[[#This Row],[Age Band Code]]&amp;"; "&amp;S4384&amp;AS[[#This Row],[Sex Code]]</f>
        <v xml:space="preserve">Insurer Code ; Reporting Year ; Insurance Category Code ; Large Provider Entity Code ; Age Band Code ; Sex Code </v>
      </c>
      <c r="N4384" s="345" t="s">
        <v>207</v>
      </c>
      <c r="O4384" s="345" t="s">
        <v>208</v>
      </c>
      <c r="P4384" s="345" t="s">
        <v>209</v>
      </c>
      <c r="Q4384" s="345" t="s">
        <v>210</v>
      </c>
      <c r="R4384" s="345" t="s">
        <v>223</v>
      </c>
      <c r="S4384" s="345" t="s">
        <v>224</v>
      </c>
    </row>
    <row r="4385" spans="1:19" x14ac:dyDescent="0.25">
      <c r="A4385" s="311"/>
      <c r="B4385" s="312"/>
      <c r="C4385" s="312"/>
      <c r="D4385" s="312"/>
      <c r="E4385" s="312"/>
      <c r="F4385" s="312"/>
      <c r="G4385" s="328"/>
      <c r="H4385" s="337"/>
      <c r="I4385" s="334"/>
      <c r="J4385" s="314"/>
      <c r="K4385" s="449"/>
      <c r="M4385" s="349" t="str">
        <f>N4385&amp;AS[[#This Row],[Insurer Code]]&amp;"; "&amp;O4385&amp;AS[[#This Row],[Reporting Year]]&amp;"; "&amp;P4385&amp;AS[[#This Row],[Insurance Category Code]]&amp;"; "&amp;Q4385&amp;AS[[#This Row],[Large Provider Entity Code]]&amp;"; "&amp;R4385&amp;AS[[#This Row],[Age Band Code]]&amp;"; "&amp;S4385&amp;AS[[#This Row],[Sex Code]]</f>
        <v xml:space="preserve">Insurer Code ; Reporting Year ; Insurance Category Code ; Large Provider Entity Code ; Age Band Code ; Sex Code </v>
      </c>
      <c r="N4385" s="345" t="s">
        <v>207</v>
      </c>
      <c r="O4385" s="345" t="s">
        <v>208</v>
      </c>
      <c r="P4385" s="345" t="s">
        <v>209</v>
      </c>
      <c r="Q4385" s="345" t="s">
        <v>210</v>
      </c>
      <c r="R4385" s="345" t="s">
        <v>223</v>
      </c>
      <c r="S4385" s="345" t="s">
        <v>224</v>
      </c>
    </row>
    <row r="4386" spans="1:19" x14ac:dyDescent="0.25">
      <c r="A4386" s="311"/>
      <c r="B4386" s="312"/>
      <c r="C4386" s="312"/>
      <c r="D4386" s="312"/>
      <c r="E4386" s="312"/>
      <c r="F4386" s="312"/>
      <c r="G4386" s="328"/>
      <c r="H4386" s="337"/>
      <c r="I4386" s="334"/>
      <c r="J4386" s="314"/>
      <c r="K4386" s="449"/>
      <c r="M4386" s="349" t="str">
        <f>N4386&amp;AS[[#This Row],[Insurer Code]]&amp;"; "&amp;O4386&amp;AS[[#This Row],[Reporting Year]]&amp;"; "&amp;P4386&amp;AS[[#This Row],[Insurance Category Code]]&amp;"; "&amp;Q4386&amp;AS[[#This Row],[Large Provider Entity Code]]&amp;"; "&amp;R4386&amp;AS[[#This Row],[Age Band Code]]&amp;"; "&amp;S4386&amp;AS[[#This Row],[Sex Code]]</f>
        <v xml:space="preserve">Insurer Code ; Reporting Year ; Insurance Category Code ; Large Provider Entity Code ; Age Band Code ; Sex Code </v>
      </c>
      <c r="N4386" s="345" t="s">
        <v>207</v>
      </c>
      <c r="O4386" s="345" t="s">
        <v>208</v>
      </c>
      <c r="P4386" s="345" t="s">
        <v>209</v>
      </c>
      <c r="Q4386" s="345" t="s">
        <v>210</v>
      </c>
      <c r="R4386" s="345" t="s">
        <v>223</v>
      </c>
      <c r="S4386" s="345" t="s">
        <v>224</v>
      </c>
    </row>
    <row r="4387" spans="1:19" x14ac:dyDescent="0.25">
      <c r="A4387" s="311"/>
      <c r="B4387" s="312"/>
      <c r="C4387" s="312"/>
      <c r="D4387" s="312"/>
      <c r="E4387" s="312"/>
      <c r="F4387" s="312"/>
      <c r="G4387" s="328"/>
      <c r="H4387" s="337"/>
      <c r="I4387" s="334"/>
      <c r="J4387" s="314"/>
      <c r="K4387" s="449"/>
      <c r="M4387" s="349" t="str">
        <f>N4387&amp;AS[[#This Row],[Insurer Code]]&amp;"; "&amp;O4387&amp;AS[[#This Row],[Reporting Year]]&amp;"; "&amp;P4387&amp;AS[[#This Row],[Insurance Category Code]]&amp;"; "&amp;Q4387&amp;AS[[#This Row],[Large Provider Entity Code]]&amp;"; "&amp;R4387&amp;AS[[#This Row],[Age Band Code]]&amp;"; "&amp;S4387&amp;AS[[#This Row],[Sex Code]]</f>
        <v xml:space="preserve">Insurer Code ; Reporting Year ; Insurance Category Code ; Large Provider Entity Code ; Age Band Code ; Sex Code </v>
      </c>
      <c r="N4387" s="345" t="s">
        <v>207</v>
      </c>
      <c r="O4387" s="345" t="s">
        <v>208</v>
      </c>
      <c r="P4387" s="345" t="s">
        <v>209</v>
      </c>
      <c r="Q4387" s="345" t="s">
        <v>210</v>
      </c>
      <c r="R4387" s="345" t="s">
        <v>223</v>
      </c>
      <c r="S4387" s="345" t="s">
        <v>224</v>
      </c>
    </row>
    <row r="4388" spans="1:19" x14ac:dyDescent="0.25">
      <c r="A4388" s="311"/>
      <c r="B4388" s="312"/>
      <c r="C4388" s="312"/>
      <c r="D4388" s="312"/>
      <c r="E4388" s="312"/>
      <c r="F4388" s="312"/>
      <c r="G4388" s="328"/>
      <c r="H4388" s="337"/>
      <c r="I4388" s="334"/>
      <c r="J4388" s="314"/>
      <c r="K4388" s="449"/>
      <c r="M4388" s="349" t="str">
        <f>N4388&amp;AS[[#This Row],[Insurer Code]]&amp;"; "&amp;O4388&amp;AS[[#This Row],[Reporting Year]]&amp;"; "&amp;P4388&amp;AS[[#This Row],[Insurance Category Code]]&amp;"; "&amp;Q4388&amp;AS[[#This Row],[Large Provider Entity Code]]&amp;"; "&amp;R4388&amp;AS[[#This Row],[Age Band Code]]&amp;"; "&amp;S4388&amp;AS[[#This Row],[Sex Code]]</f>
        <v xml:space="preserve">Insurer Code ; Reporting Year ; Insurance Category Code ; Large Provider Entity Code ; Age Band Code ; Sex Code </v>
      </c>
      <c r="N4388" s="345" t="s">
        <v>207</v>
      </c>
      <c r="O4388" s="345" t="s">
        <v>208</v>
      </c>
      <c r="P4388" s="345" t="s">
        <v>209</v>
      </c>
      <c r="Q4388" s="345" t="s">
        <v>210</v>
      </c>
      <c r="R4388" s="345" t="s">
        <v>223</v>
      </c>
      <c r="S4388" s="345" t="s">
        <v>224</v>
      </c>
    </row>
    <row r="4389" spans="1:19" x14ac:dyDescent="0.25">
      <c r="A4389" s="311"/>
      <c r="B4389" s="312"/>
      <c r="C4389" s="312"/>
      <c r="D4389" s="312"/>
      <c r="E4389" s="312"/>
      <c r="F4389" s="312"/>
      <c r="G4389" s="328"/>
      <c r="H4389" s="337"/>
      <c r="I4389" s="334"/>
      <c r="J4389" s="314"/>
      <c r="K4389" s="449"/>
      <c r="M4389" s="349" t="str">
        <f>N4389&amp;AS[[#This Row],[Insurer Code]]&amp;"; "&amp;O4389&amp;AS[[#This Row],[Reporting Year]]&amp;"; "&amp;P4389&amp;AS[[#This Row],[Insurance Category Code]]&amp;"; "&amp;Q4389&amp;AS[[#This Row],[Large Provider Entity Code]]&amp;"; "&amp;R4389&amp;AS[[#This Row],[Age Band Code]]&amp;"; "&amp;S4389&amp;AS[[#This Row],[Sex Code]]</f>
        <v xml:space="preserve">Insurer Code ; Reporting Year ; Insurance Category Code ; Large Provider Entity Code ; Age Band Code ; Sex Code </v>
      </c>
      <c r="N4389" s="345" t="s">
        <v>207</v>
      </c>
      <c r="O4389" s="345" t="s">
        <v>208</v>
      </c>
      <c r="P4389" s="345" t="s">
        <v>209</v>
      </c>
      <c r="Q4389" s="345" t="s">
        <v>210</v>
      </c>
      <c r="R4389" s="345" t="s">
        <v>223</v>
      </c>
      <c r="S4389" s="345" t="s">
        <v>224</v>
      </c>
    </row>
    <row r="4390" spans="1:19" x14ac:dyDescent="0.25">
      <c r="A4390" s="311"/>
      <c r="B4390" s="312"/>
      <c r="C4390" s="312"/>
      <c r="D4390" s="312"/>
      <c r="E4390" s="312"/>
      <c r="F4390" s="312"/>
      <c r="G4390" s="328"/>
      <c r="H4390" s="337"/>
      <c r="I4390" s="334"/>
      <c r="J4390" s="314"/>
      <c r="K4390" s="449"/>
      <c r="M4390" s="349" t="str">
        <f>N4390&amp;AS[[#This Row],[Insurer Code]]&amp;"; "&amp;O4390&amp;AS[[#This Row],[Reporting Year]]&amp;"; "&amp;P4390&amp;AS[[#This Row],[Insurance Category Code]]&amp;"; "&amp;Q4390&amp;AS[[#This Row],[Large Provider Entity Code]]&amp;"; "&amp;R4390&amp;AS[[#This Row],[Age Band Code]]&amp;"; "&amp;S4390&amp;AS[[#This Row],[Sex Code]]</f>
        <v xml:space="preserve">Insurer Code ; Reporting Year ; Insurance Category Code ; Large Provider Entity Code ; Age Band Code ; Sex Code </v>
      </c>
      <c r="N4390" s="345" t="s">
        <v>207</v>
      </c>
      <c r="O4390" s="345" t="s">
        <v>208</v>
      </c>
      <c r="P4390" s="345" t="s">
        <v>209</v>
      </c>
      <c r="Q4390" s="345" t="s">
        <v>210</v>
      </c>
      <c r="R4390" s="345" t="s">
        <v>223</v>
      </c>
      <c r="S4390" s="345" t="s">
        <v>224</v>
      </c>
    </row>
    <row r="4391" spans="1:19" x14ac:dyDescent="0.25">
      <c r="A4391" s="311"/>
      <c r="B4391" s="312"/>
      <c r="C4391" s="312"/>
      <c r="D4391" s="312"/>
      <c r="E4391" s="312"/>
      <c r="F4391" s="312"/>
      <c r="G4391" s="328"/>
      <c r="H4391" s="337"/>
      <c r="I4391" s="334"/>
      <c r="J4391" s="314"/>
      <c r="K4391" s="449"/>
      <c r="M4391" s="349" t="str">
        <f>N4391&amp;AS[[#This Row],[Insurer Code]]&amp;"; "&amp;O4391&amp;AS[[#This Row],[Reporting Year]]&amp;"; "&amp;P4391&amp;AS[[#This Row],[Insurance Category Code]]&amp;"; "&amp;Q4391&amp;AS[[#This Row],[Large Provider Entity Code]]&amp;"; "&amp;R4391&amp;AS[[#This Row],[Age Band Code]]&amp;"; "&amp;S4391&amp;AS[[#This Row],[Sex Code]]</f>
        <v xml:space="preserve">Insurer Code ; Reporting Year ; Insurance Category Code ; Large Provider Entity Code ; Age Band Code ; Sex Code </v>
      </c>
      <c r="N4391" s="345" t="s">
        <v>207</v>
      </c>
      <c r="O4391" s="345" t="s">
        <v>208</v>
      </c>
      <c r="P4391" s="345" t="s">
        <v>209</v>
      </c>
      <c r="Q4391" s="345" t="s">
        <v>210</v>
      </c>
      <c r="R4391" s="345" t="s">
        <v>223</v>
      </c>
      <c r="S4391" s="345" t="s">
        <v>224</v>
      </c>
    </row>
    <row r="4392" spans="1:19" x14ac:dyDescent="0.25">
      <c r="A4392" s="311"/>
      <c r="B4392" s="312"/>
      <c r="C4392" s="312"/>
      <c r="D4392" s="312"/>
      <c r="E4392" s="312"/>
      <c r="F4392" s="312"/>
      <c r="G4392" s="328"/>
      <c r="H4392" s="337"/>
      <c r="I4392" s="334"/>
      <c r="J4392" s="314"/>
      <c r="K4392" s="449"/>
      <c r="M4392" s="349" t="str">
        <f>N4392&amp;AS[[#This Row],[Insurer Code]]&amp;"; "&amp;O4392&amp;AS[[#This Row],[Reporting Year]]&amp;"; "&amp;P4392&amp;AS[[#This Row],[Insurance Category Code]]&amp;"; "&amp;Q4392&amp;AS[[#This Row],[Large Provider Entity Code]]&amp;"; "&amp;R4392&amp;AS[[#This Row],[Age Band Code]]&amp;"; "&amp;S4392&amp;AS[[#This Row],[Sex Code]]</f>
        <v xml:space="preserve">Insurer Code ; Reporting Year ; Insurance Category Code ; Large Provider Entity Code ; Age Band Code ; Sex Code </v>
      </c>
      <c r="N4392" s="345" t="s">
        <v>207</v>
      </c>
      <c r="O4392" s="345" t="s">
        <v>208</v>
      </c>
      <c r="P4392" s="345" t="s">
        <v>209</v>
      </c>
      <c r="Q4392" s="345" t="s">
        <v>210</v>
      </c>
      <c r="R4392" s="345" t="s">
        <v>223</v>
      </c>
      <c r="S4392" s="345" t="s">
        <v>224</v>
      </c>
    </row>
    <row r="4393" spans="1:19" x14ac:dyDescent="0.25">
      <c r="A4393" s="311"/>
      <c r="B4393" s="312"/>
      <c r="C4393" s="312"/>
      <c r="D4393" s="312"/>
      <c r="E4393" s="312"/>
      <c r="F4393" s="312"/>
      <c r="G4393" s="328"/>
      <c r="H4393" s="337"/>
      <c r="I4393" s="334"/>
      <c r="J4393" s="314"/>
      <c r="K4393" s="449"/>
      <c r="M4393" s="349" t="str">
        <f>N4393&amp;AS[[#This Row],[Insurer Code]]&amp;"; "&amp;O4393&amp;AS[[#This Row],[Reporting Year]]&amp;"; "&amp;P4393&amp;AS[[#This Row],[Insurance Category Code]]&amp;"; "&amp;Q4393&amp;AS[[#This Row],[Large Provider Entity Code]]&amp;"; "&amp;R4393&amp;AS[[#This Row],[Age Band Code]]&amp;"; "&amp;S4393&amp;AS[[#This Row],[Sex Code]]</f>
        <v xml:space="preserve">Insurer Code ; Reporting Year ; Insurance Category Code ; Large Provider Entity Code ; Age Band Code ; Sex Code </v>
      </c>
      <c r="N4393" s="345" t="s">
        <v>207</v>
      </c>
      <c r="O4393" s="345" t="s">
        <v>208</v>
      </c>
      <c r="P4393" s="345" t="s">
        <v>209</v>
      </c>
      <c r="Q4393" s="345" t="s">
        <v>210</v>
      </c>
      <c r="R4393" s="345" t="s">
        <v>223</v>
      </c>
      <c r="S4393" s="345" t="s">
        <v>224</v>
      </c>
    </row>
    <row r="4394" spans="1:19" x14ac:dyDescent="0.25">
      <c r="A4394" s="311"/>
      <c r="B4394" s="312"/>
      <c r="C4394" s="312"/>
      <c r="D4394" s="312"/>
      <c r="E4394" s="312"/>
      <c r="F4394" s="312"/>
      <c r="G4394" s="328"/>
      <c r="H4394" s="337"/>
      <c r="I4394" s="334"/>
      <c r="J4394" s="314"/>
      <c r="K4394" s="449"/>
      <c r="M4394" s="349" t="str">
        <f>N4394&amp;AS[[#This Row],[Insurer Code]]&amp;"; "&amp;O4394&amp;AS[[#This Row],[Reporting Year]]&amp;"; "&amp;P4394&amp;AS[[#This Row],[Insurance Category Code]]&amp;"; "&amp;Q4394&amp;AS[[#This Row],[Large Provider Entity Code]]&amp;"; "&amp;R4394&amp;AS[[#This Row],[Age Band Code]]&amp;"; "&amp;S4394&amp;AS[[#This Row],[Sex Code]]</f>
        <v xml:space="preserve">Insurer Code ; Reporting Year ; Insurance Category Code ; Large Provider Entity Code ; Age Band Code ; Sex Code </v>
      </c>
      <c r="N4394" s="345" t="s">
        <v>207</v>
      </c>
      <c r="O4394" s="345" t="s">
        <v>208</v>
      </c>
      <c r="P4394" s="345" t="s">
        <v>209</v>
      </c>
      <c r="Q4394" s="345" t="s">
        <v>210</v>
      </c>
      <c r="R4394" s="345" t="s">
        <v>223</v>
      </c>
      <c r="S4394" s="345" t="s">
        <v>224</v>
      </c>
    </row>
    <row r="4395" spans="1:19" x14ac:dyDescent="0.25">
      <c r="A4395" s="311"/>
      <c r="B4395" s="312"/>
      <c r="C4395" s="312"/>
      <c r="D4395" s="312"/>
      <c r="E4395" s="312"/>
      <c r="F4395" s="312"/>
      <c r="G4395" s="328"/>
      <c r="H4395" s="453"/>
      <c r="I4395" s="334"/>
      <c r="J4395" s="314"/>
      <c r="K4395" s="454"/>
      <c r="M4395" s="349" t="str">
        <f>N4395&amp;AS[[#This Row],[Insurer Code]]&amp;"; "&amp;O4395&amp;AS[[#This Row],[Reporting Year]]&amp;"; "&amp;P4395&amp;AS[[#This Row],[Insurance Category Code]]&amp;"; "&amp;Q4395&amp;AS[[#This Row],[Large Provider Entity Code]]&amp;"; "&amp;R4395&amp;AS[[#This Row],[Age Band Code]]&amp;"; "&amp;S4395&amp;AS[[#This Row],[Sex Code]]</f>
        <v xml:space="preserve">Insurer Code ; Reporting Year ; Insurance Category Code ; Large Provider Entity Code ; Age Band Code ; Sex Code </v>
      </c>
      <c r="N4395" s="345" t="s">
        <v>207</v>
      </c>
      <c r="O4395" s="345" t="s">
        <v>208</v>
      </c>
      <c r="P4395" s="345" t="s">
        <v>209</v>
      </c>
      <c r="Q4395" s="345" t="s">
        <v>210</v>
      </c>
      <c r="R4395" s="345" t="s">
        <v>223</v>
      </c>
      <c r="S4395" s="345" t="s">
        <v>224</v>
      </c>
    </row>
    <row r="4396" spans="1:19" x14ac:dyDescent="0.25">
      <c r="A4396" s="311"/>
      <c r="B4396" s="312"/>
      <c r="C4396" s="312"/>
      <c r="D4396" s="312"/>
      <c r="E4396" s="312"/>
      <c r="F4396" s="312"/>
      <c r="G4396" s="328"/>
      <c r="H4396" s="453"/>
      <c r="I4396" s="334"/>
      <c r="J4396" s="314"/>
      <c r="K4396" s="454"/>
      <c r="M4396" s="349" t="str">
        <f>N4396&amp;AS[[#This Row],[Insurer Code]]&amp;"; "&amp;O4396&amp;AS[[#This Row],[Reporting Year]]&amp;"; "&amp;P4396&amp;AS[[#This Row],[Insurance Category Code]]&amp;"; "&amp;Q4396&amp;AS[[#This Row],[Large Provider Entity Code]]&amp;"; "&amp;R4396&amp;AS[[#This Row],[Age Band Code]]&amp;"; "&amp;S4396&amp;AS[[#This Row],[Sex Code]]</f>
        <v xml:space="preserve">Insurer Code ; Reporting Year ; Insurance Category Code ; Large Provider Entity Code ; Age Band Code ; Sex Code </v>
      </c>
      <c r="N4396" s="345" t="s">
        <v>207</v>
      </c>
      <c r="O4396" s="345" t="s">
        <v>208</v>
      </c>
      <c r="P4396" s="345" t="s">
        <v>209</v>
      </c>
      <c r="Q4396" s="345" t="s">
        <v>210</v>
      </c>
      <c r="R4396" s="345" t="s">
        <v>223</v>
      </c>
      <c r="S4396" s="345" t="s">
        <v>224</v>
      </c>
    </row>
    <row r="4397" spans="1:19" x14ac:dyDescent="0.25">
      <c r="A4397" s="311"/>
      <c r="B4397" s="312"/>
      <c r="C4397" s="312"/>
      <c r="D4397" s="312"/>
      <c r="E4397" s="312"/>
      <c r="F4397" s="312"/>
      <c r="G4397" s="328"/>
      <c r="H4397" s="453"/>
      <c r="I4397" s="334"/>
      <c r="J4397" s="314"/>
      <c r="K4397" s="454"/>
      <c r="M4397" s="349" t="str">
        <f>N4397&amp;AS[[#This Row],[Insurer Code]]&amp;"; "&amp;O4397&amp;AS[[#This Row],[Reporting Year]]&amp;"; "&amp;P4397&amp;AS[[#This Row],[Insurance Category Code]]&amp;"; "&amp;Q4397&amp;AS[[#This Row],[Large Provider Entity Code]]&amp;"; "&amp;R4397&amp;AS[[#This Row],[Age Band Code]]&amp;"; "&amp;S4397&amp;AS[[#This Row],[Sex Code]]</f>
        <v xml:space="preserve">Insurer Code ; Reporting Year ; Insurance Category Code ; Large Provider Entity Code ; Age Band Code ; Sex Code </v>
      </c>
      <c r="N4397" s="345" t="s">
        <v>207</v>
      </c>
      <c r="O4397" s="345" t="s">
        <v>208</v>
      </c>
      <c r="P4397" s="345" t="s">
        <v>209</v>
      </c>
      <c r="Q4397" s="345" t="s">
        <v>210</v>
      </c>
      <c r="R4397" s="345" t="s">
        <v>223</v>
      </c>
      <c r="S4397" s="345" t="s">
        <v>224</v>
      </c>
    </row>
    <row r="4398" spans="1:19" x14ac:dyDescent="0.25">
      <c r="A4398" s="311"/>
      <c r="B4398" s="312"/>
      <c r="C4398" s="312"/>
      <c r="D4398" s="312"/>
      <c r="E4398" s="312"/>
      <c r="F4398" s="312"/>
      <c r="G4398" s="328"/>
      <c r="H4398" s="453"/>
      <c r="I4398" s="334"/>
      <c r="J4398" s="314"/>
      <c r="K4398" s="454"/>
      <c r="M4398" s="349" t="str">
        <f>N4398&amp;AS[[#This Row],[Insurer Code]]&amp;"; "&amp;O4398&amp;AS[[#This Row],[Reporting Year]]&amp;"; "&amp;P4398&amp;AS[[#This Row],[Insurance Category Code]]&amp;"; "&amp;Q4398&amp;AS[[#This Row],[Large Provider Entity Code]]&amp;"; "&amp;R4398&amp;AS[[#This Row],[Age Band Code]]&amp;"; "&amp;S4398&amp;AS[[#This Row],[Sex Code]]</f>
        <v xml:space="preserve">Insurer Code ; Reporting Year ; Insurance Category Code ; Large Provider Entity Code ; Age Band Code ; Sex Code </v>
      </c>
      <c r="N4398" s="345" t="s">
        <v>207</v>
      </c>
      <c r="O4398" s="345" t="s">
        <v>208</v>
      </c>
      <c r="P4398" s="345" t="s">
        <v>209</v>
      </c>
      <c r="Q4398" s="345" t="s">
        <v>210</v>
      </c>
      <c r="R4398" s="345" t="s">
        <v>223</v>
      </c>
      <c r="S4398" s="345" t="s">
        <v>224</v>
      </c>
    </row>
    <row r="4399" spans="1:19" x14ac:dyDescent="0.25">
      <c r="A4399" s="311"/>
      <c r="B4399" s="312"/>
      <c r="C4399" s="312"/>
      <c r="D4399" s="312"/>
      <c r="E4399" s="312"/>
      <c r="F4399" s="312"/>
      <c r="G4399" s="328"/>
      <c r="H4399" s="453"/>
      <c r="I4399" s="334"/>
      <c r="J4399" s="314"/>
      <c r="K4399" s="454"/>
      <c r="M4399" s="349" t="str">
        <f>N4399&amp;AS[[#This Row],[Insurer Code]]&amp;"; "&amp;O4399&amp;AS[[#This Row],[Reporting Year]]&amp;"; "&amp;P4399&amp;AS[[#This Row],[Insurance Category Code]]&amp;"; "&amp;Q4399&amp;AS[[#This Row],[Large Provider Entity Code]]&amp;"; "&amp;R4399&amp;AS[[#This Row],[Age Band Code]]&amp;"; "&amp;S4399&amp;AS[[#This Row],[Sex Code]]</f>
        <v xml:space="preserve">Insurer Code ; Reporting Year ; Insurance Category Code ; Large Provider Entity Code ; Age Band Code ; Sex Code </v>
      </c>
      <c r="N4399" s="345" t="s">
        <v>207</v>
      </c>
      <c r="O4399" s="345" t="s">
        <v>208</v>
      </c>
      <c r="P4399" s="345" t="s">
        <v>209</v>
      </c>
      <c r="Q4399" s="345" t="s">
        <v>210</v>
      </c>
      <c r="R4399" s="345" t="s">
        <v>223</v>
      </c>
      <c r="S4399" s="345" t="s">
        <v>224</v>
      </c>
    </row>
    <row r="4400" spans="1:19" x14ac:dyDescent="0.25">
      <c r="A4400" s="311"/>
      <c r="B4400" s="312"/>
      <c r="C4400" s="312"/>
      <c r="D4400" s="312"/>
      <c r="E4400" s="312"/>
      <c r="F4400" s="312"/>
      <c r="G4400" s="328"/>
      <c r="H4400" s="453"/>
      <c r="I4400" s="334"/>
      <c r="J4400" s="314"/>
      <c r="K4400" s="454"/>
      <c r="M4400" s="349" t="str">
        <f>N4400&amp;AS[[#This Row],[Insurer Code]]&amp;"; "&amp;O4400&amp;AS[[#This Row],[Reporting Year]]&amp;"; "&amp;P4400&amp;AS[[#This Row],[Insurance Category Code]]&amp;"; "&amp;Q4400&amp;AS[[#This Row],[Large Provider Entity Code]]&amp;"; "&amp;R4400&amp;AS[[#This Row],[Age Band Code]]&amp;"; "&amp;S4400&amp;AS[[#This Row],[Sex Code]]</f>
        <v xml:space="preserve">Insurer Code ; Reporting Year ; Insurance Category Code ; Large Provider Entity Code ; Age Band Code ; Sex Code </v>
      </c>
      <c r="N4400" s="345" t="s">
        <v>207</v>
      </c>
      <c r="O4400" s="345" t="s">
        <v>208</v>
      </c>
      <c r="P4400" s="345" t="s">
        <v>209</v>
      </c>
      <c r="Q4400" s="345" t="s">
        <v>210</v>
      </c>
      <c r="R4400" s="345" t="s">
        <v>223</v>
      </c>
      <c r="S4400" s="345" t="s">
        <v>224</v>
      </c>
    </row>
    <row r="4401" spans="1:19" x14ac:dyDescent="0.25">
      <c r="A4401" s="311"/>
      <c r="B4401" s="312"/>
      <c r="C4401" s="312"/>
      <c r="D4401" s="312"/>
      <c r="E4401" s="312"/>
      <c r="F4401" s="312"/>
      <c r="G4401" s="328"/>
      <c r="H4401" s="453"/>
      <c r="I4401" s="334"/>
      <c r="J4401" s="314"/>
      <c r="K4401" s="454"/>
      <c r="M4401" s="349" t="str">
        <f>N4401&amp;AS[[#This Row],[Insurer Code]]&amp;"; "&amp;O4401&amp;AS[[#This Row],[Reporting Year]]&amp;"; "&amp;P4401&amp;AS[[#This Row],[Insurance Category Code]]&amp;"; "&amp;Q4401&amp;AS[[#This Row],[Large Provider Entity Code]]&amp;"; "&amp;R4401&amp;AS[[#This Row],[Age Band Code]]&amp;"; "&amp;S4401&amp;AS[[#This Row],[Sex Code]]</f>
        <v xml:space="preserve">Insurer Code ; Reporting Year ; Insurance Category Code ; Large Provider Entity Code ; Age Band Code ; Sex Code </v>
      </c>
      <c r="N4401" s="345" t="s">
        <v>207</v>
      </c>
      <c r="O4401" s="345" t="s">
        <v>208</v>
      </c>
      <c r="P4401" s="345" t="s">
        <v>209</v>
      </c>
      <c r="Q4401" s="345" t="s">
        <v>210</v>
      </c>
      <c r="R4401" s="345" t="s">
        <v>223</v>
      </c>
      <c r="S4401" s="345" t="s">
        <v>224</v>
      </c>
    </row>
    <row r="4402" spans="1:19" x14ac:dyDescent="0.25">
      <c r="A4402" s="311"/>
      <c r="B4402" s="312"/>
      <c r="C4402" s="312"/>
      <c r="D4402" s="312"/>
      <c r="E4402" s="312"/>
      <c r="F4402" s="312"/>
      <c r="G4402" s="328"/>
      <c r="H4402" s="453"/>
      <c r="I4402" s="334"/>
      <c r="J4402" s="314"/>
      <c r="K4402" s="454"/>
      <c r="M4402" s="349" t="str">
        <f>N4402&amp;AS[[#This Row],[Insurer Code]]&amp;"; "&amp;O4402&amp;AS[[#This Row],[Reporting Year]]&amp;"; "&amp;P4402&amp;AS[[#This Row],[Insurance Category Code]]&amp;"; "&amp;Q4402&amp;AS[[#This Row],[Large Provider Entity Code]]&amp;"; "&amp;R4402&amp;AS[[#This Row],[Age Band Code]]&amp;"; "&amp;S4402&amp;AS[[#This Row],[Sex Code]]</f>
        <v xml:space="preserve">Insurer Code ; Reporting Year ; Insurance Category Code ; Large Provider Entity Code ; Age Band Code ; Sex Code </v>
      </c>
      <c r="N4402" s="345" t="s">
        <v>207</v>
      </c>
      <c r="O4402" s="345" t="s">
        <v>208</v>
      </c>
      <c r="P4402" s="345" t="s">
        <v>209</v>
      </c>
      <c r="Q4402" s="345" t="s">
        <v>210</v>
      </c>
      <c r="R4402" s="345" t="s">
        <v>223</v>
      </c>
      <c r="S4402" s="345" t="s">
        <v>224</v>
      </c>
    </row>
    <row r="4403" spans="1:19" x14ac:dyDescent="0.25">
      <c r="A4403" s="311"/>
      <c r="B4403" s="312"/>
      <c r="C4403" s="312"/>
      <c r="D4403" s="312"/>
      <c r="E4403" s="312"/>
      <c r="F4403" s="312"/>
      <c r="G4403" s="328"/>
      <c r="H4403" s="453"/>
      <c r="I4403" s="334"/>
      <c r="J4403" s="314"/>
      <c r="K4403" s="454"/>
      <c r="M4403" s="349" t="str">
        <f>N4403&amp;AS[[#This Row],[Insurer Code]]&amp;"; "&amp;O4403&amp;AS[[#This Row],[Reporting Year]]&amp;"; "&amp;P4403&amp;AS[[#This Row],[Insurance Category Code]]&amp;"; "&amp;Q4403&amp;AS[[#This Row],[Large Provider Entity Code]]&amp;"; "&amp;R4403&amp;AS[[#This Row],[Age Band Code]]&amp;"; "&amp;S4403&amp;AS[[#This Row],[Sex Code]]</f>
        <v xml:space="preserve">Insurer Code ; Reporting Year ; Insurance Category Code ; Large Provider Entity Code ; Age Band Code ; Sex Code </v>
      </c>
      <c r="N4403" s="345" t="s">
        <v>207</v>
      </c>
      <c r="O4403" s="345" t="s">
        <v>208</v>
      </c>
      <c r="P4403" s="345" t="s">
        <v>209</v>
      </c>
      <c r="Q4403" s="345" t="s">
        <v>210</v>
      </c>
      <c r="R4403" s="345" t="s">
        <v>223</v>
      </c>
      <c r="S4403" s="345" t="s">
        <v>224</v>
      </c>
    </row>
    <row r="4404" spans="1:19" x14ac:dyDescent="0.25">
      <c r="A4404" s="311"/>
      <c r="B4404" s="312"/>
      <c r="C4404" s="312"/>
      <c r="D4404" s="312"/>
      <c r="E4404" s="312"/>
      <c r="F4404" s="312"/>
      <c r="G4404" s="328"/>
      <c r="H4404" s="453"/>
      <c r="I4404" s="334"/>
      <c r="J4404" s="314"/>
      <c r="K4404" s="454"/>
      <c r="M4404" s="349" t="str">
        <f>N4404&amp;AS[[#This Row],[Insurer Code]]&amp;"; "&amp;O4404&amp;AS[[#This Row],[Reporting Year]]&amp;"; "&amp;P4404&amp;AS[[#This Row],[Insurance Category Code]]&amp;"; "&amp;Q4404&amp;AS[[#This Row],[Large Provider Entity Code]]&amp;"; "&amp;R4404&amp;AS[[#This Row],[Age Band Code]]&amp;"; "&amp;S4404&amp;AS[[#This Row],[Sex Code]]</f>
        <v xml:space="preserve">Insurer Code ; Reporting Year ; Insurance Category Code ; Large Provider Entity Code ; Age Band Code ; Sex Code </v>
      </c>
      <c r="N4404" s="345" t="s">
        <v>207</v>
      </c>
      <c r="O4404" s="345" t="s">
        <v>208</v>
      </c>
      <c r="P4404" s="345" t="s">
        <v>209</v>
      </c>
      <c r="Q4404" s="345" t="s">
        <v>210</v>
      </c>
      <c r="R4404" s="345" t="s">
        <v>223</v>
      </c>
      <c r="S4404" s="345" t="s">
        <v>224</v>
      </c>
    </row>
    <row r="4405" spans="1:19" x14ac:dyDescent="0.25">
      <c r="A4405" s="311"/>
      <c r="B4405" s="312"/>
      <c r="C4405" s="312"/>
      <c r="D4405" s="312"/>
      <c r="E4405" s="333"/>
      <c r="F4405" s="333"/>
      <c r="G4405" s="313"/>
      <c r="H4405" s="336"/>
      <c r="I4405" s="334"/>
      <c r="J4405" s="336"/>
      <c r="K4405" s="449"/>
      <c r="M4405" s="349" t="str">
        <f>N4405&amp;AS[[#This Row],[Insurer Code]]&amp;"; "&amp;O4405&amp;AS[[#This Row],[Reporting Year]]&amp;"; "&amp;P4405&amp;AS[[#This Row],[Insurance Category Code]]&amp;"; "&amp;Q4405&amp;AS[[#This Row],[Large Provider Entity Code]]&amp;"; "&amp;R4405&amp;AS[[#This Row],[Age Band Code]]&amp;"; "&amp;S4405&amp;AS[[#This Row],[Sex Code]]</f>
        <v xml:space="preserve">Insurer Code ; Reporting Year ; Insurance Category Code ; Large Provider Entity Code ; Age Band Code ; Sex Code </v>
      </c>
      <c r="N4405" s="345" t="s">
        <v>207</v>
      </c>
      <c r="O4405" s="345" t="s">
        <v>208</v>
      </c>
      <c r="P4405" s="345" t="s">
        <v>209</v>
      </c>
      <c r="Q4405" s="345" t="s">
        <v>210</v>
      </c>
      <c r="R4405" s="345" t="s">
        <v>223</v>
      </c>
      <c r="S4405" s="345" t="s">
        <v>224</v>
      </c>
    </row>
    <row r="4406" spans="1:19" x14ac:dyDescent="0.25">
      <c r="A4406" s="311"/>
      <c r="B4406" s="312"/>
      <c r="C4406" s="312"/>
      <c r="D4406" s="312"/>
      <c r="E4406" s="333"/>
      <c r="F4406" s="333"/>
      <c r="G4406" s="335"/>
      <c r="H4406" s="336"/>
      <c r="I4406" s="334"/>
      <c r="J4406" s="336"/>
      <c r="K4406" s="449"/>
      <c r="M4406" s="349" t="str">
        <f>N4406&amp;AS[[#This Row],[Insurer Code]]&amp;"; "&amp;O4406&amp;AS[[#This Row],[Reporting Year]]&amp;"; "&amp;P4406&amp;AS[[#This Row],[Insurance Category Code]]&amp;"; "&amp;Q4406&amp;AS[[#This Row],[Large Provider Entity Code]]&amp;"; "&amp;R4406&amp;AS[[#This Row],[Age Band Code]]&amp;"; "&amp;S4406&amp;AS[[#This Row],[Sex Code]]</f>
        <v xml:space="preserve">Insurer Code ; Reporting Year ; Insurance Category Code ; Large Provider Entity Code ; Age Band Code ; Sex Code </v>
      </c>
      <c r="N4406" s="345" t="s">
        <v>207</v>
      </c>
      <c r="O4406" s="345" t="s">
        <v>208</v>
      </c>
      <c r="P4406" s="345" t="s">
        <v>209</v>
      </c>
      <c r="Q4406" s="345" t="s">
        <v>210</v>
      </c>
      <c r="R4406" s="345" t="s">
        <v>223</v>
      </c>
      <c r="S4406" s="345" t="s">
        <v>224</v>
      </c>
    </row>
    <row r="4407" spans="1:19" x14ac:dyDescent="0.25">
      <c r="A4407" s="311"/>
      <c r="B4407" s="312"/>
      <c r="C4407" s="312"/>
      <c r="D4407" s="312"/>
      <c r="E4407" s="333"/>
      <c r="F4407" s="333"/>
      <c r="G4407" s="313"/>
      <c r="H4407" s="336"/>
      <c r="I4407" s="334"/>
      <c r="J4407" s="336"/>
      <c r="K4407" s="449"/>
      <c r="M4407" s="349" t="str">
        <f>N4407&amp;AS[[#This Row],[Insurer Code]]&amp;"; "&amp;O4407&amp;AS[[#This Row],[Reporting Year]]&amp;"; "&amp;P4407&amp;AS[[#This Row],[Insurance Category Code]]&amp;"; "&amp;Q4407&amp;AS[[#This Row],[Large Provider Entity Code]]&amp;"; "&amp;R4407&amp;AS[[#This Row],[Age Band Code]]&amp;"; "&amp;S4407&amp;AS[[#This Row],[Sex Code]]</f>
        <v xml:space="preserve">Insurer Code ; Reporting Year ; Insurance Category Code ; Large Provider Entity Code ; Age Band Code ; Sex Code </v>
      </c>
      <c r="N4407" s="345" t="s">
        <v>207</v>
      </c>
      <c r="O4407" s="345" t="s">
        <v>208</v>
      </c>
      <c r="P4407" s="345" t="s">
        <v>209</v>
      </c>
      <c r="Q4407" s="345" t="s">
        <v>210</v>
      </c>
      <c r="R4407" s="345" t="s">
        <v>223</v>
      </c>
      <c r="S4407" s="345" t="s">
        <v>224</v>
      </c>
    </row>
    <row r="4408" spans="1:19" x14ac:dyDescent="0.25">
      <c r="A4408" s="311"/>
      <c r="B4408" s="312"/>
      <c r="C4408" s="312"/>
      <c r="D4408" s="312"/>
      <c r="E4408" s="333"/>
      <c r="F4408" s="333"/>
      <c r="G4408" s="335"/>
      <c r="H4408" s="336"/>
      <c r="I4408" s="334"/>
      <c r="J4408" s="336"/>
      <c r="K4408" s="449"/>
      <c r="M4408" s="349" t="str">
        <f>N4408&amp;AS[[#This Row],[Insurer Code]]&amp;"; "&amp;O4408&amp;AS[[#This Row],[Reporting Year]]&amp;"; "&amp;P4408&amp;AS[[#This Row],[Insurance Category Code]]&amp;"; "&amp;Q4408&amp;AS[[#This Row],[Large Provider Entity Code]]&amp;"; "&amp;R4408&amp;AS[[#This Row],[Age Band Code]]&amp;"; "&amp;S4408&amp;AS[[#This Row],[Sex Code]]</f>
        <v xml:space="preserve">Insurer Code ; Reporting Year ; Insurance Category Code ; Large Provider Entity Code ; Age Band Code ; Sex Code </v>
      </c>
      <c r="N4408" s="345" t="s">
        <v>207</v>
      </c>
      <c r="O4408" s="345" t="s">
        <v>208</v>
      </c>
      <c r="P4408" s="345" t="s">
        <v>209</v>
      </c>
      <c r="Q4408" s="345" t="s">
        <v>210</v>
      </c>
      <c r="R4408" s="345" t="s">
        <v>223</v>
      </c>
      <c r="S4408" s="345" t="s">
        <v>224</v>
      </c>
    </row>
    <row r="4409" spans="1:19" x14ac:dyDescent="0.25">
      <c r="A4409" s="311"/>
      <c r="B4409" s="312"/>
      <c r="C4409" s="312"/>
      <c r="D4409" s="312"/>
      <c r="E4409" s="333"/>
      <c r="F4409" s="333"/>
      <c r="G4409" s="313"/>
      <c r="H4409" s="336"/>
      <c r="I4409" s="334"/>
      <c r="J4409" s="336"/>
      <c r="K4409" s="449"/>
      <c r="M4409" s="349" t="str">
        <f>N4409&amp;AS[[#This Row],[Insurer Code]]&amp;"; "&amp;O4409&amp;AS[[#This Row],[Reporting Year]]&amp;"; "&amp;P4409&amp;AS[[#This Row],[Insurance Category Code]]&amp;"; "&amp;Q4409&amp;AS[[#This Row],[Large Provider Entity Code]]&amp;"; "&amp;R4409&amp;AS[[#This Row],[Age Band Code]]&amp;"; "&amp;S4409&amp;AS[[#This Row],[Sex Code]]</f>
        <v xml:space="preserve">Insurer Code ; Reporting Year ; Insurance Category Code ; Large Provider Entity Code ; Age Band Code ; Sex Code </v>
      </c>
      <c r="N4409" s="345" t="s">
        <v>207</v>
      </c>
      <c r="O4409" s="345" t="s">
        <v>208</v>
      </c>
      <c r="P4409" s="345" t="s">
        <v>209</v>
      </c>
      <c r="Q4409" s="345" t="s">
        <v>210</v>
      </c>
      <c r="R4409" s="345" t="s">
        <v>223</v>
      </c>
      <c r="S4409" s="345" t="s">
        <v>224</v>
      </c>
    </row>
    <row r="4410" spans="1:19" x14ac:dyDescent="0.25">
      <c r="A4410" s="311"/>
      <c r="B4410" s="312"/>
      <c r="C4410" s="312"/>
      <c r="D4410" s="312"/>
      <c r="E4410" s="333"/>
      <c r="F4410" s="333"/>
      <c r="G4410" s="335"/>
      <c r="H4410" s="336"/>
      <c r="I4410" s="334"/>
      <c r="J4410" s="336"/>
      <c r="K4410" s="449"/>
      <c r="M4410" s="349" t="str">
        <f>N4410&amp;AS[[#This Row],[Insurer Code]]&amp;"; "&amp;O4410&amp;AS[[#This Row],[Reporting Year]]&amp;"; "&amp;P4410&amp;AS[[#This Row],[Insurance Category Code]]&amp;"; "&amp;Q4410&amp;AS[[#This Row],[Large Provider Entity Code]]&amp;"; "&amp;R4410&amp;AS[[#This Row],[Age Band Code]]&amp;"; "&amp;S4410&amp;AS[[#This Row],[Sex Code]]</f>
        <v xml:space="preserve">Insurer Code ; Reporting Year ; Insurance Category Code ; Large Provider Entity Code ; Age Band Code ; Sex Code </v>
      </c>
      <c r="N4410" s="345" t="s">
        <v>207</v>
      </c>
      <c r="O4410" s="345" t="s">
        <v>208</v>
      </c>
      <c r="P4410" s="345" t="s">
        <v>209</v>
      </c>
      <c r="Q4410" s="345" t="s">
        <v>210</v>
      </c>
      <c r="R4410" s="345" t="s">
        <v>223</v>
      </c>
      <c r="S4410" s="345" t="s">
        <v>224</v>
      </c>
    </row>
    <row r="4411" spans="1:19" x14ac:dyDescent="0.25">
      <c r="A4411" s="311"/>
      <c r="B4411" s="312"/>
      <c r="C4411" s="312"/>
      <c r="D4411" s="312"/>
      <c r="E4411" s="312"/>
      <c r="F4411" s="312"/>
      <c r="G4411" s="313"/>
      <c r="H4411" s="336"/>
      <c r="I4411" s="334"/>
      <c r="J4411" s="332"/>
      <c r="K4411" s="449"/>
      <c r="M4411" s="349" t="str">
        <f>N4411&amp;AS[[#This Row],[Insurer Code]]&amp;"; "&amp;O4411&amp;AS[[#This Row],[Reporting Year]]&amp;"; "&amp;P4411&amp;AS[[#This Row],[Insurance Category Code]]&amp;"; "&amp;Q4411&amp;AS[[#This Row],[Large Provider Entity Code]]&amp;"; "&amp;R4411&amp;AS[[#This Row],[Age Band Code]]&amp;"; "&amp;S4411&amp;AS[[#This Row],[Sex Code]]</f>
        <v xml:space="preserve">Insurer Code ; Reporting Year ; Insurance Category Code ; Large Provider Entity Code ; Age Band Code ; Sex Code </v>
      </c>
      <c r="N4411" s="345" t="s">
        <v>207</v>
      </c>
      <c r="O4411" s="345" t="s">
        <v>208</v>
      </c>
      <c r="P4411" s="345" t="s">
        <v>209</v>
      </c>
      <c r="Q4411" s="345" t="s">
        <v>210</v>
      </c>
      <c r="R4411" s="345" t="s">
        <v>223</v>
      </c>
      <c r="S4411" s="345" t="s">
        <v>224</v>
      </c>
    </row>
    <row r="4412" spans="1:19" x14ac:dyDescent="0.25">
      <c r="A4412" s="311"/>
      <c r="B4412" s="312"/>
      <c r="C4412" s="312"/>
      <c r="D4412" s="312"/>
      <c r="E4412" s="312"/>
      <c r="F4412" s="312"/>
      <c r="G4412" s="335"/>
      <c r="H4412" s="336"/>
      <c r="I4412" s="334"/>
      <c r="J4412" s="332"/>
      <c r="K4412" s="449"/>
      <c r="M4412" s="349" t="str">
        <f>N4412&amp;AS[[#This Row],[Insurer Code]]&amp;"; "&amp;O4412&amp;AS[[#This Row],[Reporting Year]]&amp;"; "&amp;P4412&amp;AS[[#This Row],[Insurance Category Code]]&amp;"; "&amp;Q4412&amp;AS[[#This Row],[Large Provider Entity Code]]&amp;"; "&amp;R4412&amp;AS[[#This Row],[Age Band Code]]&amp;"; "&amp;S4412&amp;AS[[#This Row],[Sex Code]]</f>
        <v xml:space="preserve">Insurer Code ; Reporting Year ; Insurance Category Code ; Large Provider Entity Code ; Age Band Code ; Sex Code </v>
      </c>
      <c r="N4412" s="345" t="s">
        <v>207</v>
      </c>
      <c r="O4412" s="345" t="s">
        <v>208</v>
      </c>
      <c r="P4412" s="345" t="s">
        <v>209</v>
      </c>
      <c r="Q4412" s="345" t="s">
        <v>210</v>
      </c>
      <c r="R4412" s="345" t="s">
        <v>223</v>
      </c>
      <c r="S4412" s="345" t="s">
        <v>224</v>
      </c>
    </row>
    <row r="4413" spans="1:19" x14ac:dyDescent="0.25">
      <c r="A4413" s="311"/>
      <c r="B4413" s="312"/>
      <c r="C4413" s="312"/>
      <c r="D4413" s="312"/>
      <c r="E4413" s="312"/>
      <c r="F4413" s="312"/>
      <c r="G4413" s="313"/>
      <c r="H4413" s="336"/>
      <c r="I4413" s="334"/>
      <c r="J4413" s="332"/>
      <c r="K4413" s="449"/>
      <c r="M4413" s="349" t="str">
        <f>N4413&amp;AS[[#This Row],[Insurer Code]]&amp;"; "&amp;O4413&amp;AS[[#This Row],[Reporting Year]]&amp;"; "&amp;P4413&amp;AS[[#This Row],[Insurance Category Code]]&amp;"; "&amp;Q4413&amp;AS[[#This Row],[Large Provider Entity Code]]&amp;"; "&amp;R4413&amp;AS[[#This Row],[Age Band Code]]&amp;"; "&amp;S4413&amp;AS[[#This Row],[Sex Code]]</f>
        <v xml:space="preserve">Insurer Code ; Reporting Year ; Insurance Category Code ; Large Provider Entity Code ; Age Band Code ; Sex Code </v>
      </c>
      <c r="N4413" s="345" t="s">
        <v>207</v>
      </c>
      <c r="O4413" s="345" t="s">
        <v>208</v>
      </c>
      <c r="P4413" s="345" t="s">
        <v>209</v>
      </c>
      <c r="Q4413" s="345" t="s">
        <v>210</v>
      </c>
      <c r="R4413" s="345" t="s">
        <v>223</v>
      </c>
      <c r="S4413" s="345" t="s">
        <v>224</v>
      </c>
    </row>
    <row r="4414" spans="1:19" x14ac:dyDescent="0.25">
      <c r="A4414" s="311"/>
      <c r="B4414" s="312"/>
      <c r="C4414" s="312"/>
      <c r="D4414" s="312"/>
      <c r="E4414" s="312"/>
      <c r="F4414" s="312"/>
      <c r="G4414" s="335"/>
      <c r="H4414" s="336"/>
      <c r="I4414" s="334"/>
      <c r="J4414" s="332"/>
      <c r="K4414" s="449"/>
      <c r="M4414" s="349" t="str">
        <f>N4414&amp;AS[[#This Row],[Insurer Code]]&amp;"; "&amp;O4414&amp;AS[[#This Row],[Reporting Year]]&amp;"; "&amp;P4414&amp;AS[[#This Row],[Insurance Category Code]]&amp;"; "&amp;Q4414&amp;AS[[#This Row],[Large Provider Entity Code]]&amp;"; "&amp;R4414&amp;AS[[#This Row],[Age Band Code]]&amp;"; "&amp;S4414&amp;AS[[#This Row],[Sex Code]]</f>
        <v xml:space="preserve">Insurer Code ; Reporting Year ; Insurance Category Code ; Large Provider Entity Code ; Age Band Code ; Sex Code </v>
      </c>
      <c r="N4414" s="345" t="s">
        <v>207</v>
      </c>
      <c r="O4414" s="345" t="s">
        <v>208</v>
      </c>
      <c r="P4414" s="345" t="s">
        <v>209</v>
      </c>
      <c r="Q4414" s="345" t="s">
        <v>210</v>
      </c>
      <c r="R4414" s="345" t="s">
        <v>223</v>
      </c>
      <c r="S4414" s="345" t="s">
        <v>224</v>
      </c>
    </row>
    <row r="4415" spans="1:19" x14ac:dyDescent="0.25">
      <c r="A4415" s="311"/>
      <c r="B4415" s="312"/>
      <c r="C4415" s="312"/>
      <c r="D4415" s="312"/>
      <c r="E4415" s="312"/>
      <c r="F4415" s="312"/>
      <c r="G4415" s="313"/>
      <c r="H4415" s="336"/>
      <c r="I4415" s="334"/>
      <c r="J4415" s="332"/>
      <c r="K4415" s="449"/>
      <c r="M4415" s="349" t="str">
        <f>N4415&amp;AS[[#This Row],[Insurer Code]]&amp;"; "&amp;O4415&amp;AS[[#This Row],[Reporting Year]]&amp;"; "&amp;P4415&amp;AS[[#This Row],[Insurance Category Code]]&amp;"; "&amp;Q4415&amp;AS[[#This Row],[Large Provider Entity Code]]&amp;"; "&amp;R4415&amp;AS[[#This Row],[Age Band Code]]&amp;"; "&amp;S4415&amp;AS[[#This Row],[Sex Code]]</f>
        <v xml:space="preserve">Insurer Code ; Reporting Year ; Insurance Category Code ; Large Provider Entity Code ; Age Band Code ; Sex Code </v>
      </c>
      <c r="N4415" s="345" t="s">
        <v>207</v>
      </c>
      <c r="O4415" s="345" t="s">
        <v>208</v>
      </c>
      <c r="P4415" s="345" t="s">
        <v>209</v>
      </c>
      <c r="Q4415" s="345" t="s">
        <v>210</v>
      </c>
      <c r="R4415" s="345" t="s">
        <v>223</v>
      </c>
      <c r="S4415" s="345" t="s">
        <v>224</v>
      </c>
    </row>
    <row r="4416" spans="1:19" x14ac:dyDescent="0.25">
      <c r="A4416" s="311"/>
      <c r="B4416" s="312"/>
      <c r="C4416" s="312"/>
      <c r="D4416" s="312"/>
      <c r="E4416" s="312"/>
      <c r="F4416" s="312"/>
      <c r="G4416" s="335"/>
      <c r="H4416" s="336"/>
      <c r="I4416" s="334"/>
      <c r="J4416" s="332"/>
      <c r="K4416" s="449"/>
      <c r="M4416" s="349" t="str">
        <f>N4416&amp;AS[[#This Row],[Insurer Code]]&amp;"; "&amp;O4416&amp;AS[[#This Row],[Reporting Year]]&amp;"; "&amp;P4416&amp;AS[[#This Row],[Insurance Category Code]]&amp;"; "&amp;Q4416&amp;AS[[#This Row],[Large Provider Entity Code]]&amp;"; "&amp;R4416&amp;AS[[#This Row],[Age Band Code]]&amp;"; "&amp;S4416&amp;AS[[#This Row],[Sex Code]]</f>
        <v xml:space="preserve">Insurer Code ; Reporting Year ; Insurance Category Code ; Large Provider Entity Code ; Age Band Code ; Sex Code </v>
      </c>
      <c r="N4416" s="345" t="s">
        <v>207</v>
      </c>
      <c r="O4416" s="345" t="s">
        <v>208</v>
      </c>
      <c r="P4416" s="345" t="s">
        <v>209</v>
      </c>
      <c r="Q4416" s="345" t="s">
        <v>210</v>
      </c>
      <c r="R4416" s="345" t="s">
        <v>223</v>
      </c>
      <c r="S4416" s="345" t="s">
        <v>224</v>
      </c>
    </row>
    <row r="4417" spans="1:19" x14ac:dyDescent="0.25">
      <c r="A4417" s="311"/>
      <c r="B4417" s="312"/>
      <c r="C4417" s="312"/>
      <c r="D4417" s="312"/>
      <c r="E4417" s="312"/>
      <c r="F4417" s="312"/>
      <c r="G4417" s="328"/>
      <c r="H4417" s="337"/>
      <c r="I4417" s="334"/>
      <c r="J4417" s="314"/>
      <c r="K4417" s="449"/>
      <c r="M4417" s="349" t="str">
        <f>N4417&amp;AS[[#This Row],[Insurer Code]]&amp;"; "&amp;O4417&amp;AS[[#This Row],[Reporting Year]]&amp;"; "&amp;P4417&amp;AS[[#This Row],[Insurance Category Code]]&amp;"; "&amp;Q4417&amp;AS[[#This Row],[Large Provider Entity Code]]&amp;"; "&amp;R4417&amp;AS[[#This Row],[Age Band Code]]&amp;"; "&amp;S4417&amp;AS[[#This Row],[Sex Code]]</f>
        <v xml:space="preserve">Insurer Code ; Reporting Year ; Insurance Category Code ; Large Provider Entity Code ; Age Band Code ; Sex Code </v>
      </c>
      <c r="N4417" s="345" t="s">
        <v>207</v>
      </c>
      <c r="O4417" s="345" t="s">
        <v>208</v>
      </c>
      <c r="P4417" s="345" t="s">
        <v>209</v>
      </c>
      <c r="Q4417" s="345" t="s">
        <v>210</v>
      </c>
      <c r="R4417" s="345" t="s">
        <v>223</v>
      </c>
      <c r="S4417" s="345" t="s">
        <v>224</v>
      </c>
    </row>
    <row r="4418" spans="1:19" x14ac:dyDescent="0.25">
      <c r="A4418" s="311"/>
      <c r="B4418" s="312"/>
      <c r="C4418" s="312"/>
      <c r="D4418" s="312"/>
      <c r="E4418" s="312"/>
      <c r="F4418" s="312"/>
      <c r="G4418" s="328"/>
      <c r="H4418" s="337"/>
      <c r="I4418" s="334"/>
      <c r="J4418" s="314"/>
      <c r="K4418" s="449"/>
      <c r="M4418" s="349" t="str">
        <f>N4418&amp;AS[[#This Row],[Insurer Code]]&amp;"; "&amp;O4418&amp;AS[[#This Row],[Reporting Year]]&amp;"; "&amp;P4418&amp;AS[[#This Row],[Insurance Category Code]]&amp;"; "&amp;Q4418&amp;AS[[#This Row],[Large Provider Entity Code]]&amp;"; "&amp;R4418&amp;AS[[#This Row],[Age Band Code]]&amp;"; "&amp;S4418&amp;AS[[#This Row],[Sex Code]]</f>
        <v xml:space="preserve">Insurer Code ; Reporting Year ; Insurance Category Code ; Large Provider Entity Code ; Age Band Code ; Sex Code </v>
      </c>
      <c r="N4418" s="345" t="s">
        <v>207</v>
      </c>
      <c r="O4418" s="345" t="s">
        <v>208</v>
      </c>
      <c r="P4418" s="345" t="s">
        <v>209</v>
      </c>
      <c r="Q4418" s="345" t="s">
        <v>210</v>
      </c>
      <c r="R4418" s="345" t="s">
        <v>223</v>
      </c>
      <c r="S4418" s="345" t="s">
        <v>224</v>
      </c>
    </row>
    <row r="4419" spans="1:19" x14ac:dyDescent="0.25">
      <c r="A4419" s="311"/>
      <c r="B4419" s="312"/>
      <c r="C4419" s="312"/>
      <c r="D4419" s="312"/>
      <c r="E4419" s="312"/>
      <c r="F4419" s="312"/>
      <c r="G4419" s="328"/>
      <c r="H4419" s="337"/>
      <c r="I4419" s="334"/>
      <c r="J4419" s="314"/>
      <c r="K4419" s="449"/>
      <c r="M4419" s="349" t="str">
        <f>N4419&amp;AS[[#This Row],[Insurer Code]]&amp;"; "&amp;O4419&amp;AS[[#This Row],[Reporting Year]]&amp;"; "&amp;P4419&amp;AS[[#This Row],[Insurance Category Code]]&amp;"; "&amp;Q4419&amp;AS[[#This Row],[Large Provider Entity Code]]&amp;"; "&amp;R4419&amp;AS[[#This Row],[Age Band Code]]&amp;"; "&amp;S4419&amp;AS[[#This Row],[Sex Code]]</f>
        <v xml:space="preserve">Insurer Code ; Reporting Year ; Insurance Category Code ; Large Provider Entity Code ; Age Band Code ; Sex Code </v>
      </c>
      <c r="N4419" s="345" t="s">
        <v>207</v>
      </c>
      <c r="O4419" s="345" t="s">
        <v>208</v>
      </c>
      <c r="P4419" s="345" t="s">
        <v>209</v>
      </c>
      <c r="Q4419" s="345" t="s">
        <v>210</v>
      </c>
      <c r="R4419" s="345" t="s">
        <v>223</v>
      </c>
      <c r="S4419" s="345" t="s">
        <v>224</v>
      </c>
    </row>
    <row r="4420" spans="1:19" x14ac:dyDescent="0.25">
      <c r="A4420" s="311"/>
      <c r="B4420" s="312"/>
      <c r="C4420" s="312"/>
      <c r="D4420" s="312"/>
      <c r="E4420" s="312"/>
      <c r="F4420" s="312"/>
      <c r="G4420" s="328"/>
      <c r="H4420" s="337"/>
      <c r="I4420" s="334"/>
      <c r="J4420" s="314"/>
      <c r="K4420" s="449"/>
      <c r="M4420" s="349" t="str">
        <f>N4420&amp;AS[[#This Row],[Insurer Code]]&amp;"; "&amp;O4420&amp;AS[[#This Row],[Reporting Year]]&amp;"; "&amp;P4420&amp;AS[[#This Row],[Insurance Category Code]]&amp;"; "&amp;Q4420&amp;AS[[#This Row],[Large Provider Entity Code]]&amp;"; "&amp;R4420&amp;AS[[#This Row],[Age Band Code]]&amp;"; "&amp;S4420&amp;AS[[#This Row],[Sex Code]]</f>
        <v xml:space="preserve">Insurer Code ; Reporting Year ; Insurance Category Code ; Large Provider Entity Code ; Age Band Code ; Sex Code </v>
      </c>
      <c r="N4420" s="345" t="s">
        <v>207</v>
      </c>
      <c r="O4420" s="345" t="s">
        <v>208</v>
      </c>
      <c r="P4420" s="345" t="s">
        <v>209</v>
      </c>
      <c r="Q4420" s="345" t="s">
        <v>210</v>
      </c>
      <c r="R4420" s="345" t="s">
        <v>223</v>
      </c>
      <c r="S4420" s="345" t="s">
        <v>224</v>
      </c>
    </row>
    <row r="4421" spans="1:19" x14ac:dyDescent="0.25">
      <c r="A4421" s="311"/>
      <c r="B4421" s="312"/>
      <c r="C4421" s="312"/>
      <c r="D4421" s="312"/>
      <c r="E4421" s="312"/>
      <c r="F4421" s="312"/>
      <c r="G4421" s="328"/>
      <c r="H4421" s="337"/>
      <c r="I4421" s="334"/>
      <c r="J4421" s="314"/>
      <c r="K4421" s="449"/>
      <c r="M4421" s="349" t="str">
        <f>N4421&amp;AS[[#This Row],[Insurer Code]]&amp;"; "&amp;O4421&amp;AS[[#This Row],[Reporting Year]]&amp;"; "&amp;P4421&amp;AS[[#This Row],[Insurance Category Code]]&amp;"; "&amp;Q4421&amp;AS[[#This Row],[Large Provider Entity Code]]&amp;"; "&amp;R4421&amp;AS[[#This Row],[Age Band Code]]&amp;"; "&amp;S4421&amp;AS[[#This Row],[Sex Code]]</f>
        <v xml:space="preserve">Insurer Code ; Reporting Year ; Insurance Category Code ; Large Provider Entity Code ; Age Band Code ; Sex Code </v>
      </c>
      <c r="N4421" s="345" t="s">
        <v>207</v>
      </c>
      <c r="O4421" s="345" t="s">
        <v>208</v>
      </c>
      <c r="P4421" s="345" t="s">
        <v>209</v>
      </c>
      <c r="Q4421" s="345" t="s">
        <v>210</v>
      </c>
      <c r="R4421" s="345" t="s">
        <v>223</v>
      </c>
      <c r="S4421" s="345" t="s">
        <v>224</v>
      </c>
    </row>
    <row r="4422" spans="1:19" x14ac:dyDescent="0.25">
      <c r="A4422" s="311"/>
      <c r="B4422" s="312"/>
      <c r="C4422" s="312"/>
      <c r="D4422" s="312"/>
      <c r="E4422" s="312"/>
      <c r="F4422" s="312"/>
      <c r="G4422" s="328"/>
      <c r="H4422" s="337"/>
      <c r="I4422" s="334"/>
      <c r="J4422" s="314"/>
      <c r="K4422" s="449"/>
      <c r="M4422" s="349" t="str">
        <f>N4422&amp;AS[[#This Row],[Insurer Code]]&amp;"; "&amp;O4422&amp;AS[[#This Row],[Reporting Year]]&amp;"; "&amp;P4422&amp;AS[[#This Row],[Insurance Category Code]]&amp;"; "&amp;Q4422&amp;AS[[#This Row],[Large Provider Entity Code]]&amp;"; "&amp;R4422&amp;AS[[#This Row],[Age Band Code]]&amp;"; "&amp;S4422&amp;AS[[#This Row],[Sex Code]]</f>
        <v xml:space="preserve">Insurer Code ; Reporting Year ; Insurance Category Code ; Large Provider Entity Code ; Age Band Code ; Sex Code </v>
      </c>
      <c r="N4422" s="345" t="s">
        <v>207</v>
      </c>
      <c r="O4422" s="345" t="s">
        <v>208</v>
      </c>
      <c r="P4422" s="345" t="s">
        <v>209</v>
      </c>
      <c r="Q4422" s="345" t="s">
        <v>210</v>
      </c>
      <c r="R4422" s="345" t="s">
        <v>223</v>
      </c>
      <c r="S4422" s="345" t="s">
        <v>224</v>
      </c>
    </row>
    <row r="4423" spans="1:19" x14ac:dyDescent="0.25">
      <c r="A4423" s="311"/>
      <c r="B4423" s="312"/>
      <c r="C4423" s="312"/>
      <c r="D4423" s="312"/>
      <c r="E4423" s="312"/>
      <c r="F4423" s="312"/>
      <c r="G4423" s="328"/>
      <c r="H4423" s="337"/>
      <c r="I4423" s="334"/>
      <c r="J4423" s="314"/>
      <c r="K4423" s="449"/>
      <c r="M4423" s="349" t="str">
        <f>N4423&amp;AS[[#This Row],[Insurer Code]]&amp;"; "&amp;O4423&amp;AS[[#This Row],[Reporting Year]]&amp;"; "&amp;P4423&amp;AS[[#This Row],[Insurance Category Code]]&amp;"; "&amp;Q4423&amp;AS[[#This Row],[Large Provider Entity Code]]&amp;"; "&amp;R4423&amp;AS[[#This Row],[Age Band Code]]&amp;"; "&amp;S4423&amp;AS[[#This Row],[Sex Code]]</f>
        <v xml:space="preserve">Insurer Code ; Reporting Year ; Insurance Category Code ; Large Provider Entity Code ; Age Band Code ; Sex Code </v>
      </c>
      <c r="N4423" s="345" t="s">
        <v>207</v>
      </c>
      <c r="O4423" s="345" t="s">
        <v>208</v>
      </c>
      <c r="P4423" s="345" t="s">
        <v>209</v>
      </c>
      <c r="Q4423" s="345" t="s">
        <v>210</v>
      </c>
      <c r="R4423" s="345" t="s">
        <v>223</v>
      </c>
      <c r="S4423" s="345" t="s">
        <v>224</v>
      </c>
    </row>
    <row r="4424" spans="1:19" x14ac:dyDescent="0.25">
      <c r="A4424" s="311"/>
      <c r="B4424" s="312"/>
      <c r="C4424" s="312"/>
      <c r="D4424" s="312"/>
      <c r="E4424" s="312"/>
      <c r="F4424" s="312"/>
      <c r="G4424" s="328"/>
      <c r="H4424" s="337"/>
      <c r="I4424" s="334"/>
      <c r="J4424" s="314"/>
      <c r="K4424" s="449"/>
      <c r="M4424" s="349" t="str">
        <f>N4424&amp;AS[[#This Row],[Insurer Code]]&amp;"; "&amp;O4424&amp;AS[[#This Row],[Reporting Year]]&amp;"; "&amp;P4424&amp;AS[[#This Row],[Insurance Category Code]]&amp;"; "&amp;Q4424&amp;AS[[#This Row],[Large Provider Entity Code]]&amp;"; "&amp;R4424&amp;AS[[#This Row],[Age Band Code]]&amp;"; "&amp;S4424&amp;AS[[#This Row],[Sex Code]]</f>
        <v xml:space="preserve">Insurer Code ; Reporting Year ; Insurance Category Code ; Large Provider Entity Code ; Age Band Code ; Sex Code </v>
      </c>
      <c r="N4424" s="345" t="s">
        <v>207</v>
      </c>
      <c r="O4424" s="345" t="s">
        <v>208</v>
      </c>
      <c r="P4424" s="345" t="s">
        <v>209</v>
      </c>
      <c r="Q4424" s="345" t="s">
        <v>210</v>
      </c>
      <c r="R4424" s="345" t="s">
        <v>223</v>
      </c>
      <c r="S4424" s="345" t="s">
        <v>224</v>
      </c>
    </row>
    <row r="4425" spans="1:19" x14ac:dyDescent="0.25">
      <c r="A4425" s="311"/>
      <c r="B4425" s="312"/>
      <c r="C4425" s="312"/>
      <c r="D4425" s="312"/>
      <c r="E4425" s="312"/>
      <c r="F4425" s="312"/>
      <c r="G4425" s="328"/>
      <c r="H4425" s="337"/>
      <c r="I4425" s="334"/>
      <c r="J4425" s="314"/>
      <c r="K4425" s="449"/>
      <c r="M4425" s="349" t="str">
        <f>N4425&amp;AS[[#This Row],[Insurer Code]]&amp;"; "&amp;O4425&amp;AS[[#This Row],[Reporting Year]]&amp;"; "&amp;P4425&amp;AS[[#This Row],[Insurance Category Code]]&amp;"; "&amp;Q4425&amp;AS[[#This Row],[Large Provider Entity Code]]&amp;"; "&amp;R4425&amp;AS[[#This Row],[Age Band Code]]&amp;"; "&amp;S4425&amp;AS[[#This Row],[Sex Code]]</f>
        <v xml:space="preserve">Insurer Code ; Reporting Year ; Insurance Category Code ; Large Provider Entity Code ; Age Band Code ; Sex Code </v>
      </c>
      <c r="N4425" s="345" t="s">
        <v>207</v>
      </c>
      <c r="O4425" s="345" t="s">
        <v>208</v>
      </c>
      <c r="P4425" s="345" t="s">
        <v>209</v>
      </c>
      <c r="Q4425" s="345" t="s">
        <v>210</v>
      </c>
      <c r="R4425" s="345" t="s">
        <v>223</v>
      </c>
      <c r="S4425" s="345" t="s">
        <v>224</v>
      </c>
    </row>
    <row r="4426" spans="1:19" x14ac:dyDescent="0.25">
      <c r="A4426" s="311"/>
      <c r="B4426" s="312"/>
      <c r="C4426" s="312"/>
      <c r="D4426" s="312"/>
      <c r="E4426" s="312"/>
      <c r="F4426" s="312"/>
      <c r="G4426" s="328"/>
      <c r="H4426" s="337"/>
      <c r="I4426" s="334"/>
      <c r="J4426" s="314"/>
      <c r="K4426" s="449"/>
      <c r="M4426" s="349" t="str">
        <f>N4426&amp;AS[[#This Row],[Insurer Code]]&amp;"; "&amp;O4426&amp;AS[[#This Row],[Reporting Year]]&amp;"; "&amp;P4426&amp;AS[[#This Row],[Insurance Category Code]]&amp;"; "&amp;Q4426&amp;AS[[#This Row],[Large Provider Entity Code]]&amp;"; "&amp;R4426&amp;AS[[#This Row],[Age Band Code]]&amp;"; "&amp;S4426&amp;AS[[#This Row],[Sex Code]]</f>
        <v xml:space="preserve">Insurer Code ; Reporting Year ; Insurance Category Code ; Large Provider Entity Code ; Age Band Code ; Sex Code </v>
      </c>
      <c r="N4426" s="345" t="s">
        <v>207</v>
      </c>
      <c r="O4426" s="345" t="s">
        <v>208</v>
      </c>
      <c r="P4426" s="345" t="s">
        <v>209</v>
      </c>
      <c r="Q4426" s="345" t="s">
        <v>210</v>
      </c>
      <c r="R4426" s="345" t="s">
        <v>223</v>
      </c>
      <c r="S4426" s="345" t="s">
        <v>224</v>
      </c>
    </row>
    <row r="4427" spans="1:19" x14ac:dyDescent="0.25">
      <c r="A4427" s="311"/>
      <c r="B4427" s="312"/>
      <c r="C4427" s="312"/>
      <c r="D4427" s="312"/>
      <c r="E4427" s="312"/>
      <c r="F4427" s="312"/>
      <c r="G4427" s="328"/>
      <c r="H4427" s="337"/>
      <c r="I4427" s="334"/>
      <c r="J4427" s="314"/>
      <c r="K4427" s="449"/>
      <c r="M4427" s="349" t="str">
        <f>N4427&amp;AS[[#This Row],[Insurer Code]]&amp;"; "&amp;O4427&amp;AS[[#This Row],[Reporting Year]]&amp;"; "&amp;P4427&amp;AS[[#This Row],[Insurance Category Code]]&amp;"; "&amp;Q4427&amp;AS[[#This Row],[Large Provider Entity Code]]&amp;"; "&amp;R4427&amp;AS[[#This Row],[Age Band Code]]&amp;"; "&amp;S4427&amp;AS[[#This Row],[Sex Code]]</f>
        <v xml:space="preserve">Insurer Code ; Reporting Year ; Insurance Category Code ; Large Provider Entity Code ; Age Band Code ; Sex Code </v>
      </c>
      <c r="N4427" s="345" t="s">
        <v>207</v>
      </c>
      <c r="O4427" s="345" t="s">
        <v>208</v>
      </c>
      <c r="P4427" s="345" t="s">
        <v>209</v>
      </c>
      <c r="Q4427" s="345" t="s">
        <v>210</v>
      </c>
      <c r="R4427" s="345" t="s">
        <v>223</v>
      </c>
      <c r="S4427" s="345" t="s">
        <v>224</v>
      </c>
    </row>
    <row r="4428" spans="1:19" x14ac:dyDescent="0.25">
      <c r="A4428" s="311"/>
      <c r="B4428" s="312"/>
      <c r="C4428" s="312"/>
      <c r="D4428" s="312"/>
      <c r="E4428" s="312"/>
      <c r="F4428" s="312"/>
      <c r="G4428" s="328"/>
      <c r="H4428" s="337"/>
      <c r="I4428" s="334"/>
      <c r="J4428" s="314"/>
      <c r="K4428" s="449"/>
      <c r="M4428" s="349" t="str">
        <f>N4428&amp;AS[[#This Row],[Insurer Code]]&amp;"; "&amp;O4428&amp;AS[[#This Row],[Reporting Year]]&amp;"; "&amp;P4428&amp;AS[[#This Row],[Insurance Category Code]]&amp;"; "&amp;Q4428&amp;AS[[#This Row],[Large Provider Entity Code]]&amp;"; "&amp;R4428&amp;AS[[#This Row],[Age Band Code]]&amp;"; "&amp;S4428&amp;AS[[#This Row],[Sex Code]]</f>
        <v xml:space="preserve">Insurer Code ; Reporting Year ; Insurance Category Code ; Large Provider Entity Code ; Age Band Code ; Sex Code </v>
      </c>
      <c r="N4428" s="345" t="s">
        <v>207</v>
      </c>
      <c r="O4428" s="345" t="s">
        <v>208</v>
      </c>
      <c r="P4428" s="345" t="s">
        <v>209</v>
      </c>
      <c r="Q4428" s="345" t="s">
        <v>210</v>
      </c>
      <c r="R4428" s="345" t="s">
        <v>223</v>
      </c>
      <c r="S4428" s="345" t="s">
        <v>224</v>
      </c>
    </row>
    <row r="4429" spans="1:19" x14ac:dyDescent="0.25">
      <c r="A4429" s="311"/>
      <c r="B4429" s="312"/>
      <c r="C4429" s="312"/>
      <c r="D4429" s="312"/>
      <c r="E4429" s="312"/>
      <c r="F4429" s="312"/>
      <c r="G4429" s="328"/>
      <c r="H4429" s="337"/>
      <c r="I4429" s="334"/>
      <c r="J4429" s="314"/>
      <c r="K4429" s="449"/>
      <c r="M4429" s="349" t="str">
        <f>N4429&amp;AS[[#This Row],[Insurer Code]]&amp;"; "&amp;O4429&amp;AS[[#This Row],[Reporting Year]]&amp;"; "&amp;P4429&amp;AS[[#This Row],[Insurance Category Code]]&amp;"; "&amp;Q4429&amp;AS[[#This Row],[Large Provider Entity Code]]&amp;"; "&amp;R4429&amp;AS[[#This Row],[Age Band Code]]&amp;"; "&amp;S4429&amp;AS[[#This Row],[Sex Code]]</f>
        <v xml:space="preserve">Insurer Code ; Reporting Year ; Insurance Category Code ; Large Provider Entity Code ; Age Band Code ; Sex Code </v>
      </c>
      <c r="N4429" s="345" t="s">
        <v>207</v>
      </c>
      <c r="O4429" s="345" t="s">
        <v>208</v>
      </c>
      <c r="P4429" s="345" t="s">
        <v>209</v>
      </c>
      <c r="Q4429" s="345" t="s">
        <v>210</v>
      </c>
      <c r="R4429" s="345" t="s">
        <v>223</v>
      </c>
      <c r="S4429" s="345" t="s">
        <v>224</v>
      </c>
    </row>
    <row r="4430" spans="1:19" x14ac:dyDescent="0.25">
      <c r="A4430" s="311"/>
      <c r="B4430" s="312"/>
      <c r="C4430" s="312"/>
      <c r="D4430" s="312"/>
      <c r="E4430" s="312"/>
      <c r="F4430" s="312"/>
      <c r="G4430" s="328"/>
      <c r="H4430" s="337"/>
      <c r="I4430" s="334"/>
      <c r="J4430" s="314"/>
      <c r="K4430" s="449"/>
      <c r="M4430" s="349" t="str">
        <f>N4430&amp;AS[[#This Row],[Insurer Code]]&amp;"; "&amp;O4430&amp;AS[[#This Row],[Reporting Year]]&amp;"; "&amp;P4430&amp;AS[[#This Row],[Insurance Category Code]]&amp;"; "&amp;Q4430&amp;AS[[#This Row],[Large Provider Entity Code]]&amp;"; "&amp;R4430&amp;AS[[#This Row],[Age Band Code]]&amp;"; "&amp;S4430&amp;AS[[#This Row],[Sex Code]]</f>
        <v xml:space="preserve">Insurer Code ; Reporting Year ; Insurance Category Code ; Large Provider Entity Code ; Age Band Code ; Sex Code </v>
      </c>
      <c r="N4430" s="345" t="s">
        <v>207</v>
      </c>
      <c r="O4430" s="345" t="s">
        <v>208</v>
      </c>
      <c r="P4430" s="345" t="s">
        <v>209</v>
      </c>
      <c r="Q4430" s="345" t="s">
        <v>210</v>
      </c>
      <c r="R4430" s="345" t="s">
        <v>223</v>
      </c>
      <c r="S4430" s="345" t="s">
        <v>224</v>
      </c>
    </row>
    <row r="4431" spans="1:19" x14ac:dyDescent="0.25">
      <c r="A4431" s="311"/>
      <c r="B4431" s="312"/>
      <c r="C4431" s="312"/>
      <c r="D4431" s="312"/>
      <c r="E4431" s="312"/>
      <c r="F4431" s="312"/>
      <c r="G4431" s="328"/>
      <c r="H4431" s="337"/>
      <c r="I4431" s="334"/>
      <c r="J4431" s="314"/>
      <c r="K4431" s="449"/>
      <c r="M4431" s="349" t="str">
        <f>N4431&amp;AS[[#This Row],[Insurer Code]]&amp;"; "&amp;O4431&amp;AS[[#This Row],[Reporting Year]]&amp;"; "&amp;P4431&amp;AS[[#This Row],[Insurance Category Code]]&amp;"; "&amp;Q4431&amp;AS[[#This Row],[Large Provider Entity Code]]&amp;"; "&amp;R4431&amp;AS[[#This Row],[Age Band Code]]&amp;"; "&amp;S4431&amp;AS[[#This Row],[Sex Code]]</f>
        <v xml:space="preserve">Insurer Code ; Reporting Year ; Insurance Category Code ; Large Provider Entity Code ; Age Band Code ; Sex Code </v>
      </c>
      <c r="N4431" s="345" t="s">
        <v>207</v>
      </c>
      <c r="O4431" s="345" t="s">
        <v>208</v>
      </c>
      <c r="P4431" s="345" t="s">
        <v>209</v>
      </c>
      <c r="Q4431" s="345" t="s">
        <v>210</v>
      </c>
      <c r="R4431" s="345" t="s">
        <v>223</v>
      </c>
      <c r="S4431" s="345" t="s">
        <v>224</v>
      </c>
    </row>
    <row r="4432" spans="1:19" x14ac:dyDescent="0.25">
      <c r="A4432" s="311"/>
      <c r="B4432" s="312"/>
      <c r="C4432" s="312"/>
      <c r="D4432" s="312"/>
      <c r="E4432" s="312"/>
      <c r="F4432" s="312"/>
      <c r="G4432" s="328"/>
      <c r="H4432" s="337"/>
      <c r="I4432" s="334"/>
      <c r="J4432" s="314"/>
      <c r="K4432" s="449"/>
      <c r="M4432" s="349" t="str">
        <f>N4432&amp;AS[[#This Row],[Insurer Code]]&amp;"; "&amp;O4432&amp;AS[[#This Row],[Reporting Year]]&amp;"; "&amp;P4432&amp;AS[[#This Row],[Insurance Category Code]]&amp;"; "&amp;Q4432&amp;AS[[#This Row],[Large Provider Entity Code]]&amp;"; "&amp;R4432&amp;AS[[#This Row],[Age Band Code]]&amp;"; "&amp;S4432&amp;AS[[#This Row],[Sex Code]]</f>
        <v xml:space="preserve">Insurer Code ; Reporting Year ; Insurance Category Code ; Large Provider Entity Code ; Age Band Code ; Sex Code </v>
      </c>
      <c r="N4432" s="345" t="s">
        <v>207</v>
      </c>
      <c r="O4432" s="345" t="s">
        <v>208</v>
      </c>
      <c r="P4432" s="345" t="s">
        <v>209</v>
      </c>
      <c r="Q4432" s="345" t="s">
        <v>210</v>
      </c>
      <c r="R4432" s="345" t="s">
        <v>223</v>
      </c>
      <c r="S4432" s="345" t="s">
        <v>224</v>
      </c>
    </row>
    <row r="4433" spans="1:19" x14ac:dyDescent="0.25">
      <c r="A4433" s="311"/>
      <c r="B4433" s="312"/>
      <c r="C4433" s="312"/>
      <c r="D4433" s="312"/>
      <c r="E4433" s="312"/>
      <c r="F4433" s="312"/>
      <c r="G4433" s="328"/>
      <c r="H4433" s="337"/>
      <c r="I4433" s="334"/>
      <c r="J4433" s="314"/>
      <c r="K4433" s="449"/>
      <c r="M4433" s="349" t="str">
        <f>N4433&amp;AS[[#This Row],[Insurer Code]]&amp;"; "&amp;O4433&amp;AS[[#This Row],[Reporting Year]]&amp;"; "&amp;P4433&amp;AS[[#This Row],[Insurance Category Code]]&amp;"; "&amp;Q4433&amp;AS[[#This Row],[Large Provider Entity Code]]&amp;"; "&amp;R4433&amp;AS[[#This Row],[Age Band Code]]&amp;"; "&amp;S4433&amp;AS[[#This Row],[Sex Code]]</f>
        <v xml:space="preserve">Insurer Code ; Reporting Year ; Insurance Category Code ; Large Provider Entity Code ; Age Band Code ; Sex Code </v>
      </c>
      <c r="N4433" s="345" t="s">
        <v>207</v>
      </c>
      <c r="O4433" s="345" t="s">
        <v>208</v>
      </c>
      <c r="P4433" s="345" t="s">
        <v>209</v>
      </c>
      <c r="Q4433" s="345" t="s">
        <v>210</v>
      </c>
      <c r="R4433" s="345" t="s">
        <v>223</v>
      </c>
      <c r="S4433" s="345" t="s">
        <v>224</v>
      </c>
    </row>
    <row r="4434" spans="1:19" x14ac:dyDescent="0.25">
      <c r="A4434" s="311"/>
      <c r="B4434" s="312"/>
      <c r="C4434" s="312"/>
      <c r="D4434" s="312"/>
      <c r="E4434" s="312"/>
      <c r="F4434" s="312"/>
      <c r="G4434" s="328"/>
      <c r="H4434" s="337"/>
      <c r="I4434" s="334"/>
      <c r="J4434" s="314"/>
      <c r="K4434" s="449"/>
      <c r="M4434" s="349" t="str">
        <f>N4434&amp;AS[[#This Row],[Insurer Code]]&amp;"; "&amp;O4434&amp;AS[[#This Row],[Reporting Year]]&amp;"; "&amp;P4434&amp;AS[[#This Row],[Insurance Category Code]]&amp;"; "&amp;Q4434&amp;AS[[#This Row],[Large Provider Entity Code]]&amp;"; "&amp;R4434&amp;AS[[#This Row],[Age Band Code]]&amp;"; "&amp;S4434&amp;AS[[#This Row],[Sex Code]]</f>
        <v xml:space="preserve">Insurer Code ; Reporting Year ; Insurance Category Code ; Large Provider Entity Code ; Age Band Code ; Sex Code </v>
      </c>
      <c r="N4434" s="345" t="s">
        <v>207</v>
      </c>
      <c r="O4434" s="345" t="s">
        <v>208</v>
      </c>
      <c r="P4434" s="345" t="s">
        <v>209</v>
      </c>
      <c r="Q4434" s="345" t="s">
        <v>210</v>
      </c>
      <c r="R4434" s="345" t="s">
        <v>223</v>
      </c>
      <c r="S4434" s="345" t="s">
        <v>224</v>
      </c>
    </row>
    <row r="4435" spans="1:19" x14ac:dyDescent="0.25">
      <c r="A4435" s="311"/>
      <c r="B4435" s="312"/>
      <c r="C4435" s="312"/>
      <c r="D4435" s="312"/>
      <c r="E4435" s="312"/>
      <c r="F4435" s="312"/>
      <c r="G4435" s="328"/>
      <c r="H4435" s="337"/>
      <c r="I4435" s="334"/>
      <c r="J4435" s="314"/>
      <c r="K4435" s="449"/>
      <c r="M4435" s="349" t="str">
        <f>N4435&amp;AS[[#This Row],[Insurer Code]]&amp;"; "&amp;O4435&amp;AS[[#This Row],[Reporting Year]]&amp;"; "&amp;P4435&amp;AS[[#This Row],[Insurance Category Code]]&amp;"; "&amp;Q4435&amp;AS[[#This Row],[Large Provider Entity Code]]&amp;"; "&amp;R4435&amp;AS[[#This Row],[Age Band Code]]&amp;"; "&amp;S4435&amp;AS[[#This Row],[Sex Code]]</f>
        <v xml:space="preserve">Insurer Code ; Reporting Year ; Insurance Category Code ; Large Provider Entity Code ; Age Band Code ; Sex Code </v>
      </c>
      <c r="N4435" s="345" t="s">
        <v>207</v>
      </c>
      <c r="O4435" s="345" t="s">
        <v>208</v>
      </c>
      <c r="P4435" s="345" t="s">
        <v>209</v>
      </c>
      <c r="Q4435" s="345" t="s">
        <v>210</v>
      </c>
      <c r="R4435" s="345" t="s">
        <v>223</v>
      </c>
      <c r="S4435" s="345" t="s">
        <v>224</v>
      </c>
    </row>
    <row r="4436" spans="1:19" x14ac:dyDescent="0.25">
      <c r="A4436" s="311"/>
      <c r="B4436" s="312"/>
      <c r="C4436" s="312"/>
      <c r="D4436" s="312"/>
      <c r="E4436" s="312"/>
      <c r="F4436" s="312"/>
      <c r="G4436" s="328"/>
      <c r="H4436" s="337"/>
      <c r="I4436" s="334"/>
      <c r="J4436" s="314"/>
      <c r="K4436" s="449"/>
      <c r="M4436" s="349" t="str">
        <f>N4436&amp;AS[[#This Row],[Insurer Code]]&amp;"; "&amp;O4436&amp;AS[[#This Row],[Reporting Year]]&amp;"; "&amp;P4436&amp;AS[[#This Row],[Insurance Category Code]]&amp;"; "&amp;Q4436&amp;AS[[#This Row],[Large Provider Entity Code]]&amp;"; "&amp;R4436&amp;AS[[#This Row],[Age Band Code]]&amp;"; "&amp;S4436&amp;AS[[#This Row],[Sex Code]]</f>
        <v xml:space="preserve">Insurer Code ; Reporting Year ; Insurance Category Code ; Large Provider Entity Code ; Age Band Code ; Sex Code </v>
      </c>
      <c r="N4436" s="345" t="s">
        <v>207</v>
      </c>
      <c r="O4436" s="345" t="s">
        <v>208</v>
      </c>
      <c r="P4436" s="345" t="s">
        <v>209</v>
      </c>
      <c r="Q4436" s="345" t="s">
        <v>210</v>
      </c>
      <c r="R4436" s="345" t="s">
        <v>223</v>
      </c>
      <c r="S4436" s="345" t="s">
        <v>224</v>
      </c>
    </row>
    <row r="4437" spans="1:19" x14ac:dyDescent="0.25">
      <c r="A4437" s="311"/>
      <c r="B4437" s="312"/>
      <c r="C4437" s="312"/>
      <c r="D4437" s="312"/>
      <c r="E4437" s="312"/>
      <c r="F4437" s="312"/>
      <c r="G4437" s="328"/>
      <c r="H4437" s="337"/>
      <c r="I4437" s="334"/>
      <c r="J4437" s="314"/>
      <c r="K4437" s="449"/>
      <c r="M4437" s="349" t="str">
        <f>N4437&amp;AS[[#This Row],[Insurer Code]]&amp;"; "&amp;O4437&amp;AS[[#This Row],[Reporting Year]]&amp;"; "&amp;P4437&amp;AS[[#This Row],[Insurance Category Code]]&amp;"; "&amp;Q4437&amp;AS[[#This Row],[Large Provider Entity Code]]&amp;"; "&amp;R4437&amp;AS[[#This Row],[Age Band Code]]&amp;"; "&amp;S4437&amp;AS[[#This Row],[Sex Code]]</f>
        <v xml:space="preserve">Insurer Code ; Reporting Year ; Insurance Category Code ; Large Provider Entity Code ; Age Band Code ; Sex Code </v>
      </c>
      <c r="N4437" s="345" t="s">
        <v>207</v>
      </c>
      <c r="O4437" s="345" t="s">
        <v>208</v>
      </c>
      <c r="P4437" s="345" t="s">
        <v>209</v>
      </c>
      <c r="Q4437" s="345" t="s">
        <v>210</v>
      </c>
      <c r="R4437" s="345" t="s">
        <v>223</v>
      </c>
      <c r="S4437" s="345" t="s">
        <v>224</v>
      </c>
    </row>
    <row r="4438" spans="1:19" x14ac:dyDescent="0.25">
      <c r="A4438" s="311"/>
      <c r="B4438" s="312"/>
      <c r="C4438" s="312"/>
      <c r="D4438" s="312"/>
      <c r="E4438" s="312"/>
      <c r="F4438" s="312"/>
      <c r="G4438" s="328"/>
      <c r="H4438" s="337"/>
      <c r="I4438" s="334"/>
      <c r="J4438" s="314"/>
      <c r="K4438" s="449"/>
      <c r="M4438" s="349" t="str">
        <f>N4438&amp;AS[[#This Row],[Insurer Code]]&amp;"; "&amp;O4438&amp;AS[[#This Row],[Reporting Year]]&amp;"; "&amp;P4438&amp;AS[[#This Row],[Insurance Category Code]]&amp;"; "&amp;Q4438&amp;AS[[#This Row],[Large Provider Entity Code]]&amp;"; "&amp;R4438&amp;AS[[#This Row],[Age Band Code]]&amp;"; "&amp;S4438&amp;AS[[#This Row],[Sex Code]]</f>
        <v xml:space="preserve">Insurer Code ; Reporting Year ; Insurance Category Code ; Large Provider Entity Code ; Age Band Code ; Sex Code </v>
      </c>
      <c r="N4438" s="345" t="s">
        <v>207</v>
      </c>
      <c r="O4438" s="345" t="s">
        <v>208</v>
      </c>
      <c r="P4438" s="345" t="s">
        <v>209</v>
      </c>
      <c r="Q4438" s="345" t="s">
        <v>210</v>
      </c>
      <c r="R4438" s="345" t="s">
        <v>223</v>
      </c>
      <c r="S4438" s="345" t="s">
        <v>224</v>
      </c>
    </row>
    <row r="4439" spans="1:19" x14ac:dyDescent="0.25">
      <c r="A4439" s="311"/>
      <c r="B4439" s="312"/>
      <c r="C4439" s="312"/>
      <c r="D4439" s="312"/>
      <c r="E4439" s="312"/>
      <c r="F4439" s="312"/>
      <c r="G4439" s="328"/>
      <c r="H4439" s="337"/>
      <c r="I4439" s="334"/>
      <c r="J4439" s="314"/>
      <c r="K4439" s="449"/>
      <c r="M4439" s="349" t="str">
        <f>N4439&amp;AS[[#This Row],[Insurer Code]]&amp;"; "&amp;O4439&amp;AS[[#This Row],[Reporting Year]]&amp;"; "&amp;P4439&amp;AS[[#This Row],[Insurance Category Code]]&amp;"; "&amp;Q4439&amp;AS[[#This Row],[Large Provider Entity Code]]&amp;"; "&amp;R4439&amp;AS[[#This Row],[Age Band Code]]&amp;"; "&amp;S4439&amp;AS[[#This Row],[Sex Code]]</f>
        <v xml:space="preserve">Insurer Code ; Reporting Year ; Insurance Category Code ; Large Provider Entity Code ; Age Band Code ; Sex Code </v>
      </c>
      <c r="N4439" s="345" t="s">
        <v>207</v>
      </c>
      <c r="O4439" s="345" t="s">
        <v>208</v>
      </c>
      <c r="P4439" s="345" t="s">
        <v>209</v>
      </c>
      <c r="Q4439" s="345" t="s">
        <v>210</v>
      </c>
      <c r="R4439" s="345" t="s">
        <v>223</v>
      </c>
      <c r="S4439" s="345" t="s">
        <v>224</v>
      </c>
    </row>
    <row r="4440" spans="1:19" x14ac:dyDescent="0.25">
      <c r="A4440" s="311"/>
      <c r="B4440" s="312"/>
      <c r="C4440" s="312"/>
      <c r="D4440" s="312"/>
      <c r="E4440" s="312"/>
      <c r="F4440" s="312"/>
      <c r="G4440" s="328"/>
      <c r="H4440" s="337"/>
      <c r="I4440" s="334"/>
      <c r="J4440" s="314"/>
      <c r="K4440" s="449"/>
      <c r="M4440" s="349" t="str">
        <f>N4440&amp;AS[[#This Row],[Insurer Code]]&amp;"; "&amp;O4440&amp;AS[[#This Row],[Reporting Year]]&amp;"; "&amp;P4440&amp;AS[[#This Row],[Insurance Category Code]]&amp;"; "&amp;Q4440&amp;AS[[#This Row],[Large Provider Entity Code]]&amp;"; "&amp;R4440&amp;AS[[#This Row],[Age Band Code]]&amp;"; "&amp;S4440&amp;AS[[#This Row],[Sex Code]]</f>
        <v xml:space="preserve">Insurer Code ; Reporting Year ; Insurance Category Code ; Large Provider Entity Code ; Age Band Code ; Sex Code </v>
      </c>
      <c r="N4440" s="345" t="s">
        <v>207</v>
      </c>
      <c r="O4440" s="345" t="s">
        <v>208</v>
      </c>
      <c r="P4440" s="345" t="s">
        <v>209</v>
      </c>
      <c r="Q4440" s="345" t="s">
        <v>210</v>
      </c>
      <c r="R4440" s="345" t="s">
        <v>223</v>
      </c>
      <c r="S4440" s="345" t="s">
        <v>224</v>
      </c>
    </row>
    <row r="4441" spans="1:19" x14ac:dyDescent="0.25">
      <c r="A4441" s="311"/>
      <c r="B4441" s="312"/>
      <c r="C4441" s="312"/>
      <c r="D4441" s="312"/>
      <c r="E4441" s="312"/>
      <c r="F4441" s="312"/>
      <c r="G4441" s="328"/>
      <c r="H4441" s="337"/>
      <c r="I4441" s="334"/>
      <c r="J4441" s="314"/>
      <c r="K4441" s="449"/>
      <c r="M4441" s="349" t="str">
        <f>N4441&amp;AS[[#This Row],[Insurer Code]]&amp;"; "&amp;O4441&amp;AS[[#This Row],[Reporting Year]]&amp;"; "&amp;P4441&amp;AS[[#This Row],[Insurance Category Code]]&amp;"; "&amp;Q4441&amp;AS[[#This Row],[Large Provider Entity Code]]&amp;"; "&amp;R4441&amp;AS[[#This Row],[Age Band Code]]&amp;"; "&amp;S4441&amp;AS[[#This Row],[Sex Code]]</f>
        <v xml:space="preserve">Insurer Code ; Reporting Year ; Insurance Category Code ; Large Provider Entity Code ; Age Band Code ; Sex Code </v>
      </c>
      <c r="N4441" s="345" t="s">
        <v>207</v>
      </c>
      <c r="O4441" s="345" t="s">
        <v>208</v>
      </c>
      <c r="P4441" s="345" t="s">
        <v>209</v>
      </c>
      <c r="Q4441" s="345" t="s">
        <v>210</v>
      </c>
      <c r="R4441" s="345" t="s">
        <v>223</v>
      </c>
      <c r="S4441" s="345" t="s">
        <v>224</v>
      </c>
    </row>
    <row r="4442" spans="1:19" x14ac:dyDescent="0.25">
      <c r="A4442" s="311"/>
      <c r="B4442" s="312"/>
      <c r="C4442" s="312"/>
      <c r="D4442" s="312"/>
      <c r="E4442" s="312"/>
      <c r="F4442" s="312"/>
      <c r="G4442" s="328"/>
      <c r="H4442" s="337"/>
      <c r="I4442" s="334"/>
      <c r="J4442" s="314"/>
      <c r="K4442" s="449"/>
      <c r="M4442" s="349" t="str">
        <f>N4442&amp;AS[[#This Row],[Insurer Code]]&amp;"; "&amp;O4442&amp;AS[[#This Row],[Reporting Year]]&amp;"; "&amp;P4442&amp;AS[[#This Row],[Insurance Category Code]]&amp;"; "&amp;Q4442&amp;AS[[#This Row],[Large Provider Entity Code]]&amp;"; "&amp;R4442&amp;AS[[#This Row],[Age Band Code]]&amp;"; "&amp;S4442&amp;AS[[#This Row],[Sex Code]]</f>
        <v xml:space="preserve">Insurer Code ; Reporting Year ; Insurance Category Code ; Large Provider Entity Code ; Age Band Code ; Sex Code </v>
      </c>
      <c r="N4442" s="345" t="s">
        <v>207</v>
      </c>
      <c r="O4442" s="345" t="s">
        <v>208</v>
      </c>
      <c r="P4442" s="345" t="s">
        <v>209</v>
      </c>
      <c r="Q4442" s="345" t="s">
        <v>210</v>
      </c>
      <c r="R4442" s="345" t="s">
        <v>223</v>
      </c>
      <c r="S4442" s="345" t="s">
        <v>224</v>
      </c>
    </row>
    <row r="4443" spans="1:19" x14ac:dyDescent="0.25">
      <c r="A4443" s="311"/>
      <c r="B4443" s="312"/>
      <c r="C4443" s="312"/>
      <c r="D4443" s="312"/>
      <c r="E4443" s="312"/>
      <c r="F4443" s="312"/>
      <c r="G4443" s="328"/>
      <c r="H4443" s="337"/>
      <c r="I4443" s="334"/>
      <c r="J4443" s="314"/>
      <c r="K4443" s="449"/>
      <c r="M4443" s="349" t="str">
        <f>N4443&amp;AS[[#This Row],[Insurer Code]]&amp;"; "&amp;O4443&amp;AS[[#This Row],[Reporting Year]]&amp;"; "&amp;P4443&amp;AS[[#This Row],[Insurance Category Code]]&amp;"; "&amp;Q4443&amp;AS[[#This Row],[Large Provider Entity Code]]&amp;"; "&amp;R4443&amp;AS[[#This Row],[Age Band Code]]&amp;"; "&amp;S4443&amp;AS[[#This Row],[Sex Code]]</f>
        <v xml:space="preserve">Insurer Code ; Reporting Year ; Insurance Category Code ; Large Provider Entity Code ; Age Band Code ; Sex Code </v>
      </c>
      <c r="N4443" s="345" t="s">
        <v>207</v>
      </c>
      <c r="O4443" s="345" t="s">
        <v>208</v>
      </c>
      <c r="P4443" s="345" t="s">
        <v>209</v>
      </c>
      <c r="Q4443" s="345" t="s">
        <v>210</v>
      </c>
      <c r="R4443" s="345" t="s">
        <v>223</v>
      </c>
      <c r="S4443" s="345" t="s">
        <v>224</v>
      </c>
    </row>
    <row r="4444" spans="1:19" x14ac:dyDescent="0.25">
      <c r="A4444" s="311"/>
      <c r="B4444" s="312"/>
      <c r="C4444" s="312"/>
      <c r="D4444" s="312"/>
      <c r="E4444" s="312"/>
      <c r="F4444" s="312"/>
      <c r="G4444" s="328"/>
      <c r="H4444" s="337"/>
      <c r="I4444" s="334"/>
      <c r="J4444" s="314"/>
      <c r="K4444" s="449"/>
      <c r="M4444" s="349" t="str">
        <f>N4444&amp;AS[[#This Row],[Insurer Code]]&amp;"; "&amp;O4444&amp;AS[[#This Row],[Reporting Year]]&amp;"; "&amp;P4444&amp;AS[[#This Row],[Insurance Category Code]]&amp;"; "&amp;Q4444&amp;AS[[#This Row],[Large Provider Entity Code]]&amp;"; "&amp;R4444&amp;AS[[#This Row],[Age Band Code]]&amp;"; "&amp;S4444&amp;AS[[#This Row],[Sex Code]]</f>
        <v xml:space="preserve">Insurer Code ; Reporting Year ; Insurance Category Code ; Large Provider Entity Code ; Age Band Code ; Sex Code </v>
      </c>
      <c r="N4444" s="345" t="s">
        <v>207</v>
      </c>
      <c r="O4444" s="345" t="s">
        <v>208</v>
      </c>
      <c r="P4444" s="345" t="s">
        <v>209</v>
      </c>
      <c r="Q4444" s="345" t="s">
        <v>210</v>
      </c>
      <c r="R4444" s="345" t="s">
        <v>223</v>
      </c>
      <c r="S4444" s="345" t="s">
        <v>224</v>
      </c>
    </row>
    <row r="4445" spans="1:19" x14ac:dyDescent="0.25">
      <c r="A4445" s="311"/>
      <c r="B4445" s="312"/>
      <c r="C4445" s="312"/>
      <c r="D4445" s="312"/>
      <c r="E4445" s="312"/>
      <c r="F4445" s="312"/>
      <c r="G4445" s="328"/>
      <c r="H4445" s="337"/>
      <c r="I4445" s="334"/>
      <c r="J4445" s="314"/>
      <c r="K4445" s="449"/>
      <c r="M4445" s="349" t="str">
        <f>N4445&amp;AS[[#This Row],[Insurer Code]]&amp;"; "&amp;O4445&amp;AS[[#This Row],[Reporting Year]]&amp;"; "&amp;P4445&amp;AS[[#This Row],[Insurance Category Code]]&amp;"; "&amp;Q4445&amp;AS[[#This Row],[Large Provider Entity Code]]&amp;"; "&amp;R4445&amp;AS[[#This Row],[Age Band Code]]&amp;"; "&amp;S4445&amp;AS[[#This Row],[Sex Code]]</f>
        <v xml:space="preserve">Insurer Code ; Reporting Year ; Insurance Category Code ; Large Provider Entity Code ; Age Band Code ; Sex Code </v>
      </c>
      <c r="N4445" s="345" t="s">
        <v>207</v>
      </c>
      <c r="O4445" s="345" t="s">
        <v>208</v>
      </c>
      <c r="P4445" s="345" t="s">
        <v>209</v>
      </c>
      <c r="Q4445" s="345" t="s">
        <v>210</v>
      </c>
      <c r="R4445" s="345" t="s">
        <v>223</v>
      </c>
      <c r="S4445" s="345" t="s">
        <v>224</v>
      </c>
    </row>
    <row r="4446" spans="1:19" x14ac:dyDescent="0.25">
      <c r="A4446" s="311"/>
      <c r="B4446" s="312"/>
      <c r="C4446" s="312"/>
      <c r="D4446" s="312"/>
      <c r="E4446" s="312"/>
      <c r="F4446" s="312"/>
      <c r="G4446" s="328"/>
      <c r="H4446" s="337"/>
      <c r="I4446" s="334"/>
      <c r="J4446" s="314"/>
      <c r="K4446" s="449"/>
      <c r="M4446" s="349" t="str">
        <f>N4446&amp;AS[[#This Row],[Insurer Code]]&amp;"; "&amp;O4446&amp;AS[[#This Row],[Reporting Year]]&amp;"; "&amp;P4446&amp;AS[[#This Row],[Insurance Category Code]]&amp;"; "&amp;Q4446&amp;AS[[#This Row],[Large Provider Entity Code]]&amp;"; "&amp;R4446&amp;AS[[#This Row],[Age Band Code]]&amp;"; "&amp;S4446&amp;AS[[#This Row],[Sex Code]]</f>
        <v xml:space="preserve">Insurer Code ; Reporting Year ; Insurance Category Code ; Large Provider Entity Code ; Age Band Code ; Sex Code </v>
      </c>
      <c r="N4446" s="345" t="s">
        <v>207</v>
      </c>
      <c r="O4446" s="345" t="s">
        <v>208</v>
      </c>
      <c r="P4446" s="345" t="s">
        <v>209</v>
      </c>
      <c r="Q4446" s="345" t="s">
        <v>210</v>
      </c>
      <c r="R4446" s="345" t="s">
        <v>223</v>
      </c>
      <c r="S4446" s="345" t="s">
        <v>224</v>
      </c>
    </row>
    <row r="4447" spans="1:19" x14ac:dyDescent="0.25">
      <c r="A4447" s="311"/>
      <c r="B4447" s="312"/>
      <c r="C4447" s="312"/>
      <c r="D4447" s="312"/>
      <c r="E4447" s="312"/>
      <c r="F4447" s="312"/>
      <c r="G4447" s="328"/>
      <c r="H4447" s="337"/>
      <c r="I4447" s="334"/>
      <c r="J4447" s="314"/>
      <c r="K4447" s="449"/>
      <c r="M4447" s="349" t="str">
        <f>N4447&amp;AS[[#This Row],[Insurer Code]]&amp;"; "&amp;O4447&amp;AS[[#This Row],[Reporting Year]]&amp;"; "&amp;P4447&amp;AS[[#This Row],[Insurance Category Code]]&amp;"; "&amp;Q4447&amp;AS[[#This Row],[Large Provider Entity Code]]&amp;"; "&amp;R4447&amp;AS[[#This Row],[Age Band Code]]&amp;"; "&amp;S4447&amp;AS[[#This Row],[Sex Code]]</f>
        <v xml:space="preserve">Insurer Code ; Reporting Year ; Insurance Category Code ; Large Provider Entity Code ; Age Band Code ; Sex Code </v>
      </c>
      <c r="N4447" s="345" t="s">
        <v>207</v>
      </c>
      <c r="O4447" s="345" t="s">
        <v>208</v>
      </c>
      <c r="P4447" s="345" t="s">
        <v>209</v>
      </c>
      <c r="Q4447" s="345" t="s">
        <v>210</v>
      </c>
      <c r="R4447" s="345" t="s">
        <v>223</v>
      </c>
      <c r="S4447" s="345" t="s">
        <v>224</v>
      </c>
    </row>
    <row r="4448" spans="1:19" x14ac:dyDescent="0.25">
      <c r="A4448" s="311"/>
      <c r="B4448" s="312"/>
      <c r="C4448" s="312"/>
      <c r="D4448" s="312"/>
      <c r="E4448" s="312"/>
      <c r="F4448" s="312"/>
      <c r="G4448" s="328"/>
      <c r="H4448" s="337"/>
      <c r="I4448" s="334"/>
      <c r="J4448" s="314"/>
      <c r="K4448" s="449"/>
      <c r="M4448" s="349" t="str">
        <f>N4448&amp;AS[[#This Row],[Insurer Code]]&amp;"; "&amp;O4448&amp;AS[[#This Row],[Reporting Year]]&amp;"; "&amp;P4448&amp;AS[[#This Row],[Insurance Category Code]]&amp;"; "&amp;Q4448&amp;AS[[#This Row],[Large Provider Entity Code]]&amp;"; "&amp;R4448&amp;AS[[#This Row],[Age Band Code]]&amp;"; "&amp;S4448&amp;AS[[#This Row],[Sex Code]]</f>
        <v xml:space="preserve">Insurer Code ; Reporting Year ; Insurance Category Code ; Large Provider Entity Code ; Age Band Code ; Sex Code </v>
      </c>
      <c r="N4448" s="345" t="s">
        <v>207</v>
      </c>
      <c r="O4448" s="345" t="s">
        <v>208</v>
      </c>
      <c r="P4448" s="345" t="s">
        <v>209</v>
      </c>
      <c r="Q4448" s="345" t="s">
        <v>210</v>
      </c>
      <c r="R4448" s="345" t="s">
        <v>223</v>
      </c>
      <c r="S4448" s="345" t="s">
        <v>224</v>
      </c>
    </row>
    <row r="4449" spans="1:19" x14ac:dyDescent="0.25">
      <c r="A4449" s="311"/>
      <c r="B4449" s="312"/>
      <c r="C4449" s="312"/>
      <c r="D4449" s="312"/>
      <c r="E4449" s="312"/>
      <c r="F4449" s="312"/>
      <c r="G4449" s="328"/>
      <c r="H4449" s="337"/>
      <c r="I4449" s="334"/>
      <c r="J4449" s="314"/>
      <c r="K4449" s="449"/>
      <c r="M4449" s="349" t="str">
        <f>N4449&amp;AS[[#This Row],[Insurer Code]]&amp;"; "&amp;O4449&amp;AS[[#This Row],[Reporting Year]]&amp;"; "&amp;P4449&amp;AS[[#This Row],[Insurance Category Code]]&amp;"; "&amp;Q4449&amp;AS[[#This Row],[Large Provider Entity Code]]&amp;"; "&amp;R4449&amp;AS[[#This Row],[Age Band Code]]&amp;"; "&amp;S4449&amp;AS[[#This Row],[Sex Code]]</f>
        <v xml:space="preserve">Insurer Code ; Reporting Year ; Insurance Category Code ; Large Provider Entity Code ; Age Band Code ; Sex Code </v>
      </c>
      <c r="N4449" s="345" t="s">
        <v>207</v>
      </c>
      <c r="O4449" s="345" t="s">
        <v>208</v>
      </c>
      <c r="P4449" s="345" t="s">
        <v>209</v>
      </c>
      <c r="Q4449" s="345" t="s">
        <v>210</v>
      </c>
      <c r="R4449" s="345" t="s">
        <v>223</v>
      </c>
      <c r="S4449" s="345" t="s">
        <v>224</v>
      </c>
    </row>
    <row r="4450" spans="1:19" x14ac:dyDescent="0.25">
      <c r="A4450" s="311"/>
      <c r="B4450" s="312"/>
      <c r="C4450" s="312"/>
      <c r="D4450" s="312"/>
      <c r="E4450" s="312"/>
      <c r="F4450" s="312"/>
      <c r="G4450" s="328"/>
      <c r="H4450" s="337"/>
      <c r="I4450" s="334"/>
      <c r="J4450" s="314"/>
      <c r="K4450" s="449"/>
      <c r="M4450" s="349" t="str">
        <f>N4450&amp;AS[[#This Row],[Insurer Code]]&amp;"; "&amp;O4450&amp;AS[[#This Row],[Reporting Year]]&amp;"; "&amp;P4450&amp;AS[[#This Row],[Insurance Category Code]]&amp;"; "&amp;Q4450&amp;AS[[#This Row],[Large Provider Entity Code]]&amp;"; "&amp;R4450&amp;AS[[#This Row],[Age Band Code]]&amp;"; "&amp;S4450&amp;AS[[#This Row],[Sex Code]]</f>
        <v xml:space="preserve">Insurer Code ; Reporting Year ; Insurance Category Code ; Large Provider Entity Code ; Age Band Code ; Sex Code </v>
      </c>
      <c r="N4450" s="345" t="s">
        <v>207</v>
      </c>
      <c r="O4450" s="345" t="s">
        <v>208</v>
      </c>
      <c r="P4450" s="345" t="s">
        <v>209</v>
      </c>
      <c r="Q4450" s="345" t="s">
        <v>210</v>
      </c>
      <c r="R4450" s="345" t="s">
        <v>223</v>
      </c>
      <c r="S4450" s="345" t="s">
        <v>224</v>
      </c>
    </row>
    <row r="4451" spans="1:19" x14ac:dyDescent="0.25">
      <c r="A4451" s="311"/>
      <c r="B4451" s="312"/>
      <c r="C4451" s="312"/>
      <c r="D4451" s="312"/>
      <c r="E4451" s="312"/>
      <c r="F4451" s="312"/>
      <c r="G4451" s="328"/>
      <c r="H4451" s="337"/>
      <c r="I4451" s="334"/>
      <c r="J4451" s="314"/>
      <c r="K4451" s="449"/>
      <c r="M4451" s="349" t="str">
        <f>N4451&amp;AS[[#This Row],[Insurer Code]]&amp;"; "&amp;O4451&amp;AS[[#This Row],[Reporting Year]]&amp;"; "&amp;P4451&amp;AS[[#This Row],[Insurance Category Code]]&amp;"; "&amp;Q4451&amp;AS[[#This Row],[Large Provider Entity Code]]&amp;"; "&amp;R4451&amp;AS[[#This Row],[Age Band Code]]&amp;"; "&amp;S4451&amp;AS[[#This Row],[Sex Code]]</f>
        <v xml:space="preserve">Insurer Code ; Reporting Year ; Insurance Category Code ; Large Provider Entity Code ; Age Band Code ; Sex Code </v>
      </c>
      <c r="N4451" s="345" t="s">
        <v>207</v>
      </c>
      <c r="O4451" s="345" t="s">
        <v>208</v>
      </c>
      <c r="P4451" s="345" t="s">
        <v>209</v>
      </c>
      <c r="Q4451" s="345" t="s">
        <v>210</v>
      </c>
      <c r="R4451" s="345" t="s">
        <v>223</v>
      </c>
      <c r="S4451" s="345" t="s">
        <v>224</v>
      </c>
    </row>
    <row r="4452" spans="1:19" x14ac:dyDescent="0.25">
      <c r="A4452" s="311"/>
      <c r="B4452" s="312"/>
      <c r="C4452" s="312"/>
      <c r="D4452" s="312"/>
      <c r="E4452" s="312"/>
      <c r="F4452" s="312"/>
      <c r="G4452" s="328"/>
      <c r="H4452" s="337"/>
      <c r="I4452" s="334"/>
      <c r="J4452" s="314"/>
      <c r="K4452" s="449"/>
      <c r="M4452" s="349" t="str">
        <f>N4452&amp;AS[[#This Row],[Insurer Code]]&amp;"; "&amp;O4452&amp;AS[[#This Row],[Reporting Year]]&amp;"; "&amp;P4452&amp;AS[[#This Row],[Insurance Category Code]]&amp;"; "&amp;Q4452&amp;AS[[#This Row],[Large Provider Entity Code]]&amp;"; "&amp;R4452&amp;AS[[#This Row],[Age Band Code]]&amp;"; "&amp;S4452&amp;AS[[#This Row],[Sex Code]]</f>
        <v xml:space="preserve">Insurer Code ; Reporting Year ; Insurance Category Code ; Large Provider Entity Code ; Age Band Code ; Sex Code </v>
      </c>
      <c r="N4452" s="345" t="s">
        <v>207</v>
      </c>
      <c r="O4452" s="345" t="s">
        <v>208</v>
      </c>
      <c r="P4452" s="345" t="s">
        <v>209</v>
      </c>
      <c r="Q4452" s="345" t="s">
        <v>210</v>
      </c>
      <c r="R4452" s="345" t="s">
        <v>223</v>
      </c>
      <c r="S4452" s="345" t="s">
        <v>224</v>
      </c>
    </row>
    <row r="4453" spans="1:19" x14ac:dyDescent="0.25">
      <c r="A4453" s="311"/>
      <c r="B4453" s="312"/>
      <c r="C4453" s="312"/>
      <c r="D4453" s="312"/>
      <c r="E4453" s="312"/>
      <c r="F4453" s="312"/>
      <c r="G4453" s="328"/>
      <c r="H4453" s="337"/>
      <c r="I4453" s="334"/>
      <c r="J4453" s="314"/>
      <c r="K4453" s="449"/>
      <c r="M4453" s="349" t="str">
        <f>N4453&amp;AS[[#This Row],[Insurer Code]]&amp;"; "&amp;O4453&amp;AS[[#This Row],[Reporting Year]]&amp;"; "&amp;P4453&amp;AS[[#This Row],[Insurance Category Code]]&amp;"; "&amp;Q4453&amp;AS[[#This Row],[Large Provider Entity Code]]&amp;"; "&amp;R4453&amp;AS[[#This Row],[Age Band Code]]&amp;"; "&amp;S4453&amp;AS[[#This Row],[Sex Code]]</f>
        <v xml:space="preserve">Insurer Code ; Reporting Year ; Insurance Category Code ; Large Provider Entity Code ; Age Band Code ; Sex Code </v>
      </c>
      <c r="N4453" s="345" t="s">
        <v>207</v>
      </c>
      <c r="O4453" s="345" t="s">
        <v>208</v>
      </c>
      <c r="P4453" s="345" t="s">
        <v>209</v>
      </c>
      <c r="Q4453" s="345" t="s">
        <v>210</v>
      </c>
      <c r="R4453" s="345" t="s">
        <v>223</v>
      </c>
      <c r="S4453" s="345" t="s">
        <v>224</v>
      </c>
    </row>
    <row r="4454" spans="1:19" x14ac:dyDescent="0.25">
      <c r="A4454" s="311"/>
      <c r="B4454" s="312"/>
      <c r="C4454" s="312"/>
      <c r="D4454" s="312"/>
      <c r="E4454" s="312"/>
      <c r="F4454" s="312"/>
      <c r="G4454" s="328"/>
      <c r="H4454" s="337"/>
      <c r="I4454" s="334"/>
      <c r="J4454" s="314"/>
      <c r="K4454" s="449"/>
      <c r="M4454" s="349" t="str">
        <f>N4454&amp;AS[[#This Row],[Insurer Code]]&amp;"; "&amp;O4454&amp;AS[[#This Row],[Reporting Year]]&amp;"; "&amp;P4454&amp;AS[[#This Row],[Insurance Category Code]]&amp;"; "&amp;Q4454&amp;AS[[#This Row],[Large Provider Entity Code]]&amp;"; "&amp;R4454&amp;AS[[#This Row],[Age Band Code]]&amp;"; "&amp;S4454&amp;AS[[#This Row],[Sex Code]]</f>
        <v xml:space="preserve">Insurer Code ; Reporting Year ; Insurance Category Code ; Large Provider Entity Code ; Age Band Code ; Sex Code </v>
      </c>
      <c r="N4454" s="345" t="s">
        <v>207</v>
      </c>
      <c r="O4454" s="345" t="s">
        <v>208</v>
      </c>
      <c r="P4454" s="345" t="s">
        <v>209</v>
      </c>
      <c r="Q4454" s="345" t="s">
        <v>210</v>
      </c>
      <c r="R4454" s="345" t="s">
        <v>223</v>
      </c>
      <c r="S4454" s="345" t="s">
        <v>224</v>
      </c>
    </row>
    <row r="4455" spans="1:19" x14ac:dyDescent="0.25">
      <c r="A4455" s="311"/>
      <c r="B4455" s="312"/>
      <c r="C4455" s="312"/>
      <c r="D4455" s="312"/>
      <c r="E4455" s="312"/>
      <c r="F4455" s="312"/>
      <c r="G4455" s="328"/>
      <c r="H4455" s="337"/>
      <c r="I4455" s="334"/>
      <c r="J4455" s="314"/>
      <c r="K4455" s="449"/>
      <c r="M4455" s="349" t="str">
        <f>N4455&amp;AS[[#This Row],[Insurer Code]]&amp;"; "&amp;O4455&amp;AS[[#This Row],[Reporting Year]]&amp;"; "&amp;P4455&amp;AS[[#This Row],[Insurance Category Code]]&amp;"; "&amp;Q4455&amp;AS[[#This Row],[Large Provider Entity Code]]&amp;"; "&amp;R4455&amp;AS[[#This Row],[Age Band Code]]&amp;"; "&amp;S4455&amp;AS[[#This Row],[Sex Code]]</f>
        <v xml:space="preserve">Insurer Code ; Reporting Year ; Insurance Category Code ; Large Provider Entity Code ; Age Band Code ; Sex Code </v>
      </c>
      <c r="N4455" s="345" t="s">
        <v>207</v>
      </c>
      <c r="O4455" s="345" t="s">
        <v>208</v>
      </c>
      <c r="P4455" s="345" t="s">
        <v>209</v>
      </c>
      <c r="Q4455" s="345" t="s">
        <v>210</v>
      </c>
      <c r="R4455" s="345" t="s">
        <v>223</v>
      </c>
      <c r="S4455" s="345" t="s">
        <v>224</v>
      </c>
    </row>
    <row r="4456" spans="1:19" x14ac:dyDescent="0.25">
      <c r="A4456" s="311"/>
      <c r="B4456" s="312"/>
      <c r="C4456" s="312"/>
      <c r="D4456" s="312"/>
      <c r="E4456" s="312"/>
      <c r="F4456" s="312"/>
      <c r="G4456" s="328"/>
      <c r="H4456" s="337"/>
      <c r="I4456" s="334"/>
      <c r="J4456" s="314"/>
      <c r="K4456" s="449"/>
      <c r="M4456" s="349" t="str">
        <f>N4456&amp;AS[[#This Row],[Insurer Code]]&amp;"; "&amp;O4456&amp;AS[[#This Row],[Reporting Year]]&amp;"; "&amp;P4456&amp;AS[[#This Row],[Insurance Category Code]]&amp;"; "&amp;Q4456&amp;AS[[#This Row],[Large Provider Entity Code]]&amp;"; "&amp;R4456&amp;AS[[#This Row],[Age Band Code]]&amp;"; "&amp;S4456&amp;AS[[#This Row],[Sex Code]]</f>
        <v xml:space="preserve">Insurer Code ; Reporting Year ; Insurance Category Code ; Large Provider Entity Code ; Age Band Code ; Sex Code </v>
      </c>
      <c r="N4456" s="345" t="s">
        <v>207</v>
      </c>
      <c r="O4456" s="345" t="s">
        <v>208</v>
      </c>
      <c r="P4456" s="345" t="s">
        <v>209</v>
      </c>
      <c r="Q4456" s="345" t="s">
        <v>210</v>
      </c>
      <c r="R4456" s="345" t="s">
        <v>223</v>
      </c>
      <c r="S4456" s="345" t="s">
        <v>224</v>
      </c>
    </row>
    <row r="4457" spans="1:19" x14ac:dyDescent="0.25">
      <c r="A4457" s="311"/>
      <c r="B4457" s="312"/>
      <c r="C4457" s="312"/>
      <c r="D4457" s="312"/>
      <c r="E4457" s="312"/>
      <c r="F4457" s="312"/>
      <c r="G4457" s="328"/>
      <c r="H4457" s="337"/>
      <c r="I4457" s="334"/>
      <c r="J4457" s="314"/>
      <c r="K4457" s="449"/>
      <c r="M4457" s="349" t="str">
        <f>N4457&amp;AS[[#This Row],[Insurer Code]]&amp;"; "&amp;O4457&amp;AS[[#This Row],[Reporting Year]]&amp;"; "&amp;P4457&amp;AS[[#This Row],[Insurance Category Code]]&amp;"; "&amp;Q4457&amp;AS[[#This Row],[Large Provider Entity Code]]&amp;"; "&amp;R4457&amp;AS[[#This Row],[Age Band Code]]&amp;"; "&amp;S4457&amp;AS[[#This Row],[Sex Code]]</f>
        <v xml:space="preserve">Insurer Code ; Reporting Year ; Insurance Category Code ; Large Provider Entity Code ; Age Band Code ; Sex Code </v>
      </c>
      <c r="N4457" s="345" t="s">
        <v>207</v>
      </c>
      <c r="O4457" s="345" t="s">
        <v>208</v>
      </c>
      <c r="P4457" s="345" t="s">
        <v>209</v>
      </c>
      <c r="Q4457" s="345" t="s">
        <v>210</v>
      </c>
      <c r="R4457" s="345" t="s">
        <v>223</v>
      </c>
      <c r="S4457" s="345" t="s">
        <v>224</v>
      </c>
    </row>
    <row r="4458" spans="1:19" x14ac:dyDescent="0.25">
      <c r="A4458" s="311"/>
      <c r="B4458" s="312"/>
      <c r="C4458" s="312"/>
      <c r="D4458" s="312"/>
      <c r="E4458" s="312"/>
      <c r="F4458" s="312"/>
      <c r="G4458" s="328"/>
      <c r="H4458" s="337"/>
      <c r="I4458" s="334"/>
      <c r="J4458" s="314"/>
      <c r="K4458" s="449"/>
      <c r="M4458" s="349" t="str">
        <f>N4458&amp;AS[[#This Row],[Insurer Code]]&amp;"; "&amp;O4458&amp;AS[[#This Row],[Reporting Year]]&amp;"; "&amp;P4458&amp;AS[[#This Row],[Insurance Category Code]]&amp;"; "&amp;Q4458&amp;AS[[#This Row],[Large Provider Entity Code]]&amp;"; "&amp;R4458&amp;AS[[#This Row],[Age Band Code]]&amp;"; "&amp;S4458&amp;AS[[#This Row],[Sex Code]]</f>
        <v xml:space="preserve">Insurer Code ; Reporting Year ; Insurance Category Code ; Large Provider Entity Code ; Age Band Code ; Sex Code </v>
      </c>
      <c r="N4458" s="345" t="s">
        <v>207</v>
      </c>
      <c r="O4458" s="345" t="s">
        <v>208</v>
      </c>
      <c r="P4458" s="345" t="s">
        <v>209</v>
      </c>
      <c r="Q4458" s="345" t="s">
        <v>210</v>
      </c>
      <c r="R4458" s="345" t="s">
        <v>223</v>
      </c>
      <c r="S4458" s="345" t="s">
        <v>224</v>
      </c>
    </row>
    <row r="4459" spans="1:19" x14ac:dyDescent="0.25">
      <c r="A4459" s="311"/>
      <c r="B4459" s="312"/>
      <c r="C4459" s="312"/>
      <c r="D4459" s="312"/>
      <c r="E4459" s="312"/>
      <c r="F4459" s="312"/>
      <c r="G4459" s="328"/>
      <c r="H4459" s="337"/>
      <c r="I4459" s="334"/>
      <c r="J4459" s="314"/>
      <c r="K4459" s="449"/>
      <c r="M4459" s="349" t="str">
        <f>N4459&amp;AS[[#This Row],[Insurer Code]]&amp;"; "&amp;O4459&amp;AS[[#This Row],[Reporting Year]]&amp;"; "&amp;P4459&amp;AS[[#This Row],[Insurance Category Code]]&amp;"; "&amp;Q4459&amp;AS[[#This Row],[Large Provider Entity Code]]&amp;"; "&amp;R4459&amp;AS[[#This Row],[Age Band Code]]&amp;"; "&amp;S4459&amp;AS[[#This Row],[Sex Code]]</f>
        <v xml:space="preserve">Insurer Code ; Reporting Year ; Insurance Category Code ; Large Provider Entity Code ; Age Band Code ; Sex Code </v>
      </c>
      <c r="N4459" s="345" t="s">
        <v>207</v>
      </c>
      <c r="O4459" s="345" t="s">
        <v>208</v>
      </c>
      <c r="P4459" s="345" t="s">
        <v>209</v>
      </c>
      <c r="Q4459" s="345" t="s">
        <v>210</v>
      </c>
      <c r="R4459" s="345" t="s">
        <v>223</v>
      </c>
      <c r="S4459" s="345" t="s">
        <v>224</v>
      </c>
    </row>
    <row r="4460" spans="1:19" x14ac:dyDescent="0.25">
      <c r="A4460" s="311"/>
      <c r="B4460" s="312"/>
      <c r="C4460" s="312"/>
      <c r="D4460" s="312"/>
      <c r="E4460" s="312"/>
      <c r="F4460" s="312"/>
      <c r="G4460" s="328"/>
      <c r="H4460" s="337"/>
      <c r="I4460" s="334"/>
      <c r="J4460" s="314"/>
      <c r="K4460" s="449"/>
      <c r="M4460" s="349" t="str">
        <f>N4460&amp;AS[[#This Row],[Insurer Code]]&amp;"; "&amp;O4460&amp;AS[[#This Row],[Reporting Year]]&amp;"; "&amp;P4460&amp;AS[[#This Row],[Insurance Category Code]]&amp;"; "&amp;Q4460&amp;AS[[#This Row],[Large Provider Entity Code]]&amp;"; "&amp;R4460&amp;AS[[#This Row],[Age Band Code]]&amp;"; "&amp;S4460&amp;AS[[#This Row],[Sex Code]]</f>
        <v xml:space="preserve">Insurer Code ; Reporting Year ; Insurance Category Code ; Large Provider Entity Code ; Age Band Code ; Sex Code </v>
      </c>
      <c r="N4460" s="345" t="s">
        <v>207</v>
      </c>
      <c r="O4460" s="345" t="s">
        <v>208</v>
      </c>
      <c r="P4460" s="345" t="s">
        <v>209</v>
      </c>
      <c r="Q4460" s="345" t="s">
        <v>210</v>
      </c>
      <c r="R4460" s="345" t="s">
        <v>223</v>
      </c>
      <c r="S4460" s="345" t="s">
        <v>224</v>
      </c>
    </row>
    <row r="4461" spans="1:19" x14ac:dyDescent="0.25">
      <c r="A4461" s="311"/>
      <c r="B4461" s="312"/>
      <c r="C4461" s="312"/>
      <c r="D4461" s="312"/>
      <c r="E4461" s="312"/>
      <c r="F4461" s="312"/>
      <c r="G4461" s="328"/>
      <c r="H4461" s="337"/>
      <c r="I4461" s="334"/>
      <c r="J4461" s="314"/>
      <c r="K4461" s="449"/>
      <c r="M4461" s="349" t="str">
        <f>N4461&amp;AS[[#This Row],[Insurer Code]]&amp;"; "&amp;O4461&amp;AS[[#This Row],[Reporting Year]]&amp;"; "&amp;P4461&amp;AS[[#This Row],[Insurance Category Code]]&amp;"; "&amp;Q4461&amp;AS[[#This Row],[Large Provider Entity Code]]&amp;"; "&amp;R4461&amp;AS[[#This Row],[Age Band Code]]&amp;"; "&amp;S4461&amp;AS[[#This Row],[Sex Code]]</f>
        <v xml:space="preserve">Insurer Code ; Reporting Year ; Insurance Category Code ; Large Provider Entity Code ; Age Band Code ; Sex Code </v>
      </c>
      <c r="N4461" s="345" t="s">
        <v>207</v>
      </c>
      <c r="O4461" s="345" t="s">
        <v>208</v>
      </c>
      <c r="P4461" s="345" t="s">
        <v>209</v>
      </c>
      <c r="Q4461" s="345" t="s">
        <v>210</v>
      </c>
      <c r="R4461" s="345" t="s">
        <v>223</v>
      </c>
      <c r="S4461" s="345" t="s">
        <v>224</v>
      </c>
    </row>
    <row r="4462" spans="1:19" x14ac:dyDescent="0.25">
      <c r="A4462" s="311"/>
      <c r="B4462" s="312"/>
      <c r="C4462" s="312"/>
      <c r="D4462" s="312"/>
      <c r="E4462" s="312"/>
      <c r="F4462" s="312"/>
      <c r="G4462" s="328"/>
      <c r="H4462" s="337"/>
      <c r="I4462" s="334"/>
      <c r="J4462" s="314"/>
      <c r="K4462" s="449"/>
      <c r="M4462" s="349" t="str">
        <f>N4462&amp;AS[[#This Row],[Insurer Code]]&amp;"; "&amp;O4462&amp;AS[[#This Row],[Reporting Year]]&amp;"; "&amp;P4462&amp;AS[[#This Row],[Insurance Category Code]]&amp;"; "&amp;Q4462&amp;AS[[#This Row],[Large Provider Entity Code]]&amp;"; "&amp;R4462&amp;AS[[#This Row],[Age Band Code]]&amp;"; "&amp;S4462&amp;AS[[#This Row],[Sex Code]]</f>
        <v xml:space="preserve">Insurer Code ; Reporting Year ; Insurance Category Code ; Large Provider Entity Code ; Age Band Code ; Sex Code </v>
      </c>
      <c r="N4462" s="345" t="s">
        <v>207</v>
      </c>
      <c r="O4462" s="345" t="s">
        <v>208</v>
      </c>
      <c r="P4462" s="345" t="s">
        <v>209</v>
      </c>
      <c r="Q4462" s="345" t="s">
        <v>210</v>
      </c>
      <c r="R4462" s="345" t="s">
        <v>223</v>
      </c>
      <c r="S4462" s="345" t="s">
        <v>224</v>
      </c>
    </row>
    <row r="4463" spans="1:19" x14ac:dyDescent="0.25">
      <c r="A4463" s="311"/>
      <c r="B4463" s="312"/>
      <c r="C4463" s="312"/>
      <c r="D4463" s="312"/>
      <c r="E4463" s="312"/>
      <c r="F4463" s="312"/>
      <c r="G4463" s="328"/>
      <c r="H4463" s="337"/>
      <c r="I4463" s="334"/>
      <c r="J4463" s="314"/>
      <c r="K4463" s="449"/>
      <c r="M4463" s="349" t="str">
        <f>N4463&amp;AS[[#This Row],[Insurer Code]]&amp;"; "&amp;O4463&amp;AS[[#This Row],[Reporting Year]]&amp;"; "&amp;P4463&amp;AS[[#This Row],[Insurance Category Code]]&amp;"; "&amp;Q4463&amp;AS[[#This Row],[Large Provider Entity Code]]&amp;"; "&amp;R4463&amp;AS[[#This Row],[Age Band Code]]&amp;"; "&amp;S4463&amp;AS[[#This Row],[Sex Code]]</f>
        <v xml:space="preserve">Insurer Code ; Reporting Year ; Insurance Category Code ; Large Provider Entity Code ; Age Band Code ; Sex Code </v>
      </c>
      <c r="N4463" s="345" t="s">
        <v>207</v>
      </c>
      <c r="O4463" s="345" t="s">
        <v>208</v>
      </c>
      <c r="P4463" s="345" t="s">
        <v>209</v>
      </c>
      <c r="Q4463" s="345" t="s">
        <v>210</v>
      </c>
      <c r="R4463" s="345" t="s">
        <v>223</v>
      </c>
      <c r="S4463" s="345" t="s">
        <v>224</v>
      </c>
    </row>
    <row r="4464" spans="1:19" x14ac:dyDescent="0.25">
      <c r="A4464" s="311"/>
      <c r="B4464" s="312"/>
      <c r="C4464" s="312"/>
      <c r="D4464" s="312"/>
      <c r="E4464" s="312"/>
      <c r="F4464" s="312"/>
      <c r="G4464" s="328"/>
      <c r="H4464" s="337"/>
      <c r="I4464" s="334"/>
      <c r="J4464" s="314"/>
      <c r="K4464" s="449"/>
      <c r="M4464" s="349" t="str">
        <f>N4464&amp;AS[[#This Row],[Insurer Code]]&amp;"; "&amp;O4464&amp;AS[[#This Row],[Reporting Year]]&amp;"; "&amp;P4464&amp;AS[[#This Row],[Insurance Category Code]]&amp;"; "&amp;Q4464&amp;AS[[#This Row],[Large Provider Entity Code]]&amp;"; "&amp;R4464&amp;AS[[#This Row],[Age Band Code]]&amp;"; "&amp;S4464&amp;AS[[#This Row],[Sex Code]]</f>
        <v xml:space="preserve">Insurer Code ; Reporting Year ; Insurance Category Code ; Large Provider Entity Code ; Age Band Code ; Sex Code </v>
      </c>
      <c r="N4464" s="345" t="s">
        <v>207</v>
      </c>
      <c r="O4464" s="345" t="s">
        <v>208</v>
      </c>
      <c r="P4464" s="345" t="s">
        <v>209</v>
      </c>
      <c r="Q4464" s="345" t="s">
        <v>210</v>
      </c>
      <c r="R4464" s="345" t="s">
        <v>223</v>
      </c>
      <c r="S4464" s="345" t="s">
        <v>224</v>
      </c>
    </row>
    <row r="4465" spans="1:19" x14ac:dyDescent="0.25">
      <c r="A4465" s="311"/>
      <c r="B4465" s="312"/>
      <c r="C4465" s="312"/>
      <c r="D4465" s="312"/>
      <c r="E4465" s="312"/>
      <c r="F4465" s="312"/>
      <c r="G4465" s="328"/>
      <c r="H4465" s="337"/>
      <c r="I4465" s="334"/>
      <c r="J4465" s="314"/>
      <c r="K4465" s="449"/>
      <c r="M4465" s="349" t="str">
        <f>N4465&amp;AS[[#This Row],[Insurer Code]]&amp;"; "&amp;O4465&amp;AS[[#This Row],[Reporting Year]]&amp;"; "&amp;P4465&amp;AS[[#This Row],[Insurance Category Code]]&amp;"; "&amp;Q4465&amp;AS[[#This Row],[Large Provider Entity Code]]&amp;"; "&amp;R4465&amp;AS[[#This Row],[Age Band Code]]&amp;"; "&amp;S4465&amp;AS[[#This Row],[Sex Code]]</f>
        <v xml:space="preserve">Insurer Code ; Reporting Year ; Insurance Category Code ; Large Provider Entity Code ; Age Band Code ; Sex Code </v>
      </c>
      <c r="N4465" s="345" t="s">
        <v>207</v>
      </c>
      <c r="O4465" s="345" t="s">
        <v>208</v>
      </c>
      <c r="P4465" s="345" t="s">
        <v>209</v>
      </c>
      <c r="Q4465" s="345" t="s">
        <v>210</v>
      </c>
      <c r="R4465" s="345" t="s">
        <v>223</v>
      </c>
      <c r="S4465" s="345" t="s">
        <v>224</v>
      </c>
    </row>
    <row r="4466" spans="1:19" x14ac:dyDescent="0.25">
      <c r="A4466" s="311"/>
      <c r="B4466" s="312"/>
      <c r="C4466" s="312"/>
      <c r="D4466" s="312"/>
      <c r="E4466" s="312"/>
      <c r="F4466" s="312"/>
      <c r="G4466" s="328"/>
      <c r="H4466" s="337"/>
      <c r="I4466" s="334"/>
      <c r="J4466" s="314"/>
      <c r="K4466" s="449"/>
      <c r="M4466" s="349" t="str">
        <f>N4466&amp;AS[[#This Row],[Insurer Code]]&amp;"; "&amp;O4466&amp;AS[[#This Row],[Reporting Year]]&amp;"; "&amp;P4466&amp;AS[[#This Row],[Insurance Category Code]]&amp;"; "&amp;Q4466&amp;AS[[#This Row],[Large Provider Entity Code]]&amp;"; "&amp;R4466&amp;AS[[#This Row],[Age Band Code]]&amp;"; "&amp;S4466&amp;AS[[#This Row],[Sex Code]]</f>
        <v xml:space="preserve">Insurer Code ; Reporting Year ; Insurance Category Code ; Large Provider Entity Code ; Age Band Code ; Sex Code </v>
      </c>
      <c r="N4466" s="345" t="s">
        <v>207</v>
      </c>
      <c r="O4466" s="345" t="s">
        <v>208</v>
      </c>
      <c r="P4466" s="345" t="s">
        <v>209</v>
      </c>
      <c r="Q4466" s="345" t="s">
        <v>210</v>
      </c>
      <c r="R4466" s="345" t="s">
        <v>223</v>
      </c>
      <c r="S4466" s="345" t="s">
        <v>224</v>
      </c>
    </row>
    <row r="4467" spans="1:19" x14ac:dyDescent="0.25">
      <c r="A4467" s="311"/>
      <c r="B4467" s="312"/>
      <c r="C4467" s="312"/>
      <c r="D4467" s="312"/>
      <c r="E4467" s="312"/>
      <c r="F4467" s="312"/>
      <c r="G4467" s="328"/>
      <c r="H4467" s="337"/>
      <c r="I4467" s="334"/>
      <c r="J4467" s="314"/>
      <c r="K4467" s="449"/>
      <c r="M4467" s="349" t="str">
        <f>N4467&amp;AS[[#This Row],[Insurer Code]]&amp;"; "&amp;O4467&amp;AS[[#This Row],[Reporting Year]]&amp;"; "&amp;P4467&amp;AS[[#This Row],[Insurance Category Code]]&amp;"; "&amp;Q4467&amp;AS[[#This Row],[Large Provider Entity Code]]&amp;"; "&amp;R4467&amp;AS[[#This Row],[Age Band Code]]&amp;"; "&amp;S4467&amp;AS[[#This Row],[Sex Code]]</f>
        <v xml:space="preserve">Insurer Code ; Reporting Year ; Insurance Category Code ; Large Provider Entity Code ; Age Band Code ; Sex Code </v>
      </c>
      <c r="N4467" s="345" t="s">
        <v>207</v>
      </c>
      <c r="O4467" s="345" t="s">
        <v>208</v>
      </c>
      <c r="P4467" s="345" t="s">
        <v>209</v>
      </c>
      <c r="Q4467" s="345" t="s">
        <v>210</v>
      </c>
      <c r="R4467" s="345" t="s">
        <v>223</v>
      </c>
      <c r="S4467" s="345" t="s">
        <v>224</v>
      </c>
    </row>
    <row r="4468" spans="1:19" x14ac:dyDescent="0.25">
      <c r="A4468" s="311"/>
      <c r="B4468" s="312"/>
      <c r="C4468" s="312"/>
      <c r="D4468" s="312"/>
      <c r="E4468" s="312"/>
      <c r="F4468" s="312"/>
      <c r="G4468" s="328"/>
      <c r="H4468" s="337"/>
      <c r="I4468" s="334"/>
      <c r="J4468" s="314"/>
      <c r="K4468" s="449"/>
      <c r="M4468" s="349" t="str">
        <f>N4468&amp;AS[[#This Row],[Insurer Code]]&amp;"; "&amp;O4468&amp;AS[[#This Row],[Reporting Year]]&amp;"; "&amp;P4468&amp;AS[[#This Row],[Insurance Category Code]]&amp;"; "&amp;Q4468&amp;AS[[#This Row],[Large Provider Entity Code]]&amp;"; "&amp;R4468&amp;AS[[#This Row],[Age Band Code]]&amp;"; "&amp;S4468&amp;AS[[#This Row],[Sex Code]]</f>
        <v xml:space="preserve">Insurer Code ; Reporting Year ; Insurance Category Code ; Large Provider Entity Code ; Age Band Code ; Sex Code </v>
      </c>
      <c r="N4468" s="345" t="s">
        <v>207</v>
      </c>
      <c r="O4468" s="345" t="s">
        <v>208</v>
      </c>
      <c r="P4468" s="345" t="s">
        <v>209</v>
      </c>
      <c r="Q4468" s="345" t="s">
        <v>210</v>
      </c>
      <c r="R4468" s="345" t="s">
        <v>223</v>
      </c>
      <c r="S4468" s="345" t="s">
        <v>224</v>
      </c>
    </row>
    <row r="4469" spans="1:19" x14ac:dyDescent="0.25">
      <c r="A4469" s="311"/>
      <c r="B4469" s="312"/>
      <c r="C4469" s="312"/>
      <c r="D4469" s="312"/>
      <c r="E4469" s="312"/>
      <c r="F4469" s="312"/>
      <c r="G4469" s="328"/>
      <c r="H4469" s="337"/>
      <c r="I4469" s="334"/>
      <c r="J4469" s="314"/>
      <c r="K4469" s="449"/>
      <c r="M4469" s="349" t="str">
        <f>N4469&amp;AS[[#This Row],[Insurer Code]]&amp;"; "&amp;O4469&amp;AS[[#This Row],[Reporting Year]]&amp;"; "&amp;P4469&amp;AS[[#This Row],[Insurance Category Code]]&amp;"; "&amp;Q4469&amp;AS[[#This Row],[Large Provider Entity Code]]&amp;"; "&amp;R4469&amp;AS[[#This Row],[Age Band Code]]&amp;"; "&amp;S4469&amp;AS[[#This Row],[Sex Code]]</f>
        <v xml:space="preserve">Insurer Code ; Reporting Year ; Insurance Category Code ; Large Provider Entity Code ; Age Band Code ; Sex Code </v>
      </c>
      <c r="N4469" s="345" t="s">
        <v>207</v>
      </c>
      <c r="O4469" s="345" t="s">
        <v>208</v>
      </c>
      <c r="P4469" s="345" t="s">
        <v>209</v>
      </c>
      <c r="Q4469" s="345" t="s">
        <v>210</v>
      </c>
      <c r="R4469" s="345" t="s">
        <v>223</v>
      </c>
      <c r="S4469" s="345" t="s">
        <v>224</v>
      </c>
    </row>
    <row r="4470" spans="1:19" x14ac:dyDescent="0.25">
      <c r="A4470" s="311"/>
      <c r="B4470" s="312"/>
      <c r="C4470" s="312"/>
      <c r="D4470" s="312"/>
      <c r="E4470" s="312"/>
      <c r="F4470" s="312"/>
      <c r="G4470" s="328"/>
      <c r="H4470" s="337"/>
      <c r="I4470" s="334"/>
      <c r="J4470" s="314"/>
      <c r="K4470" s="449"/>
      <c r="M4470" s="349" t="str">
        <f>N4470&amp;AS[[#This Row],[Insurer Code]]&amp;"; "&amp;O4470&amp;AS[[#This Row],[Reporting Year]]&amp;"; "&amp;P4470&amp;AS[[#This Row],[Insurance Category Code]]&amp;"; "&amp;Q4470&amp;AS[[#This Row],[Large Provider Entity Code]]&amp;"; "&amp;R4470&amp;AS[[#This Row],[Age Band Code]]&amp;"; "&amp;S4470&amp;AS[[#This Row],[Sex Code]]</f>
        <v xml:space="preserve">Insurer Code ; Reporting Year ; Insurance Category Code ; Large Provider Entity Code ; Age Band Code ; Sex Code </v>
      </c>
      <c r="N4470" s="345" t="s">
        <v>207</v>
      </c>
      <c r="O4470" s="345" t="s">
        <v>208</v>
      </c>
      <c r="P4470" s="345" t="s">
        <v>209</v>
      </c>
      <c r="Q4470" s="345" t="s">
        <v>210</v>
      </c>
      <c r="R4470" s="345" t="s">
        <v>223</v>
      </c>
      <c r="S4470" s="345" t="s">
        <v>224</v>
      </c>
    </row>
    <row r="4471" spans="1:19" x14ac:dyDescent="0.25">
      <c r="A4471" s="311"/>
      <c r="B4471" s="312"/>
      <c r="C4471" s="312"/>
      <c r="D4471" s="312"/>
      <c r="E4471" s="312"/>
      <c r="F4471" s="312"/>
      <c r="G4471" s="328"/>
      <c r="H4471" s="337"/>
      <c r="I4471" s="334"/>
      <c r="J4471" s="314"/>
      <c r="K4471" s="449"/>
      <c r="M4471" s="349" t="str">
        <f>N4471&amp;AS[[#This Row],[Insurer Code]]&amp;"; "&amp;O4471&amp;AS[[#This Row],[Reporting Year]]&amp;"; "&amp;P4471&amp;AS[[#This Row],[Insurance Category Code]]&amp;"; "&amp;Q4471&amp;AS[[#This Row],[Large Provider Entity Code]]&amp;"; "&amp;R4471&amp;AS[[#This Row],[Age Band Code]]&amp;"; "&amp;S4471&amp;AS[[#This Row],[Sex Code]]</f>
        <v xml:space="preserve">Insurer Code ; Reporting Year ; Insurance Category Code ; Large Provider Entity Code ; Age Band Code ; Sex Code </v>
      </c>
      <c r="N4471" s="345" t="s">
        <v>207</v>
      </c>
      <c r="O4471" s="345" t="s">
        <v>208</v>
      </c>
      <c r="P4471" s="345" t="s">
        <v>209</v>
      </c>
      <c r="Q4471" s="345" t="s">
        <v>210</v>
      </c>
      <c r="R4471" s="345" t="s">
        <v>223</v>
      </c>
      <c r="S4471" s="345" t="s">
        <v>224</v>
      </c>
    </row>
    <row r="4472" spans="1:19" x14ac:dyDescent="0.25">
      <c r="A4472" s="311"/>
      <c r="B4472" s="312"/>
      <c r="C4472" s="312"/>
      <c r="D4472" s="312"/>
      <c r="E4472" s="312"/>
      <c r="F4472" s="312"/>
      <c r="G4472" s="328"/>
      <c r="H4472" s="337"/>
      <c r="I4472" s="334"/>
      <c r="J4472" s="314"/>
      <c r="K4472" s="449"/>
      <c r="M4472" s="349" t="str">
        <f>N4472&amp;AS[[#This Row],[Insurer Code]]&amp;"; "&amp;O4472&amp;AS[[#This Row],[Reporting Year]]&amp;"; "&amp;P4472&amp;AS[[#This Row],[Insurance Category Code]]&amp;"; "&amp;Q4472&amp;AS[[#This Row],[Large Provider Entity Code]]&amp;"; "&amp;R4472&amp;AS[[#This Row],[Age Band Code]]&amp;"; "&amp;S4472&amp;AS[[#This Row],[Sex Code]]</f>
        <v xml:space="preserve">Insurer Code ; Reporting Year ; Insurance Category Code ; Large Provider Entity Code ; Age Band Code ; Sex Code </v>
      </c>
      <c r="N4472" s="345" t="s">
        <v>207</v>
      </c>
      <c r="O4472" s="345" t="s">
        <v>208</v>
      </c>
      <c r="P4472" s="345" t="s">
        <v>209</v>
      </c>
      <c r="Q4472" s="345" t="s">
        <v>210</v>
      </c>
      <c r="R4472" s="345" t="s">
        <v>223</v>
      </c>
      <c r="S4472" s="345" t="s">
        <v>224</v>
      </c>
    </row>
    <row r="4473" spans="1:19" x14ac:dyDescent="0.25">
      <c r="A4473" s="311"/>
      <c r="B4473" s="312"/>
      <c r="C4473" s="312"/>
      <c r="D4473" s="312"/>
      <c r="E4473" s="312"/>
      <c r="F4473" s="312"/>
      <c r="G4473" s="328"/>
      <c r="H4473" s="337"/>
      <c r="I4473" s="334"/>
      <c r="J4473" s="314"/>
      <c r="K4473" s="449"/>
      <c r="M4473" s="349" t="str">
        <f>N4473&amp;AS[[#This Row],[Insurer Code]]&amp;"; "&amp;O4473&amp;AS[[#This Row],[Reporting Year]]&amp;"; "&amp;P4473&amp;AS[[#This Row],[Insurance Category Code]]&amp;"; "&amp;Q4473&amp;AS[[#This Row],[Large Provider Entity Code]]&amp;"; "&amp;R4473&amp;AS[[#This Row],[Age Band Code]]&amp;"; "&amp;S4473&amp;AS[[#This Row],[Sex Code]]</f>
        <v xml:space="preserve">Insurer Code ; Reporting Year ; Insurance Category Code ; Large Provider Entity Code ; Age Band Code ; Sex Code </v>
      </c>
      <c r="N4473" s="345" t="s">
        <v>207</v>
      </c>
      <c r="O4473" s="345" t="s">
        <v>208</v>
      </c>
      <c r="P4473" s="345" t="s">
        <v>209</v>
      </c>
      <c r="Q4473" s="345" t="s">
        <v>210</v>
      </c>
      <c r="R4473" s="345" t="s">
        <v>223</v>
      </c>
      <c r="S4473" s="345" t="s">
        <v>224</v>
      </c>
    </row>
    <row r="4474" spans="1:19" x14ac:dyDescent="0.25">
      <c r="A4474" s="311"/>
      <c r="B4474" s="312"/>
      <c r="C4474" s="312"/>
      <c r="D4474" s="312"/>
      <c r="E4474" s="312"/>
      <c r="F4474" s="312"/>
      <c r="G4474" s="328"/>
      <c r="H4474" s="337"/>
      <c r="I4474" s="334"/>
      <c r="J4474" s="314"/>
      <c r="K4474" s="449"/>
      <c r="M4474" s="349" t="str">
        <f>N4474&amp;AS[[#This Row],[Insurer Code]]&amp;"; "&amp;O4474&amp;AS[[#This Row],[Reporting Year]]&amp;"; "&amp;P4474&amp;AS[[#This Row],[Insurance Category Code]]&amp;"; "&amp;Q4474&amp;AS[[#This Row],[Large Provider Entity Code]]&amp;"; "&amp;R4474&amp;AS[[#This Row],[Age Band Code]]&amp;"; "&amp;S4474&amp;AS[[#This Row],[Sex Code]]</f>
        <v xml:space="preserve">Insurer Code ; Reporting Year ; Insurance Category Code ; Large Provider Entity Code ; Age Band Code ; Sex Code </v>
      </c>
      <c r="N4474" s="345" t="s">
        <v>207</v>
      </c>
      <c r="O4474" s="345" t="s">
        <v>208</v>
      </c>
      <c r="P4474" s="345" t="s">
        <v>209</v>
      </c>
      <c r="Q4474" s="345" t="s">
        <v>210</v>
      </c>
      <c r="R4474" s="345" t="s">
        <v>223</v>
      </c>
      <c r="S4474" s="345" t="s">
        <v>224</v>
      </c>
    </row>
    <row r="4475" spans="1:19" x14ac:dyDescent="0.25">
      <c r="A4475" s="311"/>
      <c r="B4475" s="312"/>
      <c r="C4475" s="312"/>
      <c r="D4475" s="312"/>
      <c r="E4475" s="312"/>
      <c r="F4475" s="312"/>
      <c r="G4475" s="328"/>
      <c r="H4475" s="337"/>
      <c r="I4475" s="334"/>
      <c r="J4475" s="314"/>
      <c r="K4475" s="449"/>
      <c r="M4475" s="349" t="str">
        <f>N4475&amp;AS[[#This Row],[Insurer Code]]&amp;"; "&amp;O4475&amp;AS[[#This Row],[Reporting Year]]&amp;"; "&amp;P4475&amp;AS[[#This Row],[Insurance Category Code]]&amp;"; "&amp;Q4475&amp;AS[[#This Row],[Large Provider Entity Code]]&amp;"; "&amp;R4475&amp;AS[[#This Row],[Age Band Code]]&amp;"; "&amp;S4475&amp;AS[[#This Row],[Sex Code]]</f>
        <v xml:space="preserve">Insurer Code ; Reporting Year ; Insurance Category Code ; Large Provider Entity Code ; Age Band Code ; Sex Code </v>
      </c>
      <c r="N4475" s="345" t="s">
        <v>207</v>
      </c>
      <c r="O4475" s="345" t="s">
        <v>208</v>
      </c>
      <c r="P4475" s="345" t="s">
        <v>209</v>
      </c>
      <c r="Q4475" s="345" t="s">
        <v>210</v>
      </c>
      <c r="R4475" s="345" t="s">
        <v>223</v>
      </c>
      <c r="S4475" s="345" t="s">
        <v>224</v>
      </c>
    </row>
    <row r="4476" spans="1:19" x14ac:dyDescent="0.25">
      <c r="A4476" s="311"/>
      <c r="B4476" s="312"/>
      <c r="C4476" s="312"/>
      <c r="D4476" s="312"/>
      <c r="E4476" s="312"/>
      <c r="F4476" s="312"/>
      <c r="G4476" s="328"/>
      <c r="H4476" s="337"/>
      <c r="I4476" s="334"/>
      <c r="J4476" s="314"/>
      <c r="K4476" s="449"/>
      <c r="M4476" s="349" t="str">
        <f>N4476&amp;AS[[#This Row],[Insurer Code]]&amp;"; "&amp;O4476&amp;AS[[#This Row],[Reporting Year]]&amp;"; "&amp;P4476&amp;AS[[#This Row],[Insurance Category Code]]&amp;"; "&amp;Q4476&amp;AS[[#This Row],[Large Provider Entity Code]]&amp;"; "&amp;R4476&amp;AS[[#This Row],[Age Band Code]]&amp;"; "&amp;S4476&amp;AS[[#This Row],[Sex Code]]</f>
        <v xml:space="preserve">Insurer Code ; Reporting Year ; Insurance Category Code ; Large Provider Entity Code ; Age Band Code ; Sex Code </v>
      </c>
      <c r="N4476" s="345" t="s">
        <v>207</v>
      </c>
      <c r="O4476" s="345" t="s">
        <v>208</v>
      </c>
      <c r="P4476" s="345" t="s">
        <v>209</v>
      </c>
      <c r="Q4476" s="345" t="s">
        <v>210</v>
      </c>
      <c r="R4476" s="345" t="s">
        <v>223</v>
      </c>
      <c r="S4476" s="345" t="s">
        <v>224</v>
      </c>
    </row>
    <row r="4477" spans="1:19" x14ac:dyDescent="0.25">
      <c r="A4477" s="311"/>
      <c r="B4477" s="312"/>
      <c r="C4477" s="312"/>
      <c r="D4477" s="312"/>
      <c r="E4477" s="312"/>
      <c r="F4477" s="312"/>
      <c r="G4477" s="328"/>
      <c r="H4477" s="337"/>
      <c r="I4477" s="334"/>
      <c r="J4477" s="314"/>
      <c r="K4477" s="449"/>
      <c r="M4477" s="349" t="str">
        <f>N4477&amp;AS[[#This Row],[Insurer Code]]&amp;"; "&amp;O4477&amp;AS[[#This Row],[Reporting Year]]&amp;"; "&amp;P4477&amp;AS[[#This Row],[Insurance Category Code]]&amp;"; "&amp;Q4477&amp;AS[[#This Row],[Large Provider Entity Code]]&amp;"; "&amp;R4477&amp;AS[[#This Row],[Age Band Code]]&amp;"; "&amp;S4477&amp;AS[[#This Row],[Sex Code]]</f>
        <v xml:space="preserve">Insurer Code ; Reporting Year ; Insurance Category Code ; Large Provider Entity Code ; Age Band Code ; Sex Code </v>
      </c>
      <c r="N4477" s="345" t="s">
        <v>207</v>
      </c>
      <c r="O4477" s="345" t="s">
        <v>208</v>
      </c>
      <c r="P4477" s="345" t="s">
        <v>209</v>
      </c>
      <c r="Q4477" s="345" t="s">
        <v>210</v>
      </c>
      <c r="R4477" s="345" t="s">
        <v>223</v>
      </c>
      <c r="S4477" s="345" t="s">
        <v>224</v>
      </c>
    </row>
    <row r="4478" spans="1:19" x14ac:dyDescent="0.25">
      <c r="A4478" s="311"/>
      <c r="B4478" s="312"/>
      <c r="C4478" s="312"/>
      <c r="D4478" s="312"/>
      <c r="E4478" s="312"/>
      <c r="F4478" s="312"/>
      <c r="G4478" s="328"/>
      <c r="H4478" s="337"/>
      <c r="I4478" s="334"/>
      <c r="J4478" s="314"/>
      <c r="K4478" s="449"/>
      <c r="M4478" s="349" t="str">
        <f>N4478&amp;AS[[#This Row],[Insurer Code]]&amp;"; "&amp;O4478&amp;AS[[#This Row],[Reporting Year]]&amp;"; "&amp;P4478&amp;AS[[#This Row],[Insurance Category Code]]&amp;"; "&amp;Q4478&amp;AS[[#This Row],[Large Provider Entity Code]]&amp;"; "&amp;R4478&amp;AS[[#This Row],[Age Band Code]]&amp;"; "&amp;S4478&amp;AS[[#This Row],[Sex Code]]</f>
        <v xml:space="preserve">Insurer Code ; Reporting Year ; Insurance Category Code ; Large Provider Entity Code ; Age Band Code ; Sex Code </v>
      </c>
      <c r="N4478" s="345" t="s">
        <v>207</v>
      </c>
      <c r="O4478" s="345" t="s">
        <v>208</v>
      </c>
      <c r="P4478" s="345" t="s">
        <v>209</v>
      </c>
      <c r="Q4478" s="345" t="s">
        <v>210</v>
      </c>
      <c r="R4478" s="345" t="s">
        <v>223</v>
      </c>
      <c r="S4478" s="345" t="s">
        <v>224</v>
      </c>
    </row>
    <row r="4479" spans="1:19" x14ac:dyDescent="0.25">
      <c r="A4479" s="311"/>
      <c r="B4479" s="312"/>
      <c r="C4479" s="312"/>
      <c r="D4479" s="312"/>
      <c r="E4479" s="312"/>
      <c r="F4479" s="312"/>
      <c r="G4479" s="328"/>
      <c r="H4479" s="337"/>
      <c r="I4479" s="334"/>
      <c r="J4479" s="314"/>
      <c r="K4479" s="449"/>
      <c r="M4479" s="349" t="str">
        <f>N4479&amp;AS[[#This Row],[Insurer Code]]&amp;"; "&amp;O4479&amp;AS[[#This Row],[Reporting Year]]&amp;"; "&amp;P4479&amp;AS[[#This Row],[Insurance Category Code]]&amp;"; "&amp;Q4479&amp;AS[[#This Row],[Large Provider Entity Code]]&amp;"; "&amp;R4479&amp;AS[[#This Row],[Age Band Code]]&amp;"; "&amp;S4479&amp;AS[[#This Row],[Sex Code]]</f>
        <v xml:space="preserve">Insurer Code ; Reporting Year ; Insurance Category Code ; Large Provider Entity Code ; Age Band Code ; Sex Code </v>
      </c>
      <c r="N4479" s="345" t="s">
        <v>207</v>
      </c>
      <c r="O4479" s="345" t="s">
        <v>208</v>
      </c>
      <c r="P4479" s="345" t="s">
        <v>209</v>
      </c>
      <c r="Q4479" s="345" t="s">
        <v>210</v>
      </c>
      <c r="R4479" s="345" t="s">
        <v>223</v>
      </c>
      <c r="S4479" s="345" t="s">
        <v>224</v>
      </c>
    </row>
    <row r="4480" spans="1:19" x14ac:dyDescent="0.25">
      <c r="A4480" s="311"/>
      <c r="B4480" s="312"/>
      <c r="C4480" s="312"/>
      <c r="D4480" s="312"/>
      <c r="E4480" s="312"/>
      <c r="F4480" s="312"/>
      <c r="G4480" s="328"/>
      <c r="H4480" s="337"/>
      <c r="I4480" s="334"/>
      <c r="J4480" s="314"/>
      <c r="K4480" s="449"/>
      <c r="M4480" s="349" t="str">
        <f>N4480&amp;AS[[#This Row],[Insurer Code]]&amp;"; "&amp;O4480&amp;AS[[#This Row],[Reporting Year]]&amp;"; "&amp;P4480&amp;AS[[#This Row],[Insurance Category Code]]&amp;"; "&amp;Q4480&amp;AS[[#This Row],[Large Provider Entity Code]]&amp;"; "&amp;R4480&amp;AS[[#This Row],[Age Band Code]]&amp;"; "&amp;S4480&amp;AS[[#This Row],[Sex Code]]</f>
        <v xml:space="preserve">Insurer Code ; Reporting Year ; Insurance Category Code ; Large Provider Entity Code ; Age Band Code ; Sex Code </v>
      </c>
      <c r="N4480" s="345" t="s">
        <v>207</v>
      </c>
      <c r="O4480" s="345" t="s">
        <v>208</v>
      </c>
      <c r="P4480" s="345" t="s">
        <v>209</v>
      </c>
      <c r="Q4480" s="345" t="s">
        <v>210</v>
      </c>
      <c r="R4480" s="345" t="s">
        <v>223</v>
      </c>
      <c r="S4480" s="345" t="s">
        <v>224</v>
      </c>
    </row>
    <row r="4481" spans="1:19" x14ac:dyDescent="0.25">
      <c r="A4481" s="311"/>
      <c r="B4481" s="312"/>
      <c r="C4481" s="312"/>
      <c r="D4481" s="312"/>
      <c r="E4481" s="312"/>
      <c r="F4481" s="312"/>
      <c r="G4481" s="328"/>
      <c r="H4481" s="337"/>
      <c r="I4481" s="334"/>
      <c r="J4481" s="314"/>
      <c r="K4481" s="449"/>
      <c r="M4481" s="349" t="str">
        <f>N4481&amp;AS[[#This Row],[Insurer Code]]&amp;"; "&amp;O4481&amp;AS[[#This Row],[Reporting Year]]&amp;"; "&amp;P4481&amp;AS[[#This Row],[Insurance Category Code]]&amp;"; "&amp;Q4481&amp;AS[[#This Row],[Large Provider Entity Code]]&amp;"; "&amp;R4481&amp;AS[[#This Row],[Age Band Code]]&amp;"; "&amp;S4481&amp;AS[[#This Row],[Sex Code]]</f>
        <v xml:space="preserve">Insurer Code ; Reporting Year ; Insurance Category Code ; Large Provider Entity Code ; Age Band Code ; Sex Code </v>
      </c>
      <c r="N4481" s="345" t="s">
        <v>207</v>
      </c>
      <c r="O4481" s="345" t="s">
        <v>208</v>
      </c>
      <c r="P4481" s="345" t="s">
        <v>209</v>
      </c>
      <c r="Q4481" s="345" t="s">
        <v>210</v>
      </c>
      <c r="R4481" s="345" t="s">
        <v>223</v>
      </c>
      <c r="S4481" s="345" t="s">
        <v>224</v>
      </c>
    </row>
    <row r="4482" spans="1:19" x14ac:dyDescent="0.25">
      <c r="A4482" s="311"/>
      <c r="B4482" s="312"/>
      <c r="C4482" s="312"/>
      <c r="D4482" s="312"/>
      <c r="E4482" s="312"/>
      <c r="F4482" s="312"/>
      <c r="G4482" s="328"/>
      <c r="H4482" s="337"/>
      <c r="I4482" s="334"/>
      <c r="J4482" s="314"/>
      <c r="K4482" s="449"/>
      <c r="M4482" s="349" t="str">
        <f>N4482&amp;AS[[#This Row],[Insurer Code]]&amp;"; "&amp;O4482&amp;AS[[#This Row],[Reporting Year]]&amp;"; "&amp;P4482&amp;AS[[#This Row],[Insurance Category Code]]&amp;"; "&amp;Q4482&amp;AS[[#This Row],[Large Provider Entity Code]]&amp;"; "&amp;R4482&amp;AS[[#This Row],[Age Band Code]]&amp;"; "&amp;S4482&amp;AS[[#This Row],[Sex Code]]</f>
        <v xml:space="preserve">Insurer Code ; Reporting Year ; Insurance Category Code ; Large Provider Entity Code ; Age Band Code ; Sex Code </v>
      </c>
      <c r="N4482" s="345" t="s">
        <v>207</v>
      </c>
      <c r="O4482" s="345" t="s">
        <v>208</v>
      </c>
      <c r="P4482" s="345" t="s">
        <v>209</v>
      </c>
      <c r="Q4482" s="345" t="s">
        <v>210</v>
      </c>
      <c r="R4482" s="345" t="s">
        <v>223</v>
      </c>
      <c r="S4482" s="345" t="s">
        <v>224</v>
      </c>
    </row>
    <row r="4483" spans="1:19" x14ac:dyDescent="0.25">
      <c r="A4483" s="311"/>
      <c r="B4483" s="312"/>
      <c r="C4483" s="312"/>
      <c r="D4483" s="312"/>
      <c r="E4483" s="312"/>
      <c r="F4483" s="312"/>
      <c r="G4483" s="328"/>
      <c r="H4483" s="337"/>
      <c r="I4483" s="334"/>
      <c r="J4483" s="314"/>
      <c r="K4483" s="449"/>
      <c r="M4483" s="349" t="str">
        <f>N4483&amp;AS[[#This Row],[Insurer Code]]&amp;"; "&amp;O4483&amp;AS[[#This Row],[Reporting Year]]&amp;"; "&amp;P4483&amp;AS[[#This Row],[Insurance Category Code]]&amp;"; "&amp;Q4483&amp;AS[[#This Row],[Large Provider Entity Code]]&amp;"; "&amp;R4483&amp;AS[[#This Row],[Age Band Code]]&amp;"; "&amp;S4483&amp;AS[[#This Row],[Sex Code]]</f>
        <v xml:space="preserve">Insurer Code ; Reporting Year ; Insurance Category Code ; Large Provider Entity Code ; Age Band Code ; Sex Code </v>
      </c>
      <c r="N4483" s="345" t="s">
        <v>207</v>
      </c>
      <c r="O4483" s="345" t="s">
        <v>208</v>
      </c>
      <c r="P4483" s="345" t="s">
        <v>209</v>
      </c>
      <c r="Q4483" s="345" t="s">
        <v>210</v>
      </c>
      <c r="R4483" s="345" t="s">
        <v>223</v>
      </c>
      <c r="S4483" s="345" t="s">
        <v>224</v>
      </c>
    </row>
    <row r="4484" spans="1:19" x14ac:dyDescent="0.25">
      <c r="A4484" s="311"/>
      <c r="B4484" s="312"/>
      <c r="C4484" s="312"/>
      <c r="D4484" s="312"/>
      <c r="E4484" s="312"/>
      <c r="F4484" s="312"/>
      <c r="G4484" s="328"/>
      <c r="H4484" s="337"/>
      <c r="I4484" s="334"/>
      <c r="J4484" s="314"/>
      <c r="K4484" s="449"/>
      <c r="M4484" s="349" t="str">
        <f>N4484&amp;AS[[#This Row],[Insurer Code]]&amp;"; "&amp;O4484&amp;AS[[#This Row],[Reporting Year]]&amp;"; "&amp;P4484&amp;AS[[#This Row],[Insurance Category Code]]&amp;"; "&amp;Q4484&amp;AS[[#This Row],[Large Provider Entity Code]]&amp;"; "&amp;R4484&amp;AS[[#This Row],[Age Band Code]]&amp;"; "&amp;S4484&amp;AS[[#This Row],[Sex Code]]</f>
        <v xml:space="preserve">Insurer Code ; Reporting Year ; Insurance Category Code ; Large Provider Entity Code ; Age Band Code ; Sex Code </v>
      </c>
      <c r="N4484" s="345" t="s">
        <v>207</v>
      </c>
      <c r="O4484" s="345" t="s">
        <v>208</v>
      </c>
      <c r="P4484" s="345" t="s">
        <v>209</v>
      </c>
      <c r="Q4484" s="345" t="s">
        <v>210</v>
      </c>
      <c r="R4484" s="345" t="s">
        <v>223</v>
      </c>
      <c r="S4484" s="345" t="s">
        <v>224</v>
      </c>
    </row>
    <row r="4485" spans="1:19" x14ac:dyDescent="0.25">
      <c r="A4485" s="311"/>
      <c r="B4485" s="312"/>
      <c r="C4485" s="312"/>
      <c r="D4485" s="312"/>
      <c r="E4485" s="312"/>
      <c r="F4485" s="312"/>
      <c r="G4485" s="328"/>
      <c r="H4485" s="337"/>
      <c r="I4485" s="334"/>
      <c r="J4485" s="314"/>
      <c r="K4485" s="449"/>
      <c r="M4485" s="349" t="str">
        <f>N4485&amp;AS[[#This Row],[Insurer Code]]&amp;"; "&amp;O4485&amp;AS[[#This Row],[Reporting Year]]&amp;"; "&amp;P4485&amp;AS[[#This Row],[Insurance Category Code]]&amp;"; "&amp;Q4485&amp;AS[[#This Row],[Large Provider Entity Code]]&amp;"; "&amp;R4485&amp;AS[[#This Row],[Age Band Code]]&amp;"; "&amp;S4485&amp;AS[[#This Row],[Sex Code]]</f>
        <v xml:space="preserve">Insurer Code ; Reporting Year ; Insurance Category Code ; Large Provider Entity Code ; Age Band Code ; Sex Code </v>
      </c>
      <c r="N4485" s="345" t="s">
        <v>207</v>
      </c>
      <c r="O4485" s="345" t="s">
        <v>208</v>
      </c>
      <c r="P4485" s="345" t="s">
        <v>209</v>
      </c>
      <c r="Q4485" s="345" t="s">
        <v>210</v>
      </c>
      <c r="R4485" s="345" t="s">
        <v>223</v>
      </c>
      <c r="S4485" s="345" t="s">
        <v>224</v>
      </c>
    </row>
    <row r="4486" spans="1:19" x14ac:dyDescent="0.25">
      <c r="A4486" s="311"/>
      <c r="B4486" s="312"/>
      <c r="C4486" s="312"/>
      <c r="D4486" s="312"/>
      <c r="E4486" s="312"/>
      <c r="F4486" s="312"/>
      <c r="G4486" s="328"/>
      <c r="H4486" s="337"/>
      <c r="I4486" s="334"/>
      <c r="J4486" s="314"/>
      <c r="K4486" s="449"/>
      <c r="M4486" s="349" t="str">
        <f>N4486&amp;AS[[#This Row],[Insurer Code]]&amp;"; "&amp;O4486&amp;AS[[#This Row],[Reporting Year]]&amp;"; "&amp;P4486&amp;AS[[#This Row],[Insurance Category Code]]&amp;"; "&amp;Q4486&amp;AS[[#This Row],[Large Provider Entity Code]]&amp;"; "&amp;R4486&amp;AS[[#This Row],[Age Band Code]]&amp;"; "&amp;S4486&amp;AS[[#This Row],[Sex Code]]</f>
        <v xml:space="preserve">Insurer Code ; Reporting Year ; Insurance Category Code ; Large Provider Entity Code ; Age Band Code ; Sex Code </v>
      </c>
      <c r="N4486" s="345" t="s">
        <v>207</v>
      </c>
      <c r="O4486" s="345" t="s">
        <v>208</v>
      </c>
      <c r="P4486" s="345" t="s">
        <v>209</v>
      </c>
      <c r="Q4486" s="345" t="s">
        <v>210</v>
      </c>
      <c r="R4486" s="345" t="s">
        <v>223</v>
      </c>
      <c r="S4486" s="345" t="s">
        <v>224</v>
      </c>
    </row>
    <row r="4487" spans="1:19" x14ac:dyDescent="0.25">
      <c r="A4487" s="311"/>
      <c r="B4487" s="312"/>
      <c r="C4487" s="312"/>
      <c r="D4487" s="312"/>
      <c r="E4487" s="312"/>
      <c r="F4487" s="312"/>
      <c r="G4487" s="328"/>
      <c r="H4487" s="337"/>
      <c r="I4487" s="334"/>
      <c r="J4487" s="314"/>
      <c r="K4487" s="449"/>
      <c r="M4487" s="349" t="str">
        <f>N4487&amp;AS[[#This Row],[Insurer Code]]&amp;"; "&amp;O4487&amp;AS[[#This Row],[Reporting Year]]&amp;"; "&amp;P4487&amp;AS[[#This Row],[Insurance Category Code]]&amp;"; "&amp;Q4487&amp;AS[[#This Row],[Large Provider Entity Code]]&amp;"; "&amp;R4487&amp;AS[[#This Row],[Age Band Code]]&amp;"; "&amp;S4487&amp;AS[[#This Row],[Sex Code]]</f>
        <v xml:space="preserve">Insurer Code ; Reporting Year ; Insurance Category Code ; Large Provider Entity Code ; Age Band Code ; Sex Code </v>
      </c>
      <c r="N4487" s="345" t="s">
        <v>207</v>
      </c>
      <c r="O4487" s="345" t="s">
        <v>208</v>
      </c>
      <c r="P4487" s="345" t="s">
        <v>209</v>
      </c>
      <c r="Q4487" s="345" t="s">
        <v>210</v>
      </c>
      <c r="R4487" s="345" t="s">
        <v>223</v>
      </c>
      <c r="S4487" s="345" t="s">
        <v>224</v>
      </c>
    </row>
    <row r="4488" spans="1:19" x14ac:dyDescent="0.25">
      <c r="A4488" s="311"/>
      <c r="B4488" s="312"/>
      <c r="C4488" s="312"/>
      <c r="D4488" s="312"/>
      <c r="E4488" s="312"/>
      <c r="F4488" s="312"/>
      <c r="G4488" s="328"/>
      <c r="H4488" s="337"/>
      <c r="I4488" s="334"/>
      <c r="J4488" s="314"/>
      <c r="K4488" s="449"/>
      <c r="M4488" s="349" t="str">
        <f>N4488&amp;AS[[#This Row],[Insurer Code]]&amp;"; "&amp;O4488&amp;AS[[#This Row],[Reporting Year]]&amp;"; "&amp;P4488&amp;AS[[#This Row],[Insurance Category Code]]&amp;"; "&amp;Q4488&amp;AS[[#This Row],[Large Provider Entity Code]]&amp;"; "&amp;R4488&amp;AS[[#This Row],[Age Band Code]]&amp;"; "&amp;S4488&amp;AS[[#This Row],[Sex Code]]</f>
        <v xml:space="preserve">Insurer Code ; Reporting Year ; Insurance Category Code ; Large Provider Entity Code ; Age Band Code ; Sex Code </v>
      </c>
      <c r="N4488" s="345" t="s">
        <v>207</v>
      </c>
      <c r="O4488" s="345" t="s">
        <v>208</v>
      </c>
      <c r="P4488" s="345" t="s">
        <v>209</v>
      </c>
      <c r="Q4488" s="345" t="s">
        <v>210</v>
      </c>
      <c r="R4488" s="345" t="s">
        <v>223</v>
      </c>
      <c r="S4488" s="345" t="s">
        <v>224</v>
      </c>
    </row>
    <row r="4489" spans="1:19" x14ac:dyDescent="0.25">
      <c r="A4489" s="311"/>
      <c r="B4489" s="312"/>
      <c r="C4489" s="312"/>
      <c r="D4489" s="312"/>
      <c r="E4489" s="312"/>
      <c r="F4489" s="312"/>
      <c r="G4489" s="328"/>
      <c r="H4489" s="337"/>
      <c r="I4489" s="334"/>
      <c r="J4489" s="314"/>
      <c r="K4489" s="449"/>
      <c r="M4489" s="349" t="str">
        <f>N4489&amp;AS[[#This Row],[Insurer Code]]&amp;"; "&amp;O4489&amp;AS[[#This Row],[Reporting Year]]&amp;"; "&amp;P4489&amp;AS[[#This Row],[Insurance Category Code]]&amp;"; "&amp;Q4489&amp;AS[[#This Row],[Large Provider Entity Code]]&amp;"; "&amp;R4489&amp;AS[[#This Row],[Age Band Code]]&amp;"; "&amp;S4489&amp;AS[[#This Row],[Sex Code]]</f>
        <v xml:space="preserve">Insurer Code ; Reporting Year ; Insurance Category Code ; Large Provider Entity Code ; Age Band Code ; Sex Code </v>
      </c>
      <c r="N4489" s="345" t="s">
        <v>207</v>
      </c>
      <c r="O4489" s="345" t="s">
        <v>208</v>
      </c>
      <c r="P4489" s="345" t="s">
        <v>209</v>
      </c>
      <c r="Q4489" s="345" t="s">
        <v>210</v>
      </c>
      <c r="R4489" s="345" t="s">
        <v>223</v>
      </c>
      <c r="S4489" s="345" t="s">
        <v>224</v>
      </c>
    </row>
    <row r="4490" spans="1:19" x14ac:dyDescent="0.25">
      <c r="A4490" s="311"/>
      <c r="B4490" s="312"/>
      <c r="C4490" s="312"/>
      <c r="D4490" s="312"/>
      <c r="E4490" s="312"/>
      <c r="F4490" s="312"/>
      <c r="G4490" s="328"/>
      <c r="H4490" s="337"/>
      <c r="I4490" s="334"/>
      <c r="J4490" s="314"/>
      <c r="K4490" s="449"/>
      <c r="M4490" s="349" t="str">
        <f>N4490&amp;AS[[#This Row],[Insurer Code]]&amp;"; "&amp;O4490&amp;AS[[#This Row],[Reporting Year]]&amp;"; "&amp;P4490&amp;AS[[#This Row],[Insurance Category Code]]&amp;"; "&amp;Q4490&amp;AS[[#This Row],[Large Provider Entity Code]]&amp;"; "&amp;R4490&amp;AS[[#This Row],[Age Band Code]]&amp;"; "&amp;S4490&amp;AS[[#This Row],[Sex Code]]</f>
        <v xml:space="preserve">Insurer Code ; Reporting Year ; Insurance Category Code ; Large Provider Entity Code ; Age Band Code ; Sex Code </v>
      </c>
      <c r="N4490" s="345" t="s">
        <v>207</v>
      </c>
      <c r="O4490" s="345" t="s">
        <v>208</v>
      </c>
      <c r="P4490" s="345" t="s">
        <v>209</v>
      </c>
      <c r="Q4490" s="345" t="s">
        <v>210</v>
      </c>
      <c r="R4490" s="345" t="s">
        <v>223</v>
      </c>
      <c r="S4490" s="345" t="s">
        <v>224</v>
      </c>
    </row>
    <row r="4491" spans="1:19" x14ac:dyDescent="0.25">
      <c r="A4491" s="311"/>
      <c r="B4491" s="312"/>
      <c r="C4491" s="312"/>
      <c r="D4491" s="312"/>
      <c r="E4491" s="312"/>
      <c r="F4491" s="312"/>
      <c r="G4491" s="328"/>
      <c r="H4491" s="337"/>
      <c r="I4491" s="334"/>
      <c r="J4491" s="314"/>
      <c r="K4491" s="449"/>
      <c r="M4491" s="349" t="str">
        <f>N4491&amp;AS[[#This Row],[Insurer Code]]&amp;"; "&amp;O4491&amp;AS[[#This Row],[Reporting Year]]&amp;"; "&amp;P4491&amp;AS[[#This Row],[Insurance Category Code]]&amp;"; "&amp;Q4491&amp;AS[[#This Row],[Large Provider Entity Code]]&amp;"; "&amp;R4491&amp;AS[[#This Row],[Age Band Code]]&amp;"; "&amp;S4491&amp;AS[[#This Row],[Sex Code]]</f>
        <v xml:space="preserve">Insurer Code ; Reporting Year ; Insurance Category Code ; Large Provider Entity Code ; Age Band Code ; Sex Code </v>
      </c>
      <c r="N4491" s="345" t="s">
        <v>207</v>
      </c>
      <c r="O4491" s="345" t="s">
        <v>208</v>
      </c>
      <c r="P4491" s="345" t="s">
        <v>209</v>
      </c>
      <c r="Q4491" s="345" t="s">
        <v>210</v>
      </c>
      <c r="R4491" s="345" t="s">
        <v>223</v>
      </c>
      <c r="S4491" s="345" t="s">
        <v>224</v>
      </c>
    </row>
    <row r="4492" spans="1:19" x14ac:dyDescent="0.25">
      <c r="A4492" s="311"/>
      <c r="B4492" s="312"/>
      <c r="C4492" s="312"/>
      <c r="D4492" s="312"/>
      <c r="E4492" s="312"/>
      <c r="F4492" s="312"/>
      <c r="G4492" s="328"/>
      <c r="H4492" s="337"/>
      <c r="I4492" s="334"/>
      <c r="J4492" s="314"/>
      <c r="K4492" s="449"/>
      <c r="M4492" s="349" t="str">
        <f>N4492&amp;AS[[#This Row],[Insurer Code]]&amp;"; "&amp;O4492&amp;AS[[#This Row],[Reporting Year]]&amp;"; "&amp;P4492&amp;AS[[#This Row],[Insurance Category Code]]&amp;"; "&amp;Q4492&amp;AS[[#This Row],[Large Provider Entity Code]]&amp;"; "&amp;R4492&amp;AS[[#This Row],[Age Band Code]]&amp;"; "&amp;S4492&amp;AS[[#This Row],[Sex Code]]</f>
        <v xml:space="preserve">Insurer Code ; Reporting Year ; Insurance Category Code ; Large Provider Entity Code ; Age Band Code ; Sex Code </v>
      </c>
      <c r="N4492" s="345" t="s">
        <v>207</v>
      </c>
      <c r="O4492" s="345" t="s">
        <v>208</v>
      </c>
      <c r="P4492" s="345" t="s">
        <v>209</v>
      </c>
      <c r="Q4492" s="345" t="s">
        <v>210</v>
      </c>
      <c r="R4492" s="345" t="s">
        <v>223</v>
      </c>
      <c r="S4492" s="345" t="s">
        <v>224</v>
      </c>
    </row>
    <row r="4493" spans="1:19" x14ac:dyDescent="0.25">
      <c r="A4493" s="311"/>
      <c r="B4493" s="312"/>
      <c r="C4493" s="312"/>
      <c r="D4493" s="312"/>
      <c r="E4493" s="312"/>
      <c r="F4493" s="312"/>
      <c r="G4493" s="328"/>
      <c r="H4493" s="337"/>
      <c r="I4493" s="334"/>
      <c r="J4493" s="314"/>
      <c r="K4493" s="449"/>
      <c r="M4493" s="349" t="str">
        <f>N4493&amp;AS[[#This Row],[Insurer Code]]&amp;"; "&amp;O4493&amp;AS[[#This Row],[Reporting Year]]&amp;"; "&amp;P4493&amp;AS[[#This Row],[Insurance Category Code]]&amp;"; "&amp;Q4493&amp;AS[[#This Row],[Large Provider Entity Code]]&amp;"; "&amp;R4493&amp;AS[[#This Row],[Age Band Code]]&amp;"; "&amp;S4493&amp;AS[[#This Row],[Sex Code]]</f>
        <v xml:space="preserve">Insurer Code ; Reporting Year ; Insurance Category Code ; Large Provider Entity Code ; Age Band Code ; Sex Code </v>
      </c>
      <c r="N4493" s="345" t="s">
        <v>207</v>
      </c>
      <c r="O4493" s="345" t="s">
        <v>208</v>
      </c>
      <c r="P4493" s="345" t="s">
        <v>209</v>
      </c>
      <c r="Q4493" s="345" t="s">
        <v>210</v>
      </c>
      <c r="R4493" s="345" t="s">
        <v>223</v>
      </c>
      <c r="S4493" s="345" t="s">
        <v>224</v>
      </c>
    </row>
    <row r="4494" spans="1:19" x14ac:dyDescent="0.25">
      <c r="A4494" s="311"/>
      <c r="B4494" s="312"/>
      <c r="C4494" s="312"/>
      <c r="D4494" s="312"/>
      <c r="E4494" s="312"/>
      <c r="F4494" s="312"/>
      <c r="G4494" s="328"/>
      <c r="H4494" s="337"/>
      <c r="I4494" s="334"/>
      <c r="J4494" s="314"/>
      <c r="K4494" s="449"/>
      <c r="M4494" s="349" t="str">
        <f>N4494&amp;AS[[#This Row],[Insurer Code]]&amp;"; "&amp;O4494&amp;AS[[#This Row],[Reporting Year]]&amp;"; "&amp;P4494&amp;AS[[#This Row],[Insurance Category Code]]&amp;"; "&amp;Q4494&amp;AS[[#This Row],[Large Provider Entity Code]]&amp;"; "&amp;R4494&amp;AS[[#This Row],[Age Band Code]]&amp;"; "&amp;S4494&amp;AS[[#This Row],[Sex Code]]</f>
        <v xml:space="preserve">Insurer Code ; Reporting Year ; Insurance Category Code ; Large Provider Entity Code ; Age Band Code ; Sex Code </v>
      </c>
      <c r="N4494" s="345" t="s">
        <v>207</v>
      </c>
      <c r="O4494" s="345" t="s">
        <v>208</v>
      </c>
      <c r="P4494" s="345" t="s">
        <v>209</v>
      </c>
      <c r="Q4494" s="345" t="s">
        <v>210</v>
      </c>
      <c r="R4494" s="345" t="s">
        <v>223</v>
      </c>
      <c r="S4494" s="345" t="s">
        <v>224</v>
      </c>
    </row>
    <row r="4495" spans="1:19" x14ac:dyDescent="0.25">
      <c r="A4495" s="311"/>
      <c r="B4495" s="312"/>
      <c r="C4495" s="312"/>
      <c r="D4495" s="312"/>
      <c r="E4495" s="312"/>
      <c r="F4495" s="312"/>
      <c r="G4495" s="328"/>
      <c r="H4495" s="337"/>
      <c r="I4495" s="334"/>
      <c r="J4495" s="314"/>
      <c r="K4495" s="449"/>
      <c r="M4495" s="349" t="str">
        <f>N4495&amp;AS[[#This Row],[Insurer Code]]&amp;"; "&amp;O4495&amp;AS[[#This Row],[Reporting Year]]&amp;"; "&amp;P4495&amp;AS[[#This Row],[Insurance Category Code]]&amp;"; "&amp;Q4495&amp;AS[[#This Row],[Large Provider Entity Code]]&amp;"; "&amp;R4495&amp;AS[[#This Row],[Age Band Code]]&amp;"; "&amp;S4495&amp;AS[[#This Row],[Sex Code]]</f>
        <v xml:space="preserve">Insurer Code ; Reporting Year ; Insurance Category Code ; Large Provider Entity Code ; Age Band Code ; Sex Code </v>
      </c>
      <c r="N4495" s="345" t="s">
        <v>207</v>
      </c>
      <c r="O4495" s="345" t="s">
        <v>208</v>
      </c>
      <c r="P4495" s="345" t="s">
        <v>209</v>
      </c>
      <c r="Q4495" s="345" t="s">
        <v>210</v>
      </c>
      <c r="R4495" s="345" t="s">
        <v>223</v>
      </c>
      <c r="S4495" s="345" t="s">
        <v>224</v>
      </c>
    </row>
    <row r="4496" spans="1:19" x14ac:dyDescent="0.25">
      <c r="A4496" s="311"/>
      <c r="B4496" s="312"/>
      <c r="C4496" s="312"/>
      <c r="D4496" s="312"/>
      <c r="E4496" s="312"/>
      <c r="F4496" s="312"/>
      <c r="G4496" s="328"/>
      <c r="H4496" s="337"/>
      <c r="I4496" s="334"/>
      <c r="J4496" s="314"/>
      <c r="K4496" s="449"/>
      <c r="M4496" s="349" t="str">
        <f>N4496&amp;AS[[#This Row],[Insurer Code]]&amp;"; "&amp;O4496&amp;AS[[#This Row],[Reporting Year]]&amp;"; "&amp;P4496&amp;AS[[#This Row],[Insurance Category Code]]&amp;"; "&amp;Q4496&amp;AS[[#This Row],[Large Provider Entity Code]]&amp;"; "&amp;R4496&amp;AS[[#This Row],[Age Band Code]]&amp;"; "&amp;S4496&amp;AS[[#This Row],[Sex Code]]</f>
        <v xml:space="preserve">Insurer Code ; Reporting Year ; Insurance Category Code ; Large Provider Entity Code ; Age Band Code ; Sex Code </v>
      </c>
      <c r="N4496" s="345" t="s">
        <v>207</v>
      </c>
      <c r="O4496" s="345" t="s">
        <v>208</v>
      </c>
      <c r="P4496" s="345" t="s">
        <v>209</v>
      </c>
      <c r="Q4496" s="345" t="s">
        <v>210</v>
      </c>
      <c r="R4496" s="345" t="s">
        <v>223</v>
      </c>
      <c r="S4496" s="345" t="s">
        <v>224</v>
      </c>
    </row>
    <row r="4497" spans="1:19" x14ac:dyDescent="0.25">
      <c r="A4497" s="311"/>
      <c r="B4497" s="312"/>
      <c r="C4497" s="312"/>
      <c r="D4497" s="312"/>
      <c r="E4497" s="312"/>
      <c r="F4497" s="312"/>
      <c r="G4497" s="328"/>
      <c r="H4497" s="337"/>
      <c r="I4497" s="334"/>
      <c r="J4497" s="314"/>
      <c r="K4497" s="449"/>
      <c r="M4497" s="349" t="str">
        <f>N4497&amp;AS[[#This Row],[Insurer Code]]&amp;"; "&amp;O4497&amp;AS[[#This Row],[Reporting Year]]&amp;"; "&amp;P4497&amp;AS[[#This Row],[Insurance Category Code]]&amp;"; "&amp;Q4497&amp;AS[[#This Row],[Large Provider Entity Code]]&amp;"; "&amp;R4497&amp;AS[[#This Row],[Age Band Code]]&amp;"; "&amp;S4497&amp;AS[[#This Row],[Sex Code]]</f>
        <v xml:space="preserve">Insurer Code ; Reporting Year ; Insurance Category Code ; Large Provider Entity Code ; Age Band Code ; Sex Code </v>
      </c>
      <c r="N4497" s="345" t="s">
        <v>207</v>
      </c>
      <c r="O4497" s="345" t="s">
        <v>208</v>
      </c>
      <c r="P4497" s="345" t="s">
        <v>209</v>
      </c>
      <c r="Q4497" s="345" t="s">
        <v>210</v>
      </c>
      <c r="R4497" s="345" t="s">
        <v>223</v>
      </c>
      <c r="S4497" s="345" t="s">
        <v>224</v>
      </c>
    </row>
    <row r="4498" spans="1:19" x14ac:dyDescent="0.25">
      <c r="A4498" s="311"/>
      <c r="B4498" s="312"/>
      <c r="C4498" s="312"/>
      <c r="D4498" s="312"/>
      <c r="E4498" s="312"/>
      <c r="F4498" s="312"/>
      <c r="G4498" s="328"/>
      <c r="H4498" s="337"/>
      <c r="I4498" s="334"/>
      <c r="J4498" s="314"/>
      <c r="K4498" s="449"/>
      <c r="M4498" s="349" t="str">
        <f>N4498&amp;AS[[#This Row],[Insurer Code]]&amp;"; "&amp;O4498&amp;AS[[#This Row],[Reporting Year]]&amp;"; "&amp;P4498&amp;AS[[#This Row],[Insurance Category Code]]&amp;"; "&amp;Q4498&amp;AS[[#This Row],[Large Provider Entity Code]]&amp;"; "&amp;R4498&amp;AS[[#This Row],[Age Band Code]]&amp;"; "&amp;S4498&amp;AS[[#This Row],[Sex Code]]</f>
        <v xml:space="preserve">Insurer Code ; Reporting Year ; Insurance Category Code ; Large Provider Entity Code ; Age Band Code ; Sex Code </v>
      </c>
      <c r="N4498" s="345" t="s">
        <v>207</v>
      </c>
      <c r="O4498" s="345" t="s">
        <v>208</v>
      </c>
      <c r="P4498" s="345" t="s">
        <v>209</v>
      </c>
      <c r="Q4498" s="345" t="s">
        <v>210</v>
      </c>
      <c r="R4498" s="345" t="s">
        <v>223</v>
      </c>
      <c r="S4498" s="345" t="s">
        <v>224</v>
      </c>
    </row>
    <row r="4499" spans="1:19" x14ac:dyDescent="0.25">
      <c r="A4499" s="311"/>
      <c r="B4499" s="312"/>
      <c r="C4499" s="312"/>
      <c r="D4499" s="312"/>
      <c r="E4499" s="312"/>
      <c r="F4499" s="312"/>
      <c r="G4499" s="328"/>
      <c r="H4499" s="337"/>
      <c r="I4499" s="334"/>
      <c r="J4499" s="314"/>
      <c r="K4499" s="449"/>
      <c r="M4499" s="349" t="str">
        <f>N4499&amp;AS[[#This Row],[Insurer Code]]&amp;"; "&amp;O4499&amp;AS[[#This Row],[Reporting Year]]&amp;"; "&amp;P4499&amp;AS[[#This Row],[Insurance Category Code]]&amp;"; "&amp;Q4499&amp;AS[[#This Row],[Large Provider Entity Code]]&amp;"; "&amp;R4499&amp;AS[[#This Row],[Age Band Code]]&amp;"; "&amp;S4499&amp;AS[[#This Row],[Sex Code]]</f>
        <v xml:space="preserve">Insurer Code ; Reporting Year ; Insurance Category Code ; Large Provider Entity Code ; Age Band Code ; Sex Code </v>
      </c>
      <c r="N4499" s="345" t="s">
        <v>207</v>
      </c>
      <c r="O4499" s="345" t="s">
        <v>208</v>
      </c>
      <c r="P4499" s="345" t="s">
        <v>209</v>
      </c>
      <c r="Q4499" s="345" t="s">
        <v>210</v>
      </c>
      <c r="R4499" s="345" t="s">
        <v>223</v>
      </c>
      <c r="S4499" s="345" t="s">
        <v>224</v>
      </c>
    </row>
    <row r="4500" spans="1:19" x14ac:dyDescent="0.25">
      <c r="A4500" s="311"/>
      <c r="B4500" s="312"/>
      <c r="C4500" s="312"/>
      <c r="D4500" s="312"/>
      <c r="E4500" s="312"/>
      <c r="F4500" s="312"/>
      <c r="G4500" s="328"/>
      <c r="H4500" s="337"/>
      <c r="I4500" s="334"/>
      <c r="J4500" s="314"/>
      <c r="K4500" s="449"/>
      <c r="M4500" s="349" t="str">
        <f>N4500&amp;AS[[#This Row],[Insurer Code]]&amp;"; "&amp;O4500&amp;AS[[#This Row],[Reporting Year]]&amp;"; "&amp;P4500&amp;AS[[#This Row],[Insurance Category Code]]&amp;"; "&amp;Q4500&amp;AS[[#This Row],[Large Provider Entity Code]]&amp;"; "&amp;R4500&amp;AS[[#This Row],[Age Band Code]]&amp;"; "&amp;S4500&amp;AS[[#This Row],[Sex Code]]</f>
        <v xml:space="preserve">Insurer Code ; Reporting Year ; Insurance Category Code ; Large Provider Entity Code ; Age Band Code ; Sex Code </v>
      </c>
      <c r="N4500" s="345" t="s">
        <v>207</v>
      </c>
      <c r="O4500" s="345" t="s">
        <v>208</v>
      </c>
      <c r="P4500" s="345" t="s">
        <v>209</v>
      </c>
      <c r="Q4500" s="345" t="s">
        <v>210</v>
      </c>
      <c r="R4500" s="345" t="s">
        <v>223</v>
      </c>
      <c r="S4500" s="345" t="s">
        <v>224</v>
      </c>
    </row>
    <row r="4501" spans="1:19" x14ac:dyDescent="0.25">
      <c r="A4501" s="311"/>
      <c r="B4501" s="312"/>
      <c r="C4501" s="312"/>
      <c r="D4501" s="312"/>
      <c r="E4501" s="312"/>
      <c r="F4501" s="312"/>
      <c r="G4501" s="328"/>
      <c r="H4501" s="337"/>
      <c r="I4501" s="334"/>
      <c r="J4501" s="314"/>
      <c r="K4501" s="449"/>
      <c r="M4501" s="349" t="str">
        <f>N4501&amp;AS[[#This Row],[Insurer Code]]&amp;"; "&amp;O4501&amp;AS[[#This Row],[Reporting Year]]&amp;"; "&amp;P4501&amp;AS[[#This Row],[Insurance Category Code]]&amp;"; "&amp;Q4501&amp;AS[[#This Row],[Large Provider Entity Code]]&amp;"; "&amp;R4501&amp;AS[[#This Row],[Age Band Code]]&amp;"; "&amp;S4501&amp;AS[[#This Row],[Sex Code]]</f>
        <v xml:space="preserve">Insurer Code ; Reporting Year ; Insurance Category Code ; Large Provider Entity Code ; Age Band Code ; Sex Code </v>
      </c>
      <c r="N4501" s="345" t="s">
        <v>207</v>
      </c>
      <c r="O4501" s="345" t="s">
        <v>208</v>
      </c>
      <c r="P4501" s="345" t="s">
        <v>209</v>
      </c>
      <c r="Q4501" s="345" t="s">
        <v>210</v>
      </c>
      <c r="R4501" s="345" t="s">
        <v>223</v>
      </c>
      <c r="S4501" s="345" t="s">
        <v>224</v>
      </c>
    </row>
    <row r="4502" spans="1:19" x14ac:dyDescent="0.25">
      <c r="A4502" s="311"/>
      <c r="B4502" s="312"/>
      <c r="C4502" s="312"/>
      <c r="D4502" s="312"/>
      <c r="E4502" s="312"/>
      <c r="F4502" s="312"/>
      <c r="G4502" s="328"/>
      <c r="H4502" s="337"/>
      <c r="I4502" s="334"/>
      <c r="J4502" s="314"/>
      <c r="K4502" s="449"/>
      <c r="M4502" s="349" t="str">
        <f>N4502&amp;AS[[#This Row],[Insurer Code]]&amp;"; "&amp;O4502&amp;AS[[#This Row],[Reporting Year]]&amp;"; "&amp;P4502&amp;AS[[#This Row],[Insurance Category Code]]&amp;"; "&amp;Q4502&amp;AS[[#This Row],[Large Provider Entity Code]]&amp;"; "&amp;R4502&amp;AS[[#This Row],[Age Band Code]]&amp;"; "&amp;S4502&amp;AS[[#This Row],[Sex Code]]</f>
        <v xml:space="preserve">Insurer Code ; Reporting Year ; Insurance Category Code ; Large Provider Entity Code ; Age Band Code ; Sex Code </v>
      </c>
      <c r="N4502" s="345" t="s">
        <v>207</v>
      </c>
      <c r="O4502" s="345" t="s">
        <v>208</v>
      </c>
      <c r="P4502" s="345" t="s">
        <v>209</v>
      </c>
      <c r="Q4502" s="345" t="s">
        <v>210</v>
      </c>
      <c r="R4502" s="345" t="s">
        <v>223</v>
      </c>
      <c r="S4502" s="345" t="s">
        <v>224</v>
      </c>
    </row>
    <row r="4503" spans="1:19" x14ac:dyDescent="0.25">
      <c r="A4503" s="311"/>
      <c r="B4503" s="312"/>
      <c r="C4503" s="312"/>
      <c r="D4503" s="312"/>
      <c r="E4503" s="312"/>
      <c r="F4503" s="312"/>
      <c r="G4503" s="328"/>
      <c r="H4503" s="337"/>
      <c r="I4503" s="334"/>
      <c r="J4503" s="314"/>
      <c r="K4503" s="449"/>
      <c r="M4503" s="349" t="str">
        <f>N4503&amp;AS[[#This Row],[Insurer Code]]&amp;"; "&amp;O4503&amp;AS[[#This Row],[Reporting Year]]&amp;"; "&amp;P4503&amp;AS[[#This Row],[Insurance Category Code]]&amp;"; "&amp;Q4503&amp;AS[[#This Row],[Large Provider Entity Code]]&amp;"; "&amp;R4503&amp;AS[[#This Row],[Age Band Code]]&amp;"; "&amp;S4503&amp;AS[[#This Row],[Sex Code]]</f>
        <v xml:space="preserve">Insurer Code ; Reporting Year ; Insurance Category Code ; Large Provider Entity Code ; Age Band Code ; Sex Code </v>
      </c>
      <c r="N4503" s="345" t="s">
        <v>207</v>
      </c>
      <c r="O4503" s="345" t="s">
        <v>208</v>
      </c>
      <c r="P4503" s="345" t="s">
        <v>209</v>
      </c>
      <c r="Q4503" s="345" t="s">
        <v>210</v>
      </c>
      <c r="R4503" s="345" t="s">
        <v>223</v>
      </c>
      <c r="S4503" s="345" t="s">
        <v>224</v>
      </c>
    </row>
    <row r="4504" spans="1:19" x14ac:dyDescent="0.25">
      <c r="A4504" s="311"/>
      <c r="B4504" s="312"/>
      <c r="C4504" s="312"/>
      <c r="D4504" s="312"/>
      <c r="E4504" s="312"/>
      <c r="F4504" s="312"/>
      <c r="G4504" s="328"/>
      <c r="H4504" s="337"/>
      <c r="I4504" s="334"/>
      <c r="J4504" s="314"/>
      <c r="K4504" s="449"/>
      <c r="M4504" s="349" t="str">
        <f>N4504&amp;AS[[#This Row],[Insurer Code]]&amp;"; "&amp;O4504&amp;AS[[#This Row],[Reporting Year]]&amp;"; "&amp;P4504&amp;AS[[#This Row],[Insurance Category Code]]&amp;"; "&amp;Q4504&amp;AS[[#This Row],[Large Provider Entity Code]]&amp;"; "&amp;R4504&amp;AS[[#This Row],[Age Band Code]]&amp;"; "&amp;S4504&amp;AS[[#This Row],[Sex Code]]</f>
        <v xml:space="preserve">Insurer Code ; Reporting Year ; Insurance Category Code ; Large Provider Entity Code ; Age Band Code ; Sex Code </v>
      </c>
      <c r="N4504" s="345" t="s">
        <v>207</v>
      </c>
      <c r="O4504" s="345" t="s">
        <v>208</v>
      </c>
      <c r="P4504" s="345" t="s">
        <v>209</v>
      </c>
      <c r="Q4504" s="345" t="s">
        <v>210</v>
      </c>
      <c r="R4504" s="345" t="s">
        <v>223</v>
      </c>
      <c r="S4504" s="345" t="s">
        <v>224</v>
      </c>
    </row>
    <row r="4505" spans="1:19" x14ac:dyDescent="0.25">
      <c r="A4505" s="311"/>
      <c r="B4505" s="312"/>
      <c r="C4505" s="312"/>
      <c r="D4505" s="312"/>
      <c r="E4505" s="312"/>
      <c r="F4505" s="312"/>
      <c r="G4505" s="328"/>
      <c r="H4505" s="337"/>
      <c r="I4505" s="334"/>
      <c r="J4505" s="314"/>
      <c r="K4505" s="449"/>
      <c r="M4505" s="349" t="str">
        <f>N4505&amp;AS[[#This Row],[Insurer Code]]&amp;"; "&amp;O4505&amp;AS[[#This Row],[Reporting Year]]&amp;"; "&amp;P4505&amp;AS[[#This Row],[Insurance Category Code]]&amp;"; "&amp;Q4505&amp;AS[[#This Row],[Large Provider Entity Code]]&amp;"; "&amp;R4505&amp;AS[[#This Row],[Age Band Code]]&amp;"; "&amp;S4505&amp;AS[[#This Row],[Sex Code]]</f>
        <v xml:space="preserve">Insurer Code ; Reporting Year ; Insurance Category Code ; Large Provider Entity Code ; Age Band Code ; Sex Code </v>
      </c>
      <c r="N4505" s="345" t="s">
        <v>207</v>
      </c>
      <c r="O4505" s="345" t="s">
        <v>208</v>
      </c>
      <c r="P4505" s="345" t="s">
        <v>209</v>
      </c>
      <c r="Q4505" s="345" t="s">
        <v>210</v>
      </c>
      <c r="R4505" s="345" t="s">
        <v>223</v>
      </c>
      <c r="S4505" s="345" t="s">
        <v>224</v>
      </c>
    </row>
    <row r="4506" spans="1:19" x14ac:dyDescent="0.25">
      <c r="A4506" s="311"/>
      <c r="B4506" s="312"/>
      <c r="C4506" s="312"/>
      <c r="D4506" s="312"/>
      <c r="E4506" s="312"/>
      <c r="F4506" s="312"/>
      <c r="G4506" s="328"/>
      <c r="H4506" s="337"/>
      <c r="I4506" s="334"/>
      <c r="J4506" s="314"/>
      <c r="K4506" s="449"/>
      <c r="M4506" s="349" t="str">
        <f>N4506&amp;AS[[#This Row],[Insurer Code]]&amp;"; "&amp;O4506&amp;AS[[#This Row],[Reporting Year]]&amp;"; "&amp;P4506&amp;AS[[#This Row],[Insurance Category Code]]&amp;"; "&amp;Q4506&amp;AS[[#This Row],[Large Provider Entity Code]]&amp;"; "&amp;R4506&amp;AS[[#This Row],[Age Band Code]]&amp;"; "&amp;S4506&amp;AS[[#This Row],[Sex Code]]</f>
        <v xml:space="preserve">Insurer Code ; Reporting Year ; Insurance Category Code ; Large Provider Entity Code ; Age Band Code ; Sex Code </v>
      </c>
      <c r="N4506" s="345" t="s">
        <v>207</v>
      </c>
      <c r="O4506" s="345" t="s">
        <v>208</v>
      </c>
      <c r="P4506" s="345" t="s">
        <v>209</v>
      </c>
      <c r="Q4506" s="345" t="s">
        <v>210</v>
      </c>
      <c r="R4506" s="345" t="s">
        <v>223</v>
      </c>
      <c r="S4506" s="345" t="s">
        <v>224</v>
      </c>
    </row>
    <row r="4507" spans="1:19" x14ac:dyDescent="0.25">
      <c r="A4507" s="311"/>
      <c r="B4507" s="312"/>
      <c r="C4507" s="312"/>
      <c r="D4507" s="312"/>
      <c r="E4507" s="312"/>
      <c r="F4507" s="312"/>
      <c r="G4507" s="328"/>
      <c r="H4507" s="337"/>
      <c r="I4507" s="334"/>
      <c r="J4507" s="314"/>
      <c r="K4507" s="449"/>
      <c r="M4507" s="349" t="str">
        <f>N4507&amp;AS[[#This Row],[Insurer Code]]&amp;"; "&amp;O4507&amp;AS[[#This Row],[Reporting Year]]&amp;"; "&amp;P4507&amp;AS[[#This Row],[Insurance Category Code]]&amp;"; "&amp;Q4507&amp;AS[[#This Row],[Large Provider Entity Code]]&amp;"; "&amp;R4507&amp;AS[[#This Row],[Age Band Code]]&amp;"; "&amp;S4507&amp;AS[[#This Row],[Sex Code]]</f>
        <v xml:space="preserve">Insurer Code ; Reporting Year ; Insurance Category Code ; Large Provider Entity Code ; Age Band Code ; Sex Code </v>
      </c>
      <c r="N4507" s="345" t="s">
        <v>207</v>
      </c>
      <c r="O4507" s="345" t="s">
        <v>208</v>
      </c>
      <c r="P4507" s="345" t="s">
        <v>209</v>
      </c>
      <c r="Q4507" s="345" t="s">
        <v>210</v>
      </c>
      <c r="R4507" s="345" t="s">
        <v>223</v>
      </c>
      <c r="S4507" s="345" t="s">
        <v>224</v>
      </c>
    </row>
    <row r="4508" spans="1:19" x14ac:dyDescent="0.25">
      <c r="A4508" s="311"/>
      <c r="B4508" s="312"/>
      <c r="C4508" s="312"/>
      <c r="D4508" s="312"/>
      <c r="E4508" s="312"/>
      <c r="F4508" s="312"/>
      <c r="G4508" s="328"/>
      <c r="H4508" s="337"/>
      <c r="I4508" s="334"/>
      <c r="J4508" s="314"/>
      <c r="K4508" s="449"/>
      <c r="M4508" s="349" t="str">
        <f>N4508&amp;AS[[#This Row],[Insurer Code]]&amp;"; "&amp;O4508&amp;AS[[#This Row],[Reporting Year]]&amp;"; "&amp;P4508&amp;AS[[#This Row],[Insurance Category Code]]&amp;"; "&amp;Q4508&amp;AS[[#This Row],[Large Provider Entity Code]]&amp;"; "&amp;R4508&amp;AS[[#This Row],[Age Band Code]]&amp;"; "&amp;S4508&amp;AS[[#This Row],[Sex Code]]</f>
        <v xml:space="preserve">Insurer Code ; Reporting Year ; Insurance Category Code ; Large Provider Entity Code ; Age Band Code ; Sex Code </v>
      </c>
      <c r="N4508" s="345" t="s">
        <v>207</v>
      </c>
      <c r="O4508" s="345" t="s">
        <v>208</v>
      </c>
      <c r="P4508" s="345" t="s">
        <v>209</v>
      </c>
      <c r="Q4508" s="345" t="s">
        <v>210</v>
      </c>
      <c r="R4508" s="345" t="s">
        <v>223</v>
      </c>
      <c r="S4508" s="345" t="s">
        <v>224</v>
      </c>
    </row>
    <row r="4509" spans="1:19" x14ac:dyDescent="0.25">
      <c r="A4509" s="311"/>
      <c r="B4509" s="312"/>
      <c r="C4509" s="312"/>
      <c r="D4509" s="312"/>
      <c r="E4509" s="312"/>
      <c r="F4509" s="312"/>
      <c r="G4509" s="328"/>
      <c r="H4509" s="337"/>
      <c r="I4509" s="334"/>
      <c r="J4509" s="314"/>
      <c r="K4509" s="449"/>
      <c r="M4509" s="349" t="str">
        <f>N4509&amp;AS[[#This Row],[Insurer Code]]&amp;"; "&amp;O4509&amp;AS[[#This Row],[Reporting Year]]&amp;"; "&amp;P4509&amp;AS[[#This Row],[Insurance Category Code]]&amp;"; "&amp;Q4509&amp;AS[[#This Row],[Large Provider Entity Code]]&amp;"; "&amp;R4509&amp;AS[[#This Row],[Age Band Code]]&amp;"; "&amp;S4509&amp;AS[[#This Row],[Sex Code]]</f>
        <v xml:space="preserve">Insurer Code ; Reporting Year ; Insurance Category Code ; Large Provider Entity Code ; Age Band Code ; Sex Code </v>
      </c>
      <c r="N4509" s="345" t="s">
        <v>207</v>
      </c>
      <c r="O4509" s="345" t="s">
        <v>208</v>
      </c>
      <c r="P4509" s="345" t="s">
        <v>209</v>
      </c>
      <c r="Q4509" s="345" t="s">
        <v>210</v>
      </c>
      <c r="R4509" s="345" t="s">
        <v>223</v>
      </c>
      <c r="S4509" s="345" t="s">
        <v>224</v>
      </c>
    </row>
    <row r="4510" spans="1:19" x14ac:dyDescent="0.25">
      <c r="A4510" s="311"/>
      <c r="B4510" s="312"/>
      <c r="C4510" s="312"/>
      <c r="D4510" s="312"/>
      <c r="E4510" s="312"/>
      <c r="F4510" s="312"/>
      <c r="G4510" s="328"/>
      <c r="H4510" s="337"/>
      <c r="I4510" s="334"/>
      <c r="J4510" s="314"/>
      <c r="K4510" s="449"/>
      <c r="M4510" s="349" t="str">
        <f>N4510&amp;AS[[#This Row],[Insurer Code]]&amp;"; "&amp;O4510&amp;AS[[#This Row],[Reporting Year]]&amp;"; "&amp;P4510&amp;AS[[#This Row],[Insurance Category Code]]&amp;"; "&amp;Q4510&amp;AS[[#This Row],[Large Provider Entity Code]]&amp;"; "&amp;R4510&amp;AS[[#This Row],[Age Band Code]]&amp;"; "&amp;S4510&amp;AS[[#This Row],[Sex Code]]</f>
        <v xml:space="preserve">Insurer Code ; Reporting Year ; Insurance Category Code ; Large Provider Entity Code ; Age Band Code ; Sex Code </v>
      </c>
      <c r="N4510" s="345" t="s">
        <v>207</v>
      </c>
      <c r="O4510" s="345" t="s">
        <v>208</v>
      </c>
      <c r="P4510" s="345" t="s">
        <v>209</v>
      </c>
      <c r="Q4510" s="345" t="s">
        <v>210</v>
      </c>
      <c r="R4510" s="345" t="s">
        <v>223</v>
      </c>
      <c r="S4510" s="345" t="s">
        <v>224</v>
      </c>
    </row>
    <row r="4511" spans="1:19" x14ac:dyDescent="0.25">
      <c r="A4511" s="311"/>
      <c r="B4511" s="312"/>
      <c r="C4511" s="312"/>
      <c r="D4511" s="312"/>
      <c r="E4511" s="312"/>
      <c r="F4511" s="312"/>
      <c r="G4511" s="328"/>
      <c r="H4511" s="337"/>
      <c r="I4511" s="334"/>
      <c r="J4511" s="314"/>
      <c r="K4511" s="449"/>
      <c r="M4511" s="349" t="str">
        <f>N4511&amp;AS[[#This Row],[Insurer Code]]&amp;"; "&amp;O4511&amp;AS[[#This Row],[Reporting Year]]&amp;"; "&amp;P4511&amp;AS[[#This Row],[Insurance Category Code]]&amp;"; "&amp;Q4511&amp;AS[[#This Row],[Large Provider Entity Code]]&amp;"; "&amp;R4511&amp;AS[[#This Row],[Age Band Code]]&amp;"; "&amp;S4511&amp;AS[[#This Row],[Sex Code]]</f>
        <v xml:space="preserve">Insurer Code ; Reporting Year ; Insurance Category Code ; Large Provider Entity Code ; Age Band Code ; Sex Code </v>
      </c>
      <c r="N4511" s="345" t="s">
        <v>207</v>
      </c>
      <c r="O4511" s="345" t="s">
        <v>208</v>
      </c>
      <c r="P4511" s="345" t="s">
        <v>209</v>
      </c>
      <c r="Q4511" s="345" t="s">
        <v>210</v>
      </c>
      <c r="R4511" s="345" t="s">
        <v>223</v>
      </c>
      <c r="S4511" s="345" t="s">
        <v>224</v>
      </c>
    </row>
    <row r="4512" spans="1:19" x14ac:dyDescent="0.25">
      <c r="A4512" s="311"/>
      <c r="B4512" s="312"/>
      <c r="C4512" s="312"/>
      <c r="D4512" s="312"/>
      <c r="E4512" s="312"/>
      <c r="F4512" s="312"/>
      <c r="G4512" s="328"/>
      <c r="H4512" s="337"/>
      <c r="I4512" s="334"/>
      <c r="J4512" s="314"/>
      <c r="K4512" s="449"/>
      <c r="M4512" s="349" t="str">
        <f>N4512&amp;AS[[#This Row],[Insurer Code]]&amp;"; "&amp;O4512&amp;AS[[#This Row],[Reporting Year]]&amp;"; "&amp;P4512&amp;AS[[#This Row],[Insurance Category Code]]&amp;"; "&amp;Q4512&amp;AS[[#This Row],[Large Provider Entity Code]]&amp;"; "&amp;R4512&amp;AS[[#This Row],[Age Band Code]]&amp;"; "&amp;S4512&amp;AS[[#This Row],[Sex Code]]</f>
        <v xml:space="preserve">Insurer Code ; Reporting Year ; Insurance Category Code ; Large Provider Entity Code ; Age Band Code ; Sex Code </v>
      </c>
      <c r="N4512" s="345" t="s">
        <v>207</v>
      </c>
      <c r="O4512" s="345" t="s">
        <v>208</v>
      </c>
      <c r="P4512" s="345" t="s">
        <v>209</v>
      </c>
      <c r="Q4512" s="345" t="s">
        <v>210</v>
      </c>
      <c r="R4512" s="345" t="s">
        <v>223</v>
      </c>
      <c r="S4512" s="345" t="s">
        <v>224</v>
      </c>
    </row>
    <row r="4513" spans="1:19" x14ac:dyDescent="0.25">
      <c r="A4513" s="311"/>
      <c r="B4513" s="312"/>
      <c r="C4513" s="312"/>
      <c r="D4513" s="312"/>
      <c r="E4513" s="312"/>
      <c r="F4513" s="312"/>
      <c r="G4513" s="328"/>
      <c r="H4513" s="337"/>
      <c r="I4513" s="334"/>
      <c r="J4513" s="314"/>
      <c r="K4513" s="449"/>
      <c r="M4513" s="349" t="str">
        <f>N4513&amp;AS[[#This Row],[Insurer Code]]&amp;"; "&amp;O4513&amp;AS[[#This Row],[Reporting Year]]&amp;"; "&amp;P4513&amp;AS[[#This Row],[Insurance Category Code]]&amp;"; "&amp;Q4513&amp;AS[[#This Row],[Large Provider Entity Code]]&amp;"; "&amp;R4513&amp;AS[[#This Row],[Age Band Code]]&amp;"; "&amp;S4513&amp;AS[[#This Row],[Sex Code]]</f>
        <v xml:space="preserve">Insurer Code ; Reporting Year ; Insurance Category Code ; Large Provider Entity Code ; Age Band Code ; Sex Code </v>
      </c>
      <c r="N4513" s="345" t="s">
        <v>207</v>
      </c>
      <c r="O4513" s="345" t="s">
        <v>208</v>
      </c>
      <c r="P4513" s="345" t="s">
        <v>209</v>
      </c>
      <c r="Q4513" s="345" t="s">
        <v>210</v>
      </c>
      <c r="R4513" s="345" t="s">
        <v>223</v>
      </c>
      <c r="S4513" s="345" t="s">
        <v>224</v>
      </c>
    </row>
    <row r="4514" spans="1:19" x14ac:dyDescent="0.25">
      <c r="A4514" s="311"/>
      <c r="B4514" s="312"/>
      <c r="C4514" s="312"/>
      <c r="D4514" s="312"/>
      <c r="E4514" s="312"/>
      <c r="F4514" s="312"/>
      <c r="G4514" s="328"/>
      <c r="H4514" s="337"/>
      <c r="I4514" s="334"/>
      <c r="J4514" s="314"/>
      <c r="K4514" s="449"/>
      <c r="M4514" s="349" t="str">
        <f>N4514&amp;AS[[#This Row],[Insurer Code]]&amp;"; "&amp;O4514&amp;AS[[#This Row],[Reporting Year]]&amp;"; "&amp;P4514&amp;AS[[#This Row],[Insurance Category Code]]&amp;"; "&amp;Q4514&amp;AS[[#This Row],[Large Provider Entity Code]]&amp;"; "&amp;R4514&amp;AS[[#This Row],[Age Band Code]]&amp;"; "&amp;S4514&amp;AS[[#This Row],[Sex Code]]</f>
        <v xml:space="preserve">Insurer Code ; Reporting Year ; Insurance Category Code ; Large Provider Entity Code ; Age Band Code ; Sex Code </v>
      </c>
      <c r="N4514" s="345" t="s">
        <v>207</v>
      </c>
      <c r="O4514" s="345" t="s">
        <v>208</v>
      </c>
      <c r="P4514" s="345" t="s">
        <v>209</v>
      </c>
      <c r="Q4514" s="345" t="s">
        <v>210</v>
      </c>
      <c r="R4514" s="345" t="s">
        <v>223</v>
      </c>
      <c r="S4514" s="345" t="s">
        <v>224</v>
      </c>
    </row>
    <row r="4515" spans="1:19" x14ac:dyDescent="0.25">
      <c r="A4515" s="311"/>
      <c r="B4515" s="312"/>
      <c r="C4515" s="312"/>
      <c r="D4515" s="312"/>
      <c r="E4515" s="312"/>
      <c r="F4515" s="312"/>
      <c r="G4515" s="328"/>
      <c r="H4515" s="337"/>
      <c r="I4515" s="334"/>
      <c r="J4515" s="314"/>
      <c r="K4515" s="449"/>
      <c r="M4515" s="349" t="str">
        <f>N4515&amp;AS[[#This Row],[Insurer Code]]&amp;"; "&amp;O4515&amp;AS[[#This Row],[Reporting Year]]&amp;"; "&amp;P4515&amp;AS[[#This Row],[Insurance Category Code]]&amp;"; "&amp;Q4515&amp;AS[[#This Row],[Large Provider Entity Code]]&amp;"; "&amp;R4515&amp;AS[[#This Row],[Age Band Code]]&amp;"; "&amp;S4515&amp;AS[[#This Row],[Sex Code]]</f>
        <v xml:space="preserve">Insurer Code ; Reporting Year ; Insurance Category Code ; Large Provider Entity Code ; Age Band Code ; Sex Code </v>
      </c>
      <c r="N4515" s="345" t="s">
        <v>207</v>
      </c>
      <c r="O4515" s="345" t="s">
        <v>208</v>
      </c>
      <c r="P4515" s="345" t="s">
        <v>209</v>
      </c>
      <c r="Q4515" s="345" t="s">
        <v>210</v>
      </c>
      <c r="R4515" s="345" t="s">
        <v>223</v>
      </c>
      <c r="S4515" s="345" t="s">
        <v>224</v>
      </c>
    </row>
    <row r="4516" spans="1:19" x14ac:dyDescent="0.25">
      <c r="A4516" s="311"/>
      <c r="B4516" s="312"/>
      <c r="C4516" s="312"/>
      <c r="D4516" s="312"/>
      <c r="E4516" s="312"/>
      <c r="F4516" s="312"/>
      <c r="G4516" s="328"/>
      <c r="H4516" s="337"/>
      <c r="I4516" s="334"/>
      <c r="J4516" s="314"/>
      <c r="K4516" s="449"/>
      <c r="M4516" s="349" t="str">
        <f>N4516&amp;AS[[#This Row],[Insurer Code]]&amp;"; "&amp;O4516&amp;AS[[#This Row],[Reporting Year]]&amp;"; "&amp;P4516&amp;AS[[#This Row],[Insurance Category Code]]&amp;"; "&amp;Q4516&amp;AS[[#This Row],[Large Provider Entity Code]]&amp;"; "&amp;R4516&amp;AS[[#This Row],[Age Band Code]]&amp;"; "&amp;S4516&amp;AS[[#This Row],[Sex Code]]</f>
        <v xml:space="preserve">Insurer Code ; Reporting Year ; Insurance Category Code ; Large Provider Entity Code ; Age Band Code ; Sex Code </v>
      </c>
      <c r="N4516" s="345" t="s">
        <v>207</v>
      </c>
      <c r="O4516" s="345" t="s">
        <v>208</v>
      </c>
      <c r="P4516" s="345" t="s">
        <v>209</v>
      </c>
      <c r="Q4516" s="345" t="s">
        <v>210</v>
      </c>
      <c r="R4516" s="345" t="s">
        <v>223</v>
      </c>
      <c r="S4516" s="345" t="s">
        <v>224</v>
      </c>
    </row>
    <row r="4517" spans="1:19" x14ac:dyDescent="0.25">
      <c r="A4517" s="311"/>
      <c r="B4517" s="312"/>
      <c r="C4517" s="312"/>
      <c r="D4517" s="312"/>
      <c r="E4517" s="312"/>
      <c r="F4517" s="312"/>
      <c r="G4517" s="328"/>
      <c r="H4517" s="337"/>
      <c r="I4517" s="334"/>
      <c r="J4517" s="314"/>
      <c r="K4517" s="449"/>
      <c r="M4517" s="349" t="str">
        <f>N4517&amp;AS[[#This Row],[Insurer Code]]&amp;"; "&amp;O4517&amp;AS[[#This Row],[Reporting Year]]&amp;"; "&amp;P4517&amp;AS[[#This Row],[Insurance Category Code]]&amp;"; "&amp;Q4517&amp;AS[[#This Row],[Large Provider Entity Code]]&amp;"; "&amp;R4517&amp;AS[[#This Row],[Age Band Code]]&amp;"; "&amp;S4517&amp;AS[[#This Row],[Sex Code]]</f>
        <v xml:space="preserve">Insurer Code ; Reporting Year ; Insurance Category Code ; Large Provider Entity Code ; Age Band Code ; Sex Code </v>
      </c>
      <c r="N4517" s="345" t="s">
        <v>207</v>
      </c>
      <c r="O4517" s="345" t="s">
        <v>208</v>
      </c>
      <c r="P4517" s="345" t="s">
        <v>209</v>
      </c>
      <c r="Q4517" s="345" t="s">
        <v>210</v>
      </c>
      <c r="R4517" s="345" t="s">
        <v>223</v>
      </c>
      <c r="S4517" s="345" t="s">
        <v>224</v>
      </c>
    </row>
    <row r="4518" spans="1:19" x14ac:dyDescent="0.25">
      <c r="A4518" s="311"/>
      <c r="B4518" s="312"/>
      <c r="C4518" s="312"/>
      <c r="D4518" s="312"/>
      <c r="E4518" s="312"/>
      <c r="F4518" s="312"/>
      <c r="G4518" s="328"/>
      <c r="H4518" s="337"/>
      <c r="I4518" s="334"/>
      <c r="J4518" s="314"/>
      <c r="K4518" s="449"/>
      <c r="M4518" s="349" t="str">
        <f>N4518&amp;AS[[#This Row],[Insurer Code]]&amp;"; "&amp;O4518&amp;AS[[#This Row],[Reporting Year]]&amp;"; "&amp;P4518&amp;AS[[#This Row],[Insurance Category Code]]&amp;"; "&amp;Q4518&amp;AS[[#This Row],[Large Provider Entity Code]]&amp;"; "&amp;R4518&amp;AS[[#This Row],[Age Band Code]]&amp;"; "&amp;S4518&amp;AS[[#This Row],[Sex Code]]</f>
        <v xml:space="preserve">Insurer Code ; Reporting Year ; Insurance Category Code ; Large Provider Entity Code ; Age Band Code ; Sex Code </v>
      </c>
      <c r="N4518" s="345" t="s">
        <v>207</v>
      </c>
      <c r="O4518" s="345" t="s">
        <v>208</v>
      </c>
      <c r="P4518" s="345" t="s">
        <v>209</v>
      </c>
      <c r="Q4518" s="345" t="s">
        <v>210</v>
      </c>
      <c r="R4518" s="345" t="s">
        <v>223</v>
      </c>
      <c r="S4518" s="345" t="s">
        <v>224</v>
      </c>
    </row>
    <row r="4519" spans="1:19" x14ac:dyDescent="0.25">
      <c r="A4519" s="311"/>
      <c r="B4519" s="312"/>
      <c r="C4519" s="312"/>
      <c r="D4519" s="312"/>
      <c r="E4519" s="312"/>
      <c r="F4519" s="312"/>
      <c r="G4519" s="328"/>
      <c r="H4519" s="337"/>
      <c r="I4519" s="334"/>
      <c r="J4519" s="314"/>
      <c r="K4519" s="449"/>
      <c r="M4519" s="349" t="str">
        <f>N4519&amp;AS[[#This Row],[Insurer Code]]&amp;"; "&amp;O4519&amp;AS[[#This Row],[Reporting Year]]&amp;"; "&amp;P4519&amp;AS[[#This Row],[Insurance Category Code]]&amp;"; "&amp;Q4519&amp;AS[[#This Row],[Large Provider Entity Code]]&amp;"; "&amp;R4519&amp;AS[[#This Row],[Age Band Code]]&amp;"; "&amp;S4519&amp;AS[[#This Row],[Sex Code]]</f>
        <v xml:space="preserve">Insurer Code ; Reporting Year ; Insurance Category Code ; Large Provider Entity Code ; Age Band Code ; Sex Code </v>
      </c>
      <c r="N4519" s="345" t="s">
        <v>207</v>
      </c>
      <c r="O4519" s="345" t="s">
        <v>208</v>
      </c>
      <c r="P4519" s="345" t="s">
        <v>209</v>
      </c>
      <c r="Q4519" s="345" t="s">
        <v>210</v>
      </c>
      <c r="R4519" s="345" t="s">
        <v>223</v>
      </c>
      <c r="S4519" s="345" t="s">
        <v>224</v>
      </c>
    </row>
    <row r="4520" spans="1:19" x14ac:dyDescent="0.25">
      <c r="A4520" s="311"/>
      <c r="B4520" s="312"/>
      <c r="C4520" s="312"/>
      <c r="D4520" s="312"/>
      <c r="E4520" s="312"/>
      <c r="F4520" s="312"/>
      <c r="G4520" s="328"/>
      <c r="H4520" s="337"/>
      <c r="I4520" s="334"/>
      <c r="J4520" s="314"/>
      <c r="K4520" s="449"/>
      <c r="M4520" s="349" t="str">
        <f>N4520&amp;AS[[#This Row],[Insurer Code]]&amp;"; "&amp;O4520&amp;AS[[#This Row],[Reporting Year]]&amp;"; "&amp;P4520&amp;AS[[#This Row],[Insurance Category Code]]&amp;"; "&amp;Q4520&amp;AS[[#This Row],[Large Provider Entity Code]]&amp;"; "&amp;R4520&amp;AS[[#This Row],[Age Band Code]]&amp;"; "&amp;S4520&amp;AS[[#This Row],[Sex Code]]</f>
        <v xml:space="preserve">Insurer Code ; Reporting Year ; Insurance Category Code ; Large Provider Entity Code ; Age Band Code ; Sex Code </v>
      </c>
      <c r="N4520" s="345" t="s">
        <v>207</v>
      </c>
      <c r="O4520" s="345" t="s">
        <v>208</v>
      </c>
      <c r="P4520" s="345" t="s">
        <v>209</v>
      </c>
      <c r="Q4520" s="345" t="s">
        <v>210</v>
      </c>
      <c r="R4520" s="345" t="s">
        <v>223</v>
      </c>
      <c r="S4520" s="345" t="s">
        <v>224</v>
      </c>
    </row>
    <row r="4521" spans="1:19" x14ac:dyDescent="0.25">
      <c r="A4521" s="311"/>
      <c r="B4521" s="312"/>
      <c r="C4521" s="312"/>
      <c r="D4521" s="312"/>
      <c r="E4521" s="312"/>
      <c r="F4521" s="312"/>
      <c r="G4521" s="328"/>
      <c r="H4521" s="337"/>
      <c r="I4521" s="334"/>
      <c r="J4521" s="314"/>
      <c r="K4521" s="449"/>
      <c r="M4521" s="349" t="str">
        <f>N4521&amp;AS[[#This Row],[Insurer Code]]&amp;"; "&amp;O4521&amp;AS[[#This Row],[Reporting Year]]&amp;"; "&amp;P4521&amp;AS[[#This Row],[Insurance Category Code]]&amp;"; "&amp;Q4521&amp;AS[[#This Row],[Large Provider Entity Code]]&amp;"; "&amp;R4521&amp;AS[[#This Row],[Age Band Code]]&amp;"; "&amp;S4521&amp;AS[[#This Row],[Sex Code]]</f>
        <v xml:space="preserve">Insurer Code ; Reporting Year ; Insurance Category Code ; Large Provider Entity Code ; Age Band Code ; Sex Code </v>
      </c>
      <c r="N4521" s="345" t="s">
        <v>207</v>
      </c>
      <c r="O4521" s="345" t="s">
        <v>208</v>
      </c>
      <c r="P4521" s="345" t="s">
        <v>209</v>
      </c>
      <c r="Q4521" s="345" t="s">
        <v>210</v>
      </c>
      <c r="R4521" s="345" t="s">
        <v>223</v>
      </c>
      <c r="S4521" s="345" t="s">
        <v>224</v>
      </c>
    </row>
    <row r="4522" spans="1:19" x14ac:dyDescent="0.25">
      <c r="A4522" s="311"/>
      <c r="B4522" s="312"/>
      <c r="C4522" s="312"/>
      <c r="D4522" s="312"/>
      <c r="E4522" s="312"/>
      <c r="F4522" s="312"/>
      <c r="G4522" s="328"/>
      <c r="H4522" s="337"/>
      <c r="I4522" s="334"/>
      <c r="J4522" s="314"/>
      <c r="K4522" s="449"/>
      <c r="M4522" s="349" t="str">
        <f>N4522&amp;AS[[#This Row],[Insurer Code]]&amp;"; "&amp;O4522&amp;AS[[#This Row],[Reporting Year]]&amp;"; "&amp;P4522&amp;AS[[#This Row],[Insurance Category Code]]&amp;"; "&amp;Q4522&amp;AS[[#This Row],[Large Provider Entity Code]]&amp;"; "&amp;R4522&amp;AS[[#This Row],[Age Band Code]]&amp;"; "&amp;S4522&amp;AS[[#This Row],[Sex Code]]</f>
        <v xml:space="preserve">Insurer Code ; Reporting Year ; Insurance Category Code ; Large Provider Entity Code ; Age Band Code ; Sex Code </v>
      </c>
      <c r="N4522" s="345" t="s">
        <v>207</v>
      </c>
      <c r="O4522" s="345" t="s">
        <v>208</v>
      </c>
      <c r="P4522" s="345" t="s">
        <v>209</v>
      </c>
      <c r="Q4522" s="345" t="s">
        <v>210</v>
      </c>
      <c r="R4522" s="345" t="s">
        <v>223</v>
      </c>
      <c r="S4522" s="345" t="s">
        <v>224</v>
      </c>
    </row>
    <row r="4523" spans="1:19" x14ac:dyDescent="0.25">
      <c r="A4523" s="311"/>
      <c r="B4523" s="312"/>
      <c r="C4523" s="312"/>
      <c r="D4523" s="312"/>
      <c r="E4523" s="312"/>
      <c r="F4523" s="312"/>
      <c r="G4523" s="328"/>
      <c r="H4523" s="337"/>
      <c r="I4523" s="334"/>
      <c r="J4523" s="314"/>
      <c r="K4523" s="449"/>
      <c r="M4523" s="349" t="str">
        <f>N4523&amp;AS[[#This Row],[Insurer Code]]&amp;"; "&amp;O4523&amp;AS[[#This Row],[Reporting Year]]&amp;"; "&amp;P4523&amp;AS[[#This Row],[Insurance Category Code]]&amp;"; "&amp;Q4523&amp;AS[[#This Row],[Large Provider Entity Code]]&amp;"; "&amp;R4523&amp;AS[[#This Row],[Age Band Code]]&amp;"; "&amp;S4523&amp;AS[[#This Row],[Sex Code]]</f>
        <v xml:space="preserve">Insurer Code ; Reporting Year ; Insurance Category Code ; Large Provider Entity Code ; Age Band Code ; Sex Code </v>
      </c>
      <c r="N4523" s="345" t="s">
        <v>207</v>
      </c>
      <c r="O4523" s="345" t="s">
        <v>208</v>
      </c>
      <c r="P4523" s="345" t="s">
        <v>209</v>
      </c>
      <c r="Q4523" s="345" t="s">
        <v>210</v>
      </c>
      <c r="R4523" s="345" t="s">
        <v>223</v>
      </c>
      <c r="S4523" s="345" t="s">
        <v>224</v>
      </c>
    </row>
    <row r="4524" spans="1:19" x14ac:dyDescent="0.25">
      <c r="A4524" s="311"/>
      <c r="B4524" s="312"/>
      <c r="C4524" s="312"/>
      <c r="D4524" s="312"/>
      <c r="E4524" s="312"/>
      <c r="F4524" s="312"/>
      <c r="G4524" s="328"/>
      <c r="H4524" s="337"/>
      <c r="I4524" s="334"/>
      <c r="J4524" s="314"/>
      <c r="K4524" s="449"/>
      <c r="M4524" s="349" t="str">
        <f>N4524&amp;AS[[#This Row],[Insurer Code]]&amp;"; "&amp;O4524&amp;AS[[#This Row],[Reporting Year]]&amp;"; "&amp;P4524&amp;AS[[#This Row],[Insurance Category Code]]&amp;"; "&amp;Q4524&amp;AS[[#This Row],[Large Provider Entity Code]]&amp;"; "&amp;R4524&amp;AS[[#This Row],[Age Band Code]]&amp;"; "&amp;S4524&amp;AS[[#This Row],[Sex Code]]</f>
        <v xml:space="preserve">Insurer Code ; Reporting Year ; Insurance Category Code ; Large Provider Entity Code ; Age Band Code ; Sex Code </v>
      </c>
      <c r="N4524" s="345" t="s">
        <v>207</v>
      </c>
      <c r="O4524" s="345" t="s">
        <v>208</v>
      </c>
      <c r="P4524" s="345" t="s">
        <v>209</v>
      </c>
      <c r="Q4524" s="345" t="s">
        <v>210</v>
      </c>
      <c r="R4524" s="345" t="s">
        <v>223</v>
      </c>
      <c r="S4524" s="345" t="s">
        <v>224</v>
      </c>
    </row>
    <row r="4525" spans="1:19" x14ac:dyDescent="0.25">
      <c r="A4525" s="311"/>
      <c r="B4525" s="312"/>
      <c r="C4525" s="312"/>
      <c r="D4525" s="312"/>
      <c r="E4525" s="312"/>
      <c r="F4525" s="312"/>
      <c r="G4525" s="328"/>
      <c r="H4525" s="337"/>
      <c r="I4525" s="334"/>
      <c r="J4525" s="314"/>
      <c r="K4525" s="449"/>
      <c r="M4525" s="349" t="str">
        <f>N4525&amp;AS[[#This Row],[Insurer Code]]&amp;"; "&amp;O4525&amp;AS[[#This Row],[Reporting Year]]&amp;"; "&amp;P4525&amp;AS[[#This Row],[Insurance Category Code]]&amp;"; "&amp;Q4525&amp;AS[[#This Row],[Large Provider Entity Code]]&amp;"; "&amp;R4525&amp;AS[[#This Row],[Age Band Code]]&amp;"; "&amp;S4525&amp;AS[[#This Row],[Sex Code]]</f>
        <v xml:space="preserve">Insurer Code ; Reporting Year ; Insurance Category Code ; Large Provider Entity Code ; Age Band Code ; Sex Code </v>
      </c>
      <c r="N4525" s="345" t="s">
        <v>207</v>
      </c>
      <c r="O4525" s="345" t="s">
        <v>208</v>
      </c>
      <c r="P4525" s="345" t="s">
        <v>209</v>
      </c>
      <c r="Q4525" s="345" t="s">
        <v>210</v>
      </c>
      <c r="R4525" s="345" t="s">
        <v>223</v>
      </c>
      <c r="S4525" s="345" t="s">
        <v>224</v>
      </c>
    </row>
    <row r="4526" spans="1:19" x14ac:dyDescent="0.25">
      <c r="A4526" s="311"/>
      <c r="B4526" s="312"/>
      <c r="C4526" s="312"/>
      <c r="D4526" s="312"/>
      <c r="E4526" s="312"/>
      <c r="F4526" s="312"/>
      <c r="G4526" s="328"/>
      <c r="H4526" s="337"/>
      <c r="I4526" s="334"/>
      <c r="J4526" s="314"/>
      <c r="K4526" s="449"/>
      <c r="M4526" s="349" t="str">
        <f>N4526&amp;AS[[#This Row],[Insurer Code]]&amp;"; "&amp;O4526&amp;AS[[#This Row],[Reporting Year]]&amp;"; "&amp;P4526&amp;AS[[#This Row],[Insurance Category Code]]&amp;"; "&amp;Q4526&amp;AS[[#This Row],[Large Provider Entity Code]]&amp;"; "&amp;R4526&amp;AS[[#This Row],[Age Band Code]]&amp;"; "&amp;S4526&amp;AS[[#This Row],[Sex Code]]</f>
        <v xml:space="preserve">Insurer Code ; Reporting Year ; Insurance Category Code ; Large Provider Entity Code ; Age Band Code ; Sex Code </v>
      </c>
      <c r="N4526" s="345" t="s">
        <v>207</v>
      </c>
      <c r="O4526" s="345" t="s">
        <v>208</v>
      </c>
      <c r="P4526" s="345" t="s">
        <v>209</v>
      </c>
      <c r="Q4526" s="345" t="s">
        <v>210</v>
      </c>
      <c r="R4526" s="345" t="s">
        <v>223</v>
      </c>
      <c r="S4526" s="345" t="s">
        <v>224</v>
      </c>
    </row>
    <row r="4527" spans="1:19" x14ac:dyDescent="0.25">
      <c r="A4527" s="311"/>
      <c r="B4527" s="312"/>
      <c r="C4527" s="312"/>
      <c r="D4527" s="312"/>
      <c r="E4527" s="312"/>
      <c r="F4527" s="312"/>
      <c r="G4527" s="328"/>
      <c r="H4527" s="337"/>
      <c r="I4527" s="334"/>
      <c r="J4527" s="314"/>
      <c r="K4527" s="449"/>
      <c r="M4527" s="349" t="str">
        <f>N4527&amp;AS[[#This Row],[Insurer Code]]&amp;"; "&amp;O4527&amp;AS[[#This Row],[Reporting Year]]&amp;"; "&amp;P4527&amp;AS[[#This Row],[Insurance Category Code]]&amp;"; "&amp;Q4527&amp;AS[[#This Row],[Large Provider Entity Code]]&amp;"; "&amp;R4527&amp;AS[[#This Row],[Age Band Code]]&amp;"; "&amp;S4527&amp;AS[[#This Row],[Sex Code]]</f>
        <v xml:space="preserve">Insurer Code ; Reporting Year ; Insurance Category Code ; Large Provider Entity Code ; Age Band Code ; Sex Code </v>
      </c>
      <c r="N4527" s="345" t="s">
        <v>207</v>
      </c>
      <c r="O4527" s="345" t="s">
        <v>208</v>
      </c>
      <c r="P4527" s="345" t="s">
        <v>209</v>
      </c>
      <c r="Q4527" s="345" t="s">
        <v>210</v>
      </c>
      <c r="R4527" s="345" t="s">
        <v>223</v>
      </c>
      <c r="S4527" s="345" t="s">
        <v>224</v>
      </c>
    </row>
    <row r="4528" spans="1:19" x14ac:dyDescent="0.25">
      <c r="A4528" s="311"/>
      <c r="B4528" s="312"/>
      <c r="C4528" s="312"/>
      <c r="D4528" s="312"/>
      <c r="E4528" s="312"/>
      <c r="F4528" s="312"/>
      <c r="G4528" s="328"/>
      <c r="H4528" s="337"/>
      <c r="I4528" s="334"/>
      <c r="J4528" s="314"/>
      <c r="K4528" s="449"/>
      <c r="M4528" s="349" t="str">
        <f>N4528&amp;AS[[#This Row],[Insurer Code]]&amp;"; "&amp;O4528&amp;AS[[#This Row],[Reporting Year]]&amp;"; "&amp;P4528&amp;AS[[#This Row],[Insurance Category Code]]&amp;"; "&amp;Q4528&amp;AS[[#This Row],[Large Provider Entity Code]]&amp;"; "&amp;R4528&amp;AS[[#This Row],[Age Band Code]]&amp;"; "&amp;S4528&amp;AS[[#This Row],[Sex Code]]</f>
        <v xml:space="preserve">Insurer Code ; Reporting Year ; Insurance Category Code ; Large Provider Entity Code ; Age Band Code ; Sex Code </v>
      </c>
      <c r="N4528" s="345" t="s">
        <v>207</v>
      </c>
      <c r="O4528" s="345" t="s">
        <v>208</v>
      </c>
      <c r="P4528" s="345" t="s">
        <v>209</v>
      </c>
      <c r="Q4528" s="345" t="s">
        <v>210</v>
      </c>
      <c r="R4528" s="345" t="s">
        <v>223</v>
      </c>
      <c r="S4528" s="345" t="s">
        <v>224</v>
      </c>
    </row>
    <row r="4529" spans="1:19" x14ac:dyDescent="0.25">
      <c r="A4529" s="311"/>
      <c r="B4529" s="312"/>
      <c r="C4529" s="312"/>
      <c r="D4529" s="312"/>
      <c r="E4529" s="312"/>
      <c r="F4529" s="312"/>
      <c r="G4529" s="328"/>
      <c r="H4529" s="337"/>
      <c r="I4529" s="334"/>
      <c r="J4529" s="314"/>
      <c r="K4529" s="449"/>
      <c r="M4529" s="349" t="str">
        <f>N4529&amp;AS[[#This Row],[Insurer Code]]&amp;"; "&amp;O4529&amp;AS[[#This Row],[Reporting Year]]&amp;"; "&amp;P4529&amp;AS[[#This Row],[Insurance Category Code]]&amp;"; "&amp;Q4529&amp;AS[[#This Row],[Large Provider Entity Code]]&amp;"; "&amp;R4529&amp;AS[[#This Row],[Age Band Code]]&amp;"; "&amp;S4529&amp;AS[[#This Row],[Sex Code]]</f>
        <v xml:space="preserve">Insurer Code ; Reporting Year ; Insurance Category Code ; Large Provider Entity Code ; Age Band Code ; Sex Code </v>
      </c>
      <c r="N4529" s="345" t="s">
        <v>207</v>
      </c>
      <c r="O4529" s="345" t="s">
        <v>208</v>
      </c>
      <c r="P4529" s="345" t="s">
        <v>209</v>
      </c>
      <c r="Q4529" s="345" t="s">
        <v>210</v>
      </c>
      <c r="R4529" s="345" t="s">
        <v>223</v>
      </c>
      <c r="S4529" s="345" t="s">
        <v>224</v>
      </c>
    </row>
    <row r="4530" spans="1:19" x14ac:dyDescent="0.25">
      <c r="A4530" s="311"/>
      <c r="B4530" s="312"/>
      <c r="C4530" s="312"/>
      <c r="D4530" s="312"/>
      <c r="E4530" s="312"/>
      <c r="F4530" s="312"/>
      <c r="G4530" s="328"/>
      <c r="H4530" s="337"/>
      <c r="I4530" s="334"/>
      <c r="J4530" s="314"/>
      <c r="K4530" s="449"/>
      <c r="M4530" s="349" t="str">
        <f>N4530&amp;AS[[#This Row],[Insurer Code]]&amp;"; "&amp;O4530&amp;AS[[#This Row],[Reporting Year]]&amp;"; "&amp;P4530&amp;AS[[#This Row],[Insurance Category Code]]&amp;"; "&amp;Q4530&amp;AS[[#This Row],[Large Provider Entity Code]]&amp;"; "&amp;R4530&amp;AS[[#This Row],[Age Band Code]]&amp;"; "&amp;S4530&amp;AS[[#This Row],[Sex Code]]</f>
        <v xml:space="preserve">Insurer Code ; Reporting Year ; Insurance Category Code ; Large Provider Entity Code ; Age Band Code ; Sex Code </v>
      </c>
      <c r="N4530" s="345" t="s">
        <v>207</v>
      </c>
      <c r="O4530" s="345" t="s">
        <v>208</v>
      </c>
      <c r="P4530" s="345" t="s">
        <v>209</v>
      </c>
      <c r="Q4530" s="345" t="s">
        <v>210</v>
      </c>
      <c r="R4530" s="345" t="s">
        <v>223</v>
      </c>
      <c r="S4530" s="345" t="s">
        <v>224</v>
      </c>
    </row>
    <row r="4531" spans="1:19" x14ac:dyDescent="0.25">
      <c r="A4531" s="311"/>
      <c r="B4531" s="312"/>
      <c r="C4531" s="312"/>
      <c r="D4531" s="312"/>
      <c r="E4531" s="312"/>
      <c r="F4531" s="312"/>
      <c r="G4531" s="328"/>
      <c r="H4531" s="337"/>
      <c r="I4531" s="334"/>
      <c r="J4531" s="314"/>
      <c r="K4531" s="449"/>
      <c r="M4531" s="349" t="str">
        <f>N4531&amp;AS[[#This Row],[Insurer Code]]&amp;"; "&amp;O4531&amp;AS[[#This Row],[Reporting Year]]&amp;"; "&amp;P4531&amp;AS[[#This Row],[Insurance Category Code]]&amp;"; "&amp;Q4531&amp;AS[[#This Row],[Large Provider Entity Code]]&amp;"; "&amp;R4531&amp;AS[[#This Row],[Age Band Code]]&amp;"; "&amp;S4531&amp;AS[[#This Row],[Sex Code]]</f>
        <v xml:space="preserve">Insurer Code ; Reporting Year ; Insurance Category Code ; Large Provider Entity Code ; Age Band Code ; Sex Code </v>
      </c>
      <c r="N4531" s="345" t="s">
        <v>207</v>
      </c>
      <c r="O4531" s="345" t="s">
        <v>208</v>
      </c>
      <c r="P4531" s="345" t="s">
        <v>209</v>
      </c>
      <c r="Q4531" s="345" t="s">
        <v>210</v>
      </c>
      <c r="R4531" s="345" t="s">
        <v>223</v>
      </c>
      <c r="S4531" s="345" t="s">
        <v>224</v>
      </c>
    </row>
    <row r="4532" spans="1:19" x14ac:dyDescent="0.25">
      <c r="A4532" s="311"/>
      <c r="B4532" s="312"/>
      <c r="C4532" s="312"/>
      <c r="D4532" s="312"/>
      <c r="E4532" s="312"/>
      <c r="F4532" s="312"/>
      <c r="G4532" s="328"/>
      <c r="H4532" s="337"/>
      <c r="I4532" s="334"/>
      <c r="J4532" s="314"/>
      <c r="K4532" s="449"/>
      <c r="M4532" s="349" t="str">
        <f>N4532&amp;AS[[#This Row],[Insurer Code]]&amp;"; "&amp;O4532&amp;AS[[#This Row],[Reporting Year]]&amp;"; "&amp;P4532&amp;AS[[#This Row],[Insurance Category Code]]&amp;"; "&amp;Q4532&amp;AS[[#This Row],[Large Provider Entity Code]]&amp;"; "&amp;R4532&amp;AS[[#This Row],[Age Band Code]]&amp;"; "&amp;S4532&amp;AS[[#This Row],[Sex Code]]</f>
        <v xml:space="preserve">Insurer Code ; Reporting Year ; Insurance Category Code ; Large Provider Entity Code ; Age Band Code ; Sex Code </v>
      </c>
      <c r="N4532" s="345" t="s">
        <v>207</v>
      </c>
      <c r="O4532" s="345" t="s">
        <v>208</v>
      </c>
      <c r="P4532" s="345" t="s">
        <v>209</v>
      </c>
      <c r="Q4532" s="345" t="s">
        <v>210</v>
      </c>
      <c r="R4532" s="345" t="s">
        <v>223</v>
      </c>
      <c r="S4532" s="345" t="s">
        <v>224</v>
      </c>
    </row>
    <row r="4533" spans="1:19" x14ac:dyDescent="0.25">
      <c r="A4533" s="311"/>
      <c r="B4533" s="312"/>
      <c r="C4533" s="312"/>
      <c r="D4533" s="312"/>
      <c r="E4533" s="312"/>
      <c r="F4533" s="312"/>
      <c r="G4533" s="328"/>
      <c r="H4533" s="337"/>
      <c r="I4533" s="334"/>
      <c r="J4533" s="314"/>
      <c r="K4533" s="449"/>
      <c r="M4533" s="349" t="str">
        <f>N4533&amp;AS[[#This Row],[Insurer Code]]&amp;"; "&amp;O4533&amp;AS[[#This Row],[Reporting Year]]&amp;"; "&amp;P4533&amp;AS[[#This Row],[Insurance Category Code]]&amp;"; "&amp;Q4533&amp;AS[[#This Row],[Large Provider Entity Code]]&amp;"; "&amp;R4533&amp;AS[[#This Row],[Age Band Code]]&amp;"; "&amp;S4533&amp;AS[[#This Row],[Sex Code]]</f>
        <v xml:space="preserve">Insurer Code ; Reporting Year ; Insurance Category Code ; Large Provider Entity Code ; Age Band Code ; Sex Code </v>
      </c>
      <c r="N4533" s="345" t="s">
        <v>207</v>
      </c>
      <c r="O4533" s="345" t="s">
        <v>208</v>
      </c>
      <c r="P4533" s="345" t="s">
        <v>209</v>
      </c>
      <c r="Q4533" s="345" t="s">
        <v>210</v>
      </c>
      <c r="R4533" s="345" t="s">
        <v>223</v>
      </c>
      <c r="S4533" s="345" t="s">
        <v>224</v>
      </c>
    </row>
    <row r="4534" spans="1:19" x14ac:dyDescent="0.25">
      <c r="A4534" s="311"/>
      <c r="B4534" s="312"/>
      <c r="C4534" s="312"/>
      <c r="D4534" s="312"/>
      <c r="E4534" s="312"/>
      <c r="F4534" s="312"/>
      <c r="G4534" s="328"/>
      <c r="H4534" s="337"/>
      <c r="I4534" s="334"/>
      <c r="J4534" s="314"/>
      <c r="K4534" s="449"/>
      <c r="M4534" s="349" t="str">
        <f>N4534&amp;AS[[#This Row],[Insurer Code]]&amp;"; "&amp;O4534&amp;AS[[#This Row],[Reporting Year]]&amp;"; "&amp;P4534&amp;AS[[#This Row],[Insurance Category Code]]&amp;"; "&amp;Q4534&amp;AS[[#This Row],[Large Provider Entity Code]]&amp;"; "&amp;R4534&amp;AS[[#This Row],[Age Band Code]]&amp;"; "&amp;S4534&amp;AS[[#This Row],[Sex Code]]</f>
        <v xml:space="preserve">Insurer Code ; Reporting Year ; Insurance Category Code ; Large Provider Entity Code ; Age Band Code ; Sex Code </v>
      </c>
      <c r="N4534" s="345" t="s">
        <v>207</v>
      </c>
      <c r="O4534" s="345" t="s">
        <v>208</v>
      </c>
      <c r="P4534" s="345" t="s">
        <v>209</v>
      </c>
      <c r="Q4534" s="345" t="s">
        <v>210</v>
      </c>
      <c r="R4534" s="345" t="s">
        <v>223</v>
      </c>
      <c r="S4534" s="345" t="s">
        <v>224</v>
      </c>
    </row>
    <row r="4535" spans="1:19" x14ac:dyDescent="0.25">
      <c r="A4535" s="311"/>
      <c r="B4535" s="312"/>
      <c r="C4535" s="312"/>
      <c r="D4535" s="312"/>
      <c r="E4535" s="312"/>
      <c r="F4535" s="312"/>
      <c r="G4535" s="328"/>
      <c r="H4535" s="337"/>
      <c r="I4535" s="334"/>
      <c r="J4535" s="314"/>
      <c r="K4535" s="449"/>
      <c r="M4535" s="349" t="str">
        <f>N4535&amp;AS[[#This Row],[Insurer Code]]&amp;"; "&amp;O4535&amp;AS[[#This Row],[Reporting Year]]&amp;"; "&amp;P4535&amp;AS[[#This Row],[Insurance Category Code]]&amp;"; "&amp;Q4535&amp;AS[[#This Row],[Large Provider Entity Code]]&amp;"; "&amp;R4535&amp;AS[[#This Row],[Age Band Code]]&amp;"; "&amp;S4535&amp;AS[[#This Row],[Sex Code]]</f>
        <v xml:space="preserve">Insurer Code ; Reporting Year ; Insurance Category Code ; Large Provider Entity Code ; Age Band Code ; Sex Code </v>
      </c>
      <c r="N4535" s="345" t="s">
        <v>207</v>
      </c>
      <c r="O4535" s="345" t="s">
        <v>208</v>
      </c>
      <c r="P4535" s="345" t="s">
        <v>209</v>
      </c>
      <c r="Q4535" s="345" t="s">
        <v>210</v>
      </c>
      <c r="R4535" s="345" t="s">
        <v>223</v>
      </c>
      <c r="S4535" s="345" t="s">
        <v>224</v>
      </c>
    </row>
    <row r="4536" spans="1:19" x14ac:dyDescent="0.25">
      <c r="A4536" s="311"/>
      <c r="B4536" s="312"/>
      <c r="C4536" s="312"/>
      <c r="D4536" s="312"/>
      <c r="E4536" s="312"/>
      <c r="F4536" s="312"/>
      <c r="G4536" s="328"/>
      <c r="H4536" s="337"/>
      <c r="I4536" s="334"/>
      <c r="J4536" s="314"/>
      <c r="K4536" s="449"/>
      <c r="M4536" s="349" t="str">
        <f>N4536&amp;AS[[#This Row],[Insurer Code]]&amp;"; "&amp;O4536&amp;AS[[#This Row],[Reporting Year]]&amp;"; "&amp;P4536&amp;AS[[#This Row],[Insurance Category Code]]&amp;"; "&amp;Q4536&amp;AS[[#This Row],[Large Provider Entity Code]]&amp;"; "&amp;R4536&amp;AS[[#This Row],[Age Band Code]]&amp;"; "&amp;S4536&amp;AS[[#This Row],[Sex Code]]</f>
        <v xml:space="preserve">Insurer Code ; Reporting Year ; Insurance Category Code ; Large Provider Entity Code ; Age Band Code ; Sex Code </v>
      </c>
      <c r="N4536" s="345" t="s">
        <v>207</v>
      </c>
      <c r="O4536" s="345" t="s">
        <v>208</v>
      </c>
      <c r="P4536" s="345" t="s">
        <v>209</v>
      </c>
      <c r="Q4536" s="345" t="s">
        <v>210</v>
      </c>
      <c r="R4536" s="345" t="s">
        <v>223</v>
      </c>
      <c r="S4536" s="345" t="s">
        <v>224</v>
      </c>
    </row>
    <row r="4537" spans="1:19" x14ac:dyDescent="0.25">
      <c r="A4537" s="311"/>
      <c r="B4537" s="312"/>
      <c r="C4537" s="312"/>
      <c r="D4537" s="312"/>
      <c r="E4537" s="312"/>
      <c r="F4537" s="312"/>
      <c r="G4537" s="328"/>
      <c r="H4537" s="337"/>
      <c r="I4537" s="334"/>
      <c r="J4537" s="314"/>
      <c r="K4537" s="449"/>
      <c r="M4537" s="349" t="str">
        <f>N4537&amp;AS[[#This Row],[Insurer Code]]&amp;"; "&amp;O4537&amp;AS[[#This Row],[Reporting Year]]&amp;"; "&amp;P4537&amp;AS[[#This Row],[Insurance Category Code]]&amp;"; "&amp;Q4537&amp;AS[[#This Row],[Large Provider Entity Code]]&amp;"; "&amp;R4537&amp;AS[[#This Row],[Age Band Code]]&amp;"; "&amp;S4537&amp;AS[[#This Row],[Sex Code]]</f>
        <v xml:space="preserve">Insurer Code ; Reporting Year ; Insurance Category Code ; Large Provider Entity Code ; Age Band Code ; Sex Code </v>
      </c>
      <c r="N4537" s="345" t="s">
        <v>207</v>
      </c>
      <c r="O4537" s="345" t="s">
        <v>208</v>
      </c>
      <c r="P4537" s="345" t="s">
        <v>209</v>
      </c>
      <c r="Q4537" s="345" t="s">
        <v>210</v>
      </c>
      <c r="R4537" s="345" t="s">
        <v>223</v>
      </c>
      <c r="S4537" s="345" t="s">
        <v>224</v>
      </c>
    </row>
    <row r="4538" spans="1:19" x14ac:dyDescent="0.25">
      <c r="A4538" s="311"/>
      <c r="B4538" s="312"/>
      <c r="C4538" s="312"/>
      <c r="D4538" s="312"/>
      <c r="E4538" s="312"/>
      <c r="F4538" s="312"/>
      <c r="G4538" s="328"/>
      <c r="H4538" s="337"/>
      <c r="I4538" s="334"/>
      <c r="J4538" s="314"/>
      <c r="K4538" s="449"/>
      <c r="M4538" s="349" t="str">
        <f>N4538&amp;AS[[#This Row],[Insurer Code]]&amp;"; "&amp;O4538&amp;AS[[#This Row],[Reporting Year]]&amp;"; "&amp;P4538&amp;AS[[#This Row],[Insurance Category Code]]&amp;"; "&amp;Q4538&amp;AS[[#This Row],[Large Provider Entity Code]]&amp;"; "&amp;R4538&amp;AS[[#This Row],[Age Band Code]]&amp;"; "&amp;S4538&amp;AS[[#This Row],[Sex Code]]</f>
        <v xml:space="preserve">Insurer Code ; Reporting Year ; Insurance Category Code ; Large Provider Entity Code ; Age Band Code ; Sex Code </v>
      </c>
      <c r="N4538" s="345" t="s">
        <v>207</v>
      </c>
      <c r="O4538" s="345" t="s">
        <v>208</v>
      </c>
      <c r="P4538" s="345" t="s">
        <v>209</v>
      </c>
      <c r="Q4538" s="345" t="s">
        <v>210</v>
      </c>
      <c r="R4538" s="345" t="s">
        <v>223</v>
      </c>
      <c r="S4538" s="345" t="s">
        <v>224</v>
      </c>
    </row>
    <row r="4539" spans="1:19" x14ac:dyDescent="0.25">
      <c r="A4539" s="311"/>
      <c r="B4539" s="312"/>
      <c r="C4539" s="312"/>
      <c r="D4539" s="312"/>
      <c r="E4539" s="312"/>
      <c r="F4539" s="312"/>
      <c r="G4539" s="328"/>
      <c r="H4539" s="337"/>
      <c r="I4539" s="334"/>
      <c r="J4539" s="314"/>
      <c r="K4539" s="449"/>
      <c r="M4539" s="349" t="str">
        <f>N4539&amp;AS[[#This Row],[Insurer Code]]&amp;"; "&amp;O4539&amp;AS[[#This Row],[Reporting Year]]&amp;"; "&amp;P4539&amp;AS[[#This Row],[Insurance Category Code]]&amp;"; "&amp;Q4539&amp;AS[[#This Row],[Large Provider Entity Code]]&amp;"; "&amp;R4539&amp;AS[[#This Row],[Age Band Code]]&amp;"; "&amp;S4539&amp;AS[[#This Row],[Sex Code]]</f>
        <v xml:space="preserve">Insurer Code ; Reporting Year ; Insurance Category Code ; Large Provider Entity Code ; Age Band Code ; Sex Code </v>
      </c>
      <c r="N4539" s="345" t="s">
        <v>207</v>
      </c>
      <c r="O4539" s="345" t="s">
        <v>208</v>
      </c>
      <c r="P4539" s="345" t="s">
        <v>209</v>
      </c>
      <c r="Q4539" s="345" t="s">
        <v>210</v>
      </c>
      <c r="R4539" s="345" t="s">
        <v>223</v>
      </c>
      <c r="S4539" s="345" t="s">
        <v>224</v>
      </c>
    </row>
    <row r="4540" spans="1:19" x14ac:dyDescent="0.25">
      <c r="A4540" s="311"/>
      <c r="B4540" s="312"/>
      <c r="C4540" s="312"/>
      <c r="D4540" s="312"/>
      <c r="E4540" s="312"/>
      <c r="F4540" s="312"/>
      <c r="G4540" s="328"/>
      <c r="H4540" s="337"/>
      <c r="I4540" s="334"/>
      <c r="J4540" s="314"/>
      <c r="K4540" s="449"/>
      <c r="M4540" s="349" t="str">
        <f>N4540&amp;AS[[#This Row],[Insurer Code]]&amp;"; "&amp;O4540&amp;AS[[#This Row],[Reporting Year]]&amp;"; "&amp;P4540&amp;AS[[#This Row],[Insurance Category Code]]&amp;"; "&amp;Q4540&amp;AS[[#This Row],[Large Provider Entity Code]]&amp;"; "&amp;R4540&amp;AS[[#This Row],[Age Band Code]]&amp;"; "&amp;S4540&amp;AS[[#This Row],[Sex Code]]</f>
        <v xml:space="preserve">Insurer Code ; Reporting Year ; Insurance Category Code ; Large Provider Entity Code ; Age Band Code ; Sex Code </v>
      </c>
      <c r="N4540" s="345" t="s">
        <v>207</v>
      </c>
      <c r="O4540" s="345" t="s">
        <v>208</v>
      </c>
      <c r="P4540" s="345" t="s">
        <v>209</v>
      </c>
      <c r="Q4540" s="345" t="s">
        <v>210</v>
      </c>
      <c r="R4540" s="345" t="s">
        <v>223</v>
      </c>
      <c r="S4540" s="345" t="s">
        <v>224</v>
      </c>
    </row>
    <row r="4541" spans="1:19" x14ac:dyDescent="0.25">
      <c r="A4541" s="311"/>
      <c r="B4541" s="312"/>
      <c r="C4541" s="312"/>
      <c r="D4541" s="312"/>
      <c r="E4541" s="312"/>
      <c r="F4541" s="312"/>
      <c r="G4541" s="328"/>
      <c r="H4541" s="337"/>
      <c r="I4541" s="334"/>
      <c r="J4541" s="314"/>
      <c r="K4541" s="449"/>
      <c r="M4541" s="349" t="str">
        <f>N4541&amp;AS[[#This Row],[Insurer Code]]&amp;"; "&amp;O4541&amp;AS[[#This Row],[Reporting Year]]&amp;"; "&amp;P4541&amp;AS[[#This Row],[Insurance Category Code]]&amp;"; "&amp;Q4541&amp;AS[[#This Row],[Large Provider Entity Code]]&amp;"; "&amp;R4541&amp;AS[[#This Row],[Age Band Code]]&amp;"; "&amp;S4541&amp;AS[[#This Row],[Sex Code]]</f>
        <v xml:space="preserve">Insurer Code ; Reporting Year ; Insurance Category Code ; Large Provider Entity Code ; Age Band Code ; Sex Code </v>
      </c>
      <c r="N4541" s="345" t="s">
        <v>207</v>
      </c>
      <c r="O4541" s="345" t="s">
        <v>208</v>
      </c>
      <c r="P4541" s="345" t="s">
        <v>209</v>
      </c>
      <c r="Q4541" s="345" t="s">
        <v>210</v>
      </c>
      <c r="R4541" s="345" t="s">
        <v>223</v>
      </c>
      <c r="S4541" s="345" t="s">
        <v>224</v>
      </c>
    </row>
    <row r="4542" spans="1:19" x14ac:dyDescent="0.25">
      <c r="A4542" s="311"/>
      <c r="B4542" s="312"/>
      <c r="C4542" s="312"/>
      <c r="D4542" s="312"/>
      <c r="E4542" s="312"/>
      <c r="F4542" s="312"/>
      <c r="G4542" s="328"/>
      <c r="H4542" s="337"/>
      <c r="I4542" s="334"/>
      <c r="J4542" s="314"/>
      <c r="K4542" s="449"/>
      <c r="M4542" s="349" t="str">
        <f>N4542&amp;AS[[#This Row],[Insurer Code]]&amp;"; "&amp;O4542&amp;AS[[#This Row],[Reporting Year]]&amp;"; "&amp;P4542&amp;AS[[#This Row],[Insurance Category Code]]&amp;"; "&amp;Q4542&amp;AS[[#This Row],[Large Provider Entity Code]]&amp;"; "&amp;R4542&amp;AS[[#This Row],[Age Band Code]]&amp;"; "&amp;S4542&amp;AS[[#This Row],[Sex Code]]</f>
        <v xml:space="preserve">Insurer Code ; Reporting Year ; Insurance Category Code ; Large Provider Entity Code ; Age Band Code ; Sex Code </v>
      </c>
      <c r="N4542" s="345" t="s">
        <v>207</v>
      </c>
      <c r="O4542" s="345" t="s">
        <v>208</v>
      </c>
      <c r="P4542" s="345" t="s">
        <v>209</v>
      </c>
      <c r="Q4542" s="345" t="s">
        <v>210</v>
      </c>
      <c r="R4542" s="345" t="s">
        <v>223</v>
      </c>
      <c r="S4542" s="345" t="s">
        <v>224</v>
      </c>
    </row>
    <row r="4543" spans="1:19" x14ac:dyDescent="0.25">
      <c r="A4543" s="311"/>
      <c r="B4543" s="312"/>
      <c r="C4543" s="312"/>
      <c r="D4543" s="312"/>
      <c r="E4543" s="312"/>
      <c r="F4543" s="312"/>
      <c r="G4543" s="328"/>
      <c r="H4543" s="337"/>
      <c r="I4543" s="334"/>
      <c r="J4543" s="314"/>
      <c r="K4543" s="449"/>
      <c r="M4543" s="349" t="str">
        <f>N4543&amp;AS[[#This Row],[Insurer Code]]&amp;"; "&amp;O4543&amp;AS[[#This Row],[Reporting Year]]&amp;"; "&amp;P4543&amp;AS[[#This Row],[Insurance Category Code]]&amp;"; "&amp;Q4543&amp;AS[[#This Row],[Large Provider Entity Code]]&amp;"; "&amp;R4543&amp;AS[[#This Row],[Age Band Code]]&amp;"; "&amp;S4543&amp;AS[[#This Row],[Sex Code]]</f>
        <v xml:space="preserve">Insurer Code ; Reporting Year ; Insurance Category Code ; Large Provider Entity Code ; Age Band Code ; Sex Code </v>
      </c>
      <c r="N4543" s="345" t="s">
        <v>207</v>
      </c>
      <c r="O4543" s="345" t="s">
        <v>208</v>
      </c>
      <c r="P4543" s="345" t="s">
        <v>209</v>
      </c>
      <c r="Q4543" s="345" t="s">
        <v>210</v>
      </c>
      <c r="R4543" s="345" t="s">
        <v>223</v>
      </c>
      <c r="S4543" s="345" t="s">
        <v>224</v>
      </c>
    </row>
    <row r="4544" spans="1:19" x14ac:dyDescent="0.25">
      <c r="A4544" s="311"/>
      <c r="B4544" s="312"/>
      <c r="C4544" s="312"/>
      <c r="D4544" s="312"/>
      <c r="E4544" s="312"/>
      <c r="F4544" s="312"/>
      <c r="G4544" s="328"/>
      <c r="H4544" s="337"/>
      <c r="I4544" s="334"/>
      <c r="J4544" s="314"/>
      <c r="K4544" s="449"/>
      <c r="M4544" s="349" t="str">
        <f>N4544&amp;AS[[#This Row],[Insurer Code]]&amp;"; "&amp;O4544&amp;AS[[#This Row],[Reporting Year]]&amp;"; "&amp;P4544&amp;AS[[#This Row],[Insurance Category Code]]&amp;"; "&amp;Q4544&amp;AS[[#This Row],[Large Provider Entity Code]]&amp;"; "&amp;R4544&amp;AS[[#This Row],[Age Band Code]]&amp;"; "&amp;S4544&amp;AS[[#This Row],[Sex Code]]</f>
        <v xml:space="preserve">Insurer Code ; Reporting Year ; Insurance Category Code ; Large Provider Entity Code ; Age Band Code ; Sex Code </v>
      </c>
      <c r="N4544" s="345" t="s">
        <v>207</v>
      </c>
      <c r="O4544" s="345" t="s">
        <v>208</v>
      </c>
      <c r="P4544" s="345" t="s">
        <v>209</v>
      </c>
      <c r="Q4544" s="345" t="s">
        <v>210</v>
      </c>
      <c r="R4544" s="345" t="s">
        <v>223</v>
      </c>
      <c r="S4544" s="345" t="s">
        <v>224</v>
      </c>
    </row>
    <row r="4545" spans="1:19" x14ac:dyDescent="0.25">
      <c r="A4545" s="311"/>
      <c r="B4545" s="312"/>
      <c r="C4545" s="312"/>
      <c r="D4545" s="312"/>
      <c r="E4545" s="312"/>
      <c r="F4545" s="312"/>
      <c r="G4545" s="328"/>
      <c r="H4545" s="337"/>
      <c r="I4545" s="334"/>
      <c r="J4545" s="314"/>
      <c r="K4545" s="449"/>
      <c r="M4545" s="349" t="str">
        <f>N4545&amp;AS[[#This Row],[Insurer Code]]&amp;"; "&amp;O4545&amp;AS[[#This Row],[Reporting Year]]&amp;"; "&amp;P4545&amp;AS[[#This Row],[Insurance Category Code]]&amp;"; "&amp;Q4545&amp;AS[[#This Row],[Large Provider Entity Code]]&amp;"; "&amp;R4545&amp;AS[[#This Row],[Age Band Code]]&amp;"; "&amp;S4545&amp;AS[[#This Row],[Sex Code]]</f>
        <v xml:space="preserve">Insurer Code ; Reporting Year ; Insurance Category Code ; Large Provider Entity Code ; Age Band Code ; Sex Code </v>
      </c>
      <c r="N4545" s="345" t="s">
        <v>207</v>
      </c>
      <c r="O4545" s="345" t="s">
        <v>208</v>
      </c>
      <c r="P4545" s="345" t="s">
        <v>209</v>
      </c>
      <c r="Q4545" s="345" t="s">
        <v>210</v>
      </c>
      <c r="R4545" s="345" t="s">
        <v>223</v>
      </c>
      <c r="S4545" s="345" t="s">
        <v>224</v>
      </c>
    </row>
    <row r="4546" spans="1:19" x14ac:dyDescent="0.25">
      <c r="A4546" s="311"/>
      <c r="B4546" s="312"/>
      <c r="C4546" s="312"/>
      <c r="D4546" s="312"/>
      <c r="E4546" s="312"/>
      <c r="F4546" s="312"/>
      <c r="G4546" s="328"/>
      <c r="H4546" s="337"/>
      <c r="I4546" s="334"/>
      <c r="J4546" s="314"/>
      <c r="K4546" s="449"/>
      <c r="M4546" s="349" t="str">
        <f>N4546&amp;AS[[#This Row],[Insurer Code]]&amp;"; "&amp;O4546&amp;AS[[#This Row],[Reporting Year]]&amp;"; "&amp;P4546&amp;AS[[#This Row],[Insurance Category Code]]&amp;"; "&amp;Q4546&amp;AS[[#This Row],[Large Provider Entity Code]]&amp;"; "&amp;R4546&amp;AS[[#This Row],[Age Band Code]]&amp;"; "&amp;S4546&amp;AS[[#This Row],[Sex Code]]</f>
        <v xml:space="preserve">Insurer Code ; Reporting Year ; Insurance Category Code ; Large Provider Entity Code ; Age Band Code ; Sex Code </v>
      </c>
      <c r="N4546" s="345" t="s">
        <v>207</v>
      </c>
      <c r="O4546" s="345" t="s">
        <v>208</v>
      </c>
      <c r="P4546" s="345" t="s">
        <v>209</v>
      </c>
      <c r="Q4546" s="345" t="s">
        <v>210</v>
      </c>
      <c r="R4546" s="345" t="s">
        <v>223</v>
      </c>
      <c r="S4546" s="345" t="s">
        <v>224</v>
      </c>
    </row>
    <row r="4547" spans="1:19" x14ac:dyDescent="0.25">
      <c r="A4547" s="311"/>
      <c r="B4547" s="312"/>
      <c r="C4547" s="312"/>
      <c r="D4547" s="312"/>
      <c r="E4547" s="312"/>
      <c r="F4547" s="312"/>
      <c r="G4547" s="328"/>
      <c r="H4547" s="337"/>
      <c r="I4547" s="334"/>
      <c r="J4547" s="314"/>
      <c r="K4547" s="449"/>
      <c r="M4547" s="349" t="str">
        <f>N4547&amp;AS[[#This Row],[Insurer Code]]&amp;"; "&amp;O4547&amp;AS[[#This Row],[Reporting Year]]&amp;"; "&amp;P4547&amp;AS[[#This Row],[Insurance Category Code]]&amp;"; "&amp;Q4547&amp;AS[[#This Row],[Large Provider Entity Code]]&amp;"; "&amp;R4547&amp;AS[[#This Row],[Age Band Code]]&amp;"; "&amp;S4547&amp;AS[[#This Row],[Sex Code]]</f>
        <v xml:space="preserve">Insurer Code ; Reporting Year ; Insurance Category Code ; Large Provider Entity Code ; Age Band Code ; Sex Code </v>
      </c>
      <c r="N4547" s="345" t="s">
        <v>207</v>
      </c>
      <c r="O4547" s="345" t="s">
        <v>208</v>
      </c>
      <c r="P4547" s="345" t="s">
        <v>209</v>
      </c>
      <c r="Q4547" s="345" t="s">
        <v>210</v>
      </c>
      <c r="R4547" s="345" t="s">
        <v>223</v>
      </c>
      <c r="S4547" s="345" t="s">
        <v>224</v>
      </c>
    </row>
    <row r="4548" spans="1:19" x14ac:dyDescent="0.25">
      <c r="A4548" s="311"/>
      <c r="B4548" s="312"/>
      <c r="C4548" s="312"/>
      <c r="D4548" s="312"/>
      <c r="E4548" s="312"/>
      <c r="F4548" s="312"/>
      <c r="G4548" s="328"/>
      <c r="H4548" s="337"/>
      <c r="I4548" s="334"/>
      <c r="J4548" s="314"/>
      <c r="K4548" s="449"/>
      <c r="M4548" s="349" t="str">
        <f>N4548&amp;AS[[#This Row],[Insurer Code]]&amp;"; "&amp;O4548&amp;AS[[#This Row],[Reporting Year]]&amp;"; "&amp;P4548&amp;AS[[#This Row],[Insurance Category Code]]&amp;"; "&amp;Q4548&amp;AS[[#This Row],[Large Provider Entity Code]]&amp;"; "&amp;R4548&amp;AS[[#This Row],[Age Band Code]]&amp;"; "&amp;S4548&amp;AS[[#This Row],[Sex Code]]</f>
        <v xml:space="preserve">Insurer Code ; Reporting Year ; Insurance Category Code ; Large Provider Entity Code ; Age Band Code ; Sex Code </v>
      </c>
      <c r="N4548" s="345" t="s">
        <v>207</v>
      </c>
      <c r="O4548" s="345" t="s">
        <v>208</v>
      </c>
      <c r="P4548" s="345" t="s">
        <v>209</v>
      </c>
      <c r="Q4548" s="345" t="s">
        <v>210</v>
      </c>
      <c r="R4548" s="345" t="s">
        <v>223</v>
      </c>
      <c r="S4548" s="345" t="s">
        <v>224</v>
      </c>
    </row>
    <row r="4549" spans="1:19" x14ac:dyDescent="0.25">
      <c r="A4549" s="311"/>
      <c r="B4549" s="312"/>
      <c r="C4549" s="312"/>
      <c r="D4549" s="312"/>
      <c r="E4549" s="312"/>
      <c r="F4549" s="312"/>
      <c r="G4549" s="328"/>
      <c r="H4549" s="337"/>
      <c r="I4549" s="334"/>
      <c r="J4549" s="314"/>
      <c r="K4549" s="449"/>
      <c r="M4549" s="349" t="str">
        <f>N4549&amp;AS[[#This Row],[Insurer Code]]&amp;"; "&amp;O4549&amp;AS[[#This Row],[Reporting Year]]&amp;"; "&amp;P4549&amp;AS[[#This Row],[Insurance Category Code]]&amp;"; "&amp;Q4549&amp;AS[[#This Row],[Large Provider Entity Code]]&amp;"; "&amp;R4549&amp;AS[[#This Row],[Age Band Code]]&amp;"; "&amp;S4549&amp;AS[[#This Row],[Sex Code]]</f>
        <v xml:space="preserve">Insurer Code ; Reporting Year ; Insurance Category Code ; Large Provider Entity Code ; Age Band Code ; Sex Code </v>
      </c>
      <c r="N4549" s="345" t="s">
        <v>207</v>
      </c>
      <c r="O4549" s="345" t="s">
        <v>208</v>
      </c>
      <c r="P4549" s="345" t="s">
        <v>209</v>
      </c>
      <c r="Q4549" s="345" t="s">
        <v>210</v>
      </c>
      <c r="R4549" s="345" t="s">
        <v>223</v>
      </c>
      <c r="S4549" s="345" t="s">
        <v>224</v>
      </c>
    </row>
    <row r="4550" spans="1:19" x14ac:dyDescent="0.25">
      <c r="A4550" s="311"/>
      <c r="B4550" s="312"/>
      <c r="C4550" s="312"/>
      <c r="D4550" s="312"/>
      <c r="E4550" s="312"/>
      <c r="F4550" s="312"/>
      <c r="G4550" s="328"/>
      <c r="H4550" s="337"/>
      <c r="I4550" s="334"/>
      <c r="J4550" s="314"/>
      <c r="K4550" s="449"/>
      <c r="M4550" s="349" t="str">
        <f>N4550&amp;AS[[#This Row],[Insurer Code]]&amp;"; "&amp;O4550&amp;AS[[#This Row],[Reporting Year]]&amp;"; "&amp;P4550&amp;AS[[#This Row],[Insurance Category Code]]&amp;"; "&amp;Q4550&amp;AS[[#This Row],[Large Provider Entity Code]]&amp;"; "&amp;R4550&amp;AS[[#This Row],[Age Band Code]]&amp;"; "&amp;S4550&amp;AS[[#This Row],[Sex Code]]</f>
        <v xml:space="preserve">Insurer Code ; Reporting Year ; Insurance Category Code ; Large Provider Entity Code ; Age Band Code ; Sex Code </v>
      </c>
      <c r="N4550" s="345" t="s">
        <v>207</v>
      </c>
      <c r="O4550" s="345" t="s">
        <v>208</v>
      </c>
      <c r="P4550" s="345" t="s">
        <v>209</v>
      </c>
      <c r="Q4550" s="345" t="s">
        <v>210</v>
      </c>
      <c r="R4550" s="345" t="s">
        <v>223</v>
      </c>
      <c r="S4550" s="345" t="s">
        <v>224</v>
      </c>
    </row>
    <row r="4551" spans="1:19" x14ac:dyDescent="0.25">
      <c r="A4551" s="311"/>
      <c r="B4551" s="312"/>
      <c r="C4551" s="312"/>
      <c r="D4551" s="312"/>
      <c r="E4551" s="312"/>
      <c r="F4551" s="312"/>
      <c r="G4551" s="328"/>
      <c r="H4551" s="337"/>
      <c r="I4551" s="334"/>
      <c r="J4551" s="314"/>
      <c r="K4551" s="449"/>
      <c r="M4551" s="349" t="str">
        <f>N4551&amp;AS[[#This Row],[Insurer Code]]&amp;"; "&amp;O4551&amp;AS[[#This Row],[Reporting Year]]&amp;"; "&amp;P4551&amp;AS[[#This Row],[Insurance Category Code]]&amp;"; "&amp;Q4551&amp;AS[[#This Row],[Large Provider Entity Code]]&amp;"; "&amp;R4551&amp;AS[[#This Row],[Age Band Code]]&amp;"; "&amp;S4551&amp;AS[[#This Row],[Sex Code]]</f>
        <v xml:space="preserve">Insurer Code ; Reporting Year ; Insurance Category Code ; Large Provider Entity Code ; Age Band Code ; Sex Code </v>
      </c>
      <c r="N4551" s="345" t="s">
        <v>207</v>
      </c>
      <c r="O4551" s="345" t="s">
        <v>208</v>
      </c>
      <c r="P4551" s="345" t="s">
        <v>209</v>
      </c>
      <c r="Q4551" s="345" t="s">
        <v>210</v>
      </c>
      <c r="R4551" s="345" t="s">
        <v>223</v>
      </c>
      <c r="S4551" s="345" t="s">
        <v>224</v>
      </c>
    </row>
    <row r="4552" spans="1:19" x14ac:dyDescent="0.25">
      <c r="A4552" s="311"/>
      <c r="B4552" s="312"/>
      <c r="C4552" s="312"/>
      <c r="D4552" s="312"/>
      <c r="E4552" s="312"/>
      <c r="F4552" s="312"/>
      <c r="G4552" s="328"/>
      <c r="H4552" s="337"/>
      <c r="I4552" s="334"/>
      <c r="J4552" s="314"/>
      <c r="K4552" s="449"/>
      <c r="M4552" s="349" t="str">
        <f>N4552&amp;AS[[#This Row],[Insurer Code]]&amp;"; "&amp;O4552&amp;AS[[#This Row],[Reporting Year]]&amp;"; "&amp;P4552&amp;AS[[#This Row],[Insurance Category Code]]&amp;"; "&amp;Q4552&amp;AS[[#This Row],[Large Provider Entity Code]]&amp;"; "&amp;R4552&amp;AS[[#This Row],[Age Band Code]]&amp;"; "&amp;S4552&amp;AS[[#This Row],[Sex Code]]</f>
        <v xml:space="preserve">Insurer Code ; Reporting Year ; Insurance Category Code ; Large Provider Entity Code ; Age Band Code ; Sex Code </v>
      </c>
      <c r="N4552" s="345" t="s">
        <v>207</v>
      </c>
      <c r="O4552" s="345" t="s">
        <v>208</v>
      </c>
      <c r="P4552" s="345" t="s">
        <v>209</v>
      </c>
      <c r="Q4552" s="345" t="s">
        <v>210</v>
      </c>
      <c r="R4552" s="345" t="s">
        <v>223</v>
      </c>
      <c r="S4552" s="345" t="s">
        <v>224</v>
      </c>
    </row>
    <row r="4553" spans="1:19" x14ac:dyDescent="0.25">
      <c r="A4553" s="311"/>
      <c r="B4553" s="312"/>
      <c r="C4553" s="312"/>
      <c r="D4553" s="312"/>
      <c r="E4553" s="312"/>
      <c r="F4553" s="312"/>
      <c r="G4553" s="328"/>
      <c r="H4553" s="337"/>
      <c r="I4553" s="334"/>
      <c r="J4553" s="314"/>
      <c r="K4553" s="449"/>
      <c r="M4553" s="349" t="str">
        <f>N4553&amp;AS[[#This Row],[Insurer Code]]&amp;"; "&amp;O4553&amp;AS[[#This Row],[Reporting Year]]&amp;"; "&amp;P4553&amp;AS[[#This Row],[Insurance Category Code]]&amp;"; "&amp;Q4553&amp;AS[[#This Row],[Large Provider Entity Code]]&amp;"; "&amp;R4553&amp;AS[[#This Row],[Age Band Code]]&amp;"; "&amp;S4553&amp;AS[[#This Row],[Sex Code]]</f>
        <v xml:space="preserve">Insurer Code ; Reporting Year ; Insurance Category Code ; Large Provider Entity Code ; Age Band Code ; Sex Code </v>
      </c>
      <c r="N4553" s="345" t="s">
        <v>207</v>
      </c>
      <c r="O4553" s="345" t="s">
        <v>208</v>
      </c>
      <c r="P4553" s="345" t="s">
        <v>209</v>
      </c>
      <c r="Q4553" s="345" t="s">
        <v>210</v>
      </c>
      <c r="R4553" s="345" t="s">
        <v>223</v>
      </c>
      <c r="S4553" s="345" t="s">
        <v>224</v>
      </c>
    </row>
    <row r="4554" spans="1:19" x14ac:dyDescent="0.25">
      <c r="A4554" s="311"/>
      <c r="B4554" s="312"/>
      <c r="C4554" s="312"/>
      <c r="D4554" s="312"/>
      <c r="E4554" s="312"/>
      <c r="F4554" s="312"/>
      <c r="G4554" s="328"/>
      <c r="H4554" s="337"/>
      <c r="I4554" s="334"/>
      <c r="J4554" s="314"/>
      <c r="K4554" s="449"/>
      <c r="M4554" s="349" t="str">
        <f>N4554&amp;AS[[#This Row],[Insurer Code]]&amp;"; "&amp;O4554&amp;AS[[#This Row],[Reporting Year]]&amp;"; "&amp;P4554&amp;AS[[#This Row],[Insurance Category Code]]&amp;"; "&amp;Q4554&amp;AS[[#This Row],[Large Provider Entity Code]]&amp;"; "&amp;R4554&amp;AS[[#This Row],[Age Band Code]]&amp;"; "&amp;S4554&amp;AS[[#This Row],[Sex Code]]</f>
        <v xml:space="preserve">Insurer Code ; Reporting Year ; Insurance Category Code ; Large Provider Entity Code ; Age Band Code ; Sex Code </v>
      </c>
      <c r="N4554" s="345" t="s">
        <v>207</v>
      </c>
      <c r="O4554" s="345" t="s">
        <v>208</v>
      </c>
      <c r="P4554" s="345" t="s">
        <v>209</v>
      </c>
      <c r="Q4554" s="345" t="s">
        <v>210</v>
      </c>
      <c r="R4554" s="345" t="s">
        <v>223</v>
      </c>
      <c r="S4554" s="345" t="s">
        <v>224</v>
      </c>
    </row>
    <row r="4555" spans="1:19" x14ac:dyDescent="0.25">
      <c r="A4555" s="311"/>
      <c r="B4555" s="312"/>
      <c r="C4555" s="312"/>
      <c r="D4555" s="312"/>
      <c r="E4555" s="312"/>
      <c r="F4555" s="312"/>
      <c r="G4555" s="328"/>
      <c r="H4555" s="337"/>
      <c r="I4555" s="334"/>
      <c r="J4555" s="314"/>
      <c r="K4555" s="449"/>
      <c r="M4555" s="349" t="str">
        <f>N4555&amp;AS[[#This Row],[Insurer Code]]&amp;"; "&amp;O4555&amp;AS[[#This Row],[Reporting Year]]&amp;"; "&amp;P4555&amp;AS[[#This Row],[Insurance Category Code]]&amp;"; "&amp;Q4555&amp;AS[[#This Row],[Large Provider Entity Code]]&amp;"; "&amp;R4555&amp;AS[[#This Row],[Age Band Code]]&amp;"; "&amp;S4555&amp;AS[[#This Row],[Sex Code]]</f>
        <v xml:space="preserve">Insurer Code ; Reporting Year ; Insurance Category Code ; Large Provider Entity Code ; Age Band Code ; Sex Code </v>
      </c>
      <c r="N4555" s="345" t="s">
        <v>207</v>
      </c>
      <c r="O4555" s="345" t="s">
        <v>208</v>
      </c>
      <c r="P4555" s="345" t="s">
        <v>209</v>
      </c>
      <c r="Q4555" s="345" t="s">
        <v>210</v>
      </c>
      <c r="R4555" s="345" t="s">
        <v>223</v>
      </c>
      <c r="S4555" s="345" t="s">
        <v>224</v>
      </c>
    </row>
    <row r="4556" spans="1:19" x14ac:dyDescent="0.25">
      <c r="A4556" s="311"/>
      <c r="B4556" s="312"/>
      <c r="C4556" s="312"/>
      <c r="D4556" s="312"/>
      <c r="E4556" s="312"/>
      <c r="F4556" s="312"/>
      <c r="G4556" s="328"/>
      <c r="H4556" s="337"/>
      <c r="I4556" s="334"/>
      <c r="J4556" s="314"/>
      <c r="K4556" s="449"/>
      <c r="M4556" s="349" t="str">
        <f>N4556&amp;AS[[#This Row],[Insurer Code]]&amp;"; "&amp;O4556&amp;AS[[#This Row],[Reporting Year]]&amp;"; "&amp;P4556&amp;AS[[#This Row],[Insurance Category Code]]&amp;"; "&amp;Q4556&amp;AS[[#This Row],[Large Provider Entity Code]]&amp;"; "&amp;R4556&amp;AS[[#This Row],[Age Band Code]]&amp;"; "&amp;S4556&amp;AS[[#This Row],[Sex Code]]</f>
        <v xml:space="preserve">Insurer Code ; Reporting Year ; Insurance Category Code ; Large Provider Entity Code ; Age Band Code ; Sex Code </v>
      </c>
      <c r="N4556" s="345" t="s">
        <v>207</v>
      </c>
      <c r="O4556" s="345" t="s">
        <v>208</v>
      </c>
      <c r="P4556" s="345" t="s">
        <v>209</v>
      </c>
      <c r="Q4556" s="345" t="s">
        <v>210</v>
      </c>
      <c r="R4556" s="345" t="s">
        <v>223</v>
      </c>
      <c r="S4556" s="345" t="s">
        <v>224</v>
      </c>
    </row>
    <row r="4557" spans="1:19" x14ac:dyDescent="0.25">
      <c r="A4557" s="311"/>
      <c r="B4557" s="312"/>
      <c r="C4557" s="312"/>
      <c r="D4557" s="312"/>
      <c r="E4557" s="312"/>
      <c r="F4557" s="312"/>
      <c r="G4557" s="328"/>
      <c r="H4557" s="337"/>
      <c r="I4557" s="334"/>
      <c r="J4557" s="314"/>
      <c r="K4557" s="449"/>
      <c r="M4557" s="349" t="str">
        <f>N4557&amp;AS[[#This Row],[Insurer Code]]&amp;"; "&amp;O4557&amp;AS[[#This Row],[Reporting Year]]&amp;"; "&amp;P4557&amp;AS[[#This Row],[Insurance Category Code]]&amp;"; "&amp;Q4557&amp;AS[[#This Row],[Large Provider Entity Code]]&amp;"; "&amp;R4557&amp;AS[[#This Row],[Age Band Code]]&amp;"; "&amp;S4557&amp;AS[[#This Row],[Sex Code]]</f>
        <v xml:space="preserve">Insurer Code ; Reporting Year ; Insurance Category Code ; Large Provider Entity Code ; Age Band Code ; Sex Code </v>
      </c>
      <c r="N4557" s="345" t="s">
        <v>207</v>
      </c>
      <c r="O4557" s="345" t="s">
        <v>208</v>
      </c>
      <c r="P4557" s="345" t="s">
        <v>209</v>
      </c>
      <c r="Q4557" s="345" t="s">
        <v>210</v>
      </c>
      <c r="R4557" s="345" t="s">
        <v>223</v>
      </c>
      <c r="S4557" s="345" t="s">
        <v>224</v>
      </c>
    </row>
    <row r="4558" spans="1:19" x14ac:dyDescent="0.25">
      <c r="A4558" s="311"/>
      <c r="B4558" s="312"/>
      <c r="C4558" s="312"/>
      <c r="D4558" s="312"/>
      <c r="E4558" s="312"/>
      <c r="F4558" s="312"/>
      <c r="G4558" s="328"/>
      <c r="H4558" s="337"/>
      <c r="I4558" s="334"/>
      <c r="J4558" s="314"/>
      <c r="K4558" s="449"/>
      <c r="M4558" s="349" t="str">
        <f>N4558&amp;AS[[#This Row],[Insurer Code]]&amp;"; "&amp;O4558&amp;AS[[#This Row],[Reporting Year]]&amp;"; "&amp;P4558&amp;AS[[#This Row],[Insurance Category Code]]&amp;"; "&amp;Q4558&amp;AS[[#This Row],[Large Provider Entity Code]]&amp;"; "&amp;R4558&amp;AS[[#This Row],[Age Band Code]]&amp;"; "&amp;S4558&amp;AS[[#This Row],[Sex Code]]</f>
        <v xml:space="preserve">Insurer Code ; Reporting Year ; Insurance Category Code ; Large Provider Entity Code ; Age Band Code ; Sex Code </v>
      </c>
      <c r="N4558" s="345" t="s">
        <v>207</v>
      </c>
      <c r="O4558" s="345" t="s">
        <v>208</v>
      </c>
      <c r="P4558" s="345" t="s">
        <v>209</v>
      </c>
      <c r="Q4558" s="345" t="s">
        <v>210</v>
      </c>
      <c r="R4558" s="345" t="s">
        <v>223</v>
      </c>
      <c r="S4558" s="345" t="s">
        <v>224</v>
      </c>
    </row>
    <row r="4559" spans="1:19" x14ac:dyDescent="0.25">
      <c r="A4559" s="311"/>
      <c r="B4559" s="312"/>
      <c r="C4559" s="312"/>
      <c r="D4559" s="312"/>
      <c r="E4559" s="312"/>
      <c r="F4559" s="312"/>
      <c r="G4559" s="328"/>
      <c r="H4559" s="337"/>
      <c r="I4559" s="334"/>
      <c r="J4559" s="314"/>
      <c r="K4559" s="449"/>
      <c r="M4559" s="349" t="str">
        <f>N4559&amp;AS[[#This Row],[Insurer Code]]&amp;"; "&amp;O4559&amp;AS[[#This Row],[Reporting Year]]&amp;"; "&amp;P4559&amp;AS[[#This Row],[Insurance Category Code]]&amp;"; "&amp;Q4559&amp;AS[[#This Row],[Large Provider Entity Code]]&amp;"; "&amp;R4559&amp;AS[[#This Row],[Age Band Code]]&amp;"; "&amp;S4559&amp;AS[[#This Row],[Sex Code]]</f>
        <v xml:space="preserve">Insurer Code ; Reporting Year ; Insurance Category Code ; Large Provider Entity Code ; Age Band Code ; Sex Code </v>
      </c>
      <c r="N4559" s="345" t="s">
        <v>207</v>
      </c>
      <c r="O4559" s="345" t="s">
        <v>208</v>
      </c>
      <c r="P4559" s="345" t="s">
        <v>209</v>
      </c>
      <c r="Q4559" s="345" t="s">
        <v>210</v>
      </c>
      <c r="R4559" s="345" t="s">
        <v>223</v>
      </c>
      <c r="S4559" s="345" t="s">
        <v>224</v>
      </c>
    </row>
    <row r="4560" spans="1:19" x14ac:dyDescent="0.25">
      <c r="A4560" s="311"/>
      <c r="B4560" s="312"/>
      <c r="C4560" s="312"/>
      <c r="D4560" s="312"/>
      <c r="E4560" s="312"/>
      <c r="F4560" s="312"/>
      <c r="G4560" s="328"/>
      <c r="H4560" s="337"/>
      <c r="I4560" s="334"/>
      <c r="J4560" s="314"/>
      <c r="K4560" s="449"/>
      <c r="M4560" s="349" t="str">
        <f>N4560&amp;AS[[#This Row],[Insurer Code]]&amp;"; "&amp;O4560&amp;AS[[#This Row],[Reporting Year]]&amp;"; "&amp;P4560&amp;AS[[#This Row],[Insurance Category Code]]&amp;"; "&amp;Q4560&amp;AS[[#This Row],[Large Provider Entity Code]]&amp;"; "&amp;R4560&amp;AS[[#This Row],[Age Band Code]]&amp;"; "&amp;S4560&amp;AS[[#This Row],[Sex Code]]</f>
        <v xml:space="preserve">Insurer Code ; Reporting Year ; Insurance Category Code ; Large Provider Entity Code ; Age Band Code ; Sex Code </v>
      </c>
      <c r="N4560" s="345" t="s">
        <v>207</v>
      </c>
      <c r="O4560" s="345" t="s">
        <v>208</v>
      </c>
      <c r="P4560" s="345" t="s">
        <v>209</v>
      </c>
      <c r="Q4560" s="345" t="s">
        <v>210</v>
      </c>
      <c r="R4560" s="345" t="s">
        <v>223</v>
      </c>
      <c r="S4560" s="345" t="s">
        <v>224</v>
      </c>
    </row>
    <row r="4561" spans="1:19" x14ac:dyDescent="0.25">
      <c r="A4561" s="311"/>
      <c r="B4561" s="312"/>
      <c r="C4561" s="312"/>
      <c r="D4561" s="312"/>
      <c r="E4561" s="312"/>
      <c r="F4561" s="312"/>
      <c r="G4561" s="328"/>
      <c r="H4561" s="337"/>
      <c r="I4561" s="334"/>
      <c r="J4561" s="314"/>
      <c r="K4561" s="449"/>
      <c r="M4561" s="349" t="str">
        <f>N4561&amp;AS[[#This Row],[Insurer Code]]&amp;"; "&amp;O4561&amp;AS[[#This Row],[Reporting Year]]&amp;"; "&amp;P4561&amp;AS[[#This Row],[Insurance Category Code]]&amp;"; "&amp;Q4561&amp;AS[[#This Row],[Large Provider Entity Code]]&amp;"; "&amp;R4561&amp;AS[[#This Row],[Age Band Code]]&amp;"; "&amp;S4561&amp;AS[[#This Row],[Sex Code]]</f>
        <v xml:space="preserve">Insurer Code ; Reporting Year ; Insurance Category Code ; Large Provider Entity Code ; Age Band Code ; Sex Code </v>
      </c>
      <c r="N4561" s="345" t="s">
        <v>207</v>
      </c>
      <c r="O4561" s="345" t="s">
        <v>208</v>
      </c>
      <c r="P4561" s="345" t="s">
        <v>209</v>
      </c>
      <c r="Q4561" s="345" t="s">
        <v>210</v>
      </c>
      <c r="R4561" s="345" t="s">
        <v>223</v>
      </c>
      <c r="S4561" s="345" t="s">
        <v>224</v>
      </c>
    </row>
    <row r="4562" spans="1:19" x14ac:dyDescent="0.25">
      <c r="A4562" s="311"/>
      <c r="B4562" s="312"/>
      <c r="C4562" s="312"/>
      <c r="D4562" s="312"/>
      <c r="E4562" s="312"/>
      <c r="F4562" s="312"/>
      <c r="G4562" s="328"/>
      <c r="H4562" s="337"/>
      <c r="I4562" s="334"/>
      <c r="J4562" s="314"/>
      <c r="K4562" s="449"/>
      <c r="M4562" s="349" t="str">
        <f>N4562&amp;AS[[#This Row],[Insurer Code]]&amp;"; "&amp;O4562&amp;AS[[#This Row],[Reporting Year]]&amp;"; "&amp;P4562&amp;AS[[#This Row],[Insurance Category Code]]&amp;"; "&amp;Q4562&amp;AS[[#This Row],[Large Provider Entity Code]]&amp;"; "&amp;R4562&amp;AS[[#This Row],[Age Band Code]]&amp;"; "&amp;S4562&amp;AS[[#This Row],[Sex Code]]</f>
        <v xml:space="preserve">Insurer Code ; Reporting Year ; Insurance Category Code ; Large Provider Entity Code ; Age Band Code ; Sex Code </v>
      </c>
      <c r="N4562" s="345" t="s">
        <v>207</v>
      </c>
      <c r="O4562" s="345" t="s">
        <v>208</v>
      </c>
      <c r="P4562" s="345" t="s">
        <v>209</v>
      </c>
      <c r="Q4562" s="345" t="s">
        <v>210</v>
      </c>
      <c r="R4562" s="345" t="s">
        <v>223</v>
      </c>
      <c r="S4562" s="345" t="s">
        <v>224</v>
      </c>
    </row>
    <row r="4563" spans="1:19" x14ac:dyDescent="0.25">
      <c r="A4563" s="311"/>
      <c r="B4563" s="312"/>
      <c r="C4563" s="312"/>
      <c r="D4563" s="312"/>
      <c r="E4563" s="312"/>
      <c r="F4563" s="312"/>
      <c r="G4563" s="328"/>
      <c r="H4563" s="337"/>
      <c r="I4563" s="334"/>
      <c r="J4563" s="314"/>
      <c r="K4563" s="449"/>
      <c r="M4563" s="349" t="str">
        <f>N4563&amp;AS[[#This Row],[Insurer Code]]&amp;"; "&amp;O4563&amp;AS[[#This Row],[Reporting Year]]&amp;"; "&amp;P4563&amp;AS[[#This Row],[Insurance Category Code]]&amp;"; "&amp;Q4563&amp;AS[[#This Row],[Large Provider Entity Code]]&amp;"; "&amp;R4563&amp;AS[[#This Row],[Age Band Code]]&amp;"; "&amp;S4563&amp;AS[[#This Row],[Sex Code]]</f>
        <v xml:space="preserve">Insurer Code ; Reporting Year ; Insurance Category Code ; Large Provider Entity Code ; Age Band Code ; Sex Code </v>
      </c>
      <c r="N4563" s="345" t="s">
        <v>207</v>
      </c>
      <c r="O4563" s="345" t="s">
        <v>208</v>
      </c>
      <c r="P4563" s="345" t="s">
        <v>209</v>
      </c>
      <c r="Q4563" s="345" t="s">
        <v>210</v>
      </c>
      <c r="R4563" s="345" t="s">
        <v>223</v>
      </c>
      <c r="S4563" s="345" t="s">
        <v>224</v>
      </c>
    </row>
    <row r="4564" spans="1:19" x14ac:dyDescent="0.25">
      <c r="A4564" s="311"/>
      <c r="B4564" s="312"/>
      <c r="C4564" s="312"/>
      <c r="D4564" s="312"/>
      <c r="E4564" s="312"/>
      <c r="F4564" s="312"/>
      <c r="G4564" s="328"/>
      <c r="H4564" s="337"/>
      <c r="I4564" s="334"/>
      <c r="J4564" s="314"/>
      <c r="K4564" s="449"/>
      <c r="M4564" s="349" t="str">
        <f>N4564&amp;AS[[#This Row],[Insurer Code]]&amp;"; "&amp;O4564&amp;AS[[#This Row],[Reporting Year]]&amp;"; "&amp;P4564&amp;AS[[#This Row],[Insurance Category Code]]&amp;"; "&amp;Q4564&amp;AS[[#This Row],[Large Provider Entity Code]]&amp;"; "&amp;R4564&amp;AS[[#This Row],[Age Band Code]]&amp;"; "&amp;S4564&amp;AS[[#This Row],[Sex Code]]</f>
        <v xml:space="preserve">Insurer Code ; Reporting Year ; Insurance Category Code ; Large Provider Entity Code ; Age Band Code ; Sex Code </v>
      </c>
      <c r="N4564" s="345" t="s">
        <v>207</v>
      </c>
      <c r="O4564" s="345" t="s">
        <v>208</v>
      </c>
      <c r="P4564" s="345" t="s">
        <v>209</v>
      </c>
      <c r="Q4564" s="345" t="s">
        <v>210</v>
      </c>
      <c r="R4564" s="345" t="s">
        <v>223</v>
      </c>
      <c r="S4564" s="345" t="s">
        <v>224</v>
      </c>
    </row>
    <row r="4565" spans="1:19" x14ac:dyDescent="0.25">
      <c r="A4565" s="311"/>
      <c r="B4565" s="312"/>
      <c r="C4565" s="312"/>
      <c r="D4565" s="312"/>
      <c r="E4565" s="312"/>
      <c r="F4565" s="312"/>
      <c r="G4565" s="328"/>
      <c r="H4565" s="337"/>
      <c r="I4565" s="334"/>
      <c r="J4565" s="314"/>
      <c r="K4565" s="449"/>
      <c r="M4565" s="349" t="str">
        <f>N4565&amp;AS[[#This Row],[Insurer Code]]&amp;"; "&amp;O4565&amp;AS[[#This Row],[Reporting Year]]&amp;"; "&amp;P4565&amp;AS[[#This Row],[Insurance Category Code]]&amp;"; "&amp;Q4565&amp;AS[[#This Row],[Large Provider Entity Code]]&amp;"; "&amp;R4565&amp;AS[[#This Row],[Age Band Code]]&amp;"; "&amp;S4565&amp;AS[[#This Row],[Sex Code]]</f>
        <v xml:space="preserve">Insurer Code ; Reporting Year ; Insurance Category Code ; Large Provider Entity Code ; Age Band Code ; Sex Code </v>
      </c>
      <c r="N4565" s="345" t="s">
        <v>207</v>
      </c>
      <c r="O4565" s="345" t="s">
        <v>208</v>
      </c>
      <c r="P4565" s="345" t="s">
        <v>209</v>
      </c>
      <c r="Q4565" s="345" t="s">
        <v>210</v>
      </c>
      <c r="R4565" s="345" t="s">
        <v>223</v>
      </c>
      <c r="S4565" s="345" t="s">
        <v>224</v>
      </c>
    </row>
    <row r="4566" spans="1:19" x14ac:dyDescent="0.25">
      <c r="A4566" s="311"/>
      <c r="B4566" s="312"/>
      <c r="C4566" s="312"/>
      <c r="D4566" s="312"/>
      <c r="E4566" s="312"/>
      <c r="F4566" s="312"/>
      <c r="G4566" s="328"/>
      <c r="H4566" s="337"/>
      <c r="I4566" s="334"/>
      <c r="J4566" s="314"/>
      <c r="K4566" s="449"/>
      <c r="M4566" s="349" t="str">
        <f>N4566&amp;AS[[#This Row],[Insurer Code]]&amp;"; "&amp;O4566&amp;AS[[#This Row],[Reporting Year]]&amp;"; "&amp;P4566&amp;AS[[#This Row],[Insurance Category Code]]&amp;"; "&amp;Q4566&amp;AS[[#This Row],[Large Provider Entity Code]]&amp;"; "&amp;R4566&amp;AS[[#This Row],[Age Band Code]]&amp;"; "&amp;S4566&amp;AS[[#This Row],[Sex Code]]</f>
        <v xml:space="preserve">Insurer Code ; Reporting Year ; Insurance Category Code ; Large Provider Entity Code ; Age Band Code ; Sex Code </v>
      </c>
      <c r="N4566" s="345" t="s">
        <v>207</v>
      </c>
      <c r="O4566" s="345" t="s">
        <v>208</v>
      </c>
      <c r="P4566" s="345" t="s">
        <v>209</v>
      </c>
      <c r="Q4566" s="345" t="s">
        <v>210</v>
      </c>
      <c r="R4566" s="345" t="s">
        <v>223</v>
      </c>
      <c r="S4566" s="345" t="s">
        <v>224</v>
      </c>
    </row>
    <row r="4567" spans="1:19" x14ac:dyDescent="0.25">
      <c r="A4567" s="311"/>
      <c r="B4567" s="312"/>
      <c r="C4567" s="312"/>
      <c r="D4567" s="312"/>
      <c r="E4567" s="312"/>
      <c r="F4567" s="312"/>
      <c r="G4567" s="328"/>
      <c r="H4567" s="337"/>
      <c r="I4567" s="334"/>
      <c r="J4567" s="314"/>
      <c r="K4567" s="449"/>
      <c r="M4567" s="349" t="str">
        <f>N4567&amp;AS[[#This Row],[Insurer Code]]&amp;"; "&amp;O4567&amp;AS[[#This Row],[Reporting Year]]&amp;"; "&amp;P4567&amp;AS[[#This Row],[Insurance Category Code]]&amp;"; "&amp;Q4567&amp;AS[[#This Row],[Large Provider Entity Code]]&amp;"; "&amp;R4567&amp;AS[[#This Row],[Age Band Code]]&amp;"; "&amp;S4567&amp;AS[[#This Row],[Sex Code]]</f>
        <v xml:space="preserve">Insurer Code ; Reporting Year ; Insurance Category Code ; Large Provider Entity Code ; Age Band Code ; Sex Code </v>
      </c>
      <c r="N4567" s="345" t="s">
        <v>207</v>
      </c>
      <c r="O4567" s="345" t="s">
        <v>208</v>
      </c>
      <c r="P4567" s="345" t="s">
        <v>209</v>
      </c>
      <c r="Q4567" s="345" t="s">
        <v>210</v>
      </c>
      <c r="R4567" s="345" t="s">
        <v>223</v>
      </c>
      <c r="S4567" s="345" t="s">
        <v>224</v>
      </c>
    </row>
    <row r="4568" spans="1:19" x14ac:dyDescent="0.25">
      <c r="A4568" s="311"/>
      <c r="B4568" s="312"/>
      <c r="C4568" s="312"/>
      <c r="D4568" s="312"/>
      <c r="E4568" s="312"/>
      <c r="F4568" s="312"/>
      <c r="G4568" s="328"/>
      <c r="H4568" s="337"/>
      <c r="I4568" s="334"/>
      <c r="J4568" s="314"/>
      <c r="K4568" s="449"/>
      <c r="M4568" s="349" t="str">
        <f>N4568&amp;AS[[#This Row],[Insurer Code]]&amp;"; "&amp;O4568&amp;AS[[#This Row],[Reporting Year]]&amp;"; "&amp;P4568&amp;AS[[#This Row],[Insurance Category Code]]&amp;"; "&amp;Q4568&amp;AS[[#This Row],[Large Provider Entity Code]]&amp;"; "&amp;R4568&amp;AS[[#This Row],[Age Band Code]]&amp;"; "&amp;S4568&amp;AS[[#This Row],[Sex Code]]</f>
        <v xml:space="preserve">Insurer Code ; Reporting Year ; Insurance Category Code ; Large Provider Entity Code ; Age Band Code ; Sex Code </v>
      </c>
      <c r="N4568" s="345" t="s">
        <v>207</v>
      </c>
      <c r="O4568" s="345" t="s">
        <v>208</v>
      </c>
      <c r="P4568" s="345" t="s">
        <v>209</v>
      </c>
      <c r="Q4568" s="345" t="s">
        <v>210</v>
      </c>
      <c r="R4568" s="345" t="s">
        <v>223</v>
      </c>
      <c r="S4568" s="345" t="s">
        <v>224</v>
      </c>
    </row>
    <row r="4569" spans="1:19" x14ac:dyDescent="0.25">
      <c r="A4569" s="311"/>
      <c r="B4569" s="312"/>
      <c r="C4569" s="312"/>
      <c r="D4569" s="312"/>
      <c r="E4569" s="312"/>
      <c r="F4569" s="312"/>
      <c r="G4569" s="328"/>
      <c r="H4569" s="337"/>
      <c r="I4569" s="334"/>
      <c r="J4569" s="314"/>
      <c r="K4569" s="449"/>
      <c r="M4569" s="349" t="str">
        <f>N4569&amp;AS[[#This Row],[Insurer Code]]&amp;"; "&amp;O4569&amp;AS[[#This Row],[Reporting Year]]&amp;"; "&amp;P4569&amp;AS[[#This Row],[Insurance Category Code]]&amp;"; "&amp;Q4569&amp;AS[[#This Row],[Large Provider Entity Code]]&amp;"; "&amp;R4569&amp;AS[[#This Row],[Age Band Code]]&amp;"; "&amp;S4569&amp;AS[[#This Row],[Sex Code]]</f>
        <v xml:space="preserve">Insurer Code ; Reporting Year ; Insurance Category Code ; Large Provider Entity Code ; Age Band Code ; Sex Code </v>
      </c>
      <c r="N4569" s="345" t="s">
        <v>207</v>
      </c>
      <c r="O4569" s="345" t="s">
        <v>208</v>
      </c>
      <c r="P4569" s="345" t="s">
        <v>209</v>
      </c>
      <c r="Q4569" s="345" t="s">
        <v>210</v>
      </c>
      <c r="R4569" s="345" t="s">
        <v>223</v>
      </c>
      <c r="S4569" s="345" t="s">
        <v>224</v>
      </c>
    </row>
    <row r="4570" spans="1:19" x14ac:dyDescent="0.25">
      <c r="A4570" s="311"/>
      <c r="B4570" s="312"/>
      <c r="C4570" s="312"/>
      <c r="D4570" s="312"/>
      <c r="E4570" s="312"/>
      <c r="F4570" s="312"/>
      <c r="G4570" s="328"/>
      <c r="H4570" s="337"/>
      <c r="I4570" s="334"/>
      <c r="J4570" s="314"/>
      <c r="K4570" s="449"/>
      <c r="M4570" s="349" t="str">
        <f>N4570&amp;AS[[#This Row],[Insurer Code]]&amp;"; "&amp;O4570&amp;AS[[#This Row],[Reporting Year]]&amp;"; "&amp;P4570&amp;AS[[#This Row],[Insurance Category Code]]&amp;"; "&amp;Q4570&amp;AS[[#This Row],[Large Provider Entity Code]]&amp;"; "&amp;R4570&amp;AS[[#This Row],[Age Band Code]]&amp;"; "&amp;S4570&amp;AS[[#This Row],[Sex Code]]</f>
        <v xml:space="preserve">Insurer Code ; Reporting Year ; Insurance Category Code ; Large Provider Entity Code ; Age Band Code ; Sex Code </v>
      </c>
      <c r="N4570" s="345" t="s">
        <v>207</v>
      </c>
      <c r="O4570" s="345" t="s">
        <v>208</v>
      </c>
      <c r="P4570" s="345" t="s">
        <v>209</v>
      </c>
      <c r="Q4570" s="345" t="s">
        <v>210</v>
      </c>
      <c r="R4570" s="345" t="s">
        <v>223</v>
      </c>
      <c r="S4570" s="345" t="s">
        <v>224</v>
      </c>
    </row>
    <row r="4571" spans="1:19" x14ac:dyDescent="0.25">
      <c r="A4571" s="311"/>
      <c r="B4571" s="312"/>
      <c r="C4571" s="312"/>
      <c r="D4571" s="312"/>
      <c r="E4571" s="312"/>
      <c r="F4571" s="312"/>
      <c r="G4571" s="328"/>
      <c r="H4571" s="337"/>
      <c r="I4571" s="334"/>
      <c r="J4571" s="314"/>
      <c r="K4571" s="449"/>
      <c r="M4571" s="349" t="str">
        <f>N4571&amp;AS[[#This Row],[Insurer Code]]&amp;"; "&amp;O4571&amp;AS[[#This Row],[Reporting Year]]&amp;"; "&amp;P4571&amp;AS[[#This Row],[Insurance Category Code]]&amp;"; "&amp;Q4571&amp;AS[[#This Row],[Large Provider Entity Code]]&amp;"; "&amp;R4571&amp;AS[[#This Row],[Age Band Code]]&amp;"; "&amp;S4571&amp;AS[[#This Row],[Sex Code]]</f>
        <v xml:space="preserve">Insurer Code ; Reporting Year ; Insurance Category Code ; Large Provider Entity Code ; Age Band Code ; Sex Code </v>
      </c>
      <c r="N4571" s="345" t="s">
        <v>207</v>
      </c>
      <c r="O4571" s="345" t="s">
        <v>208</v>
      </c>
      <c r="P4571" s="345" t="s">
        <v>209</v>
      </c>
      <c r="Q4571" s="345" t="s">
        <v>210</v>
      </c>
      <c r="R4571" s="345" t="s">
        <v>223</v>
      </c>
      <c r="S4571" s="345" t="s">
        <v>224</v>
      </c>
    </row>
    <row r="4572" spans="1:19" x14ac:dyDescent="0.25">
      <c r="A4572" s="311"/>
      <c r="B4572" s="312"/>
      <c r="C4572" s="312"/>
      <c r="D4572" s="312"/>
      <c r="E4572" s="312"/>
      <c r="F4572" s="312"/>
      <c r="G4572" s="328"/>
      <c r="H4572" s="337"/>
      <c r="I4572" s="334"/>
      <c r="J4572" s="314"/>
      <c r="K4572" s="449"/>
      <c r="M4572" s="349" t="str">
        <f>N4572&amp;AS[[#This Row],[Insurer Code]]&amp;"; "&amp;O4572&amp;AS[[#This Row],[Reporting Year]]&amp;"; "&amp;P4572&amp;AS[[#This Row],[Insurance Category Code]]&amp;"; "&amp;Q4572&amp;AS[[#This Row],[Large Provider Entity Code]]&amp;"; "&amp;R4572&amp;AS[[#This Row],[Age Band Code]]&amp;"; "&amp;S4572&amp;AS[[#This Row],[Sex Code]]</f>
        <v xml:space="preserve">Insurer Code ; Reporting Year ; Insurance Category Code ; Large Provider Entity Code ; Age Band Code ; Sex Code </v>
      </c>
      <c r="N4572" s="345" t="s">
        <v>207</v>
      </c>
      <c r="O4572" s="345" t="s">
        <v>208</v>
      </c>
      <c r="P4572" s="345" t="s">
        <v>209</v>
      </c>
      <c r="Q4572" s="345" t="s">
        <v>210</v>
      </c>
      <c r="R4572" s="345" t="s">
        <v>223</v>
      </c>
      <c r="S4572" s="345" t="s">
        <v>224</v>
      </c>
    </row>
    <row r="4573" spans="1:19" x14ac:dyDescent="0.25">
      <c r="A4573" s="311"/>
      <c r="B4573" s="312"/>
      <c r="C4573" s="312"/>
      <c r="D4573" s="312"/>
      <c r="E4573" s="312"/>
      <c r="F4573" s="312"/>
      <c r="G4573" s="328"/>
      <c r="H4573" s="337"/>
      <c r="I4573" s="334"/>
      <c r="J4573" s="314"/>
      <c r="K4573" s="449"/>
      <c r="M4573" s="349" t="str">
        <f>N4573&amp;AS[[#This Row],[Insurer Code]]&amp;"; "&amp;O4573&amp;AS[[#This Row],[Reporting Year]]&amp;"; "&amp;P4573&amp;AS[[#This Row],[Insurance Category Code]]&amp;"; "&amp;Q4573&amp;AS[[#This Row],[Large Provider Entity Code]]&amp;"; "&amp;R4573&amp;AS[[#This Row],[Age Band Code]]&amp;"; "&amp;S4573&amp;AS[[#This Row],[Sex Code]]</f>
        <v xml:space="preserve">Insurer Code ; Reporting Year ; Insurance Category Code ; Large Provider Entity Code ; Age Band Code ; Sex Code </v>
      </c>
      <c r="N4573" s="345" t="s">
        <v>207</v>
      </c>
      <c r="O4573" s="345" t="s">
        <v>208</v>
      </c>
      <c r="P4573" s="345" t="s">
        <v>209</v>
      </c>
      <c r="Q4573" s="345" t="s">
        <v>210</v>
      </c>
      <c r="R4573" s="345" t="s">
        <v>223</v>
      </c>
      <c r="S4573" s="345" t="s">
        <v>224</v>
      </c>
    </row>
    <row r="4574" spans="1:19" x14ac:dyDescent="0.25">
      <c r="A4574" s="311"/>
      <c r="B4574" s="312"/>
      <c r="C4574" s="312"/>
      <c r="D4574" s="312"/>
      <c r="E4574" s="312"/>
      <c r="F4574" s="312"/>
      <c r="G4574" s="328"/>
      <c r="H4574" s="337"/>
      <c r="I4574" s="334"/>
      <c r="J4574" s="314"/>
      <c r="K4574" s="449"/>
      <c r="M4574" s="349" t="str">
        <f>N4574&amp;AS[[#This Row],[Insurer Code]]&amp;"; "&amp;O4574&amp;AS[[#This Row],[Reporting Year]]&amp;"; "&amp;P4574&amp;AS[[#This Row],[Insurance Category Code]]&amp;"; "&amp;Q4574&amp;AS[[#This Row],[Large Provider Entity Code]]&amp;"; "&amp;R4574&amp;AS[[#This Row],[Age Band Code]]&amp;"; "&amp;S4574&amp;AS[[#This Row],[Sex Code]]</f>
        <v xml:space="preserve">Insurer Code ; Reporting Year ; Insurance Category Code ; Large Provider Entity Code ; Age Band Code ; Sex Code </v>
      </c>
      <c r="N4574" s="345" t="s">
        <v>207</v>
      </c>
      <c r="O4574" s="345" t="s">
        <v>208</v>
      </c>
      <c r="P4574" s="345" t="s">
        <v>209</v>
      </c>
      <c r="Q4574" s="345" t="s">
        <v>210</v>
      </c>
      <c r="R4574" s="345" t="s">
        <v>223</v>
      </c>
      <c r="S4574" s="345" t="s">
        <v>224</v>
      </c>
    </row>
    <row r="4575" spans="1:19" x14ac:dyDescent="0.25">
      <c r="A4575" s="311"/>
      <c r="B4575" s="312"/>
      <c r="C4575" s="312"/>
      <c r="D4575" s="312"/>
      <c r="E4575" s="312"/>
      <c r="F4575" s="312"/>
      <c r="G4575" s="328"/>
      <c r="H4575" s="337"/>
      <c r="I4575" s="334"/>
      <c r="J4575" s="314"/>
      <c r="K4575" s="449"/>
      <c r="M4575" s="349" t="str">
        <f>N4575&amp;AS[[#This Row],[Insurer Code]]&amp;"; "&amp;O4575&amp;AS[[#This Row],[Reporting Year]]&amp;"; "&amp;P4575&amp;AS[[#This Row],[Insurance Category Code]]&amp;"; "&amp;Q4575&amp;AS[[#This Row],[Large Provider Entity Code]]&amp;"; "&amp;R4575&amp;AS[[#This Row],[Age Band Code]]&amp;"; "&amp;S4575&amp;AS[[#This Row],[Sex Code]]</f>
        <v xml:space="preserve">Insurer Code ; Reporting Year ; Insurance Category Code ; Large Provider Entity Code ; Age Band Code ; Sex Code </v>
      </c>
      <c r="N4575" s="345" t="s">
        <v>207</v>
      </c>
      <c r="O4575" s="345" t="s">
        <v>208</v>
      </c>
      <c r="P4575" s="345" t="s">
        <v>209</v>
      </c>
      <c r="Q4575" s="345" t="s">
        <v>210</v>
      </c>
      <c r="R4575" s="345" t="s">
        <v>223</v>
      </c>
      <c r="S4575" s="345" t="s">
        <v>224</v>
      </c>
    </row>
    <row r="4576" spans="1:19" x14ac:dyDescent="0.25">
      <c r="A4576" s="311"/>
      <c r="B4576" s="312"/>
      <c r="C4576" s="312"/>
      <c r="D4576" s="312"/>
      <c r="E4576" s="312"/>
      <c r="F4576" s="312"/>
      <c r="G4576" s="328"/>
      <c r="H4576" s="337"/>
      <c r="I4576" s="334"/>
      <c r="J4576" s="314"/>
      <c r="K4576" s="449"/>
      <c r="M4576" s="349" t="str">
        <f>N4576&amp;AS[[#This Row],[Insurer Code]]&amp;"; "&amp;O4576&amp;AS[[#This Row],[Reporting Year]]&amp;"; "&amp;P4576&amp;AS[[#This Row],[Insurance Category Code]]&amp;"; "&amp;Q4576&amp;AS[[#This Row],[Large Provider Entity Code]]&amp;"; "&amp;R4576&amp;AS[[#This Row],[Age Band Code]]&amp;"; "&amp;S4576&amp;AS[[#This Row],[Sex Code]]</f>
        <v xml:space="preserve">Insurer Code ; Reporting Year ; Insurance Category Code ; Large Provider Entity Code ; Age Band Code ; Sex Code </v>
      </c>
      <c r="N4576" s="345" t="s">
        <v>207</v>
      </c>
      <c r="O4576" s="345" t="s">
        <v>208</v>
      </c>
      <c r="P4576" s="345" t="s">
        <v>209</v>
      </c>
      <c r="Q4576" s="345" t="s">
        <v>210</v>
      </c>
      <c r="R4576" s="345" t="s">
        <v>223</v>
      </c>
      <c r="S4576" s="345" t="s">
        <v>224</v>
      </c>
    </row>
    <row r="4577" spans="1:19" x14ac:dyDescent="0.25">
      <c r="A4577" s="311"/>
      <c r="B4577" s="312"/>
      <c r="C4577" s="312"/>
      <c r="D4577" s="312"/>
      <c r="E4577" s="312"/>
      <c r="F4577" s="312"/>
      <c r="G4577" s="328"/>
      <c r="H4577" s="337"/>
      <c r="I4577" s="334"/>
      <c r="J4577" s="314"/>
      <c r="K4577" s="449"/>
      <c r="M4577" s="349" t="str">
        <f>N4577&amp;AS[[#This Row],[Insurer Code]]&amp;"; "&amp;O4577&amp;AS[[#This Row],[Reporting Year]]&amp;"; "&amp;P4577&amp;AS[[#This Row],[Insurance Category Code]]&amp;"; "&amp;Q4577&amp;AS[[#This Row],[Large Provider Entity Code]]&amp;"; "&amp;R4577&amp;AS[[#This Row],[Age Band Code]]&amp;"; "&amp;S4577&amp;AS[[#This Row],[Sex Code]]</f>
        <v xml:space="preserve">Insurer Code ; Reporting Year ; Insurance Category Code ; Large Provider Entity Code ; Age Band Code ; Sex Code </v>
      </c>
      <c r="N4577" s="345" t="s">
        <v>207</v>
      </c>
      <c r="O4577" s="345" t="s">
        <v>208</v>
      </c>
      <c r="P4577" s="345" t="s">
        <v>209</v>
      </c>
      <c r="Q4577" s="345" t="s">
        <v>210</v>
      </c>
      <c r="R4577" s="345" t="s">
        <v>223</v>
      </c>
      <c r="S4577" s="345" t="s">
        <v>224</v>
      </c>
    </row>
    <row r="4578" spans="1:19" x14ac:dyDescent="0.25">
      <c r="A4578" s="311"/>
      <c r="B4578" s="312"/>
      <c r="C4578" s="312"/>
      <c r="D4578" s="312"/>
      <c r="E4578" s="312"/>
      <c r="F4578" s="312"/>
      <c r="G4578" s="328"/>
      <c r="H4578" s="337"/>
      <c r="I4578" s="334"/>
      <c r="J4578" s="314"/>
      <c r="K4578" s="449"/>
      <c r="M4578" s="349" t="str">
        <f>N4578&amp;AS[[#This Row],[Insurer Code]]&amp;"; "&amp;O4578&amp;AS[[#This Row],[Reporting Year]]&amp;"; "&amp;P4578&amp;AS[[#This Row],[Insurance Category Code]]&amp;"; "&amp;Q4578&amp;AS[[#This Row],[Large Provider Entity Code]]&amp;"; "&amp;R4578&amp;AS[[#This Row],[Age Band Code]]&amp;"; "&amp;S4578&amp;AS[[#This Row],[Sex Code]]</f>
        <v xml:space="preserve">Insurer Code ; Reporting Year ; Insurance Category Code ; Large Provider Entity Code ; Age Band Code ; Sex Code </v>
      </c>
      <c r="N4578" s="345" t="s">
        <v>207</v>
      </c>
      <c r="O4578" s="345" t="s">
        <v>208</v>
      </c>
      <c r="P4578" s="345" t="s">
        <v>209</v>
      </c>
      <c r="Q4578" s="345" t="s">
        <v>210</v>
      </c>
      <c r="R4578" s="345" t="s">
        <v>223</v>
      </c>
      <c r="S4578" s="345" t="s">
        <v>224</v>
      </c>
    </row>
    <row r="4579" spans="1:19" x14ac:dyDescent="0.25">
      <c r="A4579" s="311"/>
      <c r="B4579" s="312"/>
      <c r="C4579" s="312"/>
      <c r="D4579" s="312"/>
      <c r="E4579" s="312"/>
      <c r="F4579" s="312"/>
      <c r="G4579" s="328"/>
      <c r="H4579" s="337"/>
      <c r="I4579" s="334"/>
      <c r="J4579" s="314"/>
      <c r="K4579" s="449"/>
      <c r="M4579" s="349" t="str">
        <f>N4579&amp;AS[[#This Row],[Insurer Code]]&amp;"; "&amp;O4579&amp;AS[[#This Row],[Reporting Year]]&amp;"; "&amp;P4579&amp;AS[[#This Row],[Insurance Category Code]]&amp;"; "&amp;Q4579&amp;AS[[#This Row],[Large Provider Entity Code]]&amp;"; "&amp;R4579&amp;AS[[#This Row],[Age Band Code]]&amp;"; "&amp;S4579&amp;AS[[#This Row],[Sex Code]]</f>
        <v xml:space="preserve">Insurer Code ; Reporting Year ; Insurance Category Code ; Large Provider Entity Code ; Age Band Code ; Sex Code </v>
      </c>
      <c r="N4579" s="345" t="s">
        <v>207</v>
      </c>
      <c r="O4579" s="345" t="s">
        <v>208</v>
      </c>
      <c r="P4579" s="345" t="s">
        <v>209</v>
      </c>
      <c r="Q4579" s="345" t="s">
        <v>210</v>
      </c>
      <c r="R4579" s="345" t="s">
        <v>223</v>
      </c>
      <c r="S4579" s="345" t="s">
        <v>224</v>
      </c>
    </row>
    <row r="4580" spans="1:19" x14ac:dyDescent="0.25">
      <c r="A4580" s="311"/>
      <c r="B4580" s="312"/>
      <c r="C4580" s="312"/>
      <c r="D4580" s="312"/>
      <c r="E4580" s="312"/>
      <c r="F4580" s="312"/>
      <c r="G4580" s="328"/>
      <c r="H4580" s="337"/>
      <c r="I4580" s="334"/>
      <c r="J4580" s="314"/>
      <c r="K4580" s="449"/>
      <c r="M4580" s="349" t="str">
        <f>N4580&amp;AS[[#This Row],[Insurer Code]]&amp;"; "&amp;O4580&amp;AS[[#This Row],[Reporting Year]]&amp;"; "&amp;P4580&amp;AS[[#This Row],[Insurance Category Code]]&amp;"; "&amp;Q4580&amp;AS[[#This Row],[Large Provider Entity Code]]&amp;"; "&amp;R4580&amp;AS[[#This Row],[Age Band Code]]&amp;"; "&amp;S4580&amp;AS[[#This Row],[Sex Code]]</f>
        <v xml:space="preserve">Insurer Code ; Reporting Year ; Insurance Category Code ; Large Provider Entity Code ; Age Band Code ; Sex Code </v>
      </c>
      <c r="N4580" s="345" t="s">
        <v>207</v>
      </c>
      <c r="O4580" s="345" t="s">
        <v>208</v>
      </c>
      <c r="P4580" s="345" t="s">
        <v>209</v>
      </c>
      <c r="Q4580" s="345" t="s">
        <v>210</v>
      </c>
      <c r="R4580" s="345" t="s">
        <v>223</v>
      </c>
      <c r="S4580" s="345" t="s">
        <v>224</v>
      </c>
    </row>
    <row r="4581" spans="1:19" x14ac:dyDescent="0.25">
      <c r="A4581" s="311"/>
      <c r="B4581" s="312"/>
      <c r="C4581" s="312"/>
      <c r="D4581" s="312"/>
      <c r="E4581" s="312"/>
      <c r="F4581" s="312"/>
      <c r="G4581" s="328"/>
      <c r="H4581" s="337"/>
      <c r="I4581" s="334"/>
      <c r="J4581" s="314"/>
      <c r="K4581" s="449"/>
      <c r="M4581" s="349" t="str">
        <f>N4581&amp;AS[[#This Row],[Insurer Code]]&amp;"; "&amp;O4581&amp;AS[[#This Row],[Reporting Year]]&amp;"; "&amp;P4581&amp;AS[[#This Row],[Insurance Category Code]]&amp;"; "&amp;Q4581&amp;AS[[#This Row],[Large Provider Entity Code]]&amp;"; "&amp;R4581&amp;AS[[#This Row],[Age Band Code]]&amp;"; "&amp;S4581&amp;AS[[#This Row],[Sex Code]]</f>
        <v xml:space="preserve">Insurer Code ; Reporting Year ; Insurance Category Code ; Large Provider Entity Code ; Age Band Code ; Sex Code </v>
      </c>
      <c r="N4581" s="345" t="s">
        <v>207</v>
      </c>
      <c r="O4581" s="345" t="s">
        <v>208</v>
      </c>
      <c r="P4581" s="345" t="s">
        <v>209</v>
      </c>
      <c r="Q4581" s="345" t="s">
        <v>210</v>
      </c>
      <c r="R4581" s="345" t="s">
        <v>223</v>
      </c>
      <c r="S4581" s="345" t="s">
        <v>224</v>
      </c>
    </row>
    <row r="4582" spans="1:19" x14ac:dyDescent="0.25">
      <c r="A4582" s="311"/>
      <c r="B4582" s="312"/>
      <c r="C4582" s="312"/>
      <c r="D4582" s="312"/>
      <c r="E4582" s="312"/>
      <c r="F4582" s="312"/>
      <c r="G4582" s="328"/>
      <c r="H4582" s="337"/>
      <c r="I4582" s="334"/>
      <c r="J4582" s="314"/>
      <c r="K4582" s="449"/>
      <c r="M4582" s="349" t="str">
        <f>N4582&amp;AS[[#This Row],[Insurer Code]]&amp;"; "&amp;O4582&amp;AS[[#This Row],[Reporting Year]]&amp;"; "&amp;P4582&amp;AS[[#This Row],[Insurance Category Code]]&amp;"; "&amp;Q4582&amp;AS[[#This Row],[Large Provider Entity Code]]&amp;"; "&amp;R4582&amp;AS[[#This Row],[Age Band Code]]&amp;"; "&amp;S4582&amp;AS[[#This Row],[Sex Code]]</f>
        <v xml:space="preserve">Insurer Code ; Reporting Year ; Insurance Category Code ; Large Provider Entity Code ; Age Band Code ; Sex Code </v>
      </c>
      <c r="N4582" s="345" t="s">
        <v>207</v>
      </c>
      <c r="O4582" s="345" t="s">
        <v>208</v>
      </c>
      <c r="P4582" s="345" t="s">
        <v>209</v>
      </c>
      <c r="Q4582" s="345" t="s">
        <v>210</v>
      </c>
      <c r="R4582" s="345" t="s">
        <v>223</v>
      </c>
      <c r="S4582" s="345" t="s">
        <v>224</v>
      </c>
    </row>
    <row r="4583" spans="1:19" x14ac:dyDescent="0.25">
      <c r="A4583" s="311"/>
      <c r="B4583" s="312"/>
      <c r="C4583" s="312"/>
      <c r="D4583" s="312"/>
      <c r="E4583" s="312"/>
      <c r="F4583" s="312"/>
      <c r="G4583" s="328"/>
      <c r="H4583" s="337"/>
      <c r="I4583" s="334"/>
      <c r="J4583" s="314"/>
      <c r="K4583" s="449"/>
      <c r="M4583" s="349" t="str">
        <f>N4583&amp;AS[[#This Row],[Insurer Code]]&amp;"; "&amp;O4583&amp;AS[[#This Row],[Reporting Year]]&amp;"; "&amp;P4583&amp;AS[[#This Row],[Insurance Category Code]]&amp;"; "&amp;Q4583&amp;AS[[#This Row],[Large Provider Entity Code]]&amp;"; "&amp;R4583&amp;AS[[#This Row],[Age Band Code]]&amp;"; "&amp;S4583&amp;AS[[#This Row],[Sex Code]]</f>
        <v xml:space="preserve">Insurer Code ; Reporting Year ; Insurance Category Code ; Large Provider Entity Code ; Age Band Code ; Sex Code </v>
      </c>
      <c r="N4583" s="345" t="s">
        <v>207</v>
      </c>
      <c r="O4583" s="345" t="s">
        <v>208</v>
      </c>
      <c r="P4583" s="345" t="s">
        <v>209</v>
      </c>
      <c r="Q4583" s="345" t="s">
        <v>210</v>
      </c>
      <c r="R4583" s="345" t="s">
        <v>223</v>
      </c>
      <c r="S4583" s="345" t="s">
        <v>224</v>
      </c>
    </row>
    <row r="4584" spans="1:19" x14ac:dyDescent="0.25">
      <c r="A4584" s="311"/>
      <c r="B4584" s="312"/>
      <c r="C4584" s="312"/>
      <c r="D4584" s="312"/>
      <c r="E4584" s="312"/>
      <c r="F4584" s="312"/>
      <c r="G4584" s="328"/>
      <c r="H4584" s="337"/>
      <c r="I4584" s="334"/>
      <c r="J4584" s="314"/>
      <c r="K4584" s="449"/>
      <c r="M4584" s="349" t="str">
        <f>N4584&amp;AS[[#This Row],[Insurer Code]]&amp;"; "&amp;O4584&amp;AS[[#This Row],[Reporting Year]]&amp;"; "&amp;P4584&amp;AS[[#This Row],[Insurance Category Code]]&amp;"; "&amp;Q4584&amp;AS[[#This Row],[Large Provider Entity Code]]&amp;"; "&amp;R4584&amp;AS[[#This Row],[Age Band Code]]&amp;"; "&amp;S4584&amp;AS[[#This Row],[Sex Code]]</f>
        <v xml:space="preserve">Insurer Code ; Reporting Year ; Insurance Category Code ; Large Provider Entity Code ; Age Band Code ; Sex Code </v>
      </c>
      <c r="N4584" s="345" t="s">
        <v>207</v>
      </c>
      <c r="O4584" s="345" t="s">
        <v>208</v>
      </c>
      <c r="P4584" s="345" t="s">
        <v>209</v>
      </c>
      <c r="Q4584" s="345" t="s">
        <v>210</v>
      </c>
      <c r="R4584" s="345" t="s">
        <v>223</v>
      </c>
      <c r="S4584" s="345" t="s">
        <v>224</v>
      </c>
    </row>
    <row r="4585" spans="1:19" x14ac:dyDescent="0.25">
      <c r="A4585" s="311"/>
      <c r="B4585" s="312"/>
      <c r="C4585" s="312"/>
      <c r="D4585" s="312"/>
      <c r="E4585" s="312"/>
      <c r="F4585" s="312"/>
      <c r="G4585" s="328"/>
      <c r="H4585" s="337"/>
      <c r="I4585" s="334"/>
      <c r="J4585" s="314"/>
      <c r="K4585" s="449"/>
      <c r="M4585" s="349" t="str">
        <f>N4585&amp;AS[[#This Row],[Insurer Code]]&amp;"; "&amp;O4585&amp;AS[[#This Row],[Reporting Year]]&amp;"; "&amp;P4585&amp;AS[[#This Row],[Insurance Category Code]]&amp;"; "&amp;Q4585&amp;AS[[#This Row],[Large Provider Entity Code]]&amp;"; "&amp;R4585&amp;AS[[#This Row],[Age Band Code]]&amp;"; "&amp;S4585&amp;AS[[#This Row],[Sex Code]]</f>
        <v xml:space="preserve">Insurer Code ; Reporting Year ; Insurance Category Code ; Large Provider Entity Code ; Age Band Code ; Sex Code </v>
      </c>
      <c r="N4585" s="345" t="s">
        <v>207</v>
      </c>
      <c r="O4585" s="345" t="s">
        <v>208</v>
      </c>
      <c r="P4585" s="345" t="s">
        <v>209</v>
      </c>
      <c r="Q4585" s="345" t="s">
        <v>210</v>
      </c>
      <c r="R4585" s="345" t="s">
        <v>223</v>
      </c>
      <c r="S4585" s="345" t="s">
        <v>224</v>
      </c>
    </row>
    <row r="4586" spans="1:19" x14ac:dyDescent="0.25">
      <c r="A4586" s="311"/>
      <c r="B4586" s="312"/>
      <c r="C4586" s="312"/>
      <c r="D4586" s="312"/>
      <c r="E4586" s="312"/>
      <c r="F4586" s="312"/>
      <c r="G4586" s="328"/>
      <c r="H4586" s="337"/>
      <c r="I4586" s="334"/>
      <c r="J4586" s="314"/>
      <c r="K4586" s="449"/>
      <c r="M4586" s="349" t="str">
        <f>N4586&amp;AS[[#This Row],[Insurer Code]]&amp;"; "&amp;O4586&amp;AS[[#This Row],[Reporting Year]]&amp;"; "&amp;P4586&amp;AS[[#This Row],[Insurance Category Code]]&amp;"; "&amp;Q4586&amp;AS[[#This Row],[Large Provider Entity Code]]&amp;"; "&amp;R4586&amp;AS[[#This Row],[Age Band Code]]&amp;"; "&amp;S4586&amp;AS[[#This Row],[Sex Code]]</f>
        <v xml:space="preserve">Insurer Code ; Reporting Year ; Insurance Category Code ; Large Provider Entity Code ; Age Band Code ; Sex Code </v>
      </c>
      <c r="N4586" s="345" t="s">
        <v>207</v>
      </c>
      <c r="O4586" s="345" t="s">
        <v>208</v>
      </c>
      <c r="P4586" s="345" t="s">
        <v>209</v>
      </c>
      <c r="Q4586" s="345" t="s">
        <v>210</v>
      </c>
      <c r="R4586" s="345" t="s">
        <v>223</v>
      </c>
      <c r="S4586" s="345" t="s">
        <v>224</v>
      </c>
    </row>
    <row r="4587" spans="1:19" x14ac:dyDescent="0.25">
      <c r="A4587" s="311"/>
      <c r="B4587" s="312"/>
      <c r="C4587" s="312"/>
      <c r="D4587" s="312"/>
      <c r="E4587" s="312"/>
      <c r="F4587" s="312"/>
      <c r="G4587" s="328"/>
      <c r="H4587" s="337"/>
      <c r="I4587" s="334"/>
      <c r="J4587" s="314"/>
      <c r="K4587" s="449"/>
      <c r="M4587" s="349" t="str">
        <f>N4587&amp;AS[[#This Row],[Insurer Code]]&amp;"; "&amp;O4587&amp;AS[[#This Row],[Reporting Year]]&amp;"; "&amp;P4587&amp;AS[[#This Row],[Insurance Category Code]]&amp;"; "&amp;Q4587&amp;AS[[#This Row],[Large Provider Entity Code]]&amp;"; "&amp;R4587&amp;AS[[#This Row],[Age Band Code]]&amp;"; "&amp;S4587&amp;AS[[#This Row],[Sex Code]]</f>
        <v xml:space="preserve">Insurer Code ; Reporting Year ; Insurance Category Code ; Large Provider Entity Code ; Age Band Code ; Sex Code </v>
      </c>
      <c r="N4587" s="345" t="s">
        <v>207</v>
      </c>
      <c r="O4587" s="345" t="s">
        <v>208</v>
      </c>
      <c r="P4587" s="345" t="s">
        <v>209</v>
      </c>
      <c r="Q4587" s="345" t="s">
        <v>210</v>
      </c>
      <c r="R4587" s="345" t="s">
        <v>223</v>
      </c>
      <c r="S4587" s="345" t="s">
        <v>224</v>
      </c>
    </row>
    <row r="4588" spans="1:19" x14ac:dyDescent="0.25">
      <c r="A4588" s="311"/>
      <c r="B4588" s="312"/>
      <c r="C4588" s="312"/>
      <c r="D4588" s="312"/>
      <c r="E4588" s="312"/>
      <c r="F4588" s="312"/>
      <c r="G4588" s="328"/>
      <c r="H4588" s="337"/>
      <c r="I4588" s="334"/>
      <c r="J4588" s="314"/>
      <c r="K4588" s="449"/>
      <c r="M4588" s="349" t="str">
        <f>N4588&amp;AS[[#This Row],[Insurer Code]]&amp;"; "&amp;O4588&amp;AS[[#This Row],[Reporting Year]]&amp;"; "&amp;P4588&amp;AS[[#This Row],[Insurance Category Code]]&amp;"; "&amp;Q4588&amp;AS[[#This Row],[Large Provider Entity Code]]&amp;"; "&amp;R4588&amp;AS[[#This Row],[Age Band Code]]&amp;"; "&amp;S4588&amp;AS[[#This Row],[Sex Code]]</f>
        <v xml:space="preserve">Insurer Code ; Reporting Year ; Insurance Category Code ; Large Provider Entity Code ; Age Band Code ; Sex Code </v>
      </c>
      <c r="N4588" s="345" t="s">
        <v>207</v>
      </c>
      <c r="O4588" s="345" t="s">
        <v>208</v>
      </c>
      <c r="P4588" s="345" t="s">
        <v>209</v>
      </c>
      <c r="Q4588" s="345" t="s">
        <v>210</v>
      </c>
      <c r="R4588" s="345" t="s">
        <v>223</v>
      </c>
      <c r="S4588" s="345" t="s">
        <v>224</v>
      </c>
    </row>
    <row r="4589" spans="1:19" x14ac:dyDescent="0.25">
      <c r="A4589" s="311"/>
      <c r="B4589" s="312"/>
      <c r="C4589" s="312"/>
      <c r="D4589" s="312"/>
      <c r="E4589" s="312"/>
      <c r="F4589" s="312"/>
      <c r="G4589" s="328"/>
      <c r="H4589" s="337"/>
      <c r="I4589" s="334"/>
      <c r="J4589" s="314"/>
      <c r="K4589" s="449"/>
      <c r="M4589" s="349" t="str">
        <f>N4589&amp;AS[[#This Row],[Insurer Code]]&amp;"; "&amp;O4589&amp;AS[[#This Row],[Reporting Year]]&amp;"; "&amp;P4589&amp;AS[[#This Row],[Insurance Category Code]]&amp;"; "&amp;Q4589&amp;AS[[#This Row],[Large Provider Entity Code]]&amp;"; "&amp;R4589&amp;AS[[#This Row],[Age Band Code]]&amp;"; "&amp;S4589&amp;AS[[#This Row],[Sex Code]]</f>
        <v xml:space="preserve">Insurer Code ; Reporting Year ; Insurance Category Code ; Large Provider Entity Code ; Age Band Code ; Sex Code </v>
      </c>
      <c r="N4589" s="345" t="s">
        <v>207</v>
      </c>
      <c r="O4589" s="345" t="s">
        <v>208</v>
      </c>
      <c r="P4589" s="345" t="s">
        <v>209</v>
      </c>
      <c r="Q4589" s="345" t="s">
        <v>210</v>
      </c>
      <c r="R4589" s="345" t="s">
        <v>223</v>
      </c>
      <c r="S4589" s="345" t="s">
        <v>224</v>
      </c>
    </row>
    <row r="4590" spans="1:19" x14ac:dyDescent="0.25">
      <c r="A4590" s="311"/>
      <c r="B4590" s="312"/>
      <c r="C4590" s="312"/>
      <c r="D4590" s="312"/>
      <c r="E4590" s="312"/>
      <c r="F4590" s="312"/>
      <c r="G4590" s="328"/>
      <c r="H4590" s="337"/>
      <c r="I4590" s="334"/>
      <c r="J4590" s="314"/>
      <c r="K4590" s="449"/>
      <c r="M4590" s="349" t="str">
        <f>N4590&amp;AS[[#This Row],[Insurer Code]]&amp;"; "&amp;O4590&amp;AS[[#This Row],[Reporting Year]]&amp;"; "&amp;P4590&amp;AS[[#This Row],[Insurance Category Code]]&amp;"; "&amp;Q4590&amp;AS[[#This Row],[Large Provider Entity Code]]&amp;"; "&amp;R4590&amp;AS[[#This Row],[Age Band Code]]&amp;"; "&amp;S4590&amp;AS[[#This Row],[Sex Code]]</f>
        <v xml:space="preserve">Insurer Code ; Reporting Year ; Insurance Category Code ; Large Provider Entity Code ; Age Band Code ; Sex Code </v>
      </c>
      <c r="N4590" s="345" t="s">
        <v>207</v>
      </c>
      <c r="O4590" s="345" t="s">
        <v>208</v>
      </c>
      <c r="P4590" s="345" t="s">
        <v>209</v>
      </c>
      <c r="Q4590" s="345" t="s">
        <v>210</v>
      </c>
      <c r="R4590" s="345" t="s">
        <v>223</v>
      </c>
      <c r="S4590" s="345" t="s">
        <v>224</v>
      </c>
    </row>
    <row r="4591" spans="1:19" x14ac:dyDescent="0.25">
      <c r="A4591" s="311"/>
      <c r="B4591" s="312"/>
      <c r="C4591" s="312"/>
      <c r="D4591" s="312"/>
      <c r="E4591" s="312"/>
      <c r="F4591" s="312"/>
      <c r="G4591" s="328"/>
      <c r="H4591" s="337"/>
      <c r="I4591" s="334"/>
      <c r="J4591" s="314"/>
      <c r="K4591" s="449"/>
      <c r="M4591" s="349" t="str">
        <f>N4591&amp;AS[[#This Row],[Insurer Code]]&amp;"; "&amp;O4591&amp;AS[[#This Row],[Reporting Year]]&amp;"; "&amp;P4591&amp;AS[[#This Row],[Insurance Category Code]]&amp;"; "&amp;Q4591&amp;AS[[#This Row],[Large Provider Entity Code]]&amp;"; "&amp;R4591&amp;AS[[#This Row],[Age Band Code]]&amp;"; "&amp;S4591&amp;AS[[#This Row],[Sex Code]]</f>
        <v xml:space="preserve">Insurer Code ; Reporting Year ; Insurance Category Code ; Large Provider Entity Code ; Age Band Code ; Sex Code </v>
      </c>
      <c r="N4591" s="345" t="s">
        <v>207</v>
      </c>
      <c r="O4591" s="345" t="s">
        <v>208</v>
      </c>
      <c r="P4591" s="345" t="s">
        <v>209</v>
      </c>
      <c r="Q4591" s="345" t="s">
        <v>210</v>
      </c>
      <c r="R4591" s="345" t="s">
        <v>223</v>
      </c>
      <c r="S4591" s="345" t="s">
        <v>224</v>
      </c>
    </row>
    <row r="4592" spans="1:19" x14ac:dyDescent="0.25">
      <c r="A4592" s="311"/>
      <c r="B4592" s="312"/>
      <c r="C4592" s="312"/>
      <c r="D4592" s="312"/>
      <c r="E4592" s="312"/>
      <c r="F4592" s="312"/>
      <c r="G4592" s="328"/>
      <c r="H4592" s="337"/>
      <c r="I4592" s="334"/>
      <c r="J4592" s="314"/>
      <c r="K4592" s="449"/>
      <c r="M4592" s="349" t="str">
        <f>N4592&amp;AS[[#This Row],[Insurer Code]]&amp;"; "&amp;O4592&amp;AS[[#This Row],[Reporting Year]]&amp;"; "&amp;P4592&amp;AS[[#This Row],[Insurance Category Code]]&amp;"; "&amp;Q4592&amp;AS[[#This Row],[Large Provider Entity Code]]&amp;"; "&amp;R4592&amp;AS[[#This Row],[Age Band Code]]&amp;"; "&amp;S4592&amp;AS[[#This Row],[Sex Code]]</f>
        <v xml:space="preserve">Insurer Code ; Reporting Year ; Insurance Category Code ; Large Provider Entity Code ; Age Band Code ; Sex Code </v>
      </c>
      <c r="N4592" s="345" t="s">
        <v>207</v>
      </c>
      <c r="O4592" s="345" t="s">
        <v>208</v>
      </c>
      <c r="P4592" s="345" t="s">
        <v>209</v>
      </c>
      <c r="Q4592" s="345" t="s">
        <v>210</v>
      </c>
      <c r="R4592" s="345" t="s">
        <v>223</v>
      </c>
      <c r="S4592" s="345" t="s">
        <v>224</v>
      </c>
    </row>
    <row r="4593" spans="1:19" x14ac:dyDescent="0.25">
      <c r="A4593" s="311"/>
      <c r="B4593" s="312"/>
      <c r="C4593" s="312"/>
      <c r="D4593" s="312"/>
      <c r="E4593" s="312"/>
      <c r="F4593" s="312"/>
      <c r="G4593" s="328"/>
      <c r="H4593" s="337"/>
      <c r="I4593" s="334"/>
      <c r="J4593" s="314"/>
      <c r="K4593" s="449"/>
      <c r="M4593" s="349" t="str">
        <f>N4593&amp;AS[[#This Row],[Insurer Code]]&amp;"; "&amp;O4593&amp;AS[[#This Row],[Reporting Year]]&amp;"; "&amp;P4593&amp;AS[[#This Row],[Insurance Category Code]]&amp;"; "&amp;Q4593&amp;AS[[#This Row],[Large Provider Entity Code]]&amp;"; "&amp;R4593&amp;AS[[#This Row],[Age Band Code]]&amp;"; "&amp;S4593&amp;AS[[#This Row],[Sex Code]]</f>
        <v xml:space="preserve">Insurer Code ; Reporting Year ; Insurance Category Code ; Large Provider Entity Code ; Age Band Code ; Sex Code </v>
      </c>
      <c r="N4593" s="345" t="s">
        <v>207</v>
      </c>
      <c r="O4593" s="345" t="s">
        <v>208</v>
      </c>
      <c r="P4593" s="345" t="s">
        <v>209</v>
      </c>
      <c r="Q4593" s="345" t="s">
        <v>210</v>
      </c>
      <c r="R4593" s="345" t="s">
        <v>223</v>
      </c>
      <c r="S4593" s="345" t="s">
        <v>224</v>
      </c>
    </row>
    <row r="4594" spans="1:19" x14ac:dyDescent="0.25">
      <c r="A4594" s="311"/>
      <c r="B4594" s="312"/>
      <c r="C4594" s="312"/>
      <c r="D4594" s="312"/>
      <c r="E4594" s="312"/>
      <c r="F4594" s="312"/>
      <c r="G4594" s="328"/>
      <c r="H4594" s="337"/>
      <c r="I4594" s="334"/>
      <c r="J4594" s="314"/>
      <c r="K4594" s="449"/>
      <c r="M4594" s="349" t="str">
        <f>N4594&amp;AS[[#This Row],[Insurer Code]]&amp;"; "&amp;O4594&amp;AS[[#This Row],[Reporting Year]]&amp;"; "&amp;P4594&amp;AS[[#This Row],[Insurance Category Code]]&amp;"; "&amp;Q4594&amp;AS[[#This Row],[Large Provider Entity Code]]&amp;"; "&amp;R4594&amp;AS[[#This Row],[Age Band Code]]&amp;"; "&amp;S4594&amp;AS[[#This Row],[Sex Code]]</f>
        <v xml:space="preserve">Insurer Code ; Reporting Year ; Insurance Category Code ; Large Provider Entity Code ; Age Band Code ; Sex Code </v>
      </c>
      <c r="N4594" s="345" t="s">
        <v>207</v>
      </c>
      <c r="O4594" s="345" t="s">
        <v>208</v>
      </c>
      <c r="P4594" s="345" t="s">
        <v>209</v>
      </c>
      <c r="Q4594" s="345" t="s">
        <v>210</v>
      </c>
      <c r="R4594" s="345" t="s">
        <v>223</v>
      </c>
      <c r="S4594" s="345" t="s">
        <v>224</v>
      </c>
    </row>
    <row r="4595" spans="1:19" x14ac:dyDescent="0.25">
      <c r="A4595" s="311"/>
      <c r="B4595" s="312"/>
      <c r="C4595" s="312"/>
      <c r="D4595" s="312"/>
      <c r="E4595" s="312"/>
      <c r="F4595" s="312"/>
      <c r="G4595" s="328"/>
      <c r="H4595" s="337"/>
      <c r="I4595" s="334"/>
      <c r="J4595" s="314"/>
      <c r="K4595" s="449"/>
      <c r="M4595" s="349" t="str">
        <f>N4595&amp;AS[[#This Row],[Insurer Code]]&amp;"; "&amp;O4595&amp;AS[[#This Row],[Reporting Year]]&amp;"; "&amp;P4595&amp;AS[[#This Row],[Insurance Category Code]]&amp;"; "&amp;Q4595&amp;AS[[#This Row],[Large Provider Entity Code]]&amp;"; "&amp;R4595&amp;AS[[#This Row],[Age Band Code]]&amp;"; "&amp;S4595&amp;AS[[#This Row],[Sex Code]]</f>
        <v xml:space="preserve">Insurer Code ; Reporting Year ; Insurance Category Code ; Large Provider Entity Code ; Age Band Code ; Sex Code </v>
      </c>
      <c r="N4595" s="345" t="s">
        <v>207</v>
      </c>
      <c r="O4595" s="345" t="s">
        <v>208</v>
      </c>
      <c r="P4595" s="345" t="s">
        <v>209</v>
      </c>
      <c r="Q4595" s="345" t="s">
        <v>210</v>
      </c>
      <c r="R4595" s="345" t="s">
        <v>223</v>
      </c>
      <c r="S4595" s="345" t="s">
        <v>224</v>
      </c>
    </row>
    <row r="4596" spans="1:19" x14ac:dyDescent="0.25">
      <c r="A4596" s="311"/>
      <c r="B4596" s="312"/>
      <c r="C4596" s="312"/>
      <c r="D4596" s="312"/>
      <c r="E4596" s="312"/>
      <c r="F4596" s="312"/>
      <c r="G4596" s="328"/>
      <c r="H4596" s="337"/>
      <c r="I4596" s="334"/>
      <c r="J4596" s="314"/>
      <c r="K4596" s="449"/>
      <c r="M4596" s="349" t="str">
        <f>N4596&amp;AS[[#This Row],[Insurer Code]]&amp;"; "&amp;O4596&amp;AS[[#This Row],[Reporting Year]]&amp;"; "&amp;P4596&amp;AS[[#This Row],[Insurance Category Code]]&amp;"; "&amp;Q4596&amp;AS[[#This Row],[Large Provider Entity Code]]&amp;"; "&amp;R4596&amp;AS[[#This Row],[Age Band Code]]&amp;"; "&amp;S4596&amp;AS[[#This Row],[Sex Code]]</f>
        <v xml:space="preserve">Insurer Code ; Reporting Year ; Insurance Category Code ; Large Provider Entity Code ; Age Band Code ; Sex Code </v>
      </c>
      <c r="N4596" s="345" t="s">
        <v>207</v>
      </c>
      <c r="O4596" s="345" t="s">
        <v>208</v>
      </c>
      <c r="P4596" s="345" t="s">
        <v>209</v>
      </c>
      <c r="Q4596" s="345" t="s">
        <v>210</v>
      </c>
      <c r="R4596" s="345" t="s">
        <v>223</v>
      </c>
      <c r="S4596" s="345" t="s">
        <v>224</v>
      </c>
    </row>
    <row r="4597" spans="1:19" x14ac:dyDescent="0.25">
      <c r="A4597" s="311"/>
      <c r="B4597" s="312"/>
      <c r="C4597" s="312"/>
      <c r="D4597" s="312"/>
      <c r="E4597" s="312"/>
      <c r="F4597" s="312"/>
      <c r="G4597" s="328"/>
      <c r="H4597" s="337"/>
      <c r="I4597" s="334"/>
      <c r="J4597" s="314"/>
      <c r="K4597" s="449"/>
      <c r="M4597" s="349" t="str">
        <f>N4597&amp;AS[[#This Row],[Insurer Code]]&amp;"; "&amp;O4597&amp;AS[[#This Row],[Reporting Year]]&amp;"; "&amp;P4597&amp;AS[[#This Row],[Insurance Category Code]]&amp;"; "&amp;Q4597&amp;AS[[#This Row],[Large Provider Entity Code]]&amp;"; "&amp;R4597&amp;AS[[#This Row],[Age Band Code]]&amp;"; "&amp;S4597&amp;AS[[#This Row],[Sex Code]]</f>
        <v xml:space="preserve">Insurer Code ; Reporting Year ; Insurance Category Code ; Large Provider Entity Code ; Age Band Code ; Sex Code </v>
      </c>
      <c r="N4597" s="345" t="s">
        <v>207</v>
      </c>
      <c r="O4597" s="345" t="s">
        <v>208</v>
      </c>
      <c r="P4597" s="345" t="s">
        <v>209</v>
      </c>
      <c r="Q4597" s="345" t="s">
        <v>210</v>
      </c>
      <c r="R4597" s="345" t="s">
        <v>223</v>
      </c>
      <c r="S4597" s="345" t="s">
        <v>224</v>
      </c>
    </row>
    <row r="4598" spans="1:19" x14ac:dyDescent="0.25">
      <c r="A4598" s="311"/>
      <c r="B4598" s="312"/>
      <c r="C4598" s="312"/>
      <c r="D4598" s="312"/>
      <c r="E4598" s="312"/>
      <c r="F4598" s="312"/>
      <c r="G4598" s="328"/>
      <c r="H4598" s="337"/>
      <c r="I4598" s="334"/>
      <c r="J4598" s="314"/>
      <c r="K4598" s="449"/>
      <c r="M4598" s="349" t="str">
        <f>N4598&amp;AS[[#This Row],[Insurer Code]]&amp;"; "&amp;O4598&amp;AS[[#This Row],[Reporting Year]]&amp;"; "&amp;P4598&amp;AS[[#This Row],[Insurance Category Code]]&amp;"; "&amp;Q4598&amp;AS[[#This Row],[Large Provider Entity Code]]&amp;"; "&amp;R4598&amp;AS[[#This Row],[Age Band Code]]&amp;"; "&amp;S4598&amp;AS[[#This Row],[Sex Code]]</f>
        <v xml:space="preserve">Insurer Code ; Reporting Year ; Insurance Category Code ; Large Provider Entity Code ; Age Band Code ; Sex Code </v>
      </c>
      <c r="N4598" s="345" t="s">
        <v>207</v>
      </c>
      <c r="O4598" s="345" t="s">
        <v>208</v>
      </c>
      <c r="P4598" s="345" t="s">
        <v>209</v>
      </c>
      <c r="Q4598" s="345" t="s">
        <v>210</v>
      </c>
      <c r="R4598" s="345" t="s">
        <v>223</v>
      </c>
      <c r="S4598" s="345" t="s">
        <v>224</v>
      </c>
    </row>
    <row r="4599" spans="1:19" x14ac:dyDescent="0.25">
      <c r="A4599" s="311"/>
      <c r="B4599" s="312"/>
      <c r="C4599" s="312"/>
      <c r="D4599" s="312"/>
      <c r="E4599" s="312"/>
      <c r="F4599" s="312"/>
      <c r="G4599" s="328"/>
      <c r="H4599" s="337"/>
      <c r="I4599" s="334"/>
      <c r="J4599" s="314"/>
      <c r="K4599" s="449"/>
      <c r="M4599" s="349" t="str">
        <f>N4599&amp;AS[[#This Row],[Insurer Code]]&amp;"; "&amp;O4599&amp;AS[[#This Row],[Reporting Year]]&amp;"; "&amp;P4599&amp;AS[[#This Row],[Insurance Category Code]]&amp;"; "&amp;Q4599&amp;AS[[#This Row],[Large Provider Entity Code]]&amp;"; "&amp;R4599&amp;AS[[#This Row],[Age Band Code]]&amp;"; "&amp;S4599&amp;AS[[#This Row],[Sex Code]]</f>
        <v xml:space="preserve">Insurer Code ; Reporting Year ; Insurance Category Code ; Large Provider Entity Code ; Age Band Code ; Sex Code </v>
      </c>
      <c r="N4599" s="345" t="s">
        <v>207</v>
      </c>
      <c r="O4599" s="345" t="s">
        <v>208</v>
      </c>
      <c r="P4599" s="345" t="s">
        <v>209</v>
      </c>
      <c r="Q4599" s="345" t="s">
        <v>210</v>
      </c>
      <c r="R4599" s="345" t="s">
        <v>223</v>
      </c>
      <c r="S4599" s="345" t="s">
        <v>224</v>
      </c>
    </row>
    <row r="4600" spans="1:19" x14ac:dyDescent="0.25">
      <c r="A4600" s="311"/>
      <c r="B4600" s="312"/>
      <c r="C4600" s="312"/>
      <c r="D4600" s="312"/>
      <c r="E4600" s="312"/>
      <c r="F4600" s="312"/>
      <c r="G4600" s="328"/>
      <c r="H4600" s="337"/>
      <c r="I4600" s="334"/>
      <c r="J4600" s="314"/>
      <c r="K4600" s="449"/>
      <c r="M4600" s="349" t="str">
        <f>N4600&amp;AS[[#This Row],[Insurer Code]]&amp;"; "&amp;O4600&amp;AS[[#This Row],[Reporting Year]]&amp;"; "&amp;P4600&amp;AS[[#This Row],[Insurance Category Code]]&amp;"; "&amp;Q4600&amp;AS[[#This Row],[Large Provider Entity Code]]&amp;"; "&amp;R4600&amp;AS[[#This Row],[Age Band Code]]&amp;"; "&amp;S4600&amp;AS[[#This Row],[Sex Code]]</f>
        <v xml:space="preserve">Insurer Code ; Reporting Year ; Insurance Category Code ; Large Provider Entity Code ; Age Band Code ; Sex Code </v>
      </c>
      <c r="N4600" s="345" t="s">
        <v>207</v>
      </c>
      <c r="O4600" s="345" t="s">
        <v>208</v>
      </c>
      <c r="P4600" s="345" t="s">
        <v>209</v>
      </c>
      <c r="Q4600" s="345" t="s">
        <v>210</v>
      </c>
      <c r="R4600" s="345" t="s">
        <v>223</v>
      </c>
      <c r="S4600" s="345" t="s">
        <v>224</v>
      </c>
    </row>
    <row r="4601" spans="1:19" x14ac:dyDescent="0.25">
      <c r="A4601" s="311"/>
      <c r="B4601" s="312"/>
      <c r="C4601" s="312"/>
      <c r="D4601" s="312"/>
      <c r="E4601" s="312"/>
      <c r="F4601" s="312"/>
      <c r="G4601" s="328"/>
      <c r="H4601" s="337"/>
      <c r="I4601" s="334"/>
      <c r="J4601" s="314"/>
      <c r="K4601" s="449"/>
      <c r="M4601" s="349" t="str">
        <f>N4601&amp;AS[[#This Row],[Insurer Code]]&amp;"; "&amp;O4601&amp;AS[[#This Row],[Reporting Year]]&amp;"; "&amp;P4601&amp;AS[[#This Row],[Insurance Category Code]]&amp;"; "&amp;Q4601&amp;AS[[#This Row],[Large Provider Entity Code]]&amp;"; "&amp;R4601&amp;AS[[#This Row],[Age Band Code]]&amp;"; "&amp;S4601&amp;AS[[#This Row],[Sex Code]]</f>
        <v xml:space="preserve">Insurer Code ; Reporting Year ; Insurance Category Code ; Large Provider Entity Code ; Age Band Code ; Sex Code </v>
      </c>
      <c r="N4601" s="345" t="s">
        <v>207</v>
      </c>
      <c r="O4601" s="345" t="s">
        <v>208</v>
      </c>
      <c r="P4601" s="345" t="s">
        <v>209</v>
      </c>
      <c r="Q4601" s="345" t="s">
        <v>210</v>
      </c>
      <c r="R4601" s="345" t="s">
        <v>223</v>
      </c>
      <c r="S4601" s="345" t="s">
        <v>224</v>
      </c>
    </row>
    <row r="4602" spans="1:19" x14ac:dyDescent="0.25">
      <c r="A4602" s="311"/>
      <c r="B4602" s="312"/>
      <c r="C4602" s="312"/>
      <c r="D4602" s="312"/>
      <c r="E4602" s="312"/>
      <c r="F4602" s="312"/>
      <c r="G4602" s="328"/>
      <c r="H4602" s="337"/>
      <c r="I4602" s="334"/>
      <c r="J4602" s="314"/>
      <c r="K4602" s="449"/>
      <c r="M4602" s="349" t="str">
        <f>N4602&amp;AS[[#This Row],[Insurer Code]]&amp;"; "&amp;O4602&amp;AS[[#This Row],[Reporting Year]]&amp;"; "&amp;P4602&amp;AS[[#This Row],[Insurance Category Code]]&amp;"; "&amp;Q4602&amp;AS[[#This Row],[Large Provider Entity Code]]&amp;"; "&amp;R4602&amp;AS[[#This Row],[Age Band Code]]&amp;"; "&amp;S4602&amp;AS[[#This Row],[Sex Code]]</f>
        <v xml:space="preserve">Insurer Code ; Reporting Year ; Insurance Category Code ; Large Provider Entity Code ; Age Band Code ; Sex Code </v>
      </c>
      <c r="N4602" s="345" t="s">
        <v>207</v>
      </c>
      <c r="O4602" s="345" t="s">
        <v>208</v>
      </c>
      <c r="P4602" s="345" t="s">
        <v>209</v>
      </c>
      <c r="Q4602" s="345" t="s">
        <v>210</v>
      </c>
      <c r="R4602" s="345" t="s">
        <v>223</v>
      </c>
      <c r="S4602" s="345" t="s">
        <v>224</v>
      </c>
    </row>
    <row r="4603" spans="1:19" x14ac:dyDescent="0.25">
      <c r="A4603" s="311"/>
      <c r="B4603" s="312"/>
      <c r="C4603" s="312"/>
      <c r="D4603" s="312"/>
      <c r="E4603" s="312"/>
      <c r="F4603" s="312"/>
      <c r="G4603" s="328"/>
      <c r="H4603" s="337"/>
      <c r="I4603" s="334"/>
      <c r="J4603" s="314"/>
      <c r="K4603" s="449"/>
      <c r="M4603" s="349" t="str">
        <f>N4603&amp;AS[[#This Row],[Insurer Code]]&amp;"; "&amp;O4603&amp;AS[[#This Row],[Reporting Year]]&amp;"; "&amp;P4603&amp;AS[[#This Row],[Insurance Category Code]]&amp;"; "&amp;Q4603&amp;AS[[#This Row],[Large Provider Entity Code]]&amp;"; "&amp;R4603&amp;AS[[#This Row],[Age Band Code]]&amp;"; "&amp;S4603&amp;AS[[#This Row],[Sex Code]]</f>
        <v xml:space="preserve">Insurer Code ; Reporting Year ; Insurance Category Code ; Large Provider Entity Code ; Age Band Code ; Sex Code </v>
      </c>
      <c r="N4603" s="345" t="s">
        <v>207</v>
      </c>
      <c r="O4603" s="345" t="s">
        <v>208</v>
      </c>
      <c r="P4603" s="345" t="s">
        <v>209</v>
      </c>
      <c r="Q4603" s="345" t="s">
        <v>210</v>
      </c>
      <c r="R4603" s="345" t="s">
        <v>223</v>
      </c>
      <c r="S4603" s="345" t="s">
        <v>224</v>
      </c>
    </row>
    <row r="4604" spans="1:19" x14ac:dyDescent="0.25">
      <c r="A4604" s="311"/>
      <c r="B4604" s="312"/>
      <c r="C4604" s="312"/>
      <c r="D4604" s="312"/>
      <c r="E4604" s="312"/>
      <c r="F4604" s="312"/>
      <c r="G4604" s="328"/>
      <c r="H4604" s="337"/>
      <c r="I4604" s="334"/>
      <c r="J4604" s="314"/>
      <c r="K4604" s="449"/>
      <c r="M4604" s="349" t="str">
        <f>N4604&amp;AS[[#This Row],[Insurer Code]]&amp;"; "&amp;O4604&amp;AS[[#This Row],[Reporting Year]]&amp;"; "&amp;P4604&amp;AS[[#This Row],[Insurance Category Code]]&amp;"; "&amp;Q4604&amp;AS[[#This Row],[Large Provider Entity Code]]&amp;"; "&amp;R4604&amp;AS[[#This Row],[Age Band Code]]&amp;"; "&amp;S4604&amp;AS[[#This Row],[Sex Code]]</f>
        <v xml:space="preserve">Insurer Code ; Reporting Year ; Insurance Category Code ; Large Provider Entity Code ; Age Band Code ; Sex Code </v>
      </c>
      <c r="N4604" s="345" t="s">
        <v>207</v>
      </c>
      <c r="O4604" s="345" t="s">
        <v>208</v>
      </c>
      <c r="P4604" s="345" t="s">
        <v>209</v>
      </c>
      <c r="Q4604" s="345" t="s">
        <v>210</v>
      </c>
      <c r="R4604" s="345" t="s">
        <v>223</v>
      </c>
      <c r="S4604" s="345" t="s">
        <v>224</v>
      </c>
    </row>
    <row r="4605" spans="1:19" x14ac:dyDescent="0.25">
      <c r="A4605" s="311"/>
      <c r="B4605" s="312"/>
      <c r="C4605" s="312"/>
      <c r="D4605" s="312"/>
      <c r="E4605" s="312"/>
      <c r="F4605" s="312"/>
      <c r="G4605" s="328"/>
      <c r="H4605" s="337"/>
      <c r="I4605" s="334"/>
      <c r="J4605" s="314"/>
      <c r="K4605" s="449"/>
      <c r="M4605" s="349" t="str">
        <f>N4605&amp;AS[[#This Row],[Insurer Code]]&amp;"; "&amp;O4605&amp;AS[[#This Row],[Reporting Year]]&amp;"; "&amp;P4605&amp;AS[[#This Row],[Insurance Category Code]]&amp;"; "&amp;Q4605&amp;AS[[#This Row],[Large Provider Entity Code]]&amp;"; "&amp;R4605&amp;AS[[#This Row],[Age Band Code]]&amp;"; "&amp;S4605&amp;AS[[#This Row],[Sex Code]]</f>
        <v xml:space="preserve">Insurer Code ; Reporting Year ; Insurance Category Code ; Large Provider Entity Code ; Age Band Code ; Sex Code </v>
      </c>
      <c r="N4605" s="345" t="s">
        <v>207</v>
      </c>
      <c r="O4605" s="345" t="s">
        <v>208</v>
      </c>
      <c r="P4605" s="345" t="s">
        <v>209</v>
      </c>
      <c r="Q4605" s="345" t="s">
        <v>210</v>
      </c>
      <c r="R4605" s="345" t="s">
        <v>223</v>
      </c>
      <c r="S4605" s="345" t="s">
        <v>224</v>
      </c>
    </row>
    <row r="4606" spans="1:19" x14ac:dyDescent="0.25">
      <c r="A4606" s="311"/>
      <c r="B4606" s="312"/>
      <c r="C4606" s="312"/>
      <c r="D4606" s="312"/>
      <c r="E4606" s="312"/>
      <c r="F4606" s="312"/>
      <c r="G4606" s="328"/>
      <c r="H4606" s="337"/>
      <c r="I4606" s="334"/>
      <c r="J4606" s="314"/>
      <c r="K4606" s="449"/>
      <c r="M4606" s="349" t="str">
        <f>N4606&amp;AS[[#This Row],[Insurer Code]]&amp;"; "&amp;O4606&amp;AS[[#This Row],[Reporting Year]]&amp;"; "&amp;P4606&amp;AS[[#This Row],[Insurance Category Code]]&amp;"; "&amp;Q4606&amp;AS[[#This Row],[Large Provider Entity Code]]&amp;"; "&amp;R4606&amp;AS[[#This Row],[Age Band Code]]&amp;"; "&amp;S4606&amp;AS[[#This Row],[Sex Code]]</f>
        <v xml:space="preserve">Insurer Code ; Reporting Year ; Insurance Category Code ; Large Provider Entity Code ; Age Band Code ; Sex Code </v>
      </c>
      <c r="N4606" s="345" t="s">
        <v>207</v>
      </c>
      <c r="O4606" s="345" t="s">
        <v>208</v>
      </c>
      <c r="P4606" s="345" t="s">
        <v>209</v>
      </c>
      <c r="Q4606" s="345" t="s">
        <v>210</v>
      </c>
      <c r="R4606" s="345" t="s">
        <v>223</v>
      </c>
      <c r="S4606" s="345" t="s">
        <v>224</v>
      </c>
    </row>
    <row r="4607" spans="1:19" x14ac:dyDescent="0.25">
      <c r="A4607" s="311"/>
      <c r="B4607" s="312"/>
      <c r="C4607" s="312"/>
      <c r="D4607" s="312"/>
      <c r="E4607" s="312"/>
      <c r="F4607" s="312"/>
      <c r="G4607" s="328"/>
      <c r="H4607" s="337"/>
      <c r="I4607" s="334"/>
      <c r="J4607" s="314"/>
      <c r="K4607" s="449"/>
      <c r="M4607" s="349" t="str">
        <f>N4607&amp;AS[[#This Row],[Insurer Code]]&amp;"; "&amp;O4607&amp;AS[[#This Row],[Reporting Year]]&amp;"; "&amp;P4607&amp;AS[[#This Row],[Insurance Category Code]]&amp;"; "&amp;Q4607&amp;AS[[#This Row],[Large Provider Entity Code]]&amp;"; "&amp;R4607&amp;AS[[#This Row],[Age Band Code]]&amp;"; "&amp;S4607&amp;AS[[#This Row],[Sex Code]]</f>
        <v xml:space="preserve">Insurer Code ; Reporting Year ; Insurance Category Code ; Large Provider Entity Code ; Age Band Code ; Sex Code </v>
      </c>
      <c r="N4607" s="345" t="s">
        <v>207</v>
      </c>
      <c r="O4607" s="345" t="s">
        <v>208</v>
      </c>
      <c r="P4607" s="345" t="s">
        <v>209</v>
      </c>
      <c r="Q4607" s="345" t="s">
        <v>210</v>
      </c>
      <c r="R4607" s="345" t="s">
        <v>223</v>
      </c>
      <c r="S4607" s="345" t="s">
        <v>224</v>
      </c>
    </row>
    <row r="4608" spans="1:19" x14ac:dyDescent="0.25">
      <c r="A4608" s="311"/>
      <c r="B4608" s="312"/>
      <c r="C4608" s="312"/>
      <c r="D4608" s="312"/>
      <c r="E4608" s="312"/>
      <c r="F4608" s="312"/>
      <c r="G4608" s="328"/>
      <c r="H4608" s="337"/>
      <c r="I4608" s="334"/>
      <c r="J4608" s="314"/>
      <c r="K4608" s="449"/>
      <c r="M4608" s="349" t="str">
        <f>N4608&amp;AS[[#This Row],[Insurer Code]]&amp;"; "&amp;O4608&amp;AS[[#This Row],[Reporting Year]]&amp;"; "&amp;P4608&amp;AS[[#This Row],[Insurance Category Code]]&amp;"; "&amp;Q4608&amp;AS[[#This Row],[Large Provider Entity Code]]&amp;"; "&amp;R4608&amp;AS[[#This Row],[Age Band Code]]&amp;"; "&amp;S4608&amp;AS[[#This Row],[Sex Code]]</f>
        <v xml:space="preserve">Insurer Code ; Reporting Year ; Insurance Category Code ; Large Provider Entity Code ; Age Band Code ; Sex Code </v>
      </c>
      <c r="N4608" s="345" t="s">
        <v>207</v>
      </c>
      <c r="O4608" s="345" t="s">
        <v>208</v>
      </c>
      <c r="P4608" s="345" t="s">
        <v>209</v>
      </c>
      <c r="Q4608" s="345" t="s">
        <v>210</v>
      </c>
      <c r="R4608" s="345" t="s">
        <v>223</v>
      </c>
      <c r="S4608" s="345" t="s">
        <v>224</v>
      </c>
    </row>
    <row r="4609" spans="1:19" x14ac:dyDescent="0.25">
      <c r="A4609" s="311"/>
      <c r="B4609" s="312"/>
      <c r="C4609" s="312"/>
      <c r="D4609" s="312"/>
      <c r="E4609" s="312"/>
      <c r="F4609" s="312"/>
      <c r="G4609" s="328"/>
      <c r="H4609" s="337"/>
      <c r="I4609" s="334"/>
      <c r="J4609" s="314"/>
      <c r="K4609" s="449"/>
      <c r="M4609" s="349" t="str">
        <f>N4609&amp;AS[[#This Row],[Insurer Code]]&amp;"; "&amp;O4609&amp;AS[[#This Row],[Reporting Year]]&amp;"; "&amp;P4609&amp;AS[[#This Row],[Insurance Category Code]]&amp;"; "&amp;Q4609&amp;AS[[#This Row],[Large Provider Entity Code]]&amp;"; "&amp;R4609&amp;AS[[#This Row],[Age Band Code]]&amp;"; "&amp;S4609&amp;AS[[#This Row],[Sex Code]]</f>
        <v xml:space="preserve">Insurer Code ; Reporting Year ; Insurance Category Code ; Large Provider Entity Code ; Age Band Code ; Sex Code </v>
      </c>
      <c r="N4609" s="345" t="s">
        <v>207</v>
      </c>
      <c r="O4609" s="345" t="s">
        <v>208</v>
      </c>
      <c r="P4609" s="345" t="s">
        <v>209</v>
      </c>
      <c r="Q4609" s="345" t="s">
        <v>210</v>
      </c>
      <c r="R4609" s="345" t="s">
        <v>223</v>
      </c>
      <c r="S4609" s="345" t="s">
        <v>224</v>
      </c>
    </row>
    <row r="4610" spans="1:19" x14ac:dyDescent="0.25">
      <c r="A4610" s="311"/>
      <c r="B4610" s="312"/>
      <c r="C4610" s="312"/>
      <c r="D4610" s="312"/>
      <c r="E4610" s="312"/>
      <c r="F4610" s="312"/>
      <c r="G4610" s="328"/>
      <c r="H4610" s="337"/>
      <c r="I4610" s="334"/>
      <c r="J4610" s="314"/>
      <c r="K4610" s="449"/>
      <c r="M4610" s="349" t="str">
        <f>N4610&amp;AS[[#This Row],[Insurer Code]]&amp;"; "&amp;O4610&amp;AS[[#This Row],[Reporting Year]]&amp;"; "&amp;P4610&amp;AS[[#This Row],[Insurance Category Code]]&amp;"; "&amp;Q4610&amp;AS[[#This Row],[Large Provider Entity Code]]&amp;"; "&amp;R4610&amp;AS[[#This Row],[Age Band Code]]&amp;"; "&amp;S4610&amp;AS[[#This Row],[Sex Code]]</f>
        <v xml:space="preserve">Insurer Code ; Reporting Year ; Insurance Category Code ; Large Provider Entity Code ; Age Band Code ; Sex Code </v>
      </c>
      <c r="N4610" s="345" t="s">
        <v>207</v>
      </c>
      <c r="O4610" s="345" t="s">
        <v>208</v>
      </c>
      <c r="P4610" s="345" t="s">
        <v>209</v>
      </c>
      <c r="Q4610" s="345" t="s">
        <v>210</v>
      </c>
      <c r="R4610" s="345" t="s">
        <v>223</v>
      </c>
      <c r="S4610" s="345" t="s">
        <v>224</v>
      </c>
    </row>
    <row r="4611" spans="1:19" x14ac:dyDescent="0.25">
      <c r="A4611" s="311"/>
      <c r="B4611" s="312"/>
      <c r="C4611" s="312"/>
      <c r="D4611" s="312"/>
      <c r="E4611" s="312"/>
      <c r="F4611" s="312"/>
      <c r="G4611" s="328"/>
      <c r="H4611" s="337"/>
      <c r="I4611" s="334"/>
      <c r="J4611" s="314"/>
      <c r="K4611" s="449"/>
      <c r="M4611" s="349" t="str">
        <f>N4611&amp;AS[[#This Row],[Insurer Code]]&amp;"; "&amp;O4611&amp;AS[[#This Row],[Reporting Year]]&amp;"; "&amp;P4611&amp;AS[[#This Row],[Insurance Category Code]]&amp;"; "&amp;Q4611&amp;AS[[#This Row],[Large Provider Entity Code]]&amp;"; "&amp;R4611&amp;AS[[#This Row],[Age Band Code]]&amp;"; "&amp;S4611&amp;AS[[#This Row],[Sex Code]]</f>
        <v xml:space="preserve">Insurer Code ; Reporting Year ; Insurance Category Code ; Large Provider Entity Code ; Age Band Code ; Sex Code </v>
      </c>
      <c r="N4611" s="345" t="s">
        <v>207</v>
      </c>
      <c r="O4611" s="345" t="s">
        <v>208</v>
      </c>
      <c r="P4611" s="345" t="s">
        <v>209</v>
      </c>
      <c r="Q4611" s="345" t="s">
        <v>210</v>
      </c>
      <c r="R4611" s="345" t="s">
        <v>223</v>
      </c>
      <c r="S4611" s="345" t="s">
        <v>224</v>
      </c>
    </row>
    <row r="4612" spans="1:19" x14ac:dyDescent="0.25">
      <c r="A4612" s="311"/>
      <c r="B4612" s="312"/>
      <c r="C4612" s="312"/>
      <c r="D4612" s="312"/>
      <c r="E4612" s="312"/>
      <c r="F4612" s="312"/>
      <c r="G4612" s="328"/>
      <c r="H4612" s="337"/>
      <c r="I4612" s="334"/>
      <c r="J4612" s="314"/>
      <c r="K4612" s="449"/>
      <c r="M4612" s="349" t="str">
        <f>N4612&amp;AS[[#This Row],[Insurer Code]]&amp;"; "&amp;O4612&amp;AS[[#This Row],[Reporting Year]]&amp;"; "&amp;P4612&amp;AS[[#This Row],[Insurance Category Code]]&amp;"; "&amp;Q4612&amp;AS[[#This Row],[Large Provider Entity Code]]&amp;"; "&amp;R4612&amp;AS[[#This Row],[Age Band Code]]&amp;"; "&amp;S4612&amp;AS[[#This Row],[Sex Code]]</f>
        <v xml:space="preserve">Insurer Code ; Reporting Year ; Insurance Category Code ; Large Provider Entity Code ; Age Band Code ; Sex Code </v>
      </c>
      <c r="N4612" s="345" t="s">
        <v>207</v>
      </c>
      <c r="O4612" s="345" t="s">
        <v>208</v>
      </c>
      <c r="P4612" s="345" t="s">
        <v>209</v>
      </c>
      <c r="Q4612" s="345" t="s">
        <v>210</v>
      </c>
      <c r="R4612" s="345" t="s">
        <v>223</v>
      </c>
      <c r="S4612" s="345" t="s">
        <v>224</v>
      </c>
    </row>
    <row r="4613" spans="1:19" x14ac:dyDescent="0.25">
      <c r="A4613" s="311"/>
      <c r="B4613" s="312"/>
      <c r="C4613" s="312"/>
      <c r="D4613" s="312"/>
      <c r="E4613" s="312"/>
      <c r="F4613" s="312"/>
      <c r="G4613" s="328"/>
      <c r="H4613" s="337"/>
      <c r="I4613" s="334"/>
      <c r="J4613" s="314"/>
      <c r="K4613" s="449"/>
      <c r="M4613" s="349" t="str">
        <f>N4613&amp;AS[[#This Row],[Insurer Code]]&amp;"; "&amp;O4613&amp;AS[[#This Row],[Reporting Year]]&amp;"; "&amp;P4613&amp;AS[[#This Row],[Insurance Category Code]]&amp;"; "&amp;Q4613&amp;AS[[#This Row],[Large Provider Entity Code]]&amp;"; "&amp;R4613&amp;AS[[#This Row],[Age Band Code]]&amp;"; "&amp;S4613&amp;AS[[#This Row],[Sex Code]]</f>
        <v xml:space="preserve">Insurer Code ; Reporting Year ; Insurance Category Code ; Large Provider Entity Code ; Age Band Code ; Sex Code </v>
      </c>
      <c r="N4613" s="345" t="s">
        <v>207</v>
      </c>
      <c r="O4613" s="345" t="s">
        <v>208</v>
      </c>
      <c r="P4613" s="345" t="s">
        <v>209</v>
      </c>
      <c r="Q4613" s="345" t="s">
        <v>210</v>
      </c>
      <c r="R4613" s="345" t="s">
        <v>223</v>
      </c>
      <c r="S4613" s="345" t="s">
        <v>224</v>
      </c>
    </row>
    <row r="4614" spans="1:19" x14ac:dyDescent="0.25">
      <c r="A4614" s="311"/>
      <c r="B4614" s="312"/>
      <c r="C4614" s="312"/>
      <c r="D4614" s="312"/>
      <c r="E4614" s="312"/>
      <c r="F4614" s="312"/>
      <c r="G4614" s="328"/>
      <c r="H4614" s="337"/>
      <c r="I4614" s="334"/>
      <c r="J4614" s="314"/>
      <c r="K4614" s="449"/>
      <c r="M4614" s="349" t="str">
        <f>N4614&amp;AS[[#This Row],[Insurer Code]]&amp;"; "&amp;O4614&amp;AS[[#This Row],[Reporting Year]]&amp;"; "&amp;P4614&amp;AS[[#This Row],[Insurance Category Code]]&amp;"; "&amp;Q4614&amp;AS[[#This Row],[Large Provider Entity Code]]&amp;"; "&amp;R4614&amp;AS[[#This Row],[Age Band Code]]&amp;"; "&amp;S4614&amp;AS[[#This Row],[Sex Code]]</f>
        <v xml:space="preserve">Insurer Code ; Reporting Year ; Insurance Category Code ; Large Provider Entity Code ; Age Band Code ; Sex Code </v>
      </c>
      <c r="N4614" s="345" t="s">
        <v>207</v>
      </c>
      <c r="O4614" s="345" t="s">
        <v>208</v>
      </c>
      <c r="P4614" s="345" t="s">
        <v>209</v>
      </c>
      <c r="Q4614" s="345" t="s">
        <v>210</v>
      </c>
      <c r="R4614" s="345" t="s">
        <v>223</v>
      </c>
      <c r="S4614" s="345" t="s">
        <v>224</v>
      </c>
    </row>
    <row r="4615" spans="1:19" x14ac:dyDescent="0.25">
      <c r="A4615" s="311"/>
      <c r="B4615" s="312"/>
      <c r="C4615" s="312"/>
      <c r="D4615" s="312"/>
      <c r="E4615" s="312"/>
      <c r="F4615" s="312"/>
      <c r="G4615" s="328"/>
      <c r="H4615" s="337"/>
      <c r="I4615" s="334"/>
      <c r="J4615" s="314"/>
      <c r="K4615" s="449"/>
      <c r="M4615" s="349" t="str">
        <f>N4615&amp;AS[[#This Row],[Insurer Code]]&amp;"; "&amp;O4615&amp;AS[[#This Row],[Reporting Year]]&amp;"; "&amp;P4615&amp;AS[[#This Row],[Insurance Category Code]]&amp;"; "&amp;Q4615&amp;AS[[#This Row],[Large Provider Entity Code]]&amp;"; "&amp;R4615&amp;AS[[#This Row],[Age Band Code]]&amp;"; "&amp;S4615&amp;AS[[#This Row],[Sex Code]]</f>
        <v xml:space="preserve">Insurer Code ; Reporting Year ; Insurance Category Code ; Large Provider Entity Code ; Age Band Code ; Sex Code </v>
      </c>
      <c r="N4615" s="345" t="s">
        <v>207</v>
      </c>
      <c r="O4615" s="345" t="s">
        <v>208</v>
      </c>
      <c r="P4615" s="345" t="s">
        <v>209</v>
      </c>
      <c r="Q4615" s="345" t="s">
        <v>210</v>
      </c>
      <c r="R4615" s="345" t="s">
        <v>223</v>
      </c>
      <c r="S4615" s="345" t="s">
        <v>224</v>
      </c>
    </row>
    <row r="4616" spans="1:19" x14ac:dyDescent="0.25">
      <c r="A4616" s="311"/>
      <c r="B4616" s="312"/>
      <c r="C4616" s="312"/>
      <c r="D4616" s="312"/>
      <c r="E4616" s="312"/>
      <c r="F4616" s="312"/>
      <c r="G4616" s="328"/>
      <c r="H4616" s="337"/>
      <c r="I4616" s="334"/>
      <c r="J4616" s="314"/>
      <c r="K4616" s="449"/>
      <c r="M4616" s="349" t="str">
        <f>N4616&amp;AS[[#This Row],[Insurer Code]]&amp;"; "&amp;O4616&amp;AS[[#This Row],[Reporting Year]]&amp;"; "&amp;P4616&amp;AS[[#This Row],[Insurance Category Code]]&amp;"; "&amp;Q4616&amp;AS[[#This Row],[Large Provider Entity Code]]&amp;"; "&amp;R4616&amp;AS[[#This Row],[Age Band Code]]&amp;"; "&amp;S4616&amp;AS[[#This Row],[Sex Code]]</f>
        <v xml:space="preserve">Insurer Code ; Reporting Year ; Insurance Category Code ; Large Provider Entity Code ; Age Band Code ; Sex Code </v>
      </c>
      <c r="N4616" s="345" t="s">
        <v>207</v>
      </c>
      <c r="O4616" s="345" t="s">
        <v>208</v>
      </c>
      <c r="P4616" s="345" t="s">
        <v>209</v>
      </c>
      <c r="Q4616" s="345" t="s">
        <v>210</v>
      </c>
      <c r="R4616" s="345" t="s">
        <v>223</v>
      </c>
      <c r="S4616" s="345" t="s">
        <v>224</v>
      </c>
    </row>
    <row r="4617" spans="1:19" x14ac:dyDescent="0.25">
      <c r="A4617" s="311"/>
      <c r="B4617" s="312"/>
      <c r="C4617" s="312"/>
      <c r="D4617" s="312"/>
      <c r="E4617" s="312"/>
      <c r="F4617" s="312"/>
      <c r="G4617" s="328"/>
      <c r="H4617" s="337"/>
      <c r="I4617" s="334"/>
      <c r="J4617" s="314"/>
      <c r="K4617" s="449"/>
      <c r="M4617" s="349" t="str">
        <f>N4617&amp;AS[[#This Row],[Insurer Code]]&amp;"; "&amp;O4617&amp;AS[[#This Row],[Reporting Year]]&amp;"; "&amp;P4617&amp;AS[[#This Row],[Insurance Category Code]]&amp;"; "&amp;Q4617&amp;AS[[#This Row],[Large Provider Entity Code]]&amp;"; "&amp;R4617&amp;AS[[#This Row],[Age Band Code]]&amp;"; "&amp;S4617&amp;AS[[#This Row],[Sex Code]]</f>
        <v xml:space="preserve">Insurer Code ; Reporting Year ; Insurance Category Code ; Large Provider Entity Code ; Age Band Code ; Sex Code </v>
      </c>
      <c r="N4617" s="345" t="s">
        <v>207</v>
      </c>
      <c r="O4617" s="345" t="s">
        <v>208</v>
      </c>
      <c r="P4617" s="345" t="s">
        <v>209</v>
      </c>
      <c r="Q4617" s="345" t="s">
        <v>210</v>
      </c>
      <c r="R4617" s="345" t="s">
        <v>223</v>
      </c>
      <c r="S4617" s="345" t="s">
        <v>224</v>
      </c>
    </row>
    <row r="4618" spans="1:19" x14ac:dyDescent="0.25">
      <c r="A4618" s="311"/>
      <c r="B4618" s="312"/>
      <c r="C4618" s="312"/>
      <c r="D4618" s="312"/>
      <c r="E4618" s="312"/>
      <c r="F4618" s="312"/>
      <c r="G4618" s="328"/>
      <c r="H4618" s="337"/>
      <c r="I4618" s="334"/>
      <c r="J4618" s="314"/>
      <c r="K4618" s="449"/>
      <c r="M4618" s="349" t="str">
        <f>N4618&amp;AS[[#This Row],[Insurer Code]]&amp;"; "&amp;O4618&amp;AS[[#This Row],[Reporting Year]]&amp;"; "&amp;P4618&amp;AS[[#This Row],[Insurance Category Code]]&amp;"; "&amp;Q4618&amp;AS[[#This Row],[Large Provider Entity Code]]&amp;"; "&amp;R4618&amp;AS[[#This Row],[Age Band Code]]&amp;"; "&amp;S4618&amp;AS[[#This Row],[Sex Code]]</f>
        <v xml:space="preserve">Insurer Code ; Reporting Year ; Insurance Category Code ; Large Provider Entity Code ; Age Band Code ; Sex Code </v>
      </c>
      <c r="N4618" s="345" t="s">
        <v>207</v>
      </c>
      <c r="O4618" s="345" t="s">
        <v>208</v>
      </c>
      <c r="P4618" s="345" t="s">
        <v>209</v>
      </c>
      <c r="Q4618" s="345" t="s">
        <v>210</v>
      </c>
      <c r="R4618" s="345" t="s">
        <v>223</v>
      </c>
      <c r="S4618" s="345" t="s">
        <v>224</v>
      </c>
    </row>
    <row r="4619" spans="1:19" x14ac:dyDescent="0.25">
      <c r="A4619" s="311"/>
      <c r="B4619" s="312"/>
      <c r="C4619" s="312"/>
      <c r="D4619" s="312"/>
      <c r="E4619" s="312"/>
      <c r="F4619" s="312"/>
      <c r="G4619" s="328"/>
      <c r="H4619" s="337"/>
      <c r="I4619" s="334"/>
      <c r="J4619" s="314"/>
      <c r="K4619" s="449"/>
      <c r="M4619" s="349" t="str">
        <f>N4619&amp;AS[[#This Row],[Insurer Code]]&amp;"; "&amp;O4619&amp;AS[[#This Row],[Reporting Year]]&amp;"; "&amp;P4619&amp;AS[[#This Row],[Insurance Category Code]]&amp;"; "&amp;Q4619&amp;AS[[#This Row],[Large Provider Entity Code]]&amp;"; "&amp;R4619&amp;AS[[#This Row],[Age Band Code]]&amp;"; "&amp;S4619&amp;AS[[#This Row],[Sex Code]]</f>
        <v xml:space="preserve">Insurer Code ; Reporting Year ; Insurance Category Code ; Large Provider Entity Code ; Age Band Code ; Sex Code </v>
      </c>
      <c r="N4619" s="345" t="s">
        <v>207</v>
      </c>
      <c r="O4619" s="345" t="s">
        <v>208</v>
      </c>
      <c r="P4619" s="345" t="s">
        <v>209</v>
      </c>
      <c r="Q4619" s="345" t="s">
        <v>210</v>
      </c>
      <c r="R4619" s="345" t="s">
        <v>223</v>
      </c>
      <c r="S4619" s="345" t="s">
        <v>224</v>
      </c>
    </row>
    <row r="4620" spans="1:19" x14ac:dyDescent="0.25">
      <c r="A4620" s="311"/>
      <c r="B4620" s="312"/>
      <c r="C4620" s="312"/>
      <c r="D4620" s="312"/>
      <c r="E4620" s="312"/>
      <c r="F4620" s="312"/>
      <c r="G4620" s="328"/>
      <c r="H4620" s="337"/>
      <c r="I4620" s="334"/>
      <c r="J4620" s="314"/>
      <c r="K4620" s="449"/>
      <c r="M4620" s="349" t="str">
        <f>N4620&amp;AS[[#This Row],[Insurer Code]]&amp;"; "&amp;O4620&amp;AS[[#This Row],[Reporting Year]]&amp;"; "&amp;P4620&amp;AS[[#This Row],[Insurance Category Code]]&amp;"; "&amp;Q4620&amp;AS[[#This Row],[Large Provider Entity Code]]&amp;"; "&amp;R4620&amp;AS[[#This Row],[Age Band Code]]&amp;"; "&amp;S4620&amp;AS[[#This Row],[Sex Code]]</f>
        <v xml:space="preserve">Insurer Code ; Reporting Year ; Insurance Category Code ; Large Provider Entity Code ; Age Band Code ; Sex Code </v>
      </c>
      <c r="N4620" s="345" t="s">
        <v>207</v>
      </c>
      <c r="O4620" s="345" t="s">
        <v>208</v>
      </c>
      <c r="P4620" s="345" t="s">
        <v>209</v>
      </c>
      <c r="Q4620" s="345" t="s">
        <v>210</v>
      </c>
      <c r="R4620" s="345" t="s">
        <v>223</v>
      </c>
      <c r="S4620" s="345" t="s">
        <v>224</v>
      </c>
    </row>
    <row r="4621" spans="1:19" x14ac:dyDescent="0.25">
      <c r="A4621" s="311"/>
      <c r="B4621" s="312"/>
      <c r="C4621" s="312"/>
      <c r="D4621" s="312"/>
      <c r="E4621" s="312"/>
      <c r="F4621" s="312"/>
      <c r="G4621" s="328"/>
      <c r="H4621" s="453"/>
      <c r="I4621" s="334"/>
      <c r="J4621" s="314"/>
      <c r="K4621" s="454"/>
      <c r="M4621" s="349" t="str">
        <f>N4621&amp;AS[[#This Row],[Insurer Code]]&amp;"; "&amp;O4621&amp;AS[[#This Row],[Reporting Year]]&amp;"; "&amp;P4621&amp;AS[[#This Row],[Insurance Category Code]]&amp;"; "&amp;Q4621&amp;AS[[#This Row],[Large Provider Entity Code]]&amp;"; "&amp;R4621&amp;AS[[#This Row],[Age Band Code]]&amp;"; "&amp;S4621&amp;AS[[#This Row],[Sex Code]]</f>
        <v xml:space="preserve">Insurer Code ; Reporting Year ; Insurance Category Code ; Large Provider Entity Code ; Age Band Code ; Sex Code </v>
      </c>
      <c r="N4621" s="345" t="s">
        <v>207</v>
      </c>
      <c r="O4621" s="345" t="s">
        <v>208</v>
      </c>
      <c r="P4621" s="345" t="s">
        <v>209</v>
      </c>
      <c r="Q4621" s="345" t="s">
        <v>210</v>
      </c>
      <c r="R4621" s="345" t="s">
        <v>223</v>
      </c>
      <c r="S4621" s="345" t="s">
        <v>224</v>
      </c>
    </row>
    <row r="4622" spans="1:19" x14ac:dyDescent="0.25">
      <c r="A4622" s="311"/>
      <c r="B4622" s="312"/>
      <c r="C4622" s="312"/>
      <c r="D4622" s="312"/>
      <c r="E4622" s="312"/>
      <c r="F4622" s="312"/>
      <c r="G4622" s="328"/>
      <c r="H4622" s="453"/>
      <c r="I4622" s="334"/>
      <c r="J4622" s="314"/>
      <c r="K4622" s="454"/>
      <c r="M4622" s="349" t="str">
        <f>N4622&amp;AS[[#This Row],[Insurer Code]]&amp;"; "&amp;O4622&amp;AS[[#This Row],[Reporting Year]]&amp;"; "&amp;P4622&amp;AS[[#This Row],[Insurance Category Code]]&amp;"; "&amp;Q4622&amp;AS[[#This Row],[Large Provider Entity Code]]&amp;"; "&amp;R4622&amp;AS[[#This Row],[Age Band Code]]&amp;"; "&amp;S4622&amp;AS[[#This Row],[Sex Code]]</f>
        <v xml:space="preserve">Insurer Code ; Reporting Year ; Insurance Category Code ; Large Provider Entity Code ; Age Band Code ; Sex Code </v>
      </c>
      <c r="N4622" s="345" t="s">
        <v>207</v>
      </c>
      <c r="O4622" s="345" t="s">
        <v>208</v>
      </c>
      <c r="P4622" s="345" t="s">
        <v>209</v>
      </c>
      <c r="Q4622" s="345" t="s">
        <v>210</v>
      </c>
      <c r="R4622" s="345" t="s">
        <v>223</v>
      </c>
      <c r="S4622" s="345" t="s">
        <v>224</v>
      </c>
    </row>
    <row r="4623" spans="1:19" x14ac:dyDescent="0.25">
      <c r="A4623" s="311"/>
      <c r="B4623" s="312"/>
      <c r="C4623" s="312"/>
      <c r="D4623" s="312"/>
      <c r="E4623" s="312"/>
      <c r="F4623" s="312"/>
      <c r="G4623" s="328"/>
      <c r="H4623" s="453"/>
      <c r="I4623" s="334"/>
      <c r="J4623" s="314"/>
      <c r="K4623" s="454"/>
      <c r="M4623" s="349" t="str">
        <f>N4623&amp;AS[[#This Row],[Insurer Code]]&amp;"; "&amp;O4623&amp;AS[[#This Row],[Reporting Year]]&amp;"; "&amp;P4623&amp;AS[[#This Row],[Insurance Category Code]]&amp;"; "&amp;Q4623&amp;AS[[#This Row],[Large Provider Entity Code]]&amp;"; "&amp;R4623&amp;AS[[#This Row],[Age Band Code]]&amp;"; "&amp;S4623&amp;AS[[#This Row],[Sex Code]]</f>
        <v xml:space="preserve">Insurer Code ; Reporting Year ; Insurance Category Code ; Large Provider Entity Code ; Age Band Code ; Sex Code </v>
      </c>
      <c r="N4623" s="345" t="s">
        <v>207</v>
      </c>
      <c r="O4623" s="345" t="s">
        <v>208</v>
      </c>
      <c r="P4623" s="345" t="s">
        <v>209</v>
      </c>
      <c r="Q4623" s="345" t="s">
        <v>210</v>
      </c>
      <c r="R4623" s="345" t="s">
        <v>223</v>
      </c>
      <c r="S4623" s="345" t="s">
        <v>224</v>
      </c>
    </row>
    <row r="4624" spans="1:19" x14ac:dyDescent="0.25">
      <c r="A4624" s="311"/>
      <c r="B4624" s="312"/>
      <c r="C4624" s="312"/>
      <c r="D4624" s="312"/>
      <c r="E4624" s="312"/>
      <c r="F4624" s="312"/>
      <c r="G4624" s="328"/>
      <c r="H4624" s="453"/>
      <c r="I4624" s="334"/>
      <c r="J4624" s="314"/>
      <c r="K4624" s="454"/>
      <c r="M4624" s="349" t="str">
        <f>N4624&amp;AS[[#This Row],[Insurer Code]]&amp;"; "&amp;O4624&amp;AS[[#This Row],[Reporting Year]]&amp;"; "&amp;P4624&amp;AS[[#This Row],[Insurance Category Code]]&amp;"; "&amp;Q4624&amp;AS[[#This Row],[Large Provider Entity Code]]&amp;"; "&amp;R4624&amp;AS[[#This Row],[Age Band Code]]&amp;"; "&amp;S4624&amp;AS[[#This Row],[Sex Code]]</f>
        <v xml:space="preserve">Insurer Code ; Reporting Year ; Insurance Category Code ; Large Provider Entity Code ; Age Band Code ; Sex Code </v>
      </c>
      <c r="N4624" s="345" t="s">
        <v>207</v>
      </c>
      <c r="O4624" s="345" t="s">
        <v>208</v>
      </c>
      <c r="P4624" s="345" t="s">
        <v>209</v>
      </c>
      <c r="Q4624" s="345" t="s">
        <v>210</v>
      </c>
      <c r="R4624" s="345" t="s">
        <v>223</v>
      </c>
      <c r="S4624" s="345" t="s">
        <v>224</v>
      </c>
    </row>
    <row r="4625" spans="1:19" x14ac:dyDescent="0.25">
      <c r="A4625" s="311"/>
      <c r="B4625" s="312"/>
      <c r="C4625" s="312"/>
      <c r="D4625" s="312"/>
      <c r="E4625" s="312"/>
      <c r="F4625" s="312"/>
      <c r="G4625" s="328"/>
      <c r="H4625" s="453"/>
      <c r="I4625" s="334"/>
      <c r="J4625" s="314"/>
      <c r="K4625" s="454"/>
      <c r="M4625" s="349" t="str">
        <f>N4625&amp;AS[[#This Row],[Insurer Code]]&amp;"; "&amp;O4625&amp;AS[[#This Row],[Reporting Year]]&amp;"; "&amp;P4625&amp;AS[[#This Row],[Insurance Category Code]]&amp;"; "&amp;Q4625&amp;AS[[#This Row],[Large Provider Entity Code]]&amp;"; "&amp;R4625&amp;AS[[#This Row],[Age Band Code]]&amp;"; "&amp;S4625&amp;AS[[#This Row],[Sex Code]]</f>
        <v xml:space="preserve">Insurer Code ; Reporting Year ; Insurance Category Code ; Large Provider Entity Code ; Age Band Code ; Sex Code </v>
      </c>
      <c r="N4625" s="345" t="s">
        <v>207</v>
      </c>
      <c r="O4625" s="345" t="s">
        <v>208</v>
      </c>
      <c r="P4625" s="345" t="s">
        <v>209</v>
      </c>
      <c r="Q4625" s="345" t="s">
        <v>210</v>
      </c>
      <c r="R4625" s="345" t="s">
        <v>223</v>
      </c>
      <c r="S4625" s="345" t="s">
        <v>224</v>
      </c>
    </row>
    <row r="4626" spans="1:19" x14ac:dyDescent="0.25">
      <c r="A4626" s="311"/>
      <c r="B4626" s="312"/>
      <c r="C4626" s="312"/>
      <c r="D4626" s="312"/>
      <c r="E4626" s="312"/>
      <c r="F4626" s="312"/>
      <c r="G4626" s="328"/>
      <c r="H4626" s="453"/>
      <c r="I4626" s="334"/>
      <c r="J4626" s="314"/>
      <c r="K4626" s="454"/>
      <c r="M4626" s="349" t="str">
        <f>N4626&amp;AS[[#This Row],[Insurer Code]]&amp;"; "&amp;O4626&amp;AS[[#This Row],[Reporting Year]]&amp;"; "&amp;P4626&amp;AS[[#This Row],[Insurance Category Code]]&amp;"; "&amp;Q4626&amp;AS[[#This Row],[Large Provider Entity Code]]&amp;"; "&amp;R4626&amp;AS[[#This Row],[Age Band Code]]&amp;"; "&amp;S4626&amp;AS[[#This Row],[Sex Code]]</f>
        <v xml:space="preserve">Insurer Code ; Reporting Year ; Insurance Category Code ; Large Provider Entity Code ; Age Band Code ; Sex Code </v>
      </c>
      <c r="N4626" s="345" t="s">
        <v>207</v>
      </c>
      <c r="O4626" s="345" t="s">
        <v>208</v>
      </c>
      <c r="P4626" s="345" t="s">
        <v>209</v>
      </c>
      <c r="Q4626" s="345" t="s">
        <v>210</v>
      </c>
      <c r="R4626" s="345" t="s">
        <v>223</v>
      </c>
      <c r="S4626" s="345" t="s">
        <v>224</v>
      </c>
    </row>
    <row r="4627" spans="1:19" x14ac:dyDescent="0.25">
      <c r="A4627" s="311"/>
      <c r="B4627" s="312"/>
      <c r="C4627" s="312"/>
      <c r="D4627" s="312"/>
      <c r="E4627" s="312"/>
      <c r="F4627" s="312"/>
      <c r="G4627" s="328"/>
      <c r="H4627" s="453"/>
      <c r="I4627" s="334"/>
      <c r="J4627" s="314"/>
      <c r="K4627" s="454"/>
      <c r="M4627" s="349" t="str">
        <f>N4627&amp;AS[[#This Row],[Insurer Code]]&amp;"; "&amp;O4627&amp;AS[[#This Row],[Reporting Year]]&amp;"; "&amp;P4627&amp;AS[[#This Row],[Insurance Category Code]]&amp;"; "&amp;Q4627&amp;AS[[#This Row],[Large Provider Entity Code]]&amp;"; "&amp;R4627&amp;AS[[#This Row],[Age Band Code]]&amp;"; "&amp;S4627&amp;AS[[#This Row],[Sex Code]]</f>
        <v xml:space="preserve">Insurer Code ; Reporting Year ; Insurance Category Code ; Large Provider Entity Code ; Age Band Code ; Sex Code </v>
      </c>
      <c r="N4627" s="345" t="s">
        <v>207</v>
      </c>
      <c r="O4627" s="345" t="s">
        <v>208</v>
      </c>
      <c r="P4627" s="345" t="s">
        <v>209</v>
      </c>
      <c r="Q4627" s="345" t="s">
        <v>210</v>
      </c>
      <c r="R4627" s="345" t="s">
        <v>223</v>
      </c>
      <c r="S4627" s="345" t="s">
        <v>224</v>
      </c>
    </row>
    <row r="4628" spans="1:19" x14ac:dyDescent="0.25">
      <c r="A4628" s="311"/>
      <c r="B4628" s="312"/>
      <c r="C4628" s="312"/>
      <c r="D4628" s="312"/>
      <c r="E4628" s="312"/>
      <c r="F4628" s="312"/>
      <c r="G4628" s="328"/>
      <c r="H4628" s="453"/>
      <c r="I4628" s="334"/>
      <c r="J4628" s="314"/>
      <c r="K4628" s="454"/>
      <c r="M4628" s="349" t="str">
        <f>N4628&amp;AS[[#This Row],[Insurer Code]]&amp;"; "&amp;O4628&amp;AS[[#This Row],[Reporting Year]]&amp;"; "&amp;P4628&amp;AS[[#This Row],[Insurance Category Code]]&amp;"; "&amp;Q4628&amp;AS[[#This Row],[Large Provider Entity Code]]&amp;"; "&amp;R4628&amp;AS[[#This Row],[Age Band Code]]&amp;"; "&amp;S4628&amp;AS[[#This Row],[Sex Code]]</f>
        <v xml:space="preserve">Insurer Code ; Reporting Year ; Insurance Category Code ; Large Provider Entity Code ; Age Band Code ; Sex Code </v>
      </c>
      <c r="N4628" s="345" t="s">
        <v>207</v>
      </c>
      <c r="O4628" s="345" t="s">
        <v>208</v>
      </c>
      <c r="P4628" s="345" t="s">
        <v>209</v>
      </c>
      <c r="Q4628" s="345" t="s">
        <v>210</v>
      </c>
      <c r="R4628" s="345" t="s">
        <v>223</v>
      </c>
      <c r="S4628" s="345" t="s">
        <v>224</v>
      </c>
    </row>
    <row r="4629" spans="1:19" x14ac:dyDescent="0.25">
      <c r="A4629" s="311"/>
      <c r="B4629" s="312"/>
      <c r="C4629" s="312"/>
      <c r="D4629" s="312"/>
      <c r="E4629" s="312"/>
      <c r="F4629" s="312"/>
      <c r="G4629" s="328"/>
      <c r="H4629" s="453"/>
      <c r="I4629" s="334"/>
      <c r="J4629" s="314"/>
      <c r="K4629" s="454"/>
      <c r="M4629" s="349" t="str">
        <f>N4629&amp;AS[[#This Row],[Insurer Code]]&amp;"; "&amp;O4629&amp;AS[[#This Row],[Reporting Year]]&amp;"; "&amp;P4629&amp;AS[[#This Row],[Insurance Category Code]]&amp;"; "&amp;Q4629&amp;AS[[#This Row],[Large Provider Entity Code]]&amp;"; "&amp;R4629&amp;AS[[#This Row],[Age Band Code]]&amp;"; "&amp;S4629&amp;AS[[#This Row],[Sex Code]]</f>
        <v xml:space="preserve">Insurer Code ; Reporting Year ; Insurance Category Code ; Large Provider Entity Code ; Age Band Code ; Sex Code </v>
      </c>
      <c r="N4629" s="345" t="s">
        <v>207</v>
      </c>
      <c r="O4629" s="345" t="s">
        <v>208</v>
      </c>
      <c r="P4629" s="345" t="s">
        <v>209</v>
      </c>
      <c r="Q4629" s="345" t="s">
        <v>210</v>
      </c>
      <c r="R4629" s="345" t="s">
        <v>223</v>
      </c>
      <c r="S4629" s="345" t="s">
        <v>224</v>
      </c>
    </row>
    <row r="4630" spans="1:19" x14ac:dyDescent="0.25">
      <c r="A4630" s="311"/>
      <c r="B4630" s="312"/>
      <c r="C4630" s="312"/>
      <c r="D4630" s="312"/>
      <c r="E4630" s="312"/>
      <c r="F4630" s="312"/>
      <c r="G4630" s="328"/>
      <c r="H4630" s="453"/>
      <c r="I4630" s="334"/>
      <c r="J4630" s="314"/>
      <c r="K4630" s="454"/>
      <c r="M4630" s="349" t="str">
        <f>N4630&amp;AS[[#This Row],[Insurer Code]]&amp;"; "&amp;O4630&amp;AS[[#This Row],[Reporting Year]]&amp;"; "&amp;P4630&amp;AS[[#This Row],[Insurance Category Code]]&amp;"; "&amp;Q4630&amp;AS[[#This Row],[Large Provider Entity Code]]&amp;"; "&amp;R4630&amp;AS[[#This Row],[Age Band Code]]&amp;"; "&amp;S4630&amp;AS[[#This Row],[Sex Code]]</f>
        <v xml:space="preserve">Insurer Code ; Reporting Year ; Insurance Category Code ; Large Provider Entity Code ; Age Band Code ; Sex Code </v>
      </c>
      <c r="N4630" s="345" t="s">
        <v>207</v>
      </c>
      <c r="O4630" s="345" t="s">
        <v>208</v>
      </c>
      <c r="P4630" s="345" t="s">
        <v>209</v>
      </c>
      <c r="Q4630" s="345" t="s">
        <v>210</v>
      </c>
      <c r="R4630" s="345" t="s">
        <v>223</v>
      </c>
      <c r="S4630" s="345" t="s">
        <v>224</v>
      </c>
    </row>
    <row r="4631" spans="1:19" x14ac:dyDescent="0.25">
      <c r="A4631" s="311"/>
      <c r="B4631" s="312"/>
      <c r="C4631" s="312"/>
      <c r="D4631" s="312"/>
      <c r="E4631" s="312"/>
      <c r="F4631" s="312"/>
      <c r="G4631" s="313"/>
      <c r="H4631" s="336"/>
      <c r="I4631" s="334"/>
      <c r="J4631" s="332"/>
      <c r="K4631" s="449"/>
      <c r="M4631" s="349" t="str">
        <f>N4631&amp;AS[[#This Row],[Insurer Code]]&amp;"; "&amp;O4631&amp;AS[[#This Row],[Reporting Year]]&amp;"; "&amp;P4631&amp;AS[[#This Row],[Insurance Category Code]]&amp;"; "&amp;Q4631&amp;AS[[#This Row],[Large Provider Entity Code]]&amp;"; "&amp;R4631&amp;AS[[#This Row],[Age Band Code]]&amp;"; "&amp;S4631&amp;AS[[#This Row],[Sex Code]]</f>
        <v xml:space="preserve">Insurer Code ; Reporting Year ; Insurance Category Code ; Large Provider Entity Code ; Age Band Code ; Sex Code </v>
      </c>
      <c r="N4631" s="345" t="s">
        <v>207</v>
      </c>
      <c r="O4631" s="345" t="s">
        <v>208</v>
      </c>
      <c r="P4631" s="345" t="s">
        <v>209</v>
      </c>
      <c r="Q4631" s="345" t="s">
        <v>210</v>
      </c>
      <c r="R4631" s="345" t="s">
        <v>223</v>
      </c>
      <c r="S4631" s="345" t="s">
        <v>224</v>
      </c>
    </row>
    <row r="4632" spans="1:19" x14ac:dyDescent="0.25">
      <c r="A4632" s="311"/>
      <c r="B4632" s="312"/>
      <c r="C4632" s="312"/>
      <c r="D4632" s="312"/>
      <c r="E4632" s="312"/>
      <c r="F4632" s="312"/>
      <c r="G4632" s="335"/>
      <c r="H4632" s="336"/>
      <c r="I4632" s="334"/>
      <c r="J4632" s="332"/>
      <c r="K4632" s="449"/>
      <c r="M4632" s="349" t="str">
        <f>N4632&amp;AS[[#This Row],[Insurer Code]]&amp;"; "&amp;O4632&amp;AS[[#This Row],[Reporting Year]]&amp;"; "&amp;P4632&amp;AS[[#This Row],[Insurance Category Code]]&amp;"; "&amp;Q4632&amp;AS[[#This Row],[Large Provider Entity Code]]&amp;"; "&amp;R4632&amp;AS[[#This Row],[Age Band Code]]&amp;"; "&amp;S4632&amp;AS[[#This Row],[Sex Code]]</f>
        <v xml:space="preserve">Insurer Code ; Reporting Year ; Insurance Category Code ; Large Provider Entity Code ; Age Band Code ; Sex Code </v>
      </c>
      <c r="N4632" s="345" t="s">
        <v>207</v>
      </c>
      <c r="O4632" s="345" t="s">
        <v>208</v>
      </c>
      <c r="P4632" s="345" t="s">
        <v>209</v>
      </c>
      <c r="Q4632" s="345" t="s">
        <v>210</v>
      </c>
      <c r="R4632" s="345" t="s">
        <v>223</v>
      </c>
      <c r="S4632" s="345" t="s">
        <v>224</v>
      </c>
    </row>
    <row r="4633" spans="1:19" x14ac:dyDescent="0.25">
      <c r="A4633" s="311"/>
      <c r="B4633" s="312"/>
      <c r="C4633" s="312"/>
      <c r="D4633" s="312"/>
      <c r="E4633" s="312"/>
      <c r="F4633" s="312"/>
      <c r="G4633" s="313"/>
      <c r="H4633" s="336"/>
      <c r="I4633" s="334"/>
      <c r="J4633" s="332"/>
      <c r="K4633" s="449"/>
      <c r="M4633" s="349" t="str">
        <f>N4633&amp;AS[[#This Row],[Insurer Code]]&amp;"; "&amp;O4633&amp;AS[[#This Row],[Reporting Year]]&amp;"; "&amp;P4633&amp;AS[[#This Row],[Insurance Category Code]]&amp;"; "&amp;Q4633&amp;AS[[#This Row],[Large Provider Entity Code]]&amp;"; "&amp;R4633&amp;AS[[#This Row],[Age Band Code]]&amp;"; "&amp;S4633&amp;AS[[#This Row],[Sex Code]]</f>
        <v xml:space="preserve">Insurer Code ; Reporting Year ; Insurance Category Code ; Large Provider Entity Code ; Age Band Code ; Sex Code </v>
      </c>
      <c r="N4633" s="345" t="s">
        <v>207</v>
      </c>
      <c r="O4633" s="345" t="s">
        <v>208</v>
      </c>
      <c r="P4633" s="345" t="s">
        <v>209</v>
      </c>
      <c r="Q4633" s="345" t="s">
        <v>210</v>
      </c>
      <c r="R4633" s="345" t="s">
        <v>223</v>
      </c>
      <c r="S4633" s="345" t="s">
        <v>224</v>
      </c>
    </row>
    <row r="4634" spans="1:19" x14ac:dyDescent="0.25">
      <c r="A4634" s="311"/>
      <c r="B4634" s="312"/>
      <c r="C4634" s="312"/>
      <c r="D4634" s="312"/>
      <c r="E4634" s="312"/>
      <c r="F4634" s="312"/>
      <c r="G4634" s="335"/>
      <c r="H4634" s="336"/>
      <c r="I4634" s="334"/>
      <c r="J4634" s="332"/>
      <c r="K4634" s="449"/>
      <c r="M4634" s="349" t="str">
        <f>N4634&amp;AS[[#This Row],[Insurer Code]]&amp;"; "&amp;O4634&amp;AS[[#This Row],[Reporting Year]]&amp;"; "&amp;P4634&amp;AS[[#This Row],[Insurance Category Code]]&amp;"; "&amp;Q4634&amp;AS[[#This Row],[Large Provider Entity Code]]&amp;"; "&amp;R4634&amp;AS[[#This Row],[Age Band Code]]&amp;"; "&amp;S4634&amp;AS[[#This Row],[Sex Code]]</f>
        <v xml:space="preserve">Insurer Code ; Reporting Year ; Insurance Category Code ; Large Provider Entity Code ; Age Band Code ; Sex Code </v>
      </c>
      <c r="N4634" s="345" t="s">
        <v>207</v>
      </c>
      <c r="O4634" s="345" t="s">
        <v>208</v>
      </c>
      <c r="P4634" s="345" t="s">
        <v>209</v>
      </c>
      <c r="Q4634" s="345" t="s">
        <v>210</v>
      </c>
      <c r="R4634" s="345" t="s">
        <v>223</v>
      </c>
      <c r="S4634" s="345" t="s">
        <v>224</v>
      </c>
    </row>
    <row r="4635" spans="1:19" x14ac:dyDescent="0.25">
      <c r="A4635" s="311"/>
      <c r="B4635" s="312"/>
      <c r="C4635" s="312"/>
      <c r="D4635" s="312"/>
      <c r="E4635" s="312"/>
      <c r="F4635" s="312"/>
      <c r="G4635" s="335"/>
      <c r="H4635" s="336"/>
      <c r="I4635" s="334"/>
      <c r="J4635" s="332"/>
      <c r="K4635" s="449"/>
      <c r="M4635" s="349" t="str">
        <f>N4635&amp;AS[[#This Row],[Insurer Code]]&amp;"; "&amp;O4635&amp;AS[[#This Row],[Reporting Year]]&amp;"; "&amp;P4635&amp;AS[[#This Row],[Insurance Category Code]]&amp;"; "&amp;Q4635&amp;AS[[#This Row],[Large Provider Entity Code]]&amp;"; "&amp;R4635&amp;AS[[#This Row],[Age Band Code]]&amp;"; "&amp;S4635&amp;AS[[#This Row],[Sex Code]]</f>
        <v xml:space="preserve">Insurer Code ; Reporting Year ; Insurance Category Code ; Large Provider Entity Code ; Age Band Code ; Sex Code </v>
      </c>
      <c r="N4635" s="345" t="s">
        <v>207</v>
      </c>
      <c r="O4635" s="345" t="s">
        <v>208</v>
      </c>
      <c r="P4635" s="345" t="s">
        <v>209</v>
      </c>
      <c r="Q4635" s="345" t="s">
        <v>210</v>
      </c>
      <c r="R4635" s="345" t="s">
        <v>223</v>
      </c>
      <c r="S4635" s="345" t="s">
        <v>224</v>
      </c>
    </row>
    <row r="4636" spans="1:19" x14ac:dyDescent="0.25">
      <c r="A4636" s="311"/>
      <c r="B4636" s="312"/>
      <c r="C4636" s="312"/>
      <c r="D4636" s="312"/>
      <c r="E4636" s="312"/>
      <c r="F4636" s="312"/>
      <c r="G4636" s="313"/>
      <c r="H4636" s="336"/>
      <c r="I4636" s="334"/>
      <c r="J4636" s="332"/>
      <c r="K4636" s="449"/>
      <c r="M4636" s="349" t="str">
        <f>N4636&amp;AS[[#This Row],[Insurer Code]]&amp;"; "&amp;O4636&amp;AS[[#This Row],[Reporting Year]]&amp;"; "&amp;P4636&amp;AS[[#This Row],[Insurance Category Code]]&amp;"; "&amp;Q4636&amp;AS[[#This Row],[Large Provider Entity Code]]&amp;"; "&amp;R4636&amp;AS[[#This Row],[Age Band Code]]&amp;"; "&amp;S4636&amp;AS[[#This Row],[Sex Code]]</f>
        <v xml:space="preserve">Insurer Code ; Reporting Year ; Insurance Category Code ; Large Provider Entity Code ; Age Band Code ; Sex Code </v>
      </c>
      <c r="N4636" s="345" t="s">
        <v>207</v>
      </c>
      <c r="O4636" s="345" t="s">
        <v>208</v>
      </c>
      <c r="P4636" s="345" t="s">
        <v>209</v>
      </c>
      <c r="Q4636" s="345" t="s">
        <v>210</v>
      </c>
      <c r="R4636" s="345" t="s">
        <v>223</v>
      </c>
      <c r="S4636" s="345" t="s">
        <v>224</v>
      </c>
    </row>
    <row r="4637" spans="1:19" x14ac:dyDescent="0.25">
      <c r="A4637" s="311"/>
      <c r="B4637" s="312"/>
      <c r="C4637" s="312"/>
      <c r="D4637" s="312"/>
      <c r="E4637" s="312"/>
      <c r="F4637" s="312"/>
      <c r="G4637" s="313"/>
      <c r="H4637" s="336"/>
      <c r="I4637" s="334"/>
      <c r="J4637" s="332"/>
      <c r="K4637" s="449"/>
      <c r="M4637" s="349" t="str">
        <f>N4637&amp;AS[[#This Row],[Insurer Code]]&amp;"; "&amp;O4637&amp;AS[[#This Row],[Reporting Year]]&amp;"; "&amp;P4637&amp;AS[[#This Row],[Insurance Category Code]]&amp;"; "&amp;Q4637&amp;AS[[#This Row],[Large Provider Entity Code]]&amp;"; "&amp;R4637&amp;AS[[#This Row],[Age Band Code]]&amp;"; "&amp;S4637&amp;AS[[#This Row],[Sex Code]]</f>
        <v xml:space="preserve">Insurer Code ; Reporting Year ; Insurance Category Code ; Large Provider Entity Code ; Age Band Code ; Sex Code </v>
      </c>
      <c r="N4637" s="345" t="s">
        <v>207</v>
      </c>
      <c r="O4637" s="345" t="s">
        <v>208</v>
      </c>
      <c r="P4637" s="345" t="s">
        <v>209</v>
      </c>
      <c r="Q4637" s="345" t="s">
        <v>210</v>
      </c>
      <c r="R4637" s="345" t="s">
        <v>223</v>
      </c>
      <c r="S4637" s="345" t="s">
        <v>224</v>
      </c>
    </row>
    <row r="4638" spans="1:19" x14ac:dyDescent="0.25">
      <c r="A4638" s="311"/>
      <c r="B4638" s="312"/>
      <c r="C4638" s="312"/>
      <c r="D4638" s="312"/>
      <c r="E4638" s="312"/>
      <c r="F4638" s="312"/>
      <c r="G4638" s="313"/>
      <c r="H4638" s="336"/>
      <c r="I4638" s="334"/>
      <c r="J4638" s="332"/>
      <c r="K4638" s="449"/>
      <c r="M4638" s="349" t="str">
        <f>N4638&amp;AS[[#This Row],[Insurer Code]]&amp;"; "&amp;O4638&amp;AS[[#This Row],[Reporting Year]]&amp;"; "&amp;P4638&amp;AS[[#This Row],[Insurance Category Code]]&amp;"; "&amp;Q4638&amp;AS[[#This Row],[Large Provider Entity Code]]&amp;"; "&amp;R4638&amp;AS[[#This Row],[Age Band Code]]&amp;"; "&amp;S4638&amp;AS[[#This Row],[Sex Code]]</f>
        <v xml:space="preserve">Insurer Code ; Reporting Year ; Insurance Category Code ; Large Provider Entity Code ; Age Band Code ; Sex Code </v>
      </c>
      <c r="N4638" s="345" t="s">
        <v>207</v>
      </c>
      <c r="O4638" s="345" t="s">
        <v>208</v>
      </c>
      <c r="P4638" s="345" t="s">
        <v>209</v>
      </c>
      <c r="Q4638" s="345" t="s">
        <v>210</v>
      </c>
      <c r="R4638" s="345" t="s">
        <v>223</v>
      </c>
      <c r="S4638" s="345" t="s">
        <v>224</v>
      </c>
    </row>
    <row r="4639" spans="1:19" x14ac:dyDescent="0.25">
      <c r="A4639" s="311"/>
      <c r="B4639" s="312"/>
      <c r="C4639" s="312"/>
      <c r="D4639" s="312"/>
      <c r="E4639" s="312"/>
      <c r="F4639" s="312"/>
      <c r="G4639" s="335"/>
      <c r="H4639" s="336"/>
      <c r="I4639" s="334"/>
      <c r="J4639" s="332"/>
      <c r="K4639" s="449"/>
      <c r="M4639" s="349" t="str">
        <f>N4639&amp;AS[[#This Row],[Insurer Code]]&amp;"; "&amp;O4639&amp;AS[[#This Row],[Reporting Year]]&amp;"; "&amp;P4639&amp;AS[[#This Row],[Insurance Category Code]]&amp;"; "&amp;Q4639&amp;AS[[#This Row],[Large Provider Entity Code]]&amp;"; "&amp;R4639&amp;AS[[#This Row],[Age Band Code]]&amp;"; "&amp;S4639&amp;AS[[#This Row],[Sex Code]]</f>
        <v xml:space="preserve">Insurer Code ; Reporting Year ; Insurance Category Code ; Large Provider Entity Code ; Age Band Code ; Sex Code </v>
      </c>
      <c r="N4639" s="345" t="s">
        <v>207</v>
      </c>
      <c r="O4639" s="345" t="s">
        <v>208</v>
      </c>
      <c r="P4639" s="345" t="s">
        <v>209</v>
      </c>
      <c r="Q4639" s="345" t="s">
        <v>210</v>
      </c>
      <c r="R4639" s="345" t="s">
        <v>223</v>
      </c>
      <c r="S4639" s="345" t="s">
        <v>224</v>
      </c>
    </row>
    <row r="4640" spans="1:19" x14ac:dyDescent="0.25">
      <c r="A4640" s="311"/>
      <c r="B4640" s="312"/>
      <c r="C4640" s="312"/>
      <c r="D4640" s="312"/>
      <c r="E4640" s="312"/>
      <c r="F4640" s="312"/>
      <c r="G4640" s="313"/>
      <c r="H4640" s="336"/>
      <c r="I4640" s="334"/>
      <c r="J4640" s="332"/>
      <c r="K4640" s="449"/>
      <c r="M4640" s="349" t="str">
        <f>N4640&amp;AS[[#This Row],[Insurer Code]]&amp;"; "&amp;O4640&amp;AS[[#This Row],[Reporting Year]]&amp;"; "&amp;P4640&amp;AS[[#This Row],[Insurance Category Code]]&amp;"; "&amp;Q4640&amp;AS[[#This Row],[Large Provider Entity Code]]&amp;"; "&amp;R4640&amp;AS[[#This Row],[Age Band Code]]&amp;"; "&amp;S4640&amp;AS[[#This Row],[Sex Code]]</f>
        <v xml:space="preserve">Insurer Code ; Reporting Year ; Insurance Category Code ; Large Provider Entity Code ; Age Band Code ; Sex Code </v>
      </c>
      <c r="N4640" s="345" t="s">
        <v>207</v>
      </c>
      <c r="O4640" s="345" t="s">
        <v>208</v>
      </c>
      <c r="P4640" s="345" t="s">
        <v>209</v>
      </c>
      <c r="Q4640" s="345" t="s">
        <v>210</v>
      </c>
      <c r="R4640" s="345" t="s">
        <v>223</v>
      </c>
      <c r="S4640" s="345" t="s">
        <v>224</v>
      </c>
    </row>
    <row r="4641" spans="1:19" x14ac:dyDescent="0.25">
      <c r="A4641" s="311"/>
      <c r="B4641" s="312"/>
      <c r="C4641" s="312"/>
      <c r="D4641" s="312"/>
      <c r="E4641" s="312"/>
      <c r="F4641" s="312"/>
      <c r="G4641" s="328"/>
      <c r="H4641" s="337"/>
      <c r="I4641" s="334"/>
      <c r="J4641" s="314"/>
      <c r="K4641" s="449"/>
      <c r="M4641" s="349" t="str">
        <f>N4641&amp;AS[[#This Row],[Insurer Code]]&amp;"; "&amp;O4641&amp;AS[[#This Row],[Reporting Year]]&amp;"; "&amp;P4641&amp;AS[[#This Row],[Insurance Category Code]]&amp;"; "&amp;Q4641&amp;AS[[#This Row],[Large Provider Entity Code]]&amp;"; "&amp;R4641&amp;AS[[#This Row],[Age Band Code]]&amp;"; "&amp;S4641&amp;AS[[#This Row],[Sex Code]]</f>
        <v xml:space="preserve">Insurer Code ; Reporting Year ; Insurance Category Code ; Large Provider Entity Code ; Age Band Code ; Sex Code </v>
      </c>
      <c r="N4641" s="345" t="s">
        <v>207</v>
      </c>
      <c r="O4641" s="345" t="s">
        <v>208</v>
      </c>
      <c r="P4641" s="345" t="s">
        <v>209</v>
      </c>
      <c r="Q4641" s="345" t="s">
        <v>210</v>
      </c>
      <c r="R4641" s="345" t="s">
        <v>223</v>
      </c>
      <c r="S4641" s="345" t="s">
        <v>224</v>
      </c>
    </row>
    <row r="4642" spans="1:19" x14ac:dyDescent="0.25">
      <c r="A4642" s="311"/>
      <c r="B4642" s="312"/>
      <c r="C4642" s="312"/>
      <c r="D4642" s="312"/>
      <c r="E4642" s="312"/>
      <c r="F4642" s="312"/>
      <c r="G4642" s="328"/>
      <c r="H4642" s="337"/>
      <c r="I4642" s="334"/>
      <c r="J4642" s="314"/>
      <c r="K4642" s="449"/>
      <c r="M4642" s="349" t="str">
        <f>N4642&amp;AS[[#This Row],[Insurer Code]]&amp;"; "&amp;O4642&amp;AS[[#This Row],[Reporting Year]]&amp;"; "&amp;P4642&amp;AS[[#This Row],[Insurance Category Code]]&amp;"; "&amp;Q4642&amp;AS[[#This Row],[Large Provider Entity Code]]&amp;"; "&amp;R4642&amp;AS[[#This Row],[Age Band Code]]&amp;"; "&amp;S4642&amp;AS[[#This Row],[Sex Code]]</f>
        <v xml:space="preserve">Insurer Code ; Reporting Year ; Insurance Category Code ; Large Provider Entity Code ; Age Band Code ; Sex Code </v>
      </c>
      <c r="N4642" s="345" t="s">
        <v>207</v>
      </c>
      <c r="O4642" s="345" t="s">
        <v>208</v>
      </c>
      <c r="P4642" s="345" t="s">
        <v>209</v>
      </c>
      <c r="Q4642" s="345" t="s">
        <v>210</v>
      </c>
      <c r="R4642" s="345" t="s">
        <v>223</v>
      </c>
      <c r="S4642" s="345" t="s">
        <v>224</v>
      </c>
    </row>
    <row r="4643" spans="1:19" x14ac:dyDescent="0.25">
      <c r="A4643" s="311"/>
      <c r="B4643" s="312"/>
      <c r="C4643" s="312"/>
      <c r="D4643" s="312"/>
      <c r="E4643" s="312"/>
      <c r="F4643" s="312"/>
      <c r="G4643" s="328"/>
      <c r="H4643" s="337"/>
      <c r="I4643" s="334"/>
      <c r="J4643" s="314"/>
      <c r="K4643" s="449"/>
      <c r="M4643" s="349" t="str">
        <f>N4643&amp;AS[[#This Row],[Insurer Code]]&amp;"; "&amp;O4643&amp;AS[[#This Row],[Reporting Year]]&amp;"; "&amp;P4643&amp;AS[[#This Row],[Insurance Category Code]]&amp;"; "&amp;Q4643&amp;AS[[#This Row],[Large Provider Entity Code]]&amp;"; "&amp;R4643&amp;AS[[#This Row],[Age Band Code]]&amp;"; "&amp;S4643&amp;AS[[#This Row],[Sex Code]]</f>
        <v xml:space="preserve">Insurer Code ; Reporting Year ; Insurance Category Code ; Large Provider Entity Code ; Age Band Code ; Sex Code </v>
      </c>
      <c r="N4643" s="345" t="s">
        <v>207</v>
      </c>
      <c r="O4643" s="345" t="s">
        <v>208</v>
      </c>
      <c r="P4643" s="345" t="s">
        <v>209</v>
      </c>
      <c r="Q4643" s="345" t="s">
        <v>210</v>
      </c>
      <c r="R4643" s="345" t="s">
        <v>223</v>
      </c>
      <c r="S4643" s="345" t="s">
        <v>224</v>
      </c>
    </row>
    <row r="4644" spans="1:19" x14ac:dyDescent="0.25">
      <c r="A4644" s="311"/>
      <c r="B4644" s="312"/>
      <c r="C4644" s="312"/>
      <c r="D4644" s="312"/>
      <c r="E4644" s="312"/>
      <c r="F4644" s="312"/>
      <c r="G4644" s="328"/>
      <c r="H4644" s="337"/>
      <c r="I4644" s="334"/>
      <c r="J4644" s="314"/>
      <c r="K4644" s="449"/>
      <c r="M4644" s="349" t="str">
        <f>N4644&amp;AS[[#This Row],[Insurer Code]]&amp;"; "&amp;O4644&amp;AS[[#This Row],[Reporting Year]]&amp;"; "&amp;P4644&amp;AS[[#This Row],[Insurance Category Code]]&amp;"; "&amp;Q4644&amp;AS[[#This Row],[Large Provider Entity Code]]&amp;"; "&amp;R4644&amp;AS[[#This Row],[Age Band Code]]&amp;"; "&amp;S4644&amp;AS[[#This Row],[Sex Code]]</f>
        <v xml:space="preserve">Insurer Code ; Reporting Year ; Insurance Category Code ; Large Provider Entity Code ; Age Band Code ; Sex Code </v>
      </c>
      <c r="N4644" s="345" t="s">
        <v>207</v>
      </c>
      <c r="O4644" s="345" t="s">
        <v>208</v>
      </c>
      <c r="P4644" s="345" t="s">
        <v>209</v>
      </c>
      <c r="Q4644" s="345" t="s">
        <v>210</v>
      </c>
      <c r="R4644" s="345" t="s">
        <v>223</v>
      </c>
      <c r="S4644" s="345" t="s">
        <v>224</v>
      </c>
    </row>
    <row r="4645" spans="1:19" x14ac:dyDescent="0.25">
      <c r="A4645" s="311"/>
      <c r="B4645" s="312"/>
      <c r="C4645" s="312"/>
      <c r="D4645" s="312"/>
      <c r="E4645" s="312"/>
      <c r="F4645" s="312"/>
      <c r="G4645" s="328"/>
      <c r="H4645" s="337"/>
      <c r="I4645" s="334"/>
      <c r="J4645" s="314"/>
      <c r="K4645" s="449"/>
      <c r="M4645" s="349" t="str">
        <f>N4645&amp;AS[[#This Row],[Insurer Code]]&amp;"; "&amp;O4645&amp;AS[[#This Row],[Reporting Year]]&amp;"; "&amp;P4645&amp;AS[[#This Row],[Insurance Category Code]]&amp;"; "&amp;Q4645&amp;AS[[#This Row],[Large Provider Entity Code]]&amp;"; "&amp;R4645&amp;AS[[#This Row],[Age Band Code]]&amp;"; "&amp;S4645&amp;AS[[#This Row],[Sex Code]]</f>
        <v xml:space="preserve">Insurer Code ; Reporting Year ; Insurance Category Code ; Large Provider Entity Code ; Age Band Code ; Sex Code </v>
      </c>
      <c r="N4645" s="345" t="s">
        <v>207</v>
      </c>
      <c r="O4645" s="345" t="s">
        <v>208</v>
      </c>
      <c r="P4645" s="345" t="s">
        <v>209</v>
      </c>
      <c r="Q4645" s="345" t="s">
        <v>210</v>
      </c>
      <c r="R4645" s="345" t="s">
        <v>223</v>
      </c>
      <c r="S4645" s="345" t="s">
        <v>224</v>
      </c>
    </row>
    <row r="4646" spans="1:19" x14ac:dyDescent="0.25">
      <c r="A4646" s="311"/>
      <c r="B4646" s="312"/>
      <c r="C4646" s="312"/>
      <c r="D4646" s="312"/>
      <c r="E4646" s="312"/>
      <c r="F4646" s="312"/>
      <c r="G4646" s="328"/>
      <c r="H4646" s="337"/>
      <c r="I4646" s="334"/>
      <c r="J4646" s="314"/>
      <c r="K4646" s="449"/>
      <c r="M4646" s="349" t="str">
        <f>N4646&amp;AS[[#This Row],[Insurer Code]]&amp;"; "&amp;O4646&amp;AS[[#This Row],[Reporting Year]]&amp;"; "&amp;P4646&amp;AS[[#This Row],[Insurance Category Code]]&amp;"; "&amp;Q4646&amp;AS[[#This Row],[Large Provider Entity Code]]&amp;"; "&amp;R4646&amp;AS[[#This Row],[Age Band Code]]&amp;"; "&amp;S4646&amp;AS[[#This Row],[Sex Code]]</f>
        <v xml:space="preserve">Insurer Code ; Reporting Year ; Insurance Category Code ; Large Provider Entity Code ; Age Band Code ; Sex Code </v>
      </c>
      <c r="N4646" s="345" t="s">
        <v>207</v>
      </c>
      <c r="O4646" s="345" t="s">
        <v>208</v>
      </c>
      <c r="P4646" s="345" t="s">
        <v>209</v>
      </c>
      <c r="Q4646" s="345" t="s">
        <v>210</v>
      </c>
      <c r="R4646" s="345" t="s">
        <v>223</v>
      </c>
      <c r="S4646" s="345" t="s">
        <v>224</v>
      </c>
    </row>
    <row r="4647" spans="1:19" x14ac:dyDescent="0.25">
      <c r="A4647" s="311"/>
      <c r="B4647" s="312"/>
      <c r="C4647" s="312"/>
      <c r="D4647" s="312"/>
      <c r="E4647" s="312"/>
      <c r="F4647" s="312"/>
      <c r="G4647" s="328"/>
      <c r="H4647" s="337"/>
      <c r="I4647" s="334"/>
      <c r="J4647" s="314"/>
      <c r="K4647" s="449"/>
      <c r="M4647" s="349" t="str">
        <f>N4647&amp;AS[[#This Row],[Insurer Code]]&amp;"; "&amp;O4647&amp;AS[[#This Row],[Reporting Year]]&amp;"; "&amp;P4647&amp;AS[[#This Row],[Insurance Category Code]]&amp;"; "&amp;Q4647&amp;AS[[#This Row],[Large Provider Entity Code]]&amp;"; "&amp;R4647&amp;AS[[#This Row],[Age Band Code]]&amp;"; "&amp;S4647&amp;AS[[#This Row],[Sex Code]]</f>
        <v xml:space="preserve">Insurer Code ; Reporting Year ; Insurance Category Code ; Large Provider Entity Code ; Age Band Code ; Sex Code </v>
      </c>
      <c r="N4647" s="345" t="s">
        <v>207</v>
      </c>
      <c r="O4647" s="345" t="s">
        <v>208</v>
      </c>
      <c r="P4647" s="345" t="s">
        <v>209</v>
      </c>
      <c r="Q4647" s="345" t="s">
        <v>210</v>
      </c>
      <c r="R4647" s="345" t="s">
        <v>223</v>
      </c>
      <c r="S4647" s="345" t="s">
        <v>224</v>
      </c>
    </row>
    <row r="4648" spans="1:19" x14ac:dyDescent="0.25">
      <c r="A4648" s="311"/>
      <c r="B4648" s="312"/>
      <c r="C4648" s="312"/>
      <c r="D4648" s="312"/>
      <c r="E4648" s="312"/>
      <c r="F4648" s="312"/>
      <c r="G4648" s="328"/>
      <c r="H4648" s="337"/>
      <c r="I4648" s="334"/>
      <c r="J4648" s="314"/>
      <c r="K4648" s="449"/>
      <c r="M4648" s="349" t="str">
        <f>N4648&amp;AS[[#This Row],[Insurer Code]]&amp;"; "&amp;O4648&amp;AS[[#This Row],[Reporting Year]]&amp;"; "&amp;P4648&amp;AS[[#This Row],[Insurance Category Code]]&amp;"; "&amp;Q4648&amp;AS[[#This Row],[Large Provider Entity Code]]&amp;"; "&amp;R4648&amp;AS[[#This Row],[Age Band Code]]&amp;"; "&amp;S4648&amp;AS[[#This Row],[Sex Code]]</f>
        <v xml:space="preserve">Insurer Code ; Reporting Year ; Insurance Category Code ; Large Provider Entity Code ; Age Band Code ; Sex Code </v>
      </c>
      <c r="N4648" s="345" t="s">
        <v>207</v>
      </c>
      <c r="O4648" s="345" t="s">
        <v>208</v>
      </c>
      <c r="P4648" s="345" t="s">
        <v>209</v>
      </c>
      <c r="Q4648" s="345" t="s">
        <v>210</v>
      </c>
      <c r="R4648" s="345" t="s">
        <v>223</v>
      </c>
      <c r="S4648" s="345" t="s">
        <v>224</v>
      </c>
    </row>
    <row r="4649" spans="1:19" x14ac:dyDescent="0.25">
      <c r="A4649" s="311"/>
      <c r="B4649" s="312"/>
      <c r="C4649" s="312"/>
      <c r="D4649" s="312"/>
      <c r="E4649" s="312"/>
      <c r="F4649" s="312"/>
      <c r="G4649" s="328"/>
      <c r="H4649" s="337"/>
      <c r="I4649" s="334"/>
      <c r="J4649" s="314"/>
      <c r="K4649" s="449"/>
      <c r="M4649" s="349" t="str">
        <f>N4649&amp;AS[[#This Row],[Insurer Code]]&amp;"; "&amp;O4649&amp;AS[[#This Row],[Reporting Year]]&amp;"; "&amp;P4649&amp;AS[[#This Row],[Insurance Category Code]]&amp;"; "&amp;Q4649&amp;AS[[#This Row],[Large Provider Entity Code]]&amp;"; "&amp;R4649&amp;AS[[#This Row],[Age Band Code]]&amp;"; "&amp;S4649&amp;AS[[#This Row],[Sex Code]]</f>
        <v xml:space="preserve">Insurer Code ; Reporting Year ; Insurance Category Code ; Large Provider Entity Code ; Age Band Code ; Sex Code </v>
      </c>
      <c r="N4649" s="345" t="s">
        <v>207</v>
      </c>
      <c r="O4649" s="345" t="s">
        <v>208</v>
      </c>
      <c r="P4649" s="345" t="s">
        <v>209</v>
      </c>
      <c r="Q4649" s="345" t="s">
        <v>210</v>
      </c>
      <c r="R4649" s="345" t="s">
        <v>223</v>
      </c>
      <c r="S4649" s="345" t="s">
        <v>224</v>
      </c>
    </row>
    <row r="4650" spans="1:19" x14ac:dyDescent="0.25">
      <c r="A4650" s="311"/>
      <c r="B4650" s="312"/>
      <c r="C4650" s="312"/>
      <c r="D4650" s="312"/>
      <c r="E4650" s="312"/>
      <c r="F4650" s="312"/>
      <c r="G4650" s="328"/>
      <c r="H4650" s="337"/>
      <c r="I4650" s="334"/>
      <c r="J4650" s="314"/>
      <c r="K4650" s="449"/>
      <c r="M4650" s="349" t="str">
        <f>N4650&amp;AS[[#This Row],[Insurer Code]]&amp;"; "&amp;O4650&amp;AS[[#This Row],[Reporting Year]]&amp;"; "&amp;P4650&amp;AS[[#This Row],[Insurance Category Code]]&amp;"; "&amp;Q4650&amp;AS[[#This Row],[Large Provider Entity Code]]&amp;"; "&amp;R4650&amp;AS[[#This Row],[Age Band Code]]&amp;"; "&amp;S4650&amp;AS[[#This Row],[Sex Code]]</f>
        <v xml:space="preserve">Insurer Code ; Reporting Year ; Insurance Category Code ; Large Provider Entity Code ; Age Band Code ; Sex Code </v>
      </c>
      <c r="N4650" s="345" t="s">
        <v>207</v>
      </c>
      <c r="O4650" s="345" t="s">
        <v>208</v>
      </c>
      <c r="P4650" s="345" t="s">
        <v>209</v>
      </c>
      <c r="Q4650" s="345" t="s">
        <v>210</v>
      </c>
      <c r="R4650" s="345" t="s">
        <v>223</v>
      </c>
      <c r="S4650" s="345" t="s">
        <v>224</v>
      </c>
    </row>
    <row r="4651" spans="1:19" x14ac:dyDescent="0.25">
      <c r="A4651" s="311"/>
      <c r="B4651" s="312"/>
      <c r="C4651" s="312"/>
      <c r="D4651" s="312"/>
      <c r="E4651" s="312"/>
      <c r="F4651" s="312"/>
      <c r="G4651" s="328"/>
      <c r="H4651" s="337"/>
      <c r="I4651" s="334"/>
      <c r="J4651" s="314"/>
      <c r="K4651" s="449"/>
      <c r="M4651" s="349" t="str">
        <f>N4651&amp;AS[[#This Row],[Insurer Code]]&amp;"; "&amp;O4651&amp;AS[[#This Row],[Reporting Year]]&amp;"; "&amp;P4651&amp;AS[[#This Row],[Insurance Category Code]]&amp;"; "&amp;Q4651&amp;AS[[#This Row],[Large Provider Entity Code]]&amp;"; "&amp;R4651&amp;AS[[#This Row],[Age Band Code]]&amp;"; "&amp;S4651&amp;AS[[#This Row],[Sex Code]]</f>
        <v xml:space="preserve">Insurer Code ; Reporting Year ; Insurance Category Code ; Large Provider Entity Code ; Age Band Code ; Sex Code </v>
      </c>
      <c r="N4651" s="345" t="s">
        <v>207</v>
      </c>
      <c r="O4651" s="345" t="s">
        <v>208</v>
      </c>
      <c r="P4651" s="345" t="s">
        <v>209</v>
      </c>
      <c r="Q4651" s="345" t="s">
        <v>210</v>
      </c>
      <c r="R4651" s="345" t="s">
        <v>223</v>
      </c>
      <c r="S4651" s="345" t="s">
        <v>224</v>
      </c>
    </row>
    <row r="4652" spans="1:19" x14ac:dyDescent="0.25">
      <c r="A4652" s="311"/>
      <c r="B4652" s="312"/>
      <c r="C4652" s="312"/>
      <c r="D4652" s="312"/>
      <c r="E4652" s="312"/>
      <c r="F4652" s="312"/>
      <c r="G4652" s="328"/>
      <c r="H4652" s="337"/>
      <c r="I4652" s="334"/>
      <c r="J4652" s="314"/>
      <c r="K4652" s="449"/>
      <c r="M4652" s="349" t="str">
        <f>N4652&amp;AS[[#This Row],[Insurer Code]]&amp;"; "&amp;O4652&amp;AS[[#This Row],[Reporting Year]]&amp;"; "&amp;P4652&amp;AS[[#This Row],[Insurance Category Code]]&amp;"; "&amp;Q4652&amp;AS[[#This Row],[Large Provider Entity Code]]&amp;"; "&amp;R4652&amp;AS[[#This Row],[Age Band Code]]&amp;"; "&amp;S4652&amp;AS[[#This Row],[Sex Code]]</f>
        <v xml:space="preserve">Insurer Code ; Reporting Year ; Insurance Category Code ; Large Provider Entity Code ; Age Band Code ; Sex Code </v>
      </c>
      <c r="N4652" s="345" t="s">
        <v>207</v>
      </c>
      <c r="O4652" s="345" t="s">
        <v>208</v>
      </c>
      <c r="P4652" s="345" t="s">
        <v>209</v>
      </c>
      <c r="Q4652" s="345" t="s">
        <v>210</v>
      </c>
      <c r="R4652" s="345" t="s">
        <v>223</v>
      </c>
      <c r="S4652" s="345" t="s">
        <v>224</v>
      </c>
    </row>
    <row r="4653" spans="1:19" x14ac:dyDescent="0.25">
      <c r="A4653" s="311"/>
      <c r="B4653" s="312"/>
      <c r="C4653" s="312"/>
      <c r="D4653" s="312"/>
      <c r="E4653" s="312"/>
      <c r="F4653" s="312"/>
      <c r="G4653" s="328"/>
      <c r="H4653" s="337"/>
      <c r="I4653" s="334"/>
      <c r="J4653" s="314"/>
      <c r="K4653" s="449"/>
      <c r="M4653" s="349" t="str">
        <f>N4653&amp;AS[[#This Row],[Insurer Code]]&amp;"; "&amp;O4653&amp;AS[[#This Row],[Reporting Year]]&amp;"; "&amp;P4653&amp;AS[[#This Row],[Insurance Category Code]]&amp;"; "&amp;Q4653&amp;AS[[#This Row],[Large Provider Entity Code]]&amp;"; "&amp;R4653&amp;AS[[#This Row],[Age Band Code]]&amp;"; "&amp;S4653&amp;AS[[#This Row],[Sex Code]]</f>
        <v xml:space="preserve">Insurer Code ; Reporting Year ; Insurance Category Code ; Large Provider Entity Code ; Age Band Code ; Sex Code </v>
      </c>
      <c r="N4653" s="345" t="s">
        <v>207</v>
      </c>
      <c r="O4653" s="345" t="s">
        <v>208</v>
      </c>
      <c r="P4653" s="345" t="s">
        <v>209</v>
      </c>
      <c r="Q4653" s="345" t="s">
        <v>210</v>
      </c>
      <c r="R4653" s="345" t="s">
        <v>223</v>
      </c>
      <c r="S4653" s="345" t="s">
        <v>224</v>
      </c>
    </row>
    <row r="4654" spans="1:19" x14ac:dyDescent="0.25">
      <c r="A4654" s="311"/>
      <c r="B4654" s="312"/>
      <c r="C4654" s="312"/>
      <c r="D4654" s="312"/>
      <c r="E4654" s="312"/>
      <c r="F4654" s="312"/>
      <c r="G4654" s="328"/>
      <c r="H4654" s="337"/>
      <c r="I4654" s="334"/>
      <c r="J4654" s="314"/>
      <c r="K4654" s="449"/>
      <c r="M4654" s="349" t="str">
        <f>N4654&amp;AS[[#This Row],[Insurer Code]]&amp;"; "&amp;O4654&amp;AS[[#This Row],[Reporting Year]]&amp;"; "&amp;P4654&amp;AS[[#This Row],[Insurance Category Code]]&amp;"; "&amp;Q4654&amp;AS[[#This Row],[Large Provider Entity Code]]&amp;"; "&amp;R4654&amp;AS[[#This Row],[Age Band Code]]&amp;"; "&amp;S4654&amp;AS[[#This Row],[Sex Code]]</f>
        <v xml:space="preserve">Insurer Code ; Reporting Year ; Insurance Category Code ; Large Provider Entity Code ; Age Band Code ; Sex Code </v>
      </c>
      <c r="N4654" s="345" t="s">
        <v>207</v>
      </c>
      <c r="O4654" s="345" t="s">
        <v>208</v>
      </c>
      <c r="P4654" s="345" t="s">
        <v>209</v>
      </c>
      <c r="Q4654" s="345" t="s">
        <v>210</v>
      </c>
      <c r="R4654" s="345" t="s">
        <v>223</v>
      </c>
      <c r="S4654" s="345" t="s">
        <v>224</v>
      </c>
    </row>
    <row r="4655" spans="1:19" x14ac:dyDescent="0.25">
      <c r="A4655" s="311"/>
      <c r="B4655" s="312"/>
      <c r="C4655" s="312"/>
      <c r="D4655" s="312"/>
      <c r="E4655" s="312"/>
      <c r="F4655" s="312"/>
      <c r="G4655" s="328"/>
      <c r="H4655" s="337"/>
      <c r="I4655" s="334"/>
      <c r="J4655" s="314"/>
      <c r="K4655" s="449"/>
      <c r="M4655" s="349" t="str">
        <f>N4655&amp;AS[[#This Row],[Insurer Code]]&amp;"; "&amp;O4655&amp;AS[[#This Row],[Reporting Year]]&amp;"; "&amp;P4655&amp;AS[[#This Row],[Insurance Category Code]]&amp;"; "&amp;Q4655&amp;AS[[#This Row],[Large Provider Entity Code]]&amp;"; "&amp;R4655&amp;AS[[#This Row],[Age Band Code]]&amp;"; "&amp;S4655&amp;AS[[#This Row],[Sex Code]]</f>
        <v xml:space="preserve">Insurer Code ; Reporting Year ; Insurance Category Code ; Large Provider Entity Code ; Age Band Code ; Sex Code </v>
      </c>
      <c r="N4655" s="345" t="s">
        <v>207</v>
      </c>
      <c r="O4655" s="345" t="s">
        <v>208</v>
      </c>
      <c r="P4655" s="345" t="s">
        <v>209</v>
      </c>
      <c r="Q4655" s="345" t="s">
        <v>210</v>
      </c>
      <c r="R4655" s="345" t="s">
        <v>223</v>
      </c>
      <c r="S4655" s="345" t="s">
        <v>224</v>
      </c>
    </row>
    <row r="4656" spans="1:19" x14ac:dyDescent="0.25">
      <c r="A4656" s="311"/>
      <c r="B4656" s="312"/>
      <c r="C4656" s="312"/>
      <c r="D4656" s="312"/>
      <c r="E4656" s="312"/>
      <c r="F4656" s="312"/>
      <c r="G4656" s="328"/>
      <c r="H4656" s="337"/>
      <c r="I4656" s="334"/>
      <c r="J4656" s="314"/>
      <c r="K4656" s="449"/>
      <c r="M4656" s="349" t="str">
        <f>N4656&amp;AS[[#This Row],[Insurer Code]]&amp;"; "&amp;O4656&amp;AS[[#This Row],[Reporting Year]]&amp;"; "&amp;P4656&amp;AS[[#This Row],[Insurance Category Code]]&amp;"; "&amp;Q4656&amp;AS[[#This Row],[Large Provider Entity Code]]&amp;"; "&amp;R4656&amp;AS[[#This Row],[Age Band Code]]&amp;"; "&amp;S4656&amp;AS[[#This Row],[Sex Code]]</f>
        <v xml:space="preserve">Insurer Code ; Reporting Year ; Insurance Category Code ; Large Provider Entity Code ; Age Band Code ; Sex Code </v>
      </c>
      <c r="N4656" s="345" t="s">
        <v>207</v>
      </c>
      <c r="O4656" s="345" t="s">
        <v>208</v>
      </c>
      <c r="P4656" s="345" t="s">
        <v>209</v>
      </c>
      <c r="Q4656" s="345" t="s">
        <v>210</v>
      </c>
      <c r="R4656" s="345" t="s">
        <v>223</v>
      </c>
      <c r="S4656" s="345" t="s">
        <v>224</v>
      </c>
    </row>
    <row r="4657" spans="1:19" x14ac:dyDescent="0.25">
      <c r="A4657" s="311"/>
      <c r="B4657" s="312"/>
      <c r="C4657" s="312"/>
      <c r="D4657" s="312"/>
      <c r="E4657" s="312"/>
      <c r="F4657" s="312"/>
      <c r="G4657" s="328"/>
      <c r="H4657" s="337"/>
      <c r="I4657" s="334"/>
      <c r="J4657" s="314"/>
      <c r="K4657" s="449"/>
      <c r="M4657" s="349" t="str">
        <f>N4657&amp;AS[[#This Row],[Insurer Code]]&amp;"; "&amp;O4657&amp;AS[[#This Row],[Reporting Year]]&amp;"; "&amp;P4657&amp;AS[[#This Row],[Insurance Category Code]]&amp;"; "&amp;Q4657&amp;AS[[#This Row],[Large Provider Entity Code]]&amp;"; "&amp;R4657&amp;AS[[#This Row],[Age Band Code]]&amp;"; "&amp;S4657&amp;AS[[#This Row],[Sex Code]]</f>
        <v xml:space="preserve">Insurer Code ; Reporting Year ; Insurance Category Code ; Large Provider Entity Code ; Age Band Code ; Sex Code </v>
      </c>
      <c r="N4657" s="345" t="s">
        <v>207</v>
      </c>
      <c r="O4657" s="345" t="s">
        <v>208</v>
      </c>
      <c r="P4657" s="345" t="s">
        <v>209</v>
      </c>
      <c r="Q4657" s="345" t="s">
        <v>210</v>
      </c>
      <c r="R4657" s="345" t="s">
        <v>223</v>
      </c>
      <c r="S4657" s="345" t="s">
        <v>224</v>
      </c>
    </row>
    <row r="4658" spans="1:19" x14ac:dyDescent="0.25">
      <c r="A4658" s="311"/>
      <c r="B4658" s="312"/>
      <c r="C4658" s="312"/>
      <c r="D4658" s="312"/>
      <c r="E4658" s="312"/>
      <c r="F4658" s="312"/>
      <c r="G4658" s="328"/>
      <c r="H4658" s="337"/>
      <c r="I4658" s="334"/>
      <c r="J4658" s="314"/>
      <c r="K4658" s="449"/>
      <c r="M4658" s="349" t="str">
        <f>N4658&amp;AS[[#This Row],[Insurer Code]]&amp;"; "&amp;O4658&amp;AS[[#This Row],[Reporting Year]]&amp;"; "&amp;P4658&amp;AS[[#This Row],[Insurance Category Code]]&amp;"; "&amp;Q4658&amp;AS[[#This Row],[Large Provider Entity Code]]&amp;"; "&amp;R4658&amp;AS[[#This Row],[Age Band Code]]&amp;"; "&amp;S4658&amp;AS[[#This Row],[Sex Code]]</f>
        <v xml:space="preserve">Insurer Code ; Reporting Year ; Insurance Category Code ; Large Provider Entity Code ; Age Band Code ; Sex Code </v>
      </c>
      <c r="N4658" s="345" t="s">
        <v>207</v>
      </c>
      <c r="O4658" s="345" t="s">
        <v>208</v>
      </c>
      <c r="P4658" s="345" t="s">
        <v>209</v>
      </c>
      <c r="Q4658" s="345" t="s">
        <v>210</v>
      </c>
      <c r="R4658" s="345" t="s">
        <v>223</v>
      </c>
      <c r="S4658" s="345" t="s">
        <v>224</v>
      </c>
    </row>
    <row r="4659" spans="1:19" x14ac:dyDescent="0.25">
      <c r="A4659" s="311"/>
      <c r="B4659" s="312"/>
      <c r="C4659" s="312"/>
      <c r="D4659" s="312"/>
      <c r="E4659" s="312"/>
      <c r="F4659" s="312"/>
      <c r="G4659" s="328"/>
      <c r="H4659" s="337"/>
      <c r="I4659" s="334"/>
      <c r="J4659" s="314"/>
      <c r="K4659" s="449"/>
      <c r="M4659" s="349" t="str">
        <f>N4659&amp;AS[[#This Row],[Insurer Code]]&amp;"; "&amp;O4659&amp;AS[[#This Row],[Reporting Year]]&amp;"; "&amp;P4659&amp;AS[[#This Row],[Insurance Category Code]]&amp;"; "&amp;Q4659&amp;AS[[#This Row],[Large Provider Entity Code]]&amp;"; "&amp;R4659&amp;AS[[#This Row],[Age Band Code]]&amp;"; "&amp;S4659&amp;AS[[#This Row],[Sex Code]]</f>
        <v xml:space="preserve">Insurer Code ; Reporting Year ; Insurance Category Code ; Large Provider Entity Code ; Age Band Code ; Sex Code </v>
      </c>
      <c r="N4659" s="345" t="s">
        <v>207</v>
      </c>
      <c r="O4659" s="345" t="s">
        <v>208</v>
      </c>
      <c r="P4659" s="345" t="s">
        <v>209</v>
      </c>
      <c r="Q4659" s="345" t="s">
        <v>210</v>
      </c>
      <c r="R4659" s="345" t="s">
        <v>223</v>
      </c>
      <c r="S4659" s="345" t="s">
        <v>224</v>
      </c>
    </row>
    <row r="4660" spans="1:19" x14ac:dyDescent="0.25">
      <c r="A4660" s="311"/>
      <c r="B4660" s="312"/>
      <c r="C4660" s="312"/>
      <c r="D4660" s="312"/>
      <c r="E4660" s="312"/>
      <c r="F4660" s="312"/>
      <c r="G4660" s="328"/>
      <c r="H4660" s="337"/>
      <c r="I4660" s="334"/>
      <c r="J4660" s="314"/>
      <c r="K4660" s="449"/>
      <c r="M4660" s="349" t="str">
        <f>N4660&amp;AS[[#This Row],[Insurer Code]]&amp;"; "&amp;O4660&amp;AS[[#This Row],[Reporting Year]]&amp;"; "&amp;P4660&amp;AS[[#This Row],[Insurance Category Code]]&amp;"; "&amp;Q4660&amp;AS[[#This Row],[Large Provider Entity Code]]&amp;"; "&amp;R4660&amp;AS[[#This Row],[Age Band Code]]&amp;"; "&amp;S4660&amp;AS[[#This Row],[Sex Code]]</f>
        <v xml:space="preserve">Insurer Code ; Reporting Year ; Insurance Category Code ; Large Provider Entity Code ; Age Band Code ; Sex Code </v>
      </c>
      <c r="N4660" s="345" t="s">
        <v>207</v>
      </c>
      <c r="O4660" s="345" t="s">
        <v>208</v>
      </c>
      <c r="P4660" s="345" t="s">
        <v>209</v>
      </c>
      <c r="Q4660" s="345" t="s">
        <v>210</v>
      </c>
      <c r="R4660" s="345" t="s">
        <v>223</v>
      </c>
      <c r="S4660" s="345" t="s">
        <v>224</v>
      </c>
    </row>
    <row r="4661" spans="1:19" x14ac:dyDescent="0.25">
      <c r="A4661" s="311"/>
      <c r="B4661" s="312"/>
      <c r="C4661" s="312"/>
      <c r="D4661" s="312"/>
      <c r="E4661" s="312"/>
      <c r="F4661" s="312"/>
      <c r="G4661" s="328"/>
      <c r="H4661" s="337"/>
      <c r="I4661" s="334"/>
      <c r="J4661" s="314"/>
      <c r="K4661" s="449"/>
      <c r="M4661" s="349" t="str">
        <f>N4661&amp;AS[[#This Row],[Insurer Code]]&amp;"; "&amp;O4661&amp;AS[[#This Row],[Reporting Year]]&amp;"; "&amp;P4661&amp;AS[[#This Row],[Insurance Category Code]]&amp;"; "&amp;Q4661&amp;AS[[#This Row],[Large Provider Entity Code]]&amp;"; "&amp;R4661&amp;AS[[#This Row],[Age Band Code]]&amp;"; "&amp;S4661&amp;AS[[#This Row],[Sex Code]]</f>
        <v xml:space="preserve">Insurer Code ; Reporting Year ; Insurance Category Code ; Large Provider Entity Code ; Age Band Code ; Sex Code </v>
      </c>
      <c r="N4661" s="345" t="s">
        <v>207</v>
      </c>
      <c r="O4661" s="345" t="s">
        <v>208</v>
      </c>
      <c r="P4661" s="345" t="s">
        <v>209</v>
      </c>
      <c r="Q4661" s="345" t="s">
        <v>210</v>
      </c>
      <c r="R4661" s="345" t="s">
        <v>223</v>
      </c>
      <c r="S4661" s="345" t="s">
        <v>224</v>
      </c>
    </row>
    <row r="4662" spans="1:19" x14ac:dyDescent="0.25">
      <c r="A4662" s="311"/>
      <c r="B4662" s="312"/>
      <c r="C4662" s="312"/>
      <c r="D4662" s="312"/>
      <c r="E4662" s="312"/>
      <c r="F4662" s="312"/>
      <c r="G4662" s="328"/>
      <c r="H4662" s="337"/>
      <c r="I4662" s="334"/>
      <c r="J4662" s="314"/>
      <c r="K4662" s="449"/>
      <c r="M4662" s="349" t="str">
        <f>N4662&amp;AS[[#This Row],[Insurer Code]]&amp;"; "&amp;O4662&amp;AS[[#This Row],[Reporting Year]]&amp;"; "&amp;P4662&amp;AS[[#This Row],[Insurance Category Code]]&amp;"; "&amp;Q4662&amp;AS[[#This Row],[Large Provider Entity Code]]&amp;"; "&amp;R4662&amp;AS[[#This Row],[Age Band Code]]&amp;"; "&amp;S4662&amp;AS[[#This Row],[Sex Code]]</f>
        <v xml:space="preserve">Insurer Code ; Reporting Year ; Insurance Category Code ; Large Provider Entity Code ; Age Band Code ; Sex Code </v>
      </c>
      <c r="N4662" s="345" t="s">
        <v>207</v>
      </c>
      <c r="O4662" s="345" t="s">
        <v>208</v>
      </c>
      <c r="P4662" s="345" t="s">
        <v>209</v>
      </c>
      <c r="Q4662" s="345" t="s">
        <v>210</v>
      </c>
      <c r="R4662" s="345" t="s">
        <v>223</v>
      </c>
      <c r="S4662" s="345" t="s">
        <v>224</v>
      </c>
    </row>
    <row r="4663" spans="1:19" x14ac:dyDescent="0.25">
      <c r="A4663" s="311"/>
      <c r="B4663" s="312"/>
      <c r="C4663" s="312"/>
      <c r="D4663" s="312"/>
      <c r="E4663" s="312"/>
      <c r="F4663" s="312"/>
      <c r="G4663" s="328"/>
      <c r="H4663" s="337"/>
      <c r="I4663" s="334"/>
      <c r="J4663" s="314"/>
      <c r="K4663" s="449"/>
      <c r="M4663" s="349" t="str">
        <f>N4663&amp;AS[[#This Row],[Insurer Code]]&amp;"; "&amp;O4663&amp;AS[[#This Row],[Reporting Year]]&amp;"; "&amp;P4663&amp;AS[[#This Row],[Insurance Category Code]]&amp;"; "&amp;Q4663&amp;AS[[#This Row],[Large Provider Entity Code]]&amp;"; "&amp;R4663&amp;AS[[#This Row],[Age Band Code]]&amp;"; "&amp;S4663&amp;AS[[#This Row],[Sex Code]]</f>
        <v xml:space="preserve">Insurer Code ; Reporting Year ; Insurance Category Code ; Large Provider Entity Code ; Age Band Code ; Sex Code </v>
      </c>
      <c r="N4663" s="345" t="s">
        <v>207</v>
      </c>
      <c r="O4663" s="345" t="s">
        <v>208</v>
      </c>
      <c r="P4663" s="345" t="s">
        <v>209</v>
      </c>
      <c r="Q4663" s="345" t="s">
        <v>210</v>
      </c>
      <c r="R4663" s="345" t="s">
        <v>223</v>
      </c>
      <c r="S4663" s="345" t="s">
        <v>224</v>
      </c>
    </row>
    <row r="4664" spans="1:19" x14ac:dyDescent="0.25">
      <c r="A4664" s="311"/>
      <c r="B4664" s="312"/>
      <c r="C4664" s="312"/>
      <c r="D4664" s="312"/>
      <c r="E4664" s="312"/>
      <c r="F4664" s="312"/>
      <c r="G4664" s="328"/>
      <c r="H4664" s="337"/>
      <c r="I4664" s="334"/>
      <c r="J4664" s="314"/>
      <c r="K4664" s="449"/>
      <c r="M4664" s="349" t="str">
        <f>N4664&amp;AS[[#This Row],[Insurer Code]]&amp;"; "&amp;O4664&amp;AS[[#This Row],[Reporting Year]]&amp;"; "&amp;P4664&amp;AS[[#This Row],[Insurance Category Code]]&amp;"; "&amp;Q4664&amp;AS[[#This Row],[Large Provider Entity Code]]&amp;"; "&amp;R4664&amp;AS[[#This Row],[Age Band Code]]&amp;"; "&amp;S4664&amp;AS[[#This Row],[Sex Code]]</f>
        <v xml:space="preserve">Insurer Code ; Reporting Year ; Insurance Category Code ; Large Provider Entity Code ; Age Band Code ; Sex Code </v>
      </c>
      <c r="N4664" s="345" t="s">
        <v>207</v>
      </c>
      <c r="O4664" s="345" t="s">
        <v>208</v>
      </c>
      <c r="P4664" s="345" t="s">
        <v>209</v>
      </c>
      <c r="Q4664" s="345" t="s">
        <v>210</v>
      </c>
      <c r="R4664" s="345" t="s">
        <v>223</v>
      </c>
      <c r="S4664" s="345" t="s">
        <v>224</v>
      </c>
    </row>
    <row r="4665" spans="1:19" x14ac:dyDescent="0.25">
      <c r="A4665" s="311"/>
      <c r="B4665" s="312"/>
      <c r="C4665" s="312"/>
      <c r="D4665" s="312"/>
      <c r="E4665" s="312"/>
      <c r="F4665" s="312"/>
      <c r="G4665" s="328"/>
      <c r="H4665" s="337"/>
      <c r="I4665" s="334"/>
      <c r="J4665" s="314"/>
      <c r="K4665" s="449"/>
      <c r="M4665" s="349" t="str">
        <f>N4665&amp;AS[[#This Row],[Insurer Code]]&amp;"; "&amp;O4665&amp;AS[[#This Row],[Reporting Year]]&amp;"; "&amp;P4665&amp;AS[[#This Row],[Insurance Category Code]]&amp;"; "&amp;Q4665&amp;AS[[#This Row],[Large Provider Entity Code]]&amp;"; "&amp;R4665&amp;AS[[#This Row],[Age Band Code]]&amp;"; "&amp;S4665&amp;AS[[#This Row],[Sex Code]]</f>
        <v xml:space="preserve">Insurer Code ; Reporting Year ; Insurance Category Code ; Large Provider Entity Code ; Age Band Code ; Sex Code </v>
      </c>
      <c r="N4665" s="345" t="s">
        <v>207</v>
      </c>
      <c r="O4665" s="345" t="s">
        <v>208</v>
      </c>
      <c r="P4665" s="345" t="s">
        <v>209</v>
      </c>
      <c r="Q4665" s="345" t="s">
        <v>210</v>
      </c>
      <c r="R4665" s="345" t="s">
        <v>223</v>
      </c>
      <c r="S4665" s="345" t="s">
        <v>224</v>
      </c>
    </row>
    <row r="4666" spans="1:19" x14ac:dyDescent="0.25">
      <c r="A4666" s="311"/>
      <c r="B4666" s="312"/>
      <c r="C4666" s="312"/>
      <c r="D4666" s="312"/>
      <c r="E4666" s="312"/>
      <c r="F4666" s="312"/>
      <c r="G4666" s="328"/>
      <c r="H4666" s="337"/>
      <c r="I4666" s="334"/>
      <c r="J4666" s="314"/>
      <c r="K4666" s="449"/>
      <c r="M4666" s="349" t="str">
        <f>N4666&amp;AS[[#This Row],[Insurer Code]]&amp;"; "&amp;O4666&amp;AS[[#This Row],[Reporting Year]]&amp;"; "&amp;P4666&amp;AS[[#This Row],[Insurance Category Code]]&amp;"; "&amp;Q4666&amp;AS[[#This Row],[Large Provider Entity Code]]&amp;"; "&amp;R4666&amp;AS[[#This Row],[Age Band Code]]&amp;"; "&amp;S4666&amp;AS[[#This Row],[Sex Code]]</f>
        <v xml:space="preserve">Insurer Code ; Reporting Year ; Insurance Category Code ; Large Provider Entity Code ; Age Band Code ; Sex Code </v>
      </c>
      <c r="N4666" s="345" t="s">
        <v>207</v>
      </c>
      <c r="O4666" s="345" t="s">
        <v>208</v>
      </c>
      <c r="P4666" s="345" t="s">
        <v>209</v>
      </c>
      <c r="Q4666" s="345" t="s">
        <v>210</v>
      </c>
      <c r="R4666" s="345" t="s">
        <v>223</v>
      </c>
      <c r="S4666" s="345" t="s">
        <v>224</v>
      </c>
    </row>
    <row r="4667" spans="1:19" x14ac:dyDescent="0.25">
      <c r="A4667" s="311"/>
      <c r="B4667" s="312"/>
      <c r="C4667" s="312"/>
      <c r="D4667" s="312"/>
      <c r="E4667" s="312"/>
      <c r="F4667" s="312"/>
      <c r="G4667" s="328"/>
      <c r="H4667" s="337"/>
      <c r="I4667" s="334"/>
      <c r="J4667" s="314"/>
      <c r="K4667" s="449"/>
      <c r="M4667" s="349" t="str">
        <f>N4667&amp;AS[[#This Row],[Insurer Code]]&amp;"; "&amp;O4667&amp;AS[[#This Row],[Reporting Year]]&amp;"; "&amp;P4667&amp;AS[[#This Row],[Insurance Category Code]]&amp;"; "&amp;Q4667&amp;AS[[#This Row],[Large Provider Entity Code]]&amp;"; "&amp;R4667&amp;AS[[#This Row],[Age Band Code]]&amp;"; "&amp;S4667&amp;AS[[#This Row],[Sex Code]]</f>
        <v xml:space="preserve">Insurer Code ; Reporting Year ; Insurance Category Code ; Large Provider Entity Code ; Age Band Code ; Sex Code </v>
      </c>
      <c r="N4667" s="345" t="s">
        <v>207</v>
      </c>
      <c r="O4667" s="345" t="s">
        <v>208</v>
      </c>
      <c r="P4667" s="345" t="s">
        <v>209</v>
      </c>
      <c r="Q4667" s="345" t="s">
        <v>210</v>
      </c>
      <c r="R4667" s="345" t="s">
        <v>223</v>
      </c>
      <c r="S4667" s="345" t="s">
        <v>224</v>
      </c>
    </row>
    <row r="4668" spans="1:19" x14ac:dyDescent="0.25">
      <c r="A4668" s="311"/>
      <c r="B4668" s="312"/>
      <c r="C4668" s="312"/>
      <c r="D4668" s="312"/>
      <c r="E4668" s="312"/>
      <c r="F4668" s="312"/>
      <c r="G4668" s="328"/>
      <c r="H4668" s="337"/>
      <c r="I4668" s="334"/>
      <c r="J4668" s="314"/>
      <c r="K4668" s="449"/>
      <c r="M4668" s="349" t="str">
        <f>N4668&amp;AS[[#This Row],[Insurer Code]]&amp;"; "&amp;O4668&amp;AS[[#This Row],[Reporting Year]]&amp;"; "&amp;P4668&amp;AS[[#This Row],[Insurance Category Code]]&amp;"; "&amp;Q4668&amp;AS[[#This Row],[Large Provider Entity Code]]&amp;"; "&amp;R4668&amp;AS[[#This Row],[Age Band Code]]&amp;"; "&amp;S4668&amp;AS[[#This Row],[Sex Code]]</f>
        <v xml:space="preserve">Insurer Code ; Reporting Year ; Insurance Category Code ; Large Provider Entity Code ; Age Band Code ; Sex Code </v>
      </c>
      <c r="N4668" s="345" t="s">
        <v>207</v>
      </c>
      <c r="O4668" s="345" t="s">
        <v>208</v>
      </c>
      <c r="P4668" s="345" t="s">
        <v>209</v>
      </c>
      <c r="Q4668" s="345" t="s">
        <v>210</v>
      </c>
      <c r="R4668" s="345" t="s">
        <v>223</v>
      </c>
      <c r="S4668" s="345" t="s">
        <v>224</v>
      </c>
    </row>
    <row r="4669" spans="1:19" x14ac:dyDescent="0.25">
      <c r="A4669" s="311"/>
      <c r="B4669" s="312"/>
      <c r="C4669" s="312"/>
      <c r="D4669" s="312"/>
      <c r="E4669" s="312"/>
      <c r="F4669" s="312"/>
      <c r="G4669" s="328"/>
      <c r="H4669" s="337"/>
      <c r="I4669" s="334"/>
      <c r="J4669" s="314"/>
      <c r="K4669" s="449"/>
      <c r="M4669" s="349" t="str">
        <f>N4669&amp;AS[[#This Row],[Insurer Code]]&amp;"; "&amp;O4669&amp;AS[[#This Row],[Reporting Year]]&amp;"; "&amp;P4669&amp;AS[[#This Row],[Insurance Category Code]]&amp;"; "&amp;Q4669&amp;AS[[#This Row],[Large Provider Entity Code]]&amp;"; "&amp;R4669&amp;AS[[#This Row],[Age Band Code]]&amp;"; "&amp;S4669&amp;AS[[#This Row],[Sex Code]]</f>
        <v xml:space="preserve">Insurer Code ; Reporting Year ; Insurance Category Code ; Large Provider Entity Code ; Age Band Code ; Sex Code </v>
      </c>
      <c r="N4669" s="345" t="s">
        <v>207</v>
      </c>
      <c r="O4669" s="345" t="s">
        <v>208</v>
      </c>
      <c r="P4669" s="345" t="s">
        <v>209</v>
      </c>
      <c r="Q4669" s="345" t="s">
        <v>210</v>
      </c>
      <c r="R4669" s="345" t="s">
        <v>223</v>
      </c>
      <c r="S4669" s="345" t="s">
        <v>224</v>
      </c>
    </row>
    <row r="4670" spans="1:19" x14ac:dyDescent="0.25">
      <c r="A4670" s="311"/>
      <c r="B4670" s="312"/>
      <c r="C4670" s="312"/>
      <c r="D4670" s="312"/>
      <c r="E4670" s="312"/>
      <c r="F4670" s="312"/>
      <c r="G4670" s="328"/>
      <c r="H4670" s="337"/>
      <c r="I4670" s="334"/>
      <c r="J4670" s="314"/>
      <c r="K4670" s="449"/>
      <c r="M4670" s="349" t="str">
        <f>N4670&amp;AS[[#This Row],[Insurer Code]]&amp;"; "&amp;O4670&amp;AS[[#This Row],[Reporting Year]]&amp;"; "&amp;P4670&amp;AS[[#This Row],[Insurance Category Code]]&amp;"; "&amp;Q4670&amp;AS[[#This Row],[Large Provider Entity Code]]&amp;"; "&amp;R4670&amp;AS[[#This Row],[Age Band Code]]&amp;"; "&amp;S4670&amp;AS[[#This Row],[Sex Code]]</f>
        <v xml:space="preserve">Insurer Code ; Reporting Year ; Insurance Category Code ; Large Provider Entity Code ; Age Band Code ; Sex Code </v>
      </c>
      <c r="N4670" s="345" t="s">
        <v>207</v>
      </c>
      <c r="O4670" s="345" t="s">
        <v>208</v>
      </c>
      <c r="P4670" s="345" t="s">
        <v>209</v>
      </c>
      <c r="Q4670" s="345" t="s">
        <v>210</v>
      </c>
      <c r="R4670" s="345" t="s">
        <v>223</v>
      </c>
      <c r="S4670" s="345" t="s">
        <v>224</v>
      </c>
    </row>
    <row r="4671" spans="1:19" x14ac:dyDescent="0.25">
      <c r="A4671" s="311"/>
      <c r="B4671" s="312"/>
      <c r="C4671" s="312"/>
      <c r="D4671" s="312"/>
      <c r="E4671" s="312"/>
      <c r="F4671" s="312"/>
      <c r="G4671" s="328"/>
      <c r="H4671" s="337"/>
      <c r="I4671" s="334"/>
      <c r="J4671" s="314"/>
      <c r="K4671" s="449"/>
      <c r="M4671" s="349" t="str">
        <f>N4671&amp;AS[[#This Row],[Insurer Code]]&amp;"; "&amp;O4671&amp;AS[[#This Row],[Reporting Year]]&amp;"; "&amp;P4671&amp;AS[[#This Row],[Insurance Category Code]]&amp;"; "&amp;Q4671&amp;AS[[#This Row],[Large Provider Entity Code]]&amp;"; "&amp;R4671&amp;AS[[#This Row],[Age Band Code]]&amp;"; "&amp;S4671&amp;AS[[#This Row],[Sex Code]]</f>
        <v xml:space="preserve">Insurer Code ; Reporting Year ; Insurance Category Code ; Large Provider Entity Code ; Age Band Code ; Sex Code </v>
      </c>
      <c r="N4671" s="345" t="s">
        <v>207</v>
      </c>
      <c r="O4671" s="345" t="s">
        <v>208</v>
      </c>
      <c r="P4671" s="345" t="s">
        <v>209</v>
      </c>
      <c r="Q4671" s="345" t="s">
        <v>210</v>
      </c>
      <c r="R4671" s="345" t="s">
        <v>223</v>
      </c>
      <c r="S4671" s="345" t="s">
        <v>224</v>
      </c>
    </row>
    <row r="4672" spans="1:19" x14ac:dyDescent="0.25">
      <c r="A4672" s="311"/>
      <c r="B4672" s="312"/>
      <c r="C4672" s="312"/>
      <c r="D4672" s="312"/>
      <c r="E4672" s="312"/>
      <c r="F4672" s="312"/>
      <c r="G4672" s="328"/>
      <c r="H4672" s="337"/>
      <c r="I4672" s="334"/>
      <c r="J4672" s="314"/>
      <c r="K4672" s="449"/>
      <c r="M4672" s="349" t="str">
        <f>N4672&amp;AS[[#This Row],[Insurer Code]]&amp;"; "&amp;O4672&amp;AS[[#This Row],[Reporting Year]]&amp;"; "&amp;P4672&amp;AS[[#This Row],[Insurance Category Code]]&amp;"; "&amp;Q4672&amp;AS[[#This Row],[Large Provider Entity Code]]&amp;"; "&amp;R4672&amp;AS[[#This Row],[Age Band Code]]&amp;"; "&amp;S4672&amp;AS[[#This Row],[Sex Code]]</f>
        <v xml:space="preserve">Insurer Code ; Reporting Year ; Insurance Category Code ; Large Provider Entity Code ; Age Band Code ; Sex Code </v>
      </c>
      <c r="N4672" s="345" t="s">
        <v>207</v>
      </c>
      <c r="O4672" s="345" t="s">
        <v>208</v>
      </c>
      <c r="P4672" s="345" t="s">
        <v>209</v>
      </c>
      <c r="Q4672" s="345" t="s">
        <v>210</v>
      </c>
      <c r="R4672" s="345" t="s">
        <v>223</v>
      </c>
      <c r="S4672" s="345" t="s">
        <v>224</v>
      </c>
    </row>
    <row r="4673" spans="1:19" x14ac:dyDescent="0.25">
      <c r="A4673" s="311"/>
      <c r="B4673" s="312"/>
      <c r="C4673" s="312"/>
      <c r="D4673" s="312"/>
      <c r="E4673" s="312"/>
      <c r="F4673" s="312"/>
      <c r="G4673" s="328"/>
      <c r="H4673" s="337"/>
      <c r="I4673" s="334"/>
      <c r="J4673" s="314"/>
      <c r="K4673" s="449"/>
      <c r="M4673" s="349" t="str">
        <f>N4673&amp;AS[[#This Row],[Insurer Code]]&amp;"; "&amp;O4673&amp;AS[[#This Row],[Reporting Year]]&amp;"; "&amp;P4673&amp;AS[[#This Row],[Insurance Category Code]]&amp;"; "&amp;Q4673&amp;AS[[#This Row],[Large Provider Entity Code]]&amp;"; "&amp;R4673&amp;AS[[#This Row],[Age Band Code]]&amp;"; "&amp;S4673&amp;AS[[#This Row],[Sex Code]]</f>
        <v xml:space="preserve">Insurer Code ; Reporting Year ; Insurance Category Code ; Large Provider Entity Code ; Age Band Code ; Sex Code </v>
      </c>
      <c r="N4673" s="345" t="s">
        <v>207</v>
      </c>
      <c r="O4673" s="345" t="s">
        <v>208</v>
      </c>
      <c r="P4673" s="345" t="s">
        <v>209</v>
      </c>
      <c r="Q4673" s="345" t="s">
        <v>210</v>
      </c>
      <c r="R4673" s="345" t="s">
        <v>223</v>
      </c>
      <c r="S4673" s="345" t="s">
        <v>224</v>
      </c>
    </row>
    <row r="4674" spans="1:19" x14ac:dyDescent="0.25">
      <c r="A4674" s="311"/>
      <c r="B4674" s="312"/>
      <c r="C4674" s="312"/>
      <c r="D4674" s="312"/>
      <c r="E4674" s="312"/>
      <c r="F4674" s="312"/>
      <c r="G4674" s="328"/>
      <c r="H4674" s="337"/>
      <c r="I4674" s="334"/>
      <c r="J4674" s="314"/>
      <c r="K4674" s="449"/>
      <c r="M4674" s="349" t="str">
        <f>N4674&amp;AS[[#This Row],[Insurer Code]]&amp;"; "&amp;O4674&amp;AS[[#This Row],[Reporting Year]]&amp;"; "&amp;P4674&amp;AS[[#This Row],[Insurance Category Code]]&amp;"; "&amp;Q4674&amp;AS[[#This Row],[Large Provider Entity Code]]&amp;"; "&amp;R4674&amp;AS[[#This Row],[Age Band Code]]&amp;"; "&amp;S4674&amp;AS[[#This Row],[Sex Code]]</f>
        <v xml:space="preserve">Insurer Code ; Reporting Year ; Insurance Category Code ; Large Provider Entity Code ; Age Band Code ; Sex Code </v>
      </c>
      <c r="N4674" s="345" t="s">
        <v>207</v>
      </c>
      <c r="O4674" s="345" t="s">
        <v>208</v>
      </c>
      <c r="P4674" s="345" t="s">
        <v>209</v>
      </c>
      <c r="Q4674" s="345" t="s">
        <v>210</v>
      </c>
      <c r="R4674" s="345" t="s">
        <v>223</v>
      </c>
      <c r="S4674" s="345" t="s">
        <v>224</v>
      </c>
    </row>
    <row r="4675" spans="1:19" x14ac:dyDescent="0.25">
      <c r="A4675" s="311"/>
      <c r="B4675" s="312"/>
      <c r="C4675" s="312"/>
      <c r="D4675" s="312"/>
      <c r="E4675" s="312"/>
      <c r="F4675" s="312"/>
      <c r="G4675" s="328"/>
      <c r="H4675" s="337"/>
      <c r="I4675" s="334"/>
      <c r="J4675" s="314"/>
      <c r="K4675" s="449"/>
      <c r="M4675" s="349" t="str">
        <f>N4675&amp;AS[[#This Row],[Insurer Code]]&amp;"; "&amp;O4675&amp;AS[[#This Row],[Reporting Year]]&amp;"; "&amp;P4675&amp;AS[[#This Row],[Insurance Category Code]]&amp;"; "&amp;Q4675&amp;AS[[#This Row],[Large Provider Entity Code]]&amp;"; "&amp;R4675&amp;AS[[#This Row],[Age Band Code]]&amp;"; "&amp;S4675&amp;AS[[#This Row],[Sex Code]]</f>
        <v xml:space="preserve">Insurer Code ; Reporting Year ; Insurance Category Code ; Large Provider Entity Code ; Age Band Code ; Sex Code </v>
      </c>
      <c r="N4675" s="345" t="s">
        <v>207</v>
      </c>
      <c r="O4675" s="345" t="s">
        <v>208</v>
      </c>
      <c r="P4675" s="345" t="s">
        <v>209</v>
      </c>
      <c r="Q4675" s="345" t="s">
        <v>210</v>
      </c>
      <c r="R4675" s="345" t="s">
        <v>223</v>
      </c>
      <c r="S4675" s="345" t="s">
        <v>224</v>
      </c>
    </row>
    <row r="4676" spans="1:19" x14ac:dyDescent="0.25">
      <c r="A4676" s="311"/>
      <c r="B4676" s="312"/>
      <c r="C4676" s="312"/>
      <c r="D4676" s="312"/>
      <c r="E4676" s="312"/>
      <c r="F4676" s="312"/>
      <c r="G4676" s="328"/>
      <c r="H4676" s="337"/>
      <c r="I4676" s="334"/>
      <c r="J4676" s="314"/>
      <c r="K4676" s="449"/>
      <c r="M4676" s="349" t="str">
        <f>N4676&amp;AS[[#This Row],[Insurer Code]]&amp;"; "&amp;O4676&amp;AS[[#This Row],[Reporting Year]]&amp;"; "&amp;P4676&amp;AS[[#This Row],[Insurance Category Code]]&amp;"; "&amp;Q4676&amp;AS[[#This Row],[Large Provider Entity Code]]&amp;"; "&amp;R4676&amp;AS[[#This Row],[Age Band Code]]&amp;"; "&amp;S4676&amp;AS[[#This Row],[Sex Code]]</f>
        <v xml:space="preserve">Insurer Code ; Reporting Year ; Insurance Category Code ; Large Provider Entity Code ; Age Band Code ; Sex Code </v>
      </c>
      <c r="N4676" s="345" t="s">
        <v>207</v>
      </c>
      <c r="O4676" s="345" t="s">
        <v>208</v>
      </c>
      <c r="P4676" s="345" t="s">
        <v>209</v>
      </c>
      <c r="Q4676" s="345" t="s">
        <v>210</v>
      </c>
      <c r="R4676" s="345" t="s">
        <v>223</v>
      </c>
      <c r="S4676" s="345" t="s">
        <v>224</v>
      </c>
    </row>
    <row r="4677" spans="1:19" x14ac:dyDescent="0.25">
      <c r="A4677" s="311"/>
      <c r="B4677" s="312"/>
      <c r="C4677" s="312"/>
      <c r="D4677" s="312"/>
      <c r="E4677" s="312"/>
      <c r="F4677" s="312"/>
      <c r="G4677" s="328"/>
      <c r="H4677" s="337"/>
      <c r="I4677" s="334"/>
      <c r="J4677" s="314"/>
      <c r="K4677" s="449"/>
      <c r="M4677" s="349" t="str">
        <f>N4677&amp;AS[[#This Row],[Insurer Code]]&amp;"; "&amp;O4677&amp;AS[[#This Row],[Reporting Year]]&amp;"; "&amp;P4677&amp;AS[[#This Row],[Insurance Category Code]]&amp;"; "&amp;Q4677&amp;AS[[#This Row],[Large Provider Entity Code]]&amp;"; "&amp;R4677&amp;AS[[#This Row],[Age Band Code]]&amp;"; "&amp;S4677&amp;AS[[#This Row],[Sex Code]]</f>
        <v xml:space="preserve">Insurer Code ; Reporting Year ; Insurance Category Code ; Large Provider Entity Code ; Age Band Code ; Sex Code </v>
      </c>
      <c r="N4677" s="345" t="s">
        <v>207</v>
      </c>
      <c r="O4677" s="345" t="s">
        <v>208</v>
      </c>
      <c r="P4677" s="345" t="s">
        <v>209</v>
      </c>
      <c r="Q4677" s="345" t="s">
        <v>210</v>
      </c>
      <c r="R4677" s="345" t="s">
        <v>223</v>
      </c>
      <c r="S4677" s="345" t="s">
        <v>224</v>
      </c>
    </row>
    <row r="4678" spans="1:19" x14ac:dyDescent="0.25">
      <c r="A4678" s="311"/>
      <c r="B4678" s="312"/>
      <c r="C4678" s="312"/>
      <c r="D4678" s="312"/>
      <c r="E4678" s="312"/>
      <c r="F4678" s="312"/>
      <c r="G4678" s="328"/>
      <c r="H4678" s="337"/>
      <c r="I4678" s="334"/>
      <c r="J4678" s="314"/>
      <c r="K4678" s="449"/>
      <c r="M4678" s="349" t="str">
        <f>N4678&amp;AS[[#This Row],[Insurer Code]]&amp;"; "&amp;O4678&amp;AS[[#This Row],[Reporting Year]]&amp;"; "&amp;P4678&amp;AS[[#This Row],[Insurance Category Code]]&amp;"; "&amp;Q4678&amp;AS[[#This Row],[Large Provider Entity Code]]&amp;"; "&amp;R4678&amp;AS[[#This Row],[Age Band Code]]&amp;"; "&amp;S4678&amp;AS[[#This Row],[Sex Code]]</f>
        <v xml:space="preserve">Insurer Code ; Reporting Year ; Insurance Category Code ; Large Provider Entity Code ; Age Band Code ; Sex Code </v>
      </c>
      <c r="N4678" s="345" t="s">
        <v>207</v>
      </c>
      <c r="O4678" s="345" t="s">
        <v>208</v>
      </c>
      <c r="P4678" s="345" t="s">
        <v>209</v>
      </c>
      <c r="Q4678" s="345" t="s">
        <v>210</v>
      </c>
      <c r="R4678" s="345" t="s">
        <v>223</v>
      </c>
      <c r="S4678" s="345" t="s">
        <v>224</v>
      </c>
    </row>
    <row r="4679" spans="1:19" x14ac:dyDescent="0.25">
      <c r="A4679" s="311"/>
      <c r="B4679" s="312"/>
      <c r="C4679" s="312"/>
      <c r="D4679" s="312"/>
      <c r="E4679" s="312"/>
      <c r="F4679" s="312"/>
      <c r="G4679" s="328"/>
      <c r="H4679" s="337"/>
      <c r="I4679" s="334"/>
      <c r="J4679" s="314"/>
      <c r="K4679" s="449"/>
      <c r="M4679" s="349" t="str">
        <f>N4679&amp;AS[[#This Row],[Insurer Code]]&amp;"; "&amp;O4679&amp;AS[[#This Row],[Reporting Year]]&amp;"; "&amp;P4679&amp;AS[[#This Row],[Insurance Category Code]]&amp;"; "&amp;Q4679&amp;AS[[#This Row],[Large Provider Entity Code]]&amp;"; "&amp;R4679&amp;AS[[#This Row],[Age Band Code]]&amp;"; "&amp;S4679&amp;AS[[#This Row],[Sex Code]]</f>
        <v xml:space="preserve">Insurer Code ; Reporting Year ; Insurance Category Code ; Large Provider Entity Code ; Age Band Code ; Sex Code </v>
      </c>
      <c r="N4679" s="345" t="s">
        <v>207</v>
      </c>
      <c r="O4679" s="345" t="s">
        <v>208</v>
      </c>
      <c r="P4679" s="345" t="s">
        <v>209</v>
      </c>
      <c r="Q4679" s="345" t="s">
        <v>210</v>
      </c>
      <c r="R4679" s="345" t="s">
        <v>223</v>
      </c>
      <c r="S4679" s="345" t="s">
        <v>224</v>
      </c>
    </row>
    <row r="4680" spans="1:19" x14ac:dyDescent="0.25">
      <c r="A4680" s="311"/>
      <c r="B4680" s="312"/>
      <c r="C4680" s="312"/>
      <c r="D4680" s="312"/>
      <c r="E4680" s="312"/>
      <c r="F4680" s="312"/>
      <c r="G4680" s="328"/>
      <c r="H4680" s="337"/>
      <c r="I4680" s="334"/>
      <c r="J4680" s="314"/>
      <c r="K4680" s="449"/>
      <c r="M4680" s="349" t="str">
        <f>N4680&amp;AS[[#This Row],[Insurer Code]]&amp;"; "&amp;O4680&amp;AS[[#This Row],[Reporting Year]]&amp;"; "&amp;P4680&amp;AS[[#This Row],[Insurance Category Code]]&amp;"; "&amp;Q4680&amp;AS[[#This Row],[Large Provider Entity Code]]&amp;"; "&amp;R4680&amp;AS[[#This Row],[Age Band Code]]&amp;"; "&amp;S4680&amp;AS[[#This Row],[Sex Code]]</f>
        <v xml:space="preserve">Insurer Code ; Reporting Year ; Insurance Category Code ; Large Provider Entity Code ; Age Band Code ; Sex Code </v>
      </c>
      <c r="N4680" s="345" t="s">
        <v>207</v>
      </c>
      <c r="O4680" s="345" t="s">
        <v>208</v>
      </c>
      <c r="P4680" s="345" t="s">
        <v>209</v>
      </c>
      <c r="Q4680" s="345" t="s">
        <v>210</v>
      </c>
      <c r="R4680" s="345" t="s">
        <v>223</v>
      </c>
      <c r="S4680" s="345" t="s">
        <v>224</v>
      </c>
    </row>
    <row r="4681" spans="1:19" x14ac:dyDescent="0.25">
      <c r="A4681" s="311"/>
      <c r="B4681" s="312"/>
      <c r="C4681" s="312"/>
      <c r="D4681" s="312"/>
      <c r="E4681" s="312"/>
      <c r="F4681" s="312"/>
      <c r="G4681" s="328"/>
      <c r="H4681" s="337"/>
      <c r="I4681" s="334"/>
      <c r="J4681" s="314"/>
      <c r="K4681" s="449"/>
      <c r="M4681" s="349" t="str">
        <f>N4681&amp;AS[[#This Row],[Insurer Code]]&amp;"; "&amp;O4681&amp;AS[[#This Row],[Reporting Year]]&amp;"; "&amp;P4681&amp;AS[[#This Row],[Insurance Category Code]]&amp;"; "&amp;Q4681&amp;AS[[#This Row],[Large Provider Entity Code]]&amp;"; "&amp;R4681&amp;AS[[#This Row],[Age Band Code]]&amp;"; "&amp;S4681&amp;AS[[#This Row],[Sex Code]]</f>
        <v xml:space="preserve">Insurer Code ; Reporting Year ; Insurance Category Code ; Large Provider Entity Code ; Age Band Code ; Sex Code </v>
      </c>
      <c r="N4681" s="345" t="s">
        <v>207</v>
      </c>
      <c r="O4681" s="345" t="s">
        <v>208</v>
      </c>
      <c r="P4681" s="345" t="s">
        <v>209</v>
      </c>
      <c r="Q4681" s="345" t="s">
        <v>210</v>
      </c>
      <c r="R4681" s="345" t="s">
        <v>223</v>
      </c>
      <c r="S4681" s="345" t="s">
        <v>224</v>
      </c>
    </row>
    <row r="4682" spans="1:19" x14ac:dyDescent="0.25">
      <c r="A4682" s="311"/>
      <c r="B4682" s="312"/>
      <c r="C4682" s="312"/>
      <c r="D4682" s="312"/>
      <c r="E4682" s="312"/>
      <c r="F4682" s="312"/>
      <c r="G4682" s="328"/>
      <c r="H4682" s="337"/>
      <c r="I4682" s="334"/>
      <c r="J4682" s="314"/>
      <c r="K4682" s="449"/>
      <c r="M4682" s="349" t="str">
        <f>N4682&amp;AS[[#This Row],[Insurer Code]]&amp;"; "&amp;O4682&amp;AS[[#This Row],[Reporting Year]]&amp;"; "&amp;P4682&amp;AS[[#This Row],[Insurance Category Code]]&amp;"; "&amp;Q4682&amp;AS[[#This Row],[Large Provider Entity Code]]&amp;"; "&amp;R4682&amp;AS[[#This Row],[Age Band Code]]&amp;"; "&amp;S4682&amp;AS[[#This Row],[Sex Code]]</f>
        <v xml:space="preserve">Insurer Code ; Reporting Year ; Insurance Category Code ; Large Provider Entity Code ; Age Band Code ; Sex Code </v>
      </c>
      <c r="N4682" s="345" t="s">
        <v>207</v>
      </c>
      <c r="O4682" s="345" t="s">
        <v>208</v>
      </c>
      <c r="P4682" s="345" t="s">
        <v>209</v>
      </c>
      <c r="Q4682" s="345" t="s">
        <v>210</v>
      </c>
      <c r="R4682" s="345" t="s">
        <v>223</v>
      </c>
      <c r="S4682" s="345" t="s">
        <v>224</v>
      </c>
    </row>
    <row r="4683" spans="1:19" x14ac:dyDescent="0.25">
      <c r="A4683" s="311"/>
      <c r="B4683" s="312"/>
      <c r="C4683" s="312"/>
      <c r="D4683" s="312"/>
      <c r="E4683" s="312"/>
      <c r="F4683" s="312"/>
      <c r="G4683" s="328"/>
      <c r="H4683" s="337"/>
      <c r="I4683" s="334"/>
      <c r="J4683" s="314"/>
      <c r="K4683" s="449"/>
      <c r="M4683" s="349" t="str">
        <f>N4683&amp;AS[[#This Row],[Insurer Code]]&amp;"; "&amp;O4683&amp;AS[[#This Row],[Reporting Year]]&amp;"; "&amp;P4683&amp;AS[[#This Row],[Insurance Category Code]]&amp;"; "&amp;Q4683&amp;AS[[#This Row],[Large Provider Entity Code]]&amp;"; "&amp;R4683&amp;AS[[#This Row],[Age Band Code]]&amp;"; "&amp;S4683&amp;AS[[#This Row],[Sex Code]]</f>
        <v xml:space="preserve">Insurer Code ; Reporting Year ; Insurance Category Code ; Large Provider Entity Code ; Age Band Code ; Sex Code </v>
      </c>
      <c r="N4683" s="345" t="s">
        <v>207</v>
      </c>
      <c r="O4683" s="345" t="s">
        <v>208</v>
      </c>
      <c r="P4683" s="345" t="s">
        <v>209</v>
      </c>
      <c r="Q4683" s="345" t="s">
        <v>210</v>
      </c>
      <c r="R4683" s="345" t="s">
        <v>223</v>
      </c>
      <c r="S4683" s="345" t="s">
        <v>224</v>
      </c>
    </row>
    <row r="4684" spans="1:19" x14ac:dyDescent="0.25">
      <c r="A4684" s="311"/>
      <c r="B4684" s="312"/>
      <c r="C4684" s="312"/>
      <c r="D4684" s="312"/>
      <c r="E4684" s="312"/>
      <c r="F4684" s="312"/>
      <c r="G4684" s="328"/>
      <c r="H4684" s="337"/>
      <c r="I4684" s="334"/>
      <c r="J4684" s="314"/>
      <c r="K4684" s="449"/>
      <c r="M4684" s="349" t="str">
        <f>N4684&amp;AS[[#This Row],[Insurer Code]]&amp;"; "&amp;O4684&amp;AS[[#This Row],[Reporting Year]]&amp;"; "&amp;P4684&amp;AS[[#This Row],[Insurance Category Code]]&amp;"; "&amp;Q4684&amp;AS[[#This Row],[Large Provider Entity Code]]&amp;"; "&amp;R4684&amp;AS[[#This Row],[Age Band Code]]&amp;"; "&amp;S4684&amp;AS[[#This Row],[Sex Code]]</f>
        <v xml:space="preserve">Insurer Code ; Reporting Year ; Insurance Category Code ; Large Provider Entity Code ; Age Band Code ; Sex Code </v>
      </c>
      <c r="N4684" s="345" t="s">
        <v>207</v>
      </c>
      <c r="O4684" s="345" t="s">
        <v>208</v>
      </c>
      <c r="P4684" s="345" t="s">
        <v>209</v>
      </c>
      <c r="Q4684" s="345" t="s">
        <v>210</v>
      </c>
      <c r="R4684" s="345" t="s">
        <v>223</v>
      </c>
      <c r="S4684" s="345" t="s">
        <v>224</v>
      </c>
    </row>
    <row r="4685" spans="1:19" x14ac:dyDescent="0.25">
      <c r="A4685" s="311"/>
      <c r="B4685" s="312"/>
      <c r="C4685" s="312"/>
      <c r="D4685" s="312"/>
      <c r="E4685" s="312"/>
      <c r="F4685" s="312"/>
      <c r="G4685" s="328"/>
      <c r="H4685" s="337"/>
      <c r="I4685" s="334"/>
      <c r="J4685" s="314"/>
      <c r="K4685" s="449"/>
      <c r="M4685" s="349" t="str">
        <f>N4685&amp;AS[[#This Row],[Insurer Code]]&amp;"; "&amp;O4685&amp;AS[[#This Row],[Reporting Year]]&amp;"; "&amp;P4685&amp;AS[[#This Row],[Insurance Category Code]]&amp;"; "&amp;Q4685&amp;AS[[#This Row],[Large Provider Entity Code]]&amp;"; "&amp;R4685&amp;AS[[#This Row],[Age Band Code]]&amp;"; "&amp;S4685&amp;AS[[#This Row],[Sex Code]]</f>
        <v xml:space="preserve">Insurer Code ; Reporting Year ; Insurance Category Code ; Large Provider Entity Code ; Age Band Code ; Sex Code </v>
      </c>
      <c r="N4685" s="345" t="s">
        <v>207</v>
      </c>
      <c r="O4685" s="345" t="s">
        <v>208</v>
      </c>
      <c r="P4685" s="345" t="s">
        <v>209</v>
      </c>
      <c r="Q4685" s="345" t="s">
        <v>210</v>
      </c>
      <c r="R4685" s="345" t="s">
        <v>223</v>
      </c>
      <c r="S4685" s="345" t="s">
        <v>224</v>
      </c>
    </row>
    <row r="4686" spans="1:19" x14ac:dyDescent="0.25">
      <c r="A4686" s="311"/>
      <c r="B4686" s="312"/>
      <c r="C4686" s="312"/>
      <c r="D4686" s="312"/>
      <c r="E4686" s="312"/>
      <c r="F4686" s="312"/>
      <c r="G4686" s="328"/>
      <c r="H4686" s="337"/>
      <c r="I4686" s="334"/>
      <c r="J4686" s="314"/>
      <c r="K4686" s="449"/>
      <c r="M4686" s="349" t="str">
        <f>N4686&amp;AS[[#This Row],[Insurer Code]]&amp;"; "&amp;O4686&amp;AS[[#This Row],[Reporting Year]]&amp;"; "&amp;P4686&amp;AS[[#This Row],[Insurance Category Code]]&amp;"; "&amp;Q4686&amp;AS[[#This Row],[Large Provider Entity Code]]&amp;"; "&amp;R4686&amp;AS[[#This Row],[Age Band Code]]&amp;"; "&amp;S4686&amp;AS[[#This Row],[Sex Code]]</f>
        <v xml:space="preserve">Insurer Code ; Reporting Year ; Insurance Category Code ; Large Provider Entity Code ; Age Band Code ; Sex Code </v>
      </c>
      <c r="N4686" s="345" t="s">
        <v>207</v>
      </c>
      <c r="O4686" s="345" t="s">
        <v>208</v>
      </c>
      <c r="P4686" s="345" t="s">
        <v>209</v>
      </c>
      <c r="Q4686" s="345" t="s">
        <v>210</v>
      </c>
      <c r="R4686" s="345" t="s">
        <v>223</v>
      </c>
      <c r="S4686" s="345" t="s">
        <v>224</v>
      </c>
    </row>
    <row r="4687" spans="1:19" x14ac:dyDescent="0.25">
      <c r="A4687" s="311"/>
      <c r="B4687" s="312"/>
      <c r="C4687" s="312"/>
      <c r="D4687" s="312"/>
      <c r="E4687" s="312"/>
      <c r="F4687" s="312"/>
      <c r="G4687" s="328"/>
      <c r="H4687" s="337"/>
      <c r="I4687" s="334"/>
      <c r="J4687" s="314"/>
      <c r="K4687" s="449"/>
      <c r="M4687" s="349" t="str">
        <f>N4687&amp;AS[[#This Row],[Insurer Code]]&amp;"; "&amp;O4687&amp;AS[[#This Row],[Reporting Year]]&amp;"; "&amp;P4687&amp;AS[[#This Row],[Insurance Category Code]]&amp;"; "&amp;Q4687&amp;AS[[#This Row],[Large Provider Entity Code]]&amp;"; "&amp;R4687&amp;AS[[#This Row],[Age Band Code]]&amp;"; "&amp;S4687&amp;AS[[#This Row],[Sex Code]]</f>
        <v xml:space="preserve">Insurer Code ; Reporting Year ; Insurance Category Code ; Large Provider Entity Code ; Age Band Code ; Sex Code </v>
      </c>
      <c r="N4687" s="345" t="s">
        <v>207</v>
      </c>
      <c r="O4687" s="345" t="s">
        <v>208</v>
      </c>
      <c r="P4687" s="345" t="s">
        <v>209</v>
      </c>
      <c r="Q4687" s="345" t="s">
        <v>210</v>
      </c>
      <c r="R4687" s="345" t="s">
        <v>223</v>
      </c>
      <c r="S4687" s="345" t="s">
        <v>224</v>
      </c>
    </row>
    <row r="4688" spans="1:19" x14ac:dyDescent="0.25">
      <c r="A4688" s="311"/>
      <c r="B4688" s="312"/>
      <c r="C4688" s="312"/>
      <c r="D4688" s="312"/>
      <c r="E4688" s="312"/>
      <c r="F4688" s="312"/>
      <c r="G4688" s="328"/>
      <c r="H4688" s="337"/>
      <c r="I4688" s="334"/>
      <c r="J4688" s="314"/>
      <c r="K4688" s="449"/>
      <c r="M4688" s="349" t="str">
        <f>N4688&amp;AS[[#This Row],[Insurer Code]]&amp;"; "&amp;O4688&amp;AS[[#This Row],[Reporting Year]]&amp;"; "&amp;P4688&amp;AS[[#This Row],[Insurance Category Code]]&amp;"; "&amp;Q4688&amp;AS[[#This Row],[Large Provider Entity Code]]&amp;"; "&amp;R4688&amp;AS[[#This Row],[Age Band Code]]&amp;"; "&amp;S4688&amp;AS[[#This Row],[Sex Code]]</f>
        <v xml:space="preserve">Insurer Code ; Reporting Year ; Insurance Category Code ; Large Provider Entity Code ; Age Band Code ; Sex Code </v>
      </c>
      <c r="N4688" s="345" t="s">
        <v>207</v>
      </c>
      <c r="O4688" s="345" t="s">
        <v>208</v>
      </c>
      <c r="P4688" s="345" t="s">
        <v>209</v>
      </c>
      <c r="Q4688" s="345" t="s">
        <v>210</v>
      </c>
      <c r="R4688" s="345" t="s">
        <v>223</v>
      </c>
      <c r="S4688" s="345" t="s">
        <v>224</v>
      </c>
    </row>
    <row r="4689" spans="1:19" x14ac:dyDescent="0.25">
      <c r="A4689" s="311"/>
      <c r="B4689" s="312"/>
      <c r="C4689" s="312"/>
      <c r="D4689" s="312"/>
      <c r="E4689" s="312"/>
      <c r="F4689" s="312"/>
      <c r="G4689" s="328"/>
      <c r="H4689" s="337"/>
      <c r="I4689" s="334"/>
      <c r="J4689" s="314"/>
      <c r="K4689" s="449"/>
      <c r="M4689" s="349" t="str">
        <f>N4689&amp;AS[[#This Row],[Insurer Code]]&amp;"; "&amp;O4689&amp;AS[[#This Row],[Reporting Year]]&amp;"; "&amp;P4689&amp;AS[[#This Row],[Insurance Category Code]]&amp;"; "&amp;Q4689&amp;AS[[#This Row],[Large Provider Entity Code]]&amp;"; "&amp;R4689&amp;AS[[#This Row],[Age Band Code]]&amp;"; "&amp;S4689&amp;AS[[#This Row],[Sex Code]]</f>
        <v xml:space="preserve">Insurer Code ; Reporting Year ; Insurance Category Code ; Large Provider Entity Code ; Age Band Code ; Sex Code </v>
      </c>
      <c r="N4689" s="345" t="s">
        <v>207</v>
      </c>
      <c r="O4689" s="345" t="s">
        <v>208</v>
      </c>
      <c r="P4689" s="345" t="s">
        <v>209</v>
      </c>
      <c r="Q4689" s="345" t="s">
        <v>210</v>
      </c>
      <c r="R4689" s="345" t="s">
        <v>223</v>
      </c>
      <c r="S4689" s="345" t="s">
        <v>224</v>
      </c>
    </row>
    <row r="4690" spans="1:19" x14ac:dyDescent="0.25">
      <c r="A4690" s="311"/>
      <c r="B4690" s="312"/>
      <c r="C4690" s="312"/>
      <c r="D4690" s="312"/>
      <c r="E4690" s="312"/>
      <c r="F4690" s="312"/>
      <c r="G4690" s="328"/>
      <c r="H4690" s="337"/>
      <c r="I4690" s="334"/>
      <c r="J4690" s="314"/>
      <c r="K4690" s="449"/>
      <c r="M4690" s="349" t="str">
        <f>N4690&amp;AS[[#This Row],[Insurer Code]]&amp;"; "&amp;O4690&amp;AS[[#This Row],[Reporting Year]]&amp;"; "&amp;P4690&amp;AS[[#This Row],[Insurance Category Code]]&amp;"; "&amp;Q4690&amp;AS[[#This Row],[Large Provider Entity Code]]&amp;"; "&amp;R4690&amp;AS[[#This Row],[Age Band Code]]&amp;"; "&amp;S4690&amp;AS[[#This Row],[Sex Code]]</f>
        <v xml:space="preserve">Insurer Code ; Reporting Year ; Insurance Category Code ; Large Provider Entity Code ; Age Band Code ; Sex Code </v>
      </c>
      <c r="N4690" s="345" t="s">
        <v>207</v>
      </c>
      <c r="O4690" s="345" t="s">
        <v>208</v>
      </c>
      <c r="P4690" s="345" t="s">
        <v>209</v>
      </c>
      <c r="Q4690" s="345" t="s">
        <v>210</v>
      </c>
      <c r="R4690" s="345" t="s">
        <v>223</v>
      </c>
      <c r="S4690" s="345" t="s">
        <v>224</v>
      </c>
    </row>
    <row r="4691" spans="1:19" x14ac:dyDescent="0.25">
      <c r="A4691" s="311"/>
      <c r="B4691" s="312"/>
      <c r="C4691" s="312"/>
      <c r="D4691" s="312"/>
      <c r="E4691" s="312"/>
      <c r="F4691" s="312"/>
      <c r="G4691" s="328"/>
      <c r="H4691" s="337"/>
      <c r="I4691" s="334"/>
      <c r="J4691" s="314"/>
      <c r="K4691" s="449"/>
      <c r="M4691" s="349" t="str">
        <f>N4691&amp;AS[[#This Row],[Insurer Code]]&amp;"; "&amp;O4691&amp;AS[[#This Row],[Reporting Year]]&amp;"; "&amp;P4691&amp;AS[[#This Row],[Insurance Category Code]]&amp;"; "&amp;Q4691&amp;AS[[#This Row],[Large Provider Entity Code]]&amp;"; "&amp;R4691&amp;AS[[#This Row],[Age Band Code]]&amp;"; "&amp;S4691&amp;AS[[#This Row],[Sex Code]]</f>
        <v xml:space="preserve">Insurer Code ; Reporting Year ; Insurance Category Code ; Large Provider Entity Code ; Age Band Code ; Sex Code </v>
      </c>
      <c r="N4691" s="345" t="s">
        <v>207</v>
      </c>
      <c r="O4691" s="345" t="s">
        <v>208</v>
      </c>
      <c r="P4691" s="345" t="s">
        <v>209</v>
      </c>
      <c r="Q4691" s="345" t="s">
        <v>210</v>
      </c>
      <c r="R4691" s="345" t="s">
        <v>223</v>
      </c>
      <c r="S4691" s="345" t="s">
        <v>224</v>
      </c>
    </row>
    <row r="4692" spans="1:19" x14ac:dyDescent="0.25">
      <c r="A4692" s="311"/>
      <c r="B4692" s="312"/>
      <c r="C4692" s="312"/>
      <c r="D4692" s="312"/>
      <c r="E4692" s="312"/>
      <c r="F4692" s="312"/>
      <c r="G4692" s="328"/>
      <c r="H4692" s="337"/>
      <c r="I4692" s="334"/>
      <c r="J4692" s="314"/>
      <c r="K4692" s="449"/>
      <c r="M4692" s="349" t="str">
        <f>N4692&amp;AS[[#This Row],[Insurer Code]]&amp;"; "&amp;O4692&amp;AS[[#This Row],[Reporting Year]]&amp;"; "&amp;P4692&amp;AS[[#This Row],[Insurance Category Code]]&amp;"; "&amp;Q4692&amp;AS[[#This Row],[Large Provider Entity Code]]&amp;"; "&amp;R4692&amp;AS[[#This Row],[Age Band Code]]&amp;"; "&amp;S4692&amp;AS[[#This Row],[Sex Code]]</f>
        <v xml:space="preserve">Insurer Code ; Reporting Year ; Insurance Category Code ; Large Provider Entity Code ; Age Band Code ; Sex Code </v>
      </c>
      <c r="N4692" s="345" t="s">
        <v>207</v>
      </c>
      <c r="O4692" s="345" t="s">
        <v>208</v>
      </c>
      <c r="P4692" s="345" t="s">
        <v>209</v>
      </c>
      <c r="Q4692" s="345" t="s">
        <v>210</v>
      </c>
      <c r="R4692" s="345" t="s">
        <v>223</v>
      </c>
      <c r="S4692" s="345" t="s">
        <v>224</v>
      </c>
    </row>
    <row r="4693" spans="1:19" x14ac:dyDescent="0.25">
      <c r="A4693" s="311"/>
      <c r="B4693" s="312"/>
      <c r="C4693" s="312"/>
      <c r="D4693" s="312"/>
      <c r="E4693" s="312"/>
      <c r="F4693" s="312"/>
      <c r="G4693" s="328"/>
      <c r="H4693" s="337"/>
      <c r="I4693" s="334"/>
      <c r="J4693" s="314"/>
      <c r="K4693" s="449"/>
      <c r="M4693" s="349" t="str">
        <f>N4693&amp;AS[[#This Row],[Insurer Code]]&amp;"; "&amp;O4693&amp;AS[[#This Row],[Reporting Year]]&amp;"; "&amp;P4693&amp;AS[[#This Row],[Insurance Category Code]]&amp;"; "&amp;Q4693&amp;AS[[#This Row],[Large Provider Entity Code]]&amp;"; "&amp;R4693&amp;AS[[#This Row],[Age Band Code]]&amp;"; "&amp;S4693&amp;AS[[#This Row],[Sex Code]]</f>
        <v xml:space="preserve">Insurer Code ; Reporting Year ; Insurance Category Code ; Large Provider Entity Code ; Age Band Code ; Sex Code </v>
      </c>
      <c r="N4693" s="345" t="s">
        <v>207</v>
      </c>
      <c r="O4693" s="345" t="s">
        <v>208</v>
      </c>
      <c r="P4693" s="345" t="s">
        <v>209</v>
      </c>
      <c r="Q4693" s="345" t="s">
        <v>210</v>
      </c>
      <c r="R4693" s="345" t="s">
        <v>223</v>
      </c>
      <c r="S4693" s="345" t="s">
        <v>224</v>
      </c>
    </row>
    <row r="4694" spans="1:19" x14ac:dyDescent="0.25">
      <c r="A4694" s="311"/>
      <c r="B4694" s="312"/>
      <c r="C4694" s="312"/>
      <c r="D4694" s="312"/>
      <c r="E4694" s="312"/>
      <c r="F4694" s="312"/>
      <c r="G4694" s="328"/>
      <c r="H4694" s="337"/>
      <c r="I4694" s="334"/>
      <c r="J4694" s="314"/>
      <c r="K4694" s="449"/>
      <c r="M4694" s="349" t="str">
        <f>N4694&amp;AS[[#This Row],[Insurer Code]]&amp;"; "&amp;O4694&amp;AS[[#This Row],[Reporting Year]]&amp;"; "&amp;P4694&amp;AS[[#This Row],[Insurance Category Code]]&amp;"; "&amp;Q4694&amp;AS[[#This Row],[Large Provider Entity Code]]&amp;"; "&amp;R4694&amp;AS[[#This Row],[Age Band Code]]&amp;"; "&amp;S4694&amp;AS[[#This Row],[Sex Code]]</f>
        <v xml:space="preserve">Insurer Code ; Reporting Year ; Insurance Category Code ; Large Provider Entity Code ; Age Band Code ; Sex Code </v>
      </c>
      <c r="N4694" s="345" t="s">
        <v>207</v>
      </c>
      <c r="O4694" s="345" t="s">
        <v>208</v>
      </c>
      <c r="P4694" s="345" t="s">
        <v>209</v>
      </c>
      <c r="Q4694" s="345" t="s">
        <v>210</v>
      </c>
      <c r="R4694" s="345" t="s">
        <v>223</v>
      </c>
      <c r="S4694" s="345" t="s">
        <v>224</v>
      </c>
    </row>
    <row r="4695" spans="1:19" x14ac:dyDescent="0.25">
      <c r="A4695" s="311"/>
      <c r="B4695" s="312"/>
      <c r="C4695" s="312"/>
      <c r="D4695" s="312"/>
      <c r="E4695" s="312"/>
      <c r="F4695" s="312"/>
      <c r="G4695" s="328"/>
      <c r="H4695" s="337"/>
      <c r="I4695" s="334"/>
      <c r="J4695" s="314"/>
      <c r="K4695" s="449"/>
      <c r="M4695" s="349" t="str">
        <f>N4695&amp;AS[[#This Row],[Insurer Code]]&amp;"; "&amp;O4695&amp;AS[[#This Row],[Reporting Year]]&amp;"; "&amp;P4695&amp;AS[[#This Row],[Insurance Category Code]]&amp;"; "&amp;Q4695&amp;AS[[#This Row],[Large Provider Entity Code]]&amp;"; "&amp;R4695&amp;AS[[#This Row],[Age Band Code]]&amp;"; "&amp;S4695&amp;AS[[#This Row],[Sex Code]]</f>
        <v xml:space="preserve">Insurer Code ; Reporting Year ; Insurance Category Code ; Large Provider Entity Code ; Age Band Code ; Sex Code </v>
      </c>
      <c r="N4695" s="345" t="s">
        <v>207</v>
      </c>
      <c r="O4695" s="345" t="s">
        <v>208</v>
      </c>
      <c r="P4695" s="345" t="s">
        <v>209</v>
      </c>
      <c r="Q4695" s="345" t="s">
        <v>210</v>
      </c>
      <c r="R4695" s="345" t="s">
        <v>223</v>
      </c>
      <c r="S4695" s="345" t="s">
        <v>224</v>
      </c>
    </row>
    <row r="4696" spans="1:19" x14ac:dyDescent="0.25">
      <c r="A4696" s="311"/>
      <c r="B4696" s="312"/>
      <c r="C4696" s="312"/>
      <c r="D4696" s="312"/>
      <c r="E4696" s="312"/>
      <c r="F4696" s="312"/>
      <c r="G4696" s="328"/>
      <c r="H4696" s="337"/>
      <c r="I4696" s="334"/>
      <c r="J4696" s="314"/>
      <c r="K4696" s="449"/>
      <c r="M4696" s="349" t="str">
        <f>N4696&amp;AS[[#This Row],[Insurer Code]]&amp;"; "&amp;O4696&amp;AS[[#This Row],[Reporting Year]]&amp;"; "&amp;P4696&amp;AS[[#This Row],[Insurance Category Code]]&amp;"; "&amp;Q4696&amp;AS[[#This Row],[Large Provider Entity Code]]&amp;"; "&amp;R4696&amp;AS[[#This Row],[Age Band Code]]&amp;"; "&amp;S4696&amp;AS[[#This Row],[Sex Code]]</f>
        <v xml:space="preserve">Insurer Code ; Reporting Year ; Insurance Category Code ; Large Provider Entity Code ; Age Band Code ; Sex Code </v>
      </c>
      <c r="N4696" s="345" t="s">
        <v>207</v>
      </c>
      <c r="O4696" s="345" t="s">
        <v>208</v>
      </c>
      <c r="P4696" s="345" t="s">
        <v>209</v>
      </c>
      <c r="Q4696" s="345" t="s">
        <v>210</v>
      </c>
      <c r="R4696" s="345" t="s">
        <v>223</v>
      </c>
      <c r="S4696" s="345" t="s">
        <v>224</v>
      </c>
    </row>
    <row r="4697" spans="1:19" x14ac:dyDescent="0.25">
      <c r="A4697" s="311"/>
      <c r="B4697" s="312"/>
      <c r="C4697" s="312"/>
      <c r="D4697" s="312"/>
      <c r="E4697" s="312"/>
      <c r="F4697" s="312"/>
      <c r="G4697" s="328"/>
      <c r="H4697" s="337"/>
      <c r="I4697" s="334"/>
      <c r="J4697" s="314"/>
      <c r="K4697" s="449"/>
      <c r="M4697" s="349" t="str">
        <f>N4697&amp;AS[[#This Row],[Insurer Code]]&amp;"; "&amp;O4697&amp;AS[[#This Row],[Reporting Year]]&amp;"; "&amp;P4697&amp;AS[[#This Row],[Insurance Category Code]]&amp;"; "&amp;Q4697&amp;AS[[#This Row],[Large Provider Entity Code]]&amp;"; "&amp;R4697&amp;AS[[#This Row],[Age Band Code]]&amp;"; "&amp;S4697&amp;AS[[#This Row],[Sex Code]]</f>
        <v xml:space="preserve">Insurer Code ; Reporting Year ; Insurance Category Code ; Large Provider Entity Code ; Age Band Code ; Sex Code </v>
      </c>
      <c r="N4697" s="345" t="s">
        <v>207</v>
      </c>
      <c r="O4697" s="345" t="s">
        <v>208</v>
      </c>
      <c r="P4697" s="345" t="s">
        <v>209</v>
      </c>
      <c r="Q4697" s="345" t="s">
        <v>210</v>
      </c>
      <c r="R4697" s="345" t="s">
        <v>223</v>
      </c>
      <c r="S4697" s="345" t="s">
        <v>224</v>
      </c>
    </row>
    <row r="4698" spans="1:19" x14ac:dyDescent="0.25">
      <c r="A4698" s="311"/>
      <c r="B4698" s="312"/>
      <c r="C4698" s="312"/>
      <c r="D4698" s="312"/>
      <c r="E4698" s="312"/>
      <c r="F4698" s="312"/>
      <c r="G4698" s="328"/>
      <c r="H4698" s="337"/>
      <c r="I4698" s="334"/>
      <c r="J4698" s="314"/>
      <c r="K4698" s="449"/>
      <c r="M4698" s="349" t="str">
        <f>N4698&amp;AS[[#This Row],[Insurer Code]]&amp;"; "&amp;O4698&amp;AS[[#This Row],[Reporting Year]]&amp;"; "&amp;P4698&amp;AS[[#This Row],[Insurance Category Code]]&amp;"; "&amp;Q4698&amp;AS[[#This Row],[Large Provider Entity Code]]&amp;"; "&amp;R4698&amp;AS[[#This Row],[Age Band Code]]&amp;"; "&amp;S4698&amp;AS[[#This Row],[Sex Code]]</f>
        <v xml:space="preserve">Insurer Code ; Reporting Year ; Insurance Category Code ; Large Provider Entity Code ; Age Band Code ; Sex Code </v>
      </c>
      <c r="N4698" s="345" t="s">
        <v>207</v>
      </c>
      <c r="O4698" s="345" t="s">
        <v>208</v>
      </c>
      <c r="P4698" s="345" t="s">
        <v>209</v>
      </c>
      <c r="Q4698" s="345" t="s">
        <v>210</v>
      </c>
      <c r="R4698" s="345" t="s">
        <v>223</v>
      </c>
      <c r="S4698" s="345" t="s">
        <v>224</v>
      </c>
    </row>
    <row r="4699" spans="1:19" x14ac:dyDescent="0.25">
      <c r="A4699" s="311"/>
      <c r="B4699" s="312"/>
      <c r="C4699" s="312"/>
      <c r="D4699" s="312"/>
      <c r="E4699" s="312"/>
      <c r="F4699" s="312"/>
      <c r="G4699" s="328"/>
      <c r="H4699" s="337"/>
      <c r="I4699" s="334"/>
      <c r="J4699" s="314"/>
      <c r="K4699" s="449"/>
      <c r="M4699" s="349" t="str">
        <f>N4699&amp;AS[[#This Row],[Insurer Code]]&amp;"; "&amp;O4699&amp;AS[[#This Row],[Reporting Year]]&amp;"; "&amp;P4699&amp;AS[[#This Row],[Insurance Category Code]]&amp;"; "&amp;Q4699&amp;AS[[#This Row],[Large Provider Entity Code]]&amp;"; "&amp;R4699&amp;AS[[#This Row],[Age Band Code]]&amp;"; "&amp;S4699&amp;AS[[#This Row],[Sex Code]]</f>
        <v xml:space="preserve">Insurer Code ; Reporting Year ; Insurance Category Code ; Large Provider Entity Code ; Age Band Code ; Sex Code </v>
      </c>
      <c r="N4699" s="345" t="s">
        <v>207</v>
      </c>
      <c r="O4699" s="345" t="s">
        <v>208</v>
      </c>
      <c r="P4699" s="345" t="s">
        <v>209</v>
      </c>
      <c r="Q4699" s="345" t="s">
        <v>210</v>
      </c>
      <c r="R4699" s="345" t="s">
        <v>223</v>
      </c>
      <c r="S4699" s="345" t="s">
        <v>224</v>
      </c>
    </row>
    <row r="4700" spans="1:19" x14ac:dyDescent="0.25">
      <c r="A4700" s="311"/>
      <c r="B4700" s="312"/>
      <c r="C4700" s="312"/>
      <c r="D4700" s="312"/>
      <c r="E4700" s="312"/>
      <c r="F4700" s="312"/>
      <c r="G4700" s="328"/>
      <c r="H4700" s="337"/>
      <c r="I4700" s="334"/>
      <c r="J4700" s="314"/>
      <c r="K4700" s="449"/>
      <c r="M4700" s="349" t="str">
        <f>N4700&amp;AS[[#This Row],[Insurer Code]]&amp;"; "&amp;O4700&amp;AS[[#This Row],[Reporting Year]]&amp;"; "&amp;P4700&amp;AS[[#This Row],[Insurance Category Code]]&amp;"; "&amp;Q4700&amp;AS[[#This Row],[Large Provider Entity Code]]&amp;"; "&amp;R4700&amp;AS[[#This Row],[Age Band Code]]&amp;"; "&amp;S4700&amp;AS[[#This Row],[Sex Code]]</f>
        <v xml:space="preserve">Insurer Code ; Reporting Year ; Insurance Category Code ; Large Provider Entity Code ; Age Band Code ; Sex Code </v>
      </c>
      <c r="N4700" s="345" t="s">
        <v>207</v>
      </c>
      <c r="O4700" s="345" t="s">
        <v>208</v>
      </c>
      <c r="P4700" s="345" t="s">
        <v>209</v>
      </c>
      <c r="Q4700" s="345" t="s">
        <v>210</v>
      </c>
      <c r="R4700" s="345" t="s">
        <v>223</v>
      </c>
      <c r="S4700" s="345" t="s">
        <v>224</v>
      </c>
    </row>
    <row r="4701" spans="1:19" x14ac:dyDescent="0.25">
      <c r="A4701" s="311"/>
      <c r="B4701" s="312"/>
      <c r="C4701" s="312"/>
      <c r="D4701" s="312"/>
      <c r="E4701" s="312"/>
      <c r="F4701" s="312"/>
      <c r="G4701" s="328"/>
      <c r="H4701" s="337"/>
      <c r="I4701" s="334"/>
      <c r="J4701" s="314"/>
      <c r="K4701" s="449"/>
      <c r="M4701" s="349" t="str">
        <f>N4701&amp;AS[[#This Row],[Insurer Code]]&amp;"; "&amp;O4701&amp;AS[[#This Row],[Reporting Year]]&amp;"; "&amp;P4701&amp;AS[[#This Row],[Insurance Category Code]]&amp;"; "&amp;Q4701&amp;AS[[#This Row],[Large Provider Entity Code]]&amp;"; "&amp;R4701&amp;AS[[#This Row],[Age Band Code]]&amp;"; "&amp;S4701&amp;AS[[#This Row],[Sex Code]]</f>
        <v xml:space="preserve">Insurer Code ; Reporting Year ; Insurance Category Code ; Large Provider Entity Code ; Age Band Code ; Sex Code </v>
      </c>
      <c r="N4701" s="345" t="s">
        <v>207</v>
      </c>
      <c r="O4701" s="345" t="s">
        <v>208</v>
      </c>
      <c r="P4701" s="345" t="s">
        <v>209</v>
      </c>
      <c r="Q4701" s="345" t="s">
        <v>210</v>
      </c>
      <c r="R4701" s="345" t="s">
        <v>223</v>
      </c>
      <c r="S4701" s="345" t="s">
        <v>224</v>
      </c>
    </row>
    <row r="4702" spans="1:19" x14ac:dyDescent="0.25">
      <c r="A4702" s="311"/>
      <c r="B4702" s="312"/>
      <c r="C4702" s="312"/>
      <c r="D4702" s="312"/>
      <c r="E4702" s="312"/>
      <c r="F4702" s="312"/>
      <c r="G4702" s="328"/>
      <c r="H4702" s="337"/>
      <c r="I4702" s="334"/>
      <c r="J4702" s="314"/>
      <c r="K4702" s="449"/>
      <c r="M4702" s="349" t="str">
        <f>N4702&amp;AS[[#This Row],[Insurer Code]]&amp;"; "&amp;O4702&amp;AS[[#This Row],[Reporting Year]]&amp;"; "&amp;P4702&amp;AS[[#This Row],[Insurance Category Code]]&amp;"; "&amp;Q4702&amp;AS[[#This Row],[Large Provider Entity Code]]&amp;"; "&amp;R4702&amp;AS[[#This Row],[Age Band Code]]&amp;"; "&amp;S4702&amp;AS[[#This Row],[Sex Code]]</f>
        <v xml:space="preserve">Insurer Code ; Reporting Year ; Insurance Category Code ; Large Provider Entity Code ; Age Band Code ; Sex Code </v>
      </c>
      <c r="N4702" s="345" t="s">
        <v>207</v>
      </c>
      <c r="O4702" s="345" t="s">
        <v>208</v>
      </c>
      <c r="P4702" s="345" t="s">
        <v>209</v>
      </c>
      <c r="Q4702" s="345" t="s">
        <v>210</v>
      </c>
      <c r="R4702" s="345" t="s">
        <v>223</v>
      </c>
      <c r="S4702" s="345" t="s">
        <v>224</v>
      </c>
    </row>
    <row r="4703" spans="1:19" x14ac:dyDescent="0.25">
      <c r="A4703" s="311"/>
      <c r="B4703" s="312"/>
      <c r="C4703" s="312"/>
      <c r="D4703" s="312"/>
      <c r="E4703" s="312"/>
      <c r="F4703" s="312"/>
      <c r="G4703" s="328"/>
      <c r="H4703" s="337"/>
      <c r="I4703" s="334"/>
      <c r="J4703" s="314"/>
      <c r="K4703" s="449"/>
      <c r="M4703" s="349" t="str">
        <f>N4703&amp;AS[[#This Row],[Insurer Code]]&amp;"; "&amp;O4703&amp;AS[[#This Row],[Reporting Year]]&amp;"; "&amp;P4703&amp;AS[[#This Row],[Insurance Category Code]]&amp;"; "&amp;Q4703&amp;AS[[#This Row],[Large Provider Entity Code]]&amp;"; "&amp;R4703&amp;AS[[#This Row],[Age Band Code]]&amp;"; "&amp;S4703&amp;AS[[#This Row],[Sex Code]]</f>
        <v xml:space="preserve">Insurer Code ; Reporting Year ; Insurance Category Code ; Large Provider Entity Code ; Age Band Code ; Sex Code </v>
      </c>
      <c r="N4703" s="345" t="s">
        <v>207</v>
      </c>
      <c r="O4703" s="345" t="s">
        <v>208</v>
      </c>
      <c r="P4703" s="345" t="s">
        <v>209</v>
      </c>
      <c r="Q4703" s="345" t="s">
        <v>210</v>
      </c>
      <c r="R4703" s="345" t="s">
        <v>223</v>
      </c>
      <c r="S4703" s="345" t="s">
        <v>224</v>
      </c>
    </row>
    <row r="4704" spans="1:19" x14ac:dyDescent="0.25">
      <c r="A4704" s="311"/>
      <c r="B4704" s="312"/>
      <c r="C4704" s="312"/>
      <c r="D4704" s="312"/>
      <c r="E4704" s="312"/>
      <c r="F4704" s="312"/>
      <c r="G4704" s="328"/>
      <c r="H4704" s="337"/>
      <c r="I4704" s="334"/>
      <c r="J4704" s="314"/>
      <c r="K4704" s="449"/>
      <c r="M4704" s="349" t="str">
        <f>N4704&amp;AS[[#This Row],[Insurer Code]]&amp;"; "&amp;O4704&amp;AS[[#This Row],[Reporting Year]]&amp;"; "&amp;P4704&amp;AS[[#This Row],[Insurance Category Code]]&amp;"; "&amp;Q4704&amp;AS[[#This Row],[Large Provider Entity Code]]&amp;"; "&amp;R4704&amp;AS[[#This Row],[Age Band Code]]&amp;"; "&amp;S4704&amp;AS[[#This Row],[Sex Code]]</f>
        <v xml:space="preserve">Insurer Code ; Reporting Year ; Insurance Category Code ; Large Provider Entity Code ; Age Band Code ; Sex Code </v>
      </c>
      <c r="N4704" s="345" t="s">
        <v>207</v>
      </c>
      <c r="O4704" s="345" t="s">
        <v>208</v>
      </c>
      <c r="P4704" s="345" t="s">
        <v>209</v>
      </c>
      <c r="Q4704" s="345" t="s">
        <v>210</v>
      </c>
      <c r="R4704" s="345" t="s">
        <v>223</v>
      </c>
      <c r="S4704" s="345" t="s">
        <v>224</v>
      </c>
    </row>
    <row r="4705" spans="1:19" x14ac:dyDescent="0.25">
      <c r="A4705" s="311"/>
      <c r="B4705" s="312"/>
      <c r="C4705" s="312"/>
      <c r="D4705" s="312"/>
      <c r="E4705" s="312"/>
      <c r="F4705" s="312"/>
      <c r="G4705" s="328"/>
      <c r="H4705" s="337"/>
      <c r="I4705" s="334"/>
      <c r="J4705" s="314"/>
      <c r="K4705" s="449"/>
      <c r="M4705" s="349" t="str">
        <f>N4705&amp;AS[[#This Row],[Insurer Code]]&amp;"; "&amp;O4705&amp;AS[[#This Row],[Reporting Year]]&amp;"; "&amp;P4705&amp;AS[[#This Row],[Insurance Category Code]]&amp;"; "&amp;Q4705&amp;AS[[#This Row],[Large Provider Entity Code]]&amp;"; "&amp;R4705&amp;AS[[#This Row],[Age Band Code]]&amp;"; "&amp;S4705&amp;AS[[#This Row],[Sex Code]]</f>
        <v xml:space="preserve">Insurer Code ; Reporting Year ; Insurance Category Code ; Large Provider Entity Code ; Age Band Code ; Sex Code </v>
      </c>
      <c r="N4705" s="345" t="s">
        <v>207</v>
      </c>
      <c r="O4705" s="345" t="s">
        <v>208</v>
      </c>
      <c r="P4705" s="345" t="s">
        <v>209</v>
      </c>
      <c r="Q4705" s="345" t="s">
        <v>210</v>
      </c>
      <c r="R4705" s="345" t="s">
        <v>223</v>
      </c>
      <c r="S4705" s="345" t="s">
        <v>224</v>
      </c>
    </row>
    <row r="4706" spans="1:19" x14ac:dyDescent="0.25">
      <c r="A4706" s="311"/>
      <c r="B4706" s="312"/>
      <c r="C4706" s="312"/>
      <c r="D4706" s="312"/>
      <c r="E4706" s="312"/>
      <c r="F4706" s="312"/>
      <c r="G4706" s="328"/>
      <c r="H4706" s="337"/>
      <c r="I4706" s="334"/>
      <c r="J4706" s="314"/>
      <c r="K4706" s="449"/>
      <c r="M4706" s="349" t="str">
        <f>N4706&amp;AS[[#This Row],[Insurer Code]]&amp;"; "&amp;O4706&amp;AS[[#This Row],[Reporting Year]]&amp;"; "&amp;P4706&amp;AS[[#This Row],[Insurance Category Code]]&amp;"; "&amp;Q4706&amp;AS[[#This Row],[Large Provider Entity Code]]&amp;"; "&amp;R4706&amp;AS[[#This Row],[Age Band Code]]&amp;"; "&amp;S4706&amp;AS[[#This Row],[Sex Code]]</f>
        <v xml:space="preserve">Insurer Code ; Reporting Year ; Insurance Category Code ; Large Provider Entity Code ; Age Band Code ; Sex Code </v>
      </c>
      <c r="N4706" s="345" t="s">
        <v>207</v>
      </c>
      <c r="O4706" s="345" t="s">
        <v>208</v>
      </c>
      <c r="P4706" s="345" t="s">
        <v>209</v>
      </c>
      <c r="Q4706" s="345" t="s">
        <v>210</v>
      </c>
      <c r="R4706" s="345" t="s">
        <v>223</v>
      </c>
      <c r="S4706" s="345" t="s">
        <v>224</v>
      </c>
    </row>
    <row r="4707" spans="1:19" x14ac:dyDescent="0.25">
      <c r="A4707" s="311"/>
      <c r="B4707" s="312"/>
      <c r="C4707" s="312"/>
      <c r="D4707" s="312"/>
      <c r="E4707" s="312"/>
      <c r="F4707" s="312"/>
      <c r="G4707" s="328"/>
      <c r="H4707" s="337"/>
      <c r="I4707" s="334"/>
      <c r="J4707" s="314"/>
      <c r="K4707" s="449"/>
      <c r="M4707" s="349" t="str">
        <f>N4707&amp;AS[[#This Row],[Insurer Code]]&amp;"; "&amp;O4707&amp;AS[[#This Row],[Reporting Year]]&amp;"; "&amp;P4707&amp;AS[[#This Row],[Insurance Category Code]]&amp;"; "&amp;Q4707&amp;AS[[#This Row],[Large Provider Entity Code]]&amp;"; "&amp;R4707&amp;AS[[#This Row],[Age Band Code]]&amp;"; "&amp;S4707&amp;AS[[#This Row],[Sex Code]]</f>
        <v xml:space="preserve">Insurer Code ; Reporting Year ; Insurance Category Code ; Large Provider Entity Code ; Age Band Code ; Sex Code </v>
      </c>
      <c r="N4707" s="345" t="s">
        <v>207</v>
      </c>
      <c r="O4707" s="345" t="s">
        <v>208</v>
      </c>
      <c r="P4707" s="345" t="s">
        <v>209</v>
      </c>
      <c r="Q4707" s="345" t="s">
        <v>210</v>
      </c>
      <c r="R4707" s="345" t="s">
        <v>223</v>
      </c>
      <c r="S4707" s="345" t="s">
        <v>224</v>
      </c>
    </row>
    <row r="4708" spans="1:19" x14ac:dyDescent="0.25">
      <c r="A4708" s="311"/>
      <c r="B4708" s="312"/>
      <c r="C4708" s="312"/>
      <c r="D4708" s="312"/>
      <c r="E4708" s="312"/>
      <c r="F4708" s="312"/>
      <c r="G4708" s="328"/>
      <c r="H4708" s="337"/>
      <c r="I4708" s="334"/>
      <c r="J4708" s="314"/>
      <c r="K4708" s="449"/>
      <c r="M4708" s="349" t="str">
        <f>N4708&amp;AS[[#This Row],[Insurer Code]]&amp;"; "&amp;O4708&amp;AS[[#This Row],[Reporting Year]]&amp;"; "&amp;P4708&amp;AS[[#This Row],[Insurance Category Code]]&amp;"; "&amp;Q4708&amp;AS[[#This Row],[Large Provider Entity Code]]&amp;"; "&amp;R4708&amp;AS[[#This Row],[Age Band Code]]&amp;"; "&amp;S4708&amp;AS[[#This Row],[Sex Code]]</f>
        <v xml:space="preserve">Insurer Code ; Reporting Year ; Insurance Category Code ; Large Provider Entity Code ; Age Band Code ; Sex Code </v>
      </c>
      <c r="N4708" s="345" t="s">
        <v>207</v>
      </c>
      <c r="O4708" s="345" t="s">
        <v>208</v>
      </c>
      <c r="P4708" s="345" t="s">
        <v>209</v>
      </c>
      <c r="Q4708" s="345" t="s">
        <v>210</v>
      </c>
      <c r="R4708" s="345" t="s">
        <v>223</v>
      </c>
      <c r="S4708" s="345" t="s">
        <v>224</v>
      </c>
    </row>
    <row r="4709" spans="1:19" x14ac:dyDescent="0.25">
      <c r="A4709" s="311"/>
      <c r="B4709" s="312"/>
      <c r="C4709" s="312"/>
      <c r="D4709" s="312"/>
      <c r="E4709" s="312"/>
      <c r="F4709" s="312"/>
      <c r="G4709" s="328"/>
      <c r="H4709" s="337"/>
      <c r="I4709" s="334"/>
      <c r="J4709" s="314"/>
      <c r="K4709" s="449"/>
      <c r="M4709" s="349" t="str">
        <f>N4709&amp;AS[[#This Row],[Insurer Code]]&amp;"; "&amp;O4709&amp;AS[[#This Row],[Reporting Year]]&amp;"; "&amp;P4709&amp;AS[[#This Row],[Insurance Category Code]]&amp;"; "&amp;Q4709&amp;AS[[#This Row],[Large Provider Entity Code]]&amp;"; "&amp;R4709&amp;AS[[#This Row],[Age Band Code]]&amp;"; "&amp;S4709&amp;AS[[#This Row],[Sex Code]]</f>
        <v xml:space="preserve">Insurer Code ; Reporting Year ; Insurance Category Code ; Large Provider Entity Code ; Age Band Code ; Sex Code </v>
      </c>
      <c r="N4709" s="345" t="s">
        <v>207</v>
      </c>
      <c r="O4709" s="345" t="s">
        <v>208</v>
      </c>
      <c r="P4709" s="345" t="s">
        <v>209</v>
      </c>
      <c r="Q4709" s="345" t="s">
        <v>210</v>
      </c>
      <c r="R4709" s="345" t="s">
        <v>223</v>
      </c>
      <c r="S4709" s="345" t="s">
        <v>224</v>
      </c>
    </row>
    <row r="4710" spans="1:19" x14ac:dyDescent="0.25">
      <c r="A4710" s="311"/>
      <c r="B4710" s="312"/>
      <c r="C4710" s="312"/>
      <c r="D4710" s="312"/>
      <c r="E4710" s="312"/>
      <c r="F4710" s="312"/>
      <c r="G4710" s="328"/>
      <c r="H4710" s="337"/>
      <c r="I4710" s="334"/>
      <c r="J4710" s="314"/>
      <c r="K4710" s="449"/>
      <c r="M4710" s="349" t="str">
        <f>N4710&amp;AS[[#This Row],[Insurer Code]]&amp;"; "&amp;O4710&amp;AS[[#This Row],[Reporting Year]]&amp;"; "&amp;P4710&amp;AS[[#This Row],[Insurance Category Code]]&amp;"; "&amp;Q4710&amp;AS[[#This Row],[Large Provider Entity Code]]&amp;"; "&amp;R4710&amp;AS[[#This Row],[Age Band Code]]&amp;"; "&amp;S4710&amp;AS[[#This Row],[Sex Code]]</f>
        <v xml:space="preserve">Insurer Code ; Reporting Year ; Insurance Category Code ; Large Provider Entity Code ; Age Band Code ; Sex Code </v>
      </c>
      <c r="N4710" s="345" t="s">
        <v>207</v>
      </c>
      <c r="O4710" s="345" t="s">
        <v>208</v>
      </c>
      <c r="P4710" s="345" t="s">
        <v>209</v>
      </c>
      <c r="Q4710" s="345" t="s">
        <v>210</v>
      </c>
      <c r="R4710" s="345" t="s">
        <v>223</v>
      </c>
      <c r="S4710" s="345" t="s">
        <v>224</v>
      </c>
    </row>
    <row r="4711" spans="1:19" x14ac:dyDescent="0.25">
      <c r="A4711" s="311"/>
      <c r="B4711" s="312"/>
      <c r="C4711" s="312"/>
      <c r="D4711" s="312"/>
      <c r="E4711" s="312"/>
      <c r="F4711" s="312"/>
      <c r="G4711" s="328"/>
      <c r="H4711" s="337"/>
      <c r="I4711" s="334"/>
      <c r="J4711" s="314"/>
      <c r="K4711" s="449"/>
      <c r="M4711" s="349" t="str">
        <f>N4711&amp;AS[[#This Row],[Insurer Code]]&amp;"; "&amp;O4711&amp;AS[[#This Row],[Reporting Year]]&amp;"; "&amp;P4711&amp;AS[[#This Row],[Insurance Category Code]]&amp;"; "&amp;Q4711&amp;AS[[#This Row],[Large Provider Entity Code]]&amp;"; "&amp;R4711&amp;AS[[#This Row],[Age Band Code]]&amp;"; "&amp;S4711&amp;AS[[#This Row],[Sex Code]]</f>
        <v xml:space="preserve">Insurer Code ; Reporting Year ; Insurance Category Code ; Large Provider Entity Code ; Age Band Code ; Sex Code </v>
      </c>
      <c r="N4711" s="345" t="s">
        <v>207</v>
      </c>
      <c r="O4711" s="345" t="s">
        <v>208</v>
      </c>
      <c r="P4711" s="345" t="s">
        <v>209</v>
      </c>
      <c r="Q4711" s="345" t="s">
        <v>210</v>
      </c>
      <c r="R4711" s="345" t="s">
        <v>223</v>
      </c>
      <c r="S4711" s="345" t="s">
        <v>224</v>
      </c>
    </row>
    <row r="4712" spans="1:19" x14ac:dyDescent="0.25">
      <c r="A4712" s="311"/>
      <c r="B4712" s="312"/>
      <c r="C4712" s="312"/>
      <c r="D4712" s="312"/>
      <c r="E4712" s="312"/>
      <c r="F4712" s="312"/>
      <c r="G4712" s="328"/>
      <c r="H4712" s="337"/>
      <c r="I4712" s="334"/>
      <c r="J4712" s="314"/>
      <c r="K4712" s="449"/>
      <c r="M4712" s="349" t="str">
        <f>N4712&amp;AS[[#This Row],[Insurer Code]]&amp;"; "&amp;O4712&amp;AS[[#This Row],[Reporting Year]]&amp;"; "&amp;P4712&amp;AS[[#This Row],[Insurance Category Code]]&amp;"; "&amp;Q4712&amp;AS[[#This Row],[Large Provider Entity Code]]&amp;"; "&amp;R4712&amp;AS[[#This Row],[Age Band Code]]&amp;"; "&amp;S4712&amp;AS[[#This Row],[Sex Code]]</f>
        <v xml:space="preserve">Insurer Code ; Reporting Year ; Insurance Category Code ; Large Provider Entity Code ; Age Band Code ; Sex Code </v>
      </c>
      <c r="N4712" s="345" t="s">
        <v>207</v>
      </c>
      <c r="O4712" s="345" t="s">
        <v>208</v>
      </c>
      <c r="P4712" s="345" t="s">
        <v>209</v>
      </c>
      <c r="Q4712" s="345" t="s">
        <v>210</v>
      </c>
      <c r="R4712" s="345" t="s">
        <v>223</v>
      </c>
      <c r="S4712" s="345" t="s">
        <v>224</v>
      </c>
    </row>
    <row r="4713" spans="1:19" x14ac:dyDescent="0.25">
      <c r="A4713" s="311"/>
      <c r="B4713" s="312"/>
      <c r="C4713" s="312"/>
      <c r="D4713" s="312"/>
      <c r="E4713" s="312"/>
      <c r="F4713" s="312"/>
      <c r="G4713" s="328"/>
      <c r="H4713" s="337"/>
      <c r="I4713" s="334"/>
      <c r="J4713" s="314"/>
      <c r="K4713" s="449"/>
      <c r="M4713" s="349" t="str">
        <f>N4713&amp;AS[[#This Row],[Insurer Code]]&amp;"; "&amp;O4713&amp;AS[[#This Row],[Reporting Year]]&amp;"; "&amp;P4713&amp;AS[[#This Row],[Insurance Category Code]]&amp;"; "&amp;Q4713&amp;AS[[#This Row],[Large Provider Entity Code]]&amp;"; "&amp;R4713&amp;AS[[#This Row],[Age Band Code]]&amp;"; "&amp;S4713&amp;AS[[#This Row],[Sex Code]]</f>
        <v xml:space="preserve">Insurer Code ; Reporting Year ; Insurance Category Code ; Large Provider Entity Code ; Age Band Code ; Sex Code </v>
      </c>
      <c r="N4713" s="345" t="s">
        <v>207</v>
      </c>
      <c r="O4713" s="345" t="s">
        <v>208</v>
      </c>
      <c r="P4713" s="345" t="s">
        <v>209</v>
      </c>
      <c r="Q4713" s="345" t="s">
        <v>210</v>
      </c>
      <c r="R4713" s="345" t="s">
        <v>223</v>
      </c>
      <c r="S4713" s="345" t="s">
        <v>224</v>
      </c>
    </row>
    <row r="4714" spans="1:19" x14ac:dyDescent="0.25">
      <c r="A4714" s="311"/>
      <c r="B4714" s="312"/>
      <c r="C4714" s="312"/>
      <c r="D4714" s="312"/>
      <c r="E4714" s="312"/>
      <c r="F4714" s="312"/>
      <c r="G4714" s="328"/>
      <c r="H4714" s="337"/>
      <c r="I4714" s="334"/>
      <c r="J4714" s="314"/>
      <c r="K4714" s="449"/>
      <c r="M4714" s="349" t="str">
        <f>N4714&amp;AS[[#This Row],[Insurer Code]]&amp;"; "&amp;O4714&amp;AS[[#This Row],[Reporting Year]]&amp;"; "&amp;P4714&amp;AS[[#This Row],[Insurance Category Code]]&amp;"; "&amp;Q4714&amp;AS[[#This Row],[Large Provider Entity Code]]&amp;"; "&amp;R4714&amp;AS[[#This Row],[Age Band Code]]&amp;"; "&amp;S4714&amp;AS[[#This Row],[Sex Code]]</f>
        <v xml:space="preserve">Insurer Code ; Reporting Year ; Insurance Category Code ; Large Provider Entity Code ; Age Band Code ; Sex Code </v>
      </c>
      <c r="N4714" s="345" t="s">
        <v>207</v>
      </c>
      <c r="O4714" s="345" t="s">
        <v>208</v>
      </c>
      <c r="P4714" s="345" t="s">
        <v>209</v>
      </c>
      <c r="Q4714" s="345" t="s">
        <v>210</v>
      </c>
      <c r="R4714" s="345" t="s">
        <v>223</v>
      </c>
      <c r="S4714" s="345" t="s">
        <v>224</v>
      </c>
    </row>
    <row r="4715" spans="1:19" x14ac:dyDescent="0.25">
      <c r="A4715" s="311"/>
      <c r="B4715" s="312"/>
      <c r="C4715" s="312"/>
      <c r="D4715" s="312"/>
      <c r="E4715" s="312"/>
      <c r="F4715" s="312"/>
      <c r="G4715" s="328"/>
      <c r="H4715" s="337"/>
      <c r="I4715" s="334"/>
      <c r="J4715" s="314"/>
      <c r="K4715" s="449"/>
      <c r="M4715" s="349" t="str">
        <f>N4715&amp;AS[[#This Row],[Insurer Code]]&amp;"; "&amp;O4715&amp;AS[[#This Row],[Reporting Year]]&amp;"; "&amp;P4715&amp;AS[[#This Row],[Insurance Category Code]]&amp;"; "&amp;Q4715&amp;AS[[#This Row],[Large Provider Entity Code]]&amp;"; "&amp;R4715&amp;AS[[#This Row],[Age Band Code]]&amp;"; "&amp;S4715&amp;AS[[#This Row],[Sex Code]]</f>
        <v xml:space="preserve">Insurer Code ; Reporting Year ; Insurance Category Code ; Large Provider Entity Code ; Age Band Code ; Sex Code </v>
      </c>
      <c r="N4715" s="345" t="s">
        <v>207</v>
      </c>
      <c r="O4715" s="345" t="s">
        <v>208</v>
      </c>
      <c r="P4715" s="345" t="s">
        <v>209</v>
      </c>
      <c r="Q4715" s="345" t="s">
        <v>210</v>
      </c>
      <c r="R4715" s="345" t="s">
        <v>223</v>
      </c>
      <c r="S4715" s="345" t="s">
        <v>224</v>
      </c>
    </row>
    <row r="4716" spans="1:19" x14ac:dyDescent="0.25">
      <c r="A4716" s="311"/>
      <c r="B4716" s="312"/>
      <c r="C4716" s="312"/>
      <c r="D4716" s="312"/>
      <c r="E4716" s="312"/>
      <c r="F4716" s="312"/>
      <c r="G4716" s="328"/>
      <c r="H4716" s="337"/>
      <c r="I4716" s="334"/>
      <c r="J4716" s="314"/>
      <c r="K4716" s="449"/>
      <c r="M4716" s="349" t="str">
        <f>N4716&amp;AS[[#This Row],[Insurer Code]]&amp;"; "&amp;O4716&amp;AS[[#This Row],[Reporting Year]]&amp;"; "&amp;P4716&amp;AS[[#This Row],[Insurance Category Code]]&amp;"; "&amp;Q4716&amp;AS[[#This Row],[Large Provider Entity Code]]&amp;"; "&amp;R4716&amp;AS[[#This Row],[Age Band Code]]&amp;"; "&amp;S4716&amp;AS[[#This Row],[Sex Code]]</f>
        <v xml:space="preserve">Insurer Code ; Reporting Year ; Insurance Category Code ; Large Provider Entity Code ; Age Band Code ; Sex Code </v>
      </c>
      <c r="N4716" s="345" t="s">
        <v>207</v>
      </c>
      <c r="O4716" s="345" t="s">
        <v>208</v>
      </c>
      <c r="P4716" s="345" t="s">
        <v>209</v>
      </c>
      <c r="Q4716" s="345" t="s">
        <v>210</v>
      </c>
      <c r="R4716" s="345" t="s">
        <v>223</v>
      </c>
      <c r="S4716" s="345" t="s">
        <v>224</v>
      </c>
    </row>
    <row r="4717" spans="1:19" x14ac:dyDescent="0.25">
      <c r="A4717" s="311"/>
      <c r="B4717" s="312"/>
      <c r="C4717" s="312"/>
      <c r="D4717" s="312"/>
      <c r="E4717" s="312"/>
      <c r="F4717" s="312"/>
      <c r="G4717" s="328"/>
      <c r="H4717" s="337"/>
      <c r="I4717" s="334"/>
      <c r="J4717" s="314"/>
      <c r="K4717" s="449"/>
      <c r="M4717" s="349" t="str">
        <f>N4717&amp;AS[[#This Row],[Insurer Code]]&amp;"; "&amp;O4717&amp;AS[[#This Row],[Reporting Year]]&amp;"; "&amp;P4717&amp;AS[[#This Row],[Insurance Category Code]]&amp;"; "&amp;Q4717&amp;AS[[#This Row],[Large Provider Entity Code]]&amp;"; "&amp;R4717&amp;AS[[#This Row],[Age Band Code]]&amp;"; "&amp;S4717&amp;AS[[#This Row],[Sex Code]]</f>
        <v xml:space="preserve">Insurer Code ; Reporting Year ; Insurance Category Code ; Large Provider Entity Code ; Age Band Code ; Sex Code </v>
      </c>
      <c r="N4717" s="345" t="s">
        <v>207</v>
      </c>
      <c r="O4717" s="345" t="s">
        <v>208</v>
      </c>
      <c r="P4717" s="345" t="s">
        <v>209</v>
      </c>
      <c r="Q4717" s="345" t="s">
        <v>210</v>
      </c>
      <c r="R4717" s="345" t="s">
        <v>223</v>
      </c>
      <c r="S4717" s="345" t="s">
        <v>224</v>
      </c>
    </row>
    <row r="4718" spans="1:19" x14ac:dyDescent="0.25">
      <c r="A4718" s="311"/>
      <c r="B4718" s="312"/>
      <c r="C4718" s="312"/>
      <c r="D4718" s="312"/>
      <c r="E4718" s="312"/>
      <c r="F4718" s="312"/>
      <c r="G4718" s="328"/>
      <c r="H4718" s="337"/>
      <c r="I4718" s="334"/>
      <c r="J4718" s="314"/>
      <c r="K4718" s="449"/>
      <c r="M4718" s="349" t="str">
        <f>N4718&amp;AS[[#This Row],[Insurer Code]]&amp;"; "&amp;O4718&amp;AS[[#This Row],[Reporting Year]]&amp;"; "&amp;P4718&amp;AS[[#This Row],[Insurance Category Code]]&amp;"; "&amp;Q4718&amp;AS[[#This Row],[Large Provider Entity Code]]&amp;"; "&amp;R4718&amp;AS[[#This Row],[Age Band Code]]&amp;"; "&amp;S4718&amp;AS[[#This Row],[Sex Code]]</f>
        <v xml:space="preserve">Insurer Code ; Reporting Year ; Insurance Category Code ; Large Provider Entity Code ; Age Band Code ; Sex Code </v>
      </c>
      <c r="N4718" s="345" t="s">
        <v>207</v>
      </c>
      <c r="O4718" s="345" t="s">
        <v>208</v>
      </c>
      <c r="P4718" s="345" t="s">
        <v>209</v>
      </c>
      <c r="Q4718" s="345" t="s">
        <v>210</v>
      </c>
      <c r="R4718" s="345" t="s">
        <v>223</v>
      </c>
      <c r="S4718" s="345" t="s">
        <v>224</v>
      </c>
    </row>
    <row r="4719" spans="1:19" x14ac:dyDescent="0.25">
      <c r="A4719" s="311"/>
      <c r="B4719" s="312"/>
      <c r="C4719" s="312"/>
      <c r="D4719" s="312"/>
      <c r="E4719" s="312"/>
      <c r="F4719" s="312"/>
      <c r="G4719" s="328"/>
      <c r="H4719" s="337"/>
      <c r="I4719" s="334"/>
      <c r="J4719" s="314"/>
      <c r="K4719" s="449"/>
      <c r="M4719" s="349" t="str">
        <f>N4719&amp;AS[[#This Row],[Insurer Code]]&amp;"; "&amp;O4719&amp;AS[[#This Row],[Reporting Year]]&amp;"; "&amp;P4719&amp;AS[[#This Row],[Insurance Category Code]]&amp;"; "&amp;Q4719&amp;AS[[#This Row],[Large Provider Entity Code]]&amp;"; "&amp;R4719&amp;AS[[#This Row],[Age Band Code]]&amp;"; "&amp;S4719&amp;AS[[#This Row],[Sex Code]]</f>
        <v xml:space="preserve">Insurer Code ; Reporting Year ; Insurance Category Code ; Large Provider Entity Code ; Age Band Code ; Sex Code </v>
      </c>
      <c r="N4719" s="345" t="s">
        <v>207</v>
      </c>
      <c r="O4719" s="345" t="s">
        <v>208</v>
      </c>
      <c r="P4719" s="345" t="s">
        <v>209</v>
      </c>
      <c r="Q4719" s="345" t="s">
        <v>210</v>
      </c>
      <c r="R4719" s="345" t="s">
        <v>223</v>
      </c>
      <c r="S4719" s="345" t="s">
        <v>224</v>
      </c>
    </row>
    <row r="4720" spans="1:19" x14ac:dyDescent="0.25">
      <c r="A4720" s="311"/>
      <c r="B4720" s="312"/>
      <c r="C4720" s="312"/>
      <c r="D4720" s="312"/>
      <c r="E4720" s="312"/>
      <c r="F4720" s="312"/>
      <c r="G4720" s="328"/>
      <c r="H4720" s="337"/>
      <c r="I4720" s="334"/>
      <c r="J4720" s="314"/>
      <c r="K4720" s="449"/>
      <c r="M4720" s="349" t="str">
        <f>N4720&amp;AS[[#This Row],[Insurer Code]]&amp;"; "&amp;O4720&amp;AS[[#This Row],[Reporting Year]]&amp;"; "&amp;P4720&amp;AS[[#This Row],[Insurance Category Code]]&amp;"; "&amp;Q4720&amp;AS[[#This Row],[Large Provider Entity Code]]&amp;"; "&amp;R4720&amp;AS[[#This Row],[Age Band Code]]&amp;"; "&amp;S4720&amp;AS[[#This Row],[Sex Code]]</f>
        <v xml:space="preserve">Insurer Code ; Reporting Year ; Insurance Category Code ; Large Provider Entity Code ; Age Band Code ; Sex Code </v>
      </c>
      <c r="N4720" s="345" t="s">
        <v>207</v>
      </c>
      <c r="O4720" s="345" t="s">
        <v>208</v>
      </c>
      <c r="P4720" s="345" t="s">
        <v>209</v>
      </c>
      <c r="Q4720" s="345" t="s">
        <v>210</v>
      </c>
      <c r="R4720" s="345" t="s">
        <v>223</v>
      </c>
      <c r="S4720" s="345" t="s">
        <v>224</v>
      </c>
    </row>
    <row r="4721" spans="1:19" x14ac:dyDescent="0.25">
      <c r="A4721" s="311"/>
      <c r="B4721" s="312"/>
      <c r="C4721" s="312"/>
      <c r="D4721" s="312"/>
      <c r="E4721" s="312"/>
      <c r="F4721" s="312"/>
      <c r="G4721" s="328"/>
      <c r="H4721" s="337"/>
      <c r="I4721" s="334"/>
      <c r="J4721" s="314"/>
      <c r="K4721" s="449"/>
      <c r="M4721" s="349" t="str">
        <f>N4721&amp;AS[[#This Row],[Insurer Code]]&amp;"; "&amp;O4721&amp;AS[[#This Row],[Reporting Year]]&amp;"; "&amp;P4721&amp;AS[[#This Row],[Insurance Category Code]]&amp;"; "&amp;Q4721&amp;AS[[#This Row],[Large Provider Entity Code]]&amp;"; "&amp;R4721&amp;AS[[#This Row],[Age Band Code]]&amp;"; "&amp;S4721&amp;AS[[#This Row],[Sex Code]]</f>
        <v xml:space="preserve">Insurer Code ; Reporting Year ; Insurance Category Code ; Large Provider Entity Code ; Age Band Code ; Sex Code </v>
      </c>
      <c r="N4721" s="345" t="s">
        <v>207</v>
      </c>
      <c r="O4721" s="345" t="s">
        <v>208</v>
      </c>
      <c r="P4721" s="345" t="s">
        <v>209</v>
      </c>
      <c r="Q4721" s="345" t="s">
        <v>210</v>
      </c>
      <c r="R4721" s="345" t="s">
        <v>223</v>
      </c>
      <c r="S4721" s="345" t="s">
        <v>224</v>
      </c>
    </row>
    <row r="4722" spans="1:19" x14ac:dyDescent="0.25">
      <c r="A4722" s="311"/>
      <c r="B4722" s="312"/>
      <c r="C4722" s="312"/>
      <c r="D4722" s="312"/>
      <c r="E4722" s="312"/>
      <c r="F4722" s="312"/>
      <c r="G4722" s="328"/>
      <c r="H4722" s="337"/>
      <c r="I4722" s="334"/>
      <c r="J4722" s="314"/>
      <c r="K4722" s="449"/>
      <c r="M4722" s="349" t="str">
        <f>N4722&amp;AS[[#This Row],[Insurer Code]]&amp;"; "&amp;O4722&amp;AS[[#This Row],[Reporting Year]]&amp;"; "&amp;P4722&amp;AS[[#This Row],[Insurance Category Code]]&amp;"; "&amp;Q4722&amp;AS[[#This Row],[Large Provider Entity Code]]&amp;"; "&amp;R4722&amp;AS[[#This Row],[Age Band Code]]&amp;"; "&amp;S4722&amp;AS[[#This Row],[Sex Code]]</f>
        <v xml:space="preserve">Insurer Code ; Reporting Year ; Insurance Category Code ; Large Provider Entity Code ; Age Band Code ; Sex Code </v>
      </c>
      <c r="N4722" s="345" t="s">
        <v>207</v>
      </c>
      <c r="O4722" s="345" t="s">
        <v>208</v>
      </c>
      <c r="P4722" s="345" t="s">
        <v>209</v>
      </c>
      <c r="Q4722" s="345" t="s">
        <v>210</v>
      </c>
      <c r="R4722" s="345" t="s">
        <v>223</v>
      </c>
      <c r="S4722" s="345" t="s">
        <v>224</v>
      </c>
    </row>
    <row r="4723" spans="1:19" x14ac:dyDescent="0.25">
      <c r="A4723" s="311"/>
      <c r="B4723" s="312"/>
      <c r="C4723" s="312"/>
      <c r="D4723" s="312"/>
      <c r="E4723" s="312"/>
      <c r="F4723" s="312"/>
      <c r="G4723" s="328"/>
      <c r="H4723" s="337"/>
      <c r="I4723" s="334"/>
      <c r="J4723" s="314"/>
      <c r="K4723" s="449"/>
      <c r="M4723" s="349" t="str">
        <f>N4723&amp;AS[[#This Row],[Insurer Code]]&amp;"; "&amp;O4723&amp;AS[[#This Row],[Reporting Year]]&amp;"; "&amp;P4723&amp;AS[[#This Row],[Insurance Category Code]]&amp;"; "&amp;Q4723&amp;AS[[#This Row],[Large Provider Entity Code]]&amp;"; "&amp;R4723&amp;AS[[#This Row],[Age Band Code]]&amp;"; "&amp;S4723&amp;AS[[#This Row],[Sex Code]]</f>
        <v xml:space="preserve">Insurer Code ; Reporting Year ; Insurance Category Code ; Large Provider Entity Code ; Age Band Code ; Sex Code </v>
      </c>
      <c r="N4723" s="345" t="s">
        <v>207</v>
      </c>
      <c r="O4723" s="345" t="s">
        <v>208</v>
      </c>
      <c r="P4723" s="345" t="s">
        <v>209</v>
      </c>
      <c r="Q4723" s="345" t="s">
        <v>210</v>
      </c>
      <c r="R4723" s="345" t="s">
        <v>223</v>
      </c>
      <c r="S4723" s="345" t="s">
        <v>224</v>
      </c>
    </row>
    <row r="4724" spans="1:19" x14ac:dyDescent="0.25">
      <c r="A4724" s="311"/>
      <c r="B4724" s="312"/>
      <c r="C4724" s="312"/>
      <c r="D4724" s="312"/>
      <c r="E4724" s="312"/>
      <c r="F4724" s="312"/>
      <c r="G4724" s="328"/>
      <c r="H4724" s="337"/>
      <c r="I4724" s="334"/>
      <c r="J4724" s="314"/>
      <c r="K4724" s="449"/>
      <c r="M4724" s="349" t="str">
        <f>N4724&amp;AS[[#This Row],[Insurer Code]]&amp;"; "&amp;O4724&amp;AS[[#This Row],[Reporting Year]]&amp;"; "&amp;P4724&amp;AS[[#This Row],[Insurance Category Code]]&amp;"; "&amp;Q4724&amp;AS[[#This Row],[Large Provider Entity Code]]&amp;"; "&amp;R4724&amp;AS[[#This Row],[Age Band Code]]&amp;"; "&amp;S4724&amp;AS[[#This Row],[Sex Code]]</f>
        <v xml:space="preserve">Insurer Code ; Reporting Year ; Insurance Category Code ; Large Provider Entity Code ; Age Band Code ; Sex Code </v>
      </c>
      <c r="N4724" s="345" t="s">
        <v>207</v>
      </c>
      <c r="O4724" s="345" t="s">
        <v>208</v>
      </c>
      <c r="P4724" s="345" t="s">
        <v>209</v>
      </c>
      <c r="Q4724" s="345" t="s">
        <v>210</v>
      </c>
      <c r="R4724" s="345" t="s">
        <v>223</v>
      </c>
      <c r="S4724" s="345" t="s">
        <v>224</v>
      </c>
    </row>
    <row r="4725" spans="1:19" x14ac:dyDescent="0.25">
      <c r="A4725" s="311"/>
      <c r="B4725" s="312"/>
      <c r="C4725" s="312"/>
      <c r="D4725" s="312"/>
      <c r="E4725" s="312"/>
      <c r="F4725" s="312"/>
      <c r="G4725" s="328"/>
      <c r="H4725" s="337"/>
      <c r="I4725" s="334"/>
      <c r="J4725" s="314"/>
      <c r="K4725" s="449"/>
      <c r="M4725" s="349" t="str">
        <f>N4725&amp;AS[[#This Row],[Insurer Code]]&amp;"; "&amp;O4725&amp;AS[[#This Row],[Reporting Year]]&amp;"; "&amp;P4725&amp;AS[[#This Row],[Insurance Category Code]]&amp;"; "&amp;Q4725&amp;AS[[#This Row],[Large Provider Entity Code]]&amp;"; "&amp;R4725&amp;AS[[#This Row],[Age Band Code]]&amp;"; "&amp;S4725&amp;AS[[#This Row],[Sex Code]]</f>
        <v xml:space="preserve">Insurer Code ; Reporting Year ; Insurance Category Code ; Large Provider Entity Code ; Age Band Code ; Sex Code </v>
      </c>
      <c r="N4725" s="345" t="s">
        <v>207</v>
      </c>
      <c r="O4725" s="345" t="s">
        <v>208</v>
      </c>
      <c r="P4725" s="345" t="s">
        <v>209</v>
      </c>
      <c r="Q4725" s="345" t="s">
        <v>210</v>
      </c>
      <c r="R4725" s="345" t="s">
        <v>223</v>
      </c>
      <c r="S4725" s="345" t="s">
        <v>224</v>
      </c>
    </row>
    <row r="4726" spans="1:19" x14ac:dyDescent="0.25">
      <c r="A4726" s="311"/>
      <c r="B4726" s="312"/>
      <c r="C4726" s="312"/>
      <c r="D4726" s="312"/>
      <c r="E4726" s="312"/>
      <c r="F4726" s="312"/>
      <c r="G4726" s="328"/>
      <c r="H4726" s="337"/>
      <c r="I4726" s="334"/>
      <c r="J4726" s="314"/>
      <c r="K4726" s="449"/>
      <c r="M4726" s="349" t="str">
        <f>N4726&amp;AS[[#This Row],[Insurer Code]]&amp;"; "&amp;O4726&amp;AS[[#This Row],[Reporting Year]]&amp;"; "&amp;P4726&amp;AS[[#This Row],[Insurance Category Code]]&amp;"; "&amp;Q4726&amp;AS[[#This Row],[Large Provider Entity Code]]&amp;"; "&amp;R4726&amp;AS[[#This Row],[Age Band Code]]&amp;"; "&amp;S4726&amp;AS[[#This Row],[Sex Code]]</f>
        <v xml:space="preserve">Insurer Code ; Reporting Year ; Insurance Category Code ; Large Provider Entity Code ; Age Band Code ; Sex Code </v>
      </c>
      <c r="N4726" s="345" t="s">
        <v>207</v>
      </c>
      <c r="O4726" s="345" t="s">
        <v>208</v>
      </c>
      <c r="P4726" s="345" t="s">
        <v>209</v>
      </c>
      <c r="Q4726" s="345" t="s">
        <v>210</v>
      </c>
      <c r="R4726" s="345" t="s">
        <v>223</v>
      </c>
      <c r="S4726" s="345" t="s">
        <v>224</v>
      </c>
    </row>
    <row r="4727" spans="1:19" x14ac:dyDescent="0.25">
      <c r="A4727" s="311"/>
      <c r="B4727" s="312"/>
      <c r="C4727" s="312"/>
      <c r="D4727" s="312"/>
      <c r="E4727" s="312"/>
      <c r="F4727" s="312"/>
      <c r="G4727" s="328"/>
      <c r="H4727" s="337"/>
      <c r="I4727" s="334"/>
      <c r="J4727" s="314"/>
      <c r="K4727" s="449"/>
      <c r="M4727" s="349" t="str">
        <f>N4727&amp;AS[[#This Row],[Insurer Code]]&amp;"; "&amp;O4727&amp;AS[[#This Row],[Reporting Year]]&amp;"; "&amp;P4727&amp;AS[[#This Row],[Insurance Category Code]]&amp;"; "&amp;Q4727&amp;AS[[#This Row],[Large Provider Entity Code]]&amp;"; "&amp;R4727&amp;AS[[#This Row],[Age Band Code]]&amp;"; "&amp;S4727&amp;AS[[#This Row],[Sex Code]]</f>
        <v xml:space="preserve">Insurer Code ; Reporting Year ; Insurance Category Code ; Large Provider Entity Code ; Age Band Code ; Sex Code </v>
      </c>
      <c r="N4727" s="345" t="s">
        <v>207</v>
      </c>
      <c r="O4727" s="345" t="s">
        <v>208</v>
      </c>
      <c r="P4727" s="345" t="s">
        <v>209</v>
      </c>
      <c r="Q4727" s="345" t="s">
        <v>210</v>
      </c>
      <c r="R4727" s="345" t="s">
        <v>223</v>
      </c>
      <c r="S4727" s="345" t="s">
        <v>224</v>
      </c>
    </row>
    <row r="4728" spans="1:19" x14ac:dyDescent="0.25">
      <c r="A4728" s="311"/>
      <c r="B4728" s="312"/>
      <c r="C4728" s="312"/>
      <c r="D4728" s="312"/>
      <c r="E4728" s="312"/>
      <c r="F4728" s="312"/>
      <c r="G4728" s="328"/>
      <c r="H4728" s="337"/>
      <c r="I4728" s="334"/>
      <c r="J4728" s="314"/>
      <c r="K4728" s="449"/>
      <c r="M4728" s="349" t="str">
        <f>N4728&amp;AS[[#This Row],[Insurer Code]]&amp;"; "&amp;O4728&amp;AS[[#This Row],[Reporting Year]]&amp;"; "&amp;P4728&amp;AS[[#This Row],[Insurance Category Code]]&amp;"; "&amp;Q4728&amp;AS[[#This Row],[Large Provider Entity Code]]&amp;"; "&amp;R4728&amp;AS[[#This Row],[Age Band Code]]&amp;"; "&amp;S4728&amp;AS[[#This Row],[Sex Code]]</f>
        <v xml:space="preserve">Insurer Code ; Reporting Year ; Insurance Category Code ; Large Provider Entity Code ; Age Band Code ; Sex Code </v>
      </c>
      <c r="N4728" s="345" t="s">
        <v>207</v>
      </c>
      <c r="O4728" s="345" t="s">
        <v>208</v>
      </c>
      <c r="P4728" s="345" t="s">
        <v>209</v>
      </c>
      <c r="Q4728" s="345" t="s">
        <v>210</v>
      </c>
      <c r="R4728" s="345" t="s">
        <v>223</v>
      </c>
      <c r="S4728" s="345" t="s">
        <v>224</v>
      </c>
    </row>
    <row r="4729" spans="1:19" x14ac:dyDescent="0.25">
      <c r="A4729" s="311"/>
      <c r="B4729" s="312"/>
      <c r="C4729" s="312"/>
      <c r="D4729" s="312"/>
      <c r="E4729" s="312"/>
      <c r="F4729" s="312"/>
      <c r="G4729" s="328"/>
      <c r="H4729" s="337"/>
      <c r="I4729" s="334"/>
      <c r="J4729" s="314"/>
      <c r="K4729" s="449"/>
      <c r="M4729" s="349" t="str">
        <f>N4729&amp;AS[[#This Row],[Insurer Code]]&amp;"; "&amp;O4729&amp;AS[[#This Row],[Reporting Year]]&amp;"; "&amp;P4729&amp;AS[[#This Row],[Insurance Category Code]]&amp;"; "&amp;Q4729&amp;AS[[#This Row],[Large Provider Entity Code]]&amp;"; "&amp;R4729&amp;AS[[#This Row],[Age Band Code]]&amp;"; "&amp;S4729&amp;AS[[#This Row],[Sex Code]]</f>
        <v xml:space="preserve">Insurer Code ; Reporting Year ; Insurance Category Code ; Large Provider Entity Code ; Age Band Code ; Sex Code </v>
      </c>
      <c r="N4729" s="345" t="s">
        <v>207</v>
      </c>
      <c r="O4729" s="345" t="s">
        <v>208</v>
      </c>
      <c r="P4729" s="345" t="s">
        <v>209</v>
      </c>
      <c r="Q4729" s="345" t="s">
        <v>210</v>
      </c>
      <c r="R4729" s="345" t="s">
        <v>223</v>
      </c>
      <c r="S4729" s="345" t="s">
        <v>224</v>
      </c>
    </row>
    <row r="4730" spans="1:19" x14ac:dyDescent="0.25">
      <c r="A4730" s="311"/>
      <c r="B4730" s="312"/>
      <c r="C4730" s="312"/>
      <c r="D4730" s="312"/>
      <c r="E4730" s="312"/>
      <c r="F4730" s="312"/>
      <c r="G4730" s="328"/>
      <c r="H4730" s="337"/>
      <c r="I4730" s="334"/>
      <c r="J4730" s="314"/>
      <c r="K4730" s="449"/>
      <c r="M4730" s="349" t="str">
        <f>N4730&amp;AS[[#This Row],[Insurer Code]]&amp;"; "&amp;O4730&amp;AS[[#This Row],[Reporting Year]]&amp;"; "&amp;P4730&amp;AS[[#This Row],[Insurance Category Code]]&amp;"; "&amp;Q4730&amp;AS[[#This Row],[Large Provider Entity Code]]&amp;"; "&amp;R4730&amp;AS[[#This Row],[Age Band Code]]&amp;"; "&amp;S4730&amp;AS[[#This Row],[Sex Code]]</f>
        <v xml:space="preserve">Insurer Code ; Reporting Year ; Insurance Category Code ; Large Provider Entity Code ; Age Band Code ; Sex Code </v>
      </c>
      <c r="N4730" s="345" t="s">
        <v>207</v>
      </c>
      <c r="O4730" s="345" t="s">
        <v>208</v>
      </c>
      <c r="P4730" s="345" t="s">
        <v>209</v>
      </c>
      <c r="Q4730" s="345" t="s">
        <v>210</v>
      </c>
      <c r="R4730" s="345" t="s">
        <v>223</v>
      </c>
      <c r="S4730" s="345" t="s">
        <v>224</v>
      </c>
    </row>
    <row r="4731" spans="1:19" x14ac:dyDescent="0.25">
      <c r="A4731" s="311"/>
      <c r="B4731" s="312"/>
      <c r="C4731" s="312"/>
      <c r="D4731" s="312"/>
      <c r="E4731" s="312"/>
      <c r="F4731" s="312"/>
      <c r="G4731" s="328"/>
      <c r="H4731" s="337"/>
      <c r="I4731" s="334"/>
      <c r="J4731" s="314"/>
      <c r="K4731" s="449"/>
      <c r="M4731" s="349" t="str">
        <f>N4731&amp;AS[[#This Row],[Insurer Code]]&amp;"; "&amp;O4731&amp;AS[[#This Row],[Reporting Year]]&amp;"; "&amp;P4731&amp;AS[[#This Row],[Insurance Category Code]]&amp;"; "&amp;Q4731&amp;AS[[#This Row],[Large Provider Entity Code]]&amp;"; "&amp;R4731&amp;AS[[#This Row],[Age Band Code]]&amp;"; "&amp;S4731&amp;AS[[#This Row],[Sex Code]]</f>
        <v xml:space="preserve">Insurer Code ; Reporting Year ; Insurance Category Code ; Large Provider Entity Code ; Age Band Code ; Sex Code </v>
      </c>
      <c r="N4731" s="345" t="s">
        <v>207</v>
      </c>
      <c r="O4731" s="345" t="s">
        <v>208</v>
      </c>
      <c r="P4731" s="345" t="s">
        <v>209</v>
      </c>
      <c r="Q4731" s="345" t="s">
        <v>210</v>
      </c>
      <c r="R4731" s="345" t="s">
        <v>223</v>
      </c>
      <c r="S4731" s="345" t="s">
        <v>224</v>
      </c>
    </row>
    <row r="4732" spans="1:19" x14ac:dyDescent="0.25">
      <c r="A4732" s="311"/>
      <c r="B4732" s="312"/>
      <c r="C4732" s="312"/>
      <c r="D4732" s="312"/>
      <c r="E4732" s="312"/>
      <c r="F4732" s="312"/>
      <c r="G4732" s="328"/>
      <c r="H4732" s="337"/>
      <c r="I4732" s="334"/>
      <c r="J4732" s="314"/>
      <c r="K4732" s="449"/>
      <c r="M4732" s="349" t="str">
        <f>N4732&amp;AS[[#This Row],[Insurer Code]]&amp;"; "&amp;O4732&amp;AS[[#This Row],[Reporting Year]]&amp;"; "&amp;P4732&amp;AS[[#This Row],[Insurance Category Code]]&amp;"; "&amp;Q4732&amp;AS[[#This Row],[Large Provider Entity Code]]&amp;"; "&amp;R4732&amp;AS[[#This Row],[Age Band Code]]&amp;"; "&amp;S4732&amp;AS[[#This Row],[Sex Code]]</f>
        <v xml:space="preserve">Insurer Code ; Reporting Year ; Insurance Category Code ; Large Provider Entity Code ; Age Band Code ; Sex Code </v>
      </c>
      <c r="N4732" s="345" t="s">
        <v>207</v>
      </c>
      <c r="O4732" s="345" t="s">
        <v>208</v>
      </c>
      <c r="P4732" s="345" t="s">
        <v>209</v>
      </c>
      <c r="Q4732" s="345" t="s">
        <v>210</v>
      </c>
      <c r="R4732" s="345" t="s">
        <v>223</v>
      </c>
      <c r="S4732" s="345" t="s">
        <v>224</v>
      </c>
    </row>
    <row r="4733" spans="1:19" x14ac:dyDescent="0.25">
      <c r="A4733" s="311"/>
      <c r="B4733" s="312"/>
      <c r="C4733" s="312"/>
      <c r="D4733" s="312"/>
      <c r="E4733" s="312"/>
      <c r="F4733" s="312"/>
      <c r="G4733" s="328"/>
      <c r="H4733" s="337"/>
      <c r="I4733" s="334"/>
      <c r="J4733" s="314"/>
      <c r="K4733" s="449"/>
      <c r="M4733" s="349" t="str">
        <f>N4733&amp;AS[[#This Row],[Insurer Code]]&amp;"; "&amp;O4733&amp;AS[[#This Row],[Reporting Year]]&amp;"; "&amp;P4733&amp;AS[[#This Row],[Insurance Category Code]]&amp;"; "&amp;Q4733&amp;AS[[#This Row],[Large Provider Entity Code]]&amp;"; "&amp;R4733&amp;AS[[#This Row],[Age Band Code]]&amp;"; "&amp;S4733&amp;AS[[#This Row],[Sex Code]]</f>
        <v xml:space="preserve">Insurer Code ; Reporting Year ; Insurance Category Code ; Large Provider Entity Code ; Age Band Code ; Sex Code </v>
      </c>
      <c r="N4733" s="345" t="s">
        <v>207</v>
      </c>
      <c r="O4733" s="345" t="s">
        <v>208</v>
      </c>
      <c r="P4733" s="345" t="s">
        <v>209</v>
      </c>
      <c r="Q4733" s="345" t="s">
        <v>210</v>
      </c>
      <c r="R4733" s="345" t="s">
        <v>223</v>
      </c>
      <c r="S4733" s="345" t="s">
        <v>224</v>
      </c>
    </row>
    <row r="4734" spans="1:19" x14ac:dyDescent="0.25">
      <c r="A4734" s="311"/>
      <c r="B4734" s="312"/>
      <c r="C4734" s="312"/>
      <c r="D4734" s="312"/>
      <c r="E4734" s="312"/>
      <c r="F4734" s="312"/>
      <c r="G4734" s="328"/>
      <c r="H4734" s="337"/>
      <c r="I4734" s="334"/>
      <c r="J4734" s="314"/>
      <c r="K4734" s="449"/>
      <c r="M4734" s="349" t="str">
        <f>N4734&amp;AS[[#This Row],[Insurer Code]]&amp;"; "&amp;O4734&amp;AS[[#This Row],[Reporting Year]]&amp;"; "&amp;P4734&amp;AS[[#This Row],[Insurance Category Code]]&amp;"; "&amp;Q4734&amp;AS[[#This Row],[Large Provider Entity Code]]&amp;"; "&amp;R4734&amp;AS[[#This Row],[Age Band Code]]&amp;"; "&amp;S4734&amp;AS[[#This Row],[Sex Code]]</f>
        <v xml:space="preserve">Insurer Code ; Reporting Year ; Insurance Category Code ; Large Provider Entity Code ; Age Band Code ; Sex Code </v>
      </c>
      <c r="N4734" s="345" t="s">
        <v>207</v>
      </c>
      <c r="O4734" s="345" t="s">
        <v>208</v>
      </c>
      <c r="P4734" s="345" t="s">
        <v>209</v>
      </c>
      <c r="Q4734" s="345" t="s">
        <v>210</v>
      </c>
      <c r="R4734" s="345" t="s">
        <v>223</v>
      </c>
      <c r="S4734" s="345" t="s">
        <v>224</v>
      </c>
    </row>
    <row r="4735" spans="1:19" x14ac:dyDescent="0.25">
      <c r="A4735" s="311"/>
      <c r="B4735" s="312"/>
      <c r="C4735" s="312"/>
      <c r="D4735" s="312"/>
      <c r="E4735" s="312"/>
      <c r="F4735" s="312"/>
      <c r="G4735" s="328"/>
      <c r="H4735" s="337"/>
      <c r="I4735" s="334"/>
      <c r="J4735" s="314"/>
      <c r="K4735" s="449"/>
      <c r="M4735" s="349" t="str">
        <f>N4735&amp;AS[[#This Row],[Insurer Code]]&amp;"; "&amp;O4735&amp;AS[[#This Row],[Reporting Year]]&amp;"; "&amp;P4735&amp;AS[[#This Row],[Insurance Category Code]]&amp;"; "&amp;Q4735&amp;AS[[#This Row],[Large Provider Entity Code]]&amp;"; "&amp;R4735&amp;AS[[#This Row],[Age Band Code]]&amp;"; "&amp;S4735&amp;AS[[#This Row],[Sex Code]]</f>
        <v xml:space="preserve">Insurer Code ; Reporting Year ; Insurance Category Code ; Large Provider Entity Code ; Age Band Code ; Sex Code </v>
      </c>
      <c r="N4735" s="345" t="s">
        <v>207</v>
      </c>
      <c r="O4735" s="345" t="s">
        <v>208</v>
      </c>
      <c r="P4735" s="345" t="s">
        <v>209</v>
      </c>
      <c r="Q4735" s="345" t="s">
        <v>210</v>
      </c>
      <c r="R4735" s="345" t="s">
        <v>223</v>
      </c>
      <c r="S4735" s="345" t="s">
        <v>224</v>
      </c>
    </row>
    <row r="4736" spans="1:19" x14ac:dyDescent="0.25">
      <c r="A4736" s="311"/>
      <c r="B4736" s="312"/>
      <c r="C4736" s="312"/>
      <c r="D4736" s="312"/>
      <c r="E4736" s="312"/>
      <c r="F4736" s="312"/>
      <c r="G4736" s="328"/>
      <c r="H4736" s="337"/>
      <c r="I4736" s="334"/>
      <c r="J4736" s="314"/>
      <c r="K4736" s="449"/>
      <c r="M4736" s="349" t="str">
        <f>N4736&amp;AS[[#This Row],[Insurer Code]]&amp;"; "&amp;O4736&amp;AS[[#This Row],[Reporting Year]]&amp;"; "&amp;P4736&amp;AS[[#This Row],[Insurance Category Code]]&amp;"; "&amp;Q4736&amp;AS[[#This Row],[Large Provider Entity Code]]&amp;"; "&amp;R4736&amp;AS[[#This Row],[Age Band Code]]&amp;"; "&amp;S4736&amp;AS[[#This Row],[Sex Code]]</f>
        <v xml:space="preserve">Insurer Code ; Reporting Year ; Insurance Category Code ; Large Provider Entity Code ; Age Band Code ; Sex Code </v>
      </c>
      <c r="N4736" s="345" t="s">
        <v>207</v>
      </c>
      <c r="O4736" s="345" t="s">
        <v>208</v>
      </c>
      <c r="P4736" s="345" t="s">
        <v>209</v>
      </c>
      <c r="Q4736" s="345" t="s">
        <v>210</v>
      </c>
      <c r="R4736" s="345" t="s">
        <v>223</v>
      </c>
      <c r="S4736" s="345" t="s">
        <v>224</v>
      </c>
    </row>
    <row r="4737" spans="1:19" x14ac:dyDescent="0.25">
      <c r="A4737" s="311"/>
      <c r="B4737" s="312"/>
      <c r="C4737" s="312"/>
      <c r="D4737" s="312"/>
      <c r="E4737" s="312"/>
      <c r="F4737" s="312"/>
      <c r="G4737" s="328"/>
      <c r="H4737" s="337"/>
      <c r="I4737" s="334"/>
      <c r="J4737" s="314"/>
      <c r="K4737" s="449"/>
      <c r="M4737" s="349" t="str">
        <f>N4737&amp;AS[[#This Row],[Insurer Code]]&amp;"; "&amp;O4737&amp;AS[[#This Row],[Reporting Year]]&amp;"; "&amp;P4737&amp;AS[[#This Row],[Insurance Category Code]]&amp;"; "&amp;Q4737&amp;AS[[#This Row],[Large Provider Entity Code]]&amp;"; "&amp;R4737&amp;AS[[#This Row],[Age Band Code]]&amp;"; "&amp;S4737&amp;AS[[#This Row],[Sex Code]]</f>
        <v xml:space="preserve">Insurer Code ; Reporting Year ; Insurance Category Code ; Large Provider Entity Code ; Age Band Code ; Sex Code </v>
      </c>
      <c r="N4737" s="345" t="s">
        <v>207</v>
      </c>
      <c r="O4737" s="345" t="s">
        <v>208</v>
      </c>
      <c r="P4737" s="345" t="s">
        <v>209</v>
      </c>
      <c r="Q4737" s="345" t="s">
        <v>210</v>
      </c>
      <c r="R4737" s="345" t="s">
        <v>223</v>
      </c>
      <c r="S4737" s="345" t="s">
        <v>224</v>
      </c>
    </row>
    <row r="4738" spans="1:19" x14ac:dyDescent="0.25">
      <c r="A4738" s="311"/>
      <c r="B4738" s="312"/>
      <c r="C4738" s="312"/>
      <c r="D4738" s="312"/>
      <c r="E4738" s="312"/>
      <c r="F4738" s="312"/>
      <c r="G4738" s="328"/>
      <c r="H4738" s="337"/>
      <c r="I4738" s="334"/>
      <c r="J4738" s="314"/>
      <c r="K4738" s="449"/>
      <c r="M4738" s="349" t="str">
        <f>N4738&amp;AS[[#This Row],[Insurer Code]]&amp;"; "&amp;O4738&amp;AS[[#This Row],[Reporting Year]]&amp;"; "&amp;P4738&amp;AS[[#This Row],[Insurance Category Code]]&amp;"; "&amp;Q4738&amp;AS[[#This Row],[Large Provider Entity Code]]&amp;"; "&amp;R4738&amp;AS[[#This Row],[Age Band Code]]&amp;"; "&amp;S4738&amp;AS[[#This Row],[Sex Code]]</f>
        <v xml:space="preserve">Insurer Code ; Reporting Year ; Insurance Category Code ; Large Provider Entity Code ; Age Band Code ; Sex Code </v>
      </c>
      <c r="N4738" s="345" t="s">
        <v>207</v>
      </c>
      <c r="O4738" s="345" t="s">
        <v>208</v>
      </c>
      <c r="P4738" s="345" t="s">
        <v>209</v>
      </c>
      <c r="Q4738" s="345" t="s">
        <v>210</v>
      </c>
      <c r="R4738" s="345" t="s">
        <v>223</v>
      </c>
      <c r="S4738" s="345" t="s">
        <v>224</v>
      </c>
    </row>
    <row r="4739" spans="1:19" x14ac:dyDescent="0.25">
      <c r="A4739" s="311"/>
      <c r="B4739" s="312"/>
      <c r="C4739" s="312"/>
      <c r="D4739" s="312"/>
      <c r="E4739" s="312"/>
      <c r="F4739" s="312"/>
      <c r="G4739" s="328"/>
      <c r="H4739" s="337"/>
      <c r="I4739" s="334"/>
      <c r="J4739" s="314"/>
      <c r="K4739" s="449"/>
      <c r="M4739" s="349" t="str">
        <f>N4739&amp;AS[[#This Row],[Insurer Code]]&amp;"; "&amp;O4739&amp;AS[[#This Row],[Reporting Year]]&amp;"; "&amp;P4739&amp;AS[[#This Row],[Insurance Category Code]]&amp;"; "&amp;Q4739&amp;AS[[#This Row],[Large Provider Entity Code]]&amp;"; "&amp;R4739&amp;AS[[#This Row],[Age Band Code]]&amp;"; "&amp;S4739&amp;AS[[#This Row],[Sex Code]]</f>
        <v xml:space="preserve">Insurer Code ; Reporting Year ; Insurance Category Code ; Large Provider Entity Code ; Age Band Code ; Sex Code </v>
      </c>
      <c r="N4739" s="345" t="s">
        <v>207</v>
      </c>
      <c r="O4739" s="345" t="s">
        <v>208</v>
      </c>
      <c r="P4739" s="345" t="s">
        <v>209</v>
      </c>
      <c r="Q4739" s="345" t="s">
        <v>210</v>
      </c>
      <c r="R4739" s="345" t="s">
        <v>223</v>
      </c>
      <c r="S4739" s="345" t="s">
        <v>224</v>
      </c>
    </row>
    <row r="4740" spans="1:19" x14ac:dyDescent="0.25">
      <c r="A4740" s="311"/>
      <c r="B4740" s="312"/>
      <c r="C4740" s="312"/>
      <c r="D4740" s="312"/>
      <c r="E4740" s="312"/>
      <c r="F4740" s="312"/>
      <c r="G4740" s="328"/>
      <c r="H4740" s="337"/>
      <c r="I4740" s="334"/>
      <c r="J4740" s="314"/>
      <c r="K4740" s="449"/>
      <c r="M4740" s="349" t="str">
        <f>N4740&amp;AS[[#This Row],[Insurer Code]]&amp;"; "&amp;O4740&amp;AS[[#This Row],[Reporting Year]]&amp;"; "&amp;P4740&amp;AS[[#This Row],[Insurance Category Code]]&amp;"; "&amp;Q4740&amp;AS[[#This Row],[Large Provider Entity Code]]&amp;"; "&amp;R4740&amp;AS[[#This Row],[Age Band Code]]&amp;"; "&amp;S4740&amp;AS[[#This Row],[Sex Code]]</f>
        <v xml:space="preserve">Insurer Code ; Reporting Year ; Insurance Category Code ; Large Provider Entity Code ; Age Band Code ; Sex Code </v>
      </c>
      <c r="N4740" s="345" t="s">
        <v>207</v>
      </c>
      <c r="O4740" s="345" t="s">
        <v>208</v>
      </c>
      <c r="P4740" s="345" t="s">
        <v>209</v>
      </c>
      <c r="Q4740" s="345" t="s">
        <v>210</v>
      </c>
      <c r="R4740" s="345" t="s">
        <v>223</v>
      </c>
      <c r="S4740" s="345" t="s">
        <v>224</v>
      </c>
    </row>
    <row r="4741" spans="1:19" x14ac:dyDescent="0.25">
      <c r="A4741" s="311"/>
      <c r="B4741" s="312"/>
      <c r="C4741" s="312"/>
      <c r="D4741" s="312"/>
      <c r="E4741" s="312"/>
      <c r="F4741" s="312"/>
      <c r="G4741" s="328"/>
      <c r="H4741" s="337"/>
      <c r="I4741" s="334"/>
      <c r="J4741" s="314"/>
      <c r="K4741" s="449"/>
      <c r="M4741" s="349" t="str">
        <f>N4741&amp;AS[[#This Row],[Insurer Code]]&amp;"; "&amp;O4741&amp;AS[[#This Row],[Reporting Year]]&amp;"; "&amp;P4741&amp;AS[[#This Row],[Insurance Category Code]]&amp;"; "&amp;Q4741&amp;AS[[#This Row],[Large Provider Entity Code]]&amp;"; "&amp;R4741&amp;AS[[#This Row],[Age Band Code]]&amp;"; "&amp;S4741&amp;AS[[#This Row],[Sex Code]]</f>
        <v xml:space="preserve">Insurer Code ; Reporting Year ; Insurance Category Code ; Large Provider Entity Code ; Age Band Code ; Sex Code </v>
      </c>
      <c r="N4741" s="345" t="s">
        <v>207</v>
      </c>
      <c r="O4741" s="345" t="s">
        <v>208</v>
      </c>
      <c r="P4741" s="345" t="s">
        <v>209</v>
      </c>
      <c r="Q4741" s="345" t="s">
        <v>210</v>
      </c>
      <c r="R4741" s="345" t="s">
        <v>223</v>
      </c>
      <c r="S4741" s="345" t="s">
        <v>224</v>
      </c>
    </row>
    <row r="4742" spans="1:19" x14ac:dyDescent="0.25">
      <c r="A4742" s="311"/>
      <c r="B4742" s="312"/>
      <c r="C4742" s="312"/>
      <c r="D4742" s="312"/>
      <c r="E4742" s="312"/>
      <c r="F4742" s="312"/>
      <c r="G4742" s="328"/>
      <c r="H4742" s="337"/>
      <c r="I4742" s="334"/>
      <c r="J4742" s="314"/>
      <c r="K4742" s="449"/>
      <c r="M4742" s="349" t="str">
        <f>N4742&amp;AS[[#This Row],[Insurer Code]]&amp;"; "&amp;O4742&amp;AS[[#This Row],[Reporting Year]]&amp;"; "&amp;P4742&amp;AS[[#This Row],[Insurance Category Code]]&amp;"; "&amp;Q4742&amp;AS[[#This Row],[Large Provider Entity Code]]&amp;"; "&amp;R4742&amp;AS[[#This Row],[Age Band Code]]&amp;"; "&amp;S4742&amp;AS[[#This Row],[Sex Code]]</f>
        <v xml:space="preserve">Insurer Code ; Reporting Year ; Insurance Category Code ; Large Provider Entity Code ; Age Band Code ; Sex Code </v>
      </c>
      <c r="N4742" s="345" t="s">
        <v>207</v>
      </c>
      <c r="O4742" s="345" t="s">
        <v>208</v>
      </c>
      <c r="P4742" s="345" t="s">
        <v>209</v>
      </c>
      <c r="Q4742" s="345" t="s">
        <v>210</v>
      </c>
      <c r="R4742" s="345" t="s">
        <v>223</v>
      </c>
      <c r="S4742" s="345" t="s">
        <v>224</v>
      </c>
    </row>
    <row r="4743" spans="1:19" x14ac:dyDescent="0.25">
      <c r="A4743" s="311"/>
      <c r="B4743" s="312"/>
      <c r="C4743" s="312"/>
      <c r="D4743" s="312"/>
      <c r="E4743" s="312"/>
      <c r="F4743" s="312"/>
      <c r="G4743" s="328"/>
      <c r="H4743" s="337"/>
      <c r="I4743" s="334"/>
      <c r="J4743" s="314"/>
      <c r="K4743" s="449"/>
      <c r="M4743" s="349" t="str">
        <f>N4743&amp;AS[[#This Row],[Insurer Code]]&amp;"; "&amp;O4743&amp;AS[[#This Row],[Reporting Year]]&amp;"; "&amp;P4743&amp;AS[[#This Row],[Insurance Category Code]]&amp;"; "&amp;Q4743&amp;AS[[#This Row],[Large Provider Entity Code]]&amp;"; "&amp;R4743&amp;AS[[#This Row],[Age Band Code]]&amp;"; "&amp;S4743&amp;AS[[#This Row],[Sex Code]]</f>
        <v xml:space="preserve">Insurer Code ; Reporting Year ; Insurance Category Code ; Large Provider Entity Code ; Age Band Code ; Sex Code </v>
      </c>
      <c r="N4743" s="345" t="s">
        <v>207</v>
      </c>
      <c r="O4743" s="345" t="s">
        <v>208</v>
      </c>
      <c r="P4743" s="345" t="s">
        <v>209</v>
      </c>
      <c r="Q4743" s="345" t="s">
        <v>210</v>
      </c>
      <c r="R4743" s="345" t="s">
        <v>223</v>
      </c>
      <c r="S4743" s="345" t="s">
        <v>224</v>
      </c>
    </row>
    <row r="4744" spans="1:19" x14ac:dyDescent="0.25">
      <c r="A4744" s="311"/>
      <c r="B4744" s="312"/>
      <c r="C4744" s="312"/>
      <c r="D4744" s="312"/>
      <c r="E4744" s="312"/>
      <c r="F4744" s="312"/>
      <c r="G4744" s="328"/>
      <c r="H4744" s="337"/>
      <c r="I4744" s="334"/>
      <c r="J4744" s="314"/>
      <c r="K4744" s="449"/>
      <c r="M4744" s="349" t="str">
        <f>N4744&amp;AS[[#This Row],[Insurer Code]]&amp;"; "&amp;O4744&amp;AS[[#This Row],[Reporting Year]]&amp;"; "&amp;P4744&amp;AS[[#This Row],[Insurance Category Code]]&amp;"; "&amp;Q4744&amp;AS[[#This Row],[Large Provider Entity Code]]&amp;"; "&amp;R4744&amp;AS[[#This Row],[Age Band Code]]&amp;"; "&amp;S4744&amp;AS[[#This Row],[Sex Code]]</f>
        <v xml:space="preserve">Insurer Code ; Reporting Year ; Insurance Category Code ; Large Provider Entity Code ; Age Band Code ; Sex Code </v>
      </c>
      <c r="N4744" s="345" t="s">
        <v>207</v>
      </c>
      <c r="O4744" s="345" t="s">
        <v>208</v>
      </c>
      <c r="P4744" s="345" t="s">
        <v>209</v>
      </c>
      <c r="Q4744" s="345" t="s">
        <v>210</v>
      </c>
      <c r="R4744" s="345" t="s">
        <v>223</v>
      </c>
      <c r="S4744" s="345" t="s">
        <v>224</v>
      </c>
    </row>
    <row r="4745" spans="1:19" x14ac:dyDescent="0.25">
      <c r="A4745" s="311"/>
      <c r="B4745" s="312"/>
      <c r="C4745" s="312"/>
      <c r="D4745" s="312"/>
      <c r="E4745" s="312"/>
      <c r="F4745" s="312"/>
      <c r="G4745" s="328"/>
      <c r="H4745" s="337"/>
      <c r="I4745" s="334"/>
      <c r="J4745" s="314"/>
      <c r="K4745" s="449"/>
      <c r="M4745" s="349" t="str">
        <f>N4745&amp;AS[[#This Row],[Insurer Code]]&amp;"; "&amp;O4745&amp;AS[[#This Row],[Reporting Year]]&amp;"; "&amp;P4745&amp;AS[[#This Row],[Insurance Category Code]]&amp;"; "&amp;Q4745&amp;AS[[#This Row],[Large Provider Entity Code]]&amp;"; "&amp;R4745&amp;AS[[#This Row],[Age Band Code]]&amp;"; "&amp;S4745&amp;AS[[#This Row],[Sex Code]]</f>
        <v xml:space="preserve">Insurer Code ; Reporting Year ; Insurance Category Code ; Large Provider Entity Code ; Age Band Code ; Sex Code </v>
      </c>
      <c r="N4745" s="345" t="s">
        <v>207</v>
      </c>
      <c r="O4745" s="345" t="s">
        <v>208</v>
      </c>
      <c r="P4745" s="345" t="s">
        <v>209</v>
      </c>
      <c r="Q4745" s="345" t="s">
        <v>210</v>
      </c>
      <c r="R4745" s="345" t="s">
        <v>223</v>
      </c>
      <c r="S4745" s="345" t="s">
        <v>224</v>
      </c>
    </row>
    <row r="4746" spans="1:19" x14ac:dyDescent="0.25">
      <c r="A4746" s="311"/>
      <c r="B4746" s="312"/>
      <c r="C4746" s="312"/>
      <c r="D4746" s="312"/>
      <c r="E4746" s="312"/>
      <c r="F4746" s="312"/>
      <c r="G4746" s="328"/>
      <c r="H4746" s="337"/>
      <c r="I4746" s="334"/>
      <c r="J4746" s="314"/>
      <c r="K4746" s="449"/>
      <c r="M4746" s="349" t="str">
        <f>N4746&amp;AS[[#This Row],[Insurer Code]]&amp;"; "&amp;O4746&amp;AS[[#This Row],[Reporting Year]]&amp;"; "&amp;P4746&amp;AS[[#This Row],[Insurance Category Code]]&amp;"; "&amp;Q4746&amp;AS[[#This Row],[Large Provider Entity Code]]&amp;"; "&amp;R4746&amp;AS[[#This Row],[Age Band Code]]&amp;"; "&amp;S4746&amp;AS[[#This Row],[Sex Code]]</f>
        <v xml:space="preserve">Insurer Code ; Reporting Year ; Insurance Category Code ; Large Provider Entity Code ; Age Band Code ; Sex Code </v>
      </c>
      <c r="N4746" s="345" t="s">
        <v>207</v>
      </c>
      <c r="O4746" s="345" t="s">
        <v>208</v>
      </c>
      <c r="P4746" s="345" t="s">
        <v>209</v>
      </c>
      <c r="Q4746" s="345" t="s">
        <v>210</v>
      </c>
      <c r="R4746" s="345" t="s">
        <v>223</v>
      </c>
      <c r="S4746" s="345" t="s">
        <v>224</v>
      </c>
    </row>
    <row r="4747" spans="1:19" x14ac:dyDescent="0.25">
      <c r="A4747" s="311"/>
      <c r="B4747" s="312"/>
      <c r="C4747" s="312"/>
      <c r="D4747" s="312"/>
      <c r="E4747" s="312"/>
      <c r="F4747" s="312"/>
      <c r="G4747" s="328"/>
      <c r="H4747" s="337"/>
      <c r="I4747" s="334"/>
      <c r="J4747" s="314"/>
      <c r="K4747" s="449"/>
      <c r="M4747" s="349" t="str">
        <f>N4747&amp;AS[[#This Row],[Insurer Code]]&amp;"; "&amp;O4747&amp;AS[[#This Row],[Reporting Year]]&amp;"; "&amp;P4747&amp;AS[[#This Row],[Insurance Category Code]]&amp;"; "&amp;Q4747&amp;AS[[#This Row],[Large Provider Entity Code]]&amp;"; "&amp;R4747&amp;AS[[#This Row],[Age Band Code]]&amp;"; "&amp;S4747&amp;AS[[#This Row],[Sex Code]]</f>
        <v xml:space="preserve">Insurer Code ; Reporting Year ; Insurance Category Code ; Large Provider Entity Code ; Age Band Code ; Sex Code </v>
      </c>
      <c r="N4747" s="345" t="s">
        <v>207</v>
      </c>
      <c r="O4747" s="345" t="s">
        <v>208</v>
      </c>
      <c r="P4747" s="345" t="s">
        <v>209</v>
      </c>
      <c r="Q4747" s="345" t="s">
        <v>210</v>
      </c>
      <c r="R4747" s="345" t="s">
        <v>223</v>
      </c>
      <c r="S4747" s="345" t="s">
        <v>224</v>
      </c>
    </row>
    <row r="4748" spans="1:19" x14ac:dyDescent="0.25">
      <c r="A4748" s="311"/>
      <c r="B4748" s="312"/>
      <c r="C4748" s="312"/>
      <c r="D4748" s="312"/>
      <c r="E4748" s="312"/>
      <c r="F4748" s="312"/>
      <c r="G4748" s="328"/>
      <c r="H4748" s="337"/>
      <c r="I4748" s="334"/>
      <c r="J4748" s="314"/>
      <c r="K4748" s="449"/>
      <c r="M4748" s="349" t="str">
        <f>N4748&amp;AS[[#This Row],[Insurer Code]]&amp;"; "&amp;O4748&amp;AS[[#This Row],[Reporting Year]]&amp;"; "&amp;P4748&amp;AS[[#This Row],[Insurance Category Code]]&amp;"; "&amp;Q4748&amp;AS[[#This Row],[Large Provider Entity Code]]&amp;"; "&amp;R4748&amp;AS[[#This Row],[Age Band Code]]&amp;"; "&amp;S4748&amp;AS[[#This Row],[Sex Code]]</f>
        <v xml:space="preserve">Insurer Code ; Reporting Year ; Insurance Category Code ; Large Provider Entity Code ; Age Band Code ; Sex Code </v>
      </c>
      <c r="N4748" s="345" t="s">
        <v>207</v>
      </c>
      <c r="O4748" s="345" t="s">
        <v>208</v>
      </c>
      <c r="P4748" s="345" t="s">
        <v>209</v>
      </c>
      <c r="Q4748" s="345" t="s">
        <v>210</v>
      </c>
      <c r="R4748" s="345" t="s">
        <v>223</v>
      </c>
      <c r="S4748" s="345" t="s">
        <v>224</v>
      </c>
    </row>
    <row r="4749" spans="1:19" x14ac:dyDescent="0.25">
      <c r="A4749" s="311"/>
      <c r="B4749" s="312"/>
      <c r="C4749" s="312"/>
      <c r="D4749" s="312"/>
      <c r="E4749" s="312"/>
      <c r="F4749" s="312"/>
      <c r="G4749" s="328"/>
      <c r="H4749" s="337"/>
      <c r="I4749" s="334"/>
      <c r="J4749" s="314"/>
      <c r="K4749" s="449"/>
      <c r="M4749" s="349" t="str">
        <f>N4749&amp;AS[[#This Row],[Insurer Code]]&amp;"; "&amp;O4749&amp;AS[[#This Row],[Reporting Year]]&amp;"; "&amp;P4749&amp;AS[[#This Row],[Insurance Category Code]]&amp;"; "&amp;Q4749&amp;AS[[#This Row],[Large Provider Entity Code]]&amp;"; "&amp;R4749&amp;AS[[#This Row],[Age Band Code]]&amp;"; "&amp;S4749&amp;AS[[#This Row],[Sex Code]]</f>
        <v xml:space="preserve">Insurer Code ; Reporting Year ; Insurance Category Code ; Large Provider Entity Code ; Age Band Code ; Sex Code </v>
      </c>
      <c r="N4749" s="345" t="s">
        <v>207</v>
      </c>
      <c r="O4749" s="345" t="s">
        <v>208</v>
      </c>
      <c r="P4749" s="345" t="s">
        <v>209</v>
      </c>
      <c r="Q4749" s="345" t="s">
        <v>210</v>
      </c>
      <c r="R4749" s="345" t="s">
        <v>223</v>
      </c>
      <c r="S4749" s="345" t="s">
        <v>224</v>
      </c>
    </row>
    <row r="4750" spans="1:19" x14ac:dyDescent="0.25">
      <c r="A4750" s="311"/>
      <c r="B4750" s="312"/>
      <c r="C4750" s="312"/>
      <c r="D4750" s="312"/>
      <c r="E4750" s="312"/>
      <c r="F4750" s="312"/>
      <c r="G4750" s="328"/>
      <c r="H4750" s="337"/>
      <c r="I4750" s="334"/>
      <c r="J4750" s="314"/>
      <c r="K4750" s="449"/>
      <c r="M4750" s="349" t="str">
        <f>N4750&amp;AS[[#This Row],[Insurer Code]]&amp;"; "&amp;O4750&amp;AS[[#This Row],[Reporting Year]]&amp;"; "&amp;P4750&amp;AS[[#This Row],[Insurance Category Code]]&amp;"; "&amp;Q4750&amp;AS[[#This Row],[Large Provider Entity Code]]&amp;"; "&amp;R4750&amp;AS[[#This Row],[Age Band Code]]&amp;"; "&amp;S4750&amp;AS[[#This Row],[Sex Code]]</f>
        <v xml:space="preserve">Insurer Code ; Reporting Year ; Insurance Category Code ; Large Provider Entity Code ; Age Band Code ; Sex Code </v>
      </c>
      <c r="N4750" s="345" t="s">
        <v>207</v>
      </c>
      <c r="O4750" s="345" t="s">
        <v>208</v>
      </c>
      <c r="P4750" s="345" t="s">
        <v>209</v>
      </c>
      <c r="Q4750" s="345" t="s">
        <v>210</v>
      </c>
      <c r="R4750" s="345" t="s">
        <v>223</v>
      </c>
      <c r="S4750" s="345" t="s">
        <v>224</v>
      </c>
    </row>
    <row r="4751" spans="1:19" x14ac:dyDescent="0.25">
      <c r="A4751" s="311"/>
      <c r="B4751" s="312"/>
      <c r="C4751" s="312"/>
      <c r="D4751" s="312"/>
      <c r="E4751" s="312"/>
      <c r="F4751" s="312"/>
      <c r="G4751" s="328"/>
      <c r="H4751" s="337"/>
      <c r="I4751" s="334"/>
      <c r="J4751" s="314"/>
      <c r="K4751" s="449"/>
      <c r="M4751" s="349" t="str">
        <f>N4751&amp;AS[[#This Row],[Insurer Code]]&amp;"; "&amp;O4751&amp;AS[[#This Row],[Reporting Year]]&amp;"; "&amp;P4751&amp;AS[[#This Row],[Insurance Category Code]]&amp;"; "&amp;Q4751&amp;AS[[#This Row],[Large Provider Entity Code]]&amp;"; "&amp;R4751&amp;AS[[#This Row],[Age Band Code]]&amp;"; "&amp;S4751&amp;AS[[#This Row],[Sex Code]]</f>
        <v xml:space="preserve">Insurer Code ; Reporting Year ; Insurance Category Code ; Large Provider Entity Code ; Age Band Code ; Sex Code </v>
      </c>
      <c r="N4751" s="345" t="s">
        <v>207</v>
      </c>
      <c r="O4751" s="345" t="s">
        <v>208</v>
      </c>
      <c r="P4751" s="345" t="s">
        <v>209</v>
      </c>
      <c r="Q4751" s="345" t="s">
        <v>210</v>
      </c>
      <c r="R4751" s="345" t="s">
        <v>223</v>
      </c>
      <c r="S4751" s="345" t="s">
        <v>224</v>
      </c>
    </row>
    <row r="4752" spans="1:19" x14ac:dyDescent="0.25">
      <c r="A4752" s="311"/>
      <c r="B4752" s="312"/>
      <c r="C4752" s="312"/>
      <c r="D4752" s="312"/>
      <c r="E4752" s="312"/>
      <c r="F4752" s="312"/>
      <c r="G4752" s="328"/>
      <c r="H4752" s="337"/>
      <c r="I4752" s="334"/>
      <c r="J4752" s="314"/>
      <c r="K4752" s="449"/>
      <c r="M4752" s="349" t="str">
        <f>N4752&amp;AS[[#This Row],[Insurer Code]]&amp;"; "&amp;O4752&amp;AS[[#This Row],[Reporting Year]]&amp;"; "&amp;P4752&amp;AS[[#This Row],[Insurance Category Code]]&amp;"; "&amp;Q4752&amp;AS[[#This Row],[Large Provider Entity Code]]&amp;"; "&amp;R4752&amp;AS[[#This Row],[Age Band Code]]&amp;"; "&amp;S4752&amp;AS[[#This Row],[Sex Code]]</f>
        <v xml:space="preserve">Insurer Code ; Reporting Year ; Insurance Category Code ; Large Provider Entity Code ; Age Band Code ; Sex Code </v>
      </c>
      <c r="N4752" s="345" t="s">
        <v>207</v>
      </c>
      <c r="O4752" s="345" t="s">
        <v>208</v>
      </c>
      <c r="P4752" s="345" t="s">
        <v>209</v>
      </c>
      <c r="Q4752" s="345" t="s">
        <v>210</v>
      </c>
      <c r="R4752" s="345" t="s">
        <v>223</v>
      </c>
      <c r="S4752" s="345" t="s">
        <v>224</v>
      </c>
    </row>
    <row r="4753" spans="1:19" x14ac:dyDescent="0.25">
      <c r="A4753" s="311"/>
      <c r="B4753" s="312"/>
      <c r="C4753" s="312"/>
      <c r="D4753" s="312"/>
      <c r="E4753" s="312"/>
      <c r="F4753" s="312"/>
      <c r="G4753" s="328"/>
      <c r="H4753" s="337"/>
      <c r="I4753" s="334"/>
      <c r="J4753" s="314"/>
      <c r="K4753" s="449"/>
      <c r="M4753" s="349" t="str">
        <f>N4753&amp;AS[[#This Row],[Insurer Code]]&amp;"; "&amp;O4753&amp;AS[[#This Row],[Reporting Year]]&amp;"; "&amp;P4753&amp;AS[[#This Row],[Insurance Category Code]]&amp;"; "&amp;Q4753&amp;AS[[#This Row],[Large Provider Entity Code]]&amp;"; "&amp;R4753&amp;AS[[#This Row],[Age Band Code]]&amp;"; "&amp;S4753&amp;AS[[#This Row],[Sex Code]]</f>
        <v xml:space="preserve">Insurer Code ; Reporting Year ; Insurance Category Code ; Large Provider Entity Code ; Age Band Code ; Sex Code </v>
      </c>
      <c r="N4753" s="345" t="s">
        <v>207</v>
      </c>
      <c r="O4753" s="345" t="s">
        <v>208</v>
      </c>
      <c r="P4753" s="345" t="s">
        <v>209</v>
      </c>
      <c r="Q4753" s="345" t="s">
        <v>210</v>
      </c>
      <c r="R4753" s="345" t="s">
        <v>223</v>
      </c>
      <c r="S4753" s="345" t="s">
        <v>224</v>
      </c>
    </row>
    <row r="4754" spans="1:19" x14ac:dyDescent="0.25">
      <c r="A4754" s="311"/>
      <c r="B4754" s="312"/>
      <c r="C4754" s="312"/>
      <c r="D4754" s="312"/>
      <c r="E4754" s="312"/>
      <c r="F4754" s="312"/>
      <c r="G4754" s="328"/>
      <c r="H4754" s="337"/>
      <c r="I4754" s="334"/>
      <c r="J4754" s="314"/>
      <c r="K4754" s="449"/>
      <c r="M4754" s="349" t="str">
        <f>N4754&amp;AS[[#This Row],[Insurer Code]]&amp;"; "&amp;O4754&amp;AS[[#This Row],[Reporting Year]]&amp;"; "&amp;P4754&amp;AS[[#This Row],[Insurance Category Code]]&amp;"; "&amp;Q4754&amp;AS[[#This Row],[Large Provider Entity Code]]&amp;"; "&amp;R4754&amp;AS[[#This Row],[Age Band Code]]&amp;"; "&amp;S4754&amp;AS[[#This Row],[Sex Code]]</f>
        <v xml:space="preserve">Insurer Code ; Reporting Year ; Insurance Category Code ; Large Provider Entity Code ; Age Band Code ; Sex Code </v>
      </c>
      <c r="N4754" s="345" t="s">
        <v>207</v>
      </c>
      <c r="O4754" s="345" t="s">
        <v>208</v>
      </c>
      <c r="P4754" s="345" t="s">
        <v>209</v>
      </c>
      <c r="Q4754" s="345" t="s">
        <v>210</v>
      </c>
      <c r="R4754" s="345" t="s">
        <v>223</v>
      </c>
      <c r="S4754" s="345" t="s">
        <v>224</v>
      </c>
    </row>
    <row r="4755" spans="1:19" x14ac:dyDescent="0.25">
      <c r="A4755" s="311"/>
      <c r="B4755" s="312"/>
      <c r="C4755" s="312"/>
      <c r="D4755" s="312"/>
      <c r="E4755" s="312"/>
      <c r="F4755" s="312"/>
      <c r="G4755" s="328"/>
      <c r="H4755" s="337"/>
      <c r="I4755" s="334"/>
      <c r="J4755" s="314"/>
      <c r="K4755" s="449"/>
      <c r="M4755" s="349" t="str">
        <f>N4755&amp;AS[[#This Row],[Insurer Code]]&amp;"; "&amp;O4755&amp;AS[[#This Row],[Reporting Year]]&amp;"; "&amp;P4755&amp;AS[[#This Row],[Insurance Category Code]]&amp;"; "&amp;Q4755&amp;AS[[#This Row],[Large Provider Entity Code]]&amp;"; "&amp;R4755&amp;AS[[#This Row],[Age Band Code]]&amp;"; "&amp;S4755&amp;AS[[#This Row],[Sex Code]]</f>
        <v xml:space="preserve">Insurer Code ; Reporting Year ; Insurance Category Code ; Large Provider Entity Code ; Age Band Code ; Sex Code </v>
      </c>
      <c r="N4755" s="345" t="s">
        <v>207</v>
      </c>
      <c r="O4755" s="345" t="s">
        <v>208</v>
      </c>
      <c r="P4755" s="345" t="s">
        <v>209</v>
      </c>
      <c r="Q4755" s="345" t="s">
        <v>210</v>
      </c>
      <c r="R4755" s="345" t="s">
        <v>223</v>
      </c>
      <c r="S4755" s="345" t="s">
        <v>224</v>
      </c>
    </row>
    <row r="4756" spans="1:19" x14ac:dyDescent="0.25">
      <c r="A4756" s="311"/>
      <c r="B4756" s="312"/>
      <c r="C4756" s="312"/>
      <c r="D4756" s="312"/>
      <c r="E4756" s="312"/>
      <c r="F4756" s="312"/>
      <c r="G4756" s="328"/>
      <c r="H4756" s="337"/>
      <c r="I4756" s="334"/>
      <c r="J4756" s="314"/>
      <c r="K4756" s="449"/>
      <c r="M4756" s="349" t="str">
        <f>N4756&amp;AS[[#This Row],[Insurer Code]]&amp;"; "&amp;O4756&amp;AS[[#This Row],[Reporting Year]]&amp;"; "&amp;P4756&amp;AS[[#This Row],[Insurance Category Code]]&amp;"; "&amp;Q4756&amp;AS[[#This Row],[Large Provider Entity Code]]&amp;"; "&amp;R4756&amp;AS[[#This Row],[Age Band Code]]&amp;"; "&amp;S4756&amp;AS[[#This Row],[Sex Code]]</f>
        <v xml:space="preserve">Insurer Code ; Reporting Year ; Insurance Category Code ; Large Provider Entity Code ; Age Band Code ; Sex Code </v>
      </c>
      <c r="N4756" s="345" t="s">
        <v>207</v>
      </c>
      <c r="O4756" s="345" t="s">
        <v>208</v>
      </c>
      <c r="P4756" s="345" t="s">
        <v>209</v>
      </c>
      <c r="Q4756" s="345" t="s">
        <v>210</v>
      </c>
      <c r="R4756" s="345" t="s">
        <v>223</v>
      </c>
      <c r="S4756" s="345" t="s">
        <v>224</v>
      </c>
    </row>
    <row r="4757" spans="1:19" x14ac:dyDescent="0.25">
      <c r="A4757" s="311"/>
      <c r="B4757" s="312"/>
      <c r="C4757" s="312"/>
      <c r="D4757" s="312"/>
      <c r="E4757" s="312"/>
      <c r="F4757" s="312"/>
      <c r="G4757" s="328"/>
      <c r="H4757" s="337"/>
      <c r="I4757" s="334"/>
      <c r="J4757" s="314"/>
      <c r="K4757" s="449"/>
      <c r="M4757" s="349" t="str">
        <f>N4757&amp;AS[[#This Row],[Insurer Code]]&amp;"; "&amp;O4757&amp;AS[[#This Row],[Reporting Year]]&amp;"; "&amp;P4757&amp;AS[[#This Row],[Insurance Category Code]]&amp;"; "&amp;Q4757&amp;AS[[#This Row],[Large Provider Entity Code]]&amp;"; "&amp;R4757&amp;AS[[#This Row],[Age Band Code]]&amp;"; "&amp;S4757&amp;AS[[#This Row],[Sex Code]]</f>
        <v xml:space="preserve">Insurer Code ; Reporting Year ; Insurance Category Code ; Large Provider Entity Code ; Age Band Code ; Sex Code </v>
      </c>
      <c r="N4757" s="345" t="s">
        <v>207</v>
      </c>
      <c r="O4757" s="345" t="s">
        <v>208</v>
      </c>
      <c r="P4757" s="345" t="s">
        <v>209</v>
      </c>
      <c r="Q4757" s="345" t="s">
        <v>210</v>
      </c>
      <c r="R4757" s="345" t="s">
        <v>223</v>
      </c>
      <c r="S4757" s="345" t="s">
        <v>224</v>
      </c>
    </row>
    <row r="4758" spans="1:19" x14ac:dyDescent="0.25">
      <c r="A4758" s="311"/>
      <c r="B4758" s="312"/>
      <c r="C4758" s="312"/>
      <c r="D4758" s="312"/>
      <c r="E4758" s="312"/>
      <c r="F4758" s="312"/>
      <c r="G4758" s="328"/>
      <c r="H4758" s="337"/>
      <c r="I4758" s="334"/>
      <c r="J4758" s="314"/>
      <c r="K4758" s="449"/>
      <c r="M4758" s="349" t="str">
        <f>N4758&amp;AS[[#This Row],[Insurer Code]]&amp;"; "&amp;O4758&amp;AS[[#This Row],[Reporting Year]]&amp;"; "&amp;P4758&amp;AS[[#This Row],[Insurance Category Code]]&amp;"; "&amp;Q4758&amp;AS[[#This Row],[Large Provider Entity Code]]&amp;"; "&amp;R4758&amp;AS[[#This Row],[Age Band Code]]&amp;"; "&amp;S4758&amp;AS[[#This Row],[Sex Code]]</f>
        <v xml:space="preserve">Insurer Code ; Reporting Year ; Insurance Category Code ; Large Provider Entity Code ; Age Band Code ; Sex Code </v>
      </c>
      <c r="N4758" s="345" t="s">
        <v>207</v>
      </c>
      <c r="O4758" s="345" t="s">
        <v>208</v>
      </c>
      <c r="P4758" s="345" t="s">
        <v>209</v>
      </c>
      <c r="Q4758" s="345" t="s">
        <v>210</v>
      </c>
      <c r="R4758" s="345" t="s">
        <v>223</v>
      </c>
      <c r="S4758" s="345" t="s">
        <v>224</v>
      </c>
    </row>
    <row r="4759" spans="1:19" x14ac:dyDescent="0.25">
      <c r="A4759" s="311"/>
      <c r="B4759" s="312"/>
      <c r="C4759" s="312"/>
      <c r="D4759" s="312"/>
      <c r="E4759" s="312"/>
      <c r="F4759" s="312"/>
      <c r="G4759" s="328"/>
      <c r="H4759" s="337"/>
      <c r="I4759" s="334"/>
      <c r="J4759" s="314"/>
      <c r="K4759" s="449"/>
      <c r="M4759" s="349" t="str">
        <f>N4759&amp;AS[[#This Row],[Insurer Code]]&amp;"; "&amp;O4759&amp;AS[[#This Row],[Reporting Year]]&amp;"; "&amp;P4759&amp;AS[[#This Row],[Insurance Category Code]]&amp;"; "&amp;Q4759&amp;AS[[#This Row],[Large Provider Entity Code]]&amp;"; "&amp;R4759&amp;AS[[#This Row],[Age Band Code]]&amp;"; "&amp;S4759&amp;AS[[#This Row],[Sex Code]]</f>
        <v xml:space="preserve">Insurer Code ; Reporting Year ; Insurance Category Code ; Large Provider Entity Code ; Age Band Code ; Sex Code </v>
      </c>
      <c r="N4759" s="345" t="s">
        <v>207</v>
      </c>
      <c r="O4759" s="345" t="s">
        <v>208</v>
      </c>
      <c r="P4759" s="345" t="s">
        <v>209</v>
      </c>
      <c r="Q4759" s="345" t="s">
        <v>210</v>
      </c>
      <c r="R4759" s="345" t="s">
        <v>223</v>
      </c>
      <c r="S4759" s="345" t="s">
        <v>224</v>
      </c>
    </row>
    <row r="4760" spans="1:19" x14ac:dyDescent="0.25">
      <c r="A4760" s="311"/>
      <c r="B4760" s="312"/>
      <c r="C4760" s="312"/>
      <c r="D4760" s="312"/>
      <c r="E4760" s="312"/>
      <c r="F4760" s="312"/>
      <c r="G4760" s="328"/>
      <c r="H4760" s="337"/>
      <c r="I4760" s="334"/>
      <c r="J4760" s="314"/>
      <c r="K4760" s="449"/>
      <c r="M4760" s="349" t="str">
        <f>N4760&amp;AS[[#This Row],[Insurer Code]]&amp;"; "&amp;O4760&amp;AS[[#This Row],[Reporting Year]]&amp;"; "&amp;P4760&amp;AS[[#This Row],[Insurance Category Code]]&amp;"; "&amp;Q4760&amp;AS[[#This Row],[Large Provider Entity Code]]&amp;"; "&amp;R4760&amp;AS[[#This Row],[Age Band Code]]&amp;"; "&amp;S4760&amp;AS[[#This Row],[Sex Code]]</f>
        <v xml:space="preserve">Insurer Code ; Reporting Year ; Insurance Category Code ; Large Provider Entity Code ; Age Band Code ; Sex Code </v>
      </c>
      <c r="N4760" s="345" t="s">
        <v>207</v>
      </c>
      <c r="O4760" s="345" t="s">
        <v>208</v>
      </c>
      <c r="P4760" s="345" t="s">
        <v>209</v>
      </c>
      <c r="Q4760" s="345" t="s">
        <v>210</v>
      </c>
      <c r="R4760" s="345" t="s">
        <v>223</v>
      </c>
      <c r="S4760" s="345" t="s">
        <v>224</v>
      </c>
    </row>
    <row r="4761" spans="1:19" x14ac:dyDescent="0.25">
      <c r="A4761" s="311"/>
      <c r="B4761" s="312"/>
      <c r="C4761" s="312"/>
      <c r="D4761" s="312"/>
      <c r="E4761" s="312"/>
      <c r="F4761" s="312"/>
      <c r="G4761" s="328"/>
      <c r="H4761" s="337"/>
      <c r="I4761" s="334"/>
      <c r="J4761" s="314"/>
      <c r="K4761" s="449"/>
      <c r="M4761" s="349" t="str">
        <f>N4761&amp;AS[[#This Row],[Insurer Code]]&amp;"; "&amp;O4761&amp;AS[[#This Row],[Reporting Year]]&amp;"; "&amp;P4761&amp;AS[[#This Row],[Insurance Category Code]]&amp;"; "&amp;Q4761&amp;AS[[#This Row],[Large Provider Entity Code]]&amp;"; "&amp;R4761&amp;AS[[#This Row],[Age Band Code]]&amp;"; "&amp;S4761&amp;AS[[#This Row],[Sex Code]]</f>
        <v xml:space="preserve">Insurer Code ; Reporting Year ; Insurance Category Code ; Large Provider Entity Code ; Age Band Code ; Sex Code </v>
      </c>
      <c r="N4761" s="345" t="s">
        <v>207</v>
      </c>
      <c r="O4761" s="345" t="s">
        <v>208</v>
      </c>
      <c r="P4761" s="345" t="s">
        <v>209</v>
      </c>
      <c r="Q4761" s="345" t="s">
        <v>210</v>
      </c>
      <c r="R4761" s="345" t="s">
        <v>223</v>
      </c>
      <c r="S4761" s="345" t="s">
        <v>224</v>
      </c>
    </row>
    <row r="4762" spans="1:19" x14ac:dyDescent="0.25">
      <c r="A4762" s="311"/>
      <c r="B4762" s="312"/>
      <c r="C4762" s="312"/>
      <c r="D4762" s="312"/>
      <c r="E4762" s="312"/>
      <c r="F4762" s="312"/>
      <c r="G4762" s="328"/>
      <c r="H4762" s="337"/>
      <c r="I4762" s="334"/>
      <c r="J4762" s="314"/>
      <c r="K4762" s="449"/>
      <c r="M4762" s="349" t="str">
        <f>N4762&amp;AS[[#This Row],[Insurer Code]]&amp;"; "&amp;O4762&amp;AS[[#This Row],[Reporting Year]]&amp;"; "&amp;P4762&amp;AS[[#This Row],[Insurance Category Code]]&amp;"; "&amp;Q4762&amp;AS[[#This Row],[Large Provider Entity Code]]&amp;"; "&amp;R4762&amp;AS[[#This Row],[Age Band Code]]&amp;"; "&amp;S4762&amp;AS[[#This Row],[Sex Code]]</f>
        <v xml:space="preserve">Insurer Code ; Reporting Year ; Insurance Category Code ; Large Provider Entity Code ; Age Band Code ; Sex Code </v>
      </c>
      <c r="N4762" s="345" t="s">
        <v>207</v>
      </c>
      <c r="O4762" s="345" t="s">
        <v>208</v>
      </c>
      <c r="P4762" s="345" t="s">
        <v>209</v>
      </c>
      <c r="Q4762" s="345" t="s">
        <v>210</v>
      </c>
      <c r="R4762" s="345" t="s">
        <v>223</v>
      </c>
      <c r="S4762" s="345" t="s">
        <v>224</v>
      </c>
    </row>
    <row r="4763" spans="1:19" x14ac:dyDescent="0.25">
      <c r="A4763" s="311"/>
      <c r="B4763" s="312"/>
      <c r="C4763" s="312"/>
      <c r="D4763" s="312"/>
      <c r="E4763" s="312"/>
      <c r="F4763" s="312"/>
      <c r="G4763" s="328"/>
      <c r="H4763" s="337"/>
      <c r="I4763" s="334"/>
      <c r="J4763" s="314"/>
      <c r="K4763" s="449"/>
      <c r="M4763" s="349" t="str">
        <f>N4763&amp;AS[[#This Row],[Insurer Code]]&amp;"; "&amp;O4763&amp;AS[[#This Row],[Reporting Year]]&amp;"; "&amp;P4763&amp;AS[[#This Row],[Insurance Category Code]]&amp;"; "&amp;Q4763&amp;AS[[#This Row],[Large Provider Entity Code]]&amp;"; "&amp;R4763&amp;AS[[#This Row],[Age Band Code]]&amp;"; "&amp;S4763&amp;AS[[#This Row],[Sex Code]]</f>
        <v xml:space="preserve">Insurer Code ; Reporting Year ; Insurance Category Code ; Large Provider Entity Code ; Age Band Code ; Sex Code </v>
      </c>
      <c r="N4763" s="345" t="s">
        <v>207</v>
      </c>
      <c r="O4763" s="345" t="s">
        <v>208</v>
      </c>
      <c r="P4763" s="345" t="s">
        <v>209</v>
      </c>
      <c r="Q4763" s="345" t="s">
        <v>210</v>
      </c>
      <c r="R4763" s="345" t="s">
        <v>223</v>
      </c>
      <c r="S4763" s="345" t="s">
        <v>224</v>
      </c>
    </row>
    <row r="4764" spans="1:19" x14ac:dyDescent="0.25">
      <c r="A4764" s="311"/>
      <c r="B4764" s="312"/>
      <c r="C4764" s="312"/>
      <c r="D4764" s="312"/>
      <c r="E4764" s="312"/>
      <c r="F4764" s="312"/>
      <c r="G4764" s="328"/>
      <c r="H4764" s="337"/>
      <c r="I4764" s="334"/>
      <c r="J4764" s="314"/>
      <c r="K4764" s="449"/>
      <c r="M4764" s="349" t="str">
        <f>N4764&amp;AS[[#This Row],[Insurer Code]]&amp;"; "&amp;O4764&amp;AS[[#This Row],[Reporting Year]]&amp;"; "&amp;P4764&amp;AS[[#This Row],[Insurance Category Code]]&amp;"; "&amp;Q4764&amp;AS[[#This Row],[Large Provider Entity Code]]&amp;"; "&amp;R4764&amp;AS[[#This Row],[Age Band Code]]&amp;"; "&amp;S4764&amp;AS[[#This Row],[Sex Code]]</f>
        <v xml:space="preserve">Insurer Code ; Reporting Year ; Insurance Category Code ; Large Provider Entity Code ; Age Band Code ; Sex Code </v>
      </c>
      <c r="N4764" s="345" t="s">
        <v>207</v>
      </c>
      <c r="O4764" s="345" t="s">
        <v>208</v>
      </c>
      <c r="P4764" s="345" t="s">
        <v>209</v>
      </c>
      <c r="Q4764" s="345" t="s">
        <v>210</v>
      </c>
      <c r="R4764" s="345" t="s">
        <v>223</v>
      </c>
      <c r="S4764" s="345" t="s">
        <v>224</v>
      </c>
    </row>
    <row r="4765" spans="1:19" x14ac:dyDescent="0.25">
      <c r="A4765" s="311"/>
      <c r="B4765" s="312"/>
      <c r="C4765" s="312"/>
      <c r="D4765" s="312"/>
      <c r="E4765" s="312"/>
      <c r="F4765" s="312"/>
      <c r="G4765" s="328"/>
      <c r="H4765" s="337"/>
      <c r="I4765" s="334"/>
      <c r="J4765" s="314"/>
      <c r="K4765" s="449"/>
      <c r="M4765" s="349" t="str">
        <f>N4765&amp;AS[[#This Row],[Insurer Code]]&amp;"; "&amp;O4765&amp;AS[[#This Row],[Reporting Year]]&amp;"; "&amp;P4765&amp;AS[[#This Row],[Insurance Category Code]]&amp;"; "&amp;Q4765&amp;AS[[#This Row],[Large Provider Entity Code]]&amp;"; "&amp;R4765&amp;AS[[#This Row],[Age Band Code]]&amp;"; "&amp;S4765&amp;AS[[#This Row],[Sex Code]]</f>
        <v xml:space="preserve">Insurer Code ; Reporting Year ; Insurance Category Code ; Large Provider Entity Code ; Age Band Code ; Sex Code </v>
      </c>
      <c r="N4765" s="345" t="s">
        <v>207</v>
      </c>
      <c r="O4765" s="345" t="s">
        <v>208</v>
      </c>
      <c r="P4765" s="345" t="s">
        <v>209</v>
      </c>
      <c r="Q4765" s="345" t="s">
        <v>210</v>
      </c>
      <c r="R4765" s="345" t="s">
        <v>223</v>
      </c>
      <c r="S4765" s="345" t="s">
        <v>224</v>
      </c>
    </row>
    <row r="4766" spans="1:19" x14ac:dyDescent="0.25">
      <c r="A4766" s="311"/>
      <c r="B4766" s="312"/>
      <c r="C4766" s="312"/>
      <c r="D4766" s="312"/>
      <c r="E4766" s="312"/>
      <c r="F4766" s="312"/>
      <c r="G4766" s="328"/>
      <c r="H4766" s="337"/>
      <c r="I4766" s="334"/>
      <c r="J4766" s="314"/>
      <c r="K4766" s="449"/>
      <c r="M4766" s="349" t="str">
        <f>N4766&amp;AS[[#This Row],[Insurer Code]]&amp;"; "&amp;O4766&amp;AS[[#This Row],[Reporting Year]]&amp;"; "&amp;P4766&amp;AS[[#This Row],[Insurance Category Code]]&amp;"; "&amp;Q4766&amp;AS[[#This Row],[Large Provider Entity Code]]&amp;"; "&amp;R4766&amp;AS[[#This Row],[Age Band Code]]&amp;"; "&amp;S4766&amp;AS[[#This Row],[Sex Code]]</f>
        <v xml:space="preserve">Insurer Code ; Reporting Year ; Insurance Category Code ; Large Provider Entity Code ; Age Band Code ; Sex Code </v>
      </c>
      <c r="N4766" s="345" t="s">
        <v>207</v>
      </c>
      <c r="O4766" s="345" t="s">
        <v>208</v>
      </c>
      <c r="P4766" s="345" t="s">
        <v>209</v>
      </c>
      <c r="Q4766" s="345" t="s">
        <v>210</v>
      </c>
      <c r="R4766" s="345" t="s">
        <v>223</v>
      </c>
      <c r="S4766" s="345" t="s">
        <v>224</v>
      </c>
    </row>
    <row r="4767" spans="1:19" x14ac:dyDescent="0.25">
      <c r="A4767" s="311"/>
      <c r="B4767" s="312"/>
      <c r="C4767" s="312"/>
      <c r="D4767" s="312"/>
      <c r="E4767" s="312"/>
      <c r="F4767" s="312"/>
      <c r="G4767" s="328"/>
      <c r="H4767" s="337"/>
      <c r="I4767" s="334"/>
      <c r="J4767" s="314"/>
      <c r="K4767" s="449"/>
      <c r="M4767" s="349" t="str">
        <f>N4767&amp;AS[[#This Row],[Insurer Code]]&amp;"; "&amp;O4767&amp;AS[[#This Row],[Reporting Year]]&amp;"; "&amp;P4767&amp;AS[[#This Row],[Insurance Category Code]]&amp;"; "&amp;Q4767&amp;AS[[#This Row],[Large Provider Entity Code]]&amp;"; "&amp;R4767&amp;AS[[#This Row],[Age Band Code]]&amp;"; "&amp;S4767&amp;AS[[#This Row],[Sex Code]]</f>
        <v xml:space="preserve">Insurer Code ; Reporting Year ; Insurance Category Code ; Large Provider Entity Code ; Age Band Code ; Sex Code </v>
      </c>
      <c r="N4767" s="345" t="s">
        <v>207</v>
      </c>
      <c r="O4767" s="345" t="s">
        <v>208</v>
      </c>
      <c r="P4767" s="345" t="s">
        <v>209</v>
      </c>
      <c r="Q4767" s="345" t="s">
        <v>210</v>
      </c>
      <c r="R4767" s="345" t="s">
        <v>223</v>
      </c>
      <c r="S4767" s="345" t="s">
        <v>224</v>
      </c>
    </row>
    <row r="4768" spans="1:19" x14ac:dyDescent="0.25">
      <c r="A4768" s="311"/>
      <c r="B4768" s="312"/>
      <c r="C4768" s="312"/>
      <c r="D4768" s="312"/>
      <c r="E4768" s="312"/>
      <c r="F4768" s="312"/>
      <c r="G4768" s="328"/>
      <c r="H4768" s="337"/>
      <c r="I4768" s="334"/>
      <c r="J4768" s="314"/>
      <c r="K4768" s="449"/>
      <c r="M4768" s="349" t="str">
        <f>N4768&amp;AS[[#This Row],[Insurer Code]]&amp;"; "&amp;O4768&amp;AS[[#This Row],[Reporting Year]]&amp;"; "&amp;P4768&amp;AS[[#This Row],[Insurance Category Code]]&amp;"; "&amp;Q4768&amp;AS[[#This Row],[Large Provider Entity Code]]&amp;"; "&amp;R4768&amp;AS[[#This Row],[Age Band Code]]&amp;"; "&amp;S4768&amp;AS[[#This Row],[Sex Code]]</f>
        <v xml:space="preserve">Insurer Code ; Reporting Year ; Insurance Category Code ; Large Provider Entity Code ; Age Band Code ; Sex Code </v>
      </c>
      <c r="N4768" s="345" t="s">
        <v>207</v>
      </c>
      <c r="O4768" s="345" t="s">
        <v>208</v>
      </c>
      <c r="P4768" s="345" t="s">
        <v>209</v>
      </c>
      <c r="Q4768" s="345" t="s">
        <v>210</v>
      </c>
      <c r="R4768" s="345" t="s">
        <v>223</v>
      </c>
      <c r="S4768" s="345" t="s">
        <v>224</v>
      </c>
    </row>
    <row r="4769" spans="1:19" x14ac:dyDescent="0.25">
      <c r="A4769" s="311"/>
      <c r="B4769" s="312"/>
      <c r="C4769" s="312"/>
      <c r="D4769" s="312"/>
      <c r="E4769" s="312"/>
      <c r="F4769" s="312"/>
      <c r="G4769" s="328"/>
      <c r="H4769" s="337"/>
      <c r="I4769" s="334"/>
      <c r="J4769" s="314"/>
      <c r="K4769" s="449"/>
      <c r="M4769" s="349" t="str">
        <f>N4769&amp;AS[[#This Row],[Insurer Code]]&amp;"; "&amp;O4769&amp;AS[[#This Row],[Reporting Year]]&amp;"; "&amp;P4769&amp;AS[[#This Row],[Insurance Category Code]]&amp;"; "&amp;Q4769&amp;AS[[#This Row],[Large Provider Entity Code]]&amp;"; "&amp;R4769&amp;AS[[#This Row],[Age Band Code]]&amp;"; "&amp;S4769&amp;AS[[#This Row],[Sex Code]]</f>
        <v xml:space="preserve">Insurer Code ; Reporting Year ; Insurance Category Code ; Large Provider Entity Code ; Age Band Code ; Sex Code </v>
      </c>
      <c r="N4769" s="345" t="s">
        <v>207</v>
      </c>
      <c r="O4769" s="345" t="s">
        <v>208</v>
      </c>
      <c r="P4769" s="345" t="s">
        <v>209</v>
      </c>
      <c r="Q4769" s="345" t="s">
        <v>210</v>
      </c>
      <c r="R4769" s="345" t="s">
        <v>223</v>
      </c>
      <c r="S4769" s="345" t="s">
        <v>224</v>
      </c>
    </row>
    <row r="4770" spans="1:19" x14ac:dyDescent="0.25">
      <c r="A4770" s="311"/>
      <c r="B4770" s="312"/>
      <c r="C4770" s="312"/>
      <c r="D4770" s="312"/>
      <c r="E4770" s="312"/>
      <c r="F4770" s="312"/>
      <c r="G4770" s="328"/>
      <c r="H4770" s="337"/>
      <c r="I4770" s="334"/>
      <c r="J4770" s="314"/>
      <c r="K4770" s="449"/>
      <c r="M4770" s="349" t="str">
        <f>N4770&amp;AS[[#This Row],[Insurer Code]]&amp;"; "&amp;O4770&amp;AS[[#This Row],[Reporting Year]]&amp;"; "&amp;P4770&amp;AS[[#This Row],[Insurance Category Code]]&amp;"; "&amp;Q4770&amp;AS[[#This Row],[Large Provider Entity Code]]&amp;"; "&amp;R4770&amp;AS[[#This Row],[Age Band Code]]&amp;"; "&amp;S4770&amp;AS[[#This Row],[Sex Code]]</f>
        <v xml:space="preserve">Insurer Code ; Reporting Year ; Insurance Category Code ; Large Provider Entity Code ; Age Band Code ; Sex Code </v>
      </c>
      <c r="N4770" s="345" t="s">
        <v>207</v>
      </c>
      <c r="O4770" s="345" t="s">
        <v>208</v>
      </c>
      <c r="P4770" s="345" t="s">
        <v>209</v>
      </c>
      <c r="Q4770" s="345" t="s">
        <v>210</v>
      </c>
      <c r="R4770" s="345" t="s">
        <v>223</v>
      </c>
      <c r="S4770" s="345" t="s">
        <v>224</v>
      </c>
    </row>
    <row r="4771" spans="1:19" x14ac:dyDescent="0.25">
      <c r="A4771" s="311"/>
      <c r="B4771" s="312"/>
      <c r="C4771" s="312"/>
      <c r="D4771" s="312"/>
      <c r="E4771" s="312"/>
      <c r="F4771" s="312"/>
      <c r="G4771" s="328"/>
      <c r="H4771" s="337"/>
      <c r="I4771" s="334"/>
      <c r="J4771" s="314"/>
      <c r="K4771" s="449"/>
      <c r="M4771" s="349" t="str">
        <f>N4771&amp;AS[[#This Row],[Insurer Code]]&amp;"; "&amp;O4771&amp;AS[[#This Row],[Reporting Year]]&amp;"; "&amp;P4771&amp;AS[[#This Row],[Insurance Category Code]]&amp;"; "&amp;Q4771&amp;AS[[#This Row],[Large Provider Entity Code]]&amp;"; "&amp;R4771&amp;AS[[#This Row],[Age Band Code]]&amp;"; "&amp;S4771&amp;AS[[#This Row],[Sex Code]]</f>
        <v xml:space="preserve">Insurer Code ; Reporting Year ; Insurance Category Code ; Large Provider Entity Code ; Age Band Code ; Sex Code </v>
      </c>
      <c r="N4771" s="345" t="s">
        <v>207</v>
      </c>
      <c r="O4771" s="345" t="s">
        <v>208</v>
      </c>
      <c r="P4771" s="345" t="s">
        <v>209</v>
      </c>
      <c r="Q4771" s="345" t="s">
        <v>210</v>
      </c>
      <c r="R4771" s="345" t="s">
        <v>223</v>
      </c>
      <c r="S4771" s="345" t="s">
        <v>224</v>
      </c>
    </row>
    <row r="4772" spans="1:19" x14ac:dyDescent="0.25">
      <c r="A4772" s="311"/>
      <c r="B4772" s="312"/>
      <c r="C4772" s="312"/>
      <c r="D4772" s="312"/>
      <c r="E4772" s="312"/>
      <c r="F4772" s="312"/>
      <c r="G4772" s="328"/>
      <c r="H4772" s="337"/>
      <c r="I4772" s="334"/>
      <c r="J4772" s="314"/>
      <c r="K4772" s="449"/>
      <c r="M4772" s="349" t="str">
        <f>N4772&amp;AS[[#This Row],[Insurer Code]]&amp;"; "&amp;O4772&amp;AS[[#This Row],[Reporting Year]]&amp;"; "&amp;P4772&amp;AS[[#This Row],[Insurance Category Code]]&amp;"; "&amp;Q4772&amp;AS[[#This Row],[Large Provider Entity Code]]&amp;"; "&amp;R4772&amp;AS[[#This Row],[Age Band Code]]&amp;"; "&amp;S4772&amp;AS[[#This Row],[Sex Code]]</f>
        <v xml:space="preserve">Insurer Code ; Reporting Year ; Insurance Category Code ; Large Provider Entity Code ; Age Band Code ; Sex Code </v>
      </c>
      <c r="N4772" s="345" t="s">
        <v>207</v>
      </c>
      <c r="O4772" s="345" t="s">
        <v>208</v>
      </c>
      <c r="P4772" s="345" t="s">
        <v>209</v>
      </c>
      <c r="Q4772" s="345" t="s">
        <v>210</v>
      </c>
      <c r="R4772" s="345" t="s">
        <v>223</v>
      </c>
      <c r="S4772" s="345" t="s">
        <v>224</v>
      </c>
    </row>
    <row r="4773" spans="1:19" x14ac:dyDescent="0.25">
      <c r="A4773" s="311"/>
      <c r="B4773" s="312"/>
      <c r="C4773" s="312"/>
      <c r="D4773" s="312"/>
      <c r="E4773" s="312"/>
      <c r="F4773" s="312"/>
      <c r="G4773" s="328"/>
      <c r="H4773" s="337"/>
      <c r="I4773" s="334"/>
      <c r="J4773" s="314"/>
      <c r="K4773" s="449"/>
      <c r="M4773" s="349" t="str">
        <f>N4773&amp;AS[[#This Row],[Insurer Code]]&amp;"; "&amp;O4773&amp;AS[[#This Row],[Reporting Year]]&amp;"; "&amp;P4773&amp;AS[[#This Row],[Insurance Category Code]]&amp;"; "&amp;Q4773&amp;AS[[#This Row],[Large Provider Entity Code]]&amp;"; "&amp;R4773&amp;AS[[#This Row],[Age Band Code]]&amp;"; "&amp;S4773&amp;AS[[#This Row],[Sex Code]]</f>
        <v xml:space="preserve">Insurer Code ; Reporting Year ; Insurance Category Code ; Large Provider Entity Code ; Age Band Code ; Sex Code </v>
      </c>
      <c r="N4773" s="345" t="s">
        <v>207</v>
      </c>
      <c r="O4773" s="345" t="s">
        <v>208</v>
      </c>
      <c r="P4773" s="345" t="s">
        <v>209</v>
      </c>
      <c r="Q4773" s="345" t="s">
        <v>210</v>
      </c>
      <c r="R4773" s="345" t="s">
        <v>223</v>
      </c>
      <c r="S4773" s="345" t="s">
        <v>224</v>
      </c>
    </row>
    <row r="4774" spans="1:19" x14ac:dyDescent="0.25">
      <c r="A4774" s="311"/>
      <c r="B4774" s="312"/>
      <c r="C4774" s="312"/>
      <c r="D4774" s="312"/>
      <c r="E4774" s="312"/>
      <c r="F4774" s="312"/>
      <c r="G4774" s="328"/>
      <c r="H4774" s="337"/>
      <c r="I4774" s="334"/>
      <c r="J4774" s="314"/>
      <c r="K4774" s="449"/>
      <c r="M4774" s="349" t="str">
        <f>N4774&amp;AS[[#This Row],[Insurer Code]]&amp;"; "&amp;O4774&amp;AS[[#This Row],[Reporting Year]]&amp;"; "&amp;P4774&amp;AS[[#This Row],[Insurance Category Code]]&amp;"; "&amp;Q4774&amp;AS[[#This Row],[Large Provider Entity Code]]&amp;"; "&amp;R4774&amp;AS[[#This Row],[Age Band Code]]&amp;"; "&amp;S4774&amp;AS[[#This Row],[Sex Code]]</f>
        <v xml:space="preserve">Insurer Code ; Reporting Year ; Insurance Category Code ; Large Provider Entity Code ; Age Band Code ; Sex Code </v>
      </c>
      <c r="N4774" s="345" t="s">
        <v>207</v>
      </c>
      <c r="O4774" s="345" t="s">
        <v>208</v>
      </c>
      <c r="P4774" s="345" t="s">
        <v>209</v>
      </c>
      <c r="Q4774" s="345" t="s">
        <v>210</v>
      </c>
      <c r="R4774" s="345" t="s">
        <v>223</v>
      </c>
      <c r="S4774" s="345" t="s">
        <v>224</v>
      </c>
    </row>
    <row r="4775" spans="1:19" x14ac:dyDescent="0.25">
      <c r="A4775" s="311"/>
      <c r="B4775" s="312"/>
      <c r="C4775" s="312"/>
      <c r="D4775" s="312"/>
      <c r="E4775" s="312"/>
      <c r="F4775" s="312"/>
      <c r="G4775" s="328"/>
      <c r="H4775" s="337"/>
      <c r="I4775" s="334"/>
      <c r="J4775" s="314"/>
      <c r="K4775" s="449"/>
      <c r="M4775" s="349" t="str">
        <f>N4775&amp;AS[[#This Row],[Insurer Code]]&amp;"; "&amp;O4775&amp;AS[[#This Row],[Reporting Year]]&amp;"; "&amp;P4775&amp;AS[[#This Row],[Insurance Category Code]]&amp;"; "&amp;Q4775&amp;AS[[#This Row],[Large Provider Entity Code]]&amp;"; "&amp;R4775&amp;AS[[#This Row],[Age Band Code]]&amp;"; "&amp;S4775&amp;AS[[#This Row],[Sex Code]]</f>
        <v xml:space="preserve">Insurer Code ; Reporting Year ; Insurance Category Code ; Large Provider Entity Code ; Age Band Code ; Sex Code </v>
      </c>
      <c r="N4775" s="345" t="s">
        <v>207</v>
      </c>
      <c r="O4775" s="345" t="s">
        <v>208</v>
      </c>
      <c r="P4775" s="345" t="s">
        <v>209</v>
      </c>
      <c r="Q4775" s="345" t="s">
        <v>210</v>
      </c>
      <c r="R4775" s="345" t="s">
        <v>223</v>
      </c>
      <c r="S4775" s="345" t="s">
        <v>224</v>
      </c>
    </row>
    <row r="4776" spans="1:19" x14ac:dyDescent="0.25">
      <c r="A4776" s="311"/>
      <c r="B4776" s="312"/>
      <c r="C4776" s="312"/>
      <c r="D4776" s="312"/>
      <c r="E4776" s="312"/>
      <c r="F4776" s="312"/>
      <c r="G4776" s="328"/>
      <c r="H4776" s="337"/>
      <c r="I4776" s="334"/>
      <c r="J4776" s="314"/>
      <c r="K4776" s="449"/>
      <c r="M4776" s="349" t="str">
        <f>N4776&amp;AS[[#This Row],[Insurer Code]]&amp;"; "&amp;O4776&amp;AS[[#This Row],[Reporting Year]]&amp;"; "&amp;P4776&amp;AS[[#This Row],[Insurance Category Code]]&amp;"; "&amp;Q4776&amp;AS[[#This Row],[Large Provider Entity Code]]&amp;"; "&amp;R4776&amp;AS[[#This Row],[Age Band Code]]&amp;"; "&amp;S4776&amp;AS[[#This Row],[Sex Code]]</f>
        <v xml:space="preserve">Insurer Code ; Reporting Year ; Insurance Category Code ; Large Provider Entity Code ; Age Band Code ; Sex Code </v>
      </c>
      <c r="N4776" s="345" t="s">
        <v>207</v>
      </c>
      <c r="O4776" s="345" t="s">
        <v>208</v>
      </c>
      <c r="P4776" s="345" t="s">
        <v>209</v>
      </c>
      <c r="Q4776" s="345" t="s">
        <v>210</v>
      </c>
      <c r="R4776" s="345" t="s">
        <v>223</v>
      </c>
      <c r="S4776" s="345" t="s">
        <v>224</v>
      </c>
    </row>
    <row r="4777" spans="1:19" x14ac:dyDescent="0.25">
      <c r="A4777" s="311"/>
      <c r="B4777" s="312"/>
      <c r="C4777" s="312"/>
      <c r="D4777" s="312"/>
      <c r="E4777" s="312"/>
      <c r="F4777" s="312"/>
      <c r="G4777" s="328"/>
      <c r="H4777" s="337"/>
      <c r="I4777" s="334"/>
      <c r="J4777" s="314"/>
      <c r="K4777" s="449"/>
      <c r="M4777" s="349" t="str">
        <f>N4777&amp;AS[[#This Row],[Insurer Code]]&amp;"; "&amp;O4777&amp;AS[[#This Row],[Reporting Year]]&amp;"; "&amp;P4777&amp;AS[[#This Row],[Insurance Category Code]]&amp;"; "&amp;Q4777&amp;AS[[#This Row],[Large Provider Entity Code]]&amp;"; "&amp;R4777&amp;AS[[#This Row],[Age Band Code]]&amp;"; "&amp;S4777&amp;AS[[#This Row],[Sex Code]]</f>
        <v xml:space="preserve">Insurer Code ; Reporting Year ; Insurance Category Code ; Large Provider Entity Code ; Age Band Code ; Sex Code </v>
      </c>
      <c r="N4777" s="345" t="s">
        <v>207</v>
      </c>
      <c r="O4777" s="345" t="s">
        <v>208</v>
      </c>
      <c r="P4777" s="345" t="s">
        <v>209</v>
      </c>
      <c r="Q4777" s="345" t="s">
        <v>210</v>
      </c>
      <c r="R4777" s="345" t="s">
        <v>223</v>
      </c>
      <c r="S4777" s="345" t="s">
        <v>224</v>
      </c>
    </row>
    <row r="4778" spans="1:19" x14ac:dyDescent="0.25">
      <c r="A4778" s="311"/>
      <c r="B4778" s="312"/>
      <c r="C4778" s="312"/>
      <c r="D4778" s="312"/>
      <c r="E4778" s="312"/>
      <c r="F4778" s="312"/>
      <c r="G4778" s="328"/>
      <c r="H4778" s="337"/>
      <c r="I4778" s="334"/>
      <c r="J4778" s="314"/>
      <c r="K4778" s="449"/>
      <c r="M4778" s="349" t="str">
        <f>N4778&amp;AS[[#This Row],[Insurer Code]]&amp;"; "&amp;O4778&amp;AS[[#This Row],[Reporting Year]]&amp;"; "&amp;P4778&amp;AS[[#This Row],[Insurance Category Code]]&amp;"; "&amp;Q4778&amp;AS[[#This Row],[Large Provider Entity Code]]&amp;"; "&amp;R4778&amp;AS[[#This Row],[Age Band Code]]&amp;"; "&amp;S4778&amp;AS[[#This Row],[Sex Code]]</f>
        <v xml:space="preserve">Insurer Code ; Reporting Year ; Insurance Category Code ; Large Provider Entity Code ; Age Band Code ; Sex Code </v>
      </c>
      <c r="N4778" s="345" t="s">
        <v>207</v>
      </c>
      <c r="O4778" s="345" t="s">
        <v>208</v>
      </c>
      <c r="P4778" s="345" t="s">
        <v>209</v>
      </c>
      <c r="Q4778" s="345" t="s">
        <v>210</v>
      </c>
      <c r="R4778" s="345" t="s">
        <v>223</v>
      </c>
      <c r="S4778" s="345" t="s">
        <v>224</v>
      </c>
    </row>
    <row r="4779" spans="1:19" x14ac:dyDescent="0.25">
      <c r="A4779" s="311"/>
      <c r="B4779" s="312"/>
      <c r="C4779" s="312"/>
      <c r="D4779" s="312"/>
      <c r="E4779" s="312"/>
      <c r="F4779" s="312"/>
      <c r="G4779" s="328"/>
      <c r="H4779" s="337"/>
      <c r="I4779" s="334"/>
      <c r="J4779" s="314"/>
      <c r="K4779" s="449"/>
      <c r="M4779" s="349" t="str">
        <f>N4779&amp;AS[[#This Row],[Insurer Code]]&amp;"; "&amp;O4779&amp;AS[[#This Row],[Reporting Year]]&amp;"; "&amp;P4779&amp;AS[[#This Row],[Insurance Category Code]]&amp;"; "&amp;Q4779&amp;AS[[#This Row],[Large Provider Entity Code]]&amp;"; "&amp;R4779&amp;AS[[#This Row],[Age Band Code]]&amp;"; "&amp;S4779&amp;AS[[#This Row],[Sex Code]]</f>
        <v xml:space="preserve">Insurer Code ; Reporting Year ; Insurance Category Code ; Large Provider Entity Code ; Age Band Code ; Sex Code </v>
      </c>
      <c r="N4779" s="345" t="s">
        <v>207</v>
      </c>
      <c r="O4779" s="345" t="s">
        <v>208</v>
      </c>
      <c r="P4779" s="345" t="s">
        <v>209</v>
      </c>
      <c r="Q4779" s="345" t="s">
        <v>210</v>
      </c>
      <c r="R4779" s="345" t="s">
        <v>223</v>
      </c>
      <c r="S4779" s="345" t="s">
        <v>224</v>
      </c>
    </row>
    <row r="4780" spans="1:19" x14ac:dyDescent="0.25">
      <c r="A4780" s="311"/>
      <c r="B4780" s="312"/>
      <c r="C4780" s="312"/>
      <c r="D4780" s="312"/>
      <c r="E4780" s="312"/>
      <c r="F4780" s="312"/>
      <c r="G4780" s="328"/>
      <c r="H4780" s="337"/>
      <c r="I4780" s="334"/>
      <c r="J4780" s="314"/>
      <c r="K4780" s="449"/>
      <c r="M4780" s="349" t="str">
        <f>N4780&amp;AS[[#This Row],[Insurer Code]]&amp;"; "&amp;O4780&amp;AS[[#This Row],[Reporting Year]]&amp;"; "&amp;P4780&amp;AS[[#This Row],[Insurance Category Code]]&amp;"; "&amp;Q4780&amp;AS[[#This Row],[Large Provider Entity Code]]&amp;"; "&amp;R4780&amp;AS[[#This Row],[Age Band Code]]&amp;"; "&amp;S4780&amp;AS[[#This Row],[Sex Code]]</f>
        <v xml:space="preserve">Insurer Code ; Reporting Year ; Insurance Category Code ; Large Provider Entity Code ; Age Band Code ; Sex Code </v>
      </c>
      <c r="N4780" s="345" t="s">
        <v>207</v>
      </c>
      <c r="O4780" s="345" t="s">
        <v>208</v>
      </c>
      <c r="P4780" s="345" t="s">
        <v>209</v>
      </c>
      <c r="Q4780" s="345" t="s">
        <v>210</v>
      </c>
      <c r="R4780" s="345" t="s">
        <v>223</v>
      </c>
      <c r="S4780" s="345" t="s">
        <v>224</v>
      </c>
    </row>
    <row r="4781" spans="1:19" x14ac:dyDescent="0.25">
      <c r="A4781" s="311"/>
      <c r="B4781" s="312"/>
      <c r="C4781" s="312"/>
      <c r="D4781" s="312"/>
      <c r="E4781" s="312"/>
      <c r="F4781" s="312"/>
      <c r="G4781" s="328"/>
      <c r="H4781" s="337"/>
      <c r="I4781" s="334"/>
      <c r="J4781" s="314"/>
      <c r="K4781" s="449"/>
      <c r="M4781" s="349" t="str">
        <f>N4781&amp;AS[[#This Row],[Insurer Code]]&amp;"; "&amp;O4781&amp;AS[[#This Row],[Reporting Year]]&amp;"; "&amp;P4781&amp;AS[[#This Row],[Insurance Category Code]]&amp;"; "&amp;Q4781&amp;AS[[#This Row],[Large Provider Entity Code]]&amp;"; "&amp;R4781&amp;AS[[#This Row],[Age Band Code]]&amp;"; "&amp;S4781&amp;AS[[#This Row],[Sex Code]]</f>
        <v xml:space="preserve">Insurer Code ; Reporting Year ; Insurance Category Code ; Large Provider Entity Code ; Age Band Code ; Sex Code </v>
      </c>
      <c r="N4781" s="345" t="s">
        <v>207</v>
      </c>
      <c r="O4781" s="345" t="s">
        <v>208</v>
      </c>
      <c r="P4781" s="345" t="s">
        <v>209</v>
      </c>
      <c r="Q4781" s="345" t="s">
        <v>210</v>
      </c>
      <c r="R4781" s="345" t="s">
        <v>223</v>
      </c>
      <c r="S4781" s="345" t="s">
        <v>224</v>
      </c>
    </row>
    <row r="4782" spans="1:19" x14ac:dyDescent="0.25">
      <c r="A4782" s="311"/>
      <c r="B4782" s="312"/>
      <c r="C4782" s="312"/>
      <c r="D4782" s="312"/>
      <c r="E4782" s="312"/>
      <c r="F4782" s="312"/>
      <c r="G4782" s="328"/>
      <c r="H4782" s="337"/>
      <c r="I4782" s="334"/>
      <c r="J4782" s="314"/>
      <c r="K4782" s="449"/>
      <c r="M4782" s="349" t="str">
        <f>N4782&amp;AS[[#This Row],[Insurer Code]]&amp;"; "&amp;O4782&amp;AS[[#This Row],[Reporting Year]]&amp;"; "&amp;P4782&amp;AS[[#This Row],[Insurance Category Code]]&amp;"; "&amp;Q4782&amp;AS[[#This Row],[Large Provider Entity Code]]&amp;"; "&amp;R4782&amp;AS[[#This Row],[Age Band Code]]&amp;"; "&amp;S4782&amp;AS[[#This Row],[Sex Code]]</f>
        <v xml:space="preserve">Insurer Code ; Reporting Year ; Insurance Category Code ; Large Provider Entity Code ; Age Band Code ; Sex Code </v>
      </c>
      <c r="N4782" s="345" t="s">
        <v>207</v>
      </c>
      <c r="O4782" s="345" t="s">
        <v>208</v>
      </c>
      <c r="P4782" s="345" t="s">
        <v>209</v>
      </c>
      <c r="Q4782" s="345" t="s">
        <v>210</v>
      </c>
      <c r="R4782" s="345" t="s">
        <v>223</v>
      </c>
      <c r="S4782" s="345" t="s">
        <v>224</v>
      </c>
    </row>
    <row r="4783" spans="1:19" x14ac:dyDescent="0.25">
      <c r="A4783" s="311"/>
      <c r="B4783" s="312"/>
      <c r="C4783" s="312"/>
      <c r="D4783" s="312"/>
      <c r="E4783" s="312"/>
      <c r="F4783" s="312"/>
      <c r="G4783" s="328"/>
      <c r="H4783" s="337"/>
      <c r="I4783" s="334"/>
      <c r="J4783" s="314"/>
      <c r="K4783" s="449"/>
      <c r="M4783" s="349" t="str">
        <f>N4783&amp;AS[[#This Row],[Insurer Code]]&amp;"; "&amp;O4783&amp;AS[[#This Row],[Reporting Year]]&amp;"; "&amp;P4783&amp;AS[[#This Row],[Insurance Category Code]]&amp;"; "&amp;Q4783&amp;AS[[#This Row],[Large Provider Entity Code]]&amp;"; "&amp;R4783&amp;AS[[#This Row],[Age Band Code]]&amp;"; "&amp;S4783&amp;AS[[#This Row],[Sex Code]]</f>
        <v xml:space="preserve">Insurer Code ; Reporting Year ; Insurance Category Code ; Large Provider Entity Code ; Age Band Code ; Sex Code </v>
      </c>
      <c r="N4783" s="345" t="s">
        <v>207</v>
      </c>
      <c r="O4783" s="345" t="s">
        <v>208</v>
      </c>
      <c r="P4783" s="345" t="s">
        <v>209</v>
      </c>
      <c r="Q4783" s="345" t="s">
        <v>210</v>
      </c>
      <c r="R4783" s="345" t="s">
        <v>223</v>
      </c>
      <c r="S4783" s="345" t="s">
        <v>224</v>
      </c>
    </row>
    <row r="4784" spans="1:19" x14ac:dyDescent="0.25">
      <c r="A4784" s="311"/>
      <c r="B4784" s="312"/>
      <c r="C4784" s="312"/>
      <c r="D4784" s="312"/>
      <c r="E4784" s="312"/>
      <c r="F4784" s="312"/>
      <c r="G4784" s="328"/>
      <c r="H4784" s="337"/>
      <c r="I4784" s="334"/>
      <c r="J4784" s="314"/>
      <c r="K4784" s="449"/>
      <c r="M4784" s="349" t="str">
        <f>N4784&amp;AS[[#This Row],[Insurer Code]]&amp;"; "&amp;O4784&amp;AS[[#This Row],[Reporting Year]]&amp;"; "&amp;P4784&amp;AS[[#This Row],[Insurance Category Code]]&amp;"; "&amp;Q4784&amp;AS[[#This Row],[Large Provider Entity Code]]&amp;"; "&amp;R4784&amp;AS[[#This Row],[Age Band Code]]&amp;"; "&amp;S4784&amp;AS[[#This Row],[Sex Code]]</f>
        <v xml:space="preserve">Insurer Code ; Reporting Year ; Insurance Category Code ; Large Provider Entity Code ; Age Band Code ; Sex Code </v>
      </c>
      <c r="N4784" s="345" t="s">
        <v>207</v>
      </c>
      <c r="O4784" s="345" t="s">
        <v>208</v>
      </c>
      <c r="P4784" s="345" t="s">
        <v>209</v>
      </c>
      <c r="Q4784" s="345" t="s">
        <v>210</v>
      </c>
      <c r="R4784" s="345" t="s">
        <v>223</v>
      </c>
      <c r="S4784" s="345" t="s">
        <v>224</v>
      </c>
    </row>
    <row r="4785" spans="1:19" x14ac:dyDescent="0.25">
      <c r="A4785" s="311"/>
      <c r="B4785" s="312"/>
      <c r="C4785" s="312"/>
      <c r="D4785" s="312"/>
      <c r="E4785" s="312"/>
      <c r="F4785" s="312"/>
      <c r="G4785" s="328"/>
      <c r="H4785" s="337"/>
      <c r="I4785" s="334"/>
      <c r="J4785" s="314"/>
      <c r="K4785" s="449"/>
      <c r="M4785" s="349" t="str">
        <f>N4785&amp;AS[[#This Row],[Insurer Code]]&amp;"; "&amp;O4785&amp;AS[[#This Row],[Reporting Year]]&amp;"; "&amp;P4785&amp;AS[[#This Row],[Insurance Category Code]]&amp;"; "&amp;Q4785&amp;AS[[#This Row],[Large Provider Entity Code]]&amp;"; "&amp;R4785&amp;AS[[#This Row],[Age Band Code]]&amp;"; "&amp;S4785&amp;AS[[#This Row],[Sex Code]]</f>
        <v xml:space="preserve">Insurer Code ; Reporting Year ; Insurance Category Code ; Large Provider Entity Code ; Age Band Code ; Sex Code </v>
      </c>
      <c r="N4785" s="345" t="s">
        <v>207</v>
      </c>
      <c r="O4785" s="345" t="s">
        <v>208</v>
      </c>
      <c r="P4785" s="345" t="s">
        <v>209</v>
      </c>
      <c r="Q4785" s="345" t="s">
        <v>210</v>
      </c>
      <c r="R4785" s="345" t="s">
        <v>223</v>
      </c>
      <c r="S4785" s="345" t="s">
        <v>224</v>
      </c>
    </row>
    <row r="4786" spans="1:19" x14ac:dyDescent="0.25">
      <c r="A4786" s="311"/>
      <c r="B4786" s="312"/>
      <c r="C4786" s="312"/>
      <c r="D4786" s="312"/>
      <c r="E4786" s="312"/>
      <c r="F4786" s="312"/>
      <c r="G4786" s="328"/>
      <c r="H4786" s="337"/>
      <c r="I4786" s="334"/>
      <c r="J4786" s="314"/>
      <c r="K4786" s="449"/>
      <c r="M4786" s="349" t="str">
        <f>N4786&amp;AS[[#This Row],[Insurer Code]]&amp;"; "&amp;O4786&amp;AS[[#This Row],[Reporting Year]]&amp;"; "&amp;P4786&amp;AS[[#This Row],[Insurance Category Code]]&amp;"; "&amp;Q4786&amp;AS[[#This Row],[Large Provider Entity Code]]&amp;"; "&amp;R4786&amp;AS[[#This Row],[Age Band Code]]&amp;"; "&amp;S4786&amp;AS[[#This Row],[Sex Code]]</f>
        <v xml:space="preserve">Insurer Code ; Reporting Year ; Insurance Category Code ; Large Provider Entity Code ; Age Band Code ; Sex Code </v>
      </c>
      <c r="N4786" s="345" t="s">
        <v>207</v>
      </c>
      <c r="O4786" s="345" t="s">
        <v>208</v>
      </c>
      <c r="P4786" s="345" t="s">
        <v>209</v>
      </c>
      <c r="Q4786" s="345" t="s">
        <v>210</v>
      </c>
      <c r="R4786" s="345" t="s">
        <v>223</v>
      </c>
      <c r="S4786" s="345" t="s">
        <v>224</v>
      </c>
    </row>
    <row r="4787" spans="1:19" x14ac:dyDescent="0.25">
      <c r="A4787" s="311"/>
      <c r="B4787" s="312"/>
      <c r="C4787" s="312"/>
      <c r="D4787" s="312"/>
      <c r="E4787" s="312"/>
      <c r="F4787" s="312"/>
      <c r="G4787" s="328"/>
      <c r="H4787" s="337"/>
      <c r="I4787" s="334"/>
      <c r="J4787" s="314"/>
      <c r="K4787" s="449"/>
      <c r="M4787" s="349" t="str">
        <f>N4787&amp;AS[[#This Row],[Insurer Code]]&amp;"; "&amp;O4787&amp;AS[[#This Row],[Reporting Year]]&amp;"; "&amp;P4787&amp;AS[[#This Row],[Insurance Category Code]]&amp;"; "&amp;Q4787&amp;AS[[#This Row],[Large Provider Entity Code]]&amp;"; "&amp;R4787&amp;AS[[#This Row],[Age Band Code]]&amp;"; "&amp;S4787&amp;AS[[#This Row],[Sex Code]]</f>
        <v xml:space="preserve">Insurer Code ; Reporting Year ; Insurance Category Code ; Large Provider Entity Code ; Age Band Code ; Sex Code </v>
      </c>
      <c r="N4787" s="345" t="s">
        <v>207</v>
      </c>
      <c r="O4787" s="345" t="s">
        <v>208</v>
      </c>
      <c r="P4787" s="345" t="s">
        <v>209</v>
      </c>
      <c r="Q4787" s="345" t="s">
        <v>210</v>
      </c>
      <c r="R4787" s="345" t="s">
        <v>223</v>
      </c>
      <c r="S4787" s="345" t="s">
        <v>224</v>
      </c>
    </row>
    <row r="4788" spans="1:19" x14ac:dyDescent="0.25">
      <c r="A4788" s="311"/>
      <c r="B4788" s="312"/>
      <c r="C4788" s="312"/>
      <c r="D4788" s="312"/>
      <c r="E4788" s="312"/>
      <c r="F4788" s="312"/>
      <c r="G4788" s="328"/>
      <c r="H4788" s="337"/>
      <c r="I4788" s="334"/>
      <c r="J4788" s="314"/>
      <c r="K4788" s="449"/>
      <c r="M4788" s="349" t="str">
        <f>N4788&amp;AS[[#This Row],[Insurer Code]]&amp;"; "&amp;O4788&amp;AS[[#This Row],[Reporting Year]]&amp;"; "&amp;P4788&amp;AS[[#This Row],[Insurance Category Code]]&amp;"; "&amp;Q4788&amp;AS[[#This Row],[Large Provider Entity Code]]&amp;"; "&amp;R4788&amp;AS[[#This Row],[Age Band Code]]&amp;"; "&amp;S4788&amp;AS[[#This Row],[Sex Code]]</f>
        <v xml:space="preserve">Insurer Code ; Reporting Year ; Insurance Category Code ; Large Provider Entity Code ; Age Band Code ; Sex Code </v>
      </c>
      <c r="N4788" s="345" t="s">
        <v>207</v>
      </c>
      <c r="O4788" s="345" t="s">
        <v>208</v>
      </c>
      <c r="P4788" s="345" t="s">
        <v>209</v>
      </c>
      <c r="Q4788" s="345" t="s">
        <v>210</v>
      </c>
      <c r="R4788" s="345" t="s">
        <v>223</v>
      </c>
      <c r="S4788" s="345" t="s">
        <v>224</v>
      </c>
    </row>
    <row r="4789" spans="1:19" x14ac:dyDescent="0.25">
      <c r="A4789" s="311"/>
      <c r="B4789" s="312"/>
      <c r="C4789" s="312"/>
      <c r="D4789" s="312"/>
      <c r="E4789" s="312"/>
      <c r="F4789" s="312"/>
      <c r="G4789" s="328"/>
      <c r="H4789" s="337"/>
      <c r="I4789" s="334"/>
      <c r="J4789" s="314"/>
      <c r="K4789" s="449"/>
      <c r="M4789" s="349" t="str">
        <f>N4789&amp;AS[[#This Row],[Insurer Code]]&amp;"; "&amp;O4789&amp;AS[[#This Row],[Reporting Year]]&amp;"; "&amp;P4789&amp;AS[[#This Row],[Insurance Category Code]]&amp;"; "&amp;Q4789&amp;AS[[#This Row],[Large Provider Entity Code]]&amp;"; "&amp;R4789&amp;AS[[#This Row],[Age Band Code]]&amp;"; "&amp;S4789&amp;AS[[#This Row],[Sex Code]]</f>
        <v xml:space="preserve">Insurer Code ; Reporting Year ; Insurance Category Code ; Large Provider Entity Code ; Age Band Code ; Sex Code </v>
      </c>
      <c r="N4789" s="345" t="s">
        <v>207</v>
      </c>
      <c r="O4789" s="345" t="s">
        <v>208</v>
      </c>
      <c r="P4789" s="345" t="s">
        <v>209</v>
      </c>
      <c r="Q4789" s="345" t="s">
        <v>210</v>
      </c>
      <c r="R4789" s="345" t="s">
        <v>223</v>
      </c>
      <c r="S4789" s="345" t="s">
        <v>224</v>
      </c>
    </row>
    <row r="4790" spans="1:19" x14ac:dyDescent="0.25">
      <c r="A4790" s="311"/>
      <c r="B4790" s="312"/>
      <c r="C4790" s="312"/>
      <c r="D4790" s="312"/>
      <c r="E4790" s="312"/>
      <c r="F4790" s="312"/>
      <c r="G4790" s="328"/>
      <c r="H4790" s="337"/>
      <c r="I4790" s="334"/>
      <c r="J4790" s="314"/>
      <c r="K4790" s="449"/>
      <c r="M4790" s="349" t="str">
        <f>N4790&amp;AS[[#This Row],[Insurer Code]]&amp;"; "&amp;O4790&amp;AS[[#This Row],[Reporting Year]]&amp;"; "&amp;P4790&amp;AS[[#This Row],[Insurance Category Code]]&amp;"; "&amp;Q4790&amp;AS[[#This Row],[Large Provider Entity Code]]&amp;"; "&amp;R4790&amp;AS[[#This Row],[Age Band Code]]&amp;"; "&amp;S4790&amp;AS[[#This Row],[Sex Code]]</f>
        <v xml:space="preserve">Insurer Code ; Reporting Year ; Insurance Category Code ; Large Provider Entity Code ; Age Band Code ; Sex Code </v>
      </c>
      <c r="N4790" s="345" t="s">
        <v>207</v>
      </c>
      <c r="O4790" s="345" t="s">
        <v>208</v>
      </c>
      <c r="P4790" s="345" t="s">
        <v>209</v>
      </c>
      <c r="Q4790" s="345" t="s">
        <v>210</v>
      </c>
      <c r="R4790" s="345" t="s">
        <v>223</v>
      </c>
      <c r="S4790" s="345" t="s">
        <v>224</v>
      </c>
    </row>
    <row r="4791" spans="1:19" x14ac:dyDescent="0.25">
      <c r="A4791" s="311"/>
      <c r="B4791" s="312"/>
      <c r="C4791" s="312"/>
      <c r="D4791" s="312"/>
      <c r="E4791" s="312"/>
      <c r="F4791" s="312"/>
      <c r="G4791" s="328"/>
      <c r="H4791" s="337"/>
      <c r="I4791" s="334"/>
      <c r="J4791" s="314"/>
      <c r="K4791" s="449"/>
      <c r="M4791" s="349" t="str">
        <f>N4791&amp;AS[[#This Row],[Insurer Code]]&amp;"; "&amp;O4791&amp;AS[[#This Row],[Reporting Year]]&amp;"; "&amp;P4791&amp;AS[[#This Row],[Insurance Category Code]]&amp;"; "&amp;Q4791&amp;AS[[#This Row],[Large Provider Entity Code]]&amp;"; "&amp;R4791&amp;AS[[#This Row],[Age Band Code]]&amp;"; "&amp;S4791&amp;AS[[#This Row],[Sex Code]]</f>
        <v xml:space="preserve">Insurer Code ; Reporting Year ; Insurance Category Code ; Large Provider Entity Code ; Age Band Code ; Sex Code </v>
      </c>
      <c r="N4791" s="345" t="s">
        <v>207</v>
      </c>
      <c r="O4791" s="345" t="s">
        <v>208</v>
      </c>
      <c r="P4791" s="345" t="s">
        <v>209</v>
      </c>
      <c r="Q4791" s="345" t="s">
        <v>210</v>
      </c>
      <c r="R4791" s="345" t="s">
        <v>223</v>
      </c>
      <c r="S4791" s="345" t="s">
        <v>224</v>
      </c>
    </row>
    <row r="4792" spans="1:19" x14ac:dyDescent="0.25">
      <c r="A4792" s="311"/>
      <c r="B4792" s="312"/>
      <c r="C4792" s="312"/>
      <c r="D4792" s="312"/>
      <c r="E4792" s="312"/>
      <c r="F4792" s="312"/>
      <c r="G4792" s="328"/>
      <c r="H4792" s="337"/>
      <c r="I4792" s="334"/>
      <c r="J4792" s="314"/>
      <c r="K4792" s="449"/>
      <c r="M4792" s="349" t="str">
        <f>N4792&amp;AS[[#This Row],[Insurer Code]]&amp;"; "&amp;O4792&amp;AS[[#This Row],[Reporting Year]]&amp;"; "&amp;P4792&amp;AS[[#This Row],[Insurance Category Code]]&amp;"; "&amp;Q4792&amp;AS[[#This Row],[Large Provider Entity Code]]&amp;"; "&amp;R4792&amp;AS[[#This Row],[Age Band Code]]&amp;"; "&amp;S4792&amp;AS[[#This Row],[Sex Code]]</f>
        <v xml:space="preserve">Insurer Code ; Reporting Year ; Insurance Category Code ; Large Provider Entity Code ; Age Band Code ; Sex Code </v>
      </c>
      <c r="N4792" s="345" t="s">
        <v>207</v>
      </c>
      <c r="O4792" s="345" t="s">
        <v>208</v>
      </c>
      <c r="P4792" s="345" t="s">
        <v>209</v>
      </c>
      <c r="Q4792" s="345" t="s">
        <v>210</v>
      </c>
      <c r="R4792" s="345" t="s">
        <v>223</v>
      </c>
      <c r="S4792" s="345" t="s">
        <v>224</v>
      </c>
    </row>
    <row r="4793" spans="1:19" x14ac:dyDescent="0.25">
      <c r="A4793" s="311"/>
      <c r="B4793" s="312"/>
      <c r="C4793" s="312"/>
      <c r="D4793" s="312"/>
      <c r="E4793" s="312"/>
      <c r="F4793" s="312"/>
      <c r="G4793" s="328"/>
      <c r="H4793" s="337"/>
      <c r="I4793" s="334"/>
      <c r="J4793" s="314"/>
      <c r="K4793" s="449"/>
      <c r="M4793" s="349" t="str">
        <f>N4793&amp;AS[[#This Row],[Insurer Code]]&amp;"; "&amp;O4793&amp;AS[[#This Row],[Reporting Year]]&amp;"; "&amp;P4793&amp;AS[[#This Row],[Insurance Category Code]]&amp;"; "&amp;Q4793&amp;AS[[#This Row],[Large Provider Entity Code]]&amp;"; "&amp;R4793&amp;AS[[#This Row],[Age Band Code]]&amp;"; "&amp;S4793&amp;AS[[#This Row],[Sex Code]]</f>
        <v xml:space="preserve">Insurer Code ; Reporting Year ; Insurance Category Code ; Large Provider Entity Code ; Age Band Code ; Sex Code </v>
      </c>
      <c r="N4793" s="345" t="s">
        <v>207</v>
      </c>
      <c r="O4793" s="345" t="s">
        <v>208</v>
      </c>
      <c r="P4793" s="345" t="s">
        <v>209</v>
      </c>
      <c r="Q4793" s="345" t="s">
        <v>210</v>
      </c>
      <c r="R4793" s="345" t="s">
        <v>223</v>
      </c>
      <c r="S4793" s="345" t="s">
        <v>224</v>
      </c>
    </row>
    <row r="4794" spans="1:19" x14ac:dyDescent="0.25">
      <c r="A4794" s="311"/>
      <c r="B4794" s="312"/>
      <c r="C4794" s="312"/>
      <c r="D4794" s="312"/>
      <c r="E4794" s="312"/>
      <c r="F4794" s="312"/>
      <c r="G4794" s="328"/>
      <c r="H4794" s="337"/>
      <c r="I4794" s="334"/>
      <c r="J4794" s="314"/>
      <c r="K4794" s="449"/>
      <c r="M4794" s="349" t="str">
        <f>N4794&amp;AS[[#This Row],[Insurer Code]]&amp;"; "&amp;O4794&amp;AS[[#This Row],[Reporting Year]]&amp;"; "&amp;P4794&amp;AS[[#This Row],[Insurance Category Code]]&amp;"; "&amp;Q4794&amp;AS[[#This Row],[Large Provider Entity Code]]&amp;"; "&amp;R4794&amp;AS[[#This Row],[Age Band Code]]&amp;"; "&amp;S4794&amp;AS[[#This Row],[Sex Code]]</f>
        <v xml:space="preserve">Insurer Code ; Reporting Year ; Insurance Category Code ; Large Provider Entity Code ; Age Band Code ; Sex Code </v>
      </c>
      <c r="N4794" s="345" t="s">
        <v>207</v>
      </c>
      <c r="O4794" s="345" t="s">
        <v>208</v>
      </c>
      <c r="P4794" s="345" t="s">
        <v>209</v>
      </c>
      <c r="Q4794" s="345" t="s">
        <v>210</v>
      </c>
      <c r="R4794" s="345" t="s">
        <v>223</v>
      </c>
      <c r="S4794" s="345" t="s">
        <v>224</v>
      </c>
    </row>
    <row r="4795" spans="1:19" x14ac:dyDescent="0.25">
      <c r="A4795" s="311"/>
      <c r="B4795" s="312"/>
      <c r="C4795" s="312"/>
      <c r="D4795" s="312"/>
      <c r="E4795" s="312"/>
      <c r="F4795" s="312"/>
      <c r="G4795" s="328"/>
      <c r="H4795" s="337"/>
      <c r="I4795" s="334"/>
      <c r="J4795" s="314"/>
      <c r="K4795" s="449"/>
      <c r="M4795" s="349" t="str">
        <f>N4795&amp;AS[[#This Row],[Insurer Code]]&amp;"; "&amp;O4795&amp;AS[[#This Row],[Reporting Year]]&amp;"; "&amp;P4795&amp;AS[[#This Row],[Insurance Category Code]]&amp;"; "&amp;Q4795&amp;AS[[#This Row],[Large Provider Entity Code]]&amp;"; "&amp;R4795&amp;AS[[#This Row],[Age Band Code]]&amp;"; "&amp;S4795&amp;AS[[#This Row],[Sex Code]]</f>
        <v xml:space="preserve">Insurer Code ; Reporting Year ; Insurance Category Code ; Large Provider Entity Code ; Age Band Code ; Sex Code </v>
      </c>
      <c r="N4795" s="345" t="s">
        <v>207</v>
      </c>
      <c r="O4795" s="345" t="s">
        <v>208</v>
      </c>
      <c r="P4795" s="345" t="s">
        <v>209</v>
      </c>
      <c r="Q4795" s="345" t="s">
        <v>210</v>
      </c>
      <c r="R4795" s="345" t="s">
        <v>223</v>
      </c>
      <c r="S4795" s="345" t="s">
        <v>224</v>
      </c>
    </row>
    <row r="4796" spans="1:19" x14ac:dyDescent="0.25">
      <c r="A4796" s="311"/>
      <c r="B4796" s="312"/>
      <c r="C4796" s="312"/>
      <c r="D4796" s="312"/>
      <c r="E4796" s="312"/>
      <c r="F4796" s="312"/>
      <c r="G4796" s="328"/>
      <c r="H4796" s="337"/>
      <c r="I4796" s="334"/>
      <c r="J4796" s="314"/>
      <c r="K4796" s="449"/>
      <c r="M4796" s="349" t="str">
        <f>N4796&amp;AS[[#This Row],[Insurer Code]]&amp;"; "&amp;O4796&amp;AS[[#This Row],[Reporting Year]]&amp;"; "&amp;P4796&amp;AS[[#This Row],[Insurance Category Code]]&amp;"; "&amp;Q4796&amp;AS[[#This Row],[Large Provider Entity Code]]&amp;"; "&amp;R4796&amp;AS[[#This Row],[Age Band Code]]&amp;"; "&amp;S4796&amp;AS[[#This Row],[Sex Code]]</f>
        <v xml:space="preserve">Insurer Code ; Reporting Year ; Insurance Category Code ; Large Provider Entity Code ; Age Band Code ; Sex Code </v>
      </c>
      <c r="N4796" s="345" t="s">
        <v>207</v>
      </c>
      <c r="O4796" s="345" t="s">
        <v>208</v>
      </c>
      <c r="P4796" s="345" t="s">
        <v>209</v>
      </c>
      <c r="Q4796" s="345" t="s">
        <v>210</v>
      </c>
      <c r="R4796" s="345" t="s">
        <v>223</v>
      </c>
      <c r="S4796" s="345" t="s">
        <v>224</v>
      </c>
    </row>
    <row r="4797" spans="1:19" x14ac:dyDescent="0.25">
      <c r="A4797" s="311"/>
      <c r="B4797" s="312"/>
      <c r="C4797" s="312"/>
      <c r="D4797" s="312"/>
      <c r="E4797" s="312"/>
      <c r="F4797" s="312"/>
      <c r="G4797" s="328"/>
      <c r="H4797" s="337"/>
      <c r="I4797" s="334"/>
      <c r="J4797" s="314"/>
      <c r="K4797" s="449"/>
      <c r="M4797" s="349" t="str">
        <f>N4797&amp;AS[[#This Row],[Insurer Code]]&amp;"; "&amp;O4797&amp;AS[[#This Row],[Reporting Year]]&amp;"; "&amp;P4797&amp;AS[[#This Row],[Insurance Category Code]]&amp;"; "&amp;Q4797&amp;AS[[#This Row],[Large Provider Entity Code]]&amp;"; "&amp;R4797&amp;AS[[#This Row],[Age Band Code]]&amp;"; "&amp;S4797&amp;AS[[#This Row],[Sex Code]]</f>
        <v xml:space="preserve">Insurer Code ; Reporting Year ; Insurance Category Code ; Large Provider Entity Code ; Age Band Code ; Sex Code </v>
      </c>
      <c r="N4797" s="345" t="s">
        <v>207</v>
      </c>
      <c r="O4797" s="345" t="s">
        <v>208</v>
      </c>
      <c r="P4797" s="345" t="s">
        <v>209</v>
      </c>
      <c r="Q4797" s="345" t="s">
        <v>210</v>
      </c>
      <c r="R4797" s="345" t="s">
        <v>223</v>
      </c>
      <c r="S4797" s="345" t="s">
        <v>224</v>
      </c>
    </row>
    <row r="4798" spans="1:19" x14ac:dyDescent="0.25">
      <c r="A4798" s="311"/>
      <c r="B4798" s="312"/>
      <c r="C4798" s="312"/>
      <c r="D4798" s="312"/>
      <c r="E4798" s="312"/>
      <c r="F4798" s="312"/>
      <c r="G4798" s="328"/>
      <c r="H4798" s="337"/>
      <c r="I4798" s="334"/>
      <c r="J4798" s="314"/>
      <c r="K4798" s="449"/>
      <c r="M4798" s="349" t="str">
        <f>N4798&amp;AS[[#This Row],[Insurer Code]]&amp;"; "&amp;O4798&amp;AS[[#This Row],[Reporting Year]]&amp;"; "&amp;P4798&amp;AS[[#This Row],[Insurance Category Code]]&amp;"; "&amp;Q4798&amp;AS[[#This Row],[Large Provider Entity Code]]&amp;"; "&amp;R4798&amp;AS[[#This Row],[Age Band Code]]&amp;"; "&amp;S4798&amp;AS[[#This Row],[Sex Code]]</f>
        <v xml:space="preserve">Insurer Code ; Reporting Year ; Insurance Category Code ; Large Provider Entity Code ; Age Band Code ; Sex Code </v>
      </c>
      <c r="N4798" s="345" t="s">
        <v>207</v>
      </c>
      <c r="O4798" s="345" t="s">
        <v>208</v>
      </c>
      <c r="P4798" s="345" t="s">
        <v>209</v>
      </c>
      <c r="Q4798" s="345" t="s">
        <v>210</v>
      </c>
      <c r="R4798" s="345" t="s">
        <v>223</v>
      </c>
      <c r="S4798" s="345" t="s">
        <v>224</v>
      </c>
    </row>
    <row r="4799" spans="1:19" x14ac:dyDescent="0.25">
      <c r="A4799" s="311"/>
      <c r="B4799" s="312"/>
      <c r="C4799" s="312"/>
      <c r="D4799" s="312"/>
      <c r="E4799" s="312"/>
      <c r="F4799" s="312"/>
      <c r="G4799" s="328"/>
      <c r="H4799" s="337"/>
      <c r="I4799" s="334"/>
      <c r="J4799" s="314"/>
      <c r="K4799" s="449"/>
      <c r="M4799" s="349" t="str">
        <f>N4799&amp;AS[[#This Row],[Insurer Code]]&amp;"; "&amp;O4799&amp;AS[[#This Row],[Reporting Year]]&amp;"; "&amp;P4799&amp;AS[[#This Row],[Insurance Category Code]]&amp;"; "&amp;Q4799&amp;AS[[#This Row],[Large Provider Entity Code]]&amp;"; "&amp;R4799&amp;AS[[#This Row],[Age Band Code]]&amp;"; "&amp;S4799&amp;AS[[#This Row],[Sex Code]]</f>
        <v xml:space="preserve">Insurer Code ; Reporting Year ; Insurance Category Code ; Large Provider Entity Code ; Age Band Code ; Sex Code </v>
      </c>
      <c r="N4799" s="345" t="s">
        <v>207</v>
      </c>
      <c r="O4799" s="345" t="s">
        <v>208</v>
      </c>
      <c r="P4799" s="345" t="s">
        <v>209</v>
      </c>
      <c r="Q4799" s="345" t="s">
        <v>210</v>
      </c>
      <c r="R4799" s="345" t="s">
        <v>223</v>
      </c>
      <c r="S4799" s="345" t="s">
        <v>224</v>
      </c>
    </row>
    <row r="4800" spans="1:19" x14ac:dyDescent="0.25">
      <c r="A4800" s="311"/>
      <c r="B4800" s="312"/>
      <c r="C4800" s="312"/>
      <c r="D4800" s="312"/>
      <c r="E4800" s="312"/>
      <c r="F4800" s="312"/>
      <c r="G4800" s="328"/>
      <c r="H4800" s="337"/>
      <c r="I4800" s="334"/>
      <c r="J4800" s="314"/>
      <c r="K4800" s="449"/>
      <c r="M4800" s="349" t="str">
        <f>N4800&amp;AS[[#This Row],[Insurer Code]]&amp;"; "&amp;O4800&amp;AS[[#This Row],[Reporting Year]]&amp;"; "&amp;P4800&amp;AS[[#This Row],[Insurance Category Code]]&amp;"; "&amp;Q4800&amp;AS[[#This Row],[Large Provider Entity Code]]&amp;"; "&amp;R4800&amp;AS[[#This Row],[Age Band Code]]&amp;"; "&amp;S4800&amp;AS[[#This Row],[Sex Code]]</f>
        <v xml:space="preserve">Insurer Code ; Reporting Year ; Insurance Category Code ; Large Provider Entity Code ; Age Band Code ; Sex Code </v>
      </c>
      <c r="N4800" s="345" t="s">
        <v>207</v>
      </c>
      <c r="O4800" s="345" t="s">
        <v>208</v>
      </c>
      <c r="P4800" s="345" t="s">
        <v>209</v>
      </c>
      <c r="Q4800" s="345" t="s">
        <v>210</v>
      </c>
      <c r="R4800" s="345" t="s">
        <v>223</v>
      </c>
      <c r="S4800" s="345" t="s">
        <v>224</v>
      </c>
    </row>
    <row r="4801" spans="1:19" x14ac:dyDescent="0.25">
      <c r="A4801" s="311"/>
      <c r="B4801" s="312"/>
      <c r="C4801" s="312"/>
      <c r="D4801" s="312"/>
      <c r="E4801" s="312"/>
      <c r="F4801" s="312"/>
      <c r="G4801" s="328"/>
      <c r="H4801" s="337"/>
      <c r="I4801" s="334"/>
      <c r="J4801" s="314"/>
      <c r="K4801" s="449"/>
      <c r="M4801" s="349" t="str">
        <f>N4801&amp;AS[[#This Row],[Insurer Code]]&amp;"; "&amp;O4801&amp;AS[[#This Row],[Reporting Year]]&amp;"; "&amp;P4801&amp;AS[[#This Row],[Insurance Category Code]]&amp;"; "&amp;Q4801&amp;AS[[#This Row],[Large Provider Entity Code]]&amp;"; "&amp;R4801&amp;AS[[#This Row],[Age Band Code]]&amp;"; "&amp;S4801&amp;AS[[#This Row],[Sex Code]]</f>
        <v xml:space="preserve">Insurer Code ; Reporting Year ; Insurance Category Code ; Large Provider Entity Code ; Age Band Code ; Sex Code </v>
      </c>
      <c r="N4801" s="345" t="s">
        <v>207</v>
      </c>
      <c r="O4801" s="345" t="s">
        <v>208</v>
      </c>
      <c r="P4801" s="345" t="s">
        <v>209</v>
      </c>
      <c r="Q4801" s="345" t="s">
        <v>210</v>
      </c>
      <c r="R4801" s="345" t="s">
        <v>223</v>
      </c>
      <c r="S4801" s="345" t="s">
        <v>224</v>
      </c>
    </row>
    <row r="4802" spans="1:19" x14ac:dyDescent="0.25">
      <c r="A4802" s="311"/>
      <c r="B4802" s="312"/>
      <c r="C4802" s="312"/>
      <c r="D4802" s="312"/>
      <c r="E4802" s="312"/>
      <c r="F4802" s="312"/>
      <c r="G4802" s="328"/>
      <c r="H4802" s="337"/>
      <c r="I4802" s="334"/>
      <c r="J4802" s="314"/>
      <c r="K4802" s="449"/>
      <c r="M4802" s="349" t="str">
        <f>N4802&amp;AS[[#This Row],[Insurer Code]]&amp;"; "&amp;O4802&amp;AS[[#This Row],[Reporting Year]]&amp;"; "&amp;P4802&amp;AS[[#This Row],[Insurance Category Code]]&amp;"; "&amp;Q4802&amp;AS[[#This Row],[Large Provider Entity Code]]&amp;"; "&amp;R4802&amp;AS[[#This Row],[Age Band Code]]&amp;"; "&amp;S4802&amp;AS[[#This Row],[Sex Code]]</f>
        <v xml:space="preserve">Insurer Code ; Reporting Year ; Insurance Category Code ; Large Provider Entity Code ; Age Band Code ; Sex Code </v>
      </c>
      <c r="N4802" s="345" t="s">
        <v>207</v>
      </c>
      <c r="O4802" s="345" t="s">
        <v>208</v>
      </c>
      <c r="P4802" s="345" t="s">
        <v>209</v>
      </c>
      <c r="Q4802" s="345" t="s">
        <v>210</v>
      </c>
      <c r="R4802" s="345" t="s">
        <v>223</v>
      </c>
      <c r="S4802" s="345" t="s">
        <v>224</v>
      </c>
    </row>
    <row r="4803" spans="1:19" x14ac:dyDescent="0.25">
      <c r="A4803" s="311"/>
      <c r="B4803" s="312"/>
      <c r="C4803" s="312"/>
      <c r="D4803" s="312"/>
      <c r="E4803" s="312"/>
      <c r="F4803" s="312"/>
      <c r="G4803" s="328"/>
      <c r="H4803" s="337"/>
      <c r="I4803" s="334"/>
      <c r="J4803" s="314"/>
      <c r="K4803" s="449"/>
      <c r="M4803" s="349" t="str">
        <f>N4803&amp;AS[[#This Row],[Insurer Code]]&amp;"; "&amp;O4803&amp;AS[[#This Row],[Reporting Year]]&amp;"; "&amp;P4803&amp;AS[[#This Row],[Insurance Category Code]]&amp;"; "&amp;Q4803&amp;AS[[#This Row],[Large Provider Entity Code]]&amp;"; "&amp;R4803&amp;AS[[#This Row],[Age Band Code]]&amp;"; "&amp;S4803&amp;AS[[#This Row],[Sex Code]]</f>
        <v xml:space="preserve">Insurer Code ; Reporting Year ; Insurance Category Code ; Large Provider Entity Code ; Age Band Code ; Sex Code </v>
      </c>
      <c r="N4803" s="345" t="s">
        <v>207</v>
      </c>
      <c r="O4803" s="345" t="s">
        <v>208</v>
      </c>
      <c r="P4803" s="345" t="s">
        <v>209</v>
      </c>
      <c r="Q4803" s="345" t="s">
        <v>210</v>
      </c>
      <c r="R4803" s="345" t="s">
        <v>223</v>
      </c>
      <c r="S4803" s="345" t="s">
        <v>224</v>
      </c>
    </row>
    <row r="4804" spans="1:19" x14ac:dyDescent="0.25">
      <c r="A4804" s="311"/>
      <c r="B4804" s="312"/>
      <c r="C4804" s="312"/>
      <c r="D4804" s="312"/>
      <c r="E4804" s="312"/>
      <c r="F4804" s="312"/>
      <c r="G4804" s="328"/>
      <c r="H4804" s="337"/>
      <c r="I4804" s="334"/>
      <c r="J4804" s="314"/>
      <c r="K4804" s="449"/>
      <c r="M4804" s="349" t="str">
        <f>N4804&amp;AS[[#This Row],[Insurer Code]]&amp;"; "&amp;O4804&amp;AS[[#This Row],[Reporting Year]]&amp;"; "&amp;P4804&amp;AS[[#This Row],[Insurance Category Code]]&amp;"; "&amp;Q4804&amp;AS[[#This Row],[Large Provider Entity Code]]&amp;"; "&amp;R4804&amp;AS[[#This Row],[Age Band Code]]&amp;"; "&amp;S4804&amp;AS[[#This Row],[Sex Code]]</f>
        <v xml:space="preserve">Insurer Code ; Reporting Year ; Insurance Category Code ; Large Provider Entity Code ; Age Band Code ; Sex Code </v>
      </c>
      <c r="N4804" s="345" t="s">
        <v>207</v>
      </c>
      <c r="O4804" s="345" t="s">
        <v>208</v>
      </c>
      <c r="P4804" s="345" t="s">
        <v>209</v>
      </c>
      <c r="Q4804" s="345" t="s">
        <v>210</v>
      </c>
      <c r="R4804" s="345" t="s">
        <v>223</v>
      </c>
      <c r="S4804" s="345" t="s">
        <v>224</v>
      </c>
    </row>
    <row r="4805" spans="1:19" x14ac:dyDescent="0.25">
      <c r="A4805" s="311"/>
      <c r="B4805" s="312"/>
      <c r="C4805" s="312"/>
      <c r="D4805" s="312"/>
      <c r="E4805" s="312"/>
      <c r="F4805" s="312"/>
      <c r="G4805" s="328"/>
      <c r="H4805" s="337"/>
      <c r="I4805" s="334"/>
      <c r="J4805" s="314"/>
      <c r="K4805" s="449"/>
      <c r="M4805" s="349" t="str">
        <f>N4805&amp;AS[[#This Row],[Insurer Code]]&amp;"; "&amp;O4805&amp;AS[[#This Row],[Reporting Year]]&amp;"; "&amp;P4805&amp;AS[[#This Row],[Insurance Category Code]]&amp;"; "&amp;Q4805&amp;AS[[#This Row],[Large Provider Entity Code]]&amp;"; "&amp;R4805&amp;AS[[#This Row],[Age Band Code]]&amp;"; "&amp;S4805&amp;AS[[#This Row],[Sex Code]]</f>
        <v xml:space="preserve">Insurer Code ; Reporting Year ; Insurance Category Code ; Large Provider Entity Code ; Age Band Code ; Sex Code </v>
      </c>
      <c r="N4805" s="345" t="s">
        <v>207</v>
      </c>
      <c r="O4805" s="345" t="s">
        <v>208</v>
      </c>
      <c r="P4805" s="345" t="s">
        <v>209</v>
      </c>
      <c r="Q4805" s="345" t="s">
        <v>210</v>
      </c>
      <c r="R4805" s="345" t="s">
        <v>223</v>
      </c>
      <c r="S4805" s="345" t="s">
        <v>224</v>
      </c>
    </row>
    <row r="4806" spans="1:19" x14ac:dyDescent="0.25">
      <c r="A4806" s="311"/>
      <c r="B4806" s="312"/>
      <c r="C4806" s="312"/>
      <c r="D4806" s="312"/>
      <c r="E4806" s="312"/>
      <c r="F4806" s="312"/>
      <c r="G4806" s="328"/>
      <c r="H4806" s="337"/>
      <c r="I4806" s="334"/>
      <c r="J4806" s="314"/>
      <c r="K4806" s="449"/>
      <c r="M4806" s="349" t="str">
        <f>N4806&amp;AS[[#This Row],[Insurer Code]]&amp;"; "&amp;O4806&amp;AS[[#This Row],[Reporting Year]]&amp;"; "&amp;P4806&amp;AS[[#This Row],[Insurance Category Code]]&amp;"; "&amp;Q4806&amp;AS[[#This Row],[Large Provider Entity Code]]&amp;"; "&amp;R4806&amp;AS[[#This Row],[Age Band Code]]&amp;"; "&amp;S4806&amp;AS[[#This Row],[Sex Code]]</f>
        <v xml:space="preserve">Insurer Code ; Reporting Year ; Insurance Category Code ; Large Provider Entity Code ; Age Band Code ; Sex Code </v>
      </c>
      <c r="N4806" s="345" t="s">
        <v>207</v>
      </c>
      <c r="O4806" s="345" t="s">
        <v>208</v>
      </c>
      <c r="P4806" s="345" t="s">
        <v>209</v>
      </c>
      <c r="Q4806" s="345" t="s">
        <v>210</v>
      </c>
      <c r="R4806" s="345" t="s">
        <v>223</v>
      </c>
      <c r="S4806" s="345" t="s">
        <v>224</v>
      </c>
    </row>
    <row r="4807" spans="1:19" x14ac:dyDescent="0.25">
      <c r="A4807" s="311"/>
      <c r="B4807" s="312"/>
      <c r="C4807" s="312"/>
      <c r="D4807" s="312"/>
      <c r="E4807" s="312"/>
      <c r="F4807" s="312"/>
      <c r="G4807" s="328"/>
      <c r="H4807" s="337"/>
      <c r="I4807" s="334"/>
      <c r="J4807" s="314"/>
      <c r="K4807" s="449"/>
      <c r="M4807" s="349" t="str">
        <f>N4807&amp;AS[[#This Row],[Insurer Code]]&amp;"; "&amp;O4807&amp;AS[[#This Row],[Reporting Year]]&amp;"; "&amp;P4807&amp;AS[[#This Row],[Insurance Category Code]]&amp;"; "&amp;Q4807&amp;AS[[#This Row],[Large Provider Entity Code]]&amp;"; "&amp;R4807&amp;AS[[#This Row],[Age Band Code]]&amp;"; "&amp;S4807&amp;AS[[#This Row],[Sex Code]]</f>
        <v xml:space="preserve">Insurer Code ; Reporting Year ; Insurance Category Code ; Large Provider Entity Code ; Age Band Code ; Sex Code </v>
      </c>
      <c r="N4807" s="345" t="s">
        <v>207</v>
      </c>
      <c r="O4807" s="345" t="s">
        <v>208</v>
      </c>
      <c r="P4807" s="345" t="s">
        <v>209</v>
      </c>
      <c r="Q4807" s="345" t="s">
        <v>210</v>
      </c>
      <c r="R4807" s="345" t="s">
        <v>223</v>
      </c>
      <c r="S4807" s="345" t="s">
        <v>224</v>
      </c>
    </row>
    <row r="4808" spans="1:19" x14ac:dyDescent="0.25">
      <c r="A4808" s="311"/>
      <c r="B4808" s="312"/>
      <c r="C4808" s="312"/>
      <c r="D4808" s="312"/>
      <c r="E4808" s="312"/>
      <c r="F4808" s="312"/>
      <c r="G4808" s="328"/>
      <c r="H4808" s="337"/>
      <c r="I4808" s="334"/>
      <c r="J4808" s="314"/>
      <c r="K4808" s="449"/>
      <c r="M4808" s="349" t="str">
        <f>N4808&amp;AS[[#This Row],[Insurer Code]]&amp;"; "&amp;O4808&amp;AS[[#This Row],[Reporting Year]]&amp;"; "&amp;P4808&amp;AS[[#This Row],[Insurance Category Code]]&amp;"; "&amp;Q4808&amp;AS[[#This Row],[Large Provider Entity Code]]&amp;"; "&amp;R4808&amp;AS[[#This Row],[Age Band Code]]&amp;"; "&amp;S4808&amp;AS[[#This Row],[Sex Code]]</f>
        <v xml:space="preserve">Insurer Code ; Reporting Year ; Insurance Category Code ; Large Provider Entity Code ; Age Band Code ; Sex Code </v>
      </c>
      <c r="N4808" s="345" t="s">
        <v>207</v>
      </c>
      <c r="O4808" s="345" t="s">
        <v>208</v>
      </c>
      <c r="P4808" s="345" t="s">
        <v>209</v>
      </c>
      <c r="Q4808" s="345" t="s">
        <v>210</v>
      </c>
      <c r="R4808" s="345" t="s">
        <v>223</v>
      </c>
      <c r="S4808" s="345" t="s">
        <v>224</v>
      </c>
    </row>
    <row r="4809" spans="1:19" x14ac:dyDescent="0.25">
      <c r="A4809" s="311"/>
      <c r="B4809" s="312"/>
      <c r="C4809" s="312"/>
      <c r="D4809" s="312"/>
      <c r="E4809" s="312"/>
      <c r="F4809" s="312"/>
      <c r="G4809" s="328"/>
      <c r="H4809" s="337"/>
      <c r="I4809" s="334"/>
      <c r="J4809" s="314"/>
      <c r="K4809" s="449"/>
      <c r="M4809" s="349" t="str">
        <f>N4809&amp;AS[[#This Row],[Insurer Code]]&amp;"; "&amp;O4809&amp;AS[[#This Row],[Reporting Year]]&amp;"; "&amp;P4809&amp;AS[[#This Row],[Insurance Category Code]]&amp;"; "&amp;Q4809&amp;AS[[#This Row],[Large Provider Entity Code]]&amp;"; "&amp;R4809&amp;AS[[#This Row],[Age Band Code]]&amp;"; "&amp;S4809&amp;AS[[#This Row],[Sex Code]]</f>
        <v xml:space="preserve">Insurer Code ; Reporting Year ; Insurance Category Code ; Large Provider Entity Code ; Age Band Code ; Sex Code </v>
      </c>
      <c r="N4809" s="345" t="s">
        <v>207</v>
      </c>
      <c r="O4809" s="345" t="s">
        <v>208</v>
      </c>
      <c r="P4809" s="345" t="s">
        <v>209</v>
      </c>
      <c r="Q4809" s="345" t="s">
        <v>210</v>
      </c>
      <c r="R4809" s="345" t="s">
        <v>223</v>
      </c>
      <c r="S4809" s="345" t="s">
        <v>224</v>
      </c>
    </row>
    <row r="4810" spans="1:19" x14ac:dyDescent="0.25">
      <c r="A4810" s="311"/>
      <c r="B4810" s="312"/>
      <c r="C4810" s="312"/>
      <c r="D4810" s="312"/>
      <c r="E4810" s="312"/>
      <c r="F4810" s="312"/>
      <c r="G4810" s="328"/>
      <c r="H4810" s="337"/>
      <c r="I4810" s="334"/>
      <c r="J4810" s="314"/>
      <c r="K4810" s="449"/>
      <c r="M4810" s="349" t="str">
        <f>N4810&amp;AS[[#This Row],[Insurer Code]]&amp;"; "&amp;O4810&amp;AS[[#This Row],[Reporting Year]]&amp;"; "&amp;P4810&amp;AS[[#This Row],[Insurance Category Code]]&amp;"; "&amp;Q4810&amp;AS[[#This Row],[Large Provider Entity Code]]&amp;"; "&amp;R4810&amp;AS[[#This Row],[Age Band Code]]&amp;"; "&amp;S4810&amp;AS[[#This Row],[Sex Code]]</f>
        <v xml:space="preserve">Insurer Code ; Reporting Year ; Insurance Category Code ; Large Provider Entity Code ; Age Band Code ; Sex Code </v>
      </c>
      <c r="N4810" s="345" t="s">
        <v>207</v>
      </c>
      <c r="O4810" s="345" t="s">
        <v>208</v>
      </c>
      <c r="P4810" s="345" t="s">
        <v>209</v>
      </c>
      <c r="Q4810" s="345" t="s">
        <v>210</v>
      </c>
      <c r="R4810" s="345" t="s">
        <v>223</v>
      </c>
      <c r="S4810" s="345" t="s">
        <v>224</v>
      </c>
    </row>
    <row r="4811" spans="1:19" x14ac:dyDescent="0.25">
      <c r="A4811" s="311"/>
      <c r="B4811" s="312"/>
      <c r="C4811" s="312"/>
      <c r="D4811" s="312"/>
      <c r="E4811" s="312"/>
      <c r="F4811" s="312"/>
      <c r="G4811" s="328"/>
      <c r="H4811" s="337"/>
      <c r="I4811" s="334"/>
      <c r="J4811" s="314"/>
      <c r="K4811" s="449"/>
      <c r="M4811" s="349" t="str">
        <f>N4811&amp;AS[[#This Row],[Insurer Code]]&amp;"; "&amp;O4811&amp;AS[[#This Row],[Reporting Year]]&amp;"; "&amp;P4811&amp;AS[[#This Row],[Insurance Category Code]]&amp;"; "&amp;Q4811&amp;AS[[#This Row],[Large Provider Entity Code]]&amp;"; "&amp;R4811&amp;AS[[#This Row],[Age Band Code]]&amp;"; "&amp;S4811&amp;AS[[#This Row],[Sex Code]]</f>
        <v xml:space="preserve">Insurer Code ; Reporting Year ; Insurance Category Code ; Large Provider Entity Code ; Age Band Code ; Sex Code </v>
      </c>
      <c r="N4811" s="345" t="s">
        <v>207</v>
      </c>
      <c r="O4811" s="345" t="s">
        <v>208</v>
      </c>
      <c r="P4811" s="345" t="s">
        <v>209</v>
      </c>
      <c r="Q4811" s="345" t="s">
        <v>210</v>
      </c>
      <c r="R4811" s="345" t="s">
        <v>223</v>
      </c>
      <c r="S4811" s="345" t="s">
        <v>224</v>
      </c>
    </row>
    <row r="4812" spans="1:19" x14ac:dyDescent="0.25">
      <c r="A4812" s="311"/>
      <c r="B4812" s="312"/>
      <c r="C4812" s="312"/>
      <c r="D4812" s="312"/>
      <c r="E4812" s="312"/>
      <c r="F4812" s="312"/>
      <c r="G4812" s="328"/>
      <c r="H4812" s="337"/>
      <c r="I4812" s="334"/>
      <c r="J4812" s="314"/>
      <c r="K4812" s="449"/>
      <c r="M4812" s="349" t="str">
        <f>N4812&amp;AS[[#This Row],[Insurer Code]]&amp;"; "&amp;O4812&amp;AS[[#This Row],[Reporting Year]]&amp;"; "&amp;P4812&amp;AS[[#This Row],[Insurance Category Code]]&amp;"; "&amp;Q4812&amp;AS[[#This Row],[Large Provider Entity Code]]&amp;"; "&amp;R4812&amp;AS[[#This Row],[Age Band Code]]&amp;"; "&amp;S4812&amp;AS[[#This Row],[Sex Code]]</f>
        <v xml:space="preserve">Insurer Code ; Reporting Year ; Insurance Category Code ; Large Provider Entity Code ; Age Band Code ; Sex Code </v>
      </c>
      <c r="N4812" s="345" t="s">
        <v>207</v>
      </c>
      <c r="O4812" s="345" t="s">
        <v>208</v>
      </c>
      <c r="P4812" s="345" t="s">
        <v>209</v>
      </c>
      <c r="Q4812" s="345" t="s">
        <v>210</v>
      </c>
      <c r="R4812" s="345" t="s">
        <v>223</v>
      </c>
      <c r="S4812" s="345" t="s">
        <v>224</v>
      </c>
    </row>
    <row r="4813" spans="1:19" x14ac:dyDescent="0.25">
      <c r="A4813" s="311"/>
      <c r="B4813" s="312"/>
      <c r="C4813" s="312"/>
      <c r="D4813" s="312"/>
      <c r="E4813" s="312"/>
      <c r="F4813" s="312"/>
      <c r="G4813" s="328"/>
      <c r="H4813" s="337"/>
      <c r="I4813" s="334"/>
      <c r="J4813" s="314"/>
      <c r="K4813" s="449"/>
      <c r="M4813" s="349" t="str">
        <f>N4813&amp;AS[[#This Row],[Insurer Code]]&amp;"; "&amp;O4813&amp;AS[[#This Row],[Reporting Year]]&amp;"; "&amp;P4813&amp;AS[[#This Row],[Insurance Category Code]]&amp;"; "&amp;Q4813&amp;AS[[#This Row],[Large Provider Entity Code]]&amp;"; "&amp;R4813&amp;AS[[#This Row],[Age Band Code]]&amp;"; "&amp;S4813&amp;AS[[#This Row],[Sex Code]]</f>
        <v xml:space="preserve">Insurer Code ; Reporting Year ; Insurance Category Code ; Large Provider Entity Code ; Age Band Code ; Sex Code </v>
      </c>
      <c r="N4813" s="345" t="s">
        <v>207</v>
      </c>
      <c r="O4813" s="345" t="s">
        <v>208</v>
      </c>
      <c r="P4813" s="345" t="s">
        <v>209</v>
      </c>
      <c r="Q4813" s="345" t="s">
        <v>210</v>
      </c>
      <c r="R4813" s="345" t="s">
        <v>223</v>
      </c>
      <c r="S4813" s="345" t="s">
        <v>224</v>
      </c>
    </row>
    <row r="4814" spans="1:19" x14ac:dyDescent="0.25">
      <c r="A4814" s="311"/>
      <c r="B4814" s="312"/>
      <c r="C4814" s="312"/>
      <c r="D4814" s="312"/>
      <c r="E4814" s="312"/>
      <c r="F4814" s="312"/>
      <c r="G4814" s="328"/>
      <c r="H4814" s="337"/>
      <c r="I4814" s="334"/>
      <c r="J4814" s="314"/>
      <c r="K4814" s="449"/>
      <c r="M4814" s="349" t="str">
        <f>N4814&amp;AS[[#This Row],[Insurer Code]]&amp;"; "&amp;O4814&amp;AS[[#This Row],[Reporting Year]]&amp;"; "&amp;P4814&amp;AS[[#This Row],[Insurance Category Code]]&amp;"; "&amp;Q4814&amp;AS[[#This Row],[Large Provider Entity Code]]&amp;"; "&amp;R4814&amp;AS[[#This Row],[Age Band Code]]&amp;"; "&amp;S4814&amp;AS[[#This Row],[Sex Code]]</f>
        <v xml:space="preserve">Insurer Code ; Reporting Year ; Insurance Category Code ; Large Provider Entity Code ; Age Band Code ; Sex Code </v>
      </c>
      <c r="N4814" s="345" t="s">
        <v>207</v>
      </c>
      <c r="O4814" s="345" t="s">
        <v>208</v>
      </c>
      <c r="P4814" s="345" t="s">
        <v>209</v>
      </c>
      <c r="Q4814" s="345" t="s">
        <v>210</v>
      </c>
      <c r="R4814" s="345" t="s">
        <v>223</v>
      </c>
      <c r="S4814" s="345" t="s">
        <v>224</v>
      </c>
    </row>
    <row r="4815" spans="1:19" x14ac:dyDescent="0.25">
      <c r="A4815" s="311"/>
      <c r="B4815" s="312"/>
      <c r="C4815" s="312"/>
      <c r="D4815" s="312"/>
      <c r="E4815" s="312"/>
      <c r="F4815" s="312"/>
      <c r="G4815" s="328"/>
      <c r="H4815" s="337"/>
      <c r="I4815" s="334"/>
      <c r="J4815" s="314"/>
      <c r="K4815" s="449"/>
      <c r="M4815" s="349" t="str">
        <f>N4815&amp;AS[[#This Row],[Insurer Code]]&amp;"; "&amp;O4815&amp;AS[[#This Row],[Reporting Year]]&amp;"; "&amp;P4815&amp;AS[[#This Row],[Insurance Category Code]]&amp;"; "&amp;Q4815&amp;AS[[#This Row],[Large Provider Entity Code]]&amp;"; "&amp;R4815&amp;AS[[#This Row],[Age Band Code]]&amp;"; "&amp;S4815&amp;AS[[#This Row],[Sex Code]]</f>
        <v xml:space="preserve">Insurer Code ; Reporting Year ; Insurance Category Code ; Large Provider Entity Code ; Age Band Code ; Sex Code </v>
      </c>
      <c r="N4815" s="345" t="s">
        <v>207</v>
      </c>
      <c r="O4815" s="345" t="s">
        <v>208</v>
      </c>
      <c r="P4815" s="345" t="s">
        <v>209</v>
      </c>
      <c r="Q4815" s="345" t="s">
        <v>210</v>
      </c>
      <c r="R4815" s="345" t="s">
        <v>223</v>
      </c>
      <c r="S4815" s="345" t="s">
        <v>224</v>
      </c>
    </row>
    <row r="4816" spans="1:19" x14ac:dyDescent="0.25">
      <c r="A4816" s="311"/>
      <c r="B4816" s="312"/>
      <c r="C4816" s="312"/>
      <c r="D4816" s="312"/>
      <c r="E4816" s="312"/>
      <c r="F4816" s="312"/>
      <c r="G4816" s="328"/>
      <c r="H4816" s="337"/>
      <c r="I4816" s="334"/>
      <c r="J4816" s="314"/>
      <c r="K4816" s="449"/>
      <c r="M4816" s="349" t="str">
        <f>N4816&amp;AS[[#This Row],[Insurer Code]]&amp;"; "&amp;O4816&amp;AS[[#This Row],[Reporting Year]]&amp;"; "&amp;P4816&amp;AS[[#This Row],[Insurance Category Code]]&amp;"; "&amp;Q4816&amp;AS[[#This Row],[Large Provider Entity Code]]&amp;"; "&amp;R4816&amp;AS[[#This Row],[Age Band Code]]&amp;"; "&amp;S4816&amp;AS[[#This Row],[Sex Code]]</f>
        <v xml:space="preserve">Insurer Code ; Reporting Year ; Insurance Category Code ; Large Provider Entity Code ; Age Band Code ; Sex Code </v>
      </c>
      <c r="N4816" s="345" t="s">
        <v>207</v>
      </c>
      <c r="O4816" s="345" t="s">
        <v>208</v>
      </c>
      <c r="P4816" s="345" t="s">
        <v>209</v>
      </c>
      <c r="Q4816" s="345" t="s">
        <v>210</v>
      </c>
      <c r="R4816" s="345" t="s">
        <v>223</v>
      </c>
      <c r="S4816" s="345" t="s">
        <v>224</v>
      </c>
    </row>
    <row r="4817" spans="1:19" x14ac:dyDescent="0.25">
      <c r="A4817" s="311"/>
      <c r="B4817" s="312"/>
      <c r="C4817" s="312"/>
      <c r="D4817" s="312"/>
      <c r="E4817" s="312"/>
      <c r="F4817" s="312"/>
      <c r="G4817" s="328"/>
      <c r="H4817" s="337"/>
      <c r="I4817" s="334"/>
      <c r="J4817" s="314"/>
      <c r="K4817" s="449"/>
      <c r="M4817" s="349" t="str">
        <f>N4817&amp;AS[[#This Row],[Insurer Code]]&amp;"; "&amp;O4817&amp;AS[[#This Row],[Reporting Year]]&amp;"; "&amp;P4817&amp;AS[[#This Row],[Insurance Category Code]]&amp;"; "&amp;Q4817&amp;AS[[#This Row],[Large Provider Entity Code]]&amp;"; "&amp;R4817&amp;AS[[#This Row],[Age Band Code]]&amp;"; "&amp;S4817&amp;AS[[#This Row],[Sex Code]]</f>
        <v xml:space="preserve">Insurer Code ; Reporting Year ; Insurance Category Code ; Large Provider Entity Code ; Age Band Code ; Sex Code </v>
      </c>
      <c r="N4817" s="345" t="s">
        <v>207</v>
      </c>
      <c r="O4817" s="345" t="s">
        <v>208</v>
      </c>
      <c r="P4817" s="345" t="s">
        <v>209</v>
      </c>
      <c r="Q4817" s="345" t="s">
        <v>210</v>
      </c>
      <c r="R4817" s="345" t="s">
        <v>223</v>
      </c>
      <c r="S4817" s="345" t="s">
        <v>224</v>
      </c>
    </row>
    <row r="4818" spans="1:19" x14ac:dyDescent="0.25">
      <c r="A4818" s="311"/>
      <c r="B4818" s="312"/>
      <c r="C4818" s="312"/>
      <c r="D4818" s="312"/>
      <c r="E4818" s="312"/>
      <c r="F4818" s="312"/>
      <c r="G4818" s="328"/>
      <c r="H4818" s="337"/>
      <c r="I4818" s="334"/>
      <c r="J4818" s="314"/>
      <c r="K4818" s="449"/>
      <c r="M4818" s="349" t="str">
        <f>N4818&amp;AS[[#This Row],[Insurer Code]]&amp;"; "&amp;O4818&amp;AS[[#This Row],[Reporting Year]]&amp;"; "&amp;P4818&amp;AS[[#This Row],[Insurance Category Code]]&amp;"; "&amp;Q4818&amp;AS[[#This Row],[Large Provider Entity Code]]&amp;"; "&amp;R4818&amp;AS[[#This Row],[Age Band Code]]&amp;"; "&amp;S4818&amp;AS[[#This Row],[Sex Code]]</f>
        <v xml:space="preserve">Insurer Code ; Reporting Year ; Insurance Category Code ; Large Provider Entity Code ; Age Band Code ; Sex Code </v>
      </c>
      <c r="N4818" s="345" t="s">
        <v>207</v>
      </c>
      <c r="O4818" s="345" t="s">
        <v>208</v>
      </c>
      <c r="P4818" s="345" t="s">
        <v>209</v>
      </c>
      <c r="Q4818" s="345" t="s">
        <v>210</v>
      </c>
      <c r="R4818" s="345" t="s">
        <v>223</v>
      </c>
      <c r="S4818" s="345" t="s">
        <v>224</v>
      </c>
    </row>
    <row r="4819" spans="1:19" x14ac:dyDescent="0.25">
      <c r="A4819" s="311"/>
      <c r="B4819" s="312"/>
      <c r="C4819" s="312"/>
      <c r="D4819" s="312"/>
      <c r="E4819" s="312"/>
      <c r="F4819" s="312"/>
      <c r="G4819" s="328"/>
      <c r="H4819" s="337"/>
      <c r="I4819" s="334"/>
      <c r="J4819" s="314"/>
      <c r="K4819" s="449"/>
      <c r="M4819" s="349" t="str">
        <f>N4819&amp;AS[[#This Row],[Insurer Code]]&amp;"; "&amp;O4819&amp;AS[[#This Row],[Reporting Year]]&amp;"; "&amp;P4819&amp;AS[[#This Row],[Insurance Category Code]]&amp;"; "&amp;Q4819&amp;AS[[#This Row],[Large Provider Entity Code]]&amp;"; "&amp;R4819&amp;AS[[#This Row],[Age Band Code]]&amp;"; "&amp;S4819&amp;AS[[#This Row],[Sex Code]]</f>
        <v xml:space="preserve">Insurer Code ; Reporting Year ; Insurance Category Code ; Large Provider Entity Code ; Age Band Code ; Sex Code </v>
      </c>
      <c r="N4819" s="345" t="s">
        <v>207</v>
      </c>
      <c r="O4819" s="345" t="s">
        <v>208</v>
      </c>
      <c r="P4819" s="345" t="s">
        <v>209</v>
      </c>
      <c r="Q4819" s="345" t="s">
        <v>210</v>
      </c>
      <c r="R4819" s="345" t="s">
        <v>223</v>
      </c>
      <c r="S4819" s="345" t="s">
        <v>224</v>
      </c>
    </row>
    <row r="4820" spans="1:19" x14ac:dyDescent="0.25">
      <c r="A4820" s="311"/>
      <c r="B4820" s="312"/>
      <c r="C4820" s="312"/>
      <c r="D4820" s="312"/>
      <c r="E4820" s="312"/>
      <c r="F4820" s="312"/>
      <c r="G4820" s="328"/>
      <c r="H4820" s="337"/>
      <c r="I4820" s="334"/>
      <c r="J4820" s="314"/>
      <c r="K4820" s="449"/>
      <c r="M4820" s="349" t="str">
        <f>N4820&amp;AS[[#This Row],[Insurer Code]]&amp;"; "&amp;O4820&amp;AS[[#This Row],[Reporting Year]]&amp;"; "&amp;P4820&amp;AS[[#This Row],[Insurance Category Code]]&amp;"; "&amp;Q4820&amp;AS[[#This Row],[Large Provider Entity Code]]&amp;"; "&amp;R4820&amp;AS[[#This Row],[Age Band Code]]&amp;"; "&amp;S4820&amp;AS[[#This Row],[Sex Code]]</f>
        <v xml:space="preserve">Insurer Code ; Reporting Year ; Insurance Category Code ; Large Provider Entity Code ; Age Band Code ; Sex Code </v>
      </c>
      <c r="N4820" s="345" t="s">
        <v>207</v>
      </c>
      <c r="O4820" s="345" t="s">
        <v>208</v>
      </c>
      <c r="P4820" s="345" t="s">
        <v>209</v>
      </c>
      <c r="Q4820" s="345" t="s">
        <v>210</v>
      </c>
      <c r="R4820" s="345" t="s">
        <v>223</v>
      </c>
      <c r="S4820" s="345" t="s">
        <v>224</v>
      </c>
    </row>
    <row r="4821" spans="1:19" x14ac:dyDescent="0.25">
      <c r="A4821" s="311"/>
      <c r="B4821" s="312"/>
      <c r="C4821" s="312"/>
      <c r="D4821" s="312"/>
      <c r="E4821" s="312"/>
      <c r="F4821" s="312"/>
      <c r="G4821" s="328"/>
      <c r="H4821" s="337"/>
      <c r="I4821" s="334"/>
      <c r="J4821" s="314"/>
      <c r="K4821" s="449"/>
      <c r="M4821" s="349" t="str">
        <f>N4821&amp;AS[[#This Row],[Insurer Code]]&amp;"; "&amp;O4821&amp;AS[[#This Row],[Reporting Year]]&amp;"; "&amp;P4821&amp;AS[[#This Row],[Insurance Category Code]]&amp;"; "&amp;Q4821&amp;AS[[#This Row],[Large Provider Entity Code]]&amp;"; "&amp;R4821&amp;AS[[#This Row],[Age Band Code]]&amp;"; "&amp;S4821&amp;AS[[#This Row],[Sex Code]]</f>
        <v xml:space="preserve">Insurer Code ; Reporting Year ; Insurance Category Code ; Large Provider Entity Code ; Age Band Code ; Sex Code </v>
      </c>
      <c r="N4821" s="345" t="s">
        <v>207</v>
      </c>
      <c r="O4821" s="345" t="s">
        <v>208</v>
      </c>
      <c r="P4821" s="345" t="s">
        <v>209</v>
      </c>
      <c r="Q4821" s="345" t="s">
        <v>210</v>
      </c>
      <c r="R4821" s="345" t="s">
        <v>223</v>
      </c>
      <c r="S4821" s="345" t="s">
        <v>224</v>
      </c>
    </row>
    <row r="4822" spans="1:19" x14ac:dyDescent="0.25">
      <c r="A4822" s="311"/>
      <c r="B4822" s="312"/>
      <c r="C4822" s="312"/>
      <c r="D4822" s="312"/>
      <c r="E4822" s="312"/>
      <c r="F4822" s="312"/>
      <c r="G4822" s="328"/>
      <c r="H4822" s="337"/>
      <c r="I4822" s="334"/>
      <c r="J4822" s="314"/>
      <c r="K4822" s="449"/>
      <c r="M4822" s="349" t="str">
        <f>N4822&amp;AS[[#This Row],[Insurer Code]]&amp;"; "&amp;O4822&amp;AS[[#This Row],[Reporting Year]]&amp;"; "&amp;P4822&amp;AS[[#This Row],[Insurance Category Code]]&amp;"; "&amp;Q4822&amp;AS[[#This Row],[Large Provider Entity Code]]&amp;"; "&amp;R4822&amp;AS[[#This Row],[Age Band Code]]&amp;"; "&amp;S4822&amp;AS[[#This Row],[Sex Code]]</f>
        <v xml:space="preserve">Insurer Code ; Reporting Year ; Insurance Category Code ; Large Provider Entity Code ; Age Band Code ; Sex Code </v>
      </c>
      <c r="N4822" s="345" t="s">
        <v>207</v>
      </c>
      <c r="O4822" s="345" t="s">
        <v>208</v>
      </c>
      <c r="P4822" s="345" t="s">
        <v>209</v>
      </c>
      <c r="Q4822" s="345" t="s">
        <v>210</v>
      </c>
      <c r="R4822" s="345" t="s">
        <v>223</v>
      </c>
      <c r="S4822" s="345" t="s">
        <v>224</v>
      </c>
    </row>
    <row r="4823" spans="1:19" x14ac:dyDescent="0.25">
      <c r="A4823" s="311"/>
      <c r="B4823" s="312"/>
      <c r="C4823" s="312"/>
      <c r="D4823" s="312"/>
      <c r="E4823" s="312"/>
      <c r="F4823" s="312"/>
      <c r="G4823" s="328"/>
      <c r="H4823" s="337"/>
      <c r="I4823" s="334"/>
      <c r="J4823" s="314"/>
      <c r="K4823" s="449"/>
      <c r="M4823" s="349" t="str">
        <f>N4823&amp;AS[[#This Row],[Insurer Code]]&amp;"; "&amp;O4823&amp;AS[[#This Row],[Reporting Year]]&amp;"; "&amp;P4823&amp;AS[[#This Row],[Insurance Category Code]]&amp;"; "&amp;Q4823&amp;AS[[#This Row],[Large Provider Entity Code]]&amp;"; "&amp;R4823&amp;AS[[#This Row],[Age Band Code]]&amp;"; "&amp;S4823&amp;AS[[#This Row],[Sex Code]]</f>
        <v xml:space="preserve">Insurer Code ; Reporting Year ; Insurance Category Code ; Large Provider Entity Code ; Age Band Code ; Sex Code </v>
      </c>
      <c r="N4823" s="345" t="s">
        <v>207</v>
      </c>
      <c r="O4823" s="345" t="s">
        <v>208</v>
      </c>
      <c r="P4823" s="345" t="s">
        <v>209</v>
      </c>
      <c r="Q4823" s="345" t="s">
        <v>210</v>
      </c>
      <c r="R4823" s="345" t="s">
        <v>223</v>
      </c>
      <c r="S4823" s="345" t="s">
        <v>224</v>
      </c>
    </row>
    <row r="4824" spans="1:19" x14ac:dyDescent="0.25">
      <c r="A4824" s="311"/>
      <c r="B4824" s="312"/>
      <c r="C4824" s="312"/>
      <c r="D4824" s="312"/>
      <c r="E4824" s="312"/>
      <c r="F4824" s="312"/>
      <c r="G4824" s="328"/>
      <c r="H4824" s="337"/>
      <c r="I4824" s="334"/>
      <c r="J4824" s="314"/>
      <c r="K4824" s="449"/>
      <c r="M4824" s="349" t="str">
        <f>N4824&amp;AS[[#This Row],[Insurer Code]]&amp;"; "&amp;O4824&amp;AS[[#This Row],[Reporting Year]]&amp;"; "&amp;P4824&amp;AS[[#This Row],[Insurance Category Code]]&amp;"; "&amp;Q4824&amp;AS[[#This Row],[Large Provider Entity Code]]&amp;"; "&amp;R4824&amp;AS[[#This Row],[Age Band Code]]&amp;"; "&amp;S4824&amp;AS[[#This Row],[Sex Code]]</f>
        <v xml:space="preserve">Insurer Code ; Reporting Year ; Insurance Category Code ; Large Provider Entity Code ; Age Band Code ; Sex Code </v>
      </c>
      <c r="N4824" s="345" t="s">
        <v>207</v>
      </c>
      <c r="O4824" s="345" t="s">
        <v>208</v>
      </c>
      <c r="P4824" s="345" t="s">
        <v>209</v>
      </c>
      <c r="Q4824" s="345" t="s">
        <v>210</v>
      </c>
      <c r="R4824" s="345" t="s">
        <v>223</v>
      </c>
      <c r="S4824" s="345" t="s">
        <v>224</v>
      </c>
    </row>
    <row r="4825" spans="1:19" x14ac:dyDescent="0.25">
      <c r="A4825" s="311"/>
      <c r="B4825" s="312"/>
      <c r="C4825" s="312"/>
      <c r="D4825" s="312"/>
      <c r="E4825" s="312"/>
      <c r="F4825" s="312"/>
      <c r="G4825" s="328"/>
      <c r="H4825" s="337"/>
      <c r="I4825" s="334"/>
      <c r="J4825" s="314"/>
      <c r="K4825" s="449"/>
      <c r="M4825" s="349" t="str">
        <f>N4825&amp;AS[[#This Row],[Insurer Code]]&amp;"; "&amp;O4825&amp;AS[[#This Row],[Reporting Year]]&amp;"; "&amp;P4825&amp;AS[[#This Row],[Insurance Category Code]]&amp;"; "&amp;Q4825&amp;AS[[#This Row],[Large Provider Entity Code]]&amp;"; "&amp;R4825&amp;AS[[#This Row],[Age Band Code]]&amp;"; "&amp;S4825&amp;AS[[#This Row],[Sex Code]]</f>
        <v xml:space="preserve">Insurer Code ; Reporting Year ; Insurance Category Code ; Large Provider Entity Code ; Age Band Code ; Sex Code </v>
      </c>
      <c r="N4825" s="345" t="s">
        <v>207</v>
      </c>
      <c r="O4825" s="345" t="s">
        <v>208</v>
      </c>
      <c r="P4825" s="345" t="s">
        <v>209</v>
      </c>
      <c r="Q4825" s="345" t="s">
        <v>210</v>
      </c>
      <c r="R4825" s="345" t="s">
        <v>223</v>
      </c>
      <c r="S4825" s="345" t="s">
        <v>224</v>
      </c>
    </row>
    <row r="4826" spans="1:19" x14ac:dyDescent="0.25">
      <c r="A4826" s="311"/>
      <c r="B4826" s="312"/>
      <c r="C4826" s="312"/>
      <c r="D4826" s="312"/>
      <c r="E4826" s="312"/>
      <c r="F4826" s="312"/>
      <c r="G4826" s="328"/>
      <c r="H4826" s="337"/>
      <c r="I4826" s="334"/>
      <c r="J4826" s="314"/>
      <c r="K4826" s="449"/>
      <c r="M4826" s="349" t="str">
        <f>N4826&amp;AS[[#This Row],[Insurer Code]]&amp;"; "&amp;O4826&amp;AS[[#This Row],[Reporting Year]]&amp;"; "&amp;P4826&amp;AS[[#This Row],[Insurance Category Code]]&amp;"; "&amp;Q4826&amp;AS[[#This Row],[Large Provider Entity Code]]&amp;"; "&amp;R4826&amp;AS[[#This Row],[Age Band Code]]&amp;"; "&amp;S4826&amp;AS[[#This Row],[Sex Code]]</f>
        <v xml:space="preserve">Insurer Code ; Reporting Year ; Insurance Category Code ; Large Provider Entity Code ; Age Band Code ; Sex Code </v>
      </c>
      <c r="N4826" s="345" t="s">
        <v>207</v>
      </c>
      <c r="O4826" s="345" t="s">
        <v>208</v>
      </c>
      <c r="P4826" s="345" t="s">
        <v>209</v>
      </c>
      <c r="Q4826" s="345" t="s">
        <v>210</v>
      </c>
      <c r="R4826" s="345" t="s">
        <v>223</v>
      </c>
      <c r="S4826" s="345" t="s">
        <v>224</v>
      </c>
    </row>
    <row r="4827" spans="1:19" x14ac:dyDescent="0.25">
      <c r="A4827" s="311"/>
      <c r="B4827" s="312"/>
      <c r="C4827" s="312"/>
      <c r="D4827" s="312"/>
      <c r="E4827" s="312"/>
      <c r="F4827" s="312"/>
      <c r="G4827" s="328"/>
      <c r="H4827" s="337"/>
      <c r="I4827" s="334"/>
      <c r="J4827" s="314"/>
      <c r="K4827" s="449"/>
      <c r="M4827" s="349" t="str">
        <f>N4827&amp;AS[[#This Row],[Insurer Code]]&amp;"; "&amp;O4827&amp;AS[[#This Row],[Reporting Year]]&amp;"; "&amp;P4827&amp;AS[[#This Row],[Insurance Category Code]]&amp;"; "&amp;Q4827&amp;AS[[#This Row],[Large Provider Entity Code]]&amp;"; "&amp;R4827&amp;AS[[#This Row],[Age Band Code]]&amp;"; "&amp;S4827&amp;AS[[#This Row],[Sex Code]]</f>
        <v xml:space="preserve">Insurer Code ; Reporting Year ; Insurance Category Code ; Large Provider Entity Code ; Age Band Code ; Sex Code </v>
      </c>
      <c r="N4827" s="345" t="s">
        <v>207</v>
      </c>
      <c r="O4827" s="345" t="s">
        <v>208</v>
      </c>
      <c r="P4827" s="345" t="s">
        <v>209</v>
      </c>
      <c r="Q4827" s="345" t="s">
        <v>210</v>
      </c>
      <c r="R4827" s="345" t="s">
        <v>223</v>
      </c>
      <c r="S4827" s="345" t="s">
        <v>224</v>
      </c>
    </row>
    <row r="4828" spans="1:19" x14ac:dyDescent="0.25">
      <c r="A4828" s="311"/>
      <c r="B4828" s="312"/>
      <c r="C4828" s="312"/>
      <c r="D4828" s="312"/>
      <c r="E4828" s="312"/>
      <c r="F4828" s="312"/>
      <c r="G4828" s="328"/>
      <c r="H4828" s="337"/>
      <c r="I4828" s="334"/>
      <c r="J4828" s="314"/>
      <c r="K4828" s="449"/>
      <c r="M4828" s="349" t="str">
        <f>N4828&amp;AS[[#This Row],[Insurer Code]]&amp;"; "&amp;O4828&amp;AS[[#This Row],[Reporting Year]]&amp;"; "&amp;P4828&amp;AS[[#This Row],[Insurance Category Code]]&amp;"; "&amp;Q4828&amp;AS[[#This Row],[Large Provider Entity Code]]&amp;"; "&amp;R4828&amp;AS[[#This Row],[Age Band Code]]&amp;"; "&amp;S4828&amp;AS[[#This Row],[Sex Code]]</f>
        <v xml:space="preserve">Insurer Code ; Reporting Year ; Insurance Category Code ; Large Provider Entity Code ; Age Band Code ; Sex Code </v>
      </c>
      <c r="N4828" s="345" t="s">
        <v>207</v>
      </c>
      <c r="O4828" s="345" t="s">
        <v>208</v>
      </c>
      <c r="P4828" s="345" t="s">
        <v>209</v>
      </c>
      <c r="Q4828" s="345" t="s">
        <v>210</v>
      </c>
      <c r="R4828" s="345" t="s">
        <v>223</v>
      </c>
      <c r="S4828" s="345" t="s">
        <v>224</v>
      </c>
    </row>
    <row r="4829" spans="1:19" x14ac:dyDescent="0.25">
      <c r="A4829" s="311"/>
      <c r="B4829" s="312"/>
      <c r="C4829" s="312"/>
      <c r="D4829" s="312"/>
      <c r="E4829" s="312"/>
      <c r="F4829" s="312"/>
      <c r="G4829" s="328"/>
      <c r="H4829" s="337"/>
      <c r="I4829" s="334"/>
      <c r="J4829" s="314"/>
      <c r="K4829" s="449"/>
      <c r="M4829" s="349" t="str">
        <f>N4829&amp;AS[[#This Row],[Insurer Code]]&amp;"; "&amp;O4829&amp;AS[[#This Row],[Reporting Year]]&amp;"; "&amp;P4829&amp;AS[[#This Row],[Insurance Category Code]]&amp;"; "&amp;Q4829&amp;AS[[#This Row],[Large Provider Entity Code]]&amp;"; "&amp;R4829&amp;AS[[#This Row],[Age Band Code]]&amp;"; "&amp;S4829&amp;AS[[#This Row],[Sex Code]]</f>
        <v xml:space="preserve">Insurer Code ; Reporting Year ; Insurance Category Code ; Large Provider Entity Code ; Age Band Code ; Sex Code </v>
      </c>
      <c r="N4829" s="345" t="s">
        <v>207</v>
      </c>
      <c r="O4829" s="345" t="s">
        <v>208</v>
      </c>
      <c r="P4829" s="345" t="s">
        <v>209</v>
      </c>
      <c r="Q4829" s="345" t="s">
        <v>210</v>
      </c>
      <c r="R4829" s="345" t="s">
        <v>223</v>
      </c>
      <c r="S4829" s="345" t="s">
        <v>224</v>
      </c>
    </row>
    <row r="4830" spans="1:19" x14ac:dyDescent="0.25">
      <c r="A4830" s="311"/>
      <c r="B4830" s="312"/>
      <c r="C4830" s="312"/>
      <c r="D4830" s="312"/>
      <c r="E4830" s="312"/>
      <c r="F4830" s="312"/>
      <c r="G4830" s="328"/>
      <c r="H4830" s="337"/>
      <c r="I4830" s="334"/>
      <c r="J4830" s="314"/>
      <c r="K4830" s="449"/>
      <c r="M4830" s="349" t="str">
        <f>N4830&amp;AS[[#This Row],[Insurer Code]]&amp;"; "&amp;O4830&amp;AS[[#This Row],[Reporting Year]]&amp;"; "&amp;P4830&amp;AS[[#This Row],[Insurance Category Code]]&amp;"; "&amp;Q4830&amp;AS[[#This Row],[Large Provider Entity Code]]&amp;"; "&amp;R4830&amp;AS[[#This Row],[Age Band Code]]&amp;"; "&amp;S4830&amp;AS[[#This Row],[Sex Code]]</f>
        <v xml:space="preserve">Insurer Code ; Reporting Year ; Insurance Category Code ; Large Provider Entity Code ; Age Band Code ; Sex Code </v>
      </c>
      <c r="N4830" s="345" t="s">
        <v>207</v>
      </c>
      <c r="O4830" s="345" t="s">
        <v>208</v>
      </c>
      <c r="P4830" s="345" t="s">
        <v>209</v>
      </c>
      <c r="Q4830" s="345" t="s">
        <v>210</v>
      </c>
      <c r="R4830" s="345" t="s">
        <v>223</v>
      </c>
      <c r="S4830" s="345" t="s">
        <v>224</v>
      </c>
    </row>
    <row r="4831" spans="1:19" x14ac:dyDescent="0.25">
      <c r="A4831" s="311"/>
      <c r="B4831" s="312"/>
      <c r="C4831" s="312"/>
      <c r="D4831" s="312"/>
      <c r="E4831" s="312"/>
      <c r="F4831" s="312"/>
      <c r="G4831" s="328"/>
      <c r="H4831" s="337"/>
      <c r="I4831" s="334"/>
      <c r="J4831" s="314"/>
      <c r="K4831" s="449"/>
      <c r="M4831" s="349" t="str">
        <f>N4831&amp;AS[[#This Row],[Insurer Code]]&amp;"; "&amp;O4831&amp;AS[[#This Row],[Reporting Year]]&amp;"; "&amp;P4831&amp;AS[[#This Row],[Insurance Category Code]]&amp;"; "&amp;Q4831&amp;AS[[#This Row],[Large Provider Entity Code]]&amp;"; "&amp;R4831&amp;AS[[#This Row],[Age Band Code]]&amp;"; "&amp;S4831&amp;AS[[#This Row],[Sex Code]]</f>
        <v xml:space="preserve">Insurer Code ; Reporting Year ; Insurance Category Code ; Large Provider Entity Code ; Age Band Code ; Sex Code </v>
      </c>
      <c r="N4831" s="345" t="s">
        <v>207</v>
      </c>
      <c r="O4831" s="345" t="s">
        <v>208</v>
      </c>
      <c r="P4831" s="345" t="s">
        <v>209</v>
      </c>
      <c r="Q4831" s="345" t="s">
        <v>210</v>
      </c>
      <c r="R4831" s="345" t="s">
        <v>223</v>
      </c>
      <c r="S4831" s="345" t="s">
        <v>224</v>
      </c>
    </row>
    <row r="4832" spans="1:19" x14ac:dyDescent="0.25">
      <c r="A4832" s="311"/>
      <c r="B4832" s="312"/>
      <c r="C4832" s="312"/>
      <c r="D4832" s="312"/>
      <c r="E4832" s="312"/>
      <c r="F4832" s="312"/>
      <c r="G4832" s="328"/>
      <c r="H4832" s="337"/>
      <c r="I4832" s="334"/>
      <c r="J4832" s="314"/>
      <c r="K4832" s="449"/>
      <c r="M4832" s="349" t="str">
        <f>N4832&amp;AS[[#This Row],[Insurer Code]]&amp;"; "&amp;O4832&amp;AS[[#This Row],[Reporting Year]]&amp;"; "&amp;P4832&amp;AS[[#This Row],[Insurance Category Code]]&amp;"; "&amp;Q4832&amp;AS[[#This Row],[Large Provider Entity Code]]&amp;"; "&amp;R4832&amp;AS[[#This Row],[Age Band Code]]&amp;"; "&amp;S4832&amp;AS[[#This Row],[Sex Code]]</f>
        <v xml:space="preserve">Insurer Code ; Reporting Year ; Insurance Category Code ; Large Provider Entity Code ; Age Band Code ; Sex Code </v>
      </c>
      <c r="N4832" s="345" t="s">
        <v>207</v>
      </c>
      <c r="O4832" s="345" t="s">
        <v>208</v>
      </c>
      <c r="P4832" s="345" t="s">
        <v>209</v>
      </c>
      <c r="Q4832" s="345" t="s">
        <v>210</v>
      </c>
      <c r="R4832" s="345" t="s">
        <v>223</v>
      </c>
      <c r="S4832" s="345" t="s">
        <v>224</v>
      </c>
    </row>
    <row r="4833" spans="1:19" x14ac:dyDescent="0.25">
      <c r="A4833" s="311"/>
      <c r="B4833" s="312"/>
      <c r="C4833" s="312"/>
      <c r="D4833" s="312"/>
      <c r="E4833" s="312"/>
      <c r="F4833" s="312"/>
      <c r="G4833" s="328"/>
      <c r="H4833" s="337"/>
      <c r="I4833" s="334"/>
      <c r="J4833" s="314"/>
      <c r="K4833" s="449"/>
      <c r="M4833" s="349" t="str">
        <f>N4833&amp;AS[[#This Row],[Insurer Code]]&amp;"; "&amp;O4833&amp;AS[[#This Row],[Reporting Year]]&amp;"; "&amp;P4833&amp;AS[[#This Row],[Insurance Category Code]]&amp;"; "&amp;Q4833&amp;AS[[#This Row],[Large Provider Entity Code]]&amp;"; "&amp;R4833&amp;AS[[#This Row],[Age Band Code]]&amp;"; "&amp;S4833&amp;AS[[#This Row],[Sex Code]]</f>
        <v xml:space="preserve">Insurer Code ; Reporting Year ; Insurance Category Code ; Large Provider Entity Code ; Age Band Code ; Sex Code </v>
      </c>
      <c r="N4833" s="345" t="s">
        <v>207</v>
      </c>
      <c r="O4833" s="345" t="s">
        <v>208</v>
      </c>
      <c r="P4833" s="345" t="s">
        <v>209</v>
      </c>
      <c r="Q4833" s="345" t="s">
        <v>210</v>
      </c>
      <c r="R4833" s="345" t="s">
        <v>223</v>
      </c>
      <c r="S4833" s="345" t="s">
        <v>224</v>
      </c>
    </row>
    <row r="4834" spans="1:19" x14ac:dyDescent="0.25">
      <c r="A4834" s="311"/>
      <c r="B4834" s="312"/>
      <c r="C4834" s="312"/>
      <c r="D4834" s="312"/>
      <c r="E4834" s="312"/>
      <c r="F4834" s="312"/>
      <c r="G4834" s="328"/>
      <c r="H4834" s="337"/>
      <c r="I4834" s="334"/>
      <c r="J4834" s="314"/>
      <c r="K4834" s="449"/>
      <c r="M4834" s="349" t="str">
        <f>N4834&amp;AS[[#This Row],[Insurer Code]]&amp;"; "&amp;O4834&amp;AS[[#This Row],[Reporting Year]]&amp;"; "&amp;P4834&amp;AS[[#This Row],[Insurance Category Code]]&amp;"; "&amp;Q4834&amp;AS[[#This Row],[Large Provider Entity Code]]&amp;"; "&amp;R4834&amp;AS[[#This Row],[Age Band Code]]&amp;"; "&amp;S4834&amp;AS[[#This Row],[Sex Code]]</f>
        <v xml:space="preserve">Insurer Code ; Reporting Year ; Insurance Category Code ; Large Provider Entity Code ; Age Band Code ; Sex Code </v>
      </c>
      <c r="N4834" s="345" t="s">
        <v>207</v>
      </c>
      <c r="O4834" s="345" t="s">
        <v>208</v>
      </c>
      <c r="P4834" s="345" t="s">
        <v>209</v>
      </c>
      <c r="Q4834" s="345" t="s">
        <v>210</v>
      </c>
      <c r="R4834" s="345" t="s">
        <v>223</v>
      </c>
      <c r="S4834" s="345" t="s">
        <v>224</v>
      </c>
    </row>
    <row r="4835" spans="1:19" x14ac:dyDescent="0.25">
      <c r="A4835" s="311"/>
      <c r="B4835" s="312"/>
      <c r="C4835" s="312"/>
      <c r="D4835" s="312"/>
      <c r="E4835" s="312"/>
      <c r="F4835" s="312"/>
      <c r="G4835" s="328"/>
      <c r="H4835" s="337"/>
      <c r="I4835" s="334"/>
      <c r="J4835" s="314"/>
      <c r="K4835" s="449"/>
      <c r="M4835" s="349" t="str">
        <f>N4835&amp;AS[[#This Row],[Insurer Code]]&amp;"; "&amp;O4835&amp;AS[[#This Row],[Reporting Year]]&amp;"; "&amp;P4835&amp;AS[[#This Row],[Insurance Category Code]]&amp;"; "&amp;Q4835&amp;AS[[#This Row],[Large Provider Entity Code]]&amp;"; "&amp;R4835&amp;AS[[#This Row],[Age Band Code]]&amp;"; "&amp;S4835&amp;AS[[#This Row],[Sex Code]]</f>
        <v xml:space="preserve">Insurer Code ; Reporting Year ; Insurance Category Code ; Large Provider Entity Code ; Age Band Code ; Sex Code </v>
      </c>
      <c r="N4835" s="345" t="s">
        <v>207</v>
      </c>
      <c r="O4835" s="345" t="s">
        <v>208</v>
      </c>
      <c r="P4835" s="345" t="s">
        <v>209</v>
      </c>
      <c r="Q4835" s="345" t="s">
        <v>210</v>
      </c>
      <c r="R4835" s="345" t="s">
        <v>223</v>
      </c>
      <c r="S4835" s="345" t="s">
        <v>224</v>
      </c>
    </row>
    <row r="4836" spans="1:19" x14ac:dyDescent="0.25">
      <c r="A4836" s="311"/>
      <c r="B4836" s="312"/>
      <c r="C4836" s="312"/>
      <c r="D4836" s="312"/>
      <c r="E4836" s="312"/>
      <c r="F4836" s="312"/>
      <c r="G4836" s="328"/>
      <c r="H4836" s="337"/>
      <c r="I4836" s="334"/>
      <c r="J4836" s="314"/>
      <c r="K4836" s="449"/>
      <c r="M4836" s="349" t="str">
        <f>N4836&amp;AS[[#This Row],[Insurer Code]]&amp;"; "&amp;O4836&amp;AS[[#This Row],[Reporting Year]]&amp;"; "&amp;P4836&amp;AS[[#This Row],[Insurance Category Code]]&amp;"; "&amp;Q4836&amp;AS[[#This Row],[Large Provider Entity Code]]&amp;"; "&amp;R4836&amp;AS[[#This Row],[Age Band Code]]&amp;"; "&amp;S4836&amp;AS[[#This Row],[Sex Code]]</f>
        <v xml:space="preserve">Insurer Code ; Reporting Year ; Insurance Category Code ; Large Provider Entity Code ; Age Band Code ; Sex Code </v>
      </c>
      <c r="N4836" s="345" t="s">
        <v>207</v>
      </c>
      <c r="O4836" s="345" t="s">
        <v>208</v>
      </c>
      <c r="P4836" s="345" t="s">
        <v>209</v>
      </c>
      <c r="Q4836" s="345" t="s">
        <v>210</v>
      </c>
      <c r="R4836" s="345" t="s">
        <v>223</v>
      </c>
      <c r="S4836" s="345" t="s">
        <v>224</v>
      </c>
    </row>
    <row r="4837" spans="1:19" x14ac:dyDescent="0.25">
      <c r="A4837" s="311"/>
      <c r="B4837" s="312"/>
      <c r="C4837" s="312"/>
      <c r="D4837" s="312"/>
      <c r="E4837" s="312"/>
      <c r="F4837" s="312"/>
      <c r="G4837" s="328"/>
      <c r="H4837" s="337"/>
      <c r="I4837" s="334"/>
      <c r="J4837" s="314"/>
      <c r="K4837" s="449"/>
      <c r="M4837" s="349" t="str">
        <f>N4837&amp;AS[[#This Row],[Insurer Code]]&amp;"; "&amp;O4837&amp;AS[[#This Row],[Reporting Year]]&amp;"; "&amp;P4837&amp;AS[[#This Row],[Insurance Category Code]]&amp;"; "&amp;Q4837&amp;AS[[#This Row],[Large Provider Entity Code]]&amp;"; "&amp;R4837&amp;AS[[#This Row],[Age Band Code]]&amp;"; "&amp;S4837&amp;AS[[#This Row],[Sex Code]]</f>
        <v xml:space="preserve">Insurer Code ; Reporting Year ; Insurance Category Code ; Large Provider Entity Code ; Age Band Code ; Sex Code </v>
      </c>
      <c r="N4837" s="345" t="s">
        <v>207</v>
      </c>
      <c r="O4837" s="345" t="s">
        <v>208</v>
      </c>
      <c r="P4837" s="345" t="s">
        <v>209</v>
      </c>
      <c r="Q4837" s="345" t="s">
        <v>210</v>
      </c>
      <c r="R4837" s="345" t="s">
        <v>223</v>
      </c>
      <c r="S4837" s="345" t="s">
        <v>224</v>
      </c>
    </row>
    <row r="4838" spans="1:19" x14ac:dyDescent="0.25">
      <c r="A4838" s="311"/>
      <c r="B4838" s="312"/>
      <c r="C4838" s="312"/>
      <c r="D4838" s="312"/>
      <c r="E4838" s="312"/>
      <c r="F4838" s="312"/>
      <c r="G4838" s="328"/>
      <c r="H4838" s="337"/>
      <c r="I4838" s="334"/>
      <c r="J4838" s="314"/>
      <c r="K4838" s="449"/>
      <c r="M4838" s="349" t="str">
        <f>N4838&amp;AS[[#This Row],[Insurer Code]]&amp;"; "&amp;O4838&amp;AS[[#This Row],[Reporting Year]]&amp;"; "&amp;P4838&amp;AS[[#This Row],[Insurance Category Code]]&amp;"; "&amp;Q4838&amp;AS[[#This Row],[Large Provider Entity Code]]&amp;"; "&amp;R4838&amp;AS[[#This Row],[Age Band Code]]&amp;"; "&amp;S4838&amp;AS[[#This Row],[Sex Code]]</f>
        <v xml:space="preserve">Insurer Code ; Reporting Year ; Insurance Category Code ; Large Provider Entity Code ; Age Band Code ; Sex Code </v>
      </c>
      <c r="N4838" s="345" t="s">
        <v>207</v>
      </c>
      <c r="O4838" s="345" t="s">
        <v>208</v>
      </c>
      <c r="P4838" s="345" t="s">
        <v>209</v>
      </c>
      <c r="Q4838" s="345" t="s">
        <v>210</v>
      </c>
      <c r="R4838" s="345" t="s">
        <v>223</v>
      </c>
      <c r="S4838" s="345" t="s">
        <v>224</v>
      </c>
    </row>
    <row r="4839" spans="1:19" x14ac:dyDescent="0.25">
      <c r="A4839" s="311"/>
      <c r="B4839" s="312"/>
      <c r="C4839" s="312"/>
      <c r="D4839" s="312"/>
      <c r="E4839" s="312"/>
      <c r="F4839" s="312"/>
      <c r="G4839" s="328"/>
      <c r="H4839" s="337"/>
      <c r="I4839" s="334"/>
      <c r="J4839" s="314"/>
      <c r="K4839" s="449"/>
      <c r="M4839" s="349" t="str">
        <f>N4839&amp;AS[[#This Row],[Insurer Code]]&amp;"; "&amp;O4839&amp;AS[[#This Row],[Reporting Year]]&amp;"; "&amp;P4839&amp;AS[[#This Row],[Insurance Category Code]]&amp;"; "&amp;Q4839&amp;AS[[#This Row],[Large Provider Entity Code]]&amp;"; "&amp;R4839&amp;AS[[#This Row],[Age Band Code]]&amp;"; "&amp;S4839&amp;AS[[#This Row],[Sex Code]]</f>
        <v xml:space="preserve">Insurer Code ; Reporting Year ; Insurance Category Code ; Large Provider Entity Code ; Age Band Code ; Sex Code </v>
      </c>
      <c r="N4839" s="345" t="s">
        <v>207</v>
      </c>
      <c r="O4839" s="345" t="s">
        <v>208</v>
      </c>
      <c r="P4839" s="345" t="s">
        <v>209</v>
      </c>
      <c r="Q4839" s="345" t="s">
        <v>210</v>
      </c>
      <c r="R4839" s="345" t="s">
        <v>223</v>
      </c>
      <c r="S4839" s="345" t="s">
        <v>224</v>
      </c>
    </row>
    <row r="4840" spans="1:19" x14ac:dyDescent="0.25">
      <c r="A4840" s="311"/>
      <c r="B4840" s="312"/>
      <c r="C4840" s="312"/>
      <c r="D4840" s="312"/>
      <c r="E4840" s="312"/>
      <c r="F4840" s="312"/>
      <c r="G4840" s="328"/>
      <c r="H4840" s="337"/>
      <c r="I4840" s="334"/>
      <c r="J4840" s="314"/>
      <c r="K4840" s="449"/>
      <c r="M4840" s="349" t="str">
        <f>N4840&amp;AS[[#This Row],[Insurer Code]]&amp;"; "&amp;O4840&amp;AS[[#This Row],[Reporting Year]]&amp;"; "&amp;P4840&amp;AS[[#This Row],[Insurance Category Code]]&amp;"; "&amp;Q4840&amp;AS[[#This Row],[Large Provider Entity Code]]&amp;"; "&amp;R4840&amp;AS[[#This Row],[Age Band Code]]&amp;"; "&amp;S4840&amp;AS[[#This Row],[Sex Code]]</f>
        <v xml:space="preserve">Insurer Code ; Reporting Year ; Insurance Category Code ; Large Provider Entity Code ; Age Band Code ; Sex Code </v>
      </c>
      <c r="N4840" s="345" t="s">
        <v>207</v>
      </c>
      <c r="O4840" s="345" t="s">
        <v>208</v>
      </c>
      <c r="P4840" s="345" t="s">
        <v>209</v>
      </c>
      <c r="Q4840" s="345" t="s">
        <v>210</v>
      </c>
      <c r="R4840" s="345" t="s">
        <v>223</v>
      </c>
      <c r="S4840" s="345" t="s">
        <v>224</v>
      </c>
    </row>
    <row r="4841" spans="1:19" x14ac:dyDescent="0.25">
      <c r="A4841" s="311"/>
      <c r="B4841" s="312"/>
      <c r="C4841" s="312"/>
      <c r="D4841" s="312"/>
      <c r="E4841" s="312"/>
      <c r="F4841" s="312"/>
      <c r="G4841" s="328"/>
      <c r="H4841" s="337"/>
      <c r="I4841" s="334"/>
      <c r="J4841" s="314"/>
      <c r="K4841" s="449"/>
      <c r="M4841" s="349" t="str">
        <f>N4841&amp;AS[[#This Row],[Insurer Code]]&amp;"; "&amp;O4841&amp;AS[[#This Row],[Reporting Year]]&amp;"; "&amp;P4841&amp;AS[[#This Row],[Insurance Category Code]]&amp;"; "&amp;Q4841&amp;AS[[#This Row],[Large Provider Entity Code]]&amp;"; "&amp;R4841&amp;AS[[#This Row],[Age Band Code]]&amp;"; "&amp;S4841&amp;AS[[#This Row],[Sex Code]]</f>
        <v xml:space="preserve">Insurer Code ; Reporting Year ; Insurance Category Code ; Large Provider Entity Code ; Age Band Code ; Sex Code </v>
      </c>
      <c r="N4841" s="345" t="s">
        <v>207</v>
      </c>
      <c r="O4841" s="345" t="s">
        <v>208</v>
      </c>
      <c r="P4841" s="345" t="s">
        <v>209</v>
      </c>
      <c r="Q4841" s="345" t="s">
        <v>210</v>
      </c>
      <c r="R4841" s="345" t="s">
        <v>223</v>
      </c>
      <c r="S4841" s="345" t="s">
        <v>224</v>
      </c>
    </row>
    <row r="4842" spans="1:19" x14ac:dyDescent="0.25">
      <c r="A4842" s="311"/>
      <c r="B4842" s="312"/>
      <c r="C4842" s="312"/>
      <c r="D4842" s="312"/>
      <c r="E4842" s="312"/>
      <c r="F4842" s="312"/>
      <c r="G4842" s="328"/>
      <c r="H4842" s="337"/>
      <c r="I4842" s="334"/>
      <c r="J4842" s="314"/>
      <c r="K4842" s="449"/>
      <c r="M4842" s="349" t="str">
        <f>N4842&amp;AS[[#This Row],[Insurer Code]]&amp;"; "&amp;O4842&amp;AS[[#This Row],[Reporting Year]]&amp;"; "&amp;P4842&amp;AS[[#This Row],[Insurance Category Code]]&amp;"; "&amp;Q4842&amp;AS[[#This Row],[Large Provider Entity Code]]&amp;"; "&amp;R4842&amp;AS[[#This Row],[Age Band Code]]&amp;"; "&amp;S4842&amp;AS[[#This Row],[Sex Code]]</f>
        <v xml:space="preserve">Insurer Code ; Reporting Year ; Insurance Category Code ; Large Provider Entity Code ; Age Band Code ; Sex Code </v>
      </c>
      <c r="N4842" s="345" t="s">
        <v>207</v>
      </c>
      <c r="O4842" s="345" t="s">
        <v>208</v>
      </c>
      <c r="P4842" s="345" t="s">
        <v>209</v>
      </c>
      <c r="Q4842" s="345" t="s">
        <v>210</v>
      </c>
      <c r="R4842" s="345" t="s">
        <v>223</v>
      </c>
      <c r="S4842" s="345" t="s">
        <v>224</v>
      </c>
    </row>
    <row r="4843" spans="1:19" x14ac:dyDescent="0.25">
      <c r="A4843" s="311"/>
      <c r="B4843" s="312"/>
      <c r="C4843" s="312"/>
      <c r="D4843" s="312"/>
      <c r="E4843" s="312"/>
      <c r="F4843" s="312"/>
      <c r="G4843" s="328"/>
      <c r="H4843" s="337"/>
      <c r="I4843" s="334"/>
      <c r="J4843" s="314"/>
      <c r="K4843" s="449"/>
      <c r="M4843" s="349" t="str">
        <f>N4843&amp;AS[[#This Row],[Insurer Code]]&amp;"; "&amp;O4843&amp;AS[[#This Row],[Reporting Year]]&amp;"; "&amp;P4843&amp;AS[[#This Row],[Insurance Category Code]]&amp;"; "&amp;Q4843&amp;AS[[#This Row],[Large Provider Entity Code]]&amp;"; "&amp;R4843&amp;AS[[#This Row],[Age Band Code]]&amp;"; "&amp;S4843&amp;AS[[#This Row],[Sex Code]]</f>
        <v xml:space="preserve">Insurer Code ; Reporting Year ; Insurance Category Code ; Large Provider Entity Code ; Age Band Code ; Sex Code </v>
      </c>
      <c r="N4843" s="345" t="s">
        <v>207</v>
      </c>
      <c r="O4843" s="345" t="s">
        <v>208</v>
      </c>
      <c r="P4843" s="345" t="s">
        <v>209</v>
      </c>
      <c r="Q4843" s="345" t="s">
        <v>210</v>
      </c>
      <c r="R4843" s="345" t="s">
        <v>223</v>
      </c>
      <c r="S4843" s="345" t="s">
        <v>224</v>
      </c>
    </row>
    <row r="4844" spans="1:19" x14ac:dyDescent="0.25">
      <c r="A4844" s="311"/>
      <c r="B4844" s="312"/>
      <c r="C4844" s="312"/>
      <c r="D4844" s="312"/>
      <c r="E4844" s="312"/>
      <c r="F4844" s="312"/>
      <c r="G4844" s="328"/>
      <c r="H4844" s="337"/>
      <c r="I4844" s="334"/>
      <c r="J4844" s="314"/>
      <c r="K4844" s="449"/>
      <c r="M4844" s="349" t="str">
        <f>N4844&amp;AS[[#This Row],[Insurer Code]]&amp;"; "&amp;O4844&amp;AS[[#This Row],[Reporting Year]]&amp;"; "&amp;P4844&amp;AS[[#This Row],[Insurance Category Code]]&amp;"; "&amp;Q4844&amp;AS[[#This Row],[Large Provider Entity Code]]&amp;"; "&amp;R4844&amp;AS[[#This Row],[Age Band Code]]&amp;"; "&amp;S4844&amp;AS[[#This Row],[Sex Code]]</f>
        <v xml:space="preserve">Insurer Code ; Reporting Year ; Insurance Category Code ; Large Provider Entity Code ; Age Band Code ; Sex Code </v>
      </c>
      <c r="N4844" s="345" t="s">
        <v>207</v>
      </c>
      <c r="O4844" s="345" t="s">
        <v>208</v>
      </c>
      <c r="P4844" s="345" t="s">
        <v>209</v>
      </c>
      <c r="Q4844" s="345" t="s">
        <v>210</v>
      </c>
      <c r="R4844" s="345" t="s">
        <v>223</v>
      </c>
      <c r="S4844" s="345" t="s">
        <v>224</v>
      </c>
    </row>
    <row r="4845" spans="1:19" x14ac:dyDescent="0.25">
      <c r="A4845" s="311"/>
      <c r="B4845" s="312"/>
      <c r="C4845" s="312"/>
      <c r="D4845" s="312"/>
      <c r="E4845" s="312"/>
      <c r="F4845" s="312"/>
      <c r="G4845" s="328"/>
      <c r="H4845" s="337"/>
      <c r="I4845" s="334"/>
      <c r="J4845" s="314"/>
      <c r="K4845" s="449"/>
      <c r="M4845" s="349" t="str">
        <f>N4845&amp;AS[[#This Row],[Insurer Code]]&amp;"; "&amp;O4845&amp;AS[[#This Row],[Reporting Year]]&amp;"; "&amp;P4845&amp;AS[[#This Row],[Insurance Category Code]]&amp;"; "&amp;Q4845&amp;AS[[#This Row],[Large Provider Entity Code]]&amp;"; "&amp;R4845&amp;AS[[#This Row],[Age Band Code]]&amp;"; "&amp;S4845&amp;AS[[#This Row],[Sex Code]]</f>
        <v xml:space="preserve">Insurer Code ; Reporting Year ; Insurance Category Code ; Large Provider Entity Code ; Age Band Code ; Sex Code </v>
      </c>
      <c r="N4845" s="345" t="s">
        <v>207</v>
      </c>
      <c r="O4845" s="345" t="s">
        <v>208</v>
      </c>
      <c r="P4845" s="345" t="s">
        <v>209</v>
      </c>
      <c r="Q4845" s="345" t="s">
        <v>210</v>
      </c>
      <c r="R4845" s="345" t="s">
        <v>223</v>
      </c>
      <c r="S4845" s="345" t="s">
        <v>224</v>
      </c>
    </row>
    <row r="4846" spans="1:19" x14ac:dyDescent="0.25">
      <c r="A4846" s="311"/>
      <c r="B4846" s="312"/>
      <c r="C4846" s="312"/>
      <c r="D4846" s="312"/>
      <c r="E4846" s="312"/>
      <c r="F4846" s="312"/>
      <c r="G4846" s="328"/>
      <c r="H4846" s="337"/>
      <c r="I4846" s="334"/>
      <c r="J4846" s="314"/>
      <c r="K4846" s="449"/>
      <c r="M4846" s="349" t="str">
        <f>N4846&amp;AS[[#This Row],[Insurer Code]]&amp;"; "&amp;O4846&amp;AS[[#This Row],[Reporting Year]]&amp;"; "&amp;P4846&amp;AS[[#This Row],[Insurance Category Code]]&amp;"; "&amp;Q4846&amp;AS[[#This Row],[Large Provider Entity Code]]&amp;"; "&amp;R4846&amp;AS[[#This Row],[Age Band Code]]&amp;"; "&amp;S4846&amp;AS[[#This Row],[Sex Code]]</f>
        <v xml:space="preserve">Insurer Code ; Reporting Year ; Insurance Category Code ; Large Provider Entity Code ; Age Band Code ; Sex Code </v>
      </c>
      <c r="N4846" s="345" t="s">
        <v>207</v>
      </c>
      <c r="O4846" s="345" t="s">
        <v>208</v>
      </c>
      <c r="P4846" s="345" t="s">
        <v>209</v>
      </c>
      <c r="Q4846" s="345" t="s">
        <v>210</v>
      </c>
      <c r="R4846" s="345" t="s">
        <v>223</v>
      </c>
      <c r="S4846" s="345" t="s">
        <v>224</v>
      </c>
    </row>
    <row r="4847" spans="1:19" x14ac:dyDescent="0.25">
      <c r="A4847" s="311"/>
      <c r="B4847" s="312"/>
      <c r="C4847" s="312"/>
      <c r="D4847" s="312"/>
      <c r="E4847" s="312"/>
      <c r="F4847" s="312"/>
      <c r="G4847" s="328"/>
      <c r="H4847" s="337"/>
      <c r="I4847" s="334"/>
      <c r="J4847" s="314"/>
      <c r="K4847" s="449"/>
      <c r="M4847" s="349" t="str">
        <f>N4847&amp;AS[[#This Row],[Insurer Code]]&amp;"; "&amp;O4847&amp;AS[[#This Row],[Reporting Year]]&amp;"; "&amp;P4847&amp;AS[[#This Row],[Insurance Category Code]]&amp;"; "&amp;Q4847&amp;AS[[#This Row],[Large Provider Entity Code]]&amp;"; "&amp;R4847&amp;AS[[#This Row],[Age Band Code]]&amp;"; "&amp;S4847&amp;AS[[#This Row],[Sex Code]]</f>
        <v xml:space="preserve">Insurer Code ; Reporting Year ; Insurance Category Code ; Large Provider Entity Code ; Age Band Code ; Sex Code </v>
      </c>
      <c r="N4847" s="345" t="s">
        <v>207</v>
      </c>
      <c r="O4847" s="345" t="s">
        <v>208</v>
      </c>
      <c r="P4847" s="345" t="s">
        <v>209</v>
      </c>
      <c r="Q4847" s="345" t="s">
        <v>210</v>
      </c>
      <c r="R4847" s="345" t="s">
        <v>223</v>
      </c>
      <c r="S4847" s="345" t="s">
        <v>224</v>
      </c>
    </row>
    <row r="4848" spans="1:19" x14ac:dyDescent="0.25">
      <c r="A4848" s="311"/>
      <c r="B4848" s="312"/>
      <c r="C4848" s="312"/>
      <c r="D4848" s="312"/>
      <c r="E4848" s="312"/>
      <c r="F4848" s="312"/>
      <c r="G4848" s="328"/>
      <c r="H4848" s="337"/>
      <c r="I4848" s="334"/>
      <c r="J4848" s="314"/>
      <c r="K4848" s="449"/>
      <c r="M4848" s="349" t="str">
        <f>N4848&amp;AS[[#This Row],[Insurer Code]]&amp;"; "&amp;O4848&amp;AS[[#This Row],[Reporting Year]]&amp;"; "&amp;P4848&amp;AS[[#This Row],[Insurance Category Code]]&amp;"; "&amp;Q4848&amp;AS[[#This Row],[Large Provider Entity Code]]&amp;"; "&amp;R4848&amp;AS[[#This Row],[Age Band Code]]&amp;"; "&amp;S4848&amp;AS[[#This Row],[Sex Code]]</f>
        <v xml:space="preserve">Insurer Code ; Reporting Year ; Insurance Category Code ; Large Provider Entity Code ; Age Band Code ; Sex Code </v>
      </c>
      <c r="N4848" s="345" t="s">
        <v>207</v>
      </c>
      <c r="O4848" s="345" t="s">
        <v>208</v>
      </c>
      <c r="P4848" s="345" t="s">
        <v>209</v>
      </c>
      <c r="Q4848" s="345" t="s">
        <v>210</v>
      </c>
      <c r="R4848" s="345" t="s">
        <v>223</v>
      </c>
      <c r="S4848" s="345" t="s">
        <v>224</v>
      </c>
    </row>
    <row r="4849" spans="1:19" x14ac:dyDescent="0.25">
      <c r="A4849" s="311"/>
      <c r="B4849" s="312"/>
      <c r="C4849" s="312"/>
      <c r="D4849" s="312"/>
      <c r="E4849" s="312"/>
      <c r="F4849" s="312"/>
      <c r="G4849" s="328"/>
      <c r="H4849" s="337"/>
      <c r="I4849" s="334"/>
      <c r="J4849" s="314"/>
      <c r="K4849" s="449"/>
      <c r="M4849" s="349" t="str">
        <f>N4849&amp;AS[[#This Row],[Insurer Code]]&amp;"; "&amp;O4849&amp;AS[[#This Row],[Reporting Year]]&amp;"; "&amp;P4849&amp;AS[[#This Row],[Insurance Category Code]]&amp;"; "&amp;Q4849&amp;AS[[#This Row],[Large Provider Entity Code]]&amp;"; "&amp;R4849&amp;AS[[#This Row],[Age Band Code]]&amp;"; "&amp;S4849&amp;AS[[#This Row],[Sex Code]]</f>
        <v xml:space="preserve">Insurer Code ; Reporting Year ; Insurance Category Code ; Large Provider Entity Code ; Age Band Code ; Sex Code </v>
      </c>
      <c r="N4849" s="345" t="s">
        <v>207</v>
      </c>
      <c r="O4849" s="345" t="s">
        <v>208</v>
      </c>
      <c r="P4849" s="345" t="s">
        <v>209</v>
      </c>
      <c r="Q4849" s="345" t="s">
        <v>210</v>
      </c>
      <c r="R4849" s="345" t="s">
        <v>223</v>
      </c>
      <c r="S4849" s="345" t="s">
        <v>224</v>
      </c>
    </row>
    <row r="4850" spans="1:19" x14ac:dyDescent="0.25">
      <c r="A4850" s="311"/>
      <c r="B4850" s="312"/>
      <c r="C4850" s="312"/>
      <c r="D4850" s="312"/>
      <c r="E4850" s="312"/>
      <c r="F4850" s="312"/>
      <c r="G4850" s="328"/>
      <c r="H4850" s="337"/>
      <c r="I4850" s="334"/>
      <c r="J4850" s="314"/>
      <c r="K4850" s="449"/>
      <c r="M4850" s="349" t="str">
        <f>N4850&amp;AS[[#This Row],[Insurer Code]]&amp;"; "&amp;O4850&amp;AS[[#This Row],[Reporting Year]]&amp;"; "&amp;P4850&amp;AS[[#This Row],[Insurance Category Code]]&amp;"; "&amp;Q4850&amp;AS[[#This Row],[Large Provider Entity Code]]&amp;"; "&amp;R4850&amp;AS[[#This Row],[Age Band Code]]&amp;"; "&amp;S4850&amp;AS[[#This Row],[Sex Code]]</f>
        <v xml:space="preserve">Insurer Code ; Reporting Year ; Insurance Category Code ; Large Provider Entity Code ; Age Band Code ; Sex Code </v>
      </c>
      <c r="N4850" s="345" t="s">
        <v>207</v>
      </c>
      <c r="O4850" s="345" t="s">
        <v>208</v>
      </c>
      <c r="P4850" s="345" t="s">
        <v>209</v>
      </c>
      <c r="Q4850" s="345" t="s">
        <v>210</v>
      </c>
      <c r="R4850" s="345" t="s">
        <v>223</v>
      </c>
      <c r="S4850" s="345" t="s">
        <v>224</v>
      </c>
    </row>
    <row r="4851" spans="1:19" x14ac:dyDescent="0.25">
      <c r="A4851" s="311"/>
      <c r="B4851" s="312"/>
      <c r="C4851" s="312"/>
      <c r="D4851" s="312"/>
      <c r="E4851" s="312"/>
      <c r="F4851" s="312"/>
      <c r="G4851" s="328"/>
      <c r="H4851" s="337"/>
      <c r="I4851" s="334"/>
      <c r="J4851" s="314"/>
      <c r="K4851" s="449"/>
      <c r="M4851" s="349" t="str">
        <f>N4851&amp;AS[[#This Row],[Insurer Code]]&amp;"; "&amp;O4851&amp;AS[[#This Row],[Reporting Year]]&amp;"; "&amp;P4851&amp;AS[[#This Row],[Insurance Category Code]]&amp;"; "&amp;Q4851&amp;AS[[#This Row],[Large Provider Entity Code]]&amp;"; "&amp;R4851&amp;AS[[#This Row],[Age Band Code]]&amp;"; "&amp;S4851&amp;AS[[#This Row],[Sex Code]]</f>
        <v xml:space="preserve">Insurer Code ; Reporting Year ; Insurance Category Code ; Large Provider Entity Code ; Age Band Code ; Sex Code </v>
      </c>
      <c r="N4851" s="345" t="s">
        <v>207</v>
      </c>
      <c r="O4851" s="345" t="s">
        <v>208</v>
      </c>
      <c r="P4851" s="345" t="s">
        <v>209</v>
      </c>
      <c r="Q4851" s="345" t="s">
        <v>210</v>
      </c>
      <c r="R4851" s="345" t="s">
        <v>223</v>
      </c>
      <c r="S4851" s="345" t="s">
        <v>224</v>
      </c>
    </row>
    <row r="4852" spans="1:19" x14ac:dyDescent="0.25">
      <c r="A4852" s="311"/>
      <c r="B4852" s="312"/>
      <c r="C4852" s="312"/>
      <c r="D4852" s="312"/>
      <c r="E4852" s="312"/>
      <c r="F4852" s="312"/>
      <c r="G4852" s="328"/>
      <c r="H4852" s="337"/>
      <c r="I4852" s="334"/>
      <c r="J4852" s="314"/>
      <c r="K4852" s="449"/>
      <c r="M4852" s="349" t="str">
        <f>N4852&amp;AS[[#This Row],[Insurer Code]]&amp;"; "&amp;O4852&amp;AS[[#This Row],[Reporting Year]]&amp;"; "&amp;P4852&amp;AS[[#This Row],[Insurance Category Code]]&amp;"; "&amp;Q4852&amp;AS[[#This Row],[Large Provider Entity Code]]&amp;"; "&amp;R4852&amp;AS[[#This Row],[Age Band Code]]&amp;"; "&amp;S4852&amp;AS[[#This Row],[Sex Code]]</f>
        <v xml:space="preserve">Insurer Code ; Reporting Year ; Insurance Category Code ; Large Provider Entity Code ; Age Band Code ; Sex Code </v>
      </c>
      <c r="N4852" s="345" t="s">
        <v>207</v>
      </c>
      <c r="O4852" s="345" t="s">
        <v>208</v>
      </c>
      <c r="P4852" s="345" t="s">
        <v>209</v>
      </c>
      <c r="Q4852" s="345" t="s">
        <v>210</v>
      </c>
      <c r="R4852" s="345" t="s">
        <v>223</v>
      </c>
      <c r="S4852" s="345" t="s">
        <v>224</v>
      </c>
    </row>
    <row r="4853" spans="1:19" x14ac:dyDescent="0.25">
      <c r="A4853" s="311"/>
      <c r="B4853" s="312"/>
      <c r="C4853" s="312"/>
      <c r="D4853" s="312"/>
      <c r="E4853" s="312"/>
      <c r="F4853" s="312"/>
      <c r="G4853" s="328"/>
      <c r="H4853" s="337"/>
      <c r="I4853" s="334"/>
      <c r="J4853" s="314"/>
      <c r="K4853" s="449"/>
      <c r="M4853" s="349" t="str">
        <f>N4853&amp;AS[[#This Row],[Insurer Code]]&amp;"; "&amp;O4853&amp;AS[[#This Row],[Reporting Year]]&amp;"; "&amp;P4853&amp;AS[[#This Row],[Insurance Category Code]]&amp;"; "&amp;Q4853&amp;AS[[#This Row],[Large Provider Entity Code]]&amp;"; "&amp;R4853&amp;AS[[#This Row],[Age Band Code]]&amp;"; "&amp;S4853&amp;AS[[#This Row],[Sex Code]]</f>
        <v xml:space="preserve">Insurer Code ; Reporting Year ; Insurance Category Code ; Large Provider Entity Code ; Age Band Code ; Sex Code </v>
      </c>
      <c r="N4853" s="345" t="s">
        <v>207</v>
      </c>
      <c r="O4853" s="345" t="s">
        <v>208</v>
      </c>
      <c r="P4853" s="345" t="s">
        <v>209</v>
      </c>
      <c r="Q4853" s="345" t="s">
        <v>210</v>
      </c>
      <c r="R4853" s="345" t="s">
        <v>223</v>
      </c>
      <c r="S4853" s="345" t="s">
        <v>224</v>
      </c>
    </row>
    <row r="4854" spans="1:19" x14ac:dyDescent="0.25">
      <c r="A4854" s="311"/>
      <c r="B4854" s="312"/>
      <c r="C4854" s="312"/>
      <c r="D4854" s="312"/>
      <c r="E4854" s="312"/>
      <c r="F4854" s="312"/>
      <c r="G4854" s="328"/>
      <c r="H4854" s="337"/>
      <c r="I4854" s="334"/>
      <c r="J4854" s="314"/>
      <c r="K4854" s="449"/>
      <c r="M4854" s="349" t="str">
        <f>N4854&amp;AS[[#This Row],[Insurer Code]]&amp;"; "&amp;O4854&amp;AS[[#This Row],[Reporting Year]]&amp;"; "&amp;P4854&amp;AS[[#This Row],[Insurance Category Code]]&amp;"; "&amp;Q4854&amp;AS[[#This Row],[Large Provider Entity Code]]&amp;"; "&amp;R4854&amp;AS[[#This Row],[Age Band Code]]&amp;"; "&amp;S4854&amp;AS[[#This Row],[Sex Code]]</f>
        <v xml:space="preserve">Insurer Code ; Reporting Year ; Insurance Category Code ; Large Provider Entity Code ; Age Band Code ; Sex Code </v>
      </c>
      <c r="N4854" s="345" t="s">
        <v>207</v>
      </c>
      <c r="O4854" s="345" t="s">
        <v>208</v>
      </c>
      <c r="P4854" s="345" t="s">
        <v>209</v>
      </c>
      <c r="Q4854" s="345" t="s">
        <v>210</v>
      </c>
      <c r="R4854" s="345" t="s">
        <v>223</v>
      </c>
      <c r="S4854" s="345" t="s">
        <v>224</v>
      </c>
    </row>
    <row r="4855" spans="1:19" x14ac:dyDescent="0.25">
      <c r="A4855" s="311"/>
      <c r="B4855" s="312"/>
      <c r="C4855" s="312"/>
      <c r="D4855" s="312"/>
      <c r="E4855" s="312"/>
      <c r="F4855" s="312"/>
      <c r="G4855" s="328"/>
      <c r="H4855" s="337"/>
      <c r="I4855" s="334"/>
      <c r="J4855" s="314"/>
      <c r="K4855" s="449"/>
      <c r="M4855" s="349" t="str">
        <f>N4855&amp;AS[[#This Row],[Insurer Code]]&amp;"; "&amp;O4855&amp;AS[[#This Row],[Reporting Year]]&amp;"; "&amp;P4855&amp;AS[[#This Row],[Insurance Category Code]]&amp;"; "&amp;Q4855&amp;AS[[#This Row],[Large Provider Entity Code]]&amp;"; "&amp;R4855&amp;AS[[#This Row],[Age Band Code]]&amp;"; "&amp;S4855&amp;AS[[#This Row],[Sex Code]]</f>
        <v xml:space="preserve">Insurer Code ; Reporting Year ; Insurance Category Code ; Large Provider Entity Code ; Age Band Code ; Sex Code </v>
      </c>
      <c r="N4855" s="345" t="s">
        <v>207</v>
      </c>
      <c r="O4855" s="345" t="s">
        <v>208</v>
      </c>
      <c r="P4855" s="345" t="s">
        <v>209</v>
      </c>
      <c r="Q4855" s="345" t="s">
        <v>210</v>
      </c>
      <c r="R4855" s="345" t="s">
        <v>223</v>
      </c>
      <c r="S4855" s="345" t="s">
        <v>224</v>
      </c>
    </row>
    <row r="4856" spans="1:19" x14ac:dyDescent="0.25">
      <c r="A4856" s="311"/>
      <c r="B4856" s="312"/>
      <c r="C4856" s="312"/>
      <c r="D4856" s="312"/>
      <c r="E4856" s="312"/>
      <c r="F4856" s="312"/>
      <c r="G4856" s="328"/>
      <c r="H4856" s="337"/>
      <c r="I4856" s="334"/>
      <c r="J4856" s="314"/>
      <c r="K4856" s="449"/>
      <c r="M4856" s="349" t="str">
        <f>N4856&amp;AS[[#This Row],[Insurer Code]]&amp;"; "&amp;O4856&amp;AS[[#This Row],[Reporting Year]]&amp;"; "&amp;P4856&amp;AS[[#This Row],[Insurance Category Code]]&amp;"; "&amp;Q4856&amp;AS[[#This Row],[Large Provider Entity Code]]&amp;"; "&amp;R4856&amp;AS[[#This Row],[Age Band Code]]&amp;"; "&amp;S4856&amp;AS[[#This Row],[Sex Code]]</f>
        <v xml:space="preserve">Insurer Code ; Reporting Year ; Insurance Category Code ; Large Provider Entity Code ; Age Band Code ; Sex Code </v>
      </c>
      <c r="N4856" s="345" t="s">
        <v>207</v>
      </c>
      <c r="O4856" s="345" t="s">
        <v>208</v>
      </c>
      <c r="P4856" s="345" t="s">
        <v>209</v>
      </c>
      <c r="Q4856" s="345" t="s">
        <v>210</v>
      </c>
      <c r="R4856" s="345" t="s">
        <v>223</v>
      </c>
      <c r="S4856" s="345" t="s">
        <v>224</v>
      </c>
    </row>
    <row r="4857" spans="1:19" x14ac:dyDescent="0.25">
      <c r="A4857" s="311"/>
      <c r="B4857" s="312"/>
      <c r="C4857" s="312"/>
      <c r="D4857" s="312"/>
      <c r="E4857" s="312"/>
      <c r="F4857" s="312"/>
      <c r="G4857" s="328"/>
      <c r="H4857" s="337"/>
      <c r="I4857" s="334"/>
      <c r="J4857" s="314"/>
      <c r="K4857" s="449"/>
      <c r="M4857" s="349" t="str">
        <f>N4857&amp;AS[[#This Row],[Insurer Code]]&amp;"; "&amp;O4857&amp;AS[[#This Row],[Reporting Year]]&amp;"; "&amp;P4857&amp;AS[[#This Row],[Insurance Category Code]]&amp;"; "&amp;Q4857&amp;AS[[#This Row],[Large Provider Entity Code]]&amp;"; "&amp;R4857&amp;AS[[#This Row],[Age Band Code]]&amp;"; "&amp;S4857&amp;AS[[#This Row],[Sex Code]]</f>
        <v xml:space="preserve">Insurer Code ; Reporting Year ; Insurance Category Code ; Large Provider Entity Code ; Age Band Code ; Sex Code </v>
      </c>
      <c r="N4857" s="345" t="s">
        <v>207</v>
      </c>
      <c r="O4857" s="345" t="s">
        <v>208</v>
      </c>
      <c r="P4857" s="345" t="s">
        <v>209</v>
      </c>
      <c r="Q4857" s="345" t="s">
        <v>210</v>
      </c>
      <c r="R4857" s="345" t="s">
        <v>223</v>
      </c>
      <c r="S4857" s="345" t="s">
        <v>224</v>
      </c>
    </row>
    <row r="4858" spans="1:19" x14ac:dyDescent="0.25">
      <c r="A4858" s="311"/>
      <c r="B4858" s="312"/>
      <c r="C4858" s="312"/>
      <c r="D4858" s="312"/>
      <c r="E4858" s="312"/>
      <c r="F4858" s="312"/>
      <c r="G4858" s="328"/>
      <c r="H4858" s="337"/>
      <c r="I4858" s="334"/>
      <c r="J4858" s="314"/>
      <c r="K4858" s="449"/>
      <c r="M4858" s="349" t="str">
        <f>N4858&amp;AS[[#This Row],[Insurer Code]]&amp;"; "&amp;O4858&amp;AS[[#This Row],[Reporting Year]]&amp;"; "&amp;P4858&amp;AS[[#This Row],[Insurance Category Code]]&amp;"; "&amp;Q4858&amp;AS[[#This Row],[Large Provider Entity Code]]&amp;"; "&amp;R4858&amp;AS[[#This Row],[Age Band Code]]&amp;"; "&amp;S4858&amp;AS[[#This Row],[Sex Code]]</f>
        <v xml:space="preserve">Insurer Code ; Reporting Year ; Insurance Category Code ; Large Provider Entity Code ; Age Band Code ; Sex Code </v>
      </c>
      <c r="N4858" s="345" t="s">
        <v>207</v>
      </c>
      <c r="O4858" s="345" t="s">
        <v>208</v>
      </c>
      <c r="P4858" s="345" t="s">
        <v>209</v>
      </c>
      <c r="Q4858" s="345" t="s">
        <v>210</v>
      </c>
      <c r="R4858" s="345" t="s">
        <v>223</v>
      </c>
      <c r="S4858" s="345" t="s">
        <v>224</v>
      </c>
    </row>
    <row r="4859" spans="1:19" x14ac:dyDescent="0.25">
      <c r="A4859" s="311"/>
      <c r="B4859" s="312"/>
      <c r="C4859" s="312"/>
      <c r="D4859" s="312"/>
      <c r="E4859" s="312"/>
      <c r="F4859" s="312"/>
      <c r="G4859" s="328"/>
      <c r="H4859" s="337"/>
      <c r="I4859" s="334"/>
      <c r="J4859" s="314"/>
      <c r="K4859" s="449"/>
      <c r="M4859" s="349" t="str">
        <f>N4859&amp;AS[[#This Row],[Insurer Code]]&amp;"; "&amp;O4859&amp;AS[[#This Row],[Reporting Year]]&amp;"; "&amp;P4859&amp;AS[[#This Row],[Insurance Category Code]]&amp;"; "&amp;Q4859&amp;AS[[#This Row],[Large Provider Entity Code]]&amp;"; "&amp;R4859&amp;AS[[#This Row],[Age Band Code]]&amp;"; "&amp;S4859&amp;AS[[#This Row],[Sex Code]]</f>
        <v xml:space="preserve">Insurer Code ; Reporting Year ; Insurance Category Code ; Large Provider Entity Code ; Age Band Code ; Sex Code </v>
      </c>
      <c r="N4859" s="345" t="s">
        <v>207</v>
      </c>
      <c r="O4859" s="345" t="s">
        <v>208</v>
      </c>
      <c r="P4859" s="345" t="s">
        <v>209</v>
      </c>
      <c r="Q4859" s="345" t="s">
        <v>210</v>
      </c>
      <c r="R4859" s="345" t="s">
        <v>223</v>
      </c>
      <c r="S4859" s="345" t="s">
        <v>224</v>
      </c>
    </row>
    <row r="4860" spans="1:19" x14ac:dyDescent="0.25">
      <c r="A4860" s="311"/>
      <c r="B4860" s="312"/>
      <c r="C4860" s="312"/>
      <c r="D4860" s="312"/>
      <c r="E4860" s="312"/>
      <c r="F4860" s="312"/>
      <c r="G4860" s="328"/>
      <c r="H4860" s="337"/>
      <c r="I4860" s="334"/>
      <c r="J4860" s="314"/>
      <c r="K4860" s="449"/>
      <c r="M4860" s="349" t="str">
        <f>N4860&amp;AS[[#This Row],[Insurer Code]]&amp;"; "&amp;O4860&amp;AS[[#This Row],[Reporting Year]]&amp;"; "&amp;P4860&amp;AS[[#This Row],[Insurance Category Code]]&amp;"; "&amp;Q4860&amp;AS[[#This Row],[Large Provider Entity Code]]&amp;"; "&amp;R4860&amp;AS[[#This Row],[Age Band Code]]&amp;"; "&amp;S4860&amp;AS[[#This Row],[Sex Code]]</f>
        <v xml:space="preserve">Insurer Code ; Reporting Year ; Insurance Category Code ; Large Provider Entity Code ; Age Band Code ; Sex Code </v>
      </c>
      <c r="N4860" s="345" t="s">
        <v>207</v>
      </c>
      <c r="O4860" s="345" t="s">
        <v>208</v>
      </c>
      <c r="P4860" s="345" t="s">
        <v>209</v>
      </c>
      <c r="Q4860" s="345" t="s">
        <v>210</v>
      </c>
      <c r="R4860" s="345" t="s">
        <v>223</v>
      </c>
      <c r="S4860" s="345" t="s">
        <v>224</v>
      </c>
    </row>
    <row r="4861" spans="1:19" x14ac:dyDescent="0.25">
      <c r="A4861" s="311"/>
      <c r="B4861" s="312"/>
      <c r="C4861" s="312"/>
      <c r="D4861" s="312"/>
      <c r="E4861" s="312"/>
      <c r="F4861" s="312"/>
      <c r="G4861" s="328"/>
      <c r="H4861" s="337"/>
      <c r="I4861" s="334"/>
      <c r="J4861" s="314"/>
      <c r="K4861" s="449"/>
      <c r="M4861" s="349" t="str">
        <f>N4861&amp;AS[[#This Row],[Insurer Code]]&amp;"; "&amp;O4861&amp;AS[[#This Row],[Reporting Year]]&amp;"; "&amp;P4861&amp;AS[[#This Row],[Insurance Category Code]]&amp;"; "&amp;Q4861&amp;AS[[#This Row],[Large Provider Entity Code]]&amp;"; "&amp;R4861&amp;AS[[#This Row],[Age Band Code]]&amp;"; "&amp;S4861&amp;AS[[#This Row],[Sex Code]]</f>
        <v xml:space="preserve">Insurer Code ; Reporting Year ; Insurance Category Code ; Large Provider Entity Code ; Age Band Code ; Sex Code </v>
      </c>
      <c r="N4861" s="345" t="s">
        <v>207</v>
      </c>
      <c r="O4861" s="345" t="s">
        <v>208</v>
      </c>
      <c r="P4861" s="345" t="s">
        <v>209</v>
      </c>
      <c r="Q4861" s="345" t="s">
        <v>210</v>
      </c>
      <c r="R4861" s="345" t="s">
        <v>223</v>
      </c>
      <c r="S4861" s="345" t="s">
        <v>224</v>
      </c>
    </row>
    <row r="4862" spans="1:19" x14ac:dyDescent="0.25">
      <c r="A4862" s="311"/>
      <c r="B4862" s="312"/>
      <c r="C4862" s="312"/>
      <c r="D4862" s="312"/>
      <c r="E4862" s="312"/>
      <c r="F4862" s="312"/>
      <c r="G4862" s="328"/>
      <c r="H4862" s="337"/>
      <c r="I4862" s="334"/>
      <c r="J4862" s="314"/>
      <c r="K4862" s="449"/>
      <c r="M4862" s="349" t="str">
        <f>N4862&amp;AS[[#This Row],[Insurer Code]]&amp;"; "&amp;O4862&amp;AS[[#This Row],[Reporting Year]]&amp;"; "&amp;P4862&amp;AS[[#This Row],[Insurance Category Code]]&amp;"; "&amp;Q4862&amp;AS[[#This Row],[Large Provider Entity Code]]&amp;"; "&amp;R4862&amp;AS[[#This Row],[Age Band Code]]&amp;"; "&amp;S4862&amp;AS[[#This Row],[Sex Code]]</f>
        <v xml:space="preserve">Insurer Code ; Reporting Year ; Insurance Category Code ; Large Provider Entity Code ; Age Band Code ; Sex Code </v>
      </c>
      <c r="N4862" s="345" t="s">
        <v>207</v>
      </c>
      <c r="O4862" s="345" t="s">
        <v>208</v>
      </c>
      <c r="P4862" s="345" t="s">
        <v>209</v>
      </c>
      <c r="Q4862" s="345" t="s">
        <v>210</v>
      </c>
      <c r="R4862" s="345" t="s">
        <v>223</v>
      </c>
      <c r="S4862" s="345" t="s">
        <v>224</v>
      </c>
    </row>
    <row r="4863" spans="1:19" x14ac:dyDescent="0.25">
      <c r="A4863" s="311"/>
      <c r="B4863" s="312"/>
      <c r="C4863" s="312"/>
      <c r="D4863" s="312"/>
      <c r="E4863" s="312"/>
      <c r="F4863" s="312"/>
      <c r="G4863" s="328"/>
      <c r="H4863" s="337"/>
      <c r="I4863" s="334"/>
      <c r="J4863" s="314"/>
      <c r="K4863" s="449"/>
      <c r="M4863" s="349" t="str">
        <f>N4863&amp;AS[[#This Row],[Insurer Code]]&amp;"; "&amp;O4863&amp;AS[[#This Row],[Reporting Year]]&amp;"; "&amp;P4863&amp;AS[[#This Row],[Insurance Category Code]]&amp;"; "&amp;Q4863&amp;AS[[#This Row],[Large Provider Entity Code]]&amp;"; "&amp;R4863&amp;AS[[#This Row],[Age Band Code]]&amp;"; "&amp;S4863&amp;AS[[#This Row],[Sex Code]]</f>
        <v xml:space="preserve">Insurer Code ; Reporting Year ; Insurance Category Code ; Large Provider Entity Code ; Age Band Code ; Sex Code </v>
      </c>
      <c r="N4863" s="345" t="s">
        <v>207</v>
      </c>
      <c r="O4863" s="345" t="s">
        <v>208</v>
      </c>
      <c r="P4863" s="345" t="s">
        <v>209</v>
      </c>
      <c r="Q4863" s="345" t="s">
        <v>210</v>
      </c>
      <c r="R4863" s="345" t="s">
        <v>223</v>
      </c>
      <c r="S4863" s="345" t="s">
        <v>224</v>
      </c>
    </row>
    <row r="4864" spans="1:19" x14ac:dyDescent="0.25">
      <c r="A4864" s="311"/>
      <c r="B4864" s="312"/>
      <c r="C4864" s="312"/>
      <c r="D4864" s="312"/>
      <c r="E4864" s="312"/>
      <c r="F4864" s="312"/>
      <c r="G4864" s="328"/>
      <c r="H4864" s="337"/>
      <c r="I4864" s="334"/>
      <c r="J4864" s="314"/>
      <c r="K4864" s="449"/>
      <c r="M4864" s="349" t="str">
        <f>N4864&amp;AS[[#This Row],[Insurer Code]]&amp;"; "&amp;O4864&amp;AS[[#This Row],[Reporting Year]]&amp;"; "&amp;P4864&amp;AS[[#This Row],[Insurance Category Code]]&amp;"; "&amp;Q4864&amp;AS[[#This Row],[Large Provider Entity Code]]&amp;"; "&amp;R4864&amp;AS[[#This Row],[Age Band Code]]&amp;"; "&amp;S4864&amp;AS[[#This Row],[Sex Code]]</f>
        <v xml:space="preserve">Insurer Code ; Reporting Year ; Insurance Category Code ; Large Provider Entity Code ; Age Band Code ; Sex Code </v>
      </c>
      <c r="N4864" s="345" t="s">
        <v>207</v>
      </c>
      <c r="O4864" s="345" t="s">
        <v>208</v>
      </c>
      <c r="P4864" s="345" t="s">
        <v>209</v>
      </c>
      <c r="Q4864" s="345" t="s">
        <v>210</v>
      </c>
      <c r="R4864" s="345" t="s">
        <v>223</v>
      </c>
      <c r="S4864" s="345" t="s">
        <v>224</v>
      </c>
    </row>
    <row r="4865" spans="1:19" x14ac:dyDescent="0.25">
      <c r="A4865" s="311"/>
      <c r="B4865" s="312"/>
      <c r="C4865" s="312"/>
      <c r="D4865" s="312"/>
      <c r="E4865" s="312"/>
      <c r="F4865" s="312"/>
      <c r="G4865" s="328"/>
      <c r="H4865" s="337"/>
      <c r="I4865" s="334"/>
      <c r="J4865" s="314"/>
      <c r="K4865" s="449"/>
      <c r="M4865" s="349" t="str">
        <f>N4865&amp;AS[[#This Row],[Insurer Code]]&amp;"; "&amp;O4865&amp;AS[[#This Row],[Reporting Year]]&amp;"; "&amp;P4865&amp;AS[[#This Row],[Insurance Category Code]]&amp;"; "&amp;Q4865&amp;AS[[#This Row],[Large Provider Entity Code]]&amp;"; "&amp;R4865&amp;AS[[#This Row],[Age Band Code]]&amp;"; "&amp;S4865&amp;AS[[#This Row],[Sex Code]]</f>
        <v xml:space="preserve">Insurer Code ; Reporting Year ; Insurance Category Code ; Large Provider Entity Code ; Age Band Code ; Sex Code </v>
      </c>
      <c r="N4865" s="345" t="s">
        <v>207</v>
      </c>
      <c r="O4865" s="345" t="s">
        <v>208</v>
      </c>
      <c r="P4865" s="345" t="s">
        <v>209</v>
      </c>
      <c r="Q4865" s="345" t="s">
        <v>210</v>
      </c>
      <c r="R4865" s="345" t="s">
        <v>223</v>
      </c>
      <c r="S4865" s="345" t="s">
        <v>224</v>
      </c>
    </row>
    <row r="4866" spans="1:19" x14ac:dyDescent="0.25">
      <c r="A4866" s="311"/>
      <c r="B4866" s="312"/>
      <c r="C4866" s="312"/>
      <c r="D4866" s="312"/>
      <c r="E4866" s="312"/>
      <c r="F4866" s="312"/>
      <c r="G4866" s="328"/>
      <c r="H4866" s="337"/>
      <c r="I4866" s="334"/>
      <c r="J4866" s="314"/>
      <c r="K4866" s="449"/>
      <c r="M4866" s="349" t="str">
        <f>N4866&amp;AS[[#This Row],[Insurer Code]]&amp;"; "&amp;O4866&amp;AS[[#This Row],[Reporting Year]]&amp;"; "&amp;P4866&amp;AS[[#This Row],[Insurance Category Code]]&amp;"; "&amp;Q4866&amp;AS[[#This Row],[Large Provider Entity Code]]&amp;"; "&amp;R4866&amp;AS[[#This Row],[Age Band Code]]&amp;"; "&amp;S4866&amp;AS[[#This Row],[Sex Code]]</f>
        <v xml:space="preserve">Insurer Code ; Reporting Year ; Insurance Category Code ; Large Provider Entity Code ; Age Band Code ; Sex Code </v>
      </c>
      <c r="N4866" s="345" t="s">
        <v>207</v>
      </c>
      <c r="O4866" s="345" t="s">
        <v>208</v>
      </c>
      <c r="P4866" s="345" t="s">
        <v>209</v>
      </c>
      <c r="Q4866" s="345" t="s">
        <v>210</v>
      </c>
      <c r="R4866" s="345" t="s">
        <v>223</v>
      </c>
      <c r="S4866" s="345" t="s">
        <v>224</v>
      </c>
    </row>
    <row r="4867" spans="1:19" x14ac:dyDescent="0.25">
      <c r="A4867" s="311"/>
      <c r="B4867" s="312"/>
      <c r="C4867" s="312"/>
      <c r="D4867" s="312"/>
      <c r="E4867" s="312"/>
      <c r="F4867" s="312"/>
      <c r="G4867" s="328"/>
      <c r="H4867" s="337"/>
      <c r="I4867" s="334"/>
      <c r="J4867" s="314"/>
      <c r="K4867" s="449"/>
      <c r="M4867" s="349" t="str">
        <f>N4867&amp;AS[[#This Row],[Insurer Code]]&amp;"; "&amp;O4867&amp;AS[[#This Row],[Reporting Year]]&amp;"; "&amp;P4867&amp;AS[[#This Row],[Insurance Category Code]]&amp;"; "&amp;Q4867&amp;AS[[#This Row],[Large Provider Entity Code]]&amp;"; "&amp;R4867&amp;AS[[#This Row],[Age Band Code]]&amp;"; "&amp;S4867&amp;AS[[#This Row],[Sex Code]]</f>
        <v xml:space="preserve">Insurer Code ; Reporting Year ; Insurance Category Code ; Large Provider Entity Code ; Age Band Code ; Sex Code </v>
      </c>
      <c r="N4867" s="345" t="s">
        <v>207</v>
      </c>
      <c r="O4867" s="345" t="s">
        <v>208</v>
      </c>
      <c r="P4867" s="345" t="s">
        <v>209</v>
      </c>
      <c r="Q4867" s="345" t="s">
        <v>210</v>
      </c>
      <c r="R4867" s="345" t="s">
        <v>223</v>
      </c>
      <c r="S4867" s="345" t="s">
        <v>224</v>
      </c>
    </row>
    <row r="4868" spans="1:19" x14ac:dyDescent="0.25">
      <c r="A4868" s="311"/>
      <c r="B4868" s="312"/>
      <c r="C4868" s="312"/>
      <c r="D4868" s="312"/>
      <c r="E4868" s="312"/>
      <c r="F4868" s="312"/>
      <c r="G4868" s="328"/>
      <c r="H4868" s="337"/>
      <c r="I4868" s="334"/>
      <c r="J4868" s="314"/>
      <c r="K4868" s="449"/>
      <c r="M4868" s="349" t="str">
        <f>N4868&amp;AS[[#This Row],[Insurer Code]]&amp;"; "&amp;O4868&amp;AS[[#This Row],[Reporting Year]]&amp;"; "&amp;P4868&amp;AS[[#This Row],[Insurance Category Code]]&amp;"; "&amp;Q4868&amp;AS[[#This Row],[Large Provider Entity Code]]&amp;"; "&amp;R4868&amp;AS[[#This Row],[Age Band Code]]&amp;"; "&amp;S4868&amp;AS[[#This Row],[Sex Code]]</f>
        <v xml:space="preserve">Insurer Code ; Reporting Year ; Insurance Category Code ; Large Provider Entity Code ; Age Band Code ; Sex Code </v>
      </c>
      <c r="N4868" s="345" t="s">
        <v>207</v>
      </c>
      <c r="O4868" s="345" t="s">
        <v>208</v>
      </c>
      <c r="P4868" s="345" t="s">
        <v>209</v>
      </c>
      <c r="Q4868" s="345" t="s">
        <v>210</v>
      </c>
      <c r="R4868" s="345" t="s">
        <v>223</v>
      </c>
      <c r="S4868" s="345" t="s">
        <v>224</v>
      </c>
    </row>
    <row r="4869" spans="1:19" x14ac:dyDescent="0.25">
      <c r="A4869" s="311"/>
      <c r="B4869" s="312"/>
      <c r="C4869" s="312"/>
      <c r="D4869" s="312"/>
      <c r="E4869" s="312"/>
      <c r="F4869" s="312"/>
      <c r="G4869" s="328"/>
      <c r="H4869" s="337"/>
      <c r="I4869" s="334"/>
      <c r="J4869" s="314"/>
      <c r="K4869" s="449"/>
      <c r="M4869" s="349" t="str">
        <f>N4869&amp;AS[[#This Row],[Insurer Code]]&amp;"; "&amp;O4869&amp;AS[[#This Row],[Reporting Year]]&amp;"; "&amp;P4869&amp;AS[[#This Row],[Insurance Category Code]]&amp;"; "&amp;Q4869&amp;AS[[#This Row],[Large Provider Entity Code]]&amp;"; "&amp;R4869&amp;AS[[#This Row],[Age Band Code]]&amp;"; "&amp;S4869&amp;AS[[#This Row],[Sex Code]]</f>
        <v xml:space="preserve">Insurer Code ; Reporting Year ; Insurance Category Code ; Large Provider Entity Code ; Age Band Code ; Sex Code </v>
      </c>
      <c r="N4869" s="345" t="s">
        <v>207</v>
      </c>
      <c r="O4869" s="345" t="s">
        <v>208</v>
      </c>
      <c r="P4869" s="345" t="s">
        <v>209</v>
      </c>
      <c r="Q4869" s="345" t="s">
        <v>210</v>
      </c>
      <c r="R4869" s="345" t="s">
        <v>223</v>
      </c>
      <c r="S4869" s="345" t="s">
        <v>224</v>
      </c>
    </row>
    <row r="4870" spans="1:19" x14ac:dyDescent="0.25">
      <c r="A4870" s="311"/>
      <c r="B4870" s="312"/>
      <c r="C4870" s="312"/>
      <c r="D4870" s="312"/>
      <c r="E4870" s="312"/>
      <c r="F4870" s="312"/>
      <c r="G4870" s="328"/>
      <c r="H4870" s="337"/>
      <c r="I4870" s="334"/>
      <c r="J4870" s="314"/>
      <c r="K4870" s="449"/>
      <c r="M4870" s="349" t="str">
        <f>N4870&amp;AS[[#This Row],[Insurer Code]]&amp;"; "&amp;O4870&amp;AS[[#This Row],[Reporting Year]]&amp;"; "&amp;P4870&amp;AS[[#This Row],[Insurance Category Code]]&amp;"; "&amp;Q4870&amp;AS[[#This Row],[Large Provider Entity Code]]&amp;"; "&amp;R4870&amp;AS[[#This Row],[Age Band Code]]&amp;"; "&amp;S4870&amp;AS[[#This Row],[Sex Code]]</f>
        <v xml:space="preserve">Insurer Code ; Reporting Year ; Insurance Category Code ; Large Provider Entity Code ; Age Band Code ; Sex Code </v>
      </c>
      <c r="N4870" s="345" t="s">
        <v>207</v>
      </c>
      <c r="O4870" s="345" t="s">
        <v>208</v>
      </c>
      <c r="P4870" s="345" t="s">
        <v>209</v>
      </c>
      <c r="Q4870" s="345" t="s">
        <v>210</v>
      </c>
      <c r="R4870" s="345" t="s">
        <v>223</v>
      </c>
      <c r="S4870" s="345" t="s">
        <v>224</v>
      </c>
    </row>
    <row r="4871" spans="1:19" x14ac:dyDescent="0.25">
      <c r="A4871" s="311"/>
      <c r="B4871" s="312"/>
      <c r="C4871" s="312"/>
      <c r="D4871" s="312"/>
      <c r="E4871" s="312"/>
      <c r="F4871" s="312"/>
      <c r="G4871" s="328"/>
      <c r="H4871" s="337"/>
      <c r="I4871" s="334"/>
      <c r="J4871" s="314"/>
      <c r="K4871" s="449"/>
      <c r="M4871" s="349" t="str">
        <f>N4871&amp;AS[[#This Row],[Insurer Code]]&amp;"; "&amp;O4871&amp;AS[[#This Row],[Reporting Year]]&amp;"; "&amp;P4871&amp;AS[[#This Row],[Insurance Category Code]]&amp;"; "&amp;Q4871&amp;AS[[#This Row],[Large Provider Entity Code]]&amp;"; "&amp;R4871&amp;AS[[#This Row],[Age Band Code]]&amp;"; "&amp;S4871&amp;AS[[#This Row],[Sex Code]]</f>
        <v xml:space="preserve">Insurer Code ; Reporting Year ; Insurance Category Code ; Large Provider Entity Code ; Age Band Code ; Sex Code </v>
      </c>
      <c r="N4871" s="345" t="s">
        <v>207</v>
      </c>
      <c r="O4871" s="345" t="s">
        <v>208</v>
      </c>
      <c r="P4871" s="345" t="s">
        <v>209</v>
      </c>
      <c r="Q4871" s="345" t="s">
        <v>210</v>
      </c>
      <c r="R4871" s="345" t="s">
        <v>223</v>
      </c>
      <c r="S4871" s="345" t="s">
        <v>224</v>
      </c>
    </row>
    <row r="4872" spans="1:19" x14ac:dyDescent="0.25">
      <c r="A4872" s="311"/>
      <c r="B4872" s="312"/>
      <c r="C4872" s="312"/>
      <c r="D4872" s="312"/>
      <c r="E4872" s="312"/>
      <c r="F4872" s="312"/>
      <c r="G4872" s="328"/>
      <c r="H4872" s="337"/>
      <c r="I4872" s="334"/>
      <c r="J4872" s="314"/>
      <c r="K4872" s="449"/>
      <c r="M4872" s="349" t="str">
        <f>N4872&amp;AS[[#This Row],[Insurer Code]]&amp;"; "&amp;O4872&amp;AS[[#This Row],[Reporting Year]]&amp;"; "&amp;P4872&amp;AS[[#This Row],[Insurance Category Code]]&amp;"; "&amp;Q4872&amp;AS[[#This Row],[Large Provider Entity Code]]&amp;"; "&amp;R4872&amp;AS[[#This Row],[Age Band Code]]&amp;"; "&amp;S4872&amp;AS[[#This Row],[Sex Code]]</f>
        <v xml:space="preserve">Insurer Code ; Reporting Year ; Insurance Category Code ; Large Provider Entity Code ; Age Band Code ; Sex Code </v>
      </c>
      <c r="N4872" s="345" t="s">
        <v>207</v>
      </c>
      <c r="O4872" s="345" t="s">
        <v>208</v>
      </c>
      <c r="P4872" s="345" t="s">
        <v>209</v>
      </c>
      <c r="Q4872" s="345" t="s">
        <v>210</v>
      </c>
      <c r="R4872" s="345" t="s">
        <v>223</v>
      </c>
      <c r="S4872" s="345" t="s">
        <v>224</v>
      </c>
    </row>
    <row r="4873" spans="1:19" x14ac:dyDescent="0.25">
      <c r="A4873" s="311"/>
      <c r="B4873" s="312"/>
      <c r="C4873" s="312"/>
      <c r="D4873" s="312"/>
      <c r="E4873" s="312"/>
      <c r="F4873" s="312"/>
      <c r="G4873" s="328"/>
      <c r="H4873" s="337"/>
      <c r="I4873" s="334"/>
      <c r="J4873" s="314"/>
      <c r="K4873" s="449"/>
      <c r="M4873" s="349" t="str">
        <f>N4873&amp;AS[[#This Row],[Insurer Code]]&amp;"; "&amp;O4873&amp;AS[[#This Row],[Reporting Year]]&amp;"; "&amp;P4873&amp;AS[[#This Row],[Insurance Category Code]]&amp;"; "&amp;Q4873&amp;AS[[#This Row],[Large Provider Entity Code]]&amp;"; "&amp;R4873&amp;AS[[#This Row],[Age Band Code]]&amp;"; "&amp;S4873&amp;AS[[#This Row],[Sex Code]]</f>
        <v xml:space="preserve">Insurer Code ; Reporting Year ; Insurance Category Code ; Large Provider Entity Code ; Age Band Code ; Sex Code </v>
      </c>
      <c r="N4873" s="345" t="s">
        <v>207</v>
      </c>
      <c r="O4873" s="345" t="s">
        <v>208</v>
      </c>
      <c r="P4873" s="345" t="s">
        <v>209</v>
      </c>
      <c r="Q4873" s="345" t="s">
        <v>210</v>
      </c>
      <c r="R4873" s="345" t="s">
        <v>223</v>
      </c>
      <c r="S4873" s="345" t="s">
        <v>224</v>
      </c>
    </row>
    <row r="4874" spans="1:19" x14ac:dyDescent="0.25">
      <c r="A4874" s="311"/>
      <c r="B4874" s="312"/>
      <c r="C4874" s="312"/>
      <c r="D4874" s="312"/>
      <c r="E4874" s="312"/>
      <c r="F4874" s="312"/>
      <c r="G4874" s="328"/>
      <c r="H4874" s="337"/>
      <c r="I4874" s="334"/>
      <c r="J4874" s="314"/>
      <c r="K4874" s="449"/>
      <c r="M4874" s="349" t="str">
        <f>N4874&amp;AS[[#This Row],[Insurer Code]]&amp;"; "&amp;O4874&amp;AS[[#This Row],[Reporting Year]]&amp;"; "&amp;P4874&amp;AS[[#This Row],[Insurance Category Code]]&amp;"; "&amp;Q4874&amp;AS[[#This Row],[Large Provider Entity Code]]&amp;"; "&amp;R4874&amp;AS[[#This Row],[Age Band Code]]&amp;"; "&amp;S4874&amp;AS[[#This Row],[Sex Code]]</f>
        <v xml:space="preserve">Insurer Code ; Reporting Year ; Insurance Category Code ; Large Provider Entity Code ; Age Band Code ; Sex Code </v>
      </c>
      <c r="N4874" s="345" t="s">
        <v>207</v>
      </c>
      <c r="O4874" s="345" t="s">
        <v>208</v>
      </c>
      <c r="P4874" s="345" t="s">
        <v>209</v>
      </c>
      <c r="Q4874" s="345" t="s">
        <v>210</v>
      </c>
      <c r="R4874" s="345" t="s">
        <v>223</v>
      </c>
      <c r="S4874" s="345" t="s">
        <v>224</v>
      </c>
    </row>
    <row r="4875" spans="1:19" x14ac:dyDescent="0.25">
      <c r="A4875" s="311"/>
      <c r="B4875" s="312"/>
      <c r="C4875" s="312"/>
      <c r="D4875" s="312"/>
      <c r="E4875" s="312"/>
      <c r="F4875" s="312"/>
      <c r="G4875" s="328"/>
      <c r="H4875" s="337"/>
      <c r="I4875" s="334"/>
      <c r="J4875" s="314"/>
      <c r="K4875" s="449"/>
      <c r="M4875" s="349" t="str">
        <f>N4875&amp;AS[[#This Row],[Insurer Code]]&amp;"; "&amp;O4875&amp;AS[[#This Row],[Reporting Year]]&amp;"; "&amp;P4875&amp;AS[[#This Row],[Insurance Category Code]]&amp;"; "&amp;Q4875&amp;AS[[#This Row],[Large Provider Entity Code]]&amp;"; "&amp;R4875&amp;AS[[#This Row],[Age Band Code]]&amp;"; "&amp;S4875&amp;AS[[#This Row],[Sex Code]]</f>
        <v xml:space="preserve">Insurer Code ; Reporting Year ; Insurance Category Code ; Large Provider Entity Code ; Age Band Code ; Sex Code </v>
      </c>
      <c r="N4875" s="345" t="s">
        <v>207</v>
      </c>
      <c r="O4875" s="345" t="s">
        <v>208</v>
      </c>
      <c r="P4875" s="345" t="s">
        <v>209</v>
      </c>
      <c r="Q4875" s="345" t="s">
        <v>210</v>
      </c>
      <c r="R4875" s="345" t="s">
        <v>223</v>
      </c>
      <c r="S4875" s="345" t="s">
        <v>224</v>
      </c>
    </row>
    <row r="4876" spans="1:19" x14ac:dyDescent="0.25">
      <c r="A4876" s="311"/>
      <c r="B4876" s="312"/>
      <c r="C4876" s="312"/>
      <c r="D4876" s="312"/>
      <c r="E4876" s="312"/>
      <c r="F4876" s="312"/>
      <c r="G4876" s="328"/>
      <c r="H4876" s="337"/>
      <c r="I4876" s="334"/>
      <c r="J4876" s="314"/>
      <c r="K4876" s="449"/>
      <c r="M4876" s="349" t="str">
        <f>N4876&amp;AS[[#This Row],[Insurer Code]]&amp;"; "&amp;O4876&amp;AS[[#This Row],[Reporting Year]]&amp;"; "&amp;P4876&amp;AS[[#This Row],[Insurance Category Code]]&amp;"; "&amp;Q4876&amp;AS[[#This Row],[Large Provider Entity Code]]&amp;"; "&amp;R4876&amp;AS[[#This Row],[Age Band Code]]&amp;"; "&amp;S4876&amp;AS[[#This Row],[Sex Code]]</f>
        <v xml:space="preserve">Insurer Code ; Reporting Year ; Insurance Category Code ; Large Provider Entity Code ; Age Band Code ; Sex Code </v>
      </c>
      <c r="N4876" s="345" t="s">
        <v>207</v>
      </c>
      <c r="O4876" s="345" t="s">
        <v>208</v>
      </c>
      <c r="P4876" s="345" t="s">
        <v>209</v>
      </c>
      <c r="Q4876" s="345" t="s">
        <v>210</v>
      </c>
      <c r="R4876" s="345" t="s">
        <v>223</v>
      </c>
      <c r="S4876" s="345" t="s">
        <v>224</v>
      </c>
    </row>
    <row r="4877" spans="1:19" x14ac:dyDescent="0.25">
      <c r="A4877" s="311"/>
      <c r="B4877" s="312"/>
      <c r="C4877" s="312"/>
      <c r="D4877" s="312"/>
      <c r="E4877" s="312"/>
      <c r="F4877" s="312"/>
      <c r="G4877" s="328"/>
      <c r="H4877" s="337"/>
      <c r="I4877" s="334"/>
      <c r="J4877" s="314"/>
      <c r="K4877" s="449"/>
      <c r="M4877" s="349" t="str">
        <f>N4877&amp;AS[[#This Row],[Insurer Code]]&amp;"; "&amp;O4877&amp;AS[[#This Row],[Reporting Year]]&amp;"; "&amp;P4877&amp;AS[[#This Row],[Insurance Category Code]]&amp;"; "&amp;Q4877&amp;AS[[#This Row],[Large Provider Entity Code]]&amp;"; "&amp;R4877&amp;AS[[#This Row],[Age Band Code]]&amp;"; "&amp;S4877&amp;AS[[#This Row],[Sex Code]]</f>
        <v xml:space="preserve">Insurer Code ; Reporting Year ; Insurance Category Code ; Large Provider Entity Code ; Age Band Code ; Sex Code </v>
      </c>
      <c r="N4877" s="345" t="s">
        <v>207</v>
      </c>
      <c r="O4877" s="345" t="s">
        <v>208</v>
      </c>
      <c r="P4877" s="345" t="s">
        <v>209</v>
      </c>
      <c r="Q4877" s="345" t="s">
        <v>210</v>
      </c>
      <c r="R4877" s="345" t="s">
        <v>223</v>
      </c>
      <c r="S4877" s="345" t="s">
        <v>224</v>
      </c>
    </row>
    <row r="4878" spans="1:19" x14ac:dyDescent="0.25">
      <c r="A4878" s="311"/>
      <c r="B4878" s="312"/>
      <c r="C4878" s="312"/>
      <c r="D4878" s="312"/>
      <c r="E4878" s="312"/>
      <c r="F4878" s="312"/>
      <c r="G4878" s="328"/>
      <c r="H4878" s="337"/>
      <c r="I4878" s="334"/>
      <c r="J4878" s="314"/>
      <c r="K4878" s="449"/>
      <c r="M4878" s="349" t="str">
        <f>N4878&amp;AS[[#This Row],[Insurer Code]]&amp;"; "&amp;O4878&amp;AS[[#This Row],[Reporting Year]]&amp;"; "&amp;P4878&amp;AS[[#This Row],[Insurance Category Code]]&amp;"; "&amp;Q4878&amp;AS[[#This Row],[Large Provider Entity Code]]&amp;"; "&amp;R4878&amp;AS[[#This Row],[Age Band Code]]&amp;"; "&amp;S4878&amp;AS[[#This Row],[Sex Code]]</f>
        <v xml:space="preserve">Insurer Code ; Reporting Year ; Insurance Category Code ; Large Provider Entity Code ; Age Band Code ; Sex Code </v>
      </c>
      <c r="N4878" s="345" t="s">
        <v>207</v>
      </c>
      <c r="O4878" s="345" t="s">
        <v>208</v>
      </c>
      <c r="P4878" s="345" t="s">
        <v>209</v>
      </c>
      <c r="Q4878" s="345" t="s">
        <v>210</v>
      </c>
      <c r="R4878" s="345" t="s">
        <v>223</v>
      </c>
      <c r="S4878" s="345" t="s">
        <v>224</v>
      </c>
    </row>
    <row r="4879" spans="1:19" x14ac:dyDescent="0.25">
      <c r="A4879" s="311"/>
      <c r="B4879" s="312"/>
      <c r="C4879" s="312"/>
      <c r="D4879" s="312"/>
      <c r="E4879" s="312"/>
      <c r="F4879" s="312"/>
      <c r="G4879" s="328"/>
      <c r="H4879" s="337"/>
      <c r="I4879" s="334"/>
      <c r="J4879" s="314"/>
      <c r="K4879" s="449"/>
      <c r="M4879" s="349" t="str">
        <f>N4879&amp;AS[[#This Row],[Insurer Code]]&amp;"; "&amp;O4879&amp;AS[[#This Row],[Reporting Year]]&amp;"; "&amp;P4879&amp;AS[[#This Row],[Insurance Category Code]]&amp;"; "&amp;Q4879&amp;AS[[#This Row],[Large Provider Entity Code]]&amp;"; "&amp;R4879&amp;AS[[#This Row],[Age Band Code]]&amp;"; "&amp;S4879&amp;AS[[#This Row],[Sex Code]]</f>
        <v xml:space="preserve">Insurer Code ; Reporting Year ; Insurance Category Code ; Large Provider Entity Code ; Age Band Code ; Sex Code </v>
      </c>
      <c r="N4879" s="345" t="s">
        <v>207</v>
      </c>
      <c r="O4879" s="345" t="s">
        <v>208</v>
      </c>
      <c r="P4879" s="345" t="s">
        <v>209</v>
      </c>
      <c r="Q4879" s="345" t="s">
        <v>210</v>
      </c>
      <c r="R4879" s="345" t="s">
        <v>223</v>
      </c>
      <c r="S4879" s="345" t="s">
        <v>224</v>
      </c>
    </row>
    <row r="4880" spans="1:19" x14ac:dyDescent="0.25">
      <c r="A4880" s="311"/>
      <c r="B4880" s="312"/>
      <c r="C4880" s="312"/>
      <c r="D4880" s="312"/>
      <c r="E4880" s="312"/>
      <c r="F4880" s="312"/>
      <c r="G4880" s="328"/>
      <c r="H4880" s="337"/>
      <c r="I4880" s="334"/>
      <c r="J4880" s="314"/>
      <c r="K4880" s="449"/>
      <c r="M4880" s="349" t="str">
        <f>N4880&amp;AS[[#This Row],[Insurer Code]]&amp;"; "&amp;O4880&amp;AS[[#This Row],[Reporting Year]]&amp;"; "&amp;P4880&amp;AS[[#This Row],[Insurance Category Code]]&amp;"; "&amp;Q4880&amp;AS[[#This Row],[Large Provider Entity Code]]&amp;"; "&amp;R4880&amp;AS[[#This Row],[Age Band Code]]&amp;"; "&amp;S4880&amp;AS[[#This Row],[Sex Code]]</f>
        <v xml:space="preserve">Insurer Code ; Reporting Year ; Insurance Category Code ; Large Provider Entity Code ; Age Band Code ; Sex Code </v>
      </c>
      <c r="N4880" s="345" t="s">
        <v>207</v>
      </c>
      <c r="O4880" s="345" t="s">
        <v>208</v>
      </c>
      <c r="P4880" s="345" t="s">
        <v>209</v>
      </c>
      <c r="Q4880" s="345" t="s">
        <v>210</v>
      </c>
      <c r="R4880" s="345" t="s">
        <v>223</v>
      </c>
      <c r="S4880" s="345" t="s">
        <v>224</v>
      </c>
    </row>
    <row r="4881" spans="1:19" x14ac:dyDescent="0.25">
      <c r="A4881" s="311"/>
      <c r="B4881" s="312"/>
      <c r="C4881" s="312"/>
      <c r="D4881" s="312"/>
      <c r="E4881" s="312"/>
      <c r="F4881" s="312"/>
      <c r="G4881" s="328"/>
      <c r="H4881" s="337"/>
      <c r="I4881" s="334"/>
      <c r="J4881" s="314"/>
      <c r="K4881" s="449"/>
      <c r="M4881" s="349" t="str">
        <f>N4881&amp;AS[[#This Row],[Insurer Code]]&amp;"; "&amp;O4881&amp;AS[[#This Row],[Reporting Year]]&amp;"; "&amp;P4881&amp;AS[[#This Row],[Insurance Category Code]]&amp;"; "&amp;Q4881&amp;AS[[#This Row],[Large Provider Entity Code]]&amp;"; "&amp;R4881&amp;AS[[#This Row],[Age Band Code]]&amp;"; "&amp;S4881&amp;AS[[#This Row],[Sex Code]]</f>
        <v xml:space="preserve">Insurer Code ; Reporting Year ; Insurance Category Code ; Large Provider Entity Code ; Age Band Code ; Sex Code </v>
      </c>
      <c r="N4881" s="345" t="s">
        <v>207</v>
      </c>
      <c r="O4881" s="345" t="s">
        <v>208</v>
      </c>
      <c r="P4881" s="345" t="s">
        <v>209</v>
      </c>
      <c r="Q4881" s="345" t="s">
        <v>210</v>
      </c>
      <c r="R4881" s="345" t="s">
        <v>223</v>
      </c>
      <c r="S4881" s="345" t="s">
        <v>224</v>
      </c>
    </row>
    <row r="4882" spans="1:19" x14ac:dyDescent="0.25">
      <c r="A4882" s="311"/>
      <c r="B4882" s="312"/>
      <c r="C4882" s="312"/>
      <c r="D4882" s="312"/>
      <c r="E4882" s="312"/>
      <c r="F4882" s="312"/>
      <c r="G4882" s="328"/>
      <c r="H4882" s="337"/>
      <c r="I4882" s="334"/>
      <c r="J4882" s="314"/>
      <c r="K4882" s="449"/>
      <c r="M4882" s="349" t="str">
        <f>N4882&amp;AS[[#This Row],[Insurer Code]]&amp;"; "&amp;O4882&amp;AS[[#This Row],[Reporting Year]]&amp;"; "&amp;P4882&amp;AS[[#This Row],[Insurance Category Code]]&amp;"; "&amp;Q4882&amp;AS[[#This Row],[Large Provider Entity Code]]&amp;"; "&amp;R4882&amp;AS[[#This Row],[Age Band Code]]&amp;"; "&amp;S4882&amp;AS[[#This Row],[Sex Code]]</f>
        <v xml:space="preserve">Insurer Code ; Reporting Year ; Insurance Category Code ; Large Provider Entity Code ; Age Band Code ; Sex Code </v>
      </c>
      <c r="N4882" s="345" t="s">
        <v>207</v>
      </c>
      <c r="O4882" s="345" t="s">
        <v>208</v>
      </c>
      <c r="P4882" s="345" t="s">
        <v>209</v>
      </c>
      <c r="Q4882" s="345" t="s">
        <v>210</v>
      </c>
      <c r="R4882" s="345" t="s">
        <v>223</v>
      </c>
      <c r="S4882" s="345" t="s">
        <v>224</v>
      </c>
    </row>
    <row r="4883" spans="1:19" x14ac:dyDescent="0.25">
      <c r="A4883" s="311"/>
      <c r="B4883" s="312"/>
      <c r="C4883" s="312"/>
      <c r="D4883" s="312"/>
      <c r="E4883" s="312"/>
      <c r="F4883" s="312"/>
      <c r="G4883" s="328"/>
      <c r="H4883" s="337"/>
      <c r="I4883" s="334"/>
      <c r="J4883" s="314"/>
      <c r="K4883" s="449"/>
      <c r="M4883" s="349" t="str">
        <f>N4883&amp;AS[[#This Row],[Insurer Code]]&amp;"; "&amp;O4883&amp;AS[[#This Row],[Reporting Year]]&amp;"; "&amp;P4883&amp;AS[[#This Row],[Insurance Category Code]]&amp;"; "&amp;Q4883&amp;AS[[#This Row],[Large Provider Entity Code]]&amp;"; "&amp;R4883&amp;AS[[#This Row],[Age Band Code]]&amp;"; "&amp;S4883&amp;AS[[#This Row],[Sex Code]]</f>
        <v xml:space="preserve">Insurer Code ; Reporting Year ; Insurance Category Code ; Large Provider Entity Code ; Age Band Code ; Sex Code </v>
      </c>
      <c r="N4883" s="345" t="s">
        <v>207</v>
      </c>
      <c r="O4883" s="345" t="s">
        <v>208</v>
      </c>
      <c r="P4883" s="345" t="s">
        <v>209</v>
      </c>
      <c r="Q4883" s="345" t="s">
        <v>210</v>
      </c>
      <c r="R4883" s="345" t="s">
        <v>223</v>
      </c>
      <c r="S4883" s="345" t="s">
        <v>224</v>
      </c>
    </row>
    <row r="4884" spans="1:19" x14ac:dyDescent="0.25">
      <c r="A4884" s="311"/>
      <c r="B4884" s="312"/>
      <c r="C4884" s="312"/>
      <c r="D4884" s="312"/>
      <c r="E4884" s="312"/>
      <c r="F4884" s="312"/>
      <c r="G4884" s="328"/>
      <c r="H4884" s="337"/>
      <c r="I4884" s="334"/>
      <c r="J4884" s="314"/>
      <c r="K4884" s="449"/>
      <c r="M4884" s="349" t="str">
        <f>N4884&amp;AS[[#This Row],[Insurer Code]]&amp;"; "&amp;O4884&amp;AS[[#This Row],[Reporting Year]]&amp;"; "&amp;P4884&amp;AS[[#This Row],[Insurance Category Code]]&amp;"; "&amp;Q4884&amp;AS[[#This Row],[Large Provider Entity Code]]&amp;"; "&amp;R4884&amp;AS[[#This Row],[Age Band Code]]&amp;"; "&amp;S4884&amp;AS[[#This Row],[Sex Code]]</f>
        <v xml:space="preserve">Insurer Code ; Reporting Year ; Insurance Category Code ; Large Provider Entity Code ; Age Band Code ; Sex Code </v>
      </c>
      <c r="N4884" s="345" t="s">
        <v>207</v>
      </c>
      <c r="O4884" s="345" t="s">
        <v>208</v>
      </c>
      <c r="P4884" s="345" t="s">
        <v>209</v>
      </c>
      <c r="Q4884" s="345" t="s">
        <v>210</v>
      </c>
      <c r="R4884" s="345" t="s">
        <v>223</v>
      </c>
      <c r="S4884" s="345" t="s">
        <v>224</v>
      </c>
    </row>
    <row r="4885" spans="1:19" x14ac:dyDescent="0.25">
      <c r="A4885" s="311"/>
      <c r="B4885" s="312"/>
      <c r="C4885" s="312"/>
      <c r="D4885" s="312"/>
      <c r="E4885" s="312"/>
      <c r="F4885" s="312"/>
      <c r="G4885" s="328"/>
      <c r="H4885" s="337"/>
      <c r="I4885" s="334"/>
      <c r="J4885" s="314"/>
      <c r="K4885" s="449"/>
      <c r="M4885" s="349" t="str">
        <f>N4885&amp;AS[[#This Row],[Insurer Code]]&amp;"; "&amp;O4885&amp;AS[[#This Row],[Reporting Year]]&amp;"; "&amp;P4885&amp;AS[[#This Row],[Insurance Category Code]]&amp;"; "&amp;Q4885&amp;AS[[#This Row],[Large Provider Entity Code]]&amp;"; "&amp;R4885&amp;AS[[#This Row],[Age Band Code]]&amp;"; "&amp;S4885&amp;AS[[#This Row],[Sex Code]]</f>
        <v xml:space="preserve">Insurer Code ; Reporting Year ; Insurance Category Code ; Large Provider Entity Code ; Age Band Code ; Sex Code </v>
      </c>
      <c r="N4885" s="345" t="s">
        <v>207</v>
      </c>
      <c r="O4885" s="345" t="s">
        <v>208</v>
      </c>
      <c r="P4885" s="345" t="s">
        <v>209</v>
      </c>
      <c r="Q4885" s="345" t="s">
        <v>210</v>
      </c>
      <c r="R4885" s="345" t="s">
        <v>223</v>
      </c>
      <c r="S4885" s="345" t="s">
        <v>224</v>
      </c>
    </row>
    <row r="4886" spans="1:19" x14ac:dyDescent="0.25">
      <c r="A4886" s="311"/>
      <c r="B4886" s="312"/>
      <c r="C4886" s="312"/>
      <c r="D4886" s="312"/>
      <c r="E4886" s="312"/>
      <c r="F4886" s="312"/>
      <c r="G4886" s="328"/>
      <c r="H4886" s="337"/>
      <c r="I4886" s="334"/>
      <c r="J4886" s="314"/>
      <c r="K4886" s="449"/>
      <c r="M4886" s="349" t="str">
        <f>N4886&amp;AS[[#This Row],[Insurer Code]]&amp;"; "&amp;O4886&amp;AS[[#This Row],[Reporting Year]]&amp;"; "&amp;P4886&amp;AS[[#This Row],[Insurance Category Code]]&amp;"; "&amp;Q4886&amp;AS[[#This Row],[Large Provider Entity Code]]&amp;"; "&amp;R4886&amp;AS[[#This Row],[Age Band Code]]&amp;"; "&amp;S4886&amp;AS[[#This Row],[Sex Code]]</f>
        <v xml:space="preserve">Insurer Code ; Reporting Year ; Insurance Category Code ; Large Provider Entity Code ; Age Band Code ; Sex Code </v>
      </c>
      <c r="N4886" s="345" t="s">
        <v>207</v>
      </c>
      <c r="O4886" s="345" t="s">
        <v>208</v>
      </c>
      <c r="P4886" s="345" t="s">
        <v>209</v>
      </c>
      <c r="Q4886" s="345" t="s">
        <v>210</v>
      </c>
      <c r="R4886" s="345" t="s">
        <v>223</v>
      </c>
      <c r="S4886" s="345" t="s">
        <v>224</v>
      </c>
    </row>
    <row r="4887" spans="1:19" x14ac:dyDescent="0.25">
      <c r="A4887" s="311"/>
      <c r="B4887" s="312"/>
      <c r="C4887" s="312"/>
      <c r="D4887" s="312"/>
      <c r="E4887" s="312"/>
      <c r="F4887" s="312"/>
      <c r="G4887" s="328"/>
      <c r="H4887" s="337"/>
      <c r="I4887" s="334"/>
      <c r="J4887" s="314"/>
      <c r="K4887" s="449"/>
      <c r="M4887" s="349" t="str">
        <f>N4887&amp;AS[[#This Row],[Insurer Code]]&amp;"; "&amp;O4887&amp;AS[[#This Row],[Reporting Year]]&amp;"; "&amp;P4887&amp;AS[[#This Row],[Insurance Category Code]]&amp;"; "&amp;Q4887&amp;AS[[#This Row],[Large Provider Entity Code]]&amp;"; "&amp;R4887&amp;AS[[#This Row],[Age Band Code]]&amp;"; "&amp;S4887&amp;AS[[#This Row],[Sex Code]]</f>
        <v xml:space="preserve">Insurer Code ; Reporting Year ; Insurance Category Code ; Large Provider Entity Code ; Age Band Code ; Sex Code </v>
      </c>
      <c r="N4887" s="345" t="s">
        <v>207</v>
      </c>
      <c r="O4887" s="345" t="s">
        <v>208</v>
      </c>
      <c r="P4887" s="345" t="s">
        <v>209</v>
      </c>
      <c r="Q4887" s="345" t="s">
        <v>210</v>
      </c>
      <c r="R4887" s="345" t="s">
        <v>223</v>
      </c>
      <c r="S4887" s="345" t="s">
        <v>224</v>
      </c>
    </row>
    <row r="4888" spans="1:19" x14ac:dyDescent="0.25">
      <c r="A4888" s="311"/>
      <c r="B4888" s="312"/>
      <c r="C4888" s="312"/>
      <c r="D4888" s="312"/>
      <c r="E4888" s="312"/>
      <c r="F4888" s="312"/>
      <c r="G4888" s="328"/>
      <c r="H4888" s="337"/>
      <c r="I4888" s="334"/>
      <c r="J4888" s="314"/>
      <c r="K4888" s="449"/>
      <c r="M4888" s="349" t="str">
        <f>N4888&amp;AS[[#This Row],[Insurer Code]]&amp;"; "&amp;O4888&amp;AS[[#This Row],[Reporting Year]]&amp;"; "&amp;P4888&amp;AS[[#This Row],[Insurance Category Code]]&amp;"; "&amp;Q4888&amp;AS[[#This Row],[Large Provider Entity Code]]&amp;"; "&amp;R4888&amp;AS[[#This Row],[Age Band Code]]&amp;"; "&amp;S4888&amp;AS[[#This Row],[Sex Code]]</f>
        <v xml:space="preserve">Insurer Code ; Reporting Year ; Insurance Category Code ; Large Provider Entity Code ; Age Band Code ; Sex Code </v>
      </c>
      <c r="N4888" s="345" t="s">
        <v>207</v>
      </c>
      <c r="O4888" s="345" t="s">
        <v>208</v>
      </c>
      <c r="P4888" s="345" t="s">
        <v>209</v>
      </c>
      <c r="Q4888" s="345" t="s">
        <v>210</v>
      </c>
      <c r="R4888" s="345" t="s">
        <v>223</v>
      </c>
      <c r="S4888" s="345" t="s">
        <v>224</v>
      </c>
    </row>
    <row r="4889" spans="1:19" x14ac:dyDescent="0.25">
      <c r="A4889" s="311"/>
      <c r="B4889" s="312"/>
      <c r="C4889" s="312"/>
      <c r="D4889" s="312"/>
      <c r="E4889" s="312"/>
      <c r="F4889" s="312"/>
      <c r="G4889" s="328"/>
      <c r="H4889" s="337"/>
      <c r="I4889" s="334"/>
      <c r="J4889" s="314"/>
      <c r="K4889" s="449"/>
      <c r="M4889" s="349" t="str">
        <f>N4889&amp;AS[[#This Row],[Insurer Code]]&amp;"; "&amp;O4889&amp;AS[[#This Row],[Reporting Year]]&amp;"; "&amp;P4889&amp;AS[[#This Row],[Insurance Category Code]]&amp;"; "&amp;Q4889&amp;AS[[#This Row],[Large Provider Entity Code]]&amp;"; "&amp;R4889&amp;AS[[#This Row],[Age Band Code]]&amp;"; "&amp;S4889&amp;AS[[#This Row],[Sex Code]]</f>
        <v xml:space="preserve">Insurer Code ; Reporting Year ; Insurance Category Code ; Large Provider Entity Code ; Age Band Code ; Sex Code </v>
      </c>
      <c r="N4889" s="345" t="s">
        <v>207</v>
      </c>
      <c r="O4889" s="345" t="s">
        <v>208</v>
      </c>
      <c r="P4889" s="345" t="s">
        <v>209</v>
      </c>
      <c r="Q4889" s="345" t="s">
        <v>210</v>
      </c>
      <c r="R4889" s="345" t="s">
        <v>223</v>
      </c>
      <c r="S4889" s="345" t="s">
        <v>224</v>
      </c>
    </row>
    <row r="4890" spans="1:19" x14ac:dyDescent="0.25">
      <c r="A4890" s="311"/>
      <c r="B4890" s="312"/>
      <c r="C4890" s="312"/>
      <c r="D4890" s="312"/>
      <c r="E4890" s="312"/>
      <c r="F4890" s="312"/>
      <c r="G4890" s="328"/>
      <c r="H4890" s="337"/>
      <c r="I4890" s="334"/>
      <c r="J4890" s="314"/>
      <c r="K4890" s="449"/>
      <c r="M4890" s="349" t="str">
        <f>N4890&amp;AS[[#This Row],[Insurer Code]]&amp;"; "&amp;O4890&amp;AS[[#This Row],[Reporting Year]]&amp;"; "&amp;P4890&amp;AS[[#This Row],[Insurance Category Code]]&amp;"; "&amp;Q4890&amp;AS[[#This Row],[Large Provider Entity Code]]&amp;"; "&amp;R4890&amp;AS[[#This Row],[Age Band Code]]&amp;"; "&amp;S4890&amp;AS[[#This Row],[Sex Code]]</f>
        <v xml:space="preserve">Insurer Code ; Reporting Year ; Insurance Category Code ; Large Provider Entity Code ; Age Band Code ; Sex Code </v>
      </c>
      <c r="N4890" s="345" t="s">
        <v>207</v>
      </c>
      <c r="O4890" s="345" t="s">
        <v>208</v>
      </c>
      <c r="P4890" s="345" t="s">
        <v>209</v>
      </c>
      <c r="Q4890" s="345" t="s">
        <v>210</v>
      </c>
      <c r="R4890" s="345" t="s">
        <v>223</v>
      </c>
      <c r="S4890" s="345" t="s">
        <v>224</v>
      </c>
    </row>
    <row r="4891" spans="1:19" x14ac:dyDescent="0.25">
      <c r="A4891" s="311"/>
      <c r="B4891" s="312"/>
      <c r="C4891" s="312"/>
      <c r="D4891" s="312"/>
      <c r="E4891" s="312"/>
      <c r="F4891" s="312"/>
      <c r="G4891" s="328"/>
      <c r="H4891" s="337"/>
      <c r="I4891" s="334"/>
      <c r="J4891" s="314"/>
      <c r="K4891" s="449"/>
      <c r="M4891" s="349" t="str">
        <f>N4891&amp;AS[[#This Row],[Insurer Code]]&amp;"; "&amp;O4891&amp;AS[[#This Row],[Reporting Year]]&amp;"; "&amp;P4891&amp;AS[[#This Row],[Insurance Category Code]]&amp;"; "&amp;Q4891&amp;AS[[#This Row],[Large Provider Entity Code]]&amp;"; "&amp;R4891&amp;AS[[#This Row],[Age Band Code]]&amp;"; "&amp;S4891&amp;AS[[#This Row],[Sex Code]]</f>
        <v xml:space="preserve">Insurer Code ; Reporting Year ; Insurance Category Code ; Large Provider Entity Code ; Age Band Code ; Sex Code </v>
      </c>
      <c r="N4891" s="345" t="s">
        <v>207</v>
      </c>
      <c r="O4891" s="345" t="s">
        <v>208</v>
      </c>
      <c r="P4891" s="345" t="s">
        <v>209</v>
      </c>
      <c r="Q4891" s="345" t="s">
        <v>210</v>
      </c>
      <c r="R4891" s="345" t="s">
        <v>223</v>
      </c>
      <c r="S4891" s="345" t="s">
        <v>224</v>
      </c>
    </row>
    <row r="4892" spans="1:19" x14ac:dyDescent="0.25">
      <c r="A4892" s="311"/>
      <c r="B4892" s="312"/>
      <c r="C4892" s="312"/>
      <c r="D4892" s="312"/>
      <c r="E4892" s="312"/>
      <c r="F4892" s="312"/>
      <c r="G4892" s="328"/>
      <c r="H4892" s="337"/>
      <c r="I4892" s="334"/>
      <c r="J4892" s="314"/>
      <c r="K4892" s="449"/>
      <c r="M4892" s="349" t="str">
        <f>N4892&amp;AS[[#This Row],[Insurer Code]]&amp;"; "&amp;O4892&amp;AS[[#This Row],[Reporting Year]]&amp;"; "&amp;P4892&amp;AS[[#This Row],[Insurance Category Code]]&amp;"; "&amp;Q4892&amp;AS[[#This Row],[Large Provider Entity Code]]&amp;"; "&amp;R4892&amp;AS[[#This Row],[Age Band Code]]&amp;"; "&amp;S4892&amp;AS[[#This Row],[Sex Code]]</f>
        <v xml:space="preserve">Insurer Code ; Reporting Year ; Insurance Category Code ; Large Provider Entity Code ; Age Band Code ; Sex Code </v>
      </c>
      <c r="N4892" s="345" t="s">
        <v>207</v>
      </c>
      <c r="O4892" s="345" t="s">
        <v>208</v>
      </c>
      <c r="P4892" s="345" t="s">
        <v>209</v>
      </c>
      <c r="Q4892" s="345" t="s">
        <v>210</v>
      </c>
      <c r="R4892" s="345" t="s">
        <v>223</v>
      </c>
      <c r="S4892" s="345" t="s">
        <v>224</v>
      </c>
    </row>
    <row r="4893" spans="1:19" x14ac:dyDescent="0.25">
      <c r="A4893" s="311"/>
      <c r="B4893" s="312"/>
      <c r="C4893" s="312"/>
      <c r="D4893" s="312"/>
      <c r="E4893" s="312"/>
      <c r="F4893" s="312"/>
      <c r="G4893" s="328"/>
      <c r="H4893" s="337"/>
      <c r="I4893" s="334"/>
      <c r="J4893" s="314"/>
      <c r="K4893" s="449"/>
      <c r="M4893" s="349" t="str">
        <f>N4893&amp;AS[[#This Row],[Insurer Code]]&amp;"; "&amp;O4893&amp;AS[[#This Row],[Reporting Year]]&amp;"; "&amp;P4893&amp;AS[[#This Row],[Insurance Category Code]]&amp;"; "&amp;Q4893&amp;AS[[#This Row],[Large Provider Entity Code]]&amp;"; "&amp;R4893&amp;AS[[#This Row],[Age Band Code]]&amp;"; "&amp;S4893&amp;AS[[#This Row],[Sex Code]]</f>
        <v xml:space="preserve">Insurer Code ; Reporting Year ; Insurance Category Code ; Large Provider Entity Code ; Age Band Code ; Sex Code </v>
      </c>
      <c r="N4893" s="345" t="s">
        <v>207</v>
      </c>
      <c r="O4893" s="345" t="s">
        <v>208</v>
      </c>
      <c r="P4893" s="345" t="s">
        <v>209</v>
      </c>
      <c r="Q4893" s="345" t="s">
        <v>210</v>
      </c>
      <c r="R4893" s="345" t="s">
        <v>223</v>
      </c>
      <c r="S4893" s="345" t="s">
        <v>224</v>
      </c>
    </row>
    <row r="4894" spans="1:19" x14ac:dyDescent="0.25">
      <c r="A4894" s="311"/>
      <c r="B4894" s="312"/>
      <c r="C4894" s="312"/>
      <c r="D4894" s="312"/>
      <c r="E4894" s="312"/>
      <c r="F4894" s="312"/>
      <c r="G4894" s="328"/>
      <c r="H4894" s="337"/>
      <c r="I4894" s="334"/>
      <c r="J4894" s="314"/>
      <c r="K4894" s="449"/>
      <c r="M4894" s="349" t="str">
        <f>N4894&amp;AS[[#This Row],[Insurer Code]]&amp;"; "&amp;O4894&amp;AS[[#This Row],[Reporting Year]]&amp;"; "&amp;P4894&amp;AS[[#This Row],[Insurance Category Code]]&amp;"; "&amp;Q4894&amp;AS[[#This Row],[Large Provider Entity Code]]&amp;"; "&amp;R4894&amp;AS[[#This Row],[Age Band Code]]&amp;"; "&amp;S4894&amp;AS[[#This Row],[Sex Code]]</f>
        <v xml:space="preserve">Insurer Code ; Reporting Year ; Insurance Category Code ; Large Provider Entity Code ; Age Band Code ; Sex Code </v>
      </c>
      <c r="N4894" s="345" t="s">
        <v>207</v>
      </c>
      <c r="O4894" s="345" t="s">
        <v>208</v>
      </c>
      <c r="P4894" s="345" t="s">
        <v>209</v>
      </c>
      <c r="Q4894" s="345" t="s">
        <v>210</v>
      </c>
      <c r="R4894" s="345" t="s">
        <v>223</v>
      </c>
      <c r="S4894" s="345" t="s">
        <v>224</v>
      </c>
    </row>
    <row r="4895" spans="1:19" x14ac:dyDescent="0.25">
      <c r="A4895" s="311"/>
      <c r="B4895" s="312"/>
      <c r="C4895" s="312"/>
      <c r="D4895" s="312"/>
      <c r="E4895" s="312"/>
      <c r="F4895" s="312"/>
      <c r="G4895" s="328"/>
      <c r="H4895" s="337"/>
      <c r="I4895" s="334"/>
      <c r="J4895" s="314"/>
      <c r="K4895" s="449"/>
      <c r="M4895" s="349" t="str">
        <f>N4895&amp;AS[[#This Row],[Insurer Code]]&amp;"; "&amp;O4895&amp;AS[[#This Row],[Reporting Year]]&amp;"; "&amp;P4895&amp;AS[[#This Row],[Insurance Category Code]]&amp;"; "&amp;Q4895&amp;AS[[#This Row],[Large Provider Entity Code]]&amp;"; "&amp;R4895&amp;AS[[#This Row],[Age Band Code]]&amp;"; "&amp;S4895&amp;AS[[#This Row],[Sex Code]]</f>
        <v xml:space="preserve">Insurer Code ; Reporting Year ; Insurance Category Code ; Large Provider Entity Code ; Age Band Code ; Sex Code </v>
      </c>
      <c r="N4895" s="345" t="s">
        <v>207</v>
      </c>
      <c r="O4895" s="345" t="s">
        <v>208</v>
      </c>
      <c r="P4895" s="345" t="s">
        <v>209</v>
      </c>
      <c r="Q4895" s="345" t="s">
        <v>210</v>
      </c>
      <c r="R4895" s="345" t="s">
        <v>223</v>
      </c>
      <c r="S4895" s="345" t="s">
        <v>224</v>
      </c>
    </row>
    <row r="4896" spans="1:19" x14ac:dyDescent="0.25">
      <c r="A4896" s="311"/>
      <c r="B4896" s="312"/>
      <c r="C4896" s="312"/>
      <c r="D4896" s="312"/>
      <c r="E4896" s="312"/>
      <c r="F4896" s="312"/>
      <c r="G4896" s="328"/>
      <c r="H4896" s="337"/>
      <c r="I4896" s="334"/>
      <c r="J4896" s="314"/>
      <c r="K4896" s="449"/>
      <c r="M4896" s="349" t="str">
        <f>N4896&amp;AS[[#This Row],[Insurer Code]]&amp;"; "&amp;O4896&amp;AS[[#This Row],[Reporting Year]]&amp;"; "&amp;P4896&amp;AS[[#This Row],[Insurance Category Code]]&amp;"; "&amp;Q4896&amp;AS[[#This Row],[Large Provider Entity Code]]&amp;"; "&amp;R4896&amp;AS[[#This Row],[Age Band Code]]&amp;"; "&amp;S4896&amp;AS[[#This Row],[Sex Code]]</f>
        <v xml:space="preserve">Insurer Code ; Reporting Year ; Insurance Category Code ; Large Provider Entity Code ; Age Band Code ; Sex Code </v>
      </c>
      <c r="N4896" s="345" t="s">
        <v>207</v>
      </c>
      <c r="O4896" s="345" t="s">
        <v>208</v>
      </c>
      <c r="P4896" s="345" t="s">
        <v>209</v>
      </c>
      <c r="Q4896" s="345" t="s">
        <v>210</v>
      </c>
      <c r="R4896" s="345" t="s">
        <v>223</v>
      </c>
      <c r="S4896" s="345" t="s">
        <v>224</v>
      </c>
    </row>
    <row r="4897" spans="1:19" x14ac:dyDescent="0.25">
      <c r="A4897" s="311"/>
      <c r="B4897" s="312"/>
      <c r="C4897" s="312"/>
      <c r="D4897" s="312"/>
      <c r="E4897" s="312"/>
      <c r="F4897" s="312"/>
      <c r="G4897" s="328"/>
      <c r="H4897" s="337"/>
      <c r="I4897" s="334"/>
      <c r="J4897" s="314"/>
      <c r="K4897" s="449"/>
      <c r="M4897" s="349" t="str">
        <f>N4897&amp;AS[[#This Row],[Insurer Code]]&amp;"; "&amp;O4897&amp;AS[[#This Row],[Reporting Year]]&amp;"; "&amp;P4897&amp;AS[[#This Row],[Insurance Category Code]]&amp;"; "&amp;Q4897&amp;AS[[#This Row],[Large Provider Entity Code]]&amp;"; "&amp;R4897&amp;AS[[#This Row],[Age Band Code]]&amp;"; "&amp;S4897&amp;AS[[#This Row],[Sex Code]]</f>
        <v xml:space="preserve">Insurer Code ; Reporting Year ; Insurance Category Code ; Large Provider Entity Code ; Age Band Code ; Sex Code </v>
      </c>
      <c r="N4897" s="345" t="s">
        <v>207</v>
      </c>
      <c r="O4897" s="345" t="s">
        <v>208</v>
      </c>
      <c r="P4897" s="345" t="s">
        <v>209</v>
      </c>
      <c r="Q4897" s="345" t="s">
        <v>210</v>
      </c>
      <c r="R4897" s="345" t="s">
        <v>223</v>
      </c>
      <c r="S4897" s="345" t="s">
        <v>224</v>
      </c>
    </row>
    <row r="4898" spans="1:19" x14ac:dyDescent="0.25">
      <c r="A4898" s="311"/>
      <c r="B4898" s="312"/>
      <c r="C4898" s="312"/>
      <c r="D4898" s="312"/>
      <c r="E4898" s="312"/>
      <c r="F4898" s="312"/>
      <c r="G4898" s="328"/>
      <c r="H4898" s="337"/>
      <c r="I4898" s="334"/>
      <c r="J4898" s="314"/>
      <c r="K4898" s="449"/>
      <c r="M4898" s="349" t="str">
        <f>N4898&amp;AS[[#This Row],[Insurer Code]]&amp;"; "&amp;O4898&amp;AS[[#This Row],[Reporting Year]]&amp;"; "&amp;P4898&amp;AS[[#This Row],[Insurance Category Code]]&amp;"; "&amp;Q4898&amp;AS[[#This Row],[Large Provider Entity Code]]&amp;"; "&amp;R4898&amp;AS[[#This Row],[Age Band Code]]&amp;"; "&amp;S4898&amp;AS[[#This Row],[Sex Code]]</f>
        <v xml:space="preserve">Insurer Code ; Reporting Year ; Insurance Category Code ; Large Provider Entity Code ; Age Band Code ; Sex Code </v>
      </c>
      <c r="N4898" s="345" t="s">
        <v>207</v>
      </c>
      <c r="O4898" s="345" t="s">
        <v>208</v>
      </c>
      <c r="P4898" s="345" t="s">
        <v>209</v>
      </c>
      <c r="Q4898" s="345" t="s">
        <v>210</v>
      </c>
      <c r="R4898" s="345" t="s">
        <v>223</v>
      </c>
      <c r="S4898" s="345" t="s">
        <v>224</v>
      </c>
    </row>
    <row r="4899" spans="1:19" x14ac:dyDescent="0.25">
      <c r="A4899" s="311"/>
      <c r="B4899" s="312"/>
      <c r="C4899" s="312"/>
      <c r="D4899" s="312"/>
      <c r="E4899" s="312"/>
      <c r="F4899" s="312"/>
      <c r="G4899" s="328"/>
      <c r="H4899" s="337"/>
      <c r="I4899" s="334"/>
      <c r="J4899" s="314"/>
      <c r="K4899" s="449"/>
      <c r="M4899" s="349" t="str">
        <f>N4899&amp;AS[[#This Row],[Insurer Code]]&amp;"; "&amp;O4899&amp;AS[[#This Row],[Reporting Year]]&amp;"; "&amp;P4899&amp;AS[[#This Row],[Insurance Category Code]]&amp;"; "&amp;Q4899&amp;AS[[#This Row],[Large Provider Entity Code]]&amp;"; "&amp;R4899&amp;AS[[#This Row],[Age Band Code]]&amp;"; "&amp;S4899&amp;AS[[#This Row],[Sex Code]]</f>
        <v xml:space="preserve">Insurer Code ; Reporting Year ; Insurance Category Code ; Large Provider Entity Code ; Age Band Code ; Sex Code </v>
      </c>
      <c r="N4899" s="345" t="s">
        <v>207</v>
      </c>
      <c r="O4899" s="345" t="s">
        <v>208</v>
      </c>
      <c r="P4899" s="345" t="s">
        <v>209</v>
      </c>
      <c r="Q4899" s="345" t="s">
        <v>210</v>
      </c>
      <c r="R4899" s="345" t="s">
        <v>223</v>
      </c>
      <c r="S4899" s="345" t="s">
        <v>224</v>
      </c>
    </row>
    <row r="4900" spans="1:19" x14ac:dyDescent="0.25">
      <c r="A4900" s="311"/>
      <c r="B4900" s="312"/>
      <c r="C4900" s="312"/>
      <c r="D4900" s="312"/>
      <c r="E4900" s="312"/>
      <c r="F4900" s="312"/>
      <c r="G4900" s="328"/>
      <c r="H4900" s="337"/>
      <c r="I4900" s="334"/>
      <c r="J4900" s="314"/>
      <c r="K4900" s="449"/>
      <c r="M4900" s="349" t="str">
        <f>N4900&amp;AS[[#This Row],[Insurer Code]]&amp;"; "&amp;O4900&amp;AS[[#This Row],[Reporting Year]]&amp;"; "&amp;P4900&amp;AS[[#This Row],[Insurance Category Code]]&amp;"; "&amp;Q4900&amp;AS[[#This Row],[Large Provider Entity Code]]&amp;"; "&amp;R4900&amp;AS[[#This Row],[Age Band Code]]&amp;"; "&amp;S4900&amp;AS[[#This Row],[Sex Code]]</f>
        <v xml:space="preserve">Insurer Code ; Reporting Year ; Insurance Category Code ; Large Provider Entity Code ; Age Band Code ; Sex Code </v>
      </c>
      <c r="N4900" s="345" t="s">
        <v>207</v>
      </c>
      <c r="O4900" s="345" t="s">
        <v>208</v>
      </c>
      <c r="P4900" s="345" t="s">
        <v>209</v>
      </c>
      <c r="Q4900" s="345" t="s">
        <v>210</v>
      </c>
      <c r="R4900" s="345" t="s">
        <v>223</v>
      </c>
      <c r="S4900" s="345" t="s">
        <v>224</v>
      </c>
    </row>
    <row r="4901" spans="1:19" x14ac:dyDescent="0.25">
      <c r="A4901" s="311"/>
      <c r="B4901" s="312"/>
      <c r="C4901" s="312"/>
      <c r="D4901" s="312"/>
      <c r="E4901" s="312"/>
      <c r="F4901" s="312"/>
      <c r="G4901" s="328"/>
      <c r="H4901" s="337"/>
      <c r="I4901" s="334"/>
      <c r="J4901" s="314"/>
      <c r="K4901" s="449"/>
      <c r="M4901" s="349" t="str">
        <f>N4901&amp;AS[[#This Row],[Insurer Code]]&amp;"; "&amp;O4901&amp;AS[[#This Row],[Reporting Year]]&amp;"; "&amp;P4901&amp;AS[[#This Row],[Insurance Category Code]]&amp;"; "&amp;Q4901&amp;AS[[#This Row],[Large Provider Entity Code]]&amp;"; "&amp;R4901&amp;AS[[#This Row],[Age Band Code]]&amp;"; "&amp;S4901&amp;AS[[#This Row],[Sex Code]]</f>
        <v xml:space="preserve">Insurer Code ; Reporting Year ; Insurance Category Code ; Large Provider Entity Code ; Age Band Code ; Sex Code </v>
      </c>
      <c r="N4901" s="345" t="s">
        <v>207</v>
      </c>
      <c r="O4901" s="345" t="s">
        <v>208</v>
      </c>
      <c r="P4901" s="345" t="s">
        <v>209</v>
      </c>
      <c r="Q4901" s="345" t="s">
        <v>210</v>
      </c>
      <c r="R4901" s="345" t="s">
        <v>223</v>
      </c>
      <c r="S4901" s="345" t="s">
        <v>224</v>
      </c>
    </row>
    <row r="4902" spans="1:19" x14ac:dyDescent="0.25">
      <c r="A4902" s="311"/>
      <c r="B4902" s="312"/>
      <c r="C4902" s="312"/>
      <c r="D4902" s="312"/>
      <c r="E4902" s="312"/>
      <c r="F4902" s="312"/>
      <c r="G4902" s="328"/>
      <c r="H4902" s="337"/>
      <c r="I4902" s="334"/>
      <c r="J4902" s="314"/>
      <c r="K4902" s="449"/>
      <c r="M4902" s="349" t="str">
        <f>N4902&amp;AS[[#This Row],[Insurer Code]]&amp;"; "&amp;O4902&amp;AS[[#This Row],[Reporting Year]]&amp;"; "&amp;P4902&amp;AS[[#This Row],[Insurance Category Code]]&amp;"; "&amp;Q4902&amp;AS[[#This Row],[Large Provider Entity Code]]&amp;"; "&amp;R4902&amp;AS[[#This Row],[Age Band Code]]&amp;"; "&amp;S4902&amp;AS[[#This Row],[Sex Code]]</f>
        <v xml:space="preserve">Insurer Code ; Reporting Year ; Insurance Category Code ; Large Provider Entity Code ; Age Band Code ; Sex Code </v>
      </c>
      <c r="N4902" s="345" t="s">
        <v>207</v>
      </c>
      <c r="O4902" s="345" t="s">
        <v>208</v>
      </c>
      <c r="P4902" s="345" t="s">
        <v>209</v>
      </c>
      <c r="Q4902" s="345" t="s">
        <v>210</v>
      </c>
      <c r="R4902" s="345" t="s">
        <v>223</v>
      </c>
      <c r="S4902" s="345" t="s">
        <v>224</v>
      </c>
    </row>
    <row r="4903" spans="1:19" x14ac:dyDescent="0.25">
      <c r="A4903" s="311"/>
      <c r="B4903" s="312"/>
      <c r="C4903" s="312"/>
      <c r="D4903" s="312"/>
      <c r="E4903" s="312"/>
      <c r="F4903" s="312"/>
      <c r="G4903" s="328"/>
      <c r="H4903" s="337"/>
      <c r="I4903" s="334"/>
      <c r="J4903" s="314"/>
      <c r="K4903" s="449"/>
      <c r="M4903" s="349" t="str">
        <f>N4903&amp;AS[[#This Row],[Insurer Code]]&amp;"; "&amp;O4903&amp;AS[[#This Row],[Reporting Year]]&amp;"; "&amp;P4903&amp;AS[[#This Row],[Insurance Category Code]]&amp;"; "&amp;Q4903&amp;AS[[#This Row],[Large Provider Entity Code]]&amp;"; "&amp;R4903&amp;AS[[#This Row],[Age Band Code]]&amp;"; "&amp;S4903&amp;AS[[#This Row],[Sex Code]]</f>
        <v xml:space="preserve">Insurer Code ; Reporting Year ; Insurance Category Code ; Large Provider Entity Code ; Age Band Code ; Sex Code </v>
      </c>
      <c r="N4903" s="345" t="s">
        <v>207</v>
      </c>
      <c r="O4903" s="345" t="s">
        <v>208</v>
      </c>
      <c r="P4903" s="345" t="s">
        <v>209</v>
      </c>
      <c r="Q4903" s="345" t="s">
        <v>210</v>
      </c>
      <c r="R4903" s="345" t="s">
        <v>223</v>
      </c>
      <c r="S4903" s="345" t="s">
        <v>224</v>
      </c>
    </row>
    <row r="4904" spans="1:19" x14ac:dyDescent="0.25">
      <c r="A4904" s="311"/>
      <c r="B4904" s="312"/>
      <c r="C4904" s="312"/>
      <c r="D4904" s="312"/>
      <c r="E4904" s="312"/>
      <c r="F4904" s="312"/>
      <c r="G4904" s="328"/>
      <c r="H4904" s="337"/>
      <c r="I4904" s="334"/>
      <c r="J4904" s="314"/>
      <c r="K4904" s="449"/>
      <c r="M4904" s="349" t="str">
        <f>N4904&amp;AS[[#This Row],[Insurer Code]]&amp;"; "&amp;O4904&amp;AS[[#This Row],[Reporting Year]]&amp;"; "&amp;P4904&amp;AS[[#This Row],[Insurance Category Code]]&amp;"; "&amp;Q4904&amp;AS[[#This Row],[Large Provider Entity Code]]&amp;"; "&amp;R4904&amp;AS[[#This Row],[Age Band Code]]&amp;"; "&amp;S4904&amp;AS[[#This Row],[Sex Code]]</f>
        <v xml:space="preserve">Insurer Code ; Reporting Year ; Insurance Category Code ; Large Provider Entity Code ; Age Band Code ; Sex Code </v>
      </c>
      <c r="N4904" s="345" t="s">
        <v>207</v>
      </c>
      <c r="O4904" s="345" t="s">
        <v>208</v>
      </c>
      <c r="P4904" s="345" t="s">
        <v>209</v>
      </c>
      <c r="Q4904" s="345" t="s">
        <v>210</v>
      </c>
      <c r="R4904" s="345" t="s">
        <v>223</v>
      </c>
      <c r="S4904" s="345" t="s">
        <v>224</v>
      </c>
    </row>
    <row r="4905" spans="1:19" x14ac:dyDescent="0.25">
      <c r="A4905" s="311"/>
      <c r="B4905" s="312"/>
      <c r="C4905" s="312"/>
      <c r="D4905" s="312"/>
      <c r="E4905" s="312"/>
      <c r="F4905" s="312"/>
      <c r="G4905" s="328"/>
      <c r="H4905" s="453"/>
      <c r="I4905" s="334"/>
      <c r="J4905" s="314"/>
      <c r="K4905" s="454"/>
      <c r="M4905" s="349" t="str">
        <f>N4905&amp;AS[[#This Row],[Insurer Code]]&amp;"; "&amp;O4905&amp;AS[[#This Row],[Reporting Year]]&amp;"; "&amp;P4905&amp;AS[[#This Row],[Insurance Category Code]]&amp;"; "&amp;Q4905&amp;AS[[#This Row],[Large Provider Entity Code]]&amp;"; "&amp;R4905&amp;AS[[#This Row],[Age Band Code]]&amp;"; "&amp;S4905&amp;AS[[#This Row],[Sex Code]]</f>
        <v xml:space="preserve">Insurer Code ; Reporting Year ; Insurance Category Code ; Large Provider Entity Code ; Age Band Code ; Sex Code </v>
      </c>
      <c r="N4905" s="345" t="s">
        <v>207</v>
      </c>
      <c r="O4905" s="345" t="s">
        <v>208</v>
      </c>
      <c r="P4905" s="345" t="s">
        <v>209</v>
      </c>
      <c r="Q4905" s="345" t="s">
        <v>210</v>
      </c>
      <c r="R4905" s="345" t="s">
        <v>223</v>
      </c>
      <c r="S4905" s="345" t="s">
        <v>224</v>
      </c>
    </row>
    <row r="4906" spans="1:19" x14ac:dyDescent="0.25">
      <c r="A4906" s="311"/>
      <c r="B4906" s="312"/>
      <c r="C4906" s="312"/>
      <c r="D4906" s="312"/>
      <c r="E4906" s="312"/>
      <c r="F4906" s="312"/>
      <c r="G4906" s="328"/>
      <c r="H4906" s="453"/>
      <c r="I4906" s="334"/>
      <c r="J4906" s="314"/>
      <c r="K4906" s="454"/>
      <c r="M4906" s="349" t="str">
        <f>N4906&amp;AS[[#This Row],[Insurer Code]]&amp;"; "&amp;O4906&amp;AS[[#This Row],[Reporting Year]]&amp;"; "&amp;P4906&amp;AS[[#This Row],[Insurance Category Code]]&amp;"; "&amp;Q4906&amp;AS[[#This Row],[Large Provider Entity Code]]&amp;"; "&amp;R4906&amp;AS[[#This Row],[Age Band Code]]&amp;"; "&amp;S4906&amp;AS[[#This Row],[Sex Code]]</f>
        <v xml:space="preserve">Insurer Code ; Reporting Year ; Insurance Category Code ; Large Provider Entity Code ; Age Band Code ; Sex Code </v>
      </c>
      <c r="N4906" s="345" t="s">
        <v>207</v>
      </c>
      <c r="O4906" s="345" t="s">
        <v>208</v>
      </c>
      <c r="P4906" s="345" t="s">
        <v>209</v>
      </c>
      <c r="Q4906" s="345" t="s">
        <v>210</v>
      </c>
      <c r="R4906" s="345" t="s">
        <v>223</v>
      </c>
      <c r="S4906" s="345" t="s">
        <v>224</v>
      </c>
    </row>
    <row r="4907" spans="1:19" x14ac:dyDescent="0.25">
      <c r="A4907" s="311"/>
      <c r="B4907" s="312"/>
      <c r="C4907" s="312"/>
      <c r="D4907" s="312"/>
      <c r="E4907" s="312"/>
      <c r="F4907" s="312"/>
      <c r="G4907" s="328"/>
      <c r="H4907" s="453"/>
      <c r="I4907" s="334"/>
      <c r="J4907" s="314"/>
      <c r="K4907" s="454"/>
      <c r="M4907" s="349" t="str">
        <f>N4907&amp;AS[[#This Row],[Insurer Code]]&amp;"; "&amp;O4907&amp;AS[[#This Row],[Reporting Year]]&amp;"; "&amp;P4907&amp;AS[[#This Row],[Insurance Category Code]]&amp;"; "&amp;Q4907&amp;AS[[#This Row],[Large Provider Entity Code]]&amp;"; "&amp;R4907&amp;AS[[#This Row],[Age Band Code]]&amp;"; "&amp;S4907&amp;AS[[#This Row],[Sex Code]]</f>
        <v xml:space="preserve">Insurer Code ; Reporting Year ; Insurance Category Code ; Large Provider Entity Code ; Age Band Code ; Sex Code </v>
      </c>
      <c r="N4907" s="345" t="s">
        <v>207</v>
      </c>
      <c r="O4907" s="345" t="s">
        <v>208</v>
      </c>
      <c r="P4907" s="345" t="s">
        <v>209</v>
      </c>
      <c r="Q4907" s="345" t="s">
        <v>210</v>
      </c>
      <c r="R4907" s="345" t="s">
        <v>223</v>
      </c>
      <c r="S4907" s="345" t="s">
        <v>224</v>
      </c>
    </row>
    <row r="4908" spans="1:19" x14ac:dyDescent="0.25">
      <c r="A4908" s="311"/>
      <c r="B4908" s="312"/>
      <c r="C4908" s="312"/>
      <c r="D4908" s="312"/>
      <c r="E4908" s="312"/>
      <c r="F4908" s="312"/>
      <c r="G4908" s="328"/>
      <c r="H4908" s="453"/>
      <c r="I4908" s="334"/>
      <c r="J4908" s="314"/>
      <c r="K4908" s="454"/>
      <c r="M4908" s="349" t="str">
        <f>N4908&amp;AS[[#This Row],[Insurer Code]]&amp;"; "&amp;O4908&amp;AS[[#This Row],[Reporting Year]]&amp;"; "&amp;P4908&amp;AS[[#This Row],[Insurance Category Code]]&amp;"; "&amp;Q4908&amp;AS[[#This Row],[Large Provider Entity Code]]&amp;"; "&amp;R4908&amp;AS[[#This Row],[Age Band Code]]&amp;"; "&amp;S4908&amp;AS[[#This Row],[Sex Code]]</f>
        <v xml:space="preserve">Insurer Code ; Reporting Year ; Insurance Category Code ; Large Provider Entity Code ; Age Band Code ; Sex Code </v>
      </c>
      <c r="N4908" s="345" t="s">
        <v>207</v>
      </c>
      <c r="O4908" s="345" t="s">
        <v>208</v>
      </c>
      <c r="P4908" s="345" t="s">
        <v>209</v>
      </c>
      <c r="Q4908" s="345" t="s">
        <v>210</v>
      </c>
      <c r="R4908" s="345" t="s">
        <v>223</v>
      </c>
      <c r="S4908" s="345" t="s">
        <v>224</v>
      </c>
    </row>
    <row r="4909" spans="1:19" x14ac:dyDescent="0.25">
      <c r="A4909" s="311"/>
      <c r="B4909" s="312"/>
      <c r="C4909" s="312"/>
      <c r="D4909" s="312"/>
      <c r="E4909" s="312"/>
      <c r="F4909" s="312"/>
      <c r="G4909" s="328"/>
      <c r="H4909" s="453"/>
      <c r="I4909" s="334"/>
      <c r="J4909" s="314"/>
      <c r="K4909" s="454"/>
      <c r="M4909" s="349" t="str">
        <f>N4909&amp;AS[[#This Row],[Insurer Code]]&amp;"; "&amp;O4909&amp;AS[[#This Row],[Reporting Year]]&amp;"; "&amp;P4909&amp;AS[[#This Row],[Insurance Category Code]]&amp;"; "&amp;Q4909&amp;AS[[#This Row],[Large Provider Entity Code]]&amp;"; "&amp;R4909&amp;AS[[#This Row],[Age Band Code]]&amp;"; "&amp;S4909&amp;AS[[#This Row],[Sex Code]]</f>
        <v xml:space="preserve">Insurer Code ; Reporting Year ; Insurance Category Code ; Large Provider Entity Code ; Age Band Code ; Sex Code </v>
      </c>
      <c r="N4909" s="345" t="s">
        <v>207</v>
      </c>
      <c r="O4909" s="345" t="s">
        <v>208</v>
      </c>
      <c r="P4909" s="345" t="s">
        <v>209</v>
      </c>
      <c r="Q4909" s="345" t="s">
        <v>210</v>
      </c>
      <c r="R4909" s="345" t="s">
        <v>223</v>
      </c>
      <c r="S4909" s="345" t="s">
        <v>224</v>
      </c>
    </row>
    <row r="4910" spans="1:19" x14ac:dyDescent="0.25">
      <c r="A4910" s="311"/>
      <c r="B4910" s="312"/>
      <c r="C4910" s="312"/>
      <c r="D4910" s="312"/>
      <c r="E4910" s="312"/>
      <c r="F4910" s="312"/>
      <c r="G4910" s="328"/>
      <c r="H4910" s="453"/>
      <c r="I4910" s="334"/>
      <c r="J4910" s="314"/>
      <c r="K4910" s="454"/>
      <c r="M4910" s="349" t="str">
        <f>N4910&amp;AS[[#This Row],[Insurer Code]]&amp;"; "&amp;O4910&amp;AS[[#This Row],[Reporting Year]]&amp;"; "&amp;P4910&amp;AS[[#This Row],[Insurance Category Code]]&amp;"; "&amp;Q4910&amp;AS[[#This Row],[Large Provider Entity Code]]&amp;"; "&amp;R4910&amp;AS[[#This Row],[Age Band Code]]&amp;"; "&amp;S4910&amp;AS[[#This Row],[Sex Code]]</f>
        <v xml:space="preserve">Insurer Code ; Reporting Year ; Insurance Category Code ; Large Provider Entity Code ; Age Band Code ; Sex Code </v>
      </c>
      <c r="N4910" s="345" t="s">
        <v>207</v>
      </c>
      <c r="O4910" s="345" t="s">
        <v>208</v>
      </c>
      <c r="P4910" s="345" t="s">
        <v>209</v>
      </c>
      <c r="Q4910" s="345" t="s">
        <v>210</v>
      </c>
      <c r="R4910" s="345" t="s">
        <v>223</v>
      </c>
      <c r="S4910" s="345" t="s">
        <v>224</v>
      </c>
    </row>
    <row r="4911" spans="1:19" x14ac:dyDescent="0.25">
      <c r="A4911" s="311"/>
      <c r="B4911" s="312"/>
      <c r="C4911" s="312"/>
      <c r="D4911" s="312"/>
      <c r="E4911" s="312"/>
      <c r="F4911" s="312"/>
      <c r="G4911" s="328"/>
      <c r="H4911" s="453"/>
      <c r="I4911" s="334"/>
      <c r="J4911" s="314"/>
      <c r="K4911" s="454"/>
      <c r="M4911" s="349" t="str">
        <f>N4911&amp;AS[[#This Row],[Insurer Code]]&amp;"; "&amp;O4911&amp;AS[[#This Row],[Reporting Year]]&amp;"; "&amp;P4911&amp;AS[[#This Row],[Insurance Category Code]]&amp;"; "&amp;Q4911&amp;AS[[#This Row],[Large Provider Entity Code]]&amp;"; "&amp;R4911&amp;AS[[#This Row],[Age Band Code]]&amp;"; "&amp;S4911&amp;AS[[#This Row],[Sex Code]]</f>
        <v xml:space="preserve">Insurer Code ; Reporting Year ; Insurance Category Code ; Large Provider Entity Code ; Age Band Code ; Sex Code </v>
      </c>
      <c r="N4911" s="345" t="s">
        <v>207</v>
      </c>
      <c r="O4911" s="345" t="s">
        <v>208</v>
      </c>
      <c r="P4911" s="345" t="s">
        <v>209</v>
      </c>
      <c r="Q4911" s="345" t="s">
        <v>210</v>
      </c>
      <c r="R4911" s="345" t="s">
        <v>223</v>
      </c>
      <c r="S4911" s="345" t="s">
        <v>224</v>
      </c>
    </row>
    <row r="4912" spans="1:19" x14ac:dyDescent="0.25">
      <c r="A4912" s="311"/>
      <c r="B4912" s="312"/>
      <c r="C4912" s="312"/>
      <c r="D4912" s="312"/>
      <c r="E4912" s="312"/>
      <c r="F4912" s="312"/>
      <c r="G4912" s="328"/>
      <c r="H4912" s="453"/>
      <c r="I4912" s="334"/>
      <c r="J4912" s="314"/>
      <c r="K4912" s="454"/>
      <c r="M4912" s="349" t="str">
        <f>N4912&amp;AS[[#This Row],[Insurer Code]]&amp;"; "&amp;O4912&amp;AS[[#This Row],[Reporting Year]]&amp;"; "&amp;P4912&amp;AS[[#This Row],[Insurance Category Code]]&amp;"; "&amp;Q4912&amp;AS[[#This Row],[Large Provider Entity Code]]&amp;"; "&amp;R4912&amp;AS[[#This Row],[Age Band Code]]&amp;"; "&amp;S4912&amp;AS[[#This Row],[Sex Code]]</f>
        <v xml:space="preserve">Insurer Code ; Reporting Year ; Insurance Category Code ; Large Provider Entity Code ; Age Band Code ; Sex Code </v>
      </c>
      <c r="N4912" s="345" t="s">
        <v>207</v>
      </c>
      <c r="O4912" s="345" t="s">
        <v>208</v>
      </c>
      <c r="P4912" s="345" t="s">
        <v>209</v>
      </c>
      <c r="Q4912" s="345" t="s">
        <v>210</v>
      </c>
      <c r="R4912" s="345" t="s">
        <v>223</v>
      </c>
      <c r="S4912" s="345" t="s">
        <v>224</v>
      </c>
    </row>
    <row r="4913" spans="1:19" x14ac:dyDescent="0.25">
      <c r="A4913" s="311"/>
      <c r="B4913" s="312"/>
      <c r="C4913" s="312"/>
      <c r="D4913" s="312"/>
      <c r="E4913" s="312"/>
      <c r="F4913" s="312"/>
      <c r="G4913" s="328"/>
      <c r="H4913" s="453"/>
      <c r="I4913" s="334"/>
      <c r="J4913" s="314"/>
      <c r="K4913" s="454"/>
      <c r="M4913" s="349" t="str">
        <f>N4913&amp;AS[[#This Row],[Insurer Code]]&amp;"; "&amp;O4913&amp;AS[[#This Row],[Reporting Year]]&amp;"; "&amp;P4913&amp;AS[[#This Row],[Insurance Category Code]]&amp;"; "&amp;Q4913&amp;AS[[#This Row],[Large Provider Entity Code]]&amp;"; "&amp;R4913&amp;AS[[#This Row],[Age Band Code]]&amp;"; "&amp;S4913&amp;AS[[#This Row],[Sex Code]]</f>
        <v xml:space="preserve">Insurer Code ; Reporting Year ; Insurance Category Code ; Large Provider Entity Code ; Age Band Code ; Sex Code </v>
      </c>
      <c r="N4913" s="345" t="s">
        <v>207</v>
      </c>
      <c r="O4913" s="345" t="s">
        <v>208</v>
      </c>
      <c r="P4913" s="345" t="s">
        <v>209</v>
      </c>
      <c r="Q4913" s="345" t="s">
        <v>210</v>
      </c>
      <c r="R4913" s="345" t="s">
        <v>223</v>
      </c>
      <c r="S4913" s="345" t="s">
        <v>224</v>
      </c>
    </row>
    <row r="4914" spans="1:19" x14ac:dyDescent="0.25">
      <c r="A4914" s="311"/>
      <c r="B4914" s="312"/>
      <c r="C4914" s="312"/>
      <c r="D4914" s="312"/>
      <c r="E4914" s="312"/>
      <c r="F4914" s="312"/>
      <c r="G4914" s="328"/>
      <c r="H4914" s="453"/>
      <c r="I4914" s="334"/>
      <c r="J4914" s="314"/>
      <c r="K4914" s="454"/>
      <c r="M4914" s="349" t="str">
        <f>N4914&amp;AS[[#This Row],[Insurer Code]]&amp;"; "&amp;O4914&amp;AS[[#This Row],[Reporting Year]]&amp;"; "&amp;P4914&amp;AS[[#This Row],[Insurance Category Code]]&amp;"; "&amp;Q4914&amp;AS[[#This Row],[Large Provider Entity Code]]&amp;"; "&amp;R4914&amp;AS[[#This Row],[Age Band Code]]&amp;"; "&amp;S4914&amp;AS[[#This Row],[Sex Code]]</f>
        <v xml:space="preserve">Insurer Code ; Reporting Year ; Insurance Category Code ; Large Provider Entity Code ; Age Band Code ; Sex Code </v>
      </c>
      <c r="N4914" s="345" t="s">
        <v>207</v>
      </c>
      <c r="O4914" s="345" t="s">
        <v>208</v>
      </c>
      <c r="P4914" s="345" t="s">
        <v>209</v>
      </c>
      <c r="Q4914" s="345" t="s">
        <v>210</v>
      </c>
      <c r="R4914" s="345" t="s">
        <v>223</v>
      </c>
      <c r="S4914" s="345" t="s">
        <v>224</v>
      </c>
    </row>
    <row r="4915" spans="1:19" x14ac:dyDescent="0.25">
      <c r="A4915" s="311"/>
      <c r="B4915" s="312"/>
      <c r="C4915" s="312"/>
      <c r="D4915" s="312"/>
      <c r="E4915" s="312"/>
      <c r="F4915" s="312"/>
      <c r="G4915" s="335"/>
      <c r="H4915" s="336"/>
      <c r="I4915" s="334"/>
      <c r="J4915" s="332"/>
      <c r="K4915" s="449"/>
      <c r="M4915" s="349" t="str">
        <f>N4915&amp;AS[[#This Row],[Insurer Code]]&amp;"; "&amp;O4915&amp;AS[[#This Row],[Reporting Year]]&amp;"; "&amp;P4915&amp;AS[[#This Row],[Insurance Category Code]]&amp;"; "&amp;Q4915&amp;AS[[#This Row],[Large Provider Entity Code]]&amp;"; "&amp;R4915&amp;AS[[#This Row],[Age Band Code]]&amp;"; "&amp;S4915&amp;AS[[#This Row],[Sex Code]]</f>
        <v xml:space="preserve">Insurer Code ; Reporting Year ; Insurance Category Code ; Large Provider Entity Code ; Age Band Code ; Sex Code </v>
      </c>
      <c r="N4915" s="345" t="s">
        <v>207</v>
      </c>
      <c r="O4915" s="345" t="s">
        <v>208</v>
      </c>
      <c r="P4915" s="345" t="s">
        <v>209</v>
      </c>
      <c r="Q4915" s="345" t="s">
        <v>210</v>
      </c>
      <c r="R4915" s="345" t="s">
        <v>223</v>
      </c>
      <c r="S4915" s="345" t="s">
        <v>224</v>
      </c>
    </row>
    <row r="4916" spans="1:19" x14ac:dyDescent="0.25">
      <c r="A4916" s="311"/>
      <c r="B4916" s="312"/>
      <c r="C4916" s="312"/>
      <c r="D4916" s="312"/>
      <c r="E4916" s="312"/>
      <c r="F4916" s="312"/>
      <c r="G4916" s="335"/>
      <c r="H4916" s="336"/>
      <c r="I4916" s="334"/>
      <c r="J4916" s="332"/>
      <c r="K4916" s="449"/>
      <c r="M4916" s="349" t="str">
        <f>N4916&amp;AS[[#This Row],[Insurer Code]]&amp;"; "&amp;O4916&amp;AS[[#This Row],[Reporting Year]]&amp;"; "&amp;P4916&amp;AS[[#This Row],[Insurance Category Code]]&amp;"; "&amp;Q4916&amp;AS[[#This Row],[Large Provider Entity Code]]&amp;"; "&amp;R4916&amp;AS[[#This Row],[Age Band Code]]&amp;"; "&amp;S4916&amp;AS[[#This Row],[Sex Code]]</f>
        <v xml:space="preserve">Insurer Code ; Reporting Year ; Insurance Category Code ; Large Provider Entity Code ; Age Band Code ; Sex Code </v>
      </c>
      <c r="N4916" s="345" t="s">
        <v>207</v>
      </c>
      <c r="O4916" s="345" t="s">
        <v>208</v>
      </c>
      <c r="P4916" s="345" t="s">
        <v>209</v>
      </c>
      <c r="Q4916" s="345" t="s">
        <v>210</v>
      </c>
      <c r="R4916" s="345" t="s">
        <v>223</v>
      </c>
      <c r="S4916" s="345" t="s">
        <v>224</v>
      </c>
    </row>
    <row r="4917" spans="1:19" x14ac:dyDescent="0.25">
      <c r="A4917" s="311"/>
      <c r="B4917" s="312"/>
      <c r="C4917" s="312"/>
      <c r="D4917" s="312"/>
      <c r="E4917" s="312"/>
      <c r="F4917" s="312"/>
      <c r="G4917" s="313"/>
      <c r="H4917" s="336"/>
      <c r="I4917" s="334"/>
      <c r="J4917" s="332"/>
      <c r="K4917" s="449"/>
      <c r="M4917" s="349" t="str">
        <f>N4917&amp;AS[[#This Row],[Insurer Code]]&amp;"; "&amp;O4917&amp;AS[[#This Row],[Reporting Year]]&amp;"; "&amp;P4917&amp;AS[[#This Row],[Insurance Category Code]]&amp;"; "&amp;Q4917&amp;AS[[#This Row],[Large Provider Entity Code]]&amp;"; "&amp;R4917&amp;AS[[#This Row],[Age Band Code]]&amp;"; "&amp;S4917&amp;AS[[#This Row],[Sex Code]]</f>
        <v xml:space="preserve">Insurer Code ; Reporting Year ; Insurance Category Code ; Large Provider Entity Code ; Age Band Code ; Sex Code </v>
      </c>
      <c r="N4917" s="345" t="s">
        <v>207</v>
      </c>
      <c r="O4917" s="345" t="s">
        <v>208</v>
      </c>
      <c r="P4917" s="345" t="s">
        <v>209</v>
      </c>
      <c r="Q4917" s="345" t="s">
        <v>210</v>
      </c>
      <c r="R4917" s="345" t="s">
        <v>223</v>
      </c>
      <c r="S4917" s="345" t="s">
        <v>224</v>
      </c>
    </row>
    <row r="4918" spans="1:19" x14ac:dyDescent="0.25">
      <c r="A4918" s="311"/>
      <c r="B4918" s="312"/>
      <c r="C4918" s="312"/>
      <c r="D4918" s="312"/>
      <c r="E4918" s="312"/>
      <c r="F4918" s="312"/>
      <c r="G4918" s="335"/>
      <c r="H4918" s="336"/>
      <c r="I4918" s="334"/>
      <c r="J4918" s="332"/>
      <c r="K4918" s="449"/>
      <c r="M4918" s="349" t="str">
        <f>N4918&amp;AS[[#This Row],[Insurer Code]]&amp;"; "&amp;O4918&amp;AS[[#This Row],[Reporting Year]]&amp;"; "&amp;P4918&amp;AS[[#This Row],[Insurance Category Code]]&amp;"; "&amp;Q4918&amp;AS[[#This Row],[Large Provider Entity Code]]&amp;"; "&amp;R4918&amp;AS[[#This Row],[Age Band Code]]&amp;"; "&amp;S4918&amp;AS[[#This Row],[Sex Code]]</f>
        <v xml:space="preserve">Insurer Code ; Reporting Year ; Insurance Category Code ; Large Provider Entity Code ; Age Band Code ; Sex Code </v>
      </c>
      <c r="N4918" s="345" t="s">
        <v>207</v>
      </c>
      <c r="O4918" s="345" t="s">
        <v>208</v>
      </c>
      <c r="P4918" s="345" t="s">
        <v>209</v>
      </c>
      <c r="Q4918" s="345" t="s">
        <v>210</v>
      </c>
      <c r="R4918" s="345" t="s">
        <v>223</v>
      </c>
      <c r="S4918" s="345" t="s">
        <v>224</v>
      </c>
    </row>
    <row r="4919" spans="1:19" x14ac:dyDescent="0.25">
      <c r="A4919" s="311"/>
      <c r="B4919" s="312"/>
      <c r="C4919" s="312"/>
      <c r="D4919" s="312"/>
      <c r="E4919" s="312"/>
      <c r="F4919" s="312"/>
      <c r="G4919" s="313"/>
      <c r="H4919" s="336"/>
      <c r="I4919" s="334"/>
      <c r="J4919" s="332"/>
      <c r="K4919" s="449"/>
      <c r="M4919" s="349" t="str">
        <f>N4919&amp;AS[[#This Row],[Insurer Code]]&amp;"; "&amp;O4919&amp;AS[[#This Row],[Reporting Year]]&amp;"; "&amp;P4919&amp;AS[[#This Row],[Insurance Category Code]]&amp;"; "&amp;Q4919&amp;AS[[#This Row],[Large Provider Entity Code]]&amp;"; "&amp;R4919&amp;AS[[#This Row],[Age Band Code]]&amp;"; "&amp;S4919&amp;AS[[#This Row],[Sex Code]]</f>
        <v xml:space="preserve">Insurer Code ; Reporting Year ; Insurance Category Code ; Large Provider Entity Code ; Age Band Code ; Sex Code </v>
      </c>
      <c r="N4919" s="345" t="s">
        <v>207</v>
      </c>
      <c r="O4919" s="345" t="s">
        <v>208</v>
      </c>
      <c r="P4919" s="345" t="s">
        <v>209</v>
      </c>
      <c r="Q4919" s="345" t="s">
        <v>210</v>
      </c>
      <c r="R4919" s="345" t="s">
        <v>223</v>
      </c>
      <c r="S4919" s="345" t="s">
        <v>224</v>
      </c>
    </row>
    <row r="4920" spans="1:19" x14ac:dyDescent="0.25">
      <c r="A4920" s="311"/>
      <c r="B4920" s="312"/>
      <c r="C4920" s="312"/>
      <c r="D4920" s="312"/>
      <c r="E4920" s="312"/>
      <c r="F4920" s="312"/>
      <c r="G4920" s="335"/>
      <c r="H4920" s="336"/>
      <c r="I4920" s="334"/>
      <c r="J4920" s="332"/>
      <c r="K4920" s="449"/>
      <c r="M4920" s="349" t="str">
        <f>N4920&amp;AS[[#This Row],[Insurer Code]]&amp;"; "&amp;O4920&amp;AS[[#This Row],[Reporting Year]]&amp;"; "&amp;P4920&amp;AS[[#This Row],[Insurance Category Code]]&amp;"; "&amp;Q4920&amp;AS[[#This Row],[Large Provider Entity Code]]&amp;"; "&amp;R4920&amp;AS[[#This Row],[Age Band Code]]&amp;"; "&amp;S4920&amp;AS[[#This Row],[Sex Code]]</f>
        <v xml:space="preserve">Insurer Code ; Reporting Year ; Insurance Category Code ; Large Provider Entity Code ; Age Band Code ; Sex Code </v>
      </c>
      <c r="N4920" s="345" t="s">
        <v>207</v>
      </c>
      <c r="O4920" s="345" t="s">
        <v>208</v>
      </c>
      <c r="P4920" s="345" t="s">
        <v>209</v>
      </c>
      <c r="Q4920" s="345" t="s">
        <v>210</v>
      </c>
      <c r="R4920" s="345" t="s">
        <v>223</v>
      </c>
      <c r="S4920" s="345" t="s">
        <v>224</v>
      </c>
    </row>
    <row r="4921" spans="1:19" x14ac:dyDescent="0.25">
      <c r="A4921" s="311"/>
      <c r="B4921" s="312"/>
      <c r="C4921" s="312"/>
      <c r="D4921" s="312"/>
      <c r="E4921" s="312"/>
      <c r="F4921" s="312"/>
      <c r="G4921" s="335"/>
      <c r="H4921" s="336"/>
      <c r="I4921" s="334"/>
      <c r="J4921" s="332"/>
      <c r="K4921" s="449"/>
      <c r="M4921" s="349" t="str">
        <f>N4921&amp;AS[[#This Row],[Insurer Code]]&amp;"; "&amp;O4921&amp;AS[[#This Row],[Reporting Year]]&amp;"; "&amp;P4921&amp;AS[[#This Row],[Insurance Category Code]]&amp;"; "&amp;Q4921&amp;AS[[#This Row],[Large Provider Entity Code]]&amp;"; "&amp;R4921&amp;AS[[#This Row],[Age Band Code]]&amp;"; "&amp;S4921&amp;AS[[#This Row],[Sex Code]]</f>
        <v xml:space="preserve">Insurer Code ; Reporting Year ; Insurance Category Code ; Large Provider Entity Code ; Age Band Code ; Sex Code </v>
      </c>
      <c r="N4921" s="345" t="s">
        <v>207</v>
      </c>
      <c r="O4921" s="345" t="s">
        <v>208</v>
      </c>
      <c r="P4921" s="345" t="s">
        <v>209</v>
      </c>
      <c r="Q4921" s="345" t="s">
        <v>210</v>
      </c>
      <c r="R4921" s="345" t="s">
        <v>223</v>
      </c>
      <c r="S4921" s="345" t="s">
        <v>224</v>
      </c>
    </row>
    <row r="4922" spans="1:19" x14ac:dyDescent="0.25">
      <c r="A4922" s="311"/>
      <c r="B4922" s="312"/>
      <c r="C4922" s="312"/>
      <c r="D4922" s="312"/>
      <c r="E4922" s="312"/>
      <c r="F4922" s="312"/>
      <c r="G4922" s="313"/>
      <c r="H4922" s="336"/>
      <c r="I4922" s="334"/>
      <c r="J4922" s="332"/>
      <c r="K4922" s="449"/>
      <c r="M4922" s="349" t="str">
        <f>N4922&amp;AS[[#This Row],[Insurer Code]]&amp;"; "&amp;O4922&amp;AS[[#This Row],[Reporting Year]]&amp;"; "&amp;P4922&amp;AS[[#This Row],[Insurance Category Code]]&amp;"; "&amp;Q4922&amp;AS[[#This Row],[Large Provider Entity Code]]&amp;"; "&amp;R4922&amp;AS[[#This Row],[Age Band Code]]&amp;"; "&amp;S4922&amp;AS[[#This Row],[Sex Code]]</f>
        <v xml:space="preserve">Insurer Code ; Reporting Year ; Insurance Category Code ; Large Provider Entity Code ; Age Band Code ; Sex Code </v>
      </c>
      <c r="N4922" s="345" t="s">
        <v>207</v>
      </c>
      <c r="O4922" s="345" t="s">
        <v>208</v>
      </c>
      <c r="P4922" s="345" t="s">
        <v>209</v>
      </c>
      <c r="Q4922" s="345" t="s">
        <v>210</v>
      </c>
      <c r="R4922" s="345" t="s">
        <v>223</v>
      </c>
      <c r="S4922" s="345" t="s">
        <v>224</v>
      </c>
    </row>
    <row r="4923" spans="1:19" x14ac:dyDescent="0.25">
      <c r="A4923" s="311"/>
      <c r="B4923" s="312"/>
      <c r="C4923" s="312"/>
      <c r="D4923" s="312"/>
      <c r="E4923" s="312"/>
      <c r="F4923" s="312"/>
      <c r="G4923" s="335"/>
      <c r="H4923" s="336"/>
      <c r="I4923" s="334"/>
      <c r="J4923" s="332"/>
      <c r="K4923" s="449"/>
      <c r="M4923" s="349" t="str">
        <f>N4923&amp;AS[[#This Row],[Insurer Code]]&amp;"; "&amp;O4923&amp;AS[[#This Row],[Reporting Year]]&amp;"; "&amp;P4923&amp;AS[[#This Row],[Insurance Category Code]]&amp;"; "&amp;Q4923&amp;AS[[#This Row],[Large Provider Entity Code]]&amp;"; "&amp;R4923&amp;AS[[#This Row],[Age Band Code]]&amp;"; "&amp;S4923&amp;AS[[#This Row],[Sex Code]]</f>
        <v xml:space="preserve">Insurer Code ; Reporting Year ; Insurance Category Code ; Large Provider Entity Code ; Age Band Code ; Sex Code </v>
      </c>
      <c r="N4923" s="345" t="s">
        <v>207</v>
      </c>
      <c r="O4923" s="345" t="s">
        <v>208</v>
      </c>
      <c r="P4923" s="345" t="s">
        <v>209</v>
      </c>
      <c r="Q4923" s="345" t="s">
        <v>210</v>
      </c>
      <c r="R4923" s="345" t="s">
        <v>223</v>
      </c>
      <c r="S4923" s="345" t="s">
        <v>224</v>
      </c>
    </row>
    <row r="4924" spans="1:19" x14ac:dyDescent="0.25">
      <c r="A4924" s="311"/>
      <c r="B4924" s="312"/>
      <c r="C4924" s="312"/>
      <c r="D4924" s="312"/>
      <c r="E4924" s="312"/>
      <c r="F4924" s="312"/>
      <c r="G4924" s="313"/>
      <c r="H4924" s="336"/>
      <c r="I4924" s="334"/>
      <c r="J4924" s="332"/>
      <c r="K4924" s="449"/>
      <c r="M4924" s="349" t="str">
        <f>N4924&amp;AS[[#This Row],[Insurer Code]]&amp;"; "&amp;O4924&amp;AS[[#This Row],[Reporting Year]]&amp;"; "&amp;P4924&amp;AS[[#This Row],[Insurance Category Code]]&amp;"; "&amp;Q4924&amp;AS[[#This Row],[Large Provider Entity Code]]&amp;"; "&amp;R4924&amp;AS[[#This Row],[Age Band Code]]&amp;"; "&amp;S4924&amp;AS[[#This Row],[Sex Code]]</f>
        <v xml:space="preserve">Insurer Code ; Reporting Year ; Insurance Category Code ; Large Provider Entity Code ; Age Band Code ; Sex Code </v>
      </c>
      <c r="N4924" s="345" t="s">
        <v>207</v>
      </c>
      <c r="O4924" s="345" t="s">
        <v>208</v>
      </c>
      <c r="P4924" s="345" t="s">
        <v>209</v>
      </c>
      <c r="Q4924" s="345" t="s">
        <v>210</v>
      </c>
      <c r="R4924" s="345" t="s">
        <v>223</v>
      </c>
      <c r="S4924" s="345" t="s">
        <v>224</v>
      </c>
    </row>
    <row r="4925" spans="1:19" x14ac:dyDescent="0.25">
      <c r="A4925" s="311"/>
      <c r="B4925" s="312"/>
      <c r="C4925" s="312"/>
      <c r="D4925" s="312"/>
      <c r="E4925" s="312"/>
      <c r="F4925" s="312"/>
      <c r="G4925" s="335"/>
      <c r="H4925" s="336"/>
      <c r="I4925" s="334"/>
      <c r="J4925" s="332"/>
      <c r="K4925" s="449"/>
      <c r="M4925" s="349" t="str">
        <f>N4925&amp;AS[[#This Row],[Insurer Code]]&amp;"; "&amp;O4925&amp;AS[[#This Row],[Reporting Year]]&amp;"; "&amp;P4925&amp;AS[[#This Row],[Insurance Category Code]]&amp;"; "&amp;Q4925&amp;AS[[#This Row],[Large Provider Entity Code]]&amp;"; "&amp;R4925&amp;AS[[#This Row],[Age Band Code]]&amp;"; "&amp;S4925&amp;AS[[#This Row],[Sex Code]]</f>
        <v xml:space="preserve">Insurer Code ; Reporting Year ; Insurance Category Code ; Large Provider Entity Code ; Age Band Code ; Sex Code </v>
      </c>
      <c r="N4925" s="345" t="s">
        <v>207</v>
      </c>
      <c r="O4925" s="345" t="s">
        <v>208</v>
      </c>
      <c r="P4925" s="345" t="s">
        <v>209</v>
      </c>
      <c r="Q4925" s="345" t="s">
        <v>210</v>
      </c>
      <c r="R4925" s="345" t="s">
        <v>223</v>
      </c>
      <c r="S4925" s="345" t="s">
        <v>224</v>
      </c>
    </row>
    <row r="4926" spans="1:19" x14ac:dyDescent="0.25">
      <c r="A4926" s="311"/>
      <c r="B4926" s="312"/>
      <c r="C4926" s="312"/>
      <c r="D4926" s="312"/>
      <c r="E4926" s="312"/>
      <c r="F4926" s="312"/>
      <c r="G4926" s="313"/>
      <c r="H4926" s="336"/>
      <c r="I4926" s="334"/>
      <c r="J4926" s="332"/>
      <c r="K4926" s="449"/>
      <c r="M4926" s="349" t="str">
        <f>N4926&amp;AS[[#This Row],[Insurer Code]]&amp;"; "&amp;O4926&amp;AS[[#This Row],[Reporting Year]]&amp;"; "&amp;P4926&amp;AS[[#This Row],[Insurance Category Code]]&amp;"; "&amp;Q4926&amp;AS[[#This Row],[Large Provider Entity Code]]&amp;"; "&amp;R4926&amp;AS[[#This Row],[Age Band Code]]&amp;"; "&amp;S4926&amp;AS[[#This Row],[Sex Code]]</f>
        <v xml:space="preserve">Insurer Code ; Reporting Year ; Insurance Category Code ; Large Provider Entity Code ; Age Band Code ; Sex Code </v>
      </c>
      <c r="N4926" s="345" t="s">
        <v>207</v>
      </c>
      <c r="O4926" s="345" t="s">
        <v>208</v>
      </c>
      <c r="P4926" s="345" t="s">
        <v>209</v>
      </c>
      <c r="Q4926" s="345" t="s">
        <v>210</v>
      </c>
      <c r="R4926" s="345" t="s">
        <v>223</v>
      </c>
      <c r="S4926" s="345" t="s">
        <v>224</v>
      </c>
    </row>
    <row r="4927" spans="1:19" x14ac:dyDescent="0.25">
      <c r="A4927" s="311"/>
      <c r="B4927" s="312"/>
      <c r="C4927" s="312"/>
      <c r="D4927" s="312"/>
      <c r="E4927" s="312"/>
      <c r="F4927" s="312"/>
      <c r="G4927" s="328"/>
      <c r="H4927" s="337"/>
      <c r="I4927" s="334"/>
      <c r="J4927" s="314"/>
      <c r="K4927" s="449"/>
      <c r="M4927" s="349" t="str">
        <f>N4927&amp;AS[[#This Row],[Insurer Code]]&amp;"; "&amp;O4927&amp;AS[[#This Row],[Reporting Year]]&amp;"; "&amp;P4927&amp;AS[[#This Row],[Insurance Category Code]]&amp;"; "&amp;Q4927&amp;AS[[#This Row],[Large Provider Entity Code]]&amp;"; "&amp;R4927&amp;AS[[#This Row],[Age Band Code]]&amp;"; "&amp;S4927&amp;AS[[#This Row],[Sex Code]]</f>
        <v xml:space="preserve">Insurer Code ; Reporting Year ; Insurance Category Code ; Large Provider Entity Code ; Age Band Code ; Sex Code </v>
      </c>
      <c r="N4927" s="345" t="s">
        <v>207</v>
      </c>
      <c r="O4927" s="345" t="s">
        <v>208</v>
      </c>
      <c r="P4927" s="345" t="s">
        <v>209</v>
      </c>
      <c r="Q4927" s="345" t="s">
        <v>210</v>
      </c>
      <c r="R4927" s="345" t="s">
        <v>223</v>
      </c>
      <c r="S4927" s="345" t="s">
        <v>224</v>
      </c>
    </row>
    <row r="4928" spans="1:19" x14ac:dyDescent="0.25">
      <c r="A4928" s="311"/>
      <c r="B4928" s="312"/>
      <c r="C4928" s="312"/>
      <c r="D4928" s="312"/>
      <c r="E4928" s="312"/>
      <c r="F4928" s="312"/>
      <c r="G4928" s="328"/>
      <c r="H4928" s="337"/>
      <c r="I4928" s="334"/>
      <c r="J4928" s="314"/>
      <c r="K4928" s="449"/>
      <c r="M4928" s="349" t="str">
        <f>N4928&amp;AS[[#This Row],[Insurer Code]]&amp;"; "&amp;O4928&amp;AS[[#This Row],[Reporting Year]]&amp;"; "&amp;P4928&amp;AS[[#This Row],[Insurance Category Code]]&amp;"; "&amp;Q4928&amp;AS[[#This Row],[Large Provider Entity Code]]&amp;"; "&amp;R4928&amp;AS[[#This Row],[Age Band Code]]&amp;"; "&amp;S4928&amp;AS[[#This Row],[Sex Code]]</f>
        <v xml:space="preserve">Insurer Code ; Reporting Year ; Insurance Category Code ; Large Provider Entity Code ; Age Band Code ; Sex Code </v>
      </c>
      <c r="N4928" s="345" t="s">
        <v>207</v>
      </c>
      <c r="O4928" s="345" t="s">
        <v>208</v>
      </c>
      <c r="P4928" s="345" t="s">
        <v>209</v>
      </c>
      <c r="Q4928" s="345" t="s">
        <v>210</v>
      </c>
      <c r="R4928" s="345" t="s">
        <v>223</v>
      </c>
      <c r="S4928" s="345" t="s">
        <v>224</v>
      </c>
    </row>
    <row r="4929" spans="1:19" x14ac:dyDescent="0.25">
      <c r="A4929" s="311"/>
      <c r="B4929" s="312"/>
      <c r="C4929" s="312"/>
      <c r="D4929" s="312"/>
      <c r="E4929" s="312"/>
      <c r="F4929" s="312"/>
      <c r="G4929" s="328"/>
      <c r="H4929" s="337"/>
      <c r="I4929" s="334"/>
      <c r="J4929" s="314"/>
      <c r="K4929" s="449"/>
      <c r="M4929" s="349" t="str">
        <f>N4929&amp;AS[[#This Row],[Insurer Code]]&amp;"; "&amp;O4929&amp;AS[[#This Row],[Reporting Year]]&amp;"; "&amp;P4929&amp;AS[[#This Row],[Insurance Category Code]]&amp;"; "&amp;Q4929&amp;AS[[#This Row],[Large Provider Entity Code]]&amp;"; "&amp;R4929&amp;AS[[#This Row],[Age Band Code]]&amp;"; "&amp;S4929&amp;AS[[#This Row],[Sex Code]]</f>
        <v xml:space="preserve">Insurer Code ; Reporting Year ; Insurance Category Code ; Large Provider Entity Code ; Age Band Code ; Sex Code </v>
      </c>
      <c r="N4929" s="345" t="s">
        <v>207</v>
      </c>
      <c r="O4929" s="345" t="s">
        <v>208</v>
      </c>
      <c r="P4929" s="345" t="s">
        <v>209</v>
      </c>
      <c r="Q4929" s="345" t="s">
        <v>210</v>
      </c>
      <c r="R4929" s="345" t="s">
        <v>223</v>
      </c>
      <c r="S4929" s="345" t="s">
        <v>224</v>
      </c>
    </row>
    <row r="4930" spans="1:19" x14ac:dyDescent="0.25">
      <c r="A4930" s="311"/>
      <c r="B4930" s="312"/>
      <c r="C4930" s="312"/>
      <c r="D4930" s="312"/>
      <c r="E4930" s="312"/>
      <c r="F4930" s="312"/>
      <c r="G4930" s="328"/>
      <c r="H4930" s="337"/>
      <c r="I4930" s="334"/>
      <c r="J4930" s="314"/>
      <c r="K4930" s="449"/>
      <c r="M4930" s="349" t="str">
        <f>N4930&amp;AS[[#This Row],[Insurer Code]]&amp;"; "&amp;O4930&amp;AS[[#This Row],[Reporting Year]]&amp;"; "&amp;P4930&amp;AS[[#This Row],[Insurance Category Code]]&amp;"; "&amp;Q4930&amp;AS[[#This Row],[Large Provider Entity Code]]&amp;"; "&amp;R4930&amp;AS[[#This Row],[Age Band Code]]&amp;"; "&amp;S4930&amp;AS[[#This Row],[Sex Code]]</f>
        <v xml:space="preserve">Insurer Code ; Reporting Year ; Insurance Category Code ; Large Provider Entity Code ; Age Band Code ; Sex Code </v>
      </c>
      <c r="N4930" s="345" t="s">
        <v>207</v>
      </c>
      <c r="O4930" s="345" t="s">
        <v>208</v>
      </c>
      <c r="P4930" s="345" t="s">
        <v>209</v>
      </c>
      <c r="Q4930" s="345" t="s">
        <v>210</v>
      </c>
      <c r="R4930" s="345" t="s">
        <v>223</v>
      </c>
      <c r="S4930" s="345" t="s">
        <v>224</v>
      </c>
    </row>
    <row r="4931" spans="1:19" x14ac:dyDescent="0.25">
      <c r="A4931" s="311"/>
      <c r="B4931" s="312"/>
      <c r="C4931" s="312"/>
      <c r="D4931" s="312"/>
      <c r="E4931" s="312"/>
      <c r="F4931" s="312"/>
      <c r="G4931" s="328"/>
      <c r="H4931" s="337"/>
      <c r="I4931" s="334"/>
      <c r="J4931" s="314"/>
      <c r="K4931" s="449"/>
      <c r="M4931" s="349" t="str">
        <f>N4931&amp;AS[[#This Row],[Insurer Code]]&amp;"; "&amp;O4931&amp;AS[[#This Row],[Reporting Year]]&amp;"; "&amp;P4931&amp;AS[[#This Row],[Insurance Category Code]]&amp;"; "&amp;Q4931&amp;AS[[#This Row],[Large Provider Entity Code]]&amp;"; "&amp;R4931&amp;AS[[#This Row],[Age Band Code]]&amp;"; "&amp;S4931&amp;AS[[#This Row],[Sex Code]]</f>
        <v xml:space="preserve">Insurer Code ; Reporting Year ; Insurance Category Code ; Large Provider Entity Code ; Age Band Code ; Sex Code </v>
      </c>
      <c r="N4931" s="345" t="s">
        <v>207</v>
      </c>
      <c r="O4931" s="345" t="s">
        <v>208</v>
      </c>
      <c r="P4931" s="345" t="s">
        <v>209</v>
      </c>
      <c r="Q4931" s="345" t="s">
        <v>210</v>
      </c>
      <c r="R4931" s="345" t="s">
        <v>223</v>
      </c>
      <c r="S4931" s="345" t="s">
        <v>224</v>
      </c>
    </row>
    <row r="4932" spans="1:19" x14ac:dyDescent="0.25">
      <c r="A4932" s="311"/>
      <c r="B4932" s="312"/>
      <c r="C4932" s="312"/>
      <c r="D4932" s="312"/>
      <c r="E4932" s="312"/>
      <c r="F4932" s="312"/>
      <c r="G4932" s="328"/>
      <c r="H4932" s="337"/>
      <c r="I4932" s="334"/>
      <c r="J4932" s="314"/>
      <c r="K4932" s="449"/>
      <c r="M4932" s="349" t="str">
        <f>N4932&amp;AS[[#This Row],[Insurer Code]]&amp;"; "&amp;O4932&amp;AS[[#This Row],[Reporting Year]]&amp;"; "&amp;P4932&amp;AS[[#This Row],[Insurance Category Code]]&amp;"; "&amp;Q4932&amp;AS[[#This Row],[Large Provider Entity Code]]&amp;"; "&amp;R4932&amp;AS[[#This Row],[Age Band Code]]&amp;"; "&amp;S4932&amp;AS[[#This Row],[Sex Code]]</f>
        <v xml:space="preserve">Insurer Code ; Reporting Year ; Insurance Category Code ; Large Provider Entity Code ; Age Band Code ; Sex Code </v>
      </c>
      <c r="N4932" s="345" t="s">
        <v>207</v>
      </c>
      <c r="O4932" s="345" t="s">
        <v>208</v>
      </c>
      <c r="P4932" s="345" t="s">
        <v>209</v>
      </c>
      <c r="Q4932" s="345" t="s">
        <v>210</v>
      </c>
      <c r="R4932" s="345" t="s">
        <v>223</v>
      </c>
      <c r="S4932" s="345" t="s">
        <v>224</v>
      </c>
    </row>
    <row r="4933" spans="1:19" x14ac:dyDescent="0.25">
      <c r="A4933" s="311"/>
      <c r="B4933" s="312"/>
      <c r="C4933" s="312"/>
      <c r="D4933" s="312"/>
      <c r="E4933" s="312"/>
      <c r="F4933" s="312"/>
      <c r="G4933" s="328"/>
      <c r="H4933" s="337"/>
      <c r="I4933" s="334"/>
      <c r="J4933" s="314"/>
      <c r="K4933" s="449"/>
      <c r="M4933" s="349" t="str">
        <f>N4933&amp;AS[[#This Row],[Insurer Code]]&amp;"; "&amp;O4933&amp;AS[[#This Row],[Reporting Year]]&amp;"; "&amp;P4933&amp;AS[[#This Row],[Insurance Category Code]]&amp;"; "&amp;Q4933&amp;AS[[#This Row],[Large Provider Entity Code]]&amp;"; "&amp;R4933&amp;AS[[#This Row],[Age Band Code]]&amp;"; "&amp;S4933&amp;AS[[#This Row],[Sex Code]]</f>
        <v xml:space="preserve">Insurer Code ; Reporting Year ; Insurance Category Code ; Large Provider Entity Code ; Age Band Code ; Sex Code </v>
      </c>
      <c r="N4933" s="345" t="s">
        <v>207</v>
      </c>
      <c r="O4933" s="345" t="s">
        <v>208</v>
      </c>
      <c r="P4933" s="345" t="s">
        <v>209</v>
      </c>
      <c r="Q4933" s="345" t="s">
        <v>210</v>
      </c>
      <c r="R4933" s="345" t="s">
        <v>223</v>
      </c>
      <c r="S4933" s="345" t="s">
        <v>224</v>
      </c>
    </row>
    <row r="4934" spans="1:19" x14ac:dyDescent="0.25">
      <c r="A4934" s="311"/>
      <c r="B4934" s="312"/>
      <c r="C4934" s="312"/>
      <c r="D4934" s="312"/>
      <c r="E4934" s="312"/>
      <c r="F4934" s="312"/>
      <c r="G4934" s="328"/>
      <c r="H4934" s="337"/>
      <c r="I4934" s="334"/>
      <c r="J4934" s="314"/>
      <c r="K4934" s="449"/>
      <c r="M4934" s="349" t="str">
        <f>N4934&amp;AS[[#This Row],[Insurer Code]]&amp;"; "&amp;O4934&amp;AS[[#This Row],[Reporting Year]]&amp;"; "&amp;P4934&amp;AS[[#This Row],[Insurance Category Code]]&amp;"; "&amp;Q4934&amp;AS[[#This Row],[Large Provider Entity Code]]&amp;"; "&amp;R4934&amp;AS[[#This Row],[Age Band Code]]&amp;"; "&amp;S4934&amp;AS[[#This Row],[Sex Code]]</f>
        <v xml:space="preserve">Insurer Code ; Reporting Year ; Insurance Category Code ; Large Provider Entity Code ; Age Band Code ; Sex Code </v>
      </c>
      <c r="N4934" s="345" t="s">
        <v>207</v>
      </c>
      <c r="O4934" s="345" t="s">
        <v>208</v>
      </c>
      <c r="P4934" s="345" t="s">
        <v>209</v>
      </c>
      <c r="Q4934" s="345" t="s">
        <v>210</v>
      </c>
      <c r="R4934" s="345" t="s">
        <v>223</v>
      </c>
      <c r="S4934" s="345" t="s">
        <v>224</v>
      </c>
    </row>
    <row r="4935" spans="1:19" x14ac:dyDescent="0.25">
      <c r="A4935" s="311"/>
      <c r="B4935" s="312"/>
      <c r="C4935" s="312"/>
      <c r="D4935" s="312"/>
      <c r="E4935" s="312"/>
      <c r="F4935" s="312"/>
      <c r="G4935" s="328"/>
      <c r="H4935" s="337"/>
      <c r="I4935" s="334"/>
      <c r="J4935" s="314"/>
      <c r="K4935" s="449"/>
      <c r="M4935" s="349" t="str">
        <f>N4935&amp;AS[[#This Row],[Insurer Code]]&amp;"; "&amp;O4935&amp;AS[[#This Row],[Reporting Year]]&amp;"; "&amp;P4935&amp;AS[[#This Row],[Insurance Category Code]]&amp;"; "&amp;Q4935&amp;AS[[#This Row],[Large Provider Entity Code]]&amp;"; "&amp;R4935&amp;AS[[#This Row],[Age Band Code]]&amp;"; "&amp;S4935&amp;AS[[#This Row],[Sex Code]]</f>
        <v xml:space="preserve">Insurer Code ; Reporting Year ; Insurance Category Code ; Large Provider Entity Code ; Age Band Code ; Sex Code </v>
      </c>
      <c r="N4935" s="345" t="s">
        <v>207</v>
      </c>
      <c r="O4935" s="345" t="s">
        <v>208</v>
      </c>
      <c r="P4935" s="345" t="s">
        <v>209</v>
      </c>
      <c r="Q4935" s="345" t="s">
        <v>210</v>
      </c>
      <c r="R4935" s="345" t="s">
        <v>223</v>
      </c>
      <c r="S4935" s="345" t="s">
        <v>224</v>
      </c>
    </row>
    <row r="4936" spans="1:19" x14ac:dyDescent="0.25">
      <c r="A4936" s="311"/>
      <c r="B4936" s="312"/>
      <c r="C4936" s="312"/>
      <c r="D4936" s="312"/>
      <c r="E4936" s="312"/>
      <c r="F4936" s="312"/>
      <c r="G4936" s="328"/>
      <c r="H4936" s="337"/>
      <c r="I4936" s="334"/>
      <c r="J4936" s="314"/>
      <c r="K4936" s="449"/>
      <c r="M4936" s="349" t="str">
        <f>N4936&amp;AS[[#This Row],[Insurer Code]]&amp;"; "&amp;O4936&amp;AS[[#This Row],[Reporting Year]]&amp;"; "&amp;P4936&amp;AS[[#This Row],[Insurance Category Code]]&amp;"; "&amp;Q4936&amp;AS[[#This Row],[Large Provider Entity Code]]&amp;"; "&amp;R4936&amp;AS[[#This Row],[Age Band Code]]&amp;"; "&amp;S4936&amp;AS[[#This Row],[Sex Code]]</f>
        <v xml:space="preserve">Insurer Code ; Reporting Year ; Insurance Category Code ; Large Provider Entity Code ; Age Band Code ; Sex Code </v>
      </c>
      <c r="N4936" s="345" t="s">
        <v>207</v>
      </c>
      <c r="O4936" s="345" t="s">
        <v>208</v>
      </c>
      <c r="P4936" s="345" t="s">
        <v>209</v>
      </c>
      <c r="Q4936" s="345" t="s">
        <v>210</v>
      </c>
      <c r="R4936" s="345" t="s">
        <v>223</v>
      </c>
      <c r="S4936" s="345" t="s">
        <v>224</v>
      </c>
    </row>
    <row r="4937" spans="1:19" x14ac:dyDescent="0.25">
      <c r="A4937" s="311"/>
      <c r="B4937" s="312"/>
      <c r="C4937" s="312"/>
      <c r="D4937" s="312"/>
      <c r="E4937" s="312"/>
      <c r="F4937" s="312"/>
      <c r="G4937" s="328"/>
      <c r="H4937" s="337"/>
      <c r="I4937" s="334"/>
      <c r="J4937" s="314"/>
      <c r="K4937" s="449"/>
      <c r="M4937" s="349" t="str">
        <f>N4937&amp;AS[[#This Row],[Insurer Code]]&amp;"; "&amp;O4937&amp;AS[[#This Row],[Reporting Year]]&amp;"; "&amp;P4937&amp;AS[[#This Row],[Insurance Category Code]]&amp;"; "&amp;Q4937&amp;AS[[#This Row],[Large Provider Entity Code]]&amp;"; "&amp;R4937&amp;AS[[#This Row],[Age Band Code]]&amp;"; "&amp;S4937&amp;AS[[#This Row],[Sex Code]]</f>
        <v xml:space="preserve">Insurer Code ; Reporting Year ; Insurance Category Code ; Large Provider Entity Code ; Age Band Code ; Sex Code </v>
      </c>
      <c r="N4937" s="345" t="s">
        <v>207</v>
      </c>
      <c r="O4937" s="345" t="s">
        <v>208</v>
      </c>
      <c r="P4937" s="345" t="s">
        <v>209</v>
      </c>
      <c r="Q4937" s="345" t="s">
        <v>210</v>
      </c>
      <c r="R4937" s="345" t="s">
        <v>223</v>
      </c>
      <c r="S4937" s="345" t="s">
        <v>224</v>
      </c>
    </row>
    <row r="4938" spans="1:19" x14ac:dyDescent="0.25">
      <c r="A4938" s="311"/>
      <c r="B4938" s="312"/>
      <c r="C4938" s="312"/>
      <c r="D4938" s="312"/>
      <c r="E4938" s="312"/>
      <c r="F4938" s="312"/>
      <c r="G4938" s="328"/>
      <c r="H4938" s="337"/>
      <c r="I4938" s="334"/>
      <c r="J4938" s="314"/>
      <c r="K4938" s="449"/>
      <c r="M4938" s="349" t="str">
        <f>N4938&amp;AS[[#This Row],[Insurer Code]]&amp;"; "&amp;O4938&amp;AS[[#This Row],[Reporting Year]]&amp;"; "&amp;P4938&amp;AS[[#This Row],[Insurance Category Code]]&amp;"; "&amp;Q4938&amp;AS[[#This Row],[Large Provider Entity Code]]&amp;"; "&amp;R4938&amp;AS[[#This Row],[Age Band Code]]&amp;"; "&amp;S4938&amp;AS[[#This Row],[Sex Code]]</f>
        <v xml:space="preserve">Insurer Code ; Reporting Year ; Insurance Category Code ; Large Provider Entity Code ; Age Band Code ; Sex Code </v>
      </c>
      <c r="N4938" s="345" t="s">
        <v>207</v>
      </c>
      <c r="O4938" s="345" t="s">
        <v>208</v>
      </c>
      <c r="P4938" s="345" t="s">
        <v>209</v>
      </c>
      <c r="Q4938" s="345" t="s">
        <v>210</v>
      </c>
      <c r="R4938" s="345" t="s">
        <v>223</v>
      </c>
      <c r="S4938" s="345" t="s">
        <v>224</v>
      </c>
    </row>
    <row r="4939" spans="1:19" x14ac:dyDescent="0.25">
      <c r="A4939" s="311"/>
      <c r="B4939" s="312"/>
      <c r="C4939" s="312"/>
      <c r="D4939" s="312"/>
      <c r="E4939" s="312"/>
      <c r="F4939" s="312"/>
      <c r="G4939" s="328"/>
      <c r="H4939" s="337"/>
      <c r="I4939" s="334"/>
      <c r="J4939" s="314"/>
      <c r="K4939" s="449"/>
      <c r="M4939" s="349" t="str">
        <f>N4939&amp;AS[[#This Row],[Insurer Code]]&amp;"; "&amp;O4939&amp;AS[[#This Row],[Reporting Year]]&amp;"; "&amp;P4939&amp;AS[[#This Row],[Insurance Category Code]]&amp;"; "&amp;Q4939&amp;AS[[#This Row],[Large Provider Entity Code]]&amp;"; "&amp;R4939&amp;AS[[#This Row],[Age Band Code]]&amp;"; "&amp;S4939&amp;AS[[#This Row],[Sex Code]]</f>
        <v xml:space="preserve">Insurer Code ; Reporting Year ; Insurance Category Code ; Large Provider Entity Code ; Age Band Code ; Sex Code </v>
      </c>
      <c r="N4939" s="345" t="s">
        <v>207</v>
      </c>
      <c r="O4939" s="345" t="s">
        <v>208</v>
      </c>
      <c r="P4939" s="345" t="s">
        <v>209</v>
      </c>
      <c r="Q4939" s="345" t="s">
        <v>210</v>
      </c>
      <c r="R4939" s="345" t="s">
        <v>223</v>
      </c>
      <c r="S4939" s="345" t="s">
        <v>224</v>
      </c>
    </row>
    <row r="4940" spans="1:19" x14ac:dyDescent="0.25">
      <c r="A4940" s="311"/>
      <c r="B4940" s="312"/>
      <c r="C4940" s="312"/>
      <c r="D4940" s="312"/>
      <c r="E4940" s="312"/>
      <c r="F4940" s="312"/>
      <c r="G4940" s="328"/>
      <c r="H4940" s="337"/>
      <c r="I4940" s="334"/>
      <c r="J4940" s="314"/>
      <c r="K4940" s="449"/>
      <c r="M4940" s="349" t="str">
        <f>N4940&amp;AS[[#This Row],[Insurer Code]]&amp;"; "&amp;O4940&amp;AS[[#This Row],[Reporting Year]]&amp;"; "&amp;P4940&amp;AS[[#This Row],[Insurance Category Code]]&amp;"; "&amp;Q4940&amp;AS[[#This Row],[Large Provider Entity Code]]&amp;"; "&amp;R4940&amp;AS[[#This Row],[Age Band Code]]&amp;"; "&amp;S4940&amp;AS[[#This Row],[Sex Code]]</f>
        <v xml:space="preserve">Insurer Code ; Reporting Year ; Insurance Category Code ; Large Provider Entity Code ; Age Band Code ; Sex Code </v>
      </c>
      <c r="N4940" s="345" t="s">
        <v>207</v>
      </c>
      <c r="O4940" s="345" t="s">
        <v>208</v>
      </c>
      <c r="P4940" s="345" t="s">
        <v>209</v>
      </c>
      <c r="Q4940" s="345" t="s">
        <v>210</v>
      </c>
      <c r="R4940" s="345" t="s">
        <v>223</v>
      </c>
      <c r="S4940" s="345" t="s">
        <v>224</v>
      </c>
    </row>
    <row r="4941" spans="1:19" x14ac:dyDescent="0.25">
      <c r="A4941" s="311"/>
      <c r="B4941" s="312"/>
      <c r="C4941" s="312"/>
      <c r="D4941" s="312"/>
      <c r="E4941" s="312"/>
      <c r="F4941" s="312"/>
      <c r="G4941" s="328"/>
      <c r="H4941" s="337"/>
      <c r="I4941" s="334"/>
      <c r="J4941" s="314"/>
      <c r="K4941" s="449"/>
      <c r="M4941" s="349" t="str">
        <f>N4941&amp;AS[[#This Row],[Insurer Code]]&amp;"; "&amp;O4941&amp;AS[[#This Row],[Reporting Year]]&amp;"; "&amp;P4941&amp;AS[[#This Row],[Insurance Category Code]]&amp;"; "&amp;Q4941&amp;AS[[#This Row],[Large Provider Entity Code]]&amp;"; "&amp;R4941&amp;AS[[#This Row],[Age Band Code]]&amp;"; "&amp;S4941&amp;AS[[#This Row],[Sex Code]]</f>
        <v xml:space="preserve">Insurer Code ; Reporting Year ; Insurance Category Code ; Large Provider Entity Code ; Age Band Code ; Sex Code </v>
      </c>
      <c r="N4941" s="345" t="s">
        <v>207</v>
      </c>
      <c r="O4941" s="345" t="s">
        <v>208</v>
      </c>
      <c r="P4941" s="345" t="s">
        <v>209</v>
      </c>
      <c r="Q4941" s="345" t="s">
        <v>210</v>
      </c>
      <c r="R4941" s="345" t="s">
        <v>223</v>
      </c>
      <c r="S4941" s="345" t="s">
        <v>224</v>
      </c>
    </row>
    <row r="4942" spans="1:19" x14ac:dyDescent="0.25">
      <c r="A4942" s="311"/>
      <c r="B4942" s="312"/>
      <c r="C4942" s="312"/>
      <c r="D4942" s="312"/>
      <c r="E4942" s="312"/>
      <c r="F4942" s="312"/>
      <c r="G4942" s="328"/>
      <c r="H4942" s="337"/>
      <c r="I4942" s="334"/>
      <c r="J4942" s="314"/>
      <c r="K4942" s="449"/>
      <c r="M4942" s="349" t="str">
        <f>N4942&amp;AS[[#This Row],[Insurer Code]]&amp;"; "&amp;O4942&amp;AS[[#This Row],[Reporting Year]]&amp;"; "&amp;P4942&amp;AS[[#This Row],[Insurance Category Code]]&amp;"; "&amp;Q4942&amp;AS[[#This Row],[Large Provider Entity Code]]&amp;"; "&amp;R4942&amp;AS[[#This Row],[Age Band Code]]&amp;"; "&amp;S4942&amp;AS[[#This Row],[Sex Code]]</f>
        <v xml:space="preserve">Insurer Code ; Reporting Year ; Insurance Category Code ; Large Provider Entity Code ; Age Band Code ; Sex Code </v>
      </c>
      <c r="N4942" s="345" t="s">
        <v>207</v>
      </c>
      <c r="O4942" s="345" t="s">
        <v>208</v>
      </c>
      <c r="P4942" s="345" t="s">
        <v>209</v>
      </c>
      <c r="Q4942" s="345" t="s">
        <v>210</v>
      </c>
      <c r="R4942" s="345" t="s">
        <v>223</v>
      </c>
      <c r="S4942" s="345" t="s">
        <v>224</v>
      </c>
    </row>
    <row r="4943" spans="1:19" x14ac:dyDescent="0.25">
      <c r="A4943" s="311"/>
      <c r="B4943" s="312"/>
      <c r="C4943" s="312"/>
      <c r="D4943" s="312"/>
      <c r="E4943" s="312"/>
      <c r="F4943" s="312"/>
      <c r="G4943" s="328"/>
      <c r="H4943" s="337"/>
      <c r="I4943" s="334"/>
      <c r="J4943" s="314"/>
      <c r="K4943" s="449"/>
      <c r="M4943" s="349" t="str">
        <f>N4943&amp;AS[[#This Row],[Insurer Code]]&amp;"; "&amp;O4943&amp;AS[[#This Row],[Reporting Year]]&amp;"; "&amp;P4943&amp;AS[[#This Row],[Insurance Category Code]]&amp;"; "&amp;Q4943&amp;AS[[#This Row],[Large Provider Entity Code]]&amp;"; "&amp;R4943&amp;AS[[#This Row],[Age Band Code]]&amp;"; "&amp;S4943&amp;AS[[#This Row],[Sex Code]]</f>
        <v xml:space="preserve">Insurer Code ; Reporting Year ; Insurance Category Code ; Large Provider Entity Code ; Age Band Code ; Sex Code </v>
      </c>
      <c r="N4943" s="345" t="s">
        <v>207</v>
      </c>
      <c r="O4943" s="345" t="s">
        <v>208</v>
      </c>
      <c r="P4943" s="345" t="s">
        <v>209</v>
      </c>
      <c r="Q4943" s="345" t="s">
        <v>210</v>
      </c>
      <c r="R4943" s="345" t="s">
        <v>223</v>
      </c>
      <c r="S4943" s="345" t="s">
        <v>224</v>
      </c>
    </row>
    <row r="4944" spans="1:19" x14ac:dyDescent="0.25">
      <c r="A4944" s="311"/>
      <c r="B4944" s="312"/>
      <c r="C4944" s="312"/>
      <c r="D4944" s="312"/>
      <c r="E4944" s="312"/>
      <c r="F4944" s="312"/>
      <c r="G4944" s="328"/>
      <c r="H4944" s="337"/>
      <c r="I4944" s="334"/>
      <c r="J4944" s="314"/>
      <c r="K4944" s="449"/>
      <c r="M4944" s="349" t="str">
        <f>N4944&amp;AS[[#This Row],[Insurer Code]]&amp;"; "&amp;O4944&amp;AS[[#This Row],[Reporting Year]]&amp;"; "&amp;P4944&amp;AS[[#This Row],[Insurance Category Code]]&amp;"; "&amp;Q4944&amp;AS[[#This Row],[Large Provider Entity Code]]&amp;"; "&amp;R4944&amp;AS[[#This Row],[Age Band Code]]&amp;"; "&amp;S4944&amp;AS[[#This Row],[Sex Code]]</f>
        <v xml:space="preserve">Insurer Code ; Reporting Year ; Insurance Category Code ; Large Provider Entity Code ; Age Band Code ; Sex Code </v>
      </c>
      <c r="N4944" s="345" t="s">
        <v>207</v>
      </c>
      <c r="O4944" s="345" t="s">
        <v>208</v>
      </c>
      <c r="P4944" s="345" t="s">
        <v>209</v>
      </c>
      <c r="Q4944" s="345" t="s">
        <v>210</v>
      </c>
      <c r="R4944" s="345" t="s">
        <v>223</v>
      </c>
      <c r="S4944" s="345" t="s">
        <v>224</v>
      </c>
    </row>
    <row r="4945" spans="1:19" x14ac:dyDescent="0.25">
      <c r="A4945" s="311"/>
      <c r="B4945" s="312"/>
      <c r="C4945" s="312"/>
      <c r="D4945" s="312"/>
      <c r="E4945" s="312"/>
      <c r="F4945" s="312"/>
      <c r="G4945" s="328"/>
      <c r="H4945" s="337"/>
      <c r="I4945" s="334"/>
      <c r="J4945" s="314"/>
      <c r="K4945" s="449"/>
      <c r="M4945" s="349" t="str">
        <f>N4945&amp;AS[[#This Row],[Insurer Code]]&amp;"; "&amp;O4945&amp;AS[[#This Row],[Reporting Year]]&amp;"; "&amp;P4945&amp;AS[[#This Row],[Insurance Category Code]]&amp;"; "&amp;Q4945&amp;AS[[#This Row],[Large Provider Entity Code]]&amp;"; "&amp;R4945&amp;AS[[#This Row],[Age Band Code]]&amp;"; "&amp;S4945&amp;AS[[#This Row],[Sex Code]]</f>
        <v xml:space="preserve">Insurer Code ; Reporting Year ; Insurance Category Code ; Large Provider Entity Code ; Age Band Code ; Sex Code </v>
      </c>
      <c r="N4945" s="345" t="s">
        <v>207</v>
      </c>
      <c r="O4945" s="345" t="s">
        <v>208</v>
      </c>
      <c r="P4945" s="345" t="s">
        <v>209</v>
      </c>
      <c r="Q4945" s="345" t="s">
        <v>210</v>
      </c>
      <c r="R4945" s="345" t="s">
        <v>223</v>
      </c>
      <c r="S4945" s="345" t="s">
        <v>224</v>
      </c>
    </row>
    <row r="4946" spans="1:19" x14ac:dyDescent="0.25">
      <c r="A4946" s="311"/>
      <c r="B4946" s="312"/>
      <c r="C4946" s="312"/>
      <c r="D4946" s="312"/>
      <c r="E4946" s="312"/>
      <c r="F4946" s="312"/>
      <c r="G4946" s="328"/>
      <c r="H4946" s="337"/>
      <c r="I4946" s="334"/>
      <c r="J4946" s="314"/>
      <c r="K4946" s="449"/>
      <c r="M4946" s="349" t="str">
        <f>N4946&amp;AS[[#This Row],[Insurer Code]]&amp;"; "&amp;O4946&amp;AS[[#This Row],[Reporting Year]]&amp;"; "&amp;P4946&amp;AS[[#This Row],[Insurance Category Code]]&amp;"; "&amp;Q4946&amp;AS[[#This Row],[Large Provider Entity Code]]&amp;"; "&amp;R4946&amp;AS[[#This Row],[Age Band Code]]&amp;"; "&amp;S4946&amp;AS[[#This Row],[Sex Code]]</f>
        <v xml:space="preserve">Insurer Code ; Reporting Year ; Insurance Category Code ; Large Provider Entity Code ; Age Band Code ; Sex Code </v>
      </c>
      <c r="N4946" s="345" t="s">
        <v>207</v>
      </c>
      <c r="O4946" s="345" t="s">
        <v>208</v>
      </c>
      <c r="P4946" s="345" t="s">
        <v>209</v>
      </c>
      <c r="Q4946" s="345" t="s">
        <v>210</v>
      </c>
      <c r="R4946" s="345" t="s">
        <v>223</v>
      </c>
      <c r="S4946" s="345" t="s">
        <v>224</v>
      </c>
    </row>
    <row r="4947" spans="1:19" x14ac:dyDescent="0.25">
      <c r="A4947" s="311"/>
      <c r="B4947" s="312"/>
      <c r="C4947" s="312"/>
      <c r="D4947" s="312"/>
      <c r="E4947" s="312"/>
      <c r="F4947" s="312"/>
      <c r="G4947" s="328"/>
      <c r="H4947" s="337"/>
      <c r="I4947" s="334"/>
      <c r="J4947" s="314"/>
      <c r="K4947" s="449"/>
      <c r="M4947" s="349" t="str">
        <f>N4947&amp;AS[[#This Row],[Insurer Code]]&amp;"; "&amp;O4947&amp;AS[[#This Row],[Reporting Year]]&amp;"; "&amp;P4947&amp;AS[[#This Row],[Insurance Category Code]]&amp;"; "&amp;Q4947&amp;AS[[#This Row],[Large Provider Entity Code]]&amp;"; "&amp;R4947&amp;AS[[#This Row],[Age Band Code]]&amp;"; "&amp;S4947&amp;AS[[#This Row],[Sex Code]]</f>
        <v xml:space="preserve">Insurer Code ; Reporting Year ; Insurance Category Code ; Large Provider Entity Code ; Age Band Code ; Sex Code </v>
      </c>
      <c r="N4947" s="345" t="s">
        <v>207</v>
      </c>
      <c r="O4947" s="345" t="s">
        <v>208</v>
      </c>
      <c r="P4947" s="345" t="s">
        <v>209</v>
      </c>
      <c r="Q4947" s="345" t="s">
        <v>210</v>
      </c>
      <c r="R4947" s="345" t="s">
        <v>223</v>
      </c>
      <c r="S4947" s="345" t="s">
        <v>224</v>
      </c>
    </row>
    <row r="4948" spans="1:19" x14ac:dyDescent="0.25">
      <c r="A4948" s="311"/>
      <c r="B4948" s="312"/>
      <c r="C4948" s="312"/>
      <c r="D4948" s="312"/>
      <c r="E4948" s="312"/>
      <c r="F4948" s="312"/>
      <c r="G4948" s="328"/>
      <c r="H4948" s="337"/>
      <c r="I4948" s="334"/>
      <c r="J4948" s="314"/>
      <c r="K4948" s="449"/>
      <c r="M4948" s="349" t="str">
        <f>N4948&amp;AS[[#This Row],[Insurer Code]]&amp;"; "&amp;O4948&amp;AS[[#This Row],[Reporting Year]]&amp;"; "&amp;P4948&amp;AS[[#This Row],[Insurance Category Code]]&amp;"; "&amp;Q4948&amp;AS[[#This Row],[Large Provider Entity Code]]&amp;"; "&amp;R4948&amp;AS[[#This Row],[Age Band Code]]&amp;"; "&amp;S4948&amp;AS[[#This Row],[Sex Code]]</f>
        <v xml:space="preserve">Insurer Code ; Reporting Year ; Insurance Category Code ; Large Provider Entity Code ; Age Band Code ; Sex Code </v>
      </c>
      <c r="N4948" s="345" t="s">
        <v>207</v>
      </c>
      <c r="O4948" s="345" t="s">
        <v>208</v>
      </c>
      <c r="P4948" s="345" t="s">
        <v>209</v>
      </c>
      <c r="Q4948" s="345" t="s">
        <v>210</v>
      </c>
      <c r="R4948" s="345" t="s">
        <v>223</v>
      </c>
      <c r="S4948" s="345" t="s">
        <v>224</v>
      </c>
    </row>
    <row r="4949" spans="1:19" x14ac:dyDescent="0.25">
      <c r="A4949" s="311"/>
      <c r="B4949" s="312"/>
      <c r="C4949" s="312"/>
      <c r="D4949" s="312"/>
      <c r="E4949" s="312"/>
      <c r="F4949" s="312"/>
      <c r="G4949" s="328"/>
      <c r="H4949" s="337"/>
      <c r="I4949" s="334"/>
      <c r="J4949" s="314"/>
      <c r="K4949" s="449"/>
      <c r="M4949" s="349" t="str">
        <f>N4949&amp;AS[[#This Row],[Insurer Code]]&amp;"; "&amp;O4949&amp;AS[[#This Row],[Reporting Year]]&amp;"; "&amp;P4949&amp;AS[[#This Row],[Insurance Category Code]]&amp;"; "&amp;Q4949&amp;AS[[#This Row],[Large Provider Entity Code]]&amp;"; "&amp;R4949&amp;AS[[#This Row],[Age Band Code]]&amp;"; "&amp;S4949&amp;AS[[#This Row],[Sex Code]]</f>
        <v xml:space="preserve">Insurer Code ; Reporting Year ; Insurance Category Code ; Large Provider Entity Code ; Age Band Code ; Sex Code </v>
      </c>
      <c r="N4949" s="345" t="s">
        <v>207</v>
      </c>
      <c r="O4949" s="345" t="s">
        <v>208</v>
      </c>
      <c r="P4949" s="345" t="s">
        <v>209</v>
      </c>
      <c r="Q4949" s="345" t="s">
        <v>210</v>
      </c>
      <c r="R4949" s="345" t="s">
        <v>223</v>
      </c>
      <c r="S4949" s="345" t="s">
        <v>224</v>
      </c>
    </row>
    <row r="4950" spans="1:19" x14ac:dyDescent="0.25">
      <c r="A4950" s="311"/>
      <c r="B4950" s="312"/>
      <c r="C4950" s="312"/>
      <c r="D4950" s="312"/>
      <c r="E4950" s="312"/>
      <c r="F4950" s="312"/>
      <c r="G4950" s="328"/>
      <c r="H4950" s="337"/>
      <c r="I4950" s="334"/>
      <c r="J4950" s="314"/>
      <c r="K4950" s="449"/>
      <c r="M4950" s="349" t="str">
        <f>N4950&amp;AS[[#This Row],[Insurer Code]]&amp;"; "&amp;O4950&amp;AS[[#This Row],[Reporting Year]]&amp;"; "&amp;P4950&amp;AS[[#This Row],[Insurance Category Code]]&amp;"; "&amp;Q4950&amp;AS[[#This Row],[Large Provider Entity Code]]&amp;"; "&amp;R4950&amp;AS[[#This Row],[Age Band Code]]&amp;"; "&amp;S4950&amp;AS[[#This Row],[Sex Code]]</f>
        <v xml:space="preserve">Insurer Code ; Reporting Year ; Insurance Category Code ; Large Provider Entity Code ; Age Band Code ; Sex Code </v>
      </c>
      <c r="N4950" s="345" t="s">
        <v>207</v>
      </c>
      <c r="O4950" s="345" t="s">
        <v>208</v>
      </c>
      <c r="P4950" s="345" t="s">
        <v>209</v>
      </c>
      <c r="Q4950" s="345" t="s">
        <v>210</v>
      </c>
      <c r="R4950" s="345" t="s">
        <v>223</v>
      </c>
      <c r="S4950" s="345" t="s">
        <v>224</v>
      </c>
    </row>
    <row r="4951" spans="1:19" x14ac:dyDescent="0.25">
      <c r="A4951" s="311"/>
      <c r="B4951" s="312"/>
      <c r="C4951" s="312"/>
      <c r="D4951" s="312"/>
      <c r="E4951" s="312"/>
      <c r="F4951" s="312"/>
      <c r="G4951" s="328"/>
      <c r="H4951" s="337"/>
      <c r="I4951" s="334"/>
      <c r="J4951" s="314"/>
      <c r="K4951" s="449"/>
      <c r="M4951" s="349" t="str">
        <f>N4951&amp;AS[[#This Row],[Insurer Code]]&amp;"; "&amp;O4951&amp;AS[[#This Row],[Reporting Year]]&amp;"; "&amp;P4951&amp;AS[[#This Row],[Insurance Category Code]]&amp;"; "&amp;Q4951&amp;AS[[#This Row],[Large Provider Entity Code]]&amp;"; "&amp;R4951&amp;AS[[#This Row],[Age Band Code]]&amp;"; "&amp;S4951&amp;AS[[#This Row],[Sex Code]]</f>
        <v xml:space="preserve">Insurer Code ; Reporting Year ; Insurance Category Code ; Large Provider Entity Code ; Age Band Code ; Sex Code </v>
      </c>
      <c r="N4951" s="345" t="s">
        <v>207</v>
      </c>
      <c r="O4951" s="345" t="s">
        <v>208</v>
      </c>
      <c r="P4951" s="345" t="s">
        <v>209</v>
      </c>
      <c r="Q4951" s="345" t="s">
        <v>210</v>
      </c>
      <c r="R4951" s="345" t="s">
        <v>223</v>
      </c>
      <c r="S4951" s="345" t="s">
        <v>224</v>
      </c>
    </row>
    <row r="4952" spans="1:19" x14ac:dyDescent="0.25">
      <c r="A4952" s="311"/>
      <c r="B4952" s="312"/>
      <c r="C4952" s="312"/>
      <c r="D4952" s="312"/>
      <c r="E4952" s="312"/>
      <c r="F4952" s="312"/>
      <c r="G4952" s="328"/>
      <c r="H4952" s="337"/>
      <c r="I4952" s="334"/>
      <c r="J4952" s="314"/>
      <c r="K4952" s="449"/>
      <c r="M4952" s="349" t="str">
        <f>N4952&amp;AS[[#This Row],[Insurer Code]]&amp;"; "&amp;O4952&amp;AS[[#This Row],[Reporting Year]]&amp;"; "&amp;P4952&amp;AS[[#This Row],[Insurance Category Code]]&amp;"; "&amp;Q4952&amp;AS[[#This Row],[Large Provider Entity Code]]&amp;"; "&amp;R4952&amp;AS[[#This Row],[Age Band Code]]&amp;"; "&amp;S4952&amp;AS[[#This Row],[Sex Code]]</f>
        <v xml:space="preserve">Insurer Code ; Reporting Year ; Insurance Category Code ; Large Provider Entity Code ; Age Band Code ; Sex Code </v>
      </c>
      <c r="N4952" s="345" t="s">
        <v>207</v>
      </c>
      <c r="O4952" s="345" t="s">
        <v>208</v>
      </c>
      <c r="P4952" s="345" t="s">
        <v>209</v>
      </c>
      <c r="Q4952" s="345" t="s">
        <v>210</v>
      </c>
      <c r="R4952" s="345" t="s">
        <v>223</v>
      </c>
      <c r="S4952" s="345" t="s">
        <v>224</v>
      </c>
    </row>
    <row r="4953" spans="1:19" x14ac:dyDescent="0.25">
      <c r="A4953" s="311"/>
      <c r="B4953" s="312"/>
      <c r="C4953" s="312"/>
      <c r="D4953" s="312"/>
      <c r="E4953" s="312"/>
      <c r="F4953" s="312"/>
      <c r="G4953" s="328"/>
      <c r="H4953" s="337"/>
      <c r="I4953" s="334"/>
      <c r="J4953" s="314"/>
      <c r="K4953" s="449"/>
      <c r="M4953" s="349" t="str">
        <f>N4953&amp;AS[[#This Row],[Insurer Code]]&amp;"; "&amp;O4953&amp;AS[[#This Row],[Reporting Year]]&amp;"; "&amp;P4953&amp;AS[[#This Row],[Insurance Category Code]]&amp;"; "&amp;Q4953&amp;AS[[#This Row],[Large Provider Entity Code]]&amp;"; "&amp;R4953&amp;AS[[#This Row],[Age Band Code]]&amp;"; "&amp;S4953&amp;AS[[#This Row],[Sex Code]]</f>
        <v xml:space="preserve">Insurer Code ; Reporting Year ; Insurance Category Code ; Large Provider Entity Code ; Age Band Code ; Sex Code </v>
      </c>
      <c r="N4953" s="345" t="s">
        <v>207</v>
      </c>
      <c r="O4953" s="345" t="s">
        <v>208</v>
      </c>
      <c r="P4953" s="345" t="s">
        <v>209</v>
      </c>
      <c r="Q4953" s="345" t="s">
        <v>210</v>
      </c>
      <c r="R4953" s="345" t="s">
        <v>223</v>
      </c>
      <c r="S4953" s="345" t="s">
        <v>224</v>
      </c>
    </row>
    <row r="4954" spans="1:19" x14ac:dyDescent="0.25">
      <c r="A4954" s="311"/>
      <c r="B4954" s="312"/>
      <c r="C4954" s="312"/>
      <c r="D4954" s="312"/>
      <c r="E4954" s="312"/>
      <c r="F4954" s="312"/>
      <c r="G4954" s="328"/>
      <c r="H4954" s="337"/>
      <c r="I4954" s="334"/>
      <c r="J4954" s="314"/>
      <c r="K4954" s="449"/>
      <c r="M4954" s="349" t="str">
        <f>N4954&amp;AS[[#This Row],[Insurer Code]]&amp;"; "&amp;O4954&amp;AS[[#This Row],[Reporting Year]]&amp;"; "&amp;P4954&amp;AS[[#This Row],[Insurance Category Code]]&amp;"; "&amp;Q4954&amp;AS[[#This Row],[Large Provider Entity Code]]&amp;"; "&amp;R4954&amp;AS[[#This Row],[Age Band Code]]&amp;"; "&amp;S4954&amp;AS[[#This Row],[Sex Code]]</f>
        <v xml:space="preserve">Insurer Code ; Reporting Year ; Insurance Category Code ; Large Provider Entity Code ; Age Band Code ; Sex Code </v>
      </c>
      <c r="N4954" s="345" t="s">
        <v>207</v>
      </c>
      <c r="O4954" s="345" t="s">
        <v>208</v>
      </c>
      <c r="P4954" s="345" t="s">
        <v>209</v>
      </c>
      <c r="Q4954" s="345" t="s">
        <v>210</v>
      </c>
      <c r="R4954" s="345" t="s">
        <v>223</v>
      </c>
      <c r="S4954" s="345" t="s">
        <v>224</v>
      </c>
    </row>
    <row r="4955" spans="1:19" x14ac:dyDescent="0.25">
      <c r="A4955" s="311"/>
      <c r="B4955" s="312"/>
      <c r="C4955" s="312"/>
      <c r="D4955" s="312"/>
      <c r="E4955" s="312"/>
      <c r="F4955" s="312"/>
      <c r="G4955" s="328"/>
      <c r="H4955" s="337"/>
      <c r="I4955" s="334"/>
      <c r="J4955" s="314"/>
      <c r="K4955" s="449"/>
      <c r="M4955" s="349" t="str">
        <f>N4955&amp;AS[[#This Row],[Insurer Code]]&amp;"; "&amp;O4955&amp;AS[[#This Row],[Reporting Year]]&amp;"; "&amp;P4955&amp;AS[[#This Row],[Insurance Category Code]]&amp;"; "&amp;Q4955&amp;AS[[#This Row],[Large Provider Entity Code]]&amp;"; "&amp;R4955&amp;AS[[#This Row],[Age Band Code]]&amp;"; "&amp;S4955&amp;AS[[#This Row],[Sex Code]]</f>
        <v xml:space="preserve">Insurer Code ; Reporting Year ; Insurance Category Code ; Large Provider Entity Code ; Age Band Code ; Sex Code </v>
      </c>
      <c r="N4955" s="345" t="s">
        <v>207</v>
      </c>
      <c r="O4955" s="345" t="s">
        <v>208</v>
      </c>
      <c r="P4955" s="345" t="s">
        <v>209</v>
      </c>
      <c r="Q4955" s="345" t="s">
        <v>210</v>
      </c>
      <c r="R4955" s="345" t="s">
        <v>223</v>
      </c>
      <c r="S4955" s="345" t="s">
        <v>224</v>
      </c>
    </row>
    <row r="4956" spans="1:19" x14ac:dyDescent="0.25">
      <c r="A4956" s="311"/>
      <c r="B4956" s="312"/>
      <c r="C4956" s="312"/>
      <c r="D4956" s="312"/>
      <c r="E4956" s="312"/>
      <c r="F4956" s="312"/>
      <c r="G4956" s="328"/>
      <c r="H4956" s="337"/>
      <c r="I4956" s="334"/>
      <c r="J4956" s="314"/>
      <c r="K4956" s="449"/>
      <c r="M4956" s="349" t="str">
        <f>N4956&amp;AS[[#This Row],[Insurer Code]]&amp;"; "&amp;O4956&amp;AS[[#This Row],[Reporting Year]]&amp;"; "&amp;P4956&amp;AS[[#This Row],[Insurance Category Code]]&amp;"; "&amp;Q4956&amp;AS[[#This Row],[Large Provider Entity Code]]&amp;"; "&amp;R4956&amp;AS[[#This Row],[Age Band Code]]&amp;"; "&amp;S4956&amp;AS[[#This Row],[Sex Code]]</f>
        <v xml:space="preserve">Insurer Code ; Reporting Year ; Insurance Category Code ; Large Provider Entity Code ; Age Band Code ; Sex Code </v>
      </c>
      <c r="N4956" s="345" t="s">
        <v>207</v>
      </c>
      <c r="O4956" s="345" t="s">
        <v>208</v>
      </c>
      <c r="P4956" s="345" t="s">
        <v>209</v>
      </c>
      <c r="Q4956" s="345" t="s">
        <v>210</v>
      </c>
      <c r="R4956" s="345" t="s">
        <v>223</v>
      </c>
      <c r="S4956" s="345" t="s">
        <v>224</v>
      </c>
    </row>
    <row r="4957" spans="1:19" x14ac:dyDescent="0.25">
      <c r="A4957" s="311"/>
      <c r="B4957" s="312"/>
      <c r="C4957" s="312"/>
      <c r="D4957" s="312"/>
      <c r="E4957" s="312"/>
      <c r="F4957" s="312"/>
      <c r="G4957" s="328"/>
      <c r="H4957" s="337"/>
      <c r="I4957" s="334"/>
      <c r="J4957" s="314"/>
      <c r="K4957" s="449"/>
      <c r="M4957" s="349" t="str">
        <f>N4957&amp;AS[[#This Row],[Insurer Code]]&amp;"; "&amp;O4957&amp;AS[[#This Row],[Reporting Year]]&amp;"; "&amp;P4957&amp;AS[[#This Row],[Insurance Category Code]]&amp;"; "&amp;Q4957&amp;AS[[#This Row],[Large Provider Entity Code]]&amp;"; "&amp;R4957&amp;AS[[#This Row],[Age Band Code]]&amp;"; "&amp;S4957&amp;AS[[#This Row],[Sex Code]]</f>
        <v xml:space="preserve">Insurer Code ; Reporting Year ; Insurance Category Code ; Large Provider Entity Code ; Age Band Code ; Sex Code </v>
      </c>
      <c r="N4957" s="345" t="s">
        <v>207</v>
      </c>
      <c r="O4957" s="345" t="s">
        <v>208</v>
      </c>
      <c r="P4957" s="345" t="s">
        <v>209</v>
      </c>
      <c r="Q4957" s="345" t="s">
        <v>210</v>
      </c>
      <c r="R4957" s="345" t="s">
        <v>223</v>
      </c>
      <c r="S4957" s="345" t="s">
        <v>224</v>
      </c>
    </row>
    <row r="4958" spans="1:19" x14ac:dyDescent="0.25">
      <c r="A4958" s="311"/>
      <c r="B4958" s="312"/>
      <c r="C4958" s="312"/>
      <c r="D4958" s="312"/>
      <c r="E4958" s="312"/>
      <c r="F4958" s="312"/>
      <c r="G4958" s="328"/>
      <c r="H4958" s="337"/>
      <c r="I4958" s="334"/>
      <c r="J4958" s="314"/>
      <c r="K4958" s="449"/>
      <c r="M4958" s="349" t="str">
        <f>N4958&amp;AS[[#This Row],[Insurer Code]]&amp;"; "&amp;O4958&amp;AS[[#This Row],[Reporting Year]]&amp;"; "&amp;P4958&amp;AS[[#This Row],[Insurance Category Code]]&amp;"; "&amp;Q4958&amp;AS[[#This Row],[Large Provider Entity Code]]&amp;"; "&amp;R4958&amp;AS[[#This Row],[Age Band Code]]&amp;"; "&amp;S4958&amp;AS[[#This Row],[Sex Code]]</f>
        <v xml:space="preserve">Insurer Code ; Reporting Year ; Insurance Category Code ; Large Provider Entity Code ; Age Band Code ; Sex Code </v>
      </c>
      <c r="N4958" s="345" t="s">
        <v>207</v>
      </c>
      <c r="O4958" s="345" t="s">
        <v>208</v>
      </c>
      <c r="P4958" s="345" t="s">
        <v>209</v>
      </c>
      <c r="Q4958" s="345" t="s">
        <v>210</v>
      </c>
      <c r="R4958" s="345" t="s">
        <v>223</v>
      </c>
      <c r="S4958" s="345" t="s">
        <v>224</v>
      </c>
    </row>
    <row r="4959" spans="1:19" x14ac:dyDescent="0.25">
      <c r="A4959" s="311"/>
      <c r="B4959" s="312"/>
      <c r="C4959" s="312"/>
      <c r="D4959" s="312"/>
      <c r="E4959" s="312"/>
      <c r="F4959" s="312"/>
      <c r="G4959" s="328"/>
      <c r="H4959" s="337"/>
      <c r="I4959" s="334"/>
      <c r="J4959" s="314"/>
      <c r="K4959" s="449"/>
      <c r="M4959" s="349" t="str">
        <f>N4959&amp;AS[[#This Row],[Insurer Code]]&amp;"; "&amp;O4959&amp;AS[[#This Row],[Reporting Year]]&amp;"; "&amp;P4959&amp;AS[[#This Row],[Insurance Category Code]]&amp;"; "&amp;Q4959&amp;AS[[#This Row],[Large Provider Entity Code]]&amp;"; "&amp;R4959&amp;AS[[#This Row],[Age Band Code]]&amp;"; "&amp;S4959&amp;AS[[#This Row],[Sex Code]]</f>
        <v xml:space="preserve">Insurer Code ; Reporting Year ; Insurance Category Code ; Large Provider Entity Code ; Age Band Code ; Sex Code </v>
      </c>
      <c r="N4959" s="345" t="s">
        <v>207</v>
      </c>
      <c r="O4959" s="345" t="s">
        <v>208</v>
      </c>
      <c r="P4959" s="345" t="s">
        <v>209</v>
      </c>
      <c r="Q4959" s="345" t="s">
        <v>210</v>
      </c>
      <c r="R4959" s="345" t="s">
        <v>223</v>
      </c>
      <c r="S4959" s="345" t="s">
        <v>224</v>
      </c>
    </row>
    <row r="4960" spans="1:19" x14ac:dyDescent="0.25">
      <c r="A4960" s="311"/>
      <c r="B4960" s="312"/>
      <c r="C4960" s="312"/>
      <c r="D4960" s="312"/>
      <c r="E4960" s="312"/>
      <c r="F4960" s="312"/>
      <c r="G4960" s="328"/>
      <c r="H4960" s="337"/>
      <c r="I4960" s="334"/>
      <c r="J4960" s="314"/>
      <c r="K4960" s="449"/>
      <c r="M4960" s="349" t="str">
        <f>N4960&amp;AS[[#This Row],[Insurer Code]]&amp;"; "&amp;O4960&amp;AS[[#This Row],[Reporting Year]]&amp;"; "&amp;P4960&amp;AS[[#This Row],[Insurance Category Code]]&amp;"; "&amp;Q4960&amp;AS[[#This Row],[Large Provider Entity Code]]&amp;"; "&amp;R4960&amp;AS[[#This Row],[Age Band Code]]&amp;"; "&amp;S4960&amp;AS[[#This Row],[Sex Code]]</f>
        <v xml:space="preserve">Insurer Code ; Reporting Year ; Insurance Category Code ; Large Provider Entity Code ; Age Band Code ; Sex Code </v>
      </c>
      <c r="N4960" s="345" t="s">
        <v>207</v>
      </c>
      <c r="O4960" s="345" t="s">
        <v>208</v>
      </c>
      <c r="P4960" s="345" t="s">
        <v>209</v>
      </c>
      <c r="Q4960" s="345" t="s">
        <v>210</v>
      </c>
      <c r="R4960" s="345" t="s">
        <v>223</v>
      </c>
      <c r="S4960" s="345" t="s">
        <v>224</v>
      </c>
    </row>
    <row r="4961" spans="1:19" x14ac:dyDescent="0.25">
      <c r="A4961" s="311"/>
      <c r="B4961" s="312"/>
      <c r="C4961" s="312"/>
      <c r="D4961" s="312"/>
      <c r="E4961" s="312"/>
      <c r="F4961" s="312"/>
      <c r="G4961" s="328"/>
      <c r="H4961" s="337"/>
      <c r="I4961" s="334"/>
      <c r="J4961" s="314"/>
      <c r="K4961" s="449"/>
      <c r="M4961" s="349" t="str">
        <f>N4961&amp;AS[[#This Row],[Insurer Code]]&amp;"; "&amp;O4961&amp;AS[[#This Row],[Reporting Year]]&amp;"; "&amp;P4961&amp;AS[[#This Row],[Insurance Category Code]]&amp;"; "&amp;Q4961&amp;AS[[#This Row],[Large Provider Entity Code]]&amp;"; "&amp;R4961&amp;AS[[#This Row],[Age Band Code]]&amp;"; "&amp;S4961&amp;AS[[#This Row],[Sex Code]]</f>
        <v xml:space="preserve">Insurer Code ; Reporting Year ; Insurance Category Code ; Large Provider Entity Code ; Age Band Code ; Sex Code </v>
      </c>
      <c r="N4961" s="345" t="s">
        <v>207</v>
      </c>
      <c r="O4961" s="345" t="s">
        <v>208</v>
      </c>
      <c r="P4961" s="345" t="s">
        <v>209</v>
      </c>
      <c r="Q4961" s="345" t="s">
        <v>210</v>
      </c>
      <c r="R4961" s="345" t="s">
        <v>223</v>
      </c>
      <c r="S4961" s="345" t="s">
        <v>224</v>
      </c>
    </row>
    <row r="4962" spans="1:19" x14ac:dyDescent="0.25">
      <c r="A4962" s="311"/>
      <c r="B4962" s="312"/>
      <c r="C4962" s="312"/>
      <c r="D4962" s="312"/>
      <c r="E4962" s="312"/>
      <c r="F4962" s="312"/>
      <c r="G4962" s="328"/>
      <c r="H4962" s="337"/>
      <c r="I4962" s="334"/>
      <c r="J4962" s="314"/>
      <c r="K4962" s="449"/>
      <c r="M4962" s="349" t="str">
        <f>N4962&amp;AS[[#This Row],[Insurer Code]]&amp;"; "&amp;O4962&amp;AS[[#This Row],[Reporting Year]]&amp;"; "&amp;P4962&amp;AS[[#This Row],[Insurance Category Code]]&amp;"; "&amp;Q4962&amp;AS[[#This Row],[Large Provider Entity Code]]&amp;"; "&amp;R4962&amp;AS[[#This Row],[Age Band Code]]&amp;"; "&amp;S4962&amp;AS[[#This Row],[Sex Code]]</f>
        <v xml:space="preserve">Insurer Code ; Reporting Year ; Insurance Category Code ; Large Provider Entity Code ; Age Band Code ; Sex Code </v>
      </c>
      <c r="N4962" s="345" t="s">
        <v>207</v>
      </c>
      <c r="O4962" s="345" t="s">
        <v>208</v>
      </c>
      <c r="P4962" s="345" t="s">
        <v>209</v>
      </c>
      <c r="Q4962" s="345" t="s">
        <v>210</v>
      </c>
      <c r="R4962" s="345" t="s">
        <v>223</v>
      </c>
      <c r="S4962" s="345" t="s">
        <v>224</v>
      </c>
    </row>
    <row r="4963" spans="1:19" x14ac:dyDescent="0.25">
      <c r="A4963" s="311"/>
      <c r="B4963" s="312"/>
      <c r="C4963" s="312"/>
      <c r="D4963" s="312"/>
      <c r="E4963" s="312"/>
      <c r="F4963" s="312"/>
      <c r="G4963" s="328"/>
      <c r="H4963" s="337"/>
      <c r="I4963" s="334"/>
      <c r="J4963" s="314"/>
      <c r="K4963" s="449"/>
      <c r="M4963" s="349" t="str">
        <f>N4963&amp;AS[[#This Row],[Insurer Code]]&amp;"; "&amp;O4963&amp;AS[[#This Row],[Reporting Year]]&amp;"; "&amp;P4963&amp;AS[[#This Row],[Insurance Category Code]]&amp;"; "&amp;Q4963&amp;AS[[#This Row],[Large Provider Entity Code]]&amp;"; "&amp;R4963&amp;AS[[#This Row],[Age Band Code]]&amp;"; "&amp;S4963&amp;AS[[#This Row],[Sex Code]]</f>
        <v xml:space="preserve">Insurer Code ; Reporting Year ; Insurance Category Code ; Large Provider Entity Code ; Age Band Code ; Sex Code </v>
      </c>
      <c r="N4963" s="345" t="s">
        <v>207</v>
      </c>
      <c r="O4963" s="345" t="s">
        <v>208</v>
      </c>
      <c r="P4963" s="345" t="s">
        <v>209</v>
      </c>
      <c r="Q4963" s="345" t="s">
        <v>210</v>
      </c>
      <c r="R4963" s="345" t="s">
        <v>223</v>
      </c>
      <c r="S4963" s="345" t="s">
        <v>224</v>
      </c>
    </row>
    <row r="4964" spans="1:19" x14ac:dyDescent="0.25">
      <c r="A4964" s="311"/>
      <c r="B4964" s="312"/>
      <c r="C4964" s="312"/>
      <c r="D4964" s="312"/>
      <c r="E4964" s="312"/>
      <c r="F4964" s="312"/>
      <c r="G4964" s="328"/>
      <c r="H4964" s="337"/>
      <c r="I4964" s="334"/>
      <c r="J4964" s="314"/>
      <c r="K4964" s="449"/>
      <c r="M4964" s="349" t="str">
        <f>N4964&amp;AS[[#This Row],[Insurer Code]]&amp;"; "&amp;O4964&amp;AS[[#This Row],[Reporting Year]]&amp;"; "&amp;P4964&amp;AS[[#This Row],[Insurance Category Code]]&amp;"; "&amp;Q4964&amp;AS[[#This Row],[Large Provider Entity Code]]&amp;"; "&amp;R4964&amp;AS[[#This Row],[Age Band Code]]&amp;"; "&amp;S4964&amp;AS[[#This Row],[Sex Code]]</f>
        <v xml:space="preserve">Insurer Code ; Reporting Year ; Insurance Category Code ; Large Provider Entity Code ; Age Band Code ; Sex Code </v>
      </c>
      <c r="N4964" s="345" t="s">
        <v>207</v>
      </c>
      <c r="O4964" s="345" t="s">
        <v>208</v>
      </c>
      <c r="P4964" s="345" t="s">
        <v>209</v>
      </c>
      <c r="Q4964" s="345" t="s">
        <v>210</v>
      </c>
      <c r="R4964" s="345" t="s">
        <v>223</v>
      </c>
      <c r="S4964" s="345" t="s">
        <v>224</v>
      </c>
    </row>
    <row r="4965" spans="1:19" x14ac:dyDescent="0.25">
      <c r="A4965" s="311"/>
      <c r="B4965" s="312"/>
      <c r="C4965" s="312"/>
      <c r="D4965" s="312"/>
      <c r="E4965" s="312"/>
      <c r="F4965" s="312"/>
      <c r="G4965" s="328"/>
      <c r="H4965" s="337"/>
      <c r="I4965" s="334"/>
      <c r="J4965" s="314"/>
      <c r="K4965" s="449"/>
      <c r="M4965" s="349" t="str">
        <f>N4965&amp;AS[[#This Row],[Insurer Code]]&amp;"; "&amp;O4965&amp;AS[[#This Row],[Reporting Year]]&amp;"; "&amp;P4965&amp;AS[[#This Row],[Insurance Category Code]]&amp;"; "&amp;Q4965&amp;AS[[#This Row],[Large Provider Entity Code]]&amp;"; "&amp;R4965&amp;AS[[#This Row],[Age Band Code]]&amp;"; "&amp;S4965&amp;AS[[#This Row],[Sex Code]]</f>
        <v xml:space="preserve">Insurer Code ; Reporting Year ; Insurance Category Code ; Large Provider Entity Code ; Age Band Code ; Sex Code </v>
      </c>
      <c r="N4965" s="345" t="s">
        <v>207</v>
      </c>
      <c r="O4965" s="345" t="s">
        <v>208</v>
      </c>
      <c r="P4965" s="345" t="s">
        <v>209</v>
      </c>
      <c r="Q4965" s="345" t="s">
        <v>210</v>
      </c>
      <c r="R4965" s="345" t="s">
        <v>223</v>
      </c>
      <c r="S4965" s="345" t="s">
        <v>224</v>
      </c>
    </row>
    <row r="4966" spans="1:19" x14ac:dyDescent="0.25">
      <c r="A4966" s="311"/>
      <c r="B4966" s="312"/>
      <c r="C4966" s="312"/>
      <c r="D4966" s="312"/>
      <c r="E4966" s="312"/>
      <c r="F4966" s="312"/>
      <c r="G4966" s="328"/>
      <c r="H4966" s="337"/>
      <c r="I4966" s="334"/>
      <c r="J4966" s="314"/>
      <c r="K4966" s="449"/>
      <c r="M4966" s="349" t="str">
        <f>N4966&amp;AS[[#This Row],[Insurer Code]]&amp;"; "&amp;O4966&amp;AS[[#This Row],[Reporting Year]]&amp;"; "&amp;P4966&amp;AS[[#This Row],[Insurance Category Code]]&amp;"; "&amp;Q4966&amp;AS[[#This Row],[Large Provider Entity Code]]&amp;"; "&amp;R4966&amp;AS[[#This Row],[Age Band Code]]&amp;"; "&amp;S4966&amp;AS[[#This Row],[Sex Code]]</f>
        <v xml:space="preserve">Insurer Code ; Reporting Year ; Insurance Category Code ; Large Provider Entity Code ; Age Band Code ; Sex Code </v>
      </c>
      <c r="N4966" s="345" t="s">
        <v>207</v>
      </c>
      <c r="O4966" s="345" t="s">
        <v>208</v>
      </c>
      <c r="P4966" s="345" t="s">
        <v>209</v>
      </c>
      <c r="Q4966" s="345" t="s">
        <v>210</v>
      </c>
      <c r="R4966" s="345" t="s">
        <v>223</v>
      </c>
      <c r="S4966" s="345" t="s">
        <v>224</v>
      </c>
    </row>
    <row r="4967" spans="1:19" x14ac:dyDescent="0.25">
      <c r="A4967" s="311"/>
      <c r="B4967" s="312"/>
      <c r="C4967" s="312"/>
      <c r="D4967" s="312"/>
      <c r="E4967" s="312"/>
      <c r="F4967" s="312"/>
      <c r="G4967" s="328"/>
      <c r="H4967" s="337"/>
      <c r="I4967" s="334"/>
      <c r="J4967" s="314"/>
      <c r="K4967" s="449"/>
      <c r="M4967" s="349" t="str">
        <f>N4967&amp;AS[[#This Row],[Insurer Code]]&amp;"; "&amp;O4967&amp;AS[[#This Row],[Reporting Year]]&amp;"; "&amp;P4967&amp;AS[[#This Row],[Insurance Category Code]]&amp;"; "&amp;Q4967&amp;AS[[#This Row],[Large Provider Entity Code]]&amp;"; "&amp;R4967&amp;AS[[#This Row],[Age Band Code]]&amp;"; "&amp;S4967&amp;AS[[#This Row],[Sex Code]]</f>
        <v xml:space="preserve">Insurer Code ; Reporting Year ; Insurance Category Code ; Large Provider Entity Code ; Age Band Code ; Sex Code </v>
      </c>
      <c r="N4967" s="345" t="s">
        <v>207</v>
      </c>
      <c r="O4967" s="345" t="s">
        <v>208</v>
      </c>
      <c r="P4967" s="345" t="s">
        <v>209</v>
      </c>
      <c r="Q4967" s="345" t="s">
        <v>210</v>
      </c>
      <c r="R4967" s="345" t="s">
        <v>223</v>
      </c>
      <c r="S4967" s="345" t="s">
        <v>224</v>
      </c>
    </row>
    <row r="4968" spans="1:19" x14ac:dyDescent="0.25">
      <c r="A4968" s="311"/>
      <c r="B4968" s="312"/>
      <c r="C4968" s="312"/>
      <c r="D4968" s="312"/>
      <c r="E4968" s="312"/>
      <c r="F4968" s="312"/>
      <c r="G4968" s="328"/>
      <c r="H4968" s="337"/>
      <c r="I4968" s="334"/>
      <c r="J4968" s="314"/>
      <c r="K4968" s="449"/>
      <c r="M4968" s="349" t="str">
        <f>N4968&amp;AS[[#This Row],[Insurer Code]]&amp;"; "&amp;O4968&amp;AS[[#This Row],[Reporting Year]]&amp;"; "&amp;P4968&amp;AS[[#This Row],[Insurance Category Code]]&amp;"; "&amp;Q4968&amp;AS[[#This Row],[Large Provider Entity Code]]&amp;"; "&amp;R4968&amp;AS[[#This Row],[Age Band Code]]&amp;"; "&amp;S4968&amp;AS[[#This Row],[Sex Code]]</f>
        <v xml:space="preserve">Insurer Code ; Reporting Year ; Insurance Category Code ; Large Provider Entity Code ; Age Band Code ; Sex Code </v>
      </c>
      <c r="N4968" s="345" t="s">
        <v>207</v>
      </c>
      <c r="O4968" s="345" t="s">
        <v>208</v>
      </c>
      <c r="P4968" s="345" t="s">
        <v>209</v>
      </c>
      <c r="Q4968" s="345" t="s">
        <v>210</v>
      </c>
      <c r="R4968" s="345" t="s">
        <v>223</v>
      </c>
      <c r="S4968" s="345" t="s">
        <v>224</v>
      </c>
    </row>
    <row r="4969" spans="1:19" x14ac:dyDescent="0.25">
      <c r="A4969" s="311"/>
      <c r="B4969" s="312"/>
      <c r="C4969" s="312"/>
      <c r="D4969" s="312"/>
      <c r="E4969" s="312"/>
      <c r="F4969" s="312"/>
      <c r="G4969" s="328"/>
      <c r="H4969" s="337"/>
      <c r="I4969" s="334"/>
      <c r="J4969" s="314"/>
      <c r="K4969" s="449"/>
      <c r="M4969" s="349" t="str">
        <f>N4969&amp;AS[[#This Row],[Insurer Code]]&amp;"; "&amp;O4969&amp;AS[[#This Row],[Reporting Year]]&amp;"; "&amp;P4969&amp;AS[[#This Row],[Insurance Category Code]]&amp;"; "&amp;Q4969&amp;AS[[#This Row],[Large Provider Entity Code]]&amp;"; "&amp;R4969&amp;AS[[#This Row],[Age Band Code]]&amp;"; "&amp;S4969&amp;AS[[#This Row],[Sex Code]]</f>
        <v xml:space="preserve">Insurer Code ; Reporting Year ; Insurance Category Code ; Large Provider Entity Code ; Age Band Code ; Sex Code </v>
      </c>
      <c r="N4969" s="345" t="s">
        <v>207</v>
      </c>
      <c r="O4969" s="345" t="s">
        <v>208</v>
      </c>
      <c r="P4969" s="345" t="s">
        <v>209</v>
      </c>
      <c r="Q4969" s="345" t="s">
        <v>210</v>
      </c>
      <c r="R4969" s="345" t="s">
        <v>223</v>
      </c>
      <c r="S4969" s="345" t="s">
        <v>224</v>
      </c>
    </row>
    <row r="4970" spans="1:19" x14ac:dyDescent="0.25">
      <c r="A4970" s="311"/>
      <c r="B4970" s="312"/>
      <c r="C4970" s="312"/>
      <c r="D4970" s="312"/>
      <c r="E4970" s="312"/>
      <c r="F4970" s="312"/>
      <c r="G4970" s="328"/>
      <c r="H4970" s="337"/>
      <c r="I4970" s="334"/>
      <c r="J4970" s="314"/>
      <c r="K4970" s="449"/>
      <c r="M4970" s="349" t="str">
        <f>N4970&amp;AS[[#This Row],[Insurer Code]]&amp;"; "&amp;O4970&amp;AS[[#This Row],[Reporting Year]]&amp;"; "&amp;P4970&amp;AS[[#This Row],[Insurance Category Code]]&amp;"; "&amp;Q4970&amp;AS[[#This Row],[Large Provider Entity Code]]&amp;"; "&amp;R4970&amp;AS[[#This Row],[Age Band Code]]&amp;"; "&amp;S4970&amp;AS[[#This Row],[Sex Code]]</f>
        <v xml:space="preserve">Insurer Code ; Reporting Year ; Insurance Category Code ; Large Provider Entity Code ; Age Band Code ; Sex Code </v>
      </c>
      <c r="N4970" s="345" t="s">
        <v>207</v>
      </c>
      <c r="O4970" s="345" t="s">
        <v>208</v>
      </c>
      <c r="P4970" s="345" t="s">
        <v>209</v>
      </c>
      <c r="Q4970" s="345" t="s">
        <v>210</v>
      </c>
      <c r="R4970" s="345" t="s">
        <v>223</v>
      </c>
      <c r="S4970" s="345" t="s">
        <v>224</v>
      </c>
    </row>
    <row r="4971" spans="1:19" x14ac:dyDescent="0.25">
      <c r="A4971" s="311"/>
      <c r="B4971" s="312"/>
      <c r="C4971" s="312"/>
      <c r="D4971" s="312"/>
      <c r="E4971" s="312"/>
      <c r="F4971" s="312"/>
      <c r="G4971" s="328"/>
      <c r="H4971" s="337"/>
      <c r="I4971" s="334"/>
      <c r="J4971" s="314"/>
      <c r="K4971" s="449"/>
      <c r="M4971" s="349" t="str">
        <f>N4971&amp;AS[[#This Row],[Insurer Code]]&amp;"; "&amp;O4971&amp;AS[[#This Row],[Reporting Year]]&amp;"; "&amp;P4971&amp;AS[[#This Row],[Insurance Category Code]]&amp;"; "&amp;Q4971&amp;AS[[#This Row],[Large Provider Entity Code]]&amp;"; "&amp;R4971&amp;AS[[#This Row],[Age Band Code]]&amp;"; "&amp;S4971&amp;AS[[#This Row],[Sex Code]]</f>
        <v xml:space="preserve">Insurer Code ; Reporting Year ; Insurance Category Code ; Large Provider Entity Code ; Age Band Code ; Sex Code </v>
      </c>
      <c r="N4971" s="345" t="s">
        <v>207</v>
      </c>
      <c r="O4971" s="345" t="s">
        <v>208</v>
      </c>
      <c r="P4971" s="345" t="s">
        <v>209</v>
      </c>
      <c r="Q4971" s="345" t="s">
        <v>210</v>
      </c>
      <c r="R4971" s="345" t="s">
        <v>223</v>
      </c>
      <c r="S4971" s="345" t="s">
        <v>224</v>
      </c>
    </row>
    <row r="4972" spans="1:19" x14ac:dyDescent="0.25">
      <c r="A4972" s="311"/>
      <c r="B4972" s="312"/>
      <c r="C4972" s="312"/>
      <c r="D4972" s="312"/>
      <c r="E4972" s="312"/>
      <c r="F4972" s="312"/>
      <c r="G4972" s="328"/>
      <c r="H4972" s="337"/>
      <c r="I4972" s="334"/>
      <c r="J4972" s="314"/>
      <c r="K4972" s="449"/>
      <c r="M4972" s="349" t="str">
        <f>N4972&amp;AS[[#This Row],[Insurer Code]]&amp;"; "&amp;O4972&amp;AS[[#This Row],[Reporting Year]]&amp;"; "&amp;P4972&amp;AS[[#This Row],[Insurance Category Code]]&amp;"; "&amp;Q4972&amp;AS[[#This Row],[Large Provider Entity Code]]&amp;"; "&amp;R4972&amp;AS[[#This Row],[Age Band Code]]&amp;"; "&amp;S4972&amp;AS[[#This Row],[Sex Code]]</f>
        <v xml:space="preserve">Insurer Code ; Reporting Year ; Insurance Category Code ; Large Provider Entity Code ; Age Band Code ; Sex Code </v>
      </c>
      <c r="N4972" s="345" t="s">
        <v>207</v>
      </c>
      <c r="O4972" s="345" t="s">
        <v>208</v>
      </c>
      <c r="P4972" s="345" t="s">
        <v>209</v>
      </c>
      <c r="Q4972" s="345" t="s">
        <v>210</v>
      </c>
      <c r="R4972" s="345" t="s">
        <v>223</v>
      </c>
      <c r="S4972" s="345" t="s">
        <v>224</v>
      </c>
    </row>
    <row r="4973" spans="1:19" x14ac:dyDescent="0.25">
      <c r="A4973" s="311"/>
      <c r="B4973" s="312"/>
      <c r="C4973" s="312"/>
      <c r="D4973" s="312"/>
      <c r="E4973" s="312"/>
      <c r="F4973" s="312"/>
      <c r="G4973" s="328"/>
      <c r="H4973" s="337"/>
      <c r="I4973" s="334"/>
      <c r="J4973" s="314"/>
      <c r="K4973" s="449"/>
      <c r="M4973" s="349" t="str">
        <f>N4973&amp;AS[[#This Row],[Insurer Code]]&amp;"; "&amp;O4973&amp;AS[[#This Row],[Reporting Year]]&amp;"; "&amp;P4973&amp;AS[[#This Row],[Insurance Category Code]]&amp;"; "&amp;Q4973&amp;AS[[#This Row],[Large Provider Entity Code]]&amp;"; "&amp;R4973&amp;AS[[#This Row],[Age Band Code]]&amp;"; "&amp;S4973&amp;AS[[#This Row],[Sex Code]]</f>
        <v xml:space="preserve">Insurer Code ; Reporting Year ; Insurance Category Code ; Large Provider Entity Code ; Age Band Code ; Sex Code </v>
      </c>
      <c r="N4973" s="345" t="s">
        <v>207</v>
      </c>
      <c r="O4973" s="345" t="s">
        <v>208</v>
      </c>
      <c r="P4973" s="345" t="s">
        <v>209</v>
      </c>
      <c r="Q4973" s="345" t="s">
        <v>210</v>
      </c>
      <c r="R4973" s="345" t="s">
        <v>223</v>
      </c>
      <c r="S4973" s="345" t="s">
        <v>224</v>
      </c>
    </row>
    <row r="4974" spans="1:19" x14ac:dyDescent="0.25">
      <c r="A4974" s="311"/>
      <c r="B4974" s="312"/>
      <c r="C4974" s="312"/>
      <c r="D4974" s="312"/>
      <c r="E4974" s="312"/>
      <c r="F4974" s="312"/>
      <c r="G4974" s="328"/>
      <c r="H4974" s="337"/>
      <c r="I4974" s="334"/>
      <c r="J4974" s="314"/>
      <c r="K4974" s="449"/>
      <c r="M4974" s="349" t="str">
        <f>N4974&amp;AS[[#This Row],[Insurer Code]]&amp;"; "&amp;O4974&amp;AS[[#This Row],[Reporting Year]]&amp;"; "&amp;P4974&amp;AS[[#This Row],[Insurance Category Code]]&amp;"; "&amp;Q4974&amp;AS[[#This Row],[Large Provider Entity Code]]&amp;"; "&amp;R4974&amp;AS[[#This Row],[Age Band Code]]&amp;"; "&amp;S4974&amp;AS[[#This Row],[Sex Code]]</f>
        <v xml:space="preserve">Insurer Code ; Reporting Year ; Insurance Category Code ; Large Provider Entity Code ; Age Band Code ; Sex Code </v>
      </c>
      <c r="N4974" s="345" t="s">
        <v>207</v>
      </c>
      <c r="O4974" s="345" t="s">
        <v>208</v>
      </c>
      <c r="P4974" s="345" t="s">
        <v>209</v>
      </c>
      <c r="Q4974" s="345" t="s">
        <v>210</v>
      </c>
      <c r="R4974" s="345" t="s">
        <v>223</v>
      </c>
      <c r="S4974" s="345" t="s">
        <v>224</v>
      </c>
    </row>
    <row r="4975" spans="1:19" x14ac:dyDescent="0.25">
      <c r="A4975" s="311"/>
      <c r="B4975" s="312"/>
      <c r="C4975" s="312"/>
      <c r="D4975" s="312"/>
      <c r="E4975" s="312"/>
      <c r="F4975" s="312"/>
      <c r="G4975" s="328"/>
      <c r="H4975" s="337"/>
      <c r="I4975" s="334"/>
      <c r="J4975" s="314"/>
      <c r="K4975" s="449"/>
      <c r="M4975" s="349" t="str">
        <f>N4975&amp;AS[[#This Row],[Insurer Code]]&amp;"; "&amp;O4975&amp;AS[[#This Row],[Reporting Year]]&amp;"; "&amp;P4975&amp;AS[[#This Row],[Insurance Category Code]]&amp;"; "&amp;Q4975&amp;AS[[#This Row],[Large Provider Entity Code]]&amp;"; "&amp;R4975&amp;AS[[#This Row],[Age Band Code]]&amp;"; "&amp;S4975&amp;AS[[#This Row],[Sex Code]]</f>
        <v xml:space="preserve">Insurer Code ; Reporting Year ; Insurance Category Code ; Large Provider Entity Code ; Age Band Code ; Sex Code </v>
      </c>
      <c r="N4975" s="345" t="s">
        <v>207</v>
      </c>
      <c r="O4975" s="345" t="s">
        <v>208</v>
      </c>
      <c r="P4975" s="345" t="s">
        <v>209</v>
      </c>
      <c r="Q4975" s="345" t="s">
        <v>210</v>
      </c>
      <c r="R4975" s="345" t="s">
        <v>223</v>
      </c>
      <c r="S4975" s="345" t="s">
        <v>224</v>
      </c>
    </row>
    <row r="4976" spans="1:19" x14ac:dyDescent="0.25">
      <c r="A4976" s="311"/>
      <c r="B4976" s="312"/>
      <c r="C4976" s="312"/>
      <c r="D4976" s="312"/>
      <c r="E4976" s="312"/>
      <c r="F4976" s="312"/>
      <c r="G4976" s="328"/>
      <c r="H4976" s="337"/>
      <c r="I4976" s="334"/>
      <c r="J4976" s="314"/>
      <c r="K4976" s="449"/>
      <c r="M4976" s="349" t="str">
        <f>N4976&amp;AS[[#This Row],[Insurer Code]]&amp;"; "&amp;O4976&amp;AS[[#This Row],[Reporting Year]]&amp;"; "&amp;P4976&amp;AS[[#This Row],[Insurance Category Code]]&amp;"; "&amp;Q4976&amp;AS[[#This Row],[Large Provider Entity Code]]&amp;"; "&amp;R4976&amp;AS[[#This Row],[Age Band Code]]&amp;"; "&amp;S4976&amp;AS[[#This Row],[Sex Code]]</f>
        <v xml:space="preserve">Insurer Code ; Reporting Year ; Insurance Category Code ; Large Provider Entity Code ; Age Band Code ; Sex Code </v>
      </c>
      <c r="N4976" s="345" t="s">
        <v>207</v>
      </c>
      <c r="O4976" s="345" t="s">
        <v>208</v>
      </c>
      <c r="P4976" s="345" t="s">
        <v>209</v>
      </c>
      <c r="Q4976" s="345" t="s">
        <v>210</v>
      </c>
      <c r="R4976" s="345" t="s">
        <v>223</v>
      </c>
      <c r="S4976" s="345" t="s">
        <v>224</v>
      </c>
    </row>
    <row r="4977" spans="1:19" x14ac:dyDescent="0.25">
      <c r="A4977" s="311"/>
      <c r="B4977" s="312"/>
      <c r="C4977" s="312"/>
      <c r="D4977" s="312"/>
      <c r="E4977" s="312"/>
      <c r="F4977" s="312"/>
      <c r="G4977" s="328"/>
      <c r="H4977" s="337"/>
      <c r="I4977" s="334"/>
      <c r="J4977" s="314"/>
      <c r="K4977" s="449"/>
      <c r="M4977" s="349" t="str">
        <f>N4977&amp;AS[[#This Row],[Insurer Code]]&amp;"; "&amp;O4977&amp;AS[[#This Row],[Reporting Year]]&amp;"; "&amp;P4977&amp;AS[[#This Row],[Insurance Category Code]]&amp;"; "&amp;Q4977&amp;AS[[#This Row],[Large Provider Entity Code]]&amp;"; "&amp;R4977&amp;AS[[#This Row],[Age Band Code]]&amp;"; "&amp;S4977&amp;AS[[#This Row],[Sex Code]]</f>
        <v xml:space="preserve">Insurer Code ; Reporting Year ; Insurance Category Code ; Large Provider Entity Code ; Age Band Code ; Sex Code </v>
      </c>
      <c r="N4977" s="345" t="s">
        <v>207</v>
      </c>
      <c r="O4977" s="345" t="s">
        <v>208</v>
      </c>
      <c r="P4977" s="345" t="s">
        <v>209</v>
      </c>
      <c r="Q4977" s="345" t="s">
        <v>210</v>
      </c>
      <c r="R4977" s="345" t="s">
        <v>223</v>
      </c>
      <c r="S4977" s="345" t="s">
        <v>224</v>
      </c>
    </row>
    <row r="4978" spans="1:19" x14ac:dyDescent="0.25">
      <c r="A4978" s="311"/>
      <c r="B4978" s="312"/>
      <c r="C4978" s="312"/>
      <c r="D4978" s="312"/>
      <c r="E4978" s="312"/>
      <c r="F4978" s="312"/>
      <c r="G4978" s="328"/>
      <c r="H4978" s="337"/>
      <c r="I4978" s="334"/>
      <c r="J4978" s="314"/>
      <c r="K4978" s="449"/>
      <c r="M4978" s="349" t="str">
        <f>N4978&amp;AS[[#This Row],[Insurer Code]]&amp;"; "&amp;O4978&amp;AS[[#This Row],[Reporting Year]]&amp;"; "&amp;P4978&amp;AS[[#This Row],[Insurance Category Code]]&amp;"; "&amp;Q4978&amp;AS[[#This Row],[Large Provider Entity Code]]&amp;"; "&amp;R4978&amp;AS[[#This Row],[Age Band Code]]&amp;"; "&amp;S4978&amp;AS[[#This Row],[Sex Code]]</f>
        <v xml:space="preserve">Insurer Code ; Reporting Year ; Insurance Category Code ; Large Provider Entity Code ; Age Band Code ; Sex Code </v>
      </c>
      <c r="N4978" s="345" t="s">
        <v>207</v>
      </c>
      <c r="O4978" s="345" t="s">
        <v>208</v>
      </c>
      <c r="P4978" s="345" t="s">
        <v>209</v>
      </c>
      <c r="Q4978" s="345" t="s">
        <v>210</v>
      </c>
      <c r="R4978" s="345" t="s">
        <v>223</v>
      </c>
      <c r="S4978" s="345" t="s">
        <v>224</v>
      </c>
    </row>
    <row r="4979" spans="1:19" x14ac:dyDescent="0.25">
      <c r="A4979" s="311"/>
      <c r="B4979" s="312"/>
      <c r="C4979" s="312"/>
      <c r="D4979" s="312"/>
      <c r="E4979" s="312"/>
      <c r="F4979" s="312"/>
      <c r="G4979" s="328"/>
      <c r="H4979" s="337"/>
      <c r="I4979" s="334"/>
      <c r="J4979" s="314"/>
      <c r="K4979" s="449"/>
      <c r="M4979" s="349" t="str">
        <f>N4979&amp;AS[[#This Row],[Insurer Code]]&amp;"; "&amp;O4979&amp;AS[[#This Row],[Reporting Year]]&amp;"; "&amp;P4979&amp;AS[[#This Row],[Insurance Category Code]]&amp;"; "&amp;Q4979&amp;AS[[#This Row],[Large Provider Entity Code]]&amp;"; "&amp;R4979&amp;AS[[#This Row],[Age Band Code]]&amp;"; "&amp;S4979&amp;AS[[#This Row],[Sex Code]]</f>
        <v xml:space="preserve">Insurer Code ; Reporting Year ; Insurance Category Code ; Large Provider Entity Code ; Age Band Code ; Sex Code </v>
      </c>
      <c r="N4979" s="345" t="s">
        <v>207</v>
      </c>
      <c r="O4979" s="345" t="s">
        <v>208</v>
      </c>
      <c r="P4979" s="345" t="s">
        <v>209</v>
      </c>
      <c r="Q4979" s="345" t="s">
        <v>210</v>
      </c>
      <c r="R4979" s="345" t="s">
        <v>223</v>
      </c>
      <c r="S4979" s="345" t="s">
        <v>224</v>
      </c>
    </row>
    <row r="4980" spans="1:19" x14ac:dyDescent="0.25">
      <c r="A4980" s="311"/>
      <c r="B4980" s="312"/>
      <c r="C4980" s="312"/>
      <c r="D4980" s="312"/>
      <c r="E4980" s="312"/>
      <c r="F4980" s="312"/>
      <c r="G4980" s="328"/>
      <c r="H4980" s="337"/>
      <c r="I4980" s="334"/>
      <c r="J4980" s="314"/>
      <c r="K4980" s="449"/>
      <c r="M4980" s="349" t="str">
        <f>N4980&amp;AS[[#This Row],[Insurer Code]]&amp;"; "&amp;O4980&amp;AS[[#This Row],[Reporting Year]]&amp;"; "&amp;P4980&amp;AS[[#This Row],[Insurance Category Code]]&amp;"; "&amp;Q4980&amp;AS[[#This Row],[Large Provider Entity Code]]&amp;"; "&amp;R4980&amp;AS[[#This Row],[Age Band Code]]&amp;"; "&amp;S4980&amp;AS[[#This Row],[Sex Code]]</f>
        <v xml:space="preserve">Insurer Code ; Reporting Year ; Insurance Category Code ; Large Provider Entity Code ; Age Band Code ; Sex Code </v>
      </c>
      <c r="N4980" s="345" t="s">
        <v>207</v>
      </c>
      <c r="O4980" s="345" t="s">
        <v>208</v>
      </c>
      <c r="P4980" s="345" t="s">
        <v>209</v>
      </c>
      <c r="Q4980" s="345" t="s">
        <v>210</v>
      </c>
      <c r="R4980" s="345" t="s">
        <v>223</v>
      </c>
      <c r="S4980" s="345" t="s">
        <v>224</v>
      </c>
    </row>
    <row r="4981" spans="1:19" x14ac:dyDescent="0.25">
      <c r="A4981" s="311"/>
      <c r="B4981" s="312"/>
      <c r="C4981" s="312"/>
      <c r="D4981" s="312"/>
      <c r="E4981" s="312"/>
      <c r="F4981" s="312"/>
      <c r="G4981" s="328"/>
      <c r="H4981" s="337"/>
      <c r="I4981" s="334"/>
      <c r="J4981" s="314"/>
      <c r="K4981" s="449"/>
      <c r="M4981" s="349" t="str">
        <f>N4981&amp;AS[[#This Row],[Insurer Code]]&amp;"; "&amp;O4981&amp;AS[[#This Row],[Reporting Year]]&amp;"; "&amp;P4981&amp;AS[[#This Row],[Insurance Category Code]]&amp;"; "&amp;Q4981&amp;AS[[#This Row],[Large Provider Entity Code]]&amp;"; "&amp;R4981&amp;AS[[#This Row],[Age Band Code]]&amp;"; "&amp;S4981&amp;AS[[#This Row],[Sex Code]]</f>
        <v xml:space="preserve">Insurer Code ; Reporting Year ; Insurance Category Code ; Large Provider Entity Code ; Age Band Code ; Sex Code </v>
      </c>
      <c r="N4981" s="345" t="s">
        <v>207</v>
      </c>
      <c r="O4981" s="345" t="s">
        <v>208</v>
      </c>
      <c r="P4981" s="345" t="s">
        <v>209</v>
      </c>
      <c r="Q4981" s="345" t="s">
        <v>210</v>
      </c>
      <c r="R4981" s="345" t="s">
        <v>223</v>
      </c>
      <c r="S4981" s="345" t="s">
        <v>224</v>
      </c>
    </row>
    <row r="4982" spans="1:19" x14ac:dyDescent="0.25">
      <c r="A4982" s="311"/>
      <c r="B4982" s="312"/>
      <c r="C4982" s="312"/>
      <c r="D4982" s="312"/>
      <c r="E4982" s="312"/>
      <c r="F4982" s="312"/>
      <c r="G4982" s="328"/>
      <c r="H4982" s="337"/>
      <c r="I4982" s="334"/>
      <c r="J4982" s="314"/>
      <c r="K4982" s="449"/>
      <c r="M4982" s="349" t="str">
        <f>N4982&amp;AS[[#This Row],[Insurer Code]]&amp;"; "&amp;O4982&amp;AS[[#This Row],[Reporting Year]]&amp;"; "&amp;P4982&amp;AS[[#This Row],[Insurance Category Code]]&amp;"; "&amp;Q4982&amp;AS[[#This Row],[Large Provider Entity Code]]&amp;"; "&amp;R4982&amp;AS[[#This Row],[Age Band Code]]&amp;"; "&amp;S4982&amp;AS[[#This Row],[Sex Code]]</f>
        <v xml:space="preserve">Insurer Code ; Reporting Year ; Insurance Category Code ; Large Provider Entity Code ; Age Band Code ; Sex Code </v>
      </c>
      <c r="N4982" s="345" t="s">
        <v>207</v>
      </c>
      <c r="O4982" s="345" t="s">
        <v>208</v>
      </c>
      <c r="P4982" s="345" t="s">
        <v>209</v>
      </c>
      <c r="Q4982" s="345" t="s">
        <v>210</v>
      </c>
      <c r="R4982" s="345" t="s">
        <v>223</v>
      </c>
      <c r="S4982" s="345" t="s">
        <v>224</v>
      </c>
    </row>
    <row r="4983" spans="1:19" x14ac:dyDescent="0.25">
      <c r="A4983" s="311"/>
      <c r="B4983" s="312"/>
      <c r="C4983" s="312"/>
      <c r="D4983" s="312"/>
      <c r="E4983" s="312"/>
      <c r="F4983" s="312"/>
      <c r="G4983" s="328"/>
      <c r="H4983" s="337"/>
      <c r="I4983" s="334"/>
      <c r="J4983" s="314"/>
      <c r="K4983" s="449"/>
      <c r="M4983" s="349" t="str">
        <f>N4983&amp;AS[[#This Row],[Insurer Code]]&amp;"; "&amp;O4983&amp;AS[[#This Row],[Reporting Year]]&amp;"; "&amp;P4983&amp;AS[[#This Row],[Insurance Category Code]]&amp;"; "&amp;Q4983&amp;AS[[#This Row],[Large Provider Entity Code]]&amp;"; "&amp;R4983&amp;AS[[#This Row],[Age Band Code]]&amp;"; "&amp;S4983&amp;AS[[#This Row],[Sex Code]]</f>
        <v xml:space="preserve">Insurer Code ; Reporting Year ; Insurance Category Code ; Large Provider Entity Code ; Age Band Code ; Sex Code </v>
      </c>
      <c r="N4983" s="345" t="s">
        <v>207</v>
      </c>
      <c r="O4983" s="345" t="s">
        <v>208</v>
      </c>
      <c r="P4983" s="345" t="s">
        <v>209</v>
      </c>
      <c r="Q4983" s="345" t="s">
        <v>210</v>
      </c>
      <c r="R4983" s="345" t="s">
        <v>223</v>
      </c>
      <c r="S4983" s="345" t="s">
        <v>224</v>
      </c>
    </row>
    <row r="4984" spans="1:19" x14ac:dyDescent="0.25">
      <c r="A4984" s="311"/>
      <c r="B4984" s="312"/>
      <c r="C4984" s="312"/>
      <c r="D4984" s="312"/>
      <c r="E4984" s="312"/>
      <c r="F4984" s="312"/>
      <c r="G4984" s="328"/>
      <c r="H4984" s="337"/>
      <c r="I4984" s="334"/>
      <c r="J4984" s="314"/>
      <c r="K4984" s="449"/>
      <c r="M4984" s="349" t="str">
        <f>N4984&amp;AS[[#This Row],[Insurer Code]]&amp;"; "&amp;O4984&amp;AS[[#This Row],[Reporting Year]]&amp;"; "&amp;P4984&amp;AS[[#This Row],[Insurance Category Code]]&amp;"; "&amp;Q4984&amp;AS[[#This Row],[Large Provider Entity Code]]&amp;"; "&amp;R4984&amp;AS[[#This Row],[Age Band Code]]&amp;"; "&amp;S4984&amp;AS[[#This Row],[Sex Code]]</f>
        <v xml:space="preserve">Insurer Code ; Reporting Year ; Insurance Category Code ; Large Provider Entity Code ; Age Band Code ; Sex Code </v>
      </c>
      <c r="N4984" s="345" t="s">
        <v>207</v>
      </c>
      <c r="O4984" s="345" t="s">
        <v>208</v>
      </c>
      <c r="P4984" s="345" t="s">
        <v>209</v>
      </c>
      <c r="Q4984" s="345" t="s">
        <v>210</v>
      </c>
      <c r="R4984" s="345" t="s">
        <v>223</v>
      </c>
      <c r="S4984" s="345" t="s">
        <v>224</v>
      </c>
    </row>
    <row r="4985" spans="1:19" x14ac:dyDescent="0.25">
      <c r="A4985" s="311"/>
      <c r="B4985" s="312"/>
      <c r="C4985" s="312"/>
      <c r="D4985" s="312"/>
      <c r="E4985" s="312"/>
      <c r="F4985" s="312"/>
      <c r="G4985" s="328"/>
      <c r="H4985" s="337"/>
      <c r="I4985" s="334"/>
      <c r="J4985" s="314"/>
      <c r="K4985" s="449"/>
      <c r="M4985" s="349" t="str">
        <f>N4985&amp;AS[[#This Row],[Insurer Code]]&amp;"; "&amp;O4985&amp;AS[[#This Row],[Reporting Year]]&amp;"; "&amp;P4985&amp;AS[[#This Row],[Insurance Category Code]]&amp;"; "&amp;Q4985&amp;AS[[#This Row],[Large Provider Entity Code]]&amp;"; "&amp;R4985&amp;AS[[#This Row],[Age Band Code]]&amp;"; "&amp;S4985&amp;AS[[#This Row],[Sex Code]]</f>
        <v xml:space="preserve">Insurer Code ; Reporting Year ; Insurance Category Code ; Large Provider Entity Code ; Age Band Code ; Sex Code </v>
      </c>
      <c r="N4985" s="345" t="s">
        <v>207</v>
      </c>
      <c r="O4985" s="345" t="s">
        <v>208</v>
      </c>
      <c r="P4985" s="345" t="s">
        <v>209</v>
      </c>
      <c r="Q4985" s="345" t="s">
        <v>210</v>
      </c>
      <c r="R4985" s="345" t="s">
        <v>223</v>
      </c>
      <c r="S4985" s="345" t="s">
        <v>224</v>
      </c>
    </row>
    <row r="4986" spans="1:19" x14ac:dyDescent="0.25">
      <c r="A4986" s="311"/>
      <c r="B4986" s="312"/>
      <c r="C4986" s="312"/>
      <c r="D4986" s="312"/>
      <c r="E4986" s="312"/>
      <c r="F4986" s="312"/>
      <c r="G4986" s="328"/>
      <c r="H4986" s="337"/>
      <c r="I4986" s="334"/>
      <c r="J4986" s="314"/>
      <c r="K4986" s="449"/>
      <c r="M4986" s="349" t="str">
        <f>N4986&amp;AS[[#This Row],[Insurer Code]]&amp;"; "&amp;O4986&amp;AS[[#This Row],[Reporting Year]]&amp;"; "&amp;P4986&amp;AS[[#This Row],[Insurance Category Code]]&amp;"; "&amp;Q4986&amp;AS[[#This Row],[Large Provider Entity Code]]&amp;"; "&amp;R4986&amp;AS[[#This Row],[Age Band Code]]&amp;"; "&amp;S4986&amp;AS[[#This Row],[Sex Code]]</f>
        <v xml:space="preserve">Insurer Code ; Reporting Year ; Insurance Category Code ; Large Provider Entity Code ; Age Band Code ; Sex Code </v>
      </c>
      <c r="N4986" s="345" t="s">
        <v>207</v>
      </c>
      <c r="O4986" s="345" t="s">
        <v>208</v>
      </c>
      <c r="P4986" s="345" t="s">
        <v>209</v>
      </c>
      <c r="Q4986" s="345" t="s">
        <v>210</v>
      </c>
      <c r="R4986" s="345" t="s">
        <v>223</v>
      </c>
      <c r="S4986" s="345" t="s">
        <v>224</v>
      </c>
    </row>
    <row r="4987" spans="1:19" x14ac:dyDescent="0.25">
      <c r="A4987" s="311"/>
      <c r="B4987" s="312"/>
      <c r="C4987" s="312"/>
      <c r="D4987" s="312"/>
      <c r="E4987" s="312"/>
      <c r="F4987" s="312"/>
      <c r="G4987" s="328"/>
      <c r="H4987" s="337"/>
      <c r="I4987" s="334"/>
      <c r="J4987" s="314"/>
      <c r="K4987" s="449"/>
      <c r="M4987" s="349" t="str">
        <f>N4987&amp;AS[[#This Row],[Insurer Code]]&amp;"; "&amp;O4987&amp;AS[[#This Row],[Reporting Year]]&amp;"; "&amp;P4987&amp;AS[[#This Row],[Insurance Category Code]]&amp;"; "&amp;Q4987&amp;AS[[#This Row],[Large Provider Entity Code]]&amp;"; "&amp;R4987&amp;AS[[#This Row],[Age Band Code]]&amp;"; "&amp;S4987&amp;AS[[#This Row],[Sex Code]]</f>
        <v xml:space="preserve">Insurer Code ; Reporting Year ; Insurance Category Code ; Large Provider Entity Code ; Age Band Code ; Sex Code </v>
      </c>
      <c r="N4987" s="345" t="s">
        <v>207</v>
      </c>
      <c r="O4987" s="345" t="s">
        <v>208</v>
      </c>
      <c r="P4987" s="345" t="s">
        <v>209</v>
      </c>
      <c r="Q4987" s="345" t="s">
        <v>210</v>
      </c>
      <c r="R4987" s="345" t="s">
        <v>223</v>
      </c>
      <c r="S4987" s="345" t="s">
        <v>224</v>
      </c>
    </row>
    <row r="4988" spans="1:19" x14ac:dyDescent="0.25">
      <c r="A4988" s="311"/>
      <c r="B4988" s="312"/>
      <c r="C4988" s="312"/>
      <c r="D4988" s="312"/>
      <c r="E4988" s="312"/>
      <c r="F4988" s="312"/>
      <c r="G4988" s="328"/>
      <c r="H4988" s="337"/>
      <c r="I4988" s="334"/>
      <c r="J4988" s="314"/>
      <c r="K4988" s="449"/>
      <c r="M4988" s="349" t="str">
        <f>N4988&amp;AS[[#This Row],[Insurer Code]]&amp;"; "&amp;O4988&amp;AS[[#This Row],[Reporting Year]]&amp;"; "&amp;P4988&amp;AS[[#This Row],[Insurance Category Code]]&amp;"; "&amp;Q4988&amp;AS[[#This Row],[Large Provider Entity Code]]&amp;"; "&amp;R4988&amp;AS[[#This Row],[Age Band Code]]&amp;"; "&amp;S4988&amp;AS[[#This Row],[Sex Code]]</f>
        <v xml:space="preserve">Insurer Code ; Reporting Year ; Insurance Category Code ; Large Provider Entity Code ; Age Band Code ; Sex Code </v>
      </c>
      <c r="N4988" s="345" t="s">
        <v>207</v>
      </c>
      <c r="O4988" s="345" t="s">
        <v>208</v>
      </c>
      <c r="P4988" s="345" t="s">
        <v>209</v>
      </c>
      <c r="Q4988" s="345" t="s">
        <v>210</v>
      </c>
      <c r="R4988" s="345" t="s">
        <v>223</v>
      </c>
      <c r="S4988" s="345" t="s">
        <v>224</v>
      </c>
    </row>
    <row r="4989" spans="1:19" x14ac:dyDescent="0.25">
      <c r="A4989" s="311"/>
      <c r="B4989" s="312"/>
      <c r="C4989" s="312"/>
      <c r="D4989" s="312"/>
      <c r="E4989" s="312"/>
      <c r="F4989" s="312"/>
      <c r="G4989" s="328"/>
      <c r="H4989" s="337"/>
      <c r="I4989" s="334"/>
      <c r="J4989" s="314"/>
      <c r="K4989" s="449"/>
      <c r="M4989" s="349" t="str">
        <f>N4989&amp;AS[[#This Row],[Insurer Code]]&amp;"; "&amp;O4989&amp;AS[[#This Row],[Reporting Year]]&amp;"; "&amp;P4989&amp;AS[[#This Row],[Insurance Category Code]]&amp;"; "&amp;Q4989&amp;AS[[#This Row],[Large Provider Entity Code]]&amp;"; "&amp;R4989&amp;AS[[#This Row],[Age Band Code]]&amp;"; "&amp;S4989&amp;AS[[#This Row],[Sex Code]]</f>
        <v xml:space="preserve">Insurer Code ; Reporting Year ; Insurance Category Code ; Large Provider Entity Code ; Age Band Code ; Sex Code </v>
      </c>
      <c r="N4989" s="345" t="s">
        <v>207</v>
      </c>
      <c r="O4989" s="345" t="s">
        <v>208</v>
      </c>
      <c r="P4989" s="345" t="s">
        <v>209</v>
      </c>
      <c r="Q4989" s="345" t="s">
        <v>210</v>
      </c>
      <c r="R4989" s="345" t="s">
        <v>223</v>
      </c>
      <c r="S4989" s="345" t="s">
        <v>224</v>
      </c>
    </row>
    <row r="4990" spans="1:19" x14ac:dyDescent="0.25">
      <c r="A4990" s="311"/>
      <c r="B4990" s="312"/>
      <c r="C4990" s="312"/>
      <c r="D4990" s="312"/>
      <c r="E4990" s="312"/>
      <c r="F4990" s="312"/>
      <c r="G4990" s="328"/>
      <c r="H4990" s="337"/>
      <c r="I4990" s="334"/>
      <c r="J4990" s="314"/>
      <c r="K4990" s="449"/>
      <c r="M4990" s="349" t="str">
        <f>N4990&amp;AS[[#This Row],[Insurer Code]]&amp;"; "&amp;O4990&amp;AS[[#This Row],[Reporting Year]]&amp;"; "&amp;P4990&amp;AS[[#This Row],[Insurance Category Code]]&amp;"; "&amp;Q4990&amp;AS[[#This Row],[Large Provider Entity Code]]&amp;"; "&amp;R4990&amp;AS[[#This Row],[Age Band Code]]&amp;"; "&amp;S4990&amp;AS[[#This Row],[Sex Code]]</f>
        <v xml:space="preserve">Insurer Code ; Reporting Year ; Insurance Category Code ; Large Provider Entity Code ; Age Band Code ; Sex Code </v>
      </c>
      <c r="N4990" s="345" t="s">
        <v>207</v>
      </c>
      <c r="O4990" s="345" t="s">
        <v>208</v>
      </c>
      <c r="P4990" s="345" t="s">
        <v>209</v>
      </c>
      <c r="Q4990" s="345" t="s">
        <v>210</v>
      </c>
      <c r="R4990" s="345" t="s">
        <v>223</v>
      </c>
      <c r="S4990" s="345" t="s">
        <v>224</v>
      </c>
    </row>
    <row r="4991" spans="1:19" x14ac:dyDescent="0.25">
      <c r="A4991" s="311"/>
      <c r="B4991" s="312"/>
      <c r="C4991" s="312"/>
      <c r="D4991" s="312"/>
      <c r="E4991" s="312"/>
      <c r="F4991" s="312"/>
      <c r="G4991" s="328"/>
      <c r="H4991" s="337"/>
      <c r="I4991" s="334"/>
      <c r="J4991" s="314"/>
      <c r="K4991" s="449"/>
      <c r="M4991" s="349" t="str">
        <f>N4991&amp;AS[[#This Row],[Insurer Code]]&amp;"; "&amp;O4991&amp;AS[[#This Row],[Reporting Year]]&amp;"; "&amp;P4991&amp;AS[[#This Row],[Insurance Category Code]]&amp;"; "&amp;Q4991&amp;AS[[#This Row],[Large Provider Entity Code]]&amp;"; "&amp;R4991&amp;AS[[#This Row],[Age Band Code]]&amp;"; "&amp;S4991&amp;AS[[#This Row],[Sex Code]]</f>
        <v xml:space="preserve">Insurer Code ; Reporting Year ; Insurance Category Code ; Large Provider Entity Code ; Age Band Code ; Sex Code </v>
      </c>
      <c r="N4991" s="345" t="s">
        <v>207</v>
      </c>
      <c r="O4991" s="345" t="s">
        <v>208</v>
      </c>
      <c r="P4991" s="345" t="s">
        <v>209</v>
      </c>
      <c r="Q4991" s="345" t="s">
        <v>210</v>
      </c>
      <c r="R4991" s="345" t="s">
        <v>223</v>
      </c>
      <c r="S4991" s="345" t="s">
        <v>224</v>
      </c>
    </row>
    <row r="4992" spans="1:19" x14ac:dyDescent="0.25">
      <c r="A4992" s="311"/>
      <c r="B4992" s="312"/>
      <c r="C4992" s="312"/>
      <c r="D4992" s="312"/>
      <c r="E4992" s="312"/>
      <c r="F4992" s="312"/>
      <c r="G4992" s="328"/>
      <c r="H4992" s="337"/>
      <c r="I4992" s="334"/>
      <c r="J4992" s="314"/>
      <c r="K4992" s="449"/>
      <c r="M4992" s="349" t="str">
        <f>N4992&amp;AS[[#This Row],[Insurer Code]]&amp;"; "&amp;O4992&amp;AS[[#This Row],[Reporting Year]]&amp;"; "&amp;P4992&amp;AS[[#This Row],[Insurance Category Code]]&amp;"; "&amp;Q4992&amp;AS[[#This Row],[Large Provider Entity Code]]&amp;"; "&amp;R4992&amp;AS[[#This Row],[Age Band Code]]&amp;"; "&amp;S4992&amp;AS[[#This Row],[Sex Code]]</f>
        <v xml:space="preserve">Insurer Code ; Reporting Year ; Insurance Category Code ; Large Provider Entity Code ; Age Band Code ; Sex Code </v>
      </c>
      <c r="N4992" s="345" t="s">
        <v>207</v>
      </c>
      <c r="O4992" s="345" t="s">
        <v>208</v>
      </c>
      <c r="P4992" s="345" t="s">
        <v>209</v>
      </c>
      <c r="Q4992" s="345" t="s">
        <v>210</v>
      </c>
      <c r="R4992" s="345" t="s">
        <v>223</v>
      </c>
      <c r="S4992" s="345" t="s">
        <v>224</v>
      </c>
    </row>
    <row r="4993" spans="1:19" x14ac:dyDescent="0.25">
      <c r="A4993" s="311"/>
      <c r="B4993" s="312"/>
      <c r="C4993" s="312"/>
      <c r="D4993" s="312"/>
      <c r="E4993" s="312"/>
      <c r="F4993" s="312"/>
      <c r="G4993" s="328"/>
      <c r="H4993" s="337"/>
      <c r="I4993" s="334"/>
      <c r="J4993" s="314"/>
      <c r="K4993" s="449"/>
      <c r="M4993" s="349" t="str">
        <f>N4993&amp;AS[[#This Row],[Insurer Code]]&amp;"; "&amp;O4993&amp;AS[[#This Row],[Reporting Year]]&amp;"; "&amp;P4993&amp;AS[[#This Row],[Insurance Category Code]]&amp;"; "&amp;Q4993&amp;AS[[#This Row],[Large Provider Entity Code]]&amp;"; "&amp;R4993&amp;AS[[#This Row],[Age Band Code]]&amp;"; "&amp;S4993&amp;AS[[#This Row],[Sex Code]]</f>
        <v xml:space="preserve">Insurer Code ; Reporting Year ; Insurance Category Code ; Large Provider Entity Code ; Age Band Code ; Sex Code </v>
      </c>
      <c r="N4993" s="345" t="s">
        <v>207</v>
      </c>
      <c r="O4993" s="345" t="s">
        <v>208</v>
      </c>
      <c r="P4993" s="345" t="s">
        <v>209</v>
      </c>
      <c r="Q4993" s="345" t="s">
        <v>210</v>
      </c>
      <c r="R4993" s="345" t="s">
        <v>223</v>
      </c>
      <c r="S4993" s="345" t="s">
        <v>224</v>
      </c>
    </row>
    <row r="4994" spans="1:19" x14ac:dyDescent="0.25">
      <c r="A4994" s="311"/>
      <c r="B4994" s="312"/>
      <c r="C4994" s="312"/>
      <c r="D4994" s="312"/>
      <c r="E4994" s="312"/>
      <c r="F4994" s="312"/>
      <c r="G4994" s="328"/>
      <c r="H4994" s="337"/>
      <c r="I4994" s="334"/>
      <c r="J4994" s="314"/>
      <c r="K4994" s="449"/>
      <c r="M4994" s="349" t="str">
        <f>N4994&amp;AS[[#This Row],[Insurer Code]]&amp;"; "&amp;O4994&amp;AS[[#This Row],[Reporting Year]]&amp;"; "&amp;P4994&amp;AS[[#This Row],[Insurance Category Code]]&amp;"; "&amp;Q4994&amp;AS[[#This Row],[Large Provider Entity Code]]&amp;"; "&amp;R4994&amp;AS[[#This Row],[Age Band Code]]&amp;"; "&amp;S4994&amp;AS[[#This Row],[Sex Code]]</f>
        <v xml:space="preserve">Insurer Code ; Reporting Year ; Insurance Category Code ; Large Provider Entity Code ; Age Band Code ; Sex Code </v>
      </c>
      <c r="N4994" s="345" t="s">
        <v>207</v>
      </c>
      <c r="O4994" s="345" t="s">
        <v>208</v>
      </c>
      <c r="P4994" s="345" t="s">
        <v>209</v>
      </c>
      <c r="Q4994" s="345" t="s">
        <v>210</v>
      </c>
      <c r="R4994" s="345" t="s">
        <v>223</v>
      </c>
      <c r="S4994" s="345" t="s">
        <v>224</v>
      </c>
    </row>
    <row r="4995" spans="1:19" x14ac:dyDescent="0.25">
      <c r="A4995" s="311"/>
      <c r="B4995" s="312"/>
      <c r="C4995" s="312"/>
      <c r="D4995" s="312"/>
      <c r="E4995" s="312"/>
      <c r="F4995" s="312"/>
      <c r="G4995" s="328"/>
      <c r="H4995" s="337"/>
      <c r="I4995" s="334"/>
      <c r="J4995" s="314"/>
      <c r="K4995" s="449"/>
      <c r="M4995" s="349" t="str">
        <f>N4995&amp;AS[[#This Row],[Insurer Code]]&amp;"; "&amp;O4995&amp;AS[[#This Row],[Reporting Year]]&amp;"; "&amp;P4995&amp;AS[[#This Row],[Insurance Category Code]]&amp;"; "&amp;Q4995&amp;AS[[#This Row],[Large Provider Entity Code]]&amp;"; "&amp;R4995&amp;AS[[#This Row],[Age Band Code]]&amp;"; "&amp;S4995&amp;AS[[#This Row],[Sex Code]]</f>
        <v xml:space="preserve">Insurer Code ; Reporting Year ; Insurance Category Code ; Large Provider Entity Code ; Age Band Code ; Sex Code </v>
      </c>
      <c r="N4995" s="345" t="s">
        <v>207</v>
      </c>
      <c r="O4995" s="345" t="s">
        <v>208</v>
      </c>
      <c r="P4995" s="345" t="s">
        <v>209</v>
      </c>
      <c r="Q4995" s="345" t="s">
        <v>210</v>
      </c>
      <c r="R4995" s="345" t="s">
        <v>223</v>
      </c>
      <c r="S4995" s="345" t="s">
        <v>224</v>
      </c>
    </row>
    <row r="4996" spans="1:19" x14ac:dyDescent="0.25">
      <c r="A4996" s="311"/>
      <c r="B4996" s="312"/>
      <c r="C4996" s="312"/>
      <c r="D4996" s="312"/>
      <c r="E4996" s="312"/>
      <c r="F4996" s="312"/>
      <c r="G4996" s="328"/>
      <c r="H4996" s="337"/>
      <c r="I4996" s="334"/>
      <c r="J4996" s="314"/>
      <c r="K4996" s="449"/>
      <c r="M4996" s="349" t="str">
        <f>N4996&amp;AS[[#This Row],[Insurer Code]]&amp;"; "&amp;O4996&amp;AS[[#This Row],[Reporting Year]]&amp;"; "&amp;P4996&amp;AS[[#This Row],[Insurance Category Code]]&amp;"; "&amp;Q4996&amp;AS[[#This Row],[Large Provider Entity Code]]&amp;"; "&amp;R4996&amp;AS[[#This Row],[Age Band Code]]&amp;"; "&amp;S4996&amp;AS[[#This Row],[Sex Code]]</f>
        <v xml:space="preserve">Insurer Code ; Reporting Year ; Insurance Category Code ; Large Provider Entity Code ; Age Band Code ; Sex Code </v>
      </c>
      <c r="N4996" s="345" t="s">
        <v>207</v>
      </c>
      <c r="O4996" s="345" t="s">
        <v>208</v>
      </c>
      <c r="P4996" s="345" t="s">
        <v>209</v>
      </c>
      <c r="Q4996" s="345" t="s">
        <v>210</v>
      </c>
      <c r="R4996" s="345" t="s">
        <v>223</v>
      </c>
      <c r="S4996" s="345" t="s">
        <v>224</v>
      </c>
    </row>
    <row r="4997" spans="1:19" x14ac:dyDescent="0.25">
      <c r="A4997" s="311"/>
      <c r="B4997" s="312"/>
      <c r="C4997" s="312"/>
      <c r="D4997" s="312"/>
      <c r="E4997" s="312"/>
      <c r="F4997" s="312"/>
      <c r="G4997" s="328"/>
      <c r="H4997" s="337"/>
      <c r="I4997" s="334"/>
      <c r="J4997" s="314"/>
      <c r="K4997" s="449"/>
      <c r="M4997" s="349" t="str">
        <f>N4997&amp;AS[[#This Row],[Insurer Code]]&amp;"; "&amp;O4997&amp;AS[[#This Row],[Reporting Year]]&amp;"; "&amp;P4997&amp;AS[[#This Row],[Insurance Category Code]]&amp;"; "&amp;Q4997&amp;AS[[#This Row],[Large Provider Entity Code]]&amp;"; "&amp;R4997&amp;AS[[#This Row],[Age Band Code]]&amp;"; "&amp;S4997&amp;AS[[#This Row],[Sex Code]]</f>
        <v xml:space="preserve">Insurer Code ; Reporting Year ; Insurance Category Code ; Large Provider Entity Code ; Age Band Code ; Sex Code </v>
      </c>
      <c r="N4997" s="345" t="s">
        <v>207</v>
      </c>
      <c r="O4997" s="345" t="s">
        <v>208</v>
      </c>
      <c r="P4997" s="345" t="s">
        <v>209</v>
      </c>
      <c r="Q4997" s="345" t="s">
        <v>210</v>
      </c>
      <c r="R4997" s="345" t="s">
        <v>223</v>
      </c>
      <c r="S4997" s="345" t="s">
        <v>224</v>
      </c>
    </row>
    <row r="4998" spans="1:19" x14ac:dyDescent="0.25">
      <c r="A4998" s="311"/>
      <c r="B4998" s="312"/>
      <c r="C4998" s="312"/>
      <c r="D4998" s="312"/>
      <c r="E4998" s="312"/>
      <c r="F4998" s="312"/>
      <c r="G4998" s="328"/>
      <c r="H4998" s="337"/>
      <c r="I4998" s="334"/>
      <c r="J4998" s="314"/>
      <c r="K4998" s="449"/>
      <c r="M4998" s="349" t="str">
        <f>N4998&amp;AS[[#This Row],[Insurer Code]]&amp;"; "&amp;O4998&amp;AS[[#This Row],[Reporting Year]]&amp;"; "&amp;P4998&amp;AS[[#This Row],[Insurance Category Code]]&amp;"; "&amp;Q4998&amp;AS[[#This Row],[Large Provider Entity Code]]&amp;"; "&amp;R4998&amp;AS[[#This Row],[Age Band Code]]&amp;"; "&amp;S4998&amp;AS[[#This Row],[Sex Code]]</f>
        <v xml:space="preserve">Insurer Code ; Reporting Year ; Insurance Category Code ; Large Provider Entity Code ; Age Band Code ; Sex Code </v>
      </c>
      <c r="N4998" s="345" t="s">
        <v>207</v>
      </c>
      <c r="O4998" s="345" t="s">
        <v>208</v>
      </c>
      <c r="P4998" s="345" t="s">
        <v>209</v>
      </c>
      <c r="Q4998" s="345" t="s">
        <v>210</v>
      </c>
      <c r="R4998" s="345" t="s">
        <v>223</v>
      </c>
      <c r="S4998" s="345" t="s">
        <v>224</v>
      </c>
    </row>
    <row r="4999" spans="1:19" x14ac:dyDescent="0.25">
      <c r="A4999" s="311"/>
      <c r="B4999" s="312"/>
      <c r="C4999" s="312"/>
      <c r="D4999" s="312"/>
      <c r="E4999" s="312"/>
      <c r="F4999" s="312"/>
      <c r="G4999" s="328"/>
      <c r="H4999" s="337"/>
      <c r="I4999" s="334"/>
      <c r="J4999" s="314"/>
      <c r="K4999" s="449"/>
      <c r="M4999" s="349" t="str">
        <f>N4999&amp;AS[[#This Row],[Insurer Code]]&amp;"; "&amp;O4999&amp;AS[[#This Row],[Reporting Year]]&amp;"; "&amp;P4999&amp;AS[[#This Row],[Insurance Category Code]]&amp;"; "&amp;Q4999&amp;AS[[#This Row],[Large Provider Entity Code]]&amp;"; "&amp;R4999&amp;AS[[#This Row],[Age Band Code]]&amp;"; "&amp;S4999&amp;AS[[#This Row],[Sex Code]]</f>
        <v xml:space="preserve">Insurer Code ; Reporting Year ; Insurance Category Code ; Large Provider Entity Code ; Age Band Code ; Sex Code </v>
      </c>
      <c r="N4999" s="345" t="s">
        <v>207</v>
      </c>
      <c r="O4999" s="345" t="s">
        <v>208</v>
      </c>
      <c r="P4999" s="345" t="s">
        <v>209</v>
      </c>
      <c r="Q4999" s="345" t="s">
        <v>210</v>
      </c>
      <c r="R4999" s="345" t="s">
        <v>223</v>
      </c>
      <c r="S4999" s="345" t="s">
        <v>224</v>
      </c>
    </row>
    <row r="5000" spans="1:19" x14ac:dyDescent="0.25">
      <c r="A5000" s="311"/>
      <c r="B5000" s="312"/>
      <c r="C5000" s="312"/>
      <c r="D5000" s="312"/>
      <c r="E5000" s="312"/>
      <c r="F5000" s="312"/>
      <c r="G5000" s="328"/>
      <c r="H5000" s="337"/>
      <c r="I5000" s="334"/>
      <c r="J5000" s="314"/>
      <c r="K5000" s="449"/>
      <c r="M5000" s="349" t="str">
        <f>N5000&amp;AS[[#This Row],[Insurer Code]]&amp;"; "&amp;O5000&amp;AS[[#This Row],[Reporting Year]]&amp;"; "&amp;P5000&amp;AS[[#This Row],[Insurance Category Code]]&amp;"; "&amp;Q5000&amp;AS[[#This Row],[Large Provider Entity Code]]&amp;"; "&amp;R5000&amp;AS[[#This Row],[Age Band Code]]&amp;"; "&amp;S5000&amp;AS[[#This Row],[Sex Code]]</f>
        <v xml:space="preserve">Insurer Code ; Reporting Year ; Insurance Category Code ; Large Provider Entity Code ; Age Band Code ; Sex Code </v>
      </c>
      <c r="N5000" s="345" t="s">
        <v>207</v>
      </c>
      <c r="O5000" s="345" t="s">
        <v>208</v>
      </c>
      <c r="P5000" s="345" t="s">
        <v>209</v>
      </c>
      <c r="Q5000" s="345" t="s">
        <v>210</v>
      </c>
      <c r="R5000" s="345" t="s">
        <v>223</v>
      </c>
      <c r="S5000" s="345" t="s">
        <v>224</v>
      </c>
    </row>
    <row r="5001" spans="1:19" x14ac:dyDescent="0.25">
      <c r="A5001" s="311"/>
      <c r="B5001" s="312"/>
      <c r="C5001" s="312"/>
      <c r="D5001" s="312"/>
      <c r="E5001" s="312"/>
      <c r="F5001" s="312"/>
      <c r="G5001" s="328"/>
      <c r="H5001" s="337"/>
      <c r="I5001" s="334"/>
      <c r="J5001" s="314"/>
      <c r="K5001" s="449"/>
      <c r="M5001" s="349" t="str">
        <f>N5001&amp;AS[[#This Row],[Insurer Code]]&amp;"; "&amp;O5001&amp;AS[[#This Row],[Reporting Year]]&amp;"; "&amp;P5001&amp;AS[[#This Row],[Insurance Category Code]]&amp;"; "&amp;Q5001&amp;AS[[#This Row],[Large Provider Entity Code]]&amp;"; "&amp;R5001&amp;AS[[#This Row],[Age Band Code]]&amp;"; "&amp;S5001&amp;AS[[#This Row],[Sex Code]]</f>
        <v xml:space="preserve">Insurer Code ; Reporting Year ; Insurance Category Code ; Large Provider Entity Code ; Age Band Code ; Sex Code </v>
      </c>
      <c r="N5001" s="345" t="s">
        <v>207</v>
      </c>
      <c r="O5001" s="345" t="s">
        <v>208</v>
      </c>
      <c r="P5001" s="345" t="s">
        <v>209</v>
      </c>
      <c r="Q5001" s="345" t="s">
        <v>210</v>
      </c>
      <c r="R5001" s="345" t="s">
        <v>223</v>
      </c>
      <c r="S5001" s="345" t="s">
        <v>224</v>
      </c>
    </row>
    <row r="5002" spans="1:19" x14ac:dyDescent="0.25">
      <c r="A5002" s="311"/>
      <c r="B5002" s="312"/>
      <c r="C5002" s="312"/>
      <c r="D5002" s="312"/>
      <c r="E5002" s="312"/>
      <c r="F5002" s="312"/>
      <c r="G5002" s="328"/>
      <c r="H5002" s="337"/>
      <c r="I5002" s="334"/>
      <c r="J5002" s="314"/>
      <c r="K5002" s="449"/>
      <c r="M5002" s="349" t="str">
        <f>N5002&amp;AS[[#This Row],[Insurer Code]]&amp;"; "&amp;O5002&amp;AS[[#This Row],[Reporting Year]]&amp;"; "&amp;P5002&amp;AS[[#This Row],[Insurance Category Code]]&amp;"; "&amp;Q5002&amp;AS[[#This Row],[Large Provider Entity Code]]&amp;"; "&amp;R5002&amp;AS[[#This Row],[Age Band Code]]&amp;"; "&amp;S5002&amp;AS[[#This Row],[Sex Code]]</f>
        <v xml:space="preserve">Insurer Code ; Reporting Year ; Insurance Category Code ; Large Provider Entity Code ; Age Band Code ; Sex Code </v>
      </c>
      <c r="N5002" s="345" t="s">
        <v>207</v>
      </c>
      <c r="O5002" s="345" t="s">
        <v>208</v>
      </c>
      <c r="P5002" s="345" t="s">
        <v>209</v>
      </c>
      <c r="Q5002" s="345" t="s">
        <v>210</v>
      </c>
      <c r="R5002" s="345" t="s">
        <v>223</v>
      </c>
      <c r="S5002" s="345" t="s">
        <v>224</v>
      </c>
    </row>
    <row r="5003" spans="1:19" x14ac:dyDescent="0.25">
      <c r="A5003" s="311"/>
      <c r="B5003" s="312"/>
      <c r="C5003" s="312"/>
      <c r="D5003" s="312"/>
      <c r="E5003" s="312"/>
      <c r="F5003" s="312"/>
      <c r="G5003" s="328"/>
      <c r="H5003" s="337"/>
      <c r="I5003" s="334"/>
      <c r="J5003" s="314"/>
      <c r="K5003" s="449"/>
      <c r="M5003" s="349" t="str">
        <f>N5003&amp;AS[[#This Row],[Insurer Code]]&amp;"; "&amp;O5003&amp;AS[[#This Row],[Reporting Year]]&amp;"; "&amp;P5003&amp;AS[[#This Row],[Insurance Category Code]]&amp;"; "&amp;Q5003&amp;AS[[#This Row],[Large Provider Entity Code]]&amp;"; "&amp;R5003&amp;AS[[#This Row],[Age Band Code]]&amp;"; "&amp;S5003&amp;AS[[#This Row],[Sex Code]]</f>
        <v xml:space="preserve">Insurer Code ; Reporting Year ; Insurance Category Code ; Large Provider Entity Code ; Age Band Code ; Sex Code </v>
      </c>
      <c r="N5003" s="345" t="s">
        <v>207</v>
      </c>
      <c r="O5003" s="345" t="s">
        <v>208</v>
      </c>
      <c r="P5003" s="345" t="s">
        <v>209</v>
      </c>
      <c r="Q5003" s="345" t="s">
        <v>210</v>
      </c>
      <c r="R5003" s="345" t="s">
        <v>223</v>
      </c>
      <c r="S5003" s="345" t="s">
        <v>224</v>
      </c>
    </row>
    <row r="5004" spans="1:19" x14ac:dyDescent="0.25">
      <c r="A5004" s="311"/>
      <c r="B5004" s="312"/>
      <c r="C5004" s="312"/>
      <c r="D5004" s="312"/>
      <c r="E5004" s="312"/>
      <c r="F5004" s="312"/>
      <c r="G5004" s="328"/>
      <c r="H5004" s="337"/>
      <c r="I5004" s="334"/>
      <c r="J5004" s="314"/>
      <c r="K5004" s="449"/>
      <c r="M5004" s="349" t="str">
        <f>N5004&amp;AS[[#This Row],[Insurer Code]]&amp;"; "&amp;O5004&amp;AS[[#This Row],[Reporting Year]]&amp;"; "&amp;P5004&amp;AS[[#This Row],[Insurance Category Code]]&amp;"; "&amp;Q5004&amp;AS[[#This Row],[Large Provider Entity Code]]&amp;"; "&amp;R5004&amp;AS[[#This Row],[Age Band Code]]&amp;"; "&amp;S5004&amp;AS[[#This Row],[Sex Code]]</f>
        <v xml:space="preserve">Insurer Code ; Reporting Year ; Insurance Category Code ; Large Provider Entity Code ; Age Band Code ; Sex Code </v>
      </c>
      <c r="N5004" s="345" t="s">
        <v>207</v>
      </c>
      <c r="O5004" s="345" t="s">
        <v>208</v>
      </c>
      <c r="P5004" s="345" t="s">
        <v>209</v>
      </c>
      <c r="Q5004" s="345" t="s">
        <v>210</v>
      </c>
      <c r="R5004" s="345" t="s">
        <v>223</v>
      </c>
      <c r="S5004" s="345" t="s">
        <v>224</v>
      </c>
    </row>
    <row r="5005" spans="1:19" x14ac:dyDescent="0.25">
      <c r="A5005" s="311"/>
      <c r="B5005" s="312"/>
      <c r="C5005" s="312"/>
      <c r="D5005" s="312"/>
      <c r="E5005" s="312"/>
      <c r="F5005" s="312"/>
      <c r="G5005" s="328"/>
      <c r="H5005" s="337"/>
      <c r="I5005" s="334"/>
      <c r="J5005" s="314"/>
      <c r="K5005" s="449"/>
      <c r="M5005" s="349" t="str">
        <f>N5005&amp;AS[[#This Row],[Insurer Code]]&amp;"; "&amp;O5005&amp;AS[[#This Row],[Reporting Year]]&amp;"; "&amp;P5005&amp;AS[[#This Row],[Insurance Category Code]]&amp;"; "&amp;Q5005&amp;AS[[#This Row],[Large Provider Entity Code]]&amp;"; "&amp;R5005&amp;AS[[#This Row],[Age Band Code]]&amp;"; "&amp;S5005&amp;AS[[#This Row],[Sex Code]]</f>
        <v xml:space="preserve">Insurer Code ; Reporting Year ; Insurance Category Code ; Large Provider Entity Code ; Age Band Code ; Sex Code </v>
      </c>
      <c r="N5005" s="345" t="s">
        <v>207</v>
      </c>
      <c r="O5005" s="345" t="s">
        <v>208</v>
      </c>
      <c r="P5005" s="345" t="s">
        <v>209</v>
      </c>
      <c r="Q5005" s="345" t="s">
        <v>210</v>
      </c>
      <c r="R5005" s="345" t="s">
        <v>223</v>
      </c>
      <c r="S5005" s="345" t="s">
        <v>224</v>
      </c>
    </row>
    <row r="5006" spans="1:19" x14ac:dyDescent="0.25">
      <c r="A5006" s="311"/>
      <c r="B5006" s="312"/>
      <c r="C5006" s="312"/>
      <c r="D5006" s="312"/>
      <c r="E5006" s="312"/>
      <c r="F5006" s="312"/>
      <c r="G5006" s="328"/>
      <c r="H5006" s="337"/>
      <c r="I5006" s="334"/>
      <c r="J5006" s="314"/>
      <c r="K5006" s="449"/>
      <c r="M5006" s="349" t="str">
        <f>N5006&amp;AS[[#This Row],[Insurer Code]]&amp;"; "&amp;O5006&amp;AS[[#This Row],[Reporting Year]]&amp;"; "&amp;P5006&amp;AS[[#This Row],[Insurance Category Code]]&amp;"; "&amp;Q5006&amp;AS[[#This Row],[Large Provider Entity Code]]&amp;"; "&amp;R5006&amp;AS[[#This Row],[Age Band Code]]&amp;"; "&amp;S5006&amp;AS[[#This Row],[Sex Code]]</f>
        <v xml:space="preserve">Insurer Code ; Reporting Year ; Insurance Category Code ; Large Provider Entity Code ; Age Band Code ; Sex Code </v>
      </c>
      <c r="N5006" s="345" t="s">
        <v>207</v>
      </c>
      <c r="O5006" s="345" t="s">
        <v>208</v>
      </c>
      <c r="P5006" s="345" t="s">
        <v>209</v>
      </c>
      <c r="Q5006" s="345" t="s">
        <v>210</v>
      </c>
      <c r="R5006" s="345" t="s">
        <v>223</v>
      </c>
      <c r="S5006" s="345" t="s">
        <v>224</v>
      </c>
    </row>
    <row r="5007" spans="1:19" x14ac:dyDescent="0.25">
      <c r="A5007" s="311"/>
      <c r="B5007" s="312"/>
      <c r="C5007" s="312"/>
      <c r="D5007" s="312"/>
      <c r="E5007" s="312"/>
      <c r="F5007" s="312"/>
      <c r="G5007" s="328"/>
      <c r="H5007" s="337"/>
      <c r="I5007" s="334"/>
      <c r="J5007" s="314"/>
      <c r="K5007" s="449"/>
      <c r="M5007" s="349" t="str">
        <f>N5007&amp;AS[[#This Row],[Insurer Code]]&amp;"; "&amp;O5007&amp;AS[[#This Row],[Reporting Year]]&amp;"; "&amp;P5007&amp;AS[[#This Row],[Insurance Category Code]]&amp;"; "&amp;Q5007&amp;AS[[#This Row],[Large Provider Entity Code]]&amp;"; "&amp;R5007&amp;AS[[#This Row],[Age Band Code]]&amp;"; "&amp;S5007&amp;AS[[#This Row],[Sex Code]]</f>
        <v xml:space="preserve">Insurer Code ; Reporting Year ; Insurance Category Code ; Large Provider Entity Code ; Age Band Code ; Sex Code </v>
      </c>
      <c r="N5007" s="345" t="s">
        <v>207</v>
      </c>
      <c r="O5007" s="345" t="s">
        <v>208</v>
      </c>
      <c r="P5007" s="345" t="s">
        <v>209</v>
      </c>
      <c r="Q5007" s="345" t="s">
        <v>210</v>
      </c>
      <c r="R5007" s="345" t="s">
        <v>223</v>
      </c>
      <c r="S5007" s="345" t="s">
        <v>224</v>
      </c>
    </row>
    <row r="5008" spans="1:19" x14ac:dyDescent="0.25">
      <c r="A5008" s="311"/>
      <c r="B5008" s="312"/>
      <c r="C5008" s="312"/>
      <c r="D5008" s="312"/>
      <c r="E5008" s="312"/>
      <c r="F5008" s="312"/>
      <c r="G5008" s="328"/>
      <c r="H5008" s="337"/>
      <c r="I5008" s="334"/>
      <c r="J5008" s="314"/>
      <c r="K5008" s="449"/>
      <c r="M5008" s="349" t="str">
        <f>N5008&amp;AS[[#This Row],[Insurer Code]]&amp;"; "&amp;O5008&amp;AS[[#This Row],[Reporting Year]]&amp;"; "&amp;P5008&amp;AS[[#This Row],[Insurance Category Code]]&amp;"; "&amp;Q5008&amp;AS[[#This Row],[Large Provider Entity Code]]&amp;"; "&amp;R5008&amp;AS[[#This Row],[Age Band Code]]&amp;"; "&amp;S5008&amp;AS[[#This Row],[Sex Code]]</f>
        <v xml:space="preserve">Insurer Code ; Reporting Year ; Insurance Category Code ; Large Provider Entity Code ; Age Band Code ; Sex Code </v>
      </c>
      <c r="N5008" s="345" t="s">
        <v>207</v>
      </c>
      <c r="O5008" s="345" t="s">
        <v>208</v>
      </c>
      <c r="P5008" s="345" t="s">
        <v>209</v>
      </c>
      <c r="Q5008" s="345" t="s">
        <v>210</v>
      </c>
      <c r="R5008" s="345" t="s">
        <v>223</v>
      </c>
      <c r="S5008" s="345" t="s">
        <v>224</v>
      </c>
    </row>
    <row r="5009" spans="1:19" x14ac:dyDescent="0.25">
      <c r="A5009" s="311"/>
      <c r="B5009" s="312"/>
      <c r="C5009" s="312"/>
      <c r="D5009" s="312"/>
      <c r="E5009" s="312"/>
      <c r="F5009" s="312"/>
      <c r="G5009" s="328"/>
      <c r="H5009" s="337"/>
      <c r="I5009" s="334"/>
      <c r="J5009" s="314"/>
      <c r="K5009" s="449"/>
      <c r="M5009" s="349" t="str">
        <f>N5009&amp;AS[[#This Row],[Insurer Code]]&amp;"; "&amp;O5009&amp;AS[[#This Row],[Reporting Year]]&amp;"; "&amp;P5009&amp;AS[[#This Row],[Insurance Category Code]]&amp;"; "&amp;Q5009&amp;AS[[#This Row],[Large Provider Entity Code]]&amp;"; "&amp;R5009&amp;AS[[#This Row],[Age Band Code]]&amp;"; "&amp;S5009&amp;AS[[#This Row],[Sex Code]]</f>
        <v xml:space="preserve">Insurer Code ; Reporting Year ; Insurance Category Code ; Large Provider Entity Code ; Age Band Code ; Sex Code </v>
      </c>
      <c r="N5009" s="345" t="s">
        <v>207</v>
      </c>
      <c r="O5009" s="345" t="s">
        <v>208</v>
      </c>
      <c r="P5009" s="345" t="s">
        <v>209</v>
      </c>
      <c r="Q5009" s="345" t="s">
        <v>210</v>
      </c>
      <c r="R5009" s="345" t="s">
        <v>223</v>
      </c>
      <c r="S5009" s="345" t="s">
        <v>224</v>
      </c>
    </row>
    <row r="5010" spans="1:19" x14ac:dyDescent="0.25">
      <c r="A5010" s="311"/>
      <c r="B5010" s="312"/>
      <c r="C5010" s="312"/>
      <c r="D5010" s="312"/>
      <c r="E5010" s="312"/>
      <c r="F5010" s="312"/>
      <c r="G5010" s="328"/>
      <c r="H5010" s="337"/>
      <c r="I5010" s="334"/>
      <c r="J5010" s="314"/>
      <c r="K5010" s="449"/>
      <c r="M5010" s="349" t="str">
        <f>N5010&amp;AS[[#This Row],[Insurer Code]]&amp;"; "&amp;O5010&amp;AS[[#This Row],[Reporting Year]]&amp;"; "&amp;P5010&amp;AS[[#This Row],[Insurance Category Code]]&amp;"; "&amp;Q5010&amp;AS[[#This Row],[Large Provider Entity Code]]&amp;"; "&amp;R5010&amp;AS[[#This Row],[Age Band Code]]&amp;"; "&amp;S5010&amp;AS[[#This Row],[Sex Code]]</f>
        <v xml:space="preserve">Insurer Code ; Reporting Year ; Insurance Category Code ; Large Provider Entity Code ; Age Band Code ; Sex Code </v>
      </c>
      <c r="N5010" s="345" t="s">
        <v>207</v>
      </c>
      <c r="O5010" s="345" t="s">
        <v>208</v>
      </c>
      <c r="P5010" s="345" t="s">
        <v>209</v>
      </c>
      <c r="Q5010" s="345" t="s">
        <v>210</v>
      </c>
      <c r="R5010" s="345" t="s">
        <v>223</v>
      </c>
      <c r="S5010" s="345" t="s">
        <v>224</v>
      </c>
    </row>
    <row r="5011" spans="1:19" x14ac:dyDescent="0.25">
      <c r="A5011" s="311"/>
      <c r="B5011" s="312"/>
      <c r="C5011" s="312"/>
      <c r="D5011" s="312"/>
      <c r="E5011" s="312"/>
      <c r="F5011" s="312"/>
      <c r="G5011" s="328"/>
      <c r="H5011" s="337"/>
      <c r="I5011" s="334"/>
      <c r="J5011" s="314"/>
      <c r="K5011" s="449"/>
      <c r="M5011" s="349" t="str">
        <f>N5011&amp;AS[[#This Row],[Insurer Code]]&amp;"; "&amp;O5011&amp;AS[[#This Row],[Reporting Year]]&amp;"; "&amp;P5011&amp;AS[[#This Row],[Insurance Category Code]]&amp;"; "&amp;Q5011&amp;AS[[#This Row],[Large Provider Entity Code]]&amp;"; "&amp;R5011&amp;AS[[#This Row],[Age Band Code]]&amp;"; "&amp;S5011&amp;AS[[#This Row],[Sex Code]]</f>
        <v xml:space="preserve">Insurer Code ; Reporting Year ; Insurance Category Code ; Large Provider Entity Code ; Age Band Code ; Sex Code </v>
      </c>
      <c r="N5011" s="345" t="s">
        <v>207</v>
      </c>
      <c r="O5011" s="345" t="s">
        <v>208</v>
      </c>
      <c r="P5011" s="345" t="s">
        <v>209</v>
      </c>
      <c r="Q5011" s="345" t="s">
        <v>210</v>
      </c>
      <c r="R5011" s="345" t="s">
        <v>223</v>
      </c>
      <c r="S5011" s="345" t="s">
        <v>224</v>
      </c>
    </row>
    <row r="5012" spans="1:19" x14ac:dyDescent="0.25">
      <c r="A5012" s="311"/>
      <c r="B5012" s="312"/>
      <c r="C5012" s="312"/>
      <c r="D5012" s="312"/>
      <c r="E5012" s="312"/>
      <c r="F5012" s="312"/>
      <c r="G5012" s="328"/>
      <c r="H5012" s="337"/>
      <c r="I5012" s="334"/>
      <c r="J5012" s="314"/>
      <c r="K5012" s="449"/>
      <c r="M5012" s="349" t="str">
        <f>N5012&amp;AS[[#This Row],[Insurer Code]]&amp;"; "&amp;O5012&amp;AS[[#This Row],[Reporting Year]]&amp;"; "&amp;P5012&amp;AS[[#This Row],[Insurance Category Code]]&amp;"; "&amp;Q5012&amp;AS[[#This Row],[Large Provider Entity Code]]&amp;"; "&amp;R5012&amp;AS[[#This Row],[Age Band Code]]&amp;"; "&amp;S5012&amp;AS[[#This Row],[Sex Code]]</f>
        <v xml:space="preserve">Insurer Code ; Reporting Year ; Insurance Category Code ; Large Provider Entity Code ; Age Band Code ; Sex Code </v>
      </c>
      <c r="N5012" s="345" t="s">
        <v>207</v>
      </c>
      <c r="O5012" s="345" t="s">
        <v>208</v>
      </c>
      <c r="P5012" s="345" t="s">
        <v>209</v>
      </c>
      <c r="Q5012" s="345" t="s">
        <v>210</v>
      </c>
      <c r="R5012" s="345" t="s">
        <v>223</v>
      </c>
      <c r="S5012" s="345" t="s">
        <v>224</v>
      </c>
    </row>
    <row r="5013" spans="1:19" x14ac:dyDescent="0.25">
      <c r="A5013" s="311"/>
      <c r="B5013" s="312"/>
      <c r="C5013" s="312"/>
      <c r="D5013" s="312"/>
      <c r="E5013" s="312"/>
      <c r="F5013" s="312"/>
      <c r="G5013" s="328"/>
      <c r="H5013" s="337"/>
      <c r="I5013" s="334"/>
      <c r="J5013" s="314"/>
      <c r="K5013" s="449"/>
      <c r="M5013" s="349" t="str">
        <f>N5013&amp;AS[[#This Row],[Insurer Code]]&amp;"; "&amp;O5013&amp;AS[[#This Row],[Reporting Year]]&amp;"; "&amp;P5013&amp;AS[[#This Row],[Insurance Category Code]]&amp;"; "&amp;Q5013&amp;AS[[#This Row],[Large Provider Entity Code]]&amp;"; "&amp;R5013&amp;AS[[#This Row],[Age Band Code]]&amp;"; "&amp;S5013&amp;AS[[#This Row],[Sex Code]]</f>
        <v xml:space="preserve">Insurer Code ; Reporting Year ; Insurance Category Code ; Large Provider Entity Code ; Age Band Code ; Sex Code </v>
      </c>
      <c r="N5013" s="345" t="s">
        <v>207</v>
      </c>
      <c r="O5013" s="345" t="s">
        <v>208</v>
      </c>
      <c r="P5013" s="345" t="s">
        <v>209</v>
      </c>
      <c r="Q5013" s="345" t="s">
        <v>210</v>
      </c>
      <c r="R5013" s="345" t="s">
        <v>223</v>
      </c>
      <c r="S5013" s="345" t="s">
        <v>224</v>
      </c>
    </row>
    <row r="5014" spans="1:19" x14ac:dyDescent="0.25">
      <c r="A5014" s="311"/>
      <c r="B5014" s="312"/>
      <c r="C5014" s="312"/>
      <c r="D5014" s="312"/>
      <c r="E5014" s="312"/>
      <c r="F5014" s="312"/>
      <c r="G5014" s="328"/>
      <c r="H5014" s="337"/>
      <c r="I5014" s="334"/>
      <c r="J5014" s="314"/>
      <c r="K5014" s="449"/>
      <c r="M5014" s="349" t="str">
        <f>N5014&amp;AS[[#This Row],[Insurer Code]]&amp;"; "&amp;O5014&amp;AS[[#This Row],[Reporting Year]]&amp;"; "&amp;P5014&amp;AS[[#This Row],[Insurance Category Code]]&amp;"; "&amp;Q5014&amp;AS[[#This Row],[Large Provider Entity Code]]&amp;"; "&amp;R5014&amp;AS[[#This Row],[Age Band Code]]&amp;"; "&amp;S5014&amp;AS[[#This Row],[Sex Code]]</f>
        <v xml:space="preserve">Insurer Code ; Reporting Year ; Insurance Category Code ; Large Provider Entity Code ; Age Band Code ; Sex Code </v>
      </c>
      <c r="N5014" s="345" t="s">
        <v>207</v>
      </c>
      <c r="O5014" s="345" t="s">
        <v>208</v>
      </c>
      <c r="P5014" s="345" t="s">
        <v>209</v>
      </c>
      <c r="Q5014" s="345" t="s">
        <v>210</v>
      </c>
      <c r="R5014" s="345" t="s">
        <v>223</v>
      </c>
      <c r="S5014" s="345" t="s">
        <v>224</v>
      </c>
    </row>
    <row r="5015" spans="1:19" x14ac:dyDescent="0.25">
      <c r="A5015" s="311"/>
      <c r="B5015" s="312"/>
      <c r="C5015" s="312"/>
      <c r="D5015" s="312"/>
      <c r="E5015" s="312"/>
      <c r="F5015" s="312"/>
      <c r="G5015" s="328"/>
      <c r="H5015" s="337"/>
      <c r="I5015" s="334"/>
      <c r="J5015" s="314"/>
      <c r="K5015" s="449"/>
      <c r="M5015" s="349" t="str">
        <f>N5015&amp;AS[[#This Row],[Insurer Code]]&amp;"; "&amp;O5015&amp;AS[[#This Row],[Reporting Year]]&amp;"; "&amp;P5015&amp;AS[[#This Row],[Insurance Category Code]]&amp;"; "&amp;Q5015&amp;AS[[#This Row],[Large Provider Entity Code]]&amp;"; "&amp;R5015&amp;AS[[#This Row],[Age Band Code]]&amp;"; "&amp;S5015&amp;AS[[#This Row],[Sex Code]]</f>
        <v xml:space="preserve">Insurer Code ; Reporting Year ; Insurance Category Code ; Large Provider Entity Code ; Age Band Code ; Sex Code </v>
      </c>
      <c r="N5015" s="345" t="s">
        <v>207</v>
      </c>
      <c r="O5015" s="345" t="s">
        <v>208</v>
      </c>
      <c r="P5015" s="345" t="s">
        <v>209</v>
      </c>
      <c r="Q5015" s="345" t="s">
        <v>210</v>
      </c>
      <c r="R5015" s="345" t="s">
        <v>223</v>
      </c>
      <c r="S5015" s="345" t="s">
        <v>224</v>
      </c>
    </row>
    <row r="5016" spans="1:19" x14ac:dyDescent="0.25">
      <c r="A5016" s="311"/>
      <c r="B5016" s="312"/>
      <c r="C5016" s="312"/>
      <c r="D5016" s="312"/>
      <c r="E5016" s="312"/>
      <c r="F5016" s="312"/>
      <c r="G5016" s="328"/>
      <c r="H5016" s="337"/>
      <c r="I5016" s="334"/>
      <c r="J5016" s="314"/>
      <c r="K5016" s="449"/>
      <c r="M5016" s="349" t="str">
        <f>N5016&amp;AS[[#This Row],[Insurer Code]]&amp;"; "&amp;O5016&amp;AS[[#This Row],[Reporting Year]]&amp;"; "&amp;P5016&amp;AS[[#This Row],[Insurance Category Code]]&amp;"; "&amp;Q5016&amp;AS[[#This Row],[Large Provider Entity Code]]&amp;"; "&amp;R5016&amp;AS[[#This Row],[Age Band Code]]&amp;"; "&amp;S5016&amp;AS[[#This Row],[Sex Code]]</f>
        <v xml:space="preserve">Insurer Code ; Reporting Year ; Insurance Category Code ; Large Provider Entity Code ; Age Band Code ; Sex Code </v>
      </c>
      <c r="N5016" s="345" t="s">
        <v>207</v>
      </c>
      <c r="O5016" s="345" t="s">
        <v>208</v>
      </c>
      <c r="P5016" s="345" t="s">
        <v>209</v>
      </c>
      <c r="Q5016" s="345" t="s">
        <v>210</v>
      </c>
      <c r="R5016" s="345" t="s">
        <v>223</v>
      </c>
      <c r="S5016" s="345" t="s">
        <v>224</v>
      </c>
    </row>
    <row r="5017" spans="1:19" x14ac:dyDescent="0.25">
      <c r="A5017" s="311"/>
      <c r="B5017" s="312"/>
      <c r="C5017" s="312"/>
      <c r="D5017" s="312"/>
      <c r="E5017" s="312"/>
      <c r="F5017" s="312"/>
      <c r="G5017" s="328"/>
      <c r="H5017" s="337"/>
      <c r="I5017" s="334"/>
      <c r="J5017" s="314"/>
      <c r="K5017" s="449"/>
      <c r="M5017" s="349" t="str">
        <f>N5017&amp;AS[[#This Row],[Insurer Code]]&amp;"; "&amp;O5017&amp;AS[[#This Row],[Reporting Year]]&amp;"; "&amp;P5017&amp;AS[[#This Row],[Insurance Category Code]]&amp;"; "&amp;Q5017&amp;AS[[#This Row],[Large Provider Entity Code]]&amp;"; "&amp;R5017&amp;AS[[#This Row],[Age Band Code]]&amp;"; "&amp;S5017&amp;AS[[#This Row],[Sex Code]]</f>
        <v xml:space="preserve">Insurer Code ; Reporting Year ; Insurance Category Code ; Large Provider Entity Code ; Age Band Code ; Sex Code </v>
      </c>
      <c r="N5017" s="345" t="s">
        <v>207</v>
      </c>
      <c r="O5017" s="345" t="s">
        <v>208</v>
      </c>
      <c r="P5017" s="345" t="s">
        <v>209</v>
      </c>
      <c r="Q5017" s="345" t="s">
        <v>210</v>
      </c>
      <c r="R5017" s="345" t="s">
        <v>223</v>
      </c>
      <c r="S5017" s="345" t="s">
        <v>224</v>
      </c>
    </row>
    <row r="5018" spans="1:19" x14ac:dyDescent="0.25">
      <c r="A5018" s="311"/>
      <c r="B5018" s="312"/>
      <c r="C5018" s="312"/>
      <c r="D5018" s="312"/>
      <c r="E5018" s="312"/>
      <c r="F5018" s="312"/>
      <c r="G5018" s="328"/>
      <c r="H5018" s="337"/>
      <c r="I5018" s="334"/>
      <c r="J5018" s="314"/>
      <c r="K5018" s="449"/>
      <c r="M5018" s="349" t="str">
        <f>N5018&amp;AS[[#This Row],[Insurer Code]]&amp;"; "&amp;O5018&amp;AS[[#This Row],[Reporting Year]]&amp;"; "&amp;P5018&amp;AS[[#This Row],[Insurance Category Code]]&amp;"; "&amp;Q5018&amp;AS[[#This Row],[Large Provider Entity Code]]&amp;"; "&amp;R5018&amp;AS[[#This Row],[Age Band Code]]&amp;"; "&amp;S5018&amp;AS[[#This Row],[Sex Code]]</f>
        <v xml:space="preserve">Insurer Code ; Reporting Year ; Insurance Category Code ; Large Provider Entity Code ; Age Band Code ; Sex Code </v>
      </c>
      <c r="N5018" s="345" t="s">
        <v>207</v>
      </c>
      <c r="O5018" s="345" t="s">
        <v>208</v>
      </c>
      <c r="P5018" s="345" t="s">
        <v>209</v>
      </c>
      <c r="Q5018" s="345" t="s">
        <v>210</v>
      </c>
      <c r="R5018" s="345" t="s">
        <v>223</v>
      </c>
      <c r="S5018" s="345" t="s">
        <v>224</v>
      </c>
    </row>
    <row r="5019" spans="1:19" x14ac:dyDescent="0.25">
      <c r="A5019" s="311"/>
      <c r="B5019" s="312"/>
      <c r="C5019" s="312"/>
      <c r="D5019" s="312"/>
      <c r="E5019" s="312"/>
      <c r="F5019" s="312"/>
      <c r="G5019" s="328"/>
      <c r="H5019" s="337"/>
      <c r="I5019" s="334"/>
      <c r="J5019" s="314"/>
      <c r="K5019" s="449"/>
      <c r="M5019" s="349" t="str">
        <f>N5019&amp;AS[[#This Row],[Insurer Code]]&amp;"; "&amp;O5019&amp;AS[[#This Row],[Reporting Year]]&amp;"; "&amp;P5019&amp;AS[[#This Row],[Insurance Category Code]]&amp;"; "&amp;Q5019&amp;AS[[#This Row],[Large Provider Entity Code]]&amp;"; "&amp;R5019&amp;AS[[#This Row],[Age Band Code]]&amp;"; "&amp;S5019&amp;AS[[#This Row],[Sex Code]]</f>
        <v xml:space="preserve">Insurer Code ; Reporting Year ; Insurance Category Code ; Large Provider Entity Code ; Age Band Code ; Sex Code </v>
      </c>
      <c r="N5019" s="345" t="s">
        <v>207</v>
      </c>
      <c r="O5019" s="345" t="s">
        <v>208</v>
      </c>
      <c r="P5019" s="345" t="s">
        <v>209</v>
      </c>
      <c r="Q5019" s="345" t="s">
        <v>210</v>
      </c>
      <c r="R5019" s="345" t="s">
        <v>223</v>
      </c>
      <c r="S5019" s="345" t="s">
        <v>224</v>
      </c>
    </row>
    <row r="5020" spans="1:19" x14ac:dyDescent="0.25">
      <c r="A5020" s="311"/>
      <c r="B5020" s="312"/>
      <c r="C5020" s="312"/>
      <c r="D5020" s="312"/>
      <c r="E5020" s="312"/>
      <c r="F5020" s="312"/>
      <c r="G5020" s="328"/>
      <c r="H5020" s="337"/>
      <c r="I5020" s="334"/>
      <c r="J5020" s="314"/>
      <c r="K5020" s="449"/>
      <c r="M5020" s="349" t="str">
        <f>N5020&amp;AS[[#This Row],[Insurer Code]]&amp;"; "&amp;O5020&amp;AS[[#This Row],[Reporting Year]]&amp;"; "&amp;P5020&amp;AS[[#This Row],[Insurance Category Code]]&amp;"; "&amp;Q5020&amp;AS[[#This Row],[Large Provider Entity Code]]&amp;"; "&amp;R5020&amp;AS[[#This Row],[Age Band Code]]&amp;"; "&amp;S5020&amp;AS[[#This Row],[Sex Code]]</f>
        <v xml:space="preserve">Insurer Code ; Reporting Year ; Insurance Category Code ; Large Provider Entity Code ; Age Band Code ; Sex Code </v>
      </c>
      <c r="N5020" s="345" t="s">
        <v>207</v>
      </c>
      <c r="O5020" s="345" t="s">
        <v>208</v>
      </c>
      <c r="P5020" s="345" t="s">
        <v>209</v>
      </c>
      <c r="Q5020" s="345" t="s">
        <v>210</v>
      </c>
      <c r="R5020" s="345" t="s">
        <v>223</v>
      </c>
      <c r="S5020" s="345" t="s">
        <v>224</v>
      </c>
    </row>
    <row r="5021" spans="1:19" x14ac:dyDescent="0.25">
      <c r="A5021" s="311"/>
      <c r="B5021" s="312"/>
      <c r="C5021" s="312"/>
      <c r="D5021" s="312"/>
      <c r="E5021" s="312"/>
      <c r="F5021" s="312"/>
      <c r="G5021" s="328"/>
      <c r="H5021" s="337"/>
      <c r="I5021" s="334"/>
      <c r="J5021" s="314"/>
      <c r="K5021" s="449"/>
      <c r="M5021" s="349" t="str">
        <f>N5021&amp;AS[[#This Row],[Insurer Code]]&amp;"; "&amp;O5021&amp;AS[[#This Row],[Reporting Year]]&amp;"; "&amp;P5021&amp;AS[[#This Row],[Insurance Category Code]]&amp;"; "&amp;Q5021&amp;AS[[#This Row],[Large Provider Entity Code]]&amp;"; "&amp;R5021&amp;AS[[#This Row],[Age Band Code]]&amp;"; "&amp;S5021&amp;AS[[#This Row],[Sex Code]]</f>
        <v xml:space="preserve">Insurer Code ; Reporting Year ; Insurance Category Code ; Large Provider Entity Code ; Age Band Code ; Sex Code </v>
      </c>
      <c r="N5021" s="345" t="s">
        <v>207</v>
      </c>
      <c r="O5021" s="345" t="s">
        <v>208</v>
      </c>
      <c r="P5021" s="345" t="s">
        <v>209</v>
      </c>
      <c r="Q5021" s="345" t="s">
        <v>210</v>
      </c>
      <c r="R5021" s="345" t="s">
        <v>223</v>
      </c>
      <c r="S5021" s="345" t="s">
        <v>224</v>
      </c>
    </row>
    <row r="5022" spans="1:19" x14ac:dyDescent="0.25">
      <c r="A5022" s="311"/>
      <c r="B5022" s="312"/>
      <c r="C5022" s="312"/>
      <c r="D5022" s="312"/>
      <c r="E5022" s="312"/>
      <c r="F5022" s="312"/>
      <c r="G5022" s="328"/>
      <c r="H5022" s="337"/>
      <c r="I5022" s="334"/>
      <c r="J5022" s="314"/>
      <c r="K5022" s="449"/>
      <c r="M5022" s="349" t="str">
        <f>N5022&amp;AS[[#This Row],[Insurer Code]]&amp;"; "&amp;O5022&amp;AS[[#This Row],[Reporting Year]]&amp;"; "&amp;P5022&amp;AS[[#This Row],[Insurance Category Code]]&amp;"; "&amp;Q5022&amp;AS[[#This Row],[Large Provider Entity Code]]&amp;"; "&amp;R5022&amp;AS[[#This Row],[Age Band Code]]&amp;"; "&amp;S5022&amp;AS[[#This Row],[Sex Code]]</f>
        <v xml:space="preserve">Insurer Code ; Reporting Year ; Insurance Category Code ; Large Provider Entity Code ; Age Band Code ; Sex Code </v>
      </c>
      <c r="N5022" s="345" t="s">
        <v>207</v>
      </c>
      <c r="O5022" s="345" t="s">
        <v>208</v>
      </c>
      <c r="P5022" s="345" t="s">
        <v>209</v>
      </c>
      <c r="Q5022" s="345" t="s">
        <v>210</v>
      </c>
      <c r="R5022" s="345" t="s">
        <v>223</v>
      </c>
      <c r="S5022" s="345" t="s">
        <v>224</v>
      </c>
    </row>
    <row r="5023" spans="1:19" x14ac:dyDescent="0.25">
      <c r="A5023" s="311"/>
      <c r="B5023" s="312"/>
      <c r="C5023" s="312"/>
      <c r="D5023" s="312"/>
      <c r="E5023" s="312"/>
      <c r="F5023" s="312"/>
      <c r="G5023" s="328"/>
      <c r="H5023" s="337"/>
      <c r="I5023" s="334"/>
      <c r="J5023" s="314"/>
      <c r="K5023" s="449"/>
      <c r="M5023" s="349" t="str">
        <f>N5023&amp;AS[[#This Row],[Insurer Code]]&amp;"; "&amp;O5023&amp;AS[[#This Row],[Reporting Year]]&amp;"; "&amp;P5023&amp;AS[[#This Row],[Insurance Category Code]]&amp;"; "&amp;Q5023&amp;AS[[#This Row],[Large Provider Entity Code]]&amp;"; "&amp;R5023&amp;AS[[#This Row],[Age Band Code]]&amp;"; "&amp;S5023&amp;AS[[#This Row],[Sex Code]]</f>
        <v xml:space="preserve">Insurer Code ; Reporting Year ; Insurance Category Code ; Large Provider Entity Code ; Age Band Code ; Sex Code </v>
      </c>
      <c r="N5023" s="345" t="s">
        <v>207</v>
      </c>
      <c r="O5023" s="345" t="s">
        <v>208</v>
      </c>
      <c r="P5023" s="345" t="s">
        <v>209</v>
      </c>
      <c r="Q5023" s="345" t="s">
        <v>210</v>
      </c>
      <c r="R5023" s="345" t="s">
        <v>223</v>
      </c>
      <c r="S5023" s="345" t="s">
        <v>224</v>
      </c>
    </row>
    <row r="5024" spans="1:19" x14ac:dyDescent="0.25">
      <c r="A5024" s="311"/>
      <c r="B5024" s="312"/>
      <c r="C5024" s="312"/>
      <c r="D5024" s="312"/>
      <c r="E5024" s="312"/>
      <c r="F5024" s="312"/>
      <c r="G5024" s="328"/>
      <c r="H5024" s="337"/>
      <c r="I5024" s="334"/>
      <c r="J5024" s="314"/>
      <c r="K5024" s="449"/>
      <c r="M5024" s="349" t="str">
        <f>N5024&amp;AS[[#This Row],[Insurer Code]]&amp;"; "&amp;O5024&amp;AS[[#This Row],[Reporting Year]]&amp;"; "&amp;P5024&amp;AS[[#This Row],[Insurance Category Code]]&amp;"; "&amp;Q5024&amp;AS[[#This Row],[Large Provider Entity Code]]&amp;"; "&amp;R5024&amp;AS[[#This Row],[Age Band Code]]&amp;"; "&amp;S5024&amp;AS[[#This Row],[Sex Code]]</f>
        <v xml:space="preserve">Insurer Code ; Reporting Year ; Insurance Category Code ; Large Provider Entity Code ; Age Band Code ; Sex Code </v>
      </c>
      <c r="N5024" s="345" t="s">
        <v>207</v>
      </c>
      <c r="O5024" s="345" t="s">
        <v>208</v>
      </c>
      <c r="P5024" s="345" t="s">
        <v>209</v>
      </c>
      <c r="Q5024" s="345" t="s">
        <v>210</v>
      </c>
      <c r="R5024" s="345" t="s">
        <v>223</v>
      </c>
      <c r="S5024" s="345" t="s">
        <v>224</v>
      </c>
    </row>
    <row r="5025" spans="1:19" x14ac:dyDescent="0.25">
      <c r="A5025" s="311"/>
      <c r="B5025" s="312"/>
      <c r="C5025" s="312"/>
      <c r="D5025" s="312"/>
      <c r="E5025" s="312"/>
      <c r="F5025" s="312"/>
      <c r="G5025" s="328"/>
      <c r="H5025" s="337"/>
      <c r="I5025" s="334"/>
      <c r="J5025" s="314"/>
      <c r="K5025" s="449"/>
      <c r="M5025" s="349" t="str">
        <f>N5025&amp;AS[[#This Row],[Insurer Code]]&amp;"; "&amp;O5025&amp;AS[[#This Row],[Reporting Year]]&amp;"; "&amp;P5025&amp;AS[[#This Row],[Insurance Category Code]]&amp;"; "&amp;Q5025&amp;AS[[#This Row],[Large Provider Entity Code]]&amp;"; "&amp;R5025&amp;AS[[#This Row],[Age Band Code]]&amp;"; "&amp;S5025&amp;AS[[#This Row],[Sex Code]]</f>
        <v xml:space="preserve">Insurer Code ; Reporting Year ; Insurance Category Code ; Large Provider Entity Code ; Age Band Code ; Sex Code </v>
      </c>
      <c r="N5025" s="345" t="s">
        <v>207</v>
      </c>
      <c r="O5025" s="345" t="s">
        <v>208</v>
      </c>
      <c r="P5025" s="345" t="s">
        <v>209</v>
      </c>
      <c r="Q5025" s="345" t="s">
        <v>210</v>
      </c>
      <c r="R5025" s="345" t="s">
        <v>223</v>
      </c>
      <c r="S5025" s="345" t="s">
        <v>224</v>
      </c>
    </row>
    <row r="5026" spans="1:19" x14ac:dyDescent="0.25">
      <c r="A5026" s="311"/>
      <c r="B5026" s="312"/>
      <c r="C5026" s="312"/>
      <c r="D5026" s="312"/>
      <c r="E5026" s="312"/>
      <c r="F5026" s="312"/>
      <c r="G5026" s="328"/>
      <c r="H5026" s="337"/>
      <c r="I5026" s="334"/>
      <c r="J5026" s="314"/>
      <c r="K5026" s="449"/>
      <c r="M5026" s="349" t="str">
        <f>N5026&amp;AS[[#This Row],[Insurer Code]]&amp;"; "&amp;O5026&amp;AS[[#This Row],[Reporting Year]]&amp;"; "&amp;P5026&amp;AS[[#This Row],[Insurance Category Code]]&amp;"; "&amp;Q5026&amp;AS[[#This Row],[Large Provider Entity Code]]&amp;"; "&amp;R5026&amp;AS[[#This Row],[Age Band Code]]&amp;"; "&amp;S5026&amp;AS[[#This Row],[Sex Code]]</f>
        <v xml:space="preserve">Insurer Code ; Reporting Year ; Insurance Category Code ; Large Provider Entity Code ; Age Band Code ; Sex Code </v>
      </c>
      <c r="N5026" s="345" t="s">
        <v>207</v>
      </c>
      <c r="O5026" s="345" t="s">
        <v>208</v>
      </c>
      <c r="P5026" s="345" t="s">
        <v>209</v>
      </c>
      <c r="Q5026" s="345" t="s">
        <v>210</v>
      </c>
      <c r="R5026" s="345" t="s">
        <v>223</v>
      </c>
      <c r="S5026" s="345" t="s">
        <v>224</v>
      </c>
    </row>
    <row r="5027" spans="1:19" x14ac:dyDescent="0.25">
      <c r="A5027" s="311"/>
      <c r="B5027" s="312"/>
      <c r="C5027" s="312"/>
      <c r="D5027" s="312"/>
      <c r="E5027" s="312"/>
      <c r="F5027" s="312"/>
      <c r="G5027" s="328"/>
      <c r="H5027" s="337"/>
      <c r="I5027" s="334"/>
      <c r="J5027" s="314"/>
      <c r="K5027" s="449"/>
      <c r="M5027" s="349" t="str">
        <f>N5027&amp;AS[[#This Row],[Insurer Code]]&amp;"; "&amp;O5027&amp;AS[[#This Row],[Reporting Year]]&amp;"; "&amp;P5027&amp;AS[[#This Row],[Insurance Category Code]]&amp;"; "&amp;Q5027&amp;AS[[#This Row],[Large Provider Entity Code]]&amp;"; "&amp;R5027&amp;AS[[#This Row],[Age Band Code]]&amp;"; "&amp;S5027&amp;AS[[#This Row],[Sex Code]]</f>
        <v xml:space="preserve">Insurer Code ; Reporting Year ; Insurance Category Code ; Large Provider Entity Code ; Age Band Code ; Sex Code </v>
      </c>
      <c r="N5027" s="345" t="s">
        <v>207</v>
      </c>
      <c r="O5027" s="345" t="s">
        <v>208</v>
      </c>
      <c r="P5027" s="345" t="s">
        <v>209</v>
      </c>
      <c r="Q5027" s="345" t="s">
        <v>210</v>
      </c>
      <c r="R5027" s="345" t="s">
        <v>223</v>
      </c>
      <c r="S5027" s="345" t="s">
        <v>224</v>
      </c>
    </row>
    <row r="5028" spans="1:19" x14ac:dyDescent="0.25">
      <c r="A5028" s="311"/>
      <c r="B5028" s="312"/>
      <c r="C5028" s="312"/>
      <c r="D5028" s="312"/>
      <c r="E5028" s="312"/>
      <c r="F5028" s="312"/>
      <c r="G5028" s="328"/>
      <c r="H5028" s="337"/>
      <c r="I5028" s="334"/>
      <c r="J5028" s="314"/>
      <c r="K5028" s="449"/>
      <c r="M5028" s="349" t="str">
        <f>N5028&amp;AS[[#This Row],[Insurer Code]]&amp;"; "&amp;O5028&amp;AS[[#This Row],[Reporting Year]]&amp;"; "&amp;P5028&amp;AS[[#This Row],[Insurance Category Code]]&amp;"; "&amp;Q5028&amp;AS[[#This Row],[Large Provider Entity Code]]&amp;"; "&amp;R5028&amp;AS[[#This Row],[Age Band Code]]&amp;"; "&amp;S5028&amp;AS[[#This Row],[Sex Code]]</f>
        <v xml:space="preserve">Insurer Code ; Reporting Year ; Insurance Category Code ; Large Provider Entity Code ; Age Band Code ; Sex Code </v>
      </c>
      <c r="N5028" s="345" t="s">
        <v>207</v>
      </c>
      <c r="O5028" s="345" t="s">
        <v>208</v>
      </c>
      <c r="P5028" s="345" t="s">
        <v>209</v>
      </c>
      <c r="Q5028" s="345" t="s">
        <v>210</v>
      </c>
      <c r="R5028" s="345" t="s">
        <v>223</v>
      </c>
      <c r="S5028" s="345" t="s">
        <v>224</v>
      </c>
    </row>
    <row r="5029" spans="1:19" x14ac:dyDescent="0.25">
      <c r="A5029" s="311"/>
      <c r="B5029" s="312"/>
      <c r="C5029" s="312"/>
      <c r="D5029" s="312"/>
      <c r="E5029" s="312"/>
      <c r="F5029" s="312"/>
      <c r="G5029" s="328"/>
      <c r="H5029" s="337"/>
      <c r="I5029" s="334"/>
      <c r="J5029" s="314"/>
      <c r="K5029" s="449"/>
      <c r="M5029" s="349" t="str">
        <f>N5029&amp;AS[[#This Row],[Insurer Code]]&amp;"; "&amp;O5029&amp;AS[[#This Row],[Reporting Year]]&amp;"; "&amp;P5029&amp;AS[[#This Row],[Insurance Category Code]]&amp;"; "&amp;Q5029&amp;AS[[#This Row],[Large Provider Entity Code]]&amp;"; "&amp;R5029&amp;AS[[#This Row],[Age Band Code]]&amp;"; "&amp;S5029&amp;AS[[#This Row],[Sex Code]]</f>
        <v xml:space="preserve">Insurer Code ; Reporting Year ; Insurance Category Code ; Large Provider Entity Code ; Age Band Code ; Sex Code </v>
      </c>
      <c r="N5029" s="345" t="s">
        <v>207</v>
      </c>
      <c r="O5029" s="345" t="s">
        <v>208</v>
      </c>
      <c r="P5029" s="345" t="s">
        <v>209</v>
      </c>
      <c r="Q5029" s="345" t="s">
        <v>210</v>
      </c>
      <c r="R5029" s="345" t="s">
        <v>223</v>
      </c>
      <c r="S5029" s="345" t="s">
        <v>224</v>
      </c>
    </row>
    <row r="5030" spans="1:19" x14ac:dyDescent="0.25">
      <c r="A5030" s="311"/>
      <c r="B5030" s="312"/>
      <c r="C5030" s="312"/>
      <c r="D5030" s="312"/>
      <c r="E5030" s="312"/>
      <c r="F5030" s="312"/>
      <c r="G5030" s="328"/>
      <c r="H5030" s="337"/>
      <c r="I5030" s="334"/>
      <c r="J5030" s="314"/>
      <c r="K5030" s="449"/>
      <c r="M5030" s="349" t="str">
        <f>N5030&amp;AS[[#This Row],[Insurer Code]]&amp;"; "&amp;O5030&amp;AS[[#This Row],[Reporting Year]]&amp;"; "&amp;P5030&amp;AS[[#This Row],[Insurance Category Code]]&amp;"; "&amp;Q5030&amp;AS[[#This Row],[Large Provider Entity Code]]&amp;"; "&amp;R5030&amp;AS[[#This Row],[Age Band Code]]&amp;"; "&amp;S5030&amp;AS[[#This Row],[Sex Code]]</f>
        <v xml:space="preserve">Insurer Code ; Reporting Year ; Insurance Category Code ; Large Provider Entity Code ; Age Band Code ; Sex Code </v>
      </c>
      <c r="N5030" s="345" t="s">
        <v>207</v>
      </c>
      <c r="O5030" s="345" t="s">
        <v>208</v>
      </c>
      <c r="P5030" s="345" t="s">
        <v>209</v>
      </c>
      <c r="Q5030" s="345" t="s">
        <v>210</v>
      </c>
      <c r="R5030" s="345" t="s">
        <v>223</v>
      </c>
      <c r="S5030" s="345" t="s">
        <v>224</v>
      </c>
    </row>
    <row r="5031" spans="1:19" x14ac:dyDescent="0.25">
      <c r="A5031" s="311"/>
      <c r="B5031" s="312"/>
      <c r="C5031" s="312"/>
      <c r="D5031" s="312"/>
      <c r="E5031" s="312"/>
      <c r="F5031" s="312"/>
      <c r="G5031" s="328"/>
      <c r="H5031" s="337"/>
      <c r="I5031" s="334"/>
      <c r="J5031" s="314"/>
      <c r="K5031" s="449"/>
      <c r="M5031" s="349" t="str">
        <f>N5031&amp;AS[[#This Row],[Insurer Code]]&amp;"; "&amp;O5031&amp;AS[[#This Row],[Reporting Year]]&amp;"; "&amp;P5031&amp;AS[[#This Row],[Insurance Category Code]]&amp;"; "&amp;Q5031&amp;AS[[#This Row],[Large Provider Entity Code]]&amp;"; "&amp;R5031&amp;AS[[#This Row],[Age Band Code]]&amp;"; "&amp;S5031&amp;AS[[#This Row],[Sex Code]]</f>
        <v xml:space="preserve">Insurer Code ; Reporting Year ; Insurance Category Code ; Large Provider Entity Code ; Age Band Code ; Sex Code </v>
      </c>
      <c r="N5031" s="345" t="s">
        <v>207</v>
      </c>
      <c r="O5031" s="345" t="s">
        <v>208</v>
      </c>
      <c r="P5031" s="345" t="s">
        <v>209</v>
      </c>
      <c r="Q5031" s="345" t="s">
        <v>210</v>
      </c>
      <c r="R5031" s="345" t="s">
        <v>223</v>
      </c>
      <c r="S5031" s="345" t="s">
        <v>224</v>
      </c>
    </row>
    <row r="5032" spans="1:19" x14ac:dyDescent="0.25">
      <c r="A5032" s="311"/>
      <c r="B5032" s="312"/>
      <c r="C5032" s="312"/>
      <c r="D5032" s="312"/>
      <c r="E5032" s="312"/>
      <c r="F5032" s="312"/>
      <c r="G5032" s="328"/>
      <c r="H5032" s="337"/>
      <c r="I5032" s="334"/>
      <c r="J5032" s="314"/>
      <c r="K5032" s="449"/>
      <c r="M5032" s="349" t="str">
        <f>N5032&amp;AS[[#This Row],[Insurer Code]]&amp;"; "&amp;O5032&amp;AS[[#This Row],[Reporting Year]]&amp;"; "&amp;P5032&amp;AS[[#This Row],[Insurance Category Code]]&amp;"; "&amp;Q5032&amp;AS[[#This Row],[Large Provider Entity Code]]&amp;"; "&amp;R5032&amp;AS[[#This Row],[Age Band Code]]&amp;"; "&amp;S5032&amp;AS[[#This Row],[Sex Code]]</f>
        <v xml:space="preserve">Insurer Code ; Reporting Year ; Insurance Category Code ; Large Provider Entity Code ; Age Band Code ; Sex Code </v>
      </c>
      <c r="N5032" s="345" t="s">
        <v>207</v>
      </c>
      <c r="O5032" s="345" t="s">
        <v>208</v>
      </c>
      <c r="P5032" s="345" t="s">
        <v>209</v>
      </c>
      <c r="Q5032" s="345" t="s">
        <v>210</v>
      </c>
      <c r="R5032" s="345" t="s">
        <v>223</v>
      </c>
      <c r="S5032" s="345" t="s">
        <v>224</v>
      </c>
    </row>
    <row r="5033" spans="1:19" x14ac:dyDescent="0.25">
      <c r="A5033" s="311"/>
      <c r="B5033" s="312"/>
      <c r="C5033" s="312"/>
      <c r="D5033" s="312"/>
      <c r="E5033" s="312"/>
      <c r="F5033" s="312"/>
      <c r="G5033" s="328"/>
      <c r="H5033" s="337"/>
      <c r="I5033" s="334"/>
      <c r="J5033" s="314"/>
      <c r="K5033" s="449"/>
      <c r="M5033" s="349" t="str">
        <f>N5033&amp;AS[[#This Row],[Insurer Code]]&amp;"; "&amp;O5033&amp;AS[[#This Row],[Reporting Year]]&amp;"; "&amp;P5033&amp;AS[[#This Row],[Insurance Category Code]]&amp;"; "&amp;Q5033&amp;AS[[#This Row],[Large Provider Entity Code]]&amp;"; "&amp;R5033&amp;AS[[#This Row],[Age Band Code]]&amp;"; "&amp;S5033&amp;AS[[#This Row],[Sex Code]]</f>
        <v xml:space="preserve">Insurer Code ; Reporting Year ; Insurance Category Code ; Large Provider Entity Code ; Age Band Code ; Sex Code </v>
      </c>
      <c r="N5033" s="345" t="s">
        <v>207</v>
      </c>
      <c r="O5033" s="345" t="s">
        <v>208</v>
      </c>
      <c r="P5033" s="345" t="s">
        <v>209</v>
      </c>
      <c r="Q5033" s="345" t="s">
        <v>210</v>
      </c>
      <c r="R5033" s="345" t="s">
        <v>223</v>
      </c>
      <c r="S5033" s="345" t="s">
        <v>224</v>
      </c>
    </row>
    <row r="5034" spans="1:19" x14ac:dyDescent="0.25">
      <c r="A5034" s="311"/>
      <c r="B5034" s="312"/>
      <c r="C5034" s="312"/>
      <c r="D5034" s="312"/>
      <c r="E5034" s="312"/>
      <c r="F5034" s="312"/>
      <c r="G5034" s="328"/>
      <c r="H5034" s="337"/>
      <c r="I5034" s="334"/>
      <c r="J5034" s="314"/>
      <c r="K5034" s="449"/>
      <c r="M5034" s="349" t="str">
        <f>N5034&amp;AS[[#This Row],[Insurer Code]]&amp;"; "&amp;O5034&amp;AS[[#This Row],[Reporting Year]]&amp;"; "&amp;P5034&amp;AS[[#This Row],[Insurance Category Code]]&amp;"; "&amp;Q5034&amp;AS[[#This Row],[Large Provider Entity Code]]&amp;"; "&amp;R5034&amp;AS[[#This Row],[Age Band Code]]&amp;"; "&amp;S5034&amp;AS[[#This Row],[Sex Code]]</f>
        <v xml:space="preserve">Insurer Code ; Reporting Year ; Insurance Category Code ; Large Provider Entity Code ; Age Band Code ; Sex Code </v>
      </c>
      <c r="N5034" s="345" t="s">
        <v>207</v>
      </c>
      <c r="O5034" s="345" t="s">
        <v>208</v>
      </c>
      <c r="P5034" s="345" t="s">
        <v>209</v>
      </c>
      <c r="Q5034" s="345" t="s">
        <v>210</v>
      </c>
      <c r="R5034" s="345" t="s">
        <v>223</v>
      </c>
      <c r="S5034" s="345" t="s">
        <v>224</v>
      </c>
    </row>
    <row r="5035" spans="1:19" x14ac:dyDescent="0.25">
      <c r="A5035" s="311"/>
      <c r="B5035" s="312"/>
      <c r="C5035" s="312"/>
      <c r="D5035" s="312"/>
      <c r="E5035" s="312"/>
      <c r="F5035" s="312"/>
      <c r="G5035" s="328"/>
      <c r="H5035" s="337"/>
      <c r="I5035" s="334"/>
      <c r="J5035" s="314"/>
      <c r="K5035" s="449"/>
      <c r="M5035" s="349" t="str">
        <f>N5035&amp;AS[[#This Row],[Insurer Code]]&amp;"; "&amp;O5035&amp;AS[[#This Row],[Reporting Year]]&amp;"; "&amp;P5035&amp;AS[[#This Row],[Insurance Category Code]]&amp;"; "&amp;Q5035&amp;AS[[#This Row],[Large Provider Entity Code]]&amp;"; "&amp;R5035&amp;AS[[#This Row],[Age Band Code]]&amp;"; "&amp;S5035&amp;AS[[#This Row],[Sex Code]]</f>
        <v xml:space="preserve">Insurer Code ; Reporting Year ; Insurance Category Code ; Large Provider Entity Code ; Age Band Code ; Sex Code </v>
      </c>
      <c r="N5035" s="345" t="s">
        <v>207</v>
      </c>
      <c r="O5035" s="345" t="s">
        <v>208</v>
      </c>
      <c r="P5035" s="345" t="s">
        <v>209</v>
      </c>
      <c r="Q5035" s="345" t="s">
        <v>210</v>
      </c>
      <c r="R5035" s="345" t="s">
        <v>223</v>
      </c>
      <c r="S5035" s="345" t="s">
        <v>224</v>
      </c>
    </row>
    <row r="5036" spans="1:19" x14ac:dyDescent="0.25">
      <c r="A5036" s="311"/>
      <c r="B5036" s="312"/>
      <c r="C5036" s="312"/>
      <c r="D5036" s="312"/>
      <c r="E5036" s="312"/>
      <c r="F5036" s="312"/>
      <c r="G5036" s="328"/>
      <c r="H5036" s="337"/>
      <c r="I5036" s="334"/>
      <c r="J5036" s="314"/>
      <c r="K5036" s="449"/>
      <c r="M5036" s="349" t="str">
        <f>N5036&amp;AS[[#This Row],[Insurer Code]]&amp;"; "&amp;O5036&amp;AS[[#This Row],[Reporting Year]]&amp;"; "&amp;P5036&amp;AS[[#This Row],[Insurance Category Code]]&amp;"; "&amp;Q5036&amp;AS[[#This Row],[Large Provider Entity Code]]&amp;"; "&amp;R5036&amp;AS[[#This Row],[Age Band Code]]&amp;"; "&amp;S5036&amp;AS[[#This Row],[Sex Code]]</f>
        <v xml:space="preserve">Insurer Code ; Reporting Year ; Insurance Category Code ; Large Provider Entity Code ; Age Band Code ; Sex Code </v>
      </c>
      <c r="N5036" s="345" t="s">
        <v>207</v>
      </c>
      <c r="O5036" s="345" t="s">
        <v>208</v>
      </c>
      <c r="P5036" s="345" t="s">
        <v>209</v>
      </c>
      <c r="Q5036" s="345" t="s">
        <v>210</v>
      </c>
      <c r="R5036" s="345" t="s">
        <v>223</v>
      </c>
      <c r="S5036" s="345" t="s">
        <v>224</v>
      </c>
    </row>
    <row r="5037" spans="1:19" x14ac:dyDescent="0.25">
      <c r="A5037" s="311"/>
      <c r="B5037" s="312"/>
      <c r="C5037" s="312"/>
      <c r="D5037" s="312"/>
      <c r="E5037" s="312"/>
      <c r="F5037" s="312"/>
      <c r="G5037" s="328"/>
      <c r="H5037" s="337"/>
      <c r="I5037" s="334"/>
      <c r="J5037" s="314"/>
      <c r="K5037" s="449"/>
      <c r="M5037" s="349" t="str">
        <f>N5037&amp;AS[[#This Row],[Insurer Code]]&amp;"; "&amp;O5037&amp;AS[[#This Row],[Reporting Year]]&amp;"; "&amp;P5037&amp;AS[[#This Row],[Insurance Category Code]]&amp;"; "&amp;Q5037&amp;AS[[#This Row],[Large Provider Entity Code]]&amp;"; "&amp;R5037&amp;AS[[#This Row],[Age Band Code]]&amp;"; "&amp;S5037&amp;AS[[#This Row],[Sex Code]]</f>
        <v xml:space="preserve">Insurer Code ; Reporting Year ; Insurance Category Code ; Large Provider Entity Code ; Age Band Code ; Sex Code </v>
      </c>
      <c r="N5037" s="345" t="s">
        <v>207</v>
      </c>
      <c r="O5037" s="345" t="s">
        <v>208</v>
      </c>
      <c r="P5037" s="345" t="s">
        <v>209</v>
      </c>
      <c r="Q5037" s="345" t="s">
        <v>210</v>
      </c>
      <c r="R5037" s="345" t="s">
        <v>223</v>
      </c>
      <c r="S5037" s="345" t="s">
        <v>224</v>
      </c>
    </row>
    <row r="5038" spans="1:19" x14ac:dyDescent="0.25">
      <c r="A5038" s="311"/>
      <c r="B5038" s="312"/>
      <c r="C5038" s="312"/>
      <c r="D5038" s="312"/>
      <c r="E5038" s="312"/>
      <c r="F5038" s="312"/>
      <c r="G5038" s="328"/>
      <c r="H5038" s="337"/>
      <c r="I5038" s="334"/>
      <c r="J5038" s="314"/>
      <c r="K5038" s="449"/>
      <c r="M5038" s="349" t="str">
        <f>N5038&amp;AS[[#This Row],[Insurer Code]]&amp;"; "&amp;O5038&amp;AS[[#This Row],[Reporting Year]]&amp;"; "&amp;P5038&amp;AS[[#This Row],[Insurance Category Code]]&amp;"; "&amp;Q5038&amp;AS[[#This Row],[Large Provider Entity Code]]&amp;"; "&amp;R5038&amp;AS[[#This Row],[Age Band Code]]&amp;"; "&amp;S5038&amp;AS[[#This Row],[Sex Code]]</f>
        <v xml:space="preserve">Insurer Code ; Reporting Year ; Insurance Category Code ; Large Provider Entity Code ; Age Band Code ; Sex Code </v>
      </c>
      <c r="N5038" s="345" t="s">
        <v>207</v>
      </c>
      <c r="O5038" s="345" t="s">
        <v>208</v>
      </c>
      <c r="P5038" s="345" t="s">
        <v>209</v>
      </c>
      <c r="Q5038" s="345" t="s">
        <v>210</v>
      </c>
      <c r="R5038" s="345" t="s">
        <v>223</v>
      </c>
      <c r="S5038" s="345" t="s">
        <v>224</v>
      </c>
    </row>
    <row r="5039" spans="1:19" x14ac:dyDescent="0.25">
      <c r="A5039" s="311"/>
      <c r="B5039" s="312"/>
      <c r="C5039" s="312"/>
      <c r="D5039" s="312"/>
      <c r="E5039" s="312"/>
      <c r="F5039" s="312"/>
      <c r="G5039" s="328"/>
      <c r="H5039" s="337"/>
      <c r="I5039" s="334"/>
      <c r="J5039" s="314"/>
      <c r="K5039" s="449"/>
      <c r="M5039" s="349" t="str">
        <f>N5039&amp;AS[[#This Row],[Insurer Code]]&amp;"; "&amp;O5039&amp;AS[[#This Row],[Reporting Year]]&amp;"; "&amp;P5039&amp;AS[[#This Row],[Insurance Category Code]]&amp;"; "&amp;Q5039&amp;AS[[#This Row],[Large Provider Entity Code]]&amp;"; "&amp;R5039&amp;AS[[#This Row],[Age Band Code]]&amp;"; "&amp;S5039&amp;AS[[#This Row],[Sex Code]]</f>
        <v xml:space="preserve">Insurer Code ; Reporting Year ; Insurance Category Code ; Large Provider Entity Code ; Age Band Code ; Sex Code </v>
      </c>
      <c r="N5039" s="345" t="s">
        <v>207</v>
      </c>
      <c r="O5039" s="345" t="s">
        <v>208</v>
      </c>
      <c r="P5039" s="345" t="s">
        <v>209</v>
      </c>
      <c r="Q5039" s="345" t="s">
        <v>210</v>
      </c>
      <c r="R5039" s="345" t="s">
        <v>223</v>
      </c>
      <c r="S5039" s="345" t="s">
        <v>224</v>
      </c>
    </row>
    <row r="5040" spans="1:19" x14ac:dyDescent="0.25">
      <c r="A5040" s="311"/>
      <c r="B5040" s="312"/>
      <c r="C5040" s="312"/>
      <c r="D5040" s="312"/>
      <c r="E5040" s="312"/>
      <c r="F5040" s="312"/>
      <c r="G5040" s="328"/>
      <c r="H5040" s="337"/>
      <c r="I5040" s="334"/>
      <c r="J5040" s="314"/>
      <c r="K5040" s="449"/>
      <c r="M5040" s="349" t="str">
        <f>N5040&amp;AS[[#This Row],[Insurer Code]]&amp;"; "&amp;O5040&amp;AS[[#This Row],[Reporting Year]]&amp;"; "&amp;P5040&amp;AS[[#This Row],[Insurance Category Code]]&amp;"; "&amp;Q5040&amp;AS[[#This Row],[Large Provider Entity Code]]&amp;"; "&amp;R5040&amp;AS[[#This Row],[Age Band Code]]&amp;"; "&amp;S5040&amp;AS[[#This Row],[Sex Code]]</f>
        <v xml:space="preserve">Insurer Code ; Reporting Year ; Insurance Category Code ; Large Provider Entity Code ; Age Band Code ; Sex Code </v>
      </c>
      <c r="N5040" s="345" t="s">
        <v>207</v>
      </c>
      <c r="O5040" s="345" t="s">
        <v>208</v>
      </c>
      <c r="P5040" s="345" t="s">
        <v>209</v>
      </c>
      <c r="Q5040" s="345" t="s">
        <v>210</v>
      </c>
      <c r="R5040" s="345" t="s">
        <v>223</v>
      </c>
      <c r="S5040" s="345" t="s">
        <v>224</v>
      </c>
    </row>
    <row r="5041" spans="1:19" x14ac:dyDescent="0.25">
      <c r="A5041" s="311"/>
      <c r="B5041" s="312"/>
      <c r="C5041" s="312"/>
      <c r="D5041" s="312"/>
      <c r="E5041" s="312"/>
      <c r="F5041" s="312"/>
      <c r="G5041" s="328"/>
      <c r="H5041" s="337"/>
      <c r="I5041" s="334"/>
      <c r="J5041" s="314"/>
      <c r="K5041" s="449"/>
      <c r="M5041" s="349" t="str">
        <f>N5041&amp;AS[[#This Row],[Insurer Code]]&amp;"; "&amp;O5041&amp;AS[[#This Row],[Reporting Year]]&amp;"; "&amp;P5041&amp;AS[[#This Row],[Insurance Category Code]]&amp;"; "&amp;Q5041&amp;AS[[#This Row],[Large Provider Entity Code]]&amp;"; "&amp;R5041&amp;AS[[#This Row],[Age Band Code]]&amp;"; "&amp;S5041&amp;AS[[#This Row],[Sex Code]]</f>
        <v xml:space="preserve">Insurer Code ; Reporting Year ; Insurance Category Code ; Large Provider Entity Code ; Age Band Code ; Sex Code </v>
      </c>
      <c r="N5041" s="345" t="s">
        <v>207</v>
      </c>
      <c r="O5041" s="345" t="s">
        <v>208</v>
      </c>
      <c r="P5041" s="345" t="s">
        <v>209</v>
      </c>
      <c r="Q5041" s="345" t="s">
        <v>210</v>
      </c>
      <c r="R5041" s="345" t="s">
        <v>223</v>
      </c>
      <c r="S5041" s="345" t="s">
        <v>224</v>
      </c>
    </row>
    <row r="5042" spans="1:19" x14ac:dyDescent="0.25">
      <c r="A5042" s="311"/>
      <c r="B5042" s="312"/>
      <c r="C5042" s="312"/>
      <c r="D5042" s="312"/>
      <c r="E5042" s="312"/>
      <c r="F5042" s="312"/>
      <c r="G5042" s="328"/>
      <c r="H5042" s="337"/>
      <c r="I5042" s="334"/>
      <c r="J5042" s="314"/>
      <c r="K5042" s="449"/>
      <c r="M5042" s="349" t="str">
        <f>N5042&amp;AS[[#This Row],[Insurer Code]]&amp;"; "&amp;O5042&amp;AS[[#This Row],[Reporting Year]]&amp;"; "&amp;P5042&amp;AS[[#This Row],[Insurance Category Code]]&amp;"; "&amp;Q5042&amp;AS[[#This Row],[Large Provider Entity Code]]&amp;"; "&amp;R5042&amp;AS[[#This Row],[Age Band Code]]&amp;"; "&amp;S5042&amp;AS[[#This Row],[Sex Code]]</f>
        <v xml:space="preserve">Insurer Code ; Reporting Year ; Insurance Category Code ; Large Provider Entity Code ; Age Band Code ; Sex Code </v>
      </c>
      <c r="N5042" s="345" t="s">
        <v>207</v>
      </c>
      <c r="O5042" s="345" t="s">
        <v>208</v>
      </c>
      <c r="P5042" s="345" t="s">
        <v>209</v>
      </c>
      <c r="Q5042" s="345" t="s">
        <v>210</v>
      </c>
      <c r="R5042" s="345" t="s">
        <v>223</v>
      </c>
      <c r="S5042" s="345" t="s">
        <v>224</v>
      </c>
    </row>
    <row r="5043" spans="1:19" x14ac:dyDescent="0.25">
      <c r="A5043" s="311"/>
      <c r="B5043" s="312"/>
      <c r="C5043" s="312"/>
      <c r="D5043" s="312"/>
      <c r="E5043" s="312"/>
      <c r="F5043" s="312"/>
      <c r="G5043" s="328"/>
      <c r="H5043" s="337"/>
      <c r="I5043" s="334"/>
      <c r="J5043" s="314"/>
      <c r="K5043" s="449"/>
      <c r="M5043" s="349" t="str">
        <f>N5043&amp;AS[[#This Row],[Insurer Code]]&amp;"; "&amp;O5043&amp;AS[[#This Row],[Reporting Year]]&amp;"; "&amp;P5043&amp;AS[[#This Row],[Insurance Category Code]]&amp;"; "&amp;Q5043&amp;AS[[#This Row],[Large Provider Entity Code]]&amp;"; "&amp;R5043&amp;AS[[#This Row],[Age Band Code]]&amp;"; "&amp;S5043&amp;AS[[#This Row],[Sex Code]]</f>
        <v xml:space="preserve">Insurer Code ; Reporting Year ; Insurance Category Code ; Large Provider Entity Code ; Age Band Code ; Sex Code </v>
      </c>
      <c r="N5043" s="345" t="s">
        <v>207</v>
      </c>
      <c r="O5043" s="345" t="s">
        <v>208</v>
      </c>
      <c r="P5043" s="345" t="s">
        <v>209</v>
      </c>
      <c r="Q5043" s="345" t="s">
        <v>210</v>
      </c>
      <c r="R5043" s="345" t="s">
        <v>223</v>
      </c>
      <c r="S5043" s="345" t="s">
        <v>224</v>
      </c>
    </row>
    <row r="5044" spans="1:19" x14ac:dyDescent="0.25">
      <c r="A5044" s="311"/>
      <c r="B5044" s="312"/>
      <c r="C5044" s="312"/>
      <c r="D5044" s="312"/>
      <c r="E5044" s="312"/>
      <c r="F5044" s="312"/>
      <c r="G5044" s="328"/>
      <c r="H5044" s="337"/>
      <c r="I5044" s="334"/>
      <c r="J5044" s="314"/>
      <c r="K5044" s="449"/>
      <c r="M5044" s="349" t="str">
        <f>N5044&amp;AS[[#This Row],[Insurer Code]]&amp;"; "&amp;O5044&amp;AS[[#This Row],[Reporting Year]]&amp;"; "&amp;P5044&amp;AS[[#This Row],[Insurance Category Code]]&amp;"; "&amp;Q5044&amp;AS[[#This Row],[Large Provider Entity Code]]&amp;"; "&amp;R5044&amp;AS[[#This Row],[Age Band Code]]&amp;"; "&amp;S5044&amp;AS[[#This Row],[Sex Code]]</f>
        <v xml:space="preserve">Insurer Code ; Reporting Year ; Insurance Category Code ; Large Provider Entity Code ; Age Band Code ; Sex Code </v>
      </c>
      <c r="N5044" s="345" t="s">
        <v>207</v>
      </c>
      <c r="O5044" s="345" t="s">
        <v>208</v>
      </c>
      <c r="P5044" s="345" t="s">
        <v>209</v>
      </c>
      <c r="Q5044" s="345" t="s">
        <v>210</v>
      </c>
      <c r="R5044" s="345" t="s">
        <v>223</v>
      </c>
      <c r="S5044" s="345" t="s">
        <v>224</v>
      </c>
    </row>
    <row r="5045" spans="1:19" x14ac:dyDescent="0.25">
      <c r="A5045" s="311"/>
      <c r="B5045" s="312"/>
      <c r="C5045" s="312"/>
      <c r="D5045" s="312"/>
      <c r="E5045" s="312"/>
      <c r="F5045" s="312"/>
      <c r="G5045" s="328"/>
      <c r="H5045" s="337"/>
      <c r="I5045" s="334"/>
      <c r="J5045" s="314"/>
      <c r="K5045" s="449"/>
      <c r="M5045" s="349" t="str">
        <f>N5045&amp;AS[[#This Row],[Insurer Code]]&amp;"; "&amp;O5045&amp;AS[[#This Row],[Reporting Year]]&amp;"; "&amp;P5045&amp;AS[[#This Row],[Insurance Category Code]]&amp;"; "&amp;Q5045&amp;AS[[#This Row],[Large Provider Entity Code]]&amp;"; "&amp;R5045&amp;AS[[#This Row],[Age Band Code]]&amp;"; "&amp;S5045&amp;AS[[#This Row],[Sex Code]]</f>
        <v xml:space="preserve">Insurer Code ; Reporting Year ; Insurance Category Code ; Large Provider Entity Code ; Age Band Code ; Sex Code </v>
      </c>
      <c r="N5045" s="345" t="s">
        <v>207</v>
      </c>
      <c r="O5045" s="345" t="s">
        <v>208</v>
      </c>
      <c r="P5045" s="345" t="s">
        <v>209</v>
      </c>
      <c r="Q5045" s="345" t="s">
        <v>210</v>
      </c>
      <c r="R5045" s="345" t="s">
        <v>223</v>
      </c>
      <c r="S5045" s="345" t="s">
        <v>224</v>
      </c>
    </row>
    <row r="5046" spans="1:19" x14ac:dyDescent="0.25">
      <c r="A5046" s="311"/>
      <c r="B5046" s="312"/>
      <c r="C5046" s="312"/>
      <c r="D5046" s="312"/>
      <c r="E5046" s="312"/>
      <c r="F5046" s="312"/>
      <c r="G5046" s="328"/>
      <c r="H5046" s="337"/>
      <c r="I5046" s="334"/>
      <c r="J5046" s="314"/>
      <c r="K5046" s="449"/>
      <c r="M5046" s="349" t="str">
        <f>N5046&amp;AS[[#This Row],[Insurer Code]]&amp;"; "&amp;O5046&amp;AS[[#This Row],[Reporting Year]]&amp;"; "&amp;P5046&amp;AS[[#This Row],[Insurance Category Code]]&amp;"; "&amp;Q5046&amp;AS[[#This Row],[Large Provider Entity Code]]&amp;"; "&amp;R5046&amp;AS[[#This Row],[Age Band Code]]&amp;"; "&amp;S5046&amp;AS[[#This Row],[Sex Code]]</f>
        <v xml:space="preserve">Insurer Code ; Reporting Year ; Insurance Category Code ; Large Provider Entity Code ; Age Band Code ; Sex Code </v>
      </c>
      <c r="N5046" s="345" t="s">
        <v>207</v>
      </c>
      <c r="O5046" s="345" t="s">
        <v>208</v>
      </c>
      <c r="P5046" s="345" t="s">
        <v>209</v>
      </c>
      <c r="Q5046" s="345" t="s">
        <v>210</v>
      </c>
      <c r="R5046" s="345" t="s">
        <v>223</v>
      </c>
      <c r="S5046" s="345" t="s">
        <v>224</v>
      </c>
    </row>
    <row r="5047" spans="1:19" x14ac:dyDescent="0.25">
      <c r="A5047" s="311"/>
      <c r="B5047" s="312"/>
      <c r="C5047" s="312"/>
      <c r="D5047" s="312"/>
      <c r="E5047" s="312"/>
      <c r="F5047" s="312"/>
      <c r="G5047" s="328"/>
      <c r="H5047" s="337"/>
      <c r="I5047" s="334"/>
      <c r="J5047" s="314"/>
      <c r="K5047" s="449"/>
      <c r="M5047" s="349" t="str">
        <f>N5047&amp;AS[[#This Row],[Insurer Code]]&amp;"; "&amp;O5047&amp;AS[[#This Row],[Reporting Year]]&amp;"; "&amp;P5047&amp;AS[[#This Row],[Insurance Category Code]]&amp;"; "&amp;Q5047&amp;AS[[#This Row],[Large Provider Entity Code]]&amp;"; "&amp;R5047&amp;AS[[#This Row],[Age Band Code]]&amp;"; "&amp;S5047&amp;AS[[#This Row],[Sex Code]]</f>
        <v xml:space="preserve">Insurer Code ; Reporting Year ; Insurance Category Code ; Large Provider Entity Code ; Age Band Code ; Sex Code </v>
      </c>
      <c r="N5047" s="345" t="s">
        <v>207</v>
      </c>
      <c r="O5047" s="345" t="s">
        <v>208</v>
      </c>
      <c r="P5047" s="345" t="s">
        <v>209</v>
      </c>
      <c r="Q5047" s="345" t="s">
        <v>210</v>
      </c>
      <c r="R5047" s="345" t="s">
        <v>223</v>
      </c>
      <c r="S5047" s="345" t="s">
        <v>224</v>
      </c>
    </row>
    <row r="5048" spans="1:19" x14ac:dyDescent="0.25">
      <c r="A5048" s="311"/>
      <c r="B5048" s="312"/>
      <c r="C5048" s="312"/>
      <c r="D5048" s="312"/>
      <c r="E5048" s="312"/>
      <c r="F5048" s="312"/>
      <c r="G5048" s="328"/>
      <c r="H5048" s="337"/>
      <c r="I5048" s="334"/>
      <c r="J5048" s="314"/>
      <c r="K5048" s="449"/>
      <c r="M5048" s="349" t="str">
        <f>N5048&amp;AS[[#This Row],[Insurer Code]]&amp;"; "&amp;O5048&amp;AS[[#This Row],[Reporting Year]]&amp;"; "&amp;P5048&amp;AS[[#This Row],[Insurance Category Code]]&amp;"; "&amp;Q5048&amp;AS[[#This Row],[Large Provider Entity Code]]&amp;"; "&amp;R5048&amp;AS[[#This Row],[Age Band Code]]&amp;"; "&amp;S5048&amp;AS[[#This Row],[Sex Code]]</f>
        <v xml:space="preserve">Insurer Code ; Reporting Year ; Insurance Category Code ; Large Provider Entity Code ; Age Band Code ; Sex Code </v>
      </c>
      <c r="N5048" s="345" t="s">
        <v>207</v>
      </c>
      <c r="O5048" s="345" t="s">
        <v>208</v>
      </c>
      <c r="P5048" s="345" t="s">
        <v>209</v>
      </c>
      <c r="Q5048" s="345" t="s">
        <v>210</v>
      </c>
      <c r="R5048" s="345" t="s">
        <v>223</v>
      </c>
      <c r="S5048" s="345" t="s">
        <v>224</v>
      </c>
    </row>
    <row r="5049" spans="1:19" x14ac:dyDescent="0.25">
      <c r="A5049" s="311"/>
      <c r="B5049" s="312"/>
      <c r="C5049" s="312"/>
      <c r="D5049" s="312"/>
      <c r="E5049" s="312"/>
      <c r="F5049" s="312"/>
      <c r="G5049" s="328"/>
      <c r="H5049" s="337"/>
      <c r="I5049" s="334"/>
      <c r="J5049" s="314"/>
      <c r="K5049" s="449"/>
      <c r="M5049" s="349" t="str">
        <f>N5049&amp;AS[[#This Row],[Insurer Code]]&amp;"; "&amp;O5049&amp;AS[[#This Row],[Reporting Year]]&amp;"; "&amp;P5049&amp;AS[[#This Row],[Insurance Category Code]]&amp;"; "&amp;Q5049&amp;AS[[#This Row],[Large Provider Entity Code]]&amp;"; "&amp;R5049&amp;AS[[#This Row],[Age Band Code]]&amp;"; "&amp;S5049&amp;AS[[#This Row],[Sex Code]]</f>
        <v xml:space="preserve">Insurer Code ; Reporting Year ; Insurance Category Code ; Large Provider Entity Code ; Age Band Code ; Sex Code </v>
      </c>
      <c r="N5049" s="345" t="s">
        <v>207</v>
      </c>
      <c r="O5049" s="345" t="s">
        <v>208</v>
      </c>
      <c r="P5049" s="345" t="s">
        <v>209</v>
      </c>
      <c r="Q5049" s="345" t="s">
        <v>210</v>
      </c>
      <c r="R5049" s="345" t="s">
        <v>223</v>
      </c>
      <c r="S5049" s="345" t="s">
        <v>224</v>
      </c>
    </row>
    <row r="5050" spans="1:19" x14ac:dyDescent="0.25">
      <c r="A5050" s="311"/>
      <c r="B5050" s="312"/>
      <c r="C5050" s="312"/>
      <c r="D5050" s="312"/>
      <c r="E5050" s="312"/>
      <c r="F5050" s="312"/>
      <c r="G5050" s="328"/>
      <c r="H5050" s="337"/>
      <c r="I5050" s="334"/>
      <c r="J5050" s="314"/>
      <c r="K5050" s="449"/>
      <c r="M5050" s="349" t="str">
        <f>N5050&amp;AS[[#This Row],[Insurer Code]]&amp;"; "&amp;O5050&amp;AS[[#This Row],[Reporting Year]]&amp;"; "&amp;P5050&amp;AS[[#This Row],[Insurance Category Code]]&amp;"; "&amp;Q5050&amp;AS[[#This Row],[Large Provider Entity Code]]&amp;"; "&amp;R5050&amp;AS[[#This Row],[Age Band Code]]&amp;"; "&amp;S5050&amp;AS[[#This Row],[Sex Code]]</f>
        <v xml:space="preserve">Insurer Code ; Reporting Year ; Insurance Category Code ; Large Provider Entity Code ; Age Band Code ; Sex Code </v>
      </c>
      <c r="N5050" s="345" t="s">
        <v>207</v>
      </c>
      <c r="O5050" s="345" t="s">
        <v>208</v>
      </c>
      <c r="P5050" s="345" t="s">
        <v>209</v>
      </c>
      <c r="Q5050" s="345" t="s">
        <v>210</v>
      </c>
      <c r="R5050" s="345" t="s">
        <v>223</v>
      </c>
      <c r="S5050" s="345" t="s">
        <v>224</v>
      </c>
    </row>
    <row r="5051" spans="1:19" x14ac:dyDescent="0.25">
      <c r="A5051" s="311"/>
      <c r="B5051" s="312"/>
      <c r="C5051" s="312"/>
      <c r="D5051" s="312"/>
      <c r="E5051" s="312"/>
      <c r="F5051" s="312"/>
      <c r="G5051" s="328"/>
      <c r="H5051" s="337"/>
      <c r="I5051" s="334"/>
      <c r="J5051" s="314"/>
      <c r="K5051" s="449"/>
      <c r="M5051" s="349" t="str">
        <f>N5051&amp;AS[[#This Row],[Insurer Code]]&amp;"; "&amp;O5051&amp;AS[[#This Row],[Reporting Year]]&amp;"; "&amp;P5051&amp;AS[[#This Row],[Insurance Category Code]]&amp;"; "&amp;Q5051&amp;AS[[#This Row],[Large Provider Entity Code]]&amp;"; "&amp;R5051&amp;AS[[#This Row],[Age Band Code]]&amp;"; "&amp;S5051&amp;AS[[#This Row],[Sex Code]]</f>
        <v xml:space="preserve">Insurer Code ; Reporting Year ; Insurance Category Code ; Large Provider Entity Code ; Age Band Code ; Sex Code </v>
      </c>
      <c r="N5051" s="345" t="s">
        <v>207</v>
      </c>
      <c r="O5051" s="345" t="s">
        <v>208</v>
      </c>
      <c r="P5051" s="345" t="s">
        <v>209</v>
      </c>
      <c r="Q5051" s="345" t="s">
        <v>210</v>
      </c>
      <c r="R5051" s="345" t="s">
        <v>223</v>
      </c>
      <c r="S5051" s="345" t="s">
        <v>224</v>
      </c>
    </row>
    <row r="5052" spans="1:19" x14ac:dyDescent="0.25">
      <c r="A5052" s="311"/>
      <c r="B5052" s="312"/>
      <c r="C5052" s="312"/>
      <c r="D5052" s="312"/>
      <c r="E5052" s="312"/>
      <c r="F5052" s="312"/>
      <c r="G5052" s="328"/>
      <c r="H5052" s="337"/>
      <c r="I5052" s="334"/>
      <c r="J5052" s="314"/>
      <c r="K5052" s="449"/>
      <c r="M5052" s="349" t="str">
        <f>N5052&amp;AS[[#This Row],[Insurer Code]]&amp;"; "&amp;O5052&amp;AS[[#This Row],[Reporting Year]]&amp;"; "&amp;P5052&amp;AS[[#This Row],[Insurance Category Code]]&amp;"; "&amp;Q5052&amp;AS[[#This Row],[Large Provider Entity Code]]&amp;"; "&amp;R5052&amp;AS[[#This Row],[Age Band Code]]&amp;"; "&amp;S5052&amp;AS[[#This Row],[Sex Code]]</f>
        <v xml:space="preserve">Insurer Code ; Reporting Year ; Insurance Category Code ; Large Provider Entity Code ; Age Band Code ; Sex Code </v>
      </c>
      <c r="N5052" s="345" t="s">
        <v>207</v>
      </c>
      <c r="O5052" s="345" t="s">
        <v>208</v>
      </c>
      <c r="P5052" s="345" t="s">
        <v>209</v>
      </c>
      <c r="Q5052" s="345" t="s">
        <v>210</v>
      </c>
      <c r="R5052" s="345" t="s">
        <v>223</v>
      </c>
      <c r="S5052" s="345" t="s">
        <v>224</v>
      </c>
    </row>
    <row r="5053" spans="1:19" x14ac:dyDescent="0.25">
      <c r="A5053" s="311"/>
      <c r="B5053" s="312"/>
      <c r="C5053" s="312"/>
      <c r="D5053" s="312"/>
      <c r="E5053" s="312"/>
      <c r="F5053" s="312"/>
      <c r="G5053" s="328"/>
      <c r="H5053" s="337"/>
      <c r="I5053" s="334"/>
      <c r="J5053" s="314"/>
      <c r="K5053" s="449"/>
      <c r="M5053" s="349" t="str">
        <f>N5053&amp;AS[[#This Row],[Insurer Code]]&amp;"; "&amp;O5053&amp;AS[[#This Row],[Reporting Year]]&amp;"; "&amp;P5053&amp;AS[[#This Row],[Insurance Category Code]]&amp;"; "&amp;Q5053&amp;AS[[#This Row],[Large Provider Entity Code]]&amp;"; "&amp;R5053&amp;AS[[#This Row],[Age Band Code]]&amp;"; "&amp;S5053&amp;AS[[#This Row],[Sex Code]]</f>
        <v xml:space="preserve">Insurer Code ; Reporting Year ; Insurance Category Code ; Large Provider Entity Code ; Age Band Code ; Sex Code </v>
      </c>
      <c r="N5053" s="345" t="s">
        <v>207</v>
      </c>
      <c r="O5053" s="345" t="s">
        <v>208</v>
      </c>
      <c r="P5053" s="345" t="s">
        <v>209</v>
      </c>
      <c r="Q5053" s="345" t="s">
        <v>210</v>
      </c>
      <c r="R5053" s="345" t="s">
        <v>223</v>
      </c>
      <c r="S5053" s="345" t="s">
        <v>224</v>
      </c>
    </row>
    <row r="5054" spans="1:19" x14ac:dyDescent="0.25">
      <c r="A5054" s="311"/>
      <c r="B5054" s="312"/>
      <c r="C5054" s="312"/>
      <c r="D5054" s="312"/>
      <c r="E5054" s="312"/>
      <c r="F5054" s="312"/>
      <c r="G5054" s="328"/>
      <c r="H5054" s="337"/>
      <c r="I5054" s="334"/>
      <c r="J5054" s="314"/>
      <c r="K5054" s="449"/>
      <c r="M5054" s="349" t="str">
        <f>N5054&amp;AS[[#This Row],[Insurer Code]]&amp;"; "&amp;O5054&amp;AS[[#This Row],[Reporting Year]]&amp;"; "&amp;P5054&amp;AS[[#This Row],[Insurance Category Code]]&amp;"; "&amp;Q5054&amp;AS[[#This Row],[Large Provider Entity Code]]&amp;"; "&amp;R5054&amp;AS[[#This Row],[Age Band Code]]&amp;"; "&amp;S5054&amp;AS[[#This Row],[Sex Code]]</f>
        <v xml:space="preserve">Insurer Code ; Reporting Year ; Insurance Category Code ; Large Provider Entity Code ; Age Band Code ; Sex Code </v>
      </c>
      <c r="N5054" s="345" t="s">
        <v>207</v>
      </c>
      <c r="O5054" s="345" t="s">
        <v>208</v>
      </c>
      <c r="P5054" s="345" t="s">
        <v>209</v>
      </c>
      <c r="Q5054" s="345" t="s">
        <v>210</v>
      </c>
      <c r="R5054" s="345" t="s">
        <v>223</v>
      </c>
      <c r="S5054" s="345" t="s">
        <v>224</v>
      </c>
    </row>
    <row r="5055" spans="1:19" x14ac:dyDescent="0.25">
      <c r="A5055" s="311"/>
      <c r="B5055" s="312"/>
      <c r="C5055" s="312"/>
      <c r="D5055" s="312"/>
      <c r="E5055" s="312"/>
      <c r="F5055" s="312"/>
      <c r="G5055" s="328"/>
      <c r="H5055" s="337"/>
      <c r="I5055" s="334"/>
      <c r="J5055" s="314"/>
      <c r="K5055" s="449"/>
      <c r="M5055" s="349" t="str">
        <f>N5055&amp;AS[[#This Row],[Insurer Code]]&amp;"; "&amp;O5055&amp;AS[[#This Row],[Reporting Year]]&amp;"; "&amp;P5055&amp;AS[[#This Row],[Insurance Category Code]]&amp;"; "&amp;Q5055&amp;AS[[#This Row],[Large Provider Entity Code]]&amp;"; "&amp;R5055&amp;AS[[#This Row],[Age Band Code]]&amp;"; "&amp;S5055&amp;AS[[#This Row],[Sex Code]]</f>
        <v xml:space="preserve">Insurer Code ; Reporting Year ; Insurance Category Code ; Large Provider Entity Code ; Age Band Code ; Sex Code </v>
      </c>
      <c r="N5055" s="345" t="s">
        <v>207</v>
      </c>
      <c r="O5055" s="345" t="s">
        <v>208</v>
      </c>
      <c r="P5055" s="345" t="s">
        <v>209</v>
      </c>
      <c r="Q5055" s="345" t="s">
        <v>210</v>
      </c>
      <c r="R5055" s="345" t="s">
        <v>223</v>
      </c>
      <c r="S5055" s="345" t="s">
        <v>224</v>
      </c>
    </row>
    <row r="5056" spans="1:19" x14ac:dyDescent="0.25">
      <c r="A5056" s="311"/>
      <c r="B5056" s="312"/>
      <c r="C5056" s="312"/>
      <c r="D5056" s="312"/>
      <c r="E5056" s="312"/>
      <c r="F5056" s="312"/>
      <c r="G5056" s="328"/>
      <c r="H5056" s="337"/>
      <c r="I5056" s="334"/>
      <c r="J5056" s="314"/>
      <c r="K5056" s="449"/>
      <c r="M5056" s="349" t="str">
        <f>N5056&amp;AS[[#This Row],[Insurer Code]]&amp;"; "&amp;O5056&amp;AS[[#This Row],[Reporting Year]]&amp;"; "&amp;P5056&amp;AS[[#This Row],[Insurance Category Code]]&amp;"; "&amp;Q5056&amp;AS[[#This Row],[Large Provider Entity Code]]&amp;"; "&amp;R5056&amp;AS[[#This Row],[Age Band Code]]&amp;"; "&amp;S5056&amp;AS[[#This Row],[Sex Code]]</f>
        <v xml:space="preserve">Insurer Code ; Reporting Year ; Insurance Category Code ; Large Provider Entity Code ; Age Band Code ; Sex Code </v>
      </c>
      <c r="N5056" s="345" t="s">
        <v>207</v>
      </c>
      <c r="O5056" s="345" t="s">
        <v>208</v>
      </c>
      <c r="P5056" s="345" t="s">
        <v>209</v>
      </c>
      <c r="Q5056" s="345" t="s">
        <v>210</v>
      </c>
      <c r="R5056" s="345" t="s">
        <v>223</v>
      </c>
      <c r="S5056" s="345" t="s">
        <v>224</v>
      </c>
    </row>
    <row r="5057" spans="1:19" x14ac:dyDescent="0.25">
      <c r="A5057" s="311"/>
      <c r="B5057" s="312"/>
      <c r="C5057" s="312"/>
      <c r="D5057" s="312"/>
      <c r="E5057" s="312"/>
      <c r="F5057" s="312"/>
      <c r="G5057" s="328"/>
      <c r="H5057" s="337"/>
      <c r="I5057" s="334"/>
      <c r="J5057" s="314"/>
      <c r="K5057" s="449"/>
      <c r="M5057" s="349" t="str">
        <f>N5057&amp;AS[[#This Row],[Insurer Code]]&amp;"; "&amp;O5057&amp;AS[[#This Row],[Reporting Year]]&amp;"; "&amp;P5057&amp;AS[[#This Row],[Insurance Category Code]]&amp;"; "&amp;Q5057&amp;AS[[#This Row],[Large Provider Entity Code]]&amp;"; "&amp;R5057&amp;AS[[#This Row],[Age Band Code]]&amp;"; "&amp;S5057&amp;AS[[#This Row],[Sex Code]]</f>
        <v xml:space="preserve">Insurer Code ; Reporting Year ; Insurance Category Code ; Large Provider Entity Code ; Age Band Code ; Sex Code </v>
      </c>
      <c r="N5057" s="345" t="s">
        <v>207</v>
      </c>
      <c r="O5057" s="345" t="s">
        <v>208</v>
      </c>
      <c r="P5057" s="345" t="s">
        <v>209</v>
      </c>
      <c r="Q5057" s="345" t="s">
        <v>210</v>
      </c>
      <c r="R5057" s="345" t="s">
        <v>223</v>
      </c>
      <c r="S5057" s="345" t="s">
        <v>224</v>
      </c>
    </row>
    <row r="5058" spans="1:19" x14ac:dyDescent="0.25">
      <c r="A5058" s="311"/>
      <c r="B5058" s="312"/>
      <c r="C5058" s="312"/>
      <c r="D5058" s="312"/>
      <c r="E5058" s="312"/>
      <c r="F5058" s="312"/>
      <c r="G5058" s="328"/>
      <c r="H5058" s="337"/>
      <c r="I5058" s="334"/>
      <c r="J5058" s="314"/>
      <c r="K5058" s="449"/>
      <c r="M5058" s="349" t="str">
        <f>N5058&amp;AS[[#This Row],[Insurer Code]]&amp;"; "&amp;O5058&amp;AS[[#This Row],[Reporting Year]]&amp;"; "&amp;P5058&amp;AS[[#This Row],[Insurance Category Code]]&amp;"; "&amp;Q5058&amp;AS[[#This Row],[Large Provider Entity Code]]&amp;"; "&amp;R5058&amp;AS[[#This Row],[Age Band Code]]&amp;"; "&amp;S5058&amp;AS[[#This Row],[Sex Code]]</f>
        <v xml:space="preserve">Insurer Code ; Reporting Year ; Insurance Category Code ; Large Provider Entity Code ; Age Band Code ; Sex Code </v>
      </c>
      <c r="N5058" s="345" t="s">
        <v>207</v>
      </c>
      <c r="O5058" s="345" t="s">
        <v>208</v>
      </c>
      <c r="P5058" s="345" t="s">
        <v>209</v>
      </c>
      <c r="Q5058" s="345" t="s">
        <v>210</v>
      </c>
      <c r="R5058" s="345" t="s">
        <v>223</v>
      </c>
      <c r="S5058" s="345" t="s">
        <v>224</v>
      </c>
    </row>
    <row r="5059" spans="1:19" x14ac:dyDescent="0.25">
      <c r="A5059" s="311"/>
      <c r="B5059" s="312"/>
      <c r="C5059" s="312"/>
      <c r="D5059" s="312"/>
      <c r="E5059" s="312"/>
      <c r="F5059" s="312"/>
      <c r="G5059" s="328"/>
      <c r="H5059" s="337"/>
      <c r="I5059" s="334"/>
      <c r="J5059" s="314"/>
      <c r="K5059" s="449"/>
      <c r="M5059" s="349" t="str">
        <f>N5059&amp;AS[[#This Row],[Insurer Code]]&amp;"; "&amp;O5059&amp;AS[[#This Row],[Reporting Year]]&amp;"; "&amp;P5059&amp;AS[[#This Row],[Insurance Category Code]]&amp;"; "&amp;Q5059&amp;AS[[#This Row],[Large Provider Entity Code]]&amp;"; "&amp;R5059&amp;AS[[#This Row],[Age Band Code]]&amp;"; "&amp;S5059&amp;AS[[#This Row],[Sex Code]]</f>
        <v xml:space="preserve">Insurer Code ; Reporting Year ; Insurance Category Code ; Large Provider Entity Code ; Age Band Code ; Sex Code </v>
      </c>
      <c r="N5059" s="345" t="s">
        <v>207</v>
      </c>
      <c r="O5059" s="345" t="s">
        <v>208</v>
      </c>
      <c r="P5059" s="345" t="s">
        <v>209</v>
      </c>
      <c r="Q5059" s="345" t="s">
        <v>210</v>
      </c>
      <c r="R5059" s="345" t="s">
        <v>223</v>
      </c>
      <c r="S5059" s="345" t="s">
        <v>224</v>
      </c>
    </row>
    <row r="5060" spans="1:19" x14ac:dyDescent="0.25">
      <c r="A5060" s="311"/>
      <c r="B5060" s="312"/>
      <c r="C5060" s="312"/>
      <c r="D5060" s="312"/>
      <c r="E5060" s="312"/>
      <c r="F5060" s="312"/>
      <c r="G5060" s="328"/>
      <c r="H5060" s="337"/>
      <c r="I5060" s="334"/>
      <c r="J5060" s="314"/>
      <c r="K5060" s="449"/>
      <c r="M5060" s="349" t="str">
        <f>N5060&amp;AS[[#This Row],[Insurer Code]]&amp;"; "&amp;O5060&amp;AS[[#This Row],[Reporting Year]]&amp;"; "&amp;P5060&amp;AS[[#This Row],[Insurance Category Code]]&amp;"; "&amp;Q5060&amp;AS[[#This Row],[Large Provider Entity Code]]&amp;"; "&amp;R5060&amp;AS[[#This Row],[Age Band Code]]&amp;"; "&amp;S5060&amp;AS[[#This Row],[Sex Code]]</f>
        <v xml:space="preserve">Insurer Code ; Reporting Year ; Insurance Category Code ; Large Provider Entity Code ; Age Band Code ; Sex Code </v>
      </c>
      <c r="N5060" s="345" t="s">
        <v>207</v>
      </c>
      <c r="O5060" s="345" t="s">
        <v>208</v>
      </c>
      <c r="P5060" s="345" t="s">
        <v>209</v>
      </c>
      <c r="Q5060" s="345" t="s">
        <v>210</v>
      </c>
      <c r="R5060" s="345" t="s">
        <v>223</v>
      </c>
      <c r="S5060" s="345" t="s">
        <v>224</v>
      </c>
    </row>
    <row r="5061" spans="1:19" x14ac:dyDescent="0.25">
      <c r="A5061" s="311"/>
      <c r="B5061" s="312"/>
      <c r="C5061" s="312"/>
      <c r="D5061" s="312"/>
      <c r="E5061" s="312"/>
      <c r="F5061" s="312"/>
      <c r="G5061" s="328"/>
      <c r="H5061" s="337"/>
      <c r="I5061" s="334"/>
      <c r="J5061" s="314"/>
      <c r="K5061" s="449"/>
      <c r="M5061" s="349" t="str">
        <f>N5061&amp;AS[[#This Row],[Insurer Code]]&amp;"; "&amp;O5061&amp;AS[[#This Row],[Reporting Year]]&amp;"; "&amp;P5061&amp;AS[[#This Row],[Insurance Category Code]]&amp;"; "&amp;Q5061&amp;AS[[#This Row],[Large Provider Entity Code]]&amp;"; "&amp;R5061&amp;AS[[#This Row],[Age Band Code]]&amp;"; "&amp;S5061&amp;AS[[#This Row],[Sex Code]]</f>
        <v xml:space="preserve">Insurer Code ; Reporting Year ; Insurance Category Code ; Large Provider Entity Code ; Age Band Code ; Sex Code </v>
      </c>
      <c r="N5061" s="345" t="s">
        <v>207</v>
      </c>
      <c r="O5061" s="345" t="s">
        <v>208</v>
      </c>
      <c r="P5061" s="345" t="s">
        <v>209</v>
      </c>
      <c r="Q5061" s="345" t="s">
        <v>210</v>
      </c>
      <c r="R5061" s="345" t="s">
        <v>223</v>
      </c>
      <c r="S5061" s="345" t="s">
        <v>224</v>
      </c>
    </row>
    <row r="5062" spans="1:19" x14ac:dyDescent="0.25">
      <c r="A5062" s="311"/>
      <c r="B5062" s="312"/>
      <c r="C5062" s="312"/>
      <c r="D5062" s="312"/>
      <c r="E5062" s="312"/>
      <c r="F5062" s="312"/>
      <c r="G5062" s="328"/>
      <c r="H5062" s="337"/>
      <c r="I5062" s="334"/>
      <c r="J5062" s="314"/>
      <c r="K5062" s="449"/>
      <c r="M5062" s="349" t="str">
        <f>N5062&amp;AS[[#This Row],[Insurer Code]]&amp;"; "&amp;O5062&amp;AS[[#This Row],[Reporting Year]]&amp;"; "&amp;P5062&amp;AS[[#This Row],[Insurance Category Code]]&amp;"; "&amp;Q5062&amp;AS[[#This Row],[Large Provider Entity Code]]&amp;"; "&amp;R5062&amp;AS[[#This Row],[Age Band Code]]&amp;"; "&amp;S5062&amp;AS[[#This Row],[Sex Code]]</f>
        <v xml:space="preserve">Insurer Code ; Reporting Year ; Insurance Category Code ; Large Provider Entity Code ; Age Band Code ; Sex Code </v>
      </c>
      <c r="N5062" s="345" t="s">
        <v>207</v>
      </c>
      <c r="O5062" s="345" t="s">
        <v>208</v>
      </c>
      <c r="P5062" s="345" t="s">
        <v>209</v>
      </c>
      <c r="Q5062" s="345" t="s">
        <v>210</v>
      </c>
      <c r="R5062" s="345" t="s">
        <v>223</v>
      </c>
      <c r="S5062" s="345" t="s">
        <v>224</v>
      </c>
    </row>
    <row r="5063" spans="1:19" x14ac:dyDescent="0.25">
      <c r="A5063" s="311"/>
      <c r="B5063" s="312"/>
      <c r="C5063" s="312"/>
      <c r="D5063" s="312"/>
      <c r="E5063" s="312"/>
      <c r="F5063" s="312"/>
      <c r="G5063" s="328"/>
      <c r="H5063" s="337"/>
      <c r="I5063" s="334"/>
      <c r="J5063" s="314"/>
      <c r="K5063" s="449"/>
      <c r="M5063" s="349" t="str">
        <f>N5063&amp;AS[[#This Row],[Insurer Code]]&amp;"; "&amp;O5063&amp;AS[[#This Row],[Reporting Year]]&amp;"; "&amp;P5063&amp;AS[[#This Row],[Insurance Category Code]]&amp;"; "&amp;Q5063&amp;AS[[#This Row],[Large Provider Entity Code]]&amp;"; "&amp;R5063&amp;AS[[#This Row],[Age Band Code]]&amp;"; "&amp;S5063&amp;AS[[#This Row],[Sex Code]]</f>
        <v xml:space="preserve">Insurer Code ; Reporting Year ; Insurance Category Code ; Large Provider Entity Code ; Age Band Code ; Sex Code </v>
      </c>
      <c r="N5063" s="345" t="s">
        <v>207</v>
      </c>
      <c r="O5063" s="345" t="s">
        <v>208</v>
      </c>
      <c r="P5063" s="345" t="s">
        <v>209</v>
      </c>
      <c r="Q5063" s="345" t="s">
        <v>210</v>
      </c>
      <c r="R5063" s="345" t="s">
        <v>223</v>
      </c>
      <c r="S5063" s="345" t="s">
        <v>224</v>
      </c>
    </row>
    <row r="5064" spans="1:19" x14ac:dyDescent="0.25">
      <c r="A5064" s="311"/>
      <c r="B5064" s="312"/>
      <c r="C5064" s="312"/>
      <c r="D5064" s="312"/>
      <c r="E5064" s="312"/>
      <c r="F5064" s="312"/>
      <c r="G5064" s="328"/>
      <c r="H5064" s="337"/>
      <c r="I5064" s="334"/>
      <c r="J5064" s="314"/>
      <c r="K5064" s="449"/>
      <c r="M5064" s="349" t="str">
        <f>N5064&amp;AS[[#This Row],[Insurer Code]]&amp;"; "&amp;O5064&amp;AS[[#This Row],[Reporting Year]]&amp;"; "&amp;P5064&amp;AS[[#This Row],[Insurance Category Code]]&amp;"; "&amp;Q5064&amp;AS[[#This Row],[Large Provider Entity Code]]&amp;"; "&amp;R5064&amp;AS[[#This Row],[Age Band Code]]&amp;"; "&amp;S5064&amp;AS[[#This Row],[Sex Code]]</f>
        <v xml:space="preserve">Insurer Code ; Reporting Year ; Insurance Category Code ; Large Provider Entity Code ; Age Band Code ; Sex Code </v>
      </c>
      <c r="N5064" s="345" t="s">
        <v>207</v>
      </c>
      <c r="O5064" s="345" t="s">
        <v>208</v>
      </c>
      <c r="P5064" s="345" t="s">
        <v>209</v>
      </c>
      <c r="Q5064" s="345" t="s">
        <v>210</v>
      </c>
      <c r="R5064" s="345" t="s">
        <v>223</v>
      </c>
      <c r="S5064" s="345" t="s">
        <v>224</v>
      </c>
    </row>
    <row r="5065" spans="1:19" x14ac:dyDescent="0.25">
      <c r="A5065" s="311"/>
      <c r="B5065" s="312"/>
      <c r="C5065" s="312"/>
      <c r="D5065" s="312"/>
      <c r="E5065" s="312"/>
      <c r="F5065" s="312"/>
      <c r="G5065" s="328"/>
      <c r="H5065" s="337"/>
      <c r="I5065" s="334"/>
      <c r="J5065" s="314"/>
      <c r="K5065" s="449"/>
      <c r="M5065" s="349" t="str">
        <f>N5065&amp;AS[[#This Row],[Insurer Code]]&amp;"; "&amp;O5065&amp;AS[[#This Row],[Reporting Year]]&amp;"; "&amp;P5065&amp;AS[[#This Row],[Insurance Category Code]]&amp;"; "&amp;Q5065&amp;AS[[#This Row],[Large Provider Entity Code]]&amp;"; "&amp;R5065&amp;AS[[#This Row],[Age Band Code]]&amp;"; "&amp;S5065&amp;AS[[#This Row],[Sex Code]]</f>
        <v xml:space="preserve">Insurer Code ; Reporting Year ; Insurance Category Code ; Large Provider Entity Code ; Age Band Code ; Sex Code </v>
      </c>
      <c r="N5065" s="345" t="s">
        <v>207</v>
      </c>
      <c r="O5065" s="345" t="s">
        <v>208</v>
      </c>
      <c r="P5065" s="345" t="s">
        <v>209</v>
      </c>
      <c r="Q5065" s="345" t="s">
        <v>210</v>
      </c>
      <c r="R5065" s="345" t="s">
        <v>223</v>
      </c>
      <c r="S5065" s="345" t="s">
        <v>224</v>
      </c>
    </row>
    <row r="5066" spans="1:19" x14ac:dyDescent="0.25">
      <c r="A5066" s="311"/>
      <c r="B5066" s="312"/>
      <c r="C5066" s="312"/>
      <c r="D5066" s="312"/>
      <c r="E5066" s="312"/>
      <c r="F5066" s="312"/>
      <c r="G5066" s="328"/>
      <c r="H5066" s="337"/>
      <c r="I5066" s="334"/>
      <c r="J5066" s="314"/>
      <c r="K5066" s="449"/>
      <c r="M5066" s="349" t="str">
        <f>N5066&amp;AS[[#This Row],[Insurer Code]]&amp;"; "&amp;O5066&amp;AS[[#This Row],[Reporting Year]]&amp;"; "&amp;P5066&amp;AS[[#This Row],[Insurance Category Code]]&amp;"; "&amp;Q5066&amp;AS[[#This Row],[Large Provider Entity Code]]&amp;"; "&amp;R5066&amp;AS[[#This Row],[Age Band Code]]&amp;"; "&amp;S5066&amp;AS[[#This Row],[Sex Code]]</f>
        <v xml:space="preserve">Insurer Code ; Reporting Year ; Insurance Category Code ; Large Provider Entity Code ; Age Band Code ; Sex Code </v>
      </c>
      <c r="N5066" s="345" t="s">
        <v>207</v>
      </c>
      <c r="O5066" s="345" t="s">
        <v>208</v>
      </c>
      <c r="P5066" s="345" t="s">
        <v>209</v>
      </c>
      <c r="Q5066" s="345" t="s">
        <v>210</v>
      </c>
      <c r="R5066" s="345" t="s">
        <v>223</v>
      </c>
      <c r="S5066" s="345" t="s">
        <v>224</v>
      </c>
    </row>
    <row r="5067" spans="1:19" x14ac:dyDescent="0.25">
      <c r="A5067" s="311"/>
      <c r="B5067" s="312"/>
      <c r="C5067" s="312"/>
      <c r="D5067" s="312"/>
      <c r="E5067" s="312"/>
      <c r="F5067" s="312"/>
      <c r="G5067" s="328"/>
      <c r="H5067" s="337"/>
      <c r="I5067" s="334"/>
      <c r="J5067" s="314"/>
      <c r="K5067" s="449"/>
      <c r="M5067" s="349" t="str">
        <f>N5067&amp;AS[[#This Row],[Insurer Code]]&amp;"; "&amp;O5067&amp;AS[[#This Row],[Reporting Year]]&amp;"; "&amp;P5067&amp;AS[[#This Row],[Insurance Category Code]]&amp;"; "&amp;Q5067&amp;AS[[#This Row],[Large Provider Entity Code]]&amp;"; "&amp;R5067&amp;AS[[#This Row],[Age Band Code]]&amp;"; "&amp;S5067&amp;AS[[#This Row],[Sex Code]]</f>
        <v xml:space="preserve">Insurer Code ; Reporting Year ; Insurance Category Code ; Large Provider Entity Code ; Age Band Code ; Sex Code </v>
      </c>
      <c r="N5067" s="345" t="s">
        <v>207</v>
      </c>
      <c r="O5067" s="345" t="s">
        <v>208</v>
      </c>
      <c r="P5067" s="345" t="s">
        <v>209</v>
      </c>
      <c r="Q5067" s="345" t="s">
        <v>210</v>
      </c>
      <c r="R5067" s="345" t="s">
        <v>223</v>
      </c>
      <c r="S5067" s="345" t="s">
        <v>224</v>
      </c>
    </row>
    <row r="5068" spans="1:19" x14ac:dyDescent="0.25">
      <c r="A5068" s="311"/>
      <c r="B5068" s="312"/>
      <c r="C5068" s="312"/>
      <c r="D5068" s="312"/>
      <c r="E5068" s="312"/>
      <c r="F5068" s="312"/>
      <c r="G5068" s="328"/>
      <c r="H5068" s="337"/>
      <c r="I5068" s="334"/>
      <c r="J5068" s="314"/>
      <c r="K5068" s="449"/>
      <c r="M5068" s="349" t="str">
        <f>N5068&amp;AS[[#This Row],[Insurer Code]]&amp;"; "&amp;O5068&amp;AS[[#This Row],[Reporting Year]]&amp;"; "&amp;P5068&amp;AS[[#This Row],[Insurance Category Code]]&amp;"; "&amp;Q5068&amp;AS[[#This Row],[Large Provider Entity Code]]&amp;"; "&amp;R5068&amp;AS[[#This Row],[Age Band Code]]&amp;"; "&amp;S5068&amp;AS[[#This Row],[Sex Code]]</f>
        <v xml:space="preserve">Insurer Code ; Reporting Year ; Insurance Category Code ; Large Provider Entity Code ; Age Band Code ; Sex Code </v>
      </c>
      <c r="N5068" s="345" t="s">
        <v>207</v>
      </c>
      <c r="O5068" s="345" t="s">
        <v>208</v>
      </c>
      <c r="P5068" s="345" t="s">
        <v>209</v>
      </c>
      <c r="Q5068" s="345" t="s">
        <v>210</v>
      </c>
      <c r="R5068" s="345" t="s">
        <v>223</v>
      </c>
      <c r="S5068" s="345" t="s">
        <v>224</v>
      </c>
    </row>
    <row r="5069" spans="1:19" x14ac:dyDescent="0.25">
      <c r="A5069" s="311"/>
      <c r="B5069" s="312"/>
      <c r="C5069" s="312"/>
      <c r="D5069" s="312"/>
      <c r="E5069" s="312"/>
      <c r="F5069" s="312"/>
      <c r="G5069" s="328"/>
      <c r="H5069" s="337"/>
      <c r="I5069" s="334"/>
      <c r="J5069" s="314"/>
      <c r="K5069" s="449"/>
      <c r="M5069" s="349" t="str">
        <f>N5069&amp;AS[[#This Row],[Insurer Code]]&amp;"; "&amp;O5069&amp;AS[[#This Row],[Reporting Year]]&amp;"; "&amp;P5069&amp;AS[[#This Row],[Insurance Category Code]]&amp;"; "&amp;Q5069&amp;AS[[#This Row],[Large Provider Entity Code]]&amp;"; "&amp;R5069&amp;AS[[#This Row],[Age Band Code]]&amp;"; "&amp;S5069&amp;AS[[#This Row],[Sex Code]]</f>
        <v xml:space="preserve">Insurer Code ; Reporting Year ; Insurance Category Code ; Large Provider Entity Code ; Age Band Code ; Sex Code </v>
      </c>
      <c r="N5069" s="345" t="s">
        <v>207</v>
      </c>
      <c r="O5069" s="345" t="s">
        <v>208</v>
      </c>
      <c r="P5069" s="345" t="s">
        <v>209</v>
      </c>
      <c r="Q5069" s="345" t="s">
        <v>210</v>
      </c>
      <c r="R5069" s="345" t="s">
        <v>223</v>
      </c>
      <c r="S5069" s="345" t="s">
        <v>224</v>
      </c>
    </row>
    <row r="5070" spans="1:19" x14ac:dyDescent="0.25">
      <c r="A5070" s="311"/>
      <c r="B5070" s="312"/>
      <c r="C5070" s="312"/>
      <c r="D5070" s="312"/>
      <c r="E5070" s="312"/>
      <c r="F5070" s="312"/>
      <c r="G5070" s="328"/>
      <c r="H5070" s="337"/>
      <c r="I5070" s="334"/>
      <c r="J5070" s="314"/>
      <c r="K5070" s="449"/>
      <c r="M5070" s="349" t="str">
        <f>N5070&amp;AS[[#This Row],[Insurer Code]]&amp;"; "&amp;O5070&amp;AS[[#This Row],[Reporting Year]]&amp;"; "&amp;P5070&amp;AS[[#This Row],[Insurance Category Code]]&amp;"; "&amp;Q5070&amp;AS[[#This Row],[Large Provider Entity Code]]&amp;"; "&amp;R5070&amp;AS[[#This Row],[Age Band Code]]&amp;"; "&amp;S5070&amp;AS[[#This Row],[Sex Code]]</f>
        <v xml:space="preserve">Insurer Code ; Reporting Year ; Insurance Category Code ; Large Provider Entity Code ; Age Band Code ; Sex Code </v>
      </c>
      <c r="N5070" s="345" t="s">
        <v>207</v>
      </c>
      <c r="O5070" s="345" t="s">
        <v>208</v>
      </c>
      <c r="P5070" s="345" t="s">
        <v>209</v>
      </c>
      <c r="Q5070" s="345" t="s">
        <v>210</v>
      </c>
      <c r="R5070" s="345" t="s">
        <v>223</v>
      </c>
      <c r="S5070" s="345" t="s">
        <v>224</v>
      </c>
    </row>
    <row r="5071" spans="1:19" x14ac:dyDescent="0.25">
      <c r="A5071" s="311"/>
      <c r="B5071" s="312"/>
      <c r="C5071" s="312"/>
      <c r="D5071" s="312"/>
      <c r="E5071" s="312"/>
      <c r="F5071" s="312"/>
      <c r="G5071" s="328"/>
      <c r="H5071" s="337"/>
      <c r="I5071" s="334"/>
      <c r="J5071" s="314"/>
      <c r="K5071" s="449"/>
      <c r="M5071" s="349" t="str">
        <f>N5071&amp;AS[[#This Row],[Insurer Code]]&amp;"; "&amp;O5071&amp;AS[[#This Row],[Reporting Year]]&amp;"; "&amp;P5071&amp;AS[[#This Row],[Insurance Category Code]]&amp;"; "&amp;Q5071&amp;AS[[#This Row],[Large Provider Entity Code]]&amp;"; "&amp;R5071&amp;AS[[#This Row],[Age Band Code]]&amp;"; "&amp;S5071&amp;AS[[#This Row],[Sex Code]]</f>
        <v xml:space="preserve">Insurer Code ; Reporting Year ; Insurance Category Code ; Large Provider Entity Code ; Age Band Code ; Sex Code </v>
      </c>
      <c r="N5071" s="345" t="s">
        <v>207</v>
      </c>
      <c r="O5071" s="345" t="s">
        <v>208</v>
      </c>
      <c r="P5071" s="345" t="s">
        <v>209</v>
      </c>
      <c r="Q5071" s="345" t="s">
        <v>210</v>
      </c>
      <c r="R5071" s="345" t="s">
        <v>223</v>
      </c>
      <c r="S5071" s="345" t="s">
        <v>224</v>
      </c>
    </row>
    <row r="5072" spans="1:19" x14ac:dyDescent="0.25">
      <c r="A5072" s="311"/>
      <c r="B5072" s="312"/>
      <c r="C5072" s="312"/>
      <c r="D5072" s="312"/>
      <c r="E5072" s="312"/>
      <c r="F5072" s="312"/>
      <c r="G5072" s="328"/>
      <c r="H5072" s="337"/>
      <c r="I5072" s="334"/>
      <c r="J5072" s="314"/>
      <c r="K5072" s="449"/>
      <c r="M5072" s="349" t="str">
        <f>N5072&amp;AS[[#This Row],[Insurer Code]]&amp;"; "&amp;O5072&amp;AS[[#This Row],[Reporting Year]]&amp;"; "&amp;P5072&amp;AS[[#This Row],[Insurance Category Code]]&amp;"; "&amp;Q5072&amp;AS[[#This Row],[Large Provider Entity Code]]&amp;"; "&amp;R5072&amp;AS[[#This Row],[Age Band Code]]&amp;"; "&amp;S5072&amp;AS[[#This Row],[Sex Code]]</f>
        <v xml:space="preserve">Insurer Code ; Reporting Year ; Insurance Category Code ; Large Provider Entity Code ; Age Band Code ; Sex Code </v>
      </c>
      <c r="N5072" s="345" t="s">
        <v>207</v>
      </c>
      <c r="O5072" s="345" t="s">
        <v>208</v>
      </c>
      <c r="P5072" s="345" t="s">
        <v>209</v>
      </c>
      <c r="Q5072" s="345" t="s">
        <v>210</v>
      </c>
      <c r="R5072" s="345" t="s">
        <v>223</v>
      </c>
      <c r="S5072" s="345" t="s">
        <v>224</v>
      </c>
    </row>
    <row r="5073" spans="1:19" x14ac:dyDescent="0.25">
      <c r="A5073" s="311"/>
      <c r="B5073" s="312"/>
      <c r="C5073" s="312"/>
      <c r="D5073" s="312"/>
      <c r="E5073" s="312"/>
      <c r="F5073" s="312"/>
      <c r="G5073" s="328"/>
      <c r="H5073" s="337"/>
      <c r="I5073" s="334"/>
      <c r="J5073" s="314"/>
      <c r="K5073" s="449"/>
      <c r="M5073" s="349" t="str">
        <f>N5073&amp;AS[[#This Row],[Insurer Code]]&amp;"; "&amp;O5073&amp;AS[[#This Row],[Reporting Year]]&amp;"; "&amp;P5073&amp;AS[[#This Row],[Insurance Category Code]]&amp;"; "&amp;Q5073&amp;AS[[#This Row],[Large Provider Entity Code]]&amp;"; "&amp;R5073&amp;AS[[#This Row],[Age Band Code]]&amp;"; "&amp;S5073&amp;AS[[#This Row],[Sex Code]]</f>
        <v xml:space="preserve">Insurer Code ; Reporting Year ; Insurance Category Code ; Large Provider Entity Code ; Age Band Code ; Sex Code </v>
      </c>
      <c r="N5073" s="345" t="s">
        <v>207</v>
      </c>
      <c r="O5073" s="345" t="s">
        <v>208</v>
      </c>
      <c r="P5073" s="345" t="s">
        <v>209</v>
      </c>
      <c r="Q5073" s="345" t="s">
        <v>210</v>
      </c>
      <c r="R5073" s="345" t="s">
        <v>223</v>
      </c>
      <c r="S5073" s="345" t="s">
        <v>224</v>
      </c>
    </row>
    <row r="5074" spans="1:19" x14ac:dyDescent="0.25">
      <c r="A5074" s="311"/>
      <c r="B5074" s="312"/>
      <c r="C5074" s="312"/>
      <c r="D5074" s="312"/>
      <c r="E5074" s="312"/>
      <c r="F5074" s="312"/>
      <c r="G5074" s="328"/>
      <c r="H5074" s="337"/>
      <c r="I5074" s="334"/>
      <c r="J5074" s="314"/>
      <c r="K5074" s="449"/>
      <c r="M5074" s="349" t="str">
        <f>N5074&amp;AS[[#This Row],[Insurer Code]]&amp;"; "&amp;O5074&amp;AS[[#This Row],[Reporting Year]]&amp;"; "&amp;P5074&amp;AS[[#This Row],[Insurance Category Code]]&amp;"; "&amp;Q5074&amp;AS[[#This Row],[Large Provider Entity Code]]&amp;"; "&amp;R5074&amp;AS[[#This Row],[Age Band Code]]&amp;"; "&amp;S5074&amp;AS[[#This Row],[Sex Code]]</f>
        <v xml:space="preserve">Insurer Code ; Reporting Year ; Insurance Category Code ; Large Provider Entity Code ; Age Band Code ; Sex Code </v>
      </c>
      <c r="N5074" s="345" t="s">
        <v>207</v>
      </c>
      <c r="O5074" s="345" t="s">
        <v>208</v>
      </c>
      <c r="P5074" s="345" t="s">
        <v>209</v>
      </c>
      <c r="Q5074" s="345" t="s">
        <v>210</v>
      </c>
      <c r="R5074" s="345" t="s">
        <v>223</v>
      </c>
      <c r="S5074" s="345" t="s">
        <v>224</v>
      </c>
    </row>
    <row r="5075" spans="1:19" x14ac:dyDescent="0.25">
      <c r="A5075" s="311"/>
      <c r="B5075" s="312"/>
      <c r="C5075" s="312"/>
      <c r="D5075" s="312"/>
      <c r="E5075" s="312"/>
      <c r="F5075" s="312"/>
      <c r="G5075" s="328"/>
      <c r="H5075" s="337"/>
      <c r="I5075" s="334"/>
      <c r="J5075" s="314"/>
      <c r="K5075" s="449"/>
      <c r="M5075" s="349" t="str">
        <f>N5075&amp;AS[[#This Row],[Insurer Code]]&amp;"; "&amp;O5075&amp;AS[[#This Row],[Reporting Year]]&amp;"; "&amp;P5075&amp;AS[[#This Row],[Insurance Category Code]]&amp;"; "&amp;Q5075&amp;AS[[#This Row],[Large Provider Entity Code]]&amp;"; "&amp;R5075&amp;AS[[#This Row],[Age Band Code]]&amp;"; "&amp;S5075&amp;AS[[#This Row],[Sex Code]]</f>
        <v xml:space="preserve">Insurer Code ; Reporting Year ; Insurance Category Code ; Large Provider Entity Code ; Age Band Code ; Sex Code </v>
      </c>
      <c r="N5075" s="345" t="s">
        <v>207</v>
      </c>
      <c r="O5075" s="345" t="s">
        <v>208</v>
      </c>
      <c r="P5075" s="345" t="s">
        <v>209</v>
      </c>
      <c r="Q5075" s="345" t="s">
        <v>210</v>
      </c>
      <c r="R5075" s="345" t="s">
        <v>223</v>
      </c>
      <c r="S5075" s="345" t="s">
        <v>224</v>
      </c>
    </row>
    <row r="5076" spans="1:19" x14ac:dyDescent="0.25">
      <c r="A5076" s="311"/>
      <c r="B5076" s="312"/>
      <c r="C5076" s="312"/>
      <c r="D5076" s="312"/>
      <c r="E5076" s="312"/>
      <c r="F5076" s="312"/>
      <c r="G5076" s="328"/>
      <c r="H5076" s="337"/>
      <c r="I5076" s="334"/>
      <c r="J5076" s="314"/>
      <c r="K5076" s="449"/>
      <c r="M5076" s="349" t="str">
        <f>N5076&amp;AS[[#This Row],[Insurer Code]]&amp;"; "&amp;O5076&amp;AS[[#This Row],[Reporting Year]]&amp;"; "&amp;P5076&amp;AS[[#This Row],[Insurance Category Code]]&amp;"; "&amp;Q5076&amp;AS[[#This Row],[Large Provider Entity Code]]&amp;"; "&amp;R5076&amp;AS[[#This Row],[Age Band Code]]&amp;"; "&amp;S5076&amp;AS[[#This Row],[Sex Code]]</f>
        <v xml:space="preserve">Insurer Code ; Reporting Year ; Insurance Category Code ; Large Provider Entity Code ; Age Band Code ; Sex Code </v>
      </c>
      <c r="N5076" s="345" t="s">
        <v>207</v>
      </c>
      <c r="O5076" s="345" t="s">
        <v>208</v>
      </c>
      <c r="P5076" s="345" t="s">
        <v>209</v>
      </c>
      <c r="Q5076" s="345" t="s">
        <v>210</v>
      </c>
      <c r="R5076" s="345" t="s">
        <v>223</v>
      </c>
      <c r="S5076" s="345" t="s">
        <v>224</v>
      </c>
    </row>
    <row r="5077" spans="1:19" x14ac:dyDescent="0.25">
      <c r="A5077" s="311"/>
      <c r="B5077" s="312"/>
      <c r="C5077" s="312"/>
      <c r="D5077" s="312"/>
      <c r="E5077" s="312"/>
      <c r="F5077" s="312"/>
      <c r="G5077" s="328"/>
      <c r="H5077" s="337"/>
      <c r="I5077" s="334"/>
      <c r="J5077" s="314"/>
      <c r="K5077" s="449"/>
      <c r="M5077" s="349" t="str">
        <f>N5077&amp;AS[[#This Row],[Insurer Code]]&amp;"; "&amp;O5077&amp;AS[[#This Row],[Reporting Year]]&amp;"; "&amp;P5077&amp;AS[[#This Row],[Insurance Category Code]]&amp;"; "&amp;Q5077&amp;AS[[#This Row],[Large Provider Entity Code]]&amp;"; "&amp;R5077&amp;AS[[#This Row],[Age Band Code]]&amp;"; "&amp;S5077&amp;AS[[#This Row],[Sex Code]]</f>
        <v xml:space="preserve">Insurer Code ; Reporting Year ; Insurance Category Code ; Large Provider Entity Code ; Age Band Code ; Sex Code </v>
      </c>
      <c r="N5077" s="345" t="s">
        <v>207</v>
      </c>
      <c r="O5077" s="345" t="s">
        <v>208</v>
      </c>
      <c r="P5077" s="345" t="s">
        <v>209</v>
      </c>
      <c r="Q5077" s="345" t="s">
        <v>210</v>
      </c>
      <c r="R5077" s="345" t="s">
        <v>223</v>
      </c>
      <c r="S5077" s="345" t="s">
        <v>224</v>
      </c>
    </row>
    <row r="5078" spans="1:19" x14ac:dyDescent="0.25">
      <c r="A5078" s="311"/>
      <c r="B5078" s="312"/>
      <c r="C5078" s="312"/>
      <c r="D5078" s="312"/>
      <c r="E5078" s="312"/>
      <c r="F5078" s="312"/>
      <c r="G5078" s="328"/>
      <c r="H5078" s="337"/>
      <c r="I5078" s="334"/>
      <c r="J5078" s="314"/>
      <c r="K5078" s="449"/>
      <c r="M5078" s="349" t="str">
        <f>N5078&amp;AS[[#This Row],[Insurer Code]]&amp;"; "&amp;O5078&amp;AS[[#This Row],[Reporting Year]]&amp;"; "&amp;P5078&amp;AS[[#This Row],[Insurance Category Code]]&amp;"; "&amp;Q5078&amp;AS[[#This Row],[Large Provider Entity Code]]&amp;"; "&amp;R5078&amp;AS[[#This Row],[Age Band Code]]&amp;"; "&amp;S5078&amp;AS[[#This Row],[Sex Code]]</f>
        <v xml:space="preserve">Insurer Code ; Reporting Year ; Insurance Category Code ; Large Provider Entity Code ; Age Band Code ; Sex Code </v>
      </c>
      <c r="N5078" s="345" t="s">
        <v>207</v>
      </c>
      <c r="O5078" s="345" t="s">
        <v>208</v>
      </c>
      <c r="P5078" s="345" t="s">
        <v>209</v>
      </c>
      <c r="Q5078" s="345" t="s">
        <v>210</v>
      </c>
      <c r="R5078" s="345" t="s">
        <v>223</v>
      </c>
      <c r="S5078" s="345" t="s">
        <v>224</v>
      </c>
    </row>
    <row r="5079" spans="1:19" x14ac:dyDescent="0.25">
      <c r="A5079" s="311"/>
      <c r="B5079" s="312"/>
      <c r="C5079" s="312"/>
      <c r="D5079" s="312"/>
      <c r="E5079" s="312"/>
      <c r="F5079" s="312"/>
      <c r="G5079" s="328"/>
      <c r="H5079" s="337"/>
      <c r="I5079" s="334"/>
      <c r="J5079" s="314"/>
      <c r="K5079" s="449"/>
      <c r="M5079" s="349" t="str">
        <f>N5079&amp;AS[[#This Row],[Insurer Code]]&amp;"; "&amp;O5079&amp;AS[[#This Row],[Reporting Year]]&amp;"; "&amp;P5079&amp;AS[[#This Row],[Insurance Category Code]]&amp;"; "&amp;Q5079&amp;AS[[#This Row],[Large Provider Entity Code]]&amp;"; "&amp;R5079&amp;AS[[#This Row],[Age Band Code]]&amp;"; "&amp;S5079&amp;AS[[#This Row],[Sex Code]]</f>
        <v xml:space="preserve">Insurer Code ; Reporting Year ; Insurance Category Code ; Large Provider Entity Code ; Age Band Code ; Sex Code </v>
      </c>
      <c r="N5079" s="345" t="s">
        <v>207</v>
      </c>
      <c r="O5079" s="345" t="s">
        <v>208</v>
      </c>
      <c r="P5079" s="345" t="s">
        <v>209</v>
      </c>
      <c r="Q5079" s="345" t="s">
        <v>210</v>
      </c>
      <c r="R5079" s="345" t="s">
        <v>223</v>
      </c>
      <c r="S5079" s="345" t="s">
        <v>224</v>
      </c>
    </row>
    <row r="5080" spans="1:19" x14ac:dyDescent="0.25">
      <c r="A5080" s="311"/>
      <c r="B5080" s="312"/>
      <c r="C5080" s="312"/>
      <c r="D5080" s="312"/>
      <c r="E5080" s="312"/>
      <c r="F5080" s="312"/>
      <c r="G5080" s="328"/>
      <c r="H5080" s="337"/>
      <c r="I5080" s="334"/>
      <c r="J5080" s="314"/>
      <c r="K5080" s="449"/>
      <c r="M5080" s="349" t="str">
        <f>N5080&amp;AS[[#This Row],[Insurer Code]]&amp;"; "&amp;O5080&amp;AS[[#This Row],[Reporting Year]]&amp;"; "&amp;P5080&amp;AS[[#This Row],[Insurance Category Code]]&amp;"; "&amp;Q5080&amp;AS[[#This Row],[Large Provider Entity Code]]&amp;"; "&amp;R5080&amp;AS[[#This Row],[Age Band Code]]&amp;"; "&amp;S5080&amp;AS[[#This Row],[Sex Code]]</f>
        <v xml:space="preserve">Insurer Code ; Reporting Year ; Insurance Category Code ; Large Provider Entity Code ; Age Band Code ; Sex Code </v>
      </c>
      <c r="N5080" s="345" t="s">
        <v>207</v>
      </c>
      <c r="O5080" s="345" t="s">
        <v>208</v>
      </c>
      <c r="P5080" s="345" t="s">
        <v>209</v>
      </c>
      <c r="Q5080" s="345" t="s">
        <v>210</v>
      </c>
      <c r="R5080" s="345" t="s">
        <v>223</v>
      </c>
      <c r="S5080" s="345" t="s">
        <v>224</v>
      </c>
    </row>
    <row r="5081" spans="1:19" x14ac:dyDescent="0.25">
      <c r="A5081" s="311"/>
      <c r="B5081" s="312"/>
      <c r="C5081" s="312"/>
      <c r="D5081" s="312"/>
      <c r="E5081" s="312"/>
      <c r="F5081" s="312"/>
      <c r="G5081" s="328"/>
      <c r="H5081" s="337"/>
      <c r="I5081" s="334"/>
      <c r="J5081" s="314"/>
      <c r="K5081" s="449"/>
      <c r="M5081" s="349" t="str">
        <f>N5081&amp;AS[[#This Row],[Insurer Code]]&amp;"; "&amp;O5081&amp;AS[[#This Row],[Reporting Year]]&amp;"; "&amp;P5081&amp;AS[[#This Row],[Insurance Category Code]]&amp;"; "&amp;Q5081&amp;AS[[#This Row],[Large Provider Entity Code]]&amp;"; "&amp;R5081&amp;AS[[#This Row],[Age Band Code]]&amp;"; "&amp;S5081&amp;AS[[#This Row],[Sex Code]]</f>
        <v xml:space="preserve">Insurer Code ; Reporting Year ; Insurance Category Code ; Large Provider Entity Code ; Age Band Code ; Sex Code </v>
      </c>
      <c r="N5081" s="345" t="s">
        <v>207</v>
      </c>
      <c r="O5081" s="345" t="s">
        <v>208</v>
      </c>
      <c r="P5081" s="345" t="s">
        <v>209</v>
      </c>
      <c r="Q5081" s="345" t="s">
        <v>210</v>
      </c>
      <c r="R5081" s="345" t="s">
        <v>223</v>
      </c>
      <c r="S5081" s="345" t="s">
        <v>224</v>
      </c>
    </row>
    <row r="5082" spans="1:19" x14ac:dyDescent="0.25">
      <c r="A5082" s="311"/>
      <c r="B5082" s="312"/>
      <c r="C5082" s="312"/>
      <c r="D5082" s="312"/>
      <c r="E5082" s="312"/>
      <c r="F5082" s="312"/>
      <c r="G5082" s="328"/>
      <c r="H5082" s="337"/>
      <c r="I5082" s="334"/>
      <c r="J5082" s="314"/>
      <c r="K5082" s="449"/>
      <c r="M5082" s="349" t="str">
        <f>N5082&amp;AS[[#This Row],[Insurer Code]]&amp;"; "&amp;O5082&amp;AS[[#This Row],[Reporting Year]]&amp;"; "&amp;P5082&amp;AS[[#This Row],[Insurance Category Code]]&amp;"; "&amp;Q5082&amp;AS[[#This Row],[Large Provider Entity Code]]&amp;"; "&amp;R5082&amp;AS[[#This Row],[Age Band Code]]&amp;"; "&amp;S5082&amp;AS[[#This Row],[Sex Code]]</f>
        <v xml:space="preserve">Insurer Code ; Reporting Year ; Insurance Category Code ; Large Provider Entity Code ; Age Band Code ; Sex Code </v>
      </c>
      <c r="N5082" s="345" t="s">
        <v>207</v>
      </c>
      <c r="O5082" s="345" t="s">
        <v>208</v>
      </c>
      <c r="P5082" s="345" t="s">
        <v>209</v>
      </c>
      <c r="Q5082" s="345" t="s">
        <v>210</v>
      </c>
      <c r="R5082" s="345" t="s">
        <v>223</v>
      </c>
      <c r="S5082" s="345" t="s">
        <v>224</v>
      </c>
    </row>
    <row r="5083" spans="1:19" x14ac:dyDescent="0.25">
      <c r="A5083" s="311"/>
      <c r="B5083" s="312"/>
      <c r="C5083" s="312"/>
      <c r="D5083" s="312"/>
      <c r="E5083" s="312"/>
      <c r="F5083" s="312"/>
      <c r="G5083" s="328"/>
      <c r="H5083" s="337"/>
      <c r="I5083" s="334"/>
      <c r="J5083" s="314"/>
      <c r="K5083" s="449"/>
      <c r="M5083" s="349" t="str">
        <f>N5083&amp;AS[[#This Row],[Insurer Code]]&amp;"; "&amp;O5083&amp;AS[[#This Row],[Reporting Year]]&amp;"; "&amp;P5083&amp;AS[[#This Row],[Insurance Category Code]]&amp;"; "&amp;Q5083&amp;AS[[#This Row],[Large Provider Entity Code]]&amp;"; "&amp;R5083&amp;AS[[#This Row],[Age Band Code]]&amp;"; "&amp;S5083&amp;AS[[#This Row],[Sex Code]]</f>
        <v xml:space="preserve">Insurer Code ; Reporting Year ; Insurance Category Code ; Large Provider Entity Code ; Age Band Code ; Sex Code </v>
      </c>
      <c r="N5083" s="345" t="s">
        <v>207</v>
      </c>
      <c r="O5083" s="345" t="s">
        <v>208</v>
      </c>
      <c r="P5083" s="345" t="s">
        <v>209</v>
      </c>
      <c r="Q5083" s="345" t="s">
        <v>210</v>
      </c>
      <c r="R5083" s="345" t="s">
        <v>223</v>
      </c>
      <c r="S5083" s="345" t="s">
        <v>224</v>
      </c>
    </row>
    <row r="5084" spans="1:19" x14ac:dyDescent="0.25">
      <c r="A5084" s="311"/>
      <c r="B5084" s="312"/>
      <c r="C5084" s="312"/>
      <c r="D5084" s="312"/>
      <c r="E5084" s="312"/>
      <c r="F5084" s="312"/>
      <c r="G5084" s="328"/>
      <c r="H5084" s="337"/>
      <c r="I5084" s="334"/>
      <c r="J5084" s="314"/>
      <c r="K5084" s="449"/>
      <c r="M5084" s="349" t="str">
        <f>N5084&amp;AS[[#This Row],[Insurer Code]]&amp;"; "&amp;O5084&amp;AS[[#This Row],[Reporting Year]]&amp;"; "&amp;P5084&amp;AS[[#This Row],[Insurance Category Code]]&amp;"; "&amp;Q5084&amp;AS[[#This Row],[Large Provider Entity Code]]&amp;"; "&amp;R5084&amp;AS[[#This Row],[Age Band Code]]&amp;"; "&amp;S5084&amp;AS[[#This Row],[Sex Code]]</f>
        <v xml:space="preserve">Insurer Code ; Reporting Year ; Insurance Category Code ; Large Provider Entity Code ; Age Band Code ; Sex Code </v>
      </c>
      <c r="N5084" s="345" t="s">
        <v>207</v>
      </c>
      <c r="O5084" s="345" t="s">
        <v>208</v>
      </c>
      <c r="P5084" s="345" t="s">
        <v>209</v>
      </c>
      <c r="Q5084" s="345" t="s">
        <v>210</v>
      </c>
      <c r="R5084" s="345" t="s">
        <v>223</v>
      </c>
      <c r="S5084" s="345" t="s">
        <v>224</v>
      </c>
    </row>
    <row r="5085" spans="1:19" x14ac:dyDescent="0.25">
      <c r="A5085" s="311"/>
      <c r="B5085" s="312"/>
      <c r="C5085" s="312"/>
      <c r="D5085" s="312"/>
      <c r="E5085" s="312"/>
      <c r="F5085" s="312"/>
      <c r="G5085" s="328"/>
      <c r="H5085" s="337"/>
      <c r="I5085" s="334"/>
      <c r="J5085" s="314"/>
      <c r="K5085" s="449"/>
      <c r="M5085" s="349" t="str">
        <f>N5085&amp;AS[[#This Row],[Insurer Code]]&amp;"; "&amp;O5085&amp;AS[[#This Row],[Reporting Year]]&amp;"; "&amp;P5085&amp;AS[[#This Row],[Insurance Category Code]]&amp;"; "&amp;Q5085&amp;AS[[#This Row],[Large Provider Entity Code]]&amp;"; "&amp;R5085&amp;AS[[#This Row],[Age Band Code]]&amp;"; "&amp;S5085&amp;AS[[#This Row],[Sex Code]]</f>
        <v xml:space="preserve">Insurer Code ; Reporting Year ; Insurance Category Code ; Large Provider Entity Code ; Age Band Code ; Sex Code </v>
      </c>
      <c r="N5085" s="345" t="s">
        <v>207</v>
      </c>
      <c r="O5085" s="345" t="s">
        <v>208</v>
      </c>
      <c r="P5085" s="345" t="s">
        <v>209</v>
      </c>
      <c r="Q5085" s="345" t="s">
        <v>210</v>
      </c>
      <c r="R5085" s="345" t="s">
        <v>223</v>
      </c>
      <c r="S5085" s="345" t="s">
        <v>224</v>
      </c>
    </row>
    <row r="5086" spans="1:19" x14ac:dyDescent="0.25">
      <c r="A5086" s="311"/>
      <c r="B5086" s="312"/>
      <c r="C5086" s="312"/>
      <c r="D5086" s="312"/>
      <c r="E5086" s="312"/>
      <c r="F5086" s="312"/>
      <c r="G5086" s="328"/>
      <c r="H5086" s="337"/>
      <c r="I5086" s="334"/>
      <c r="J5086" s="314"/>
      <c r="K5086" s="449"/>
      <c r="M5086" s="349" t="str">
        <f>N5086&amp;AS[[#This Row],[Insurer Code]]&amp;"; "&amp;O5086&amp;AS[[#This Row],[Reporting Year]]&amp;"; "&amp;P5086&amp;AS[[#This Row],[Insurance Category Code]]&amp;"; "&amp;Q5086&amp;AS[[#This Row],[Large Provider Entity Code]]&amp;"; "&amp;R5086&amp;AS[[#This Row],[Age Band Code]]&amp;"; "&amp;S5086&amp;AS[[#This Row],[Sex Code]]</f>
        <v xml:space="preserve">Insurer Code ; Reporting Year ; Insurance Category Code ; Large Provider Entity Code ; Age Band Code ; Sex Code </v>
      </c>
      <c r="N5086" s="345" t="s">
        <v>207</v>
      </c>
      <c r="O5086" s="345" t="s">
        <v>208</v>
      </c>
      <c r="P5086" s="345" t="s">
        <v>209</v>
      </c>
      <c r="Q5086" s="345" t="s">
        <v>210</v>
      </c>
      <c r="R5086" s="345" t="s">
        <v>223</v>
      </c>
      <c r="S5086" s="345" t="s">
        <v>224</v>
      </c>
    </row>
    <row r="5087" spans="1:19" x14ac:dyDescent="0.25">
      <c r="A5087" s="311"/>
      <c r="B5087" s="312"/>
      <c r="C5087" s="312"/>
      <c r="D5087" s="312"/>
      <c r="E5087" s="312"/>
      <c r="F5087" s="312"/>
      <c r="G5087" s="328"/>
      <c r="H5087" s="337"/>
      <c r="I5087" s="334"/>
      <c r="J5087" s="314"/>
      <c r="K5087" s="449"/>
      <c r="M5087" s="349" t="str">
        <f>N5087&amp;AS[[#This Row],[Insurer Code]]&amp;"; "&amp;O5087&amp;AS[[#This Row],[Reporting Year]]&amp;"; "&amp;P5087&amp;AS[[#This Row],[Insurance Category Code]]&amp;"; "&amp;Q5087&amp;AS[[#This Row],[Large Provider Entity Code]]&amp;"; "&amp;R5087&amp;AS[[#This Row],[Age Band Code]]&amp;"; "&amp;S5087&amp;AS[[#This Row],[Sex Code]]</f>
        <v xml:space="preserve">Insurer Code ; Reporting Year ; Insurance Category Code ; Large Provider Entity Code ; Age Band Code ; Sex Code </v>
      </c>
      <c r="N5087" s="345" t="s">
        <v>207</v>
      </c>
      <c r="O5087" s="345" t="s">
        <v>208</v>
      </c>
      <c r="P5087" s="345" t="s">
        <v>209</v>
      </c>
      <c r="Q5087" s="345" t="s">
        <v>210</v>
      </c>
      <c r="R5087" s="345" t="s">
        <v>223</v>
      </c>
      <c r="S5087" s="345" t="s">
        <v>224</v>
      </c>
    </row>
    <row r="5088" spans="1:19" x14ac:dyDescent="0.25">
      <c r="A5088" s="311"/>
      <c r="B5088" s="312"/>
      <c r="C5088" s="312"/>
      <c r="D5088" s="312"/>
      <c r="E5088" s="312"/>
      <c r="F5088" s="312"/>
      <c r="G5088" s="328"/>
      <c r="H5088" s="337"/>
      <c r="I5088" s="334"/>
      <c r="J5088" s="314"/>
      <c r="K5088" s="449"/>
      <c r="M5088" s="349" t="str">
        <f>N5088&amp;AS[[#This Row],[Insurer Code]]&amp;"; "&amp;O5088&amp;AS[[#This Row],[Reporting Year]]&amp;"; "&amp;P5088&amp;AS[[#This Row],[Insurance Category Code]]&amp;"; "&amp;Q5088&amp;AS[[#This Row],[Large Provider Entity Code]]&amp;"; "&amp;R5088&amp;AS[[#This Row],[Age Band Code]]&amp;"; "&amp;S5088&amp;AS[[#This Row],[Sex Code]]</f>
        <v xml:space="preserve">Insurer Code ; Reporting Year ; Insurance Category Code ; Large Provider Entity Code ; Age Band Code ; Sex Code </v>
      </c>
      <c r="N5088" s="345" t="s">
        <v>207</v>
      </c>
      <c r="O5088" s="345" t="s">
        <v>208</v>
      </c>
      <c r="P5088" s="345" t="s">
        <v>209</v>
      </c>
      <c r="Q5088" s="345" t="s">
        <v>210</v>
      </c>
      <c r="R5088" s="345" t="s">
        <v>223</v>
      </c>
      <c r="S5088" s="345" t="s">
        <v>224</v>
      </c>
    </row>
    <row r="5089" spans="1:19" x14ac:dyDescent="0.25">
      <c r="A5089" s="311"/>
      <c r="B5089" s="312"/>
      <c r="C5089" s="312"/>
      <c r="D5089" s="312"/>
      <c r="E5089" s="312"/>
      <c r="F5089" s="312"/>
      <c r="G5089" s="328"/>
      <c r="H5089" s="337"/>
      <c r="I5089" s="334"/>
      <c r="J5089" s="314"/>
      <c r="K5089" s="449"/>
      <c r="M5089" s="349" t="str">
        <f>N5089&amp;AS[[#This Row],[Insurer Code]]&amp;"; "&amp;O5089&amp;AS[[#This Row],[Reporting Year]]&amp;"; "&amp;P5089&amp;AS[[#This Row],[Insurance Category Code]]&amp;"; "&amp;Q5089&amp;AS[[#This Row],[Large Provider Entity Code]]&amp;"; "&amp;R5089&amp;AS[[#This Row],[Age Band Code]]&amp;"; "&amp;S5089&amp;AS[[#This Row],[Sex Code]]</f>
        <v xml:space="preserve">Insurer Code ; Reporting Year ; Insurance Category Code ; Large Provider Entity Code ; Age Band Code ; Sex Code </v>
      </c>
      <c r="N5089" s="345" t="s">
        <v>207</v>
      </c>
      <c r="O5089" s="345" t="s">
        <v>208</v>
      </c>
      <c r="P5089" s="345" t="s">
        <v>209</v>
      </c>
      <c r="Q5089" s="345" t="s">
        <v>210</v>
      </c>
      <c r="R5089" s="345" t="s">
        <v>223</v>
      </c>
      <c r="S5089" s="345" t="s">
        <v>224</v>
      </c>
    </row>
    <row r="5090" spans="1:19" x14ac:dyDescent="0.25">
      <c r="A5090" s="311"/>
      <c r="B5090" s="312"/>
      <c r="C5090" s="312"/>
      <c r="D5090" s="312"/>
      <c r="E5090" s="312"/>
      <c r="F5090" s="312"/>
      <c r="G5090" s="328"/>
      <c r="H5090" s="337"/>
      <c r="I5090" s="334"/>
      <c r="J5090" s="314"/>
      <c r="K5090" s="449"/>
      <c r="M5090" s="349" t="str">
        <f>N5090&amp;AS[[#This Row],[Insurer Code]]&amp;"; "&amp;O5090&amp;AS[[#This Row],[Reporting Year]]&amp;"; "&amp;P5090&amp;AS[[#This Row],[Insurance Category Code]]&amp;"; "&amp;Q5090&amp;AS[[#This Row],[Large Provider Entity Code]]&amp;"; "&amp;R5090&amp;AS[[#This Row],[Age Band Code]]&amp;"; "&amp;S5090&amp;AS[[#This Row],[Sex Code]]</f>
        <v xml:space="preserve">Insurer Code ; Reporting Year ; Insurance Category Code ; Large Provider Entity Code ; Age Band Code ; Sex Code </v>
      </c>
      <c r="N5090" s="345" t="s">
        <v>207</v>
      </c>
      <c r="O5090" s="345" t="s">
        <v>208</v>
      </c>
      <c r="P5090" s="345" t="s">
        <v>209</v>
      </c>
      <c r="Q5090" s="345" t="s">
        <v>210</v>
      </c>
      <c r="R5090" s="345" t="s">
        <v>223</v>
      </c>
      <c r="S5090" s="345" t="s">
        <v>224</v>
      </c>
    </row>
    <row r="5091" spans="1:19" x14ac:dyDescent="0.25">
      <c r="A5091" s="311"/>
      <c r="B5091" s="312"/>
      <c r="C5091" s="312"/>
      <c r="D5091" s="312"/>
      <c r="E5091" s="312"/>
      <c r="F5091" s="312"/>
      <c r="G5091" s="328"/>
      <c r="H5091" s="337"/>
      <c r="I5091" s="334"/>
      <c r="J5091" s="314"/>
      <c r="K5091" s="449"/>
      <c r="M5091" s="349" t="str">
        <f>N5091&amp;AS[[#This Row],[Insurer Code]]&amp;"; "&amp;O5091&amp;AS[[#This Row],[Reporting Year]]&amp;"; "&amp;P5091&amp;AS[[#This Row],[Insurance Category Code]]&amp;"; "&amp;Q5091&amp;AS[[#This Row],[Large Provider Entity Code]]&amp;"; "&amp;R5091&amp;AS[[#This Row],[Age Band Code]]&amp;"; "&amp;S5091&amp;AS[[#This Row],[Sex Code]]</f>
        <v xml:space="preserve">Insurer Code ; Reporting Year ; Insurance Category Code ; Large Provider Entity Code ; Age Band Code ; Sex Code </v>
      </c>
      <c r="N5091" s="345" t="s">
        <v>207</v>
      </c>
      <c r="O5091" s="345" t="s">
        <v>208</v>
      </c>
      <c r="P5091" s="345" t="s">
        <v>209</v>
      </c>
      <c r="Q5091" s="345" t="s">
        <v>210</v>
      </c>
      <c r="R5091" s="345" t="s">
        <v>223</v>
      </c>
      <c r="S5091" s="345" t="s">
        <v>224</v>
      </c>
    </row>
    <row r="5092" spans="1:19" x14ac:dyDescent="0.25">
      <c r="A5092" s="311"/>
      <c r="B5092" s="312"/>
      <c r="C5092" s="312"/>
      <c r="D5092" s="312"/>
      <c r="E5092" s="312"/>
      <c r="F5092" s="312"/>
      <c r="G5092" s="328"/>
      <c r="H5092" s="337"/>
      <c r="I5092" s="334"/>
      <c r="J5092" s="314"/>
      <c r="K5092" s="449"/>
      <c r="M5092" s="349" t="str">
        <f>N5092&amp;AS[[#This Row],[Insurer Code]]&amp;"; "&amp;O5092&amp;AS[[#This Row],[Reporting Year]]&amp;"; "&amp;P5092&amp;AS[[#This Row],[Insurance Category Code]]&amp;"; "&amp;Q5092&amp;AS[[#This Row],[Large Provider Entity Code]]&amp;"; "&amp;R5092&amp;AS[[#This Row],[Age Band Code]]&amp;"; "&amp;S5092&amp;AS[[#This Row],[Sex Code]]</f>
        <v xml:space="preserve">Insurer Code ; Reporting Year ; Insurance Category Code ; Large Provider Entity Code ; Age Band Code ; Sex Code </v>
      </c>
      <c r="N5092" s="345" t="s">
        <v>207</v>
      </c>
      <c r="O5092" s="345" t="s">
        <v>208</v>
      </c>
      <c r="P5092" s="345" t="s">
        <v>209</v>
      </c>
      <c r="Q5092" s="345" t="s">
        <v>210</v>
      </c>
      <c r="R5092" s="345" t="s">
        <v>223</v>
      </c>
      <c r="S5092" s="345" t="s">
        <v>224</v>
      </c>
    </row>
    <row r="5093" spans="1:19" x14ac:dyDescent="0.25">
      <c r="A5093" s="311"/>
      <c r="B5093" s="312"/>
      <c r="C5093" s="312"/>
      <c r="D5093" s="312"/>
      <c r="E5093" s="312"/>
      <c r="F5093" s="312"/>
      <c r="G5093" s="328"/>
      <c r="H5093" s="337"/>
      <c r="I5093" s="334"/>
      <c r="J5093" s="314"/>
      <c r="K5093" s="449"/>
      <c r="M5093" s="349" t="str">
        <f>N5093&amp;AS[[#This Row],[Insurer Code]]&amp;"; "&amp;O5093&amp;AS[[#This Row],[Reporting Year]]&amp;"; "&amp;P5093&amp;AS[[#This Row],[Insurance Category Code]]&amp;"; "&amp;Q5093&amp;AS[[#This Row],[Large Provider Entity Code]]&amp;"; "&amp;R5093&amp;AS[[#This Row],[Age Band Code]]&amp;"; "&amp;S5093&amp;AS[[#This Row],[Sex Code]]</f>
        <v xml:space="preserve">Insurer Code ; Reporting Year ; Insurance Category Code ; Large Provider Entity Code ; Age Band Code ; Sex Code </v>
      </c>
      <c r="N5093" s="345" t="s">
        <v>207</v>
      </c>
      <c r="O5093" s="345" t="s">
        <v>208</v>
      </c>
      <c r="P5093" s="345" t="s">
        <v>209</v>
      </c>
      <c r="Q5093" s="345" t="s">
        <v>210</v>
      </c>
      <c r="R5093" s="345" t="s">
        <v>223</v>
      </c>
      <c r="S5093" s="345" t="s">
        <v>224</v>
      </c>
    </row>
    <row r="5094" spans="1:19" x14ac:dyDescent="0.25">
      <c r="A5094" s="311"/>
      <c r="B5094" s="312"/>
      <c r="C5094" s="312"/>
      <c r="D5094" s="312"/>
      <c r="E5094" s="312"/>
      <c r="F5094" s="312"/>
      <c r="G5094" s="328"/>
      <c r="H5094" s="337"/>
      <c r="I5094" s="334"/>
      <c r="J5094" s="314"/>
      <c r="K5094" s="449"/>
      <c r="M5094" s="349" t="str">
        <f>N5094&amp;AS[[#This Row],[Insurer Code]]&amp;"; "&amp;O5094&amp;AS[[#This Row],[Reporting Year]]&amp;"; "&amp;P5094&amp;AS[[#This Row],[Insurance Category Code]]&amp;"; "&amp;Q5094&amp;AS[[#This Row],[Large Provider Entity Code]]&amp;"; "&amp;R5094&amp;AS[[#This Row],[Age Band Code]]&amp;"; "&amp;S5094&amp;AS[[#This Row],[Sex Code]]</f>
        <v xml:space="preserve">Insurer Code ; Reporting Year ; Insurance Category Code ; Large Provider Entity Code ; Age Band Code ; Sex Code </v>
      </c>
      <c r="N5094" s="345" t="s">
        <v>207</v>
      </c>
      <c r="O5094" s="345" t="s">
        <v>208</v>
      </c>
      <c r="P5094" s="345" t="s">
        <v>209</v>
      </c>
      <c r="Q5094" s="345" t="s">
        <v>210</v>
      </c>
      <c r="R5094" s="345" t="s">
        <v>223</v>
      </c>
      <c r="S5094" s="345" t="s">
        <v>224</v>
      </c>
    </row>
    <row r="5095" spans="1:19" x14ac:dyDescent="0.25">
      <c r="A5095" s="311"/>
      <c r="B5095" s="312"/>
      <c r="C5095" s="312"/>
      <c r="D5095" s="312"/>
      <c r="E5095" s="312"/>
      <c r="F5095" s="312"/>
      <c r="G5095" s="328"/>
      <c r="H5095" s="337"/>
      <c r="I5095" s="334"/>
      <c r="J5095" s="314"/>
      <c r="K5095" s="449"/>
      <c r="M5095" s="349" t="str">
        <f>N5095&amp;AS[[#This Row],[Insurer Code]]&amp;"; "&amp;O5095&amp;AS[[#This Row],[Reporting Year]]&amp;"; "&amp;P5095&amp;AS[[#This Row],[Insurance Category Code]]&amp;"; "&amp;Q5095&amp;AS[[#This Row],[Large Provider Entity Code]]&amp;"; "&amp;R5095&amp;AS[[#This Row],[Age Band Code]]&amp;"; "&amp;S5095&amp;AS[[#This Row],[Sex Code]]</f>
        <v xml:space="preserve">Insurer Code ; Reporting Year ; Insurance Category Code ; Large Provider Entity Code ; Age Band Code ; Sex Code </v>
      </c>
      <c r="N5095" s="345" t="s">
        <v>207</v>
      </c>
      <c r="O5095" s="345" t="s">
        <v>208</v>
      </c>
      <c r="P5095" s="345" t="s">
        <v>209</v>
      </c>
      <c r="Q5095" s="345" t="s">
        <v>210</v>
      </c>
      <c r="R5095" s="345" t="s">
        <v>223</v>
      </c>
      <c r="S5095" s="345" t="s">
        <v>224</v>
      </c>
    </row>
    <row r="5096" spans="1:19" x14ac:dyDescent="0.25">
      <c r="A5096" s="311"/>
      <c r="B5096" s="312"/>
      <c r="C5096" s="312"/>
      <c r="D5096" s="312"/>
      <c r="E5096" s="312"/>
      <c r="F5096" s="312"/>
      <c r="G5096" s="328"/>
      <c r="H5096" s="337"/>
      <c r="I5096" s="334"/>
      <c r="J5096" s="314"/>
      <c r="K5096" s="449"/>
      <c r="M5096" s="349" t="str">
        <f>N5096&amp;AS[[#This Row],[Insurer Code]]&amp;"; "&amp;O5096&amp;AS[[#This Row],[Reporting Year]]&amp;"; "&amp;P5096&amp;AS[[#This Row],[Insurance Category Code]]&amp;"; "&amp;Q5096&amp;AS[[#This Row],[Large Provider Entity Code]]&amp;"; "&amp;R5096&amp;AS[[#This Row],[Age Band Code]]&amp;"; "&amp;S5096&amp;AS[[#This Row],[Sex Code]]</f>
        <v xml:space="preserve">Insurer Code ; Reporting Year ; Insurance Category Code ; Large Provider Entity Code ; Age Band Code ; Sex Code </v>
      </c>
      <c r="N5096" s="345" t="s">
        <v>207</v>
      </c>
      <c r="O5096" s="345" t="s">
        <v>208</v>
      </c>
      <c r="P5096" s="345" t="s">
        <v>209</v>
      </c>
      <c r="Q5096" s="345" t="s">
        <v>210</v>
      </c>
      <c r="R5096" s="345" t="s">
        <v>223</v>
      </c>
      <c r="S5096" s="345" t="s">
        <v>224</v>
      </c>
    </row>
    <row r="5097" spans="1:19" x14ac:dyDescent="0.25">
      <c r="A5097" s="311"/>
      <c r="B5097" s="312"/>
      <c r="C5097" s="312"/>
      <c r="D5097" s="312"/>
      <c r="E5097" s="312"/>
      <c r="F5097" s="312"/>
      <c r="G5097" s="328"/>
      <c r="H5097" s="337"/>
      <c r="I5097" s="334"/>
      <c r="J5097" s="314"/>
      <c r="K5097" s="449"/>
      <c r="M5097" s="349" t="str">
        <f>N5097&amp;AS[[#This Row],[Insurer Code]]&amp;"; "&amp;O5097&amp;AS[[#This Row],[Reporting Year]]&amp;"; "&amp;P5097&amp;AS[[#This Row],[Insurance Category Code]]&amp;"; "&amp;Q5097&amp;AS[[#This Row],[Large Provider Entity Code]]&amp;"; "&amp;R5097&amp;AS[[#This Row],[Age Band Code]]&amp;"; "&amp;S5097&amp;AS[[#This Row],[Sex Code]]</f>
        <v xml:space="preserve">Insurer Code ; Reporting Year ; Insurance Category Code ; Large Provider Entity Code ; Age Band Code ; Sex Code </v>
      </c>
      <c r="N5097" s="345" t="s">
        <v>207</v>
      </c>
      <c r="O5097" s="345" t="s">
        <v>208</v>
      </c>
      <c r="P5097" s="345" t="s">
        <v>209</v>
      </c>
      <c r="Q5097" s="345" t="s">
        <v>210</v>
      </c>
      <c r="R5097" s="345" t="s">
        <v>223</v>
      </c>
      <c r="S5097" s="345" t="s">
        <v>224</v>
      </c>
    </row>
    <row r="5098" spans="1:19" x14ac:dyDescent="0.25">
      <c r="A5098" s="311"/>
      <c r="B5098" s="312"/>
      <c r="C5098" s="312"/>
      <c r="D5098" s="312"/>
      <c r="E5098" s="312"/>
      <c r="F5098" s="312"/>
      <c r="G5098" s="328"/>
      <c r="H5098" s="337"/>
      <c r="I5098" s="334"/>
      <c r="J5098" s="314"/>
      <c r="K5098" s="449"/>
      <c r="M5098" s="349" t="str">
        <f>N5098&amp;AS[[#This Row],[Insurer Code]]&amp;"; "&amp;O5098&amp;AS[[#This Row],[Reporting Year]]&amp;"; "&amp;P5098&amp;AS[[#This Row],[Insurance Category Code]]&amp;"; "&amp;Q5098&amp;AS[[#This Row],[Large Provider Entity Code]]&amp;"; "&amp;R5098&amp;AS[[#This Row],[Age Band Code]]&amp;"; "&amp;S5098&amp;AS[[#This Row],[Sex Code]]</f>
        <v xml:space="preserve">Insurer Code ; Reporting Year ; Insurance Category Code ; Large Provider Entity Code ; Age Band Code ; Sex Code </v>
      </c>
      <c r="N5098" s="345" t="s">
        <v>207</v>
      </c>
      <c r="O5098" s="345" t="s">
        <v>208</v>
      </c>
      <c r="P5098" s="345" t="s">
        <v>209</v>
      </c>
      <c r="Q5098" s="345" t="s">
        <v>210</v>
      </c>
      <c r="R5098" s="345" t="s">
        <v>223</v>
      </c>
      <c r="S5098" s="345" t="s">
        <v>224</v>
      </c>
    </row>
    <row r="5099" spans="1:19" x14ac:dyDescent="0.25">
      <c r="A5099" s="311"/>
      <c r="B5099" s="312"/>
      <c r="C5099" s="312"/>
      <c r="D5099" s="312"/>
      <c r="E5099" s="312"/>
      <c r="F5099" s="312"/>
      <c r="G5099" s="328"/>
      <c r="H5099" s="337"/>
      <c r="I5099" s="334"/>
      <c r="J5099" s="314"/>
      <c r="K5099" s="449"/>
      <c r="M5099" s="349" t="str">
        <f>N5099&amp;AS[[#This Row],[Insurer Code]]&amp;"; "&amp;O5099&amp;AS[[#This Row],[Reporting Year]]&amp;"; "&amp;P5099&amp;AS[[#This Row],[Insurance Category Code]]&amp;"; "&amp;Q5099&amp;AS[[#This Row],[Large Provider Entity Code]]&amp;"; "&amp;R5099&amp;AS[[#This Row],[Age Band Code]]&amp;"; "&amp;S5099&amp;AS[[#This Row],[Sex Code]]</f>
        <v xml:space="preserve">Insurer Code ; Reporting Year ; Insurance Category Code ; Large Provider Entity Code ; Age Band Code ; Sex Code </v>
      </c>
      <c r="N5099" s="345" t="s">
        <v>207</v>
      </c>
      <c r="O5099" s="345" t="s">
        <v>208</v>
      </c>
      <c r="P5099" s="345" t="s">
        <v>209</v>
      </c>
      <c r="Q5099" s="345" t="s">
        <v>210</v>
      </c>
      <c r="R5099" s="345" t="s">
        <v>223</v>
      </c>
      <c r="S5099" s="345" t="s">
        <v>224</v>
      </c>
    </row>
    <row r="5100" spans="1:19" x14ac:dyDescent="0.25">
      <c r="A5100" s="311"/>
      <c r="B5100" s="312"/>
      <c r="C5100" s="312"/>
      <c r="D5100" s="312"/>
      <c r="E5100" s="312"/>
      <c r="F5100" s="312"/>
      <c r="G5100" s="328"/>
      <c r="H5100" s="337"/>
      <c r="I5100" s="334"/>
      <c r="J5100" s="314"/>
      <c r="K5100" s="449"/>
      <c r="M5100" s="349" t="str">
        <f>N5100&amp;AS[[#This Row],[Insurer Code]]&amp;"; "&amp;O5100&amp;AS[[#This Row],[Reporting Year]]&amp;"; "&amp;P5100&amp;AS[[#This Row],[Insurance Category Code]]&amp;"; "&amp;Q5100&amp;AS[[#This Row],[Large Provider Entity Code]]&amp;"; "&amp;R5100&amp;AS[[#This Row],[Age Band Code]]&amp;"; "&amp;S5100&amp;AS[[#This Row],[Sex Code]]</f>
        <v xml:space="preserve">Insurer Code ; Reporting Year ; Insurance Category Code ; Large Provider Entity Code ; Age Band Code ; Sex Code </v>
      </c>
      <c r="N5100" s="345" t="s">
        <v>207</v>
      </c>
      <c r="O5100" s="345" t="s">
        <v>208</v>
      </c>
      <c r="P5100" s="345" t="s">
        <v>209</v>
      </c>
      <c r="Q5100" s="345" t="s">
        <v>210</v>
      </c>
      <c r="R5100" s="345" t="s">
        <v>223</v>
      </c>
      <c r="S5100" s="345" t="s">
        <v>224</v>
      </c>
    </row>
    <row r="5101" spans="1:19" x14ac:dyDescent="0.25">
      <c r="A5101" s="311"/>
      <c r="B5101" s="312"/>
      <c r="C5101" s="312"/>
      <c r="D5101" s="312"/>
      <c r="E5101" s="312"/>
      <c r="F5101" s="312"/>
      <c r="G5101" s="328"/>
      <c r="H5101" s="337"/>
      <c r="I5101" s="334"/>
      <c r="J5101" s="314"/>
      <c r="K5101" s="449"/>
      <c r="M5101" s="349" t="str">
        <f>N5101&amp;AS[[#This Row],[Insurer Code]]&amp;"; "&amp;O5101&amp;AS[[#This Row],[Reporting Year]]&amp;"; "&amp;P5101&amp;AS[[#This Row],[Insurance Category Code]]&amp;"; "&amp;Q5101&amp;AS[[#This Row],[Large Provider Entity Code]]&amp;"; "&amp;R5101&amp;AS[[#This Row],[Age Band Code]]&amp;"; "&amp;S5101&amp;AS[[#This Row],[Sex Code]]</f>
        <v xml:space="preserve">Insurer Code ; Reporting Year ; Insurance Category Code ; Large Provider Entity Code ; Age Band Code ; Sex Code </v>
      </c>
      <c r="N5101" s="345" t="s">
        <v>207</v>
      </c>
      <c r="O5101" s="345" t="s">
        <v>208</v>
      </c>
      <c r="P5101" s="345" t="s">
        <v>209</v>
      </c>
      <c r="Q5101" s="345" t="s">
        <v>210</v>
      </c>
      <c r="R5101" s="345" t="s">
        <v>223</v>
      </c>
      <c r="S5101" s="345" t="s">
        <v>224</v>
      </c>
    </row>
    <row r="5102" spans="1:19" x14ac:dyDescent="0.25">
      <c r="A5102" s="311"/>
      <c r="B5102" s="312"/>
      <c r="C5102" s="312"/>
      <c r="D5102" s="312"/>
      <c r="E5102" s="312"/>
      <c r="F5102" s="312"/>
      <c r="G5102" s="328"/>
      <c r="H5102" s="337"/>
      <c r="I5102" s="334"/>
      <c r="J5102" s="314"/>
      <c r="K5102" s="449"/>
      <c r="M5102" s="349" t="str">
        <f>N5102&amp;AS[[#This Row],[Insurer Code]]&amp;"; "&amp;O5102&amp;AS[[#This Row],[Reporting Year]]&amp;"; "&amp;P5102&amp;AS[[#This Row],[Insurance Category Code]]&amp;"; "&amp;Q5102&amp;AS[[#This Row],[Large Provider Entity Code]]&amp;"; "&amp;R5102&amp;AS[[#This Row],[Age Band Code]]&amp;"; "&amp;S5102&amp;AS[[#This Row],[Sex Code]]</f>
        <v xml:space="preserve">Insurer Code ; Reporting Year ; Insurance Category Code ; Large Provider Entity Code ; Age Band Code ; Sex Code </v>
      </c>
      <c r="N5102" s="345" t="s">
        <v>207</v>
      </c>
      <c r="O5102" s="345" t="s">
        <v>208</v>
      </c>
      <c r="P5102" s="345" t="s">
        <v>209</v>
      </c>
      <c r="Q5102" s="345" t="s">
        <v>210</v>
      </c>
      <c r="R5102" s="345" t="s">
        <v>223</v>
      </c>
      <c r="S5102" s="345" t="s">
        <v>224</v>
      </c>
    </row>
    <row r="5103" spans="1:19" x14ac:dyDescent="0.25">
      <c r="A5103" s="311"/>
      <c r="B5103" s="312"/>
      <c r="C5103" s="312"/>
      <c r="D5103" s="312"/>
      <c r="E5103" s="312"/>
      <c r="F5103" s="312"/>
      <c r="G5103" s="328"/>
      <c r="H5103" s="337"/>
      <c r="I5103" s="334"/>
      <c r="J5103" s="314"/>
      <c r="K5103" s="449"/>
      <c r="M5103" s="349" t="str">
        <f>N5103&amp;AS[[#This Row],[Insurer Code]]&amp;"; "&amp;O5103&amp;AS[[#This Row],[Reporting Year]]&amp;"; "&amp;P5103&amp;AS[[#This Row],[Insurance Category Code]]&amp;"; "&amp;Q5103&amp;AS[[#This Row],[Large Provider Entity Code]]&amp;"; "&amp;R5103&amp;AS[[#This Row],[Age Band Code]]&amp;"; "&amp;S5103&amp;AS[[#This Row],[Sex Code]]</f>
        <v xml:space="preserve">Insurer Code ; Reporting Year ; Insurance Category Code ; Large Provider Entity Code ; Age Band Code ; Sex Code </v>
      </c>
      <c r="N5103" s="345" t="s">
        <v>207</v>
      </c>
      <c r="O5103" s="345" t="s">
        <v>208</v>
      </c>
      <c r="P5103" s="345" t="s">
        <v>209</v>
      </c>
      <c r="Q5103" s="345" t="s">
        <v>210</v>
      </c>
      <c r="R5103" s="345" t="s">
        <v>223</v>
      </c>
      <c r="S5103" s="345" t="s">
        <v>224</v>
      </c>
    </row>
    <row r="5104" spans="1:19" x14ac:dyDescent="0.25">
      <c r="A5104" s="311"/>
      <c r="B5104" s="312"/>
      <c r="C5104" s="312"/>
      <c r="D5104" s="312"/>
      <c r="E5104" s="312"/>
      <c r="F5104" s="312"/>
      <c r="G5104" s="328"/>
      <c r="H5104" s="337"/>
      <c r="I5104" s="334"/>
      <c r="J5104" s="314"/>
      <c r="K5104" s="449"/>
      <c r="M5104" s="349" t="str">
        <f>N5104&amp;AS[[#This Row],[Insurer Code]]&amp;"; "&amp;O5104&amp;AS[[#This Row],[Reporting Year]]&amp;"; "&amp;P5104&amp;AS[[#This Row],[Insurance Category Code]]&amp;"; "&amp;Q5104&amp;AS[[#This Row],[Large Provider Entity Code]]&amp;"; "&amp;R5104&amp;AS[[#This Row],[Age Band Code]]&amp;"; "&amp;S5104&amp;AS[[#This Row],[Sex Code]]</f>
        <v xml:space="preserve">Insurer Code ; Reporting Year ; Insurance Category Code ; Large Provider Entity Code ; Age Band Code ; Sex Code </v>
      </c>
      <c r="N5104" s="345" t="s">
        <v>207</v>
      </c>
      <c r="O5104" s="345" t="s">
        <v>208</v>
      </c>
      <c r="P5104" s="345" t="s">
        <v>209</v>
      </c>
      <c r="Q5104" s="345" t="s">
        <v>210</v>
      </c>
      <c r="R5104" s="345" t="s">
        <v>223</v>
      </c>
      <c r="S5104" s="345" t="s">
        <v>224</v>
      </c>
    </row>
    <row r="5105" spans="1:19" x14ac:dyDescent="0.25">
      <c r="A5105" s="311"/>
      <c r="B5105" s="312"/>
      <c r="C5105" s="312"/>
      <c r="D5105" s="312"/>
      <c r="E5105" s="312"/>
      <c r="F5105" s="312"/>
      <c r="G5105" s="328"/>
      <c r="H5105" s="337"/>
      <c r="I5105" s="334"/>
      <c r="J5105" s="314"/>
      <c r="K5105" s="449"/>
      <c r="M5105" s="349" t="str">
        <f>N5105&amp;AS[[#This Row],[Insurer Code]]&amp;"; "&amp;O5105&amp;AS[[#This Row],[Reporting Year]]&amp;"; "&amp;P5105&amp;AS[[#This Row],[Insurance Category Code]]&amp;"; "&amp;Q5105&amp;AS[[#This Row],[Large Provider Entity Code]]&amp;"; "&amp;R5105&amp;AS[[#This Row],[Age Band Code]]&amp;"; "&amp;S5105&amp;AS[[#This Row],[Sex Code]]</f>
        <v xml:space="preserve">Insurer Code ; Reporting Year ; Insurance Category Code ; Large Provider Entity Code ; Age Band Code ; Sex Code </v>
      </c>
      <c r="N5105" s="345" t="s">
        <v>207</v>
      </c>
      <c r="O5105" s="345" t="s">
        <v>208</v>
      </c>
      <c r="P5105" s="345" t="s">
        <v>209</v>
      </c>
      <c r="Q5105" s="345" t="s">
        <v>210</v>
      </c>
      <c r="R5105" s="345" t="s">
        <v>223</v>
      </c>
      <c r="S5105" s="345" t="s">
        <v>224</v>
      </c>
    </row>
    <row r="5106" spans="1:19" x14ac:dyDescent="0.25">
      <c r="A5106" s="311"/>
      <c r="B5106" s="312"/>
      <c r="C5106" s="312"/>
      <c r="D5106" s="312"/>
      <c r="E5106" s="312"/>
      <c r="F5106" s="312"/>
      <c r="G5106" s="328"/>
      <c r="H5106" s="337"/>
      <c r="I5106" s="334"/>
      <c r="J5106" s="314"/>
      <c r="K5106" s="449"/>
      <c r="M5106" s="349" t="str">
        <f>N5106&amp;AS[[#This Row],[Insurer Code]]&amp;"; "&amp;O5106&amp;AS[[#This Row],[Reporting Year]]&amp;"; "&amp;P5106&amp;AS[[#This Row],[Insurance Category Code]]&amp;"; "&amp;Q5106&amp;AS[[#This Row],[Large Provider Entity Code]]&amp;"; "&amp;R5106&amp;AS[[#This Row],[Age Band Code]]&amp;"; "&amp;S5106&amp;AS[[#This Row],[Sex Code]]</f>
        <v xml:space="preserve">Insurer Code ; Reporting Year ; Insurance Category Code ; Large Provider Entity Code ; Age Band Code ; Sex Code </v>
      </c>
      <c r="N5106" s="345" t="s">
        <v>207</v>
      </c>
      <c r="O5106" s="345" t="s">
        <v>208</v>
      </c>
      <c r="P5106" s="345" t="s">
        <v>209</v>
      </c>
      <c r="Q5106" s="345" t="s">
        <v>210</v>
      </c>
      <c r="R5106" s="345" t="s">
        <v>223</v>
      </c>
      <c r="S5106" s="345" t="s">
        <v>224</v>
      </c>
    </row>
    <row r="5107" spans="1:19" x14ac:dyDescent="0.25">
      <c r="A5107" s="311"/>
      <c r="B5107" s="312"/>
      <c r="C5107" s="312"/>
      <c r="D5107" s="312"/>
      <c r="E5107" s="312"/>
      <c r="F5107" s="312"/>
      <c r="G5107" s="328"/>
      <c r="H5107" s="337"/>
      <c r="I5107" s="334"/>
      <c r="J5107" s="314"/>
      <c r="K5107" s="449"/>
      <c r="M5107" s="349" t="str">
        <f>N5107&amp;AS[[#This Row],[Insurer Code]]&amp;"; "&amp;O5107&amp;AS[[#This Row],[Reporting Year]]&amp;"; "&amp;P5107&amp;AS[[#This Row],[Insurance Category Code]]&amp;"; "&amp;Q5107&amp;AS[[#This Row],[Large Provider Entity Code]]&amp;"; "&amp;R5107&amp;AS[[#This Row],[Age Band Code]]&amp;"; "&amp;S5107&amp;AS[[#This Row],[Sex Code]]</f>
        <v xml:space="preserve">Insurer Code ; Reporting Year ; Insurance Category Code ; Large Provider Entity Code ; Age Band Code ; Sex Code </v>
      </c>
      <c r="N5107" s="345" t="s">
        <v>207</v>
      </c>
      <c r="O5107" s="345" t="s">
        <v>208</v>
      </c>
      <c r="P5107" s="345" t="s">
        <v>209</v>
      </c>
      <c r="Q5107" s="345" t="s">
        <v>210</v>
      </c>
      <c r="R5107" s="345" t="s">
        <v>223</v>
      </c>
      <c r="S5107" s="345" t="s">
        <v>224</v>
      </c>
    </row>
    <row r="5108" spans="1:19" x14ac:dyDescent="0.25">
      <c r="A5108" s="311"/>
      <c r="B5108" s="312"/>
      <c r="C5108" s="312"/>
      <c r="D5108" s="312"/>
      <c r="E5108" s="312"/>
      <c r="F5108" s="312"/>
      <c r="G5108" s="328"/>
      <c r="H5108" s="337"/>
      <c r="I5108" s="334"/>
      <c r="J5108" s="314"/>
      <c r="K5108" s="449"/>
      <c r="M5108" s="349" t="str">
        <f>N5108&amp;AS[[#This Row],[Insurer Code]]&amp;"; "&amp;O5108&amp;AS[[#This Row],[Reporting Year]]&amp;"; "&amp;P5108&amp;AS[[#This Row],[Insurance Category Code]]&amp;"; "&amp;Q5108&amp;AS[[#This Row],[Large Provider Entity Code]]&amp;"; "&amp;R5108&amp;AS[[#This Row],[Age Band Code]]&amp;"; "&amp;S5108&amp;AS[[#This Row],[Sex Code]]</f>
        <v xml:space="preserve">Insurer Code ; Reporting Year ; Insurance Category Code ; Large Provider Entity Code ; Age Band Code ; Sex Code </v>
      </c>
      <c r="N5108" s="345" t="s">
        <v>207</v>
      </c>
      <c r="O5108" s="345" t="s">
        <v>208</v>
      </c>
      <c r="P5108" s="345" t="s">
        <v>209</v>
      </c>
      <c r="Q5108" s="345" t="s">
        <v>210</v>
      </c>
      <c r="R5108" s="345" t="s">
        <v>223</v>
      </c>
      <c r="S5108" s="345" t="s">
        <v>224</v>
      </c>
    </row>
    <row r="5109" spans="1:19" x14ac:dyDescent="0.25">
      <c r="A5109" s="311"/>
      <c r="B5109" s="312"/>
      <c r="C5109" s="312"/>
      <c r="D5109" s="312"/>
      <c r="E5109" s="312"/>
      <c r="F5109" s="312"/>
      <c r="G5109" s="328"/>
      <c r="H5109" s="337"/>
      <c r="I5109" s="334"/>
      <c r="J5109" s="314"/>
      <c r="K5109" s="449"/>
      <c r="M5109" s="349" t="str">
        <f>N5109&amp;AS[[#This Row],[Insurer Code]]&amp;"; "&amp;O5109&amp;AS[[#This Row],[Reporting Year]]&amp;"; "&amp;P5109&amp;AS[[#This Row],[Insurance Category Code]]&amp;"; "&amp;Q5109&amp;AS[[#This Row],[Large Provider Entity Code]]&amp;"; "&amp;R5109&amp;AS[[#This Row],[Age Band Code]]&amp;"; "&amp;S5109&amp;AS[[#This Row],[Sex Code]]</f>
        <v xml:space="preserve">Insurer Code ; Reporting Year ; Insurance Category Code ; Large Provider Entity Code ; Age Band Code ; Sex Code </v>
      </c>
      <c r="N5109" s="345" t="s">
        <v>207</v>
      </c>
      <c r="O5109" s="345" t="s">
        <v>208</v>
      </c>
      <c r="P5109" s="345" t="s">
        <v>209</v>
      </c>
      <c r="Q5109" s="345" t="s">
        <v>210</v>
      </c>
      <c r="R5109" s="345" t="s">
        <v>223</v>
      </c>
      <c r="S5109" s="345" t="s">
        <v>224</v>
      </c>
    </row>
    <row r="5110" spans="1:19" x14ac:dyDescent="0.25">
      <c r="A5110" s="311"/>
      <c r="B5110" s="312"/>
      <c r="C5110" s="312"/>
      <c r="D5110" s="312"/>
      <c r="E5110" s="312"/>
      <c r="F5110" s="312"/>
      <c r="G5110" s="328"/>
      <c r="H5110" s="337"/>
      <c r="I5110" s="334"/>
      <c r="J5110" s="314"/>
      <c r="K5110" s="449"/>
      <c r="M5110" s="349" t="str">
        <f>N5110&amp;AS[[#This Row],[Insurer Code]]&amp;"; "&amp;O5110&amp;AS[[#This Row],[Reporting Year]]&amp;"; "&amp;P5110&amp;AS[[#This Row],[Insurance Category Code]]&amp;"; "&amp;Q5110&amp;AS[[#This Row],[Large Provider Entity Code]]&amp;"; "&amp;R5110&amp;AS[[#This Row],[Age Band Code]]&amp;"; "&amp;S5110&amp;AS[[#This Row],[Sex Code]]</f>
        <v xml:space="preserve">Insurer Code ; Reporting Year ; Insurance Category Code ; Large Provider Entity Code ; Age Band Code ; Sex Code </v>
      </c>
      <c r="N5110" s="345" t="s">
        <v>207</v>
      </c>
      <c r="O5110" s="345" t="s">
        <v>208</v>
      </c>
      <c r="P5110" s="345" t="s">
        <v>209</v>
      </c>
      <c r="Q5110" s="345" t="s">
        <v>210</v>
      </c>
      <c r="R5110" s="345" t="s">
        <v>223</v>
      </c>
      <c r="S5110" s="345" t="s">
        <v>224</v>
      </c>
    </row>
    <row r="5111" spans="1:19" x14ac:dyDescent="0.25">
      <c r="A5111" s="311"/>
      <c r="B5111" s="312"/>
      <c r="C5111" s="312"/>
      <c r="D5111" s="312"/>
      <c r="E5111" s="312"/>
      <c r="F5111" s="312"/>
      <c r="G5111" s="328"/>
      <c r="H5111" s="337"/>
      <c r="I5111" s="334"/>
      <c r="J5111" s="314"/>
      <c r="K5111" s="449"/>
      <c r="M5111" s="349" t="str">
        <f>N5111&amp;AS[[#This Row],[Insurer Code]]&amp;"; "&amp;O5111&amp;AS[[#This Row],[Reporting Year]]&amp;"; "&amp;P5111&amp;AS[[#This Row],[Insurance Category Code]]&amp;"; "&amp;Q5111&amp;AS[[#This Row],[Large Provider Entity Code]]&amp;"; "&amp;R5111&amp;AS[[#This Row],[Age Band Code]]&amp;"; "&amp;S5111&amp;AS[[#This Row],[Sex Code]]</f>
        <v xml:space="preserve">Insurer Code ; Reporting Year ; Insurance Category Code ; Large Provider Entity Code ; Age Band Code ; Sex Code </v>
      </c>
      <c r="N5111" s="345" t="s">
        <v>207</v>
      </c>
      <c r="O5111" s="345" t="s">
        <v>208</v>
      </c>
      <c r="P5111" s="345" t="s">
        <v>209</v>
      </c>
      <c r="Q5111" s="345" t="s">
        <v>210</v>
      </c>
      <c r="R5111" s="345" t="s">
        <v>223</v>
      </c>
      <c r="S5111" s="345" t="s">
        <v>224</v>
      </c>
    </row>
    <row r="5112" spans="1:19" x14ac:dyDescent="0.25">
      <c r="A5112" s="311"/>
      <c r="B5112" s="312"/>
      <c r="C5112" s="312"/>
      <c r="D5112" s="312"/>
      <c r="E5112" s="312"/>
      <c r="F5112" s="312"/>
      <c r="G5112" s="328"/>
      <c r="H5112" s="337"/>
      <c r="I5112" s="334"/>
      <c r="J5112" s="314"/>
      <c r="K5112" s="449"/>
      <c r="M5112" s="349" t="str">
        <f>N5112&amp;AS[[#This Row],[Insurer Code]]&amp;"; "&amp;O5112&amp;AS[[#This Row],[Reporting Year]]&amp;"; "&amp;P5112&amp;AS[[#This Row],[Insurance Category Code]]&amp;"; "&amp;Q5112&amp;AS[[#This Row],[Large Provider Entity Code]]&amp;"; "&amp;R5112&amp;AS[[#This Row],[Age Band Code]]&amp;"; "&amp;S5112&amp;AS[[#This Row],[Sex Code]]</f>
        <v xml:space="preserve">Insurer Code ; Reporting Year ; Insurance Category Code ; Large Provider Entity Code ; Age Band Code ; Sex Code </v>
      </c>
      <c r="N5112" s="345" t="s">
        <v>207</v>
      </c>
      <c r="O5112" s="345" t="s">
        <v>208</v>
      </c>
      <c r="P5112" s="345" t="s">
        <v>209</v>
      </c>
      <c r="Q5112" s="345" t="s">
        <v>210</v>
      </c>
      <c r="R5112" s="345" t="s">
        <v>223</v>
      </c>
      <c r="S5112" s="345" t="s">
        <v>224</v>
      </c>
    </row>
    <row r="5113" spans="1:19" x14ac:dyDescent="0.25">
      <c r="A5113" s="311"/>
      <c r="B5113" s="312"/>
      <c r="C5113" s="312"/>
      <c r="D5113" s="312"/>
      <c r="E5113" s="312"/>
      <c r="F5113" s="312"/>
      <c r="G5113" s="328"/>
      <c r="H5113" s="337"/>
      <c r="I5113" s="334"/>
      <c r="J5113" s="314"/>
      <c r="K5113" s="449"/>
      <c r="M5113" s="349" t="str">
        <f>N5113&amp;AS[[#This Row],[Insurer Code]]&amp;"; "&amp;O5113&amp;AS[[#This Row],[Reporting Year]]&amp;"; "&amp;P5113&amp;AS[[#This Row],[Insurance Category Code]]&amp;"; "&amp;Q5113&amp;AS[[#This Row],[Large Provider Entity Code]]&amp;"; "&amp;R5113&amp;AS[[#This Row],[Age Band Code]]&amp;"; "&amp;S5113&amp;AS[[#This Row],[Sex Code]]</f>
        <v xml:space="preserve">Insurer Code ; Reporting Year ; Insurance Category Code ; Large Provider Entity Code ; Age Band Code ; Sex Code </v>
      </c>
      <c r="N5113" s="345" t="s">
        <v>207</v>
      </c>
      <c r="O5113" s="345" t="s">
        <v>208</v>
      </c>
      <c r="P5113" s="345" t="s">
        <v>209</v>
      </c>
      <c r="Q5113" s="345" t="s">
        <v>210</v>
      </c>
      <c r="R5113" s="345" t="s">
        <v>223</v>
      </c>
      <c r="S5113" s="345" t="s">
        <v>224</v>
      </c>
    </row>
    <row r="5114" spans="1:19" x14ac:dyDescent="0.25">
      <c r="A5114" s="311"/>
      <c r="B5114" s="312"/>
      <c r="C5114" s="312"/>
      <c r="D5114" s="312"/>
      <c r="E5114" s="312"/>
      <c r="F5114" s="312"/>
      <c r="G5114" s="328"/>
      <c r="H5114" s="337"/>
      <c r="I5114" s="334"/>
      <c r="J5114" s="314"/>
      <c r="K5114" s="449"/>
      <c r="M5114" s="349" t="str">
        <f>N5114&amp;AS[[#This Row],[Insurer Code]]&amp;"; "&amp;O5114&amp;AS[[#This Row],[Reporting Year]]&amp;"; "&amp;P5114&amp;AS[[#This Row],[Insurance Category Code]]&amp;"; "&amp;Q5114&amp;AS[[#This Row],[Large Provider Entity Code]]&amp;"; "&amp;R5114&amp;AS[[#This Row],[Age Band Code]]&amp;"; "&amp;S5114&amp;AS[[#This Row],[Sex Code]]</f>
        <v xml:space="preserve">Insurer Code ; Reporting Year ; Insurance Category Code ; Large Provider Entity Code ; Age Band Code ; Sex Code </v>
      </c>
      <c r="N5114" s="345" t="s">
        <v>207</v>
      </c>
      <c r="O5114" s="345" t="s">
        <v>208</v>
      </c>
      <c r="P5114" s="345" t="s">
        <v>209</v>
      </c>
      <c r="Q5114" s="345" t="s">
        <v>210</v>
      </c>
      <c r="R5114" s="345" t="s">
        <v>223</v>
      </c>
      <c r="S5114" s="345" t="s">
        <v>224</v>
      </c>
    </row>
    <row r="5115" spans="1:19" x14ac:dyDescent="0.25">
      <c r="A5115" s="311"/>
      <c r="B5115" s="312"/>
      <c r="C5115" s="312"/>
      <c r="D5115" s="312"/>
      <c r="E5115" s="312"/>
      <c r="F5115" s="312"/>
      <c r="G5115" s="328"/>
      <c r="H5115" s="337"/>
      <c r="I5115" s="334"/>
      <c r="J5115" s="314"/>
      <c r="K5115" s="449"/>
      <c r="M5115" s="349" t="str">
        <f>N5115&amp;AS[[#This Row],[Insurer Code]]&amp;"; "&amp;O5115&amp;AS[[#This Row],[Reporting Year]]&amp;"; "&amp;P5115&amp;AS[[#This Row],[Insurance Category Code]]&amp;"; "&amp;Q5115&amp;AS[[#This Row],[Large Provider Entity Code]]&amp;"; "&amp;R5115&amp;AS[[#This Row],[Age Band Code]]&amp;"; "&amp;S5115&amp;AS[[#This Row],[Sex Code]]</f>
        <v xml:space="preserve">Insurer Code ; Reporting Year ; Insurance Category Code ; Large Provider Entity Code ; Age Band Code ; Sex Code </v>
      </c>
      <c r="N5115" s="345" t="s">
        <v>207</v>
      </c>
      <c r="O5115" s="345" t="s">
        <v>208</v>
      </c>
      <c r="P5115" s="345" t="s">
        <v>209</v>
      </c>
      <c r="Q5115" s="345" t="s">
        <v>210</v>
      </c>
      <c r="R5115" s="345" t="s">
        <v>223</v>
      </c>
      <c r="S5115" s="345" t="s">
        <v>224</v>
      </c>
    </row>
    <row r="5116" spans="1:19" x14ac:dyDescent="0.25">
      <c r="A5116" s="311"/>
      <c r="B5116" s="312"/>
      <c r="C5116" s="312"/>
      <c r="D5116" s="312"/>
      <c r="E5116" s="312"/>
      <c r="F5116" s="312"/>
      <c r="G5116" s="328"/>
      <c r="H5116" s="337"/>
      <c r="I5116" s="334"/>
      <c r="J5116" s="314"/>
      <c r="K5116" s="449"/>
      <c r="M5116" s="349" t="str">
        <f>N5116&amp;AS[[#This Row],[Insurer Code]]&amp;"; "&amp;O5116&amp;AS[[#This Row],[Reporting Year]]&amp;"; "&amp;P5116&amp;AS[[#This Row],[Insurance Category Code]]&amp;"; "&amp;Q5116&amp;AS[[#This Row],[Large Provider Entity Code]]&amp;"; "&amp;R5116&amp;AS[[#This Row],[Age Band Code]]&amp;"; "&amp;S5116&amp;AS[[#This Row],[Sex Code]]</f>
        <v xml:space="preserve">Insurer Code ; Reporting Year ; Insurance Category Code ; Large Provider Entity Code ; Age Band Code ; Sex Code </v>
      </c>
      <c r="N5116" s="345" t="s">
        <v>207</v>
      </c>
      <c r="O5116" s="345" t="s">
        <v>208</v>
      </c>
      <c r="P5116" s="345" t="s">
        <v>209</v>
      </c>
      <c r="Q5116" s="345" t="s">
        <v>210</v>
      </c>
      <c r="R5116" s="345" t="s">
        <v>223</v>
      </c>
      <c r="S5116" s="345" t="s">
        <v>224</v>
      </c>
    </row>
    <row r="5117" spans="1:19" x14ac:dyDescent="0.25">
      <c r="A5117" s="311"/>
      <c r="B5117" s="312"/>
      <c r="C5117" s="312"/>
      <c r="D5117" s="312"/>
      <c r="E5117" s="312"/>
      <c r="F5117" s="312"/>
      <c r="G5117" s="328"/>
      <c r="H5117" s="337"/>
      <c r="I5117" s="334"/>
      <c r="J5117" s="314"/>
      <c r="K5117" s="449"/>
      <c r="M5117" s="349" t="str">
        <f>N5117&amp;AS[[#This Row],[Insurer Code]]&amp;"; "&amp;O5117&amp;AS[[#This Row],[Reporting Year]]&amp;"; "&amp;P5117&amp;AS[[#This Row],[Insurance Category Code]]&amp;"; "&amp;Q5117&amp;AS[[#This Row],[Large Provider Entity Code]]&amp;"; "&amp;R5117&amp;AS[[#This Row],[Age Band Code]]&amp;"; "&amp;S5117&amp;AS[[#This Row],[Sex Code]]</f>
        <v xml:space="preserve">Insurer Code ; Reporting Year ; Insurance Category Code ; Large Provider Entity Code ; Age Band Code ; Sex Code </v>
      </c>
      <c r="N5117" s="345" t="s">
        <v>207</v>
      </c>
      <c r="O5117" s="345" t="s">
        <v>208</v>
      </c>
      <c r="P5117" s="345" t="s">
        <v>209</v>
      </c>
      <c r="Q5117" s="345" t="s">
        <v>210</v>
      </c>
      <c r="R5117" s="345" t="s">
        <v>223</v>
      </c>
      <c r="S5117" s="345" t="s">
        <v>224</v>
      </c>
    </row>
    <row r="5118" spans="1:19" x14ac:dyDescent="0.25">
      <c r="A5118" s="311"/>
      <c r="B5118" s="312"/>
      <c r="C5118" s="312"/>
      <c r="D5118" s="312"/>
      <c r="E5118" s="312"/>
      <c r="F5118" s="312"/>
      <c r="G5118" s="328"/>
      <c r="H5118" s="337"/>
      <c r="I5118" s="334"/>
      <c r="J5118" s="314"/>
      <c r="K5118" s="449"/>
      <c r="M5118" s="349" t="str">
        <f>N5118&amp;AS[[#This Row],[Insurer Code]]&amp;"; "&amp;O5118&amp;AS[[#This Row],[Reporting Year]]&amp;"; "&amp;P5118&amp;AS[[#This Row],[Insurance Category Code]]&amp;"; "&amp;Q5118&amp;AS[[#This Row],[Large Provider Entity Code]]&amp;"; "&amp;R5118&amp;AS[[#This Row],[Age Band Code]]&amp;"; "&amp;S5118&amp;AS[[#This Row],[Sex Code]]</f>
        <v xml:space="preserve">Insurer Code ; Reporting Year ; Insurance Category Code ; Large Provider Entity Code ; Age Band Code ; Sex Code </v>
      </c>
      <c r="N5118" s="345" t="s">
        <v>207</v>
      </c>
      <c r="O5118" s="345" t="s">
        <v>208</v>
      </c>
      <c r="P5118" s="345" t="s">
        <v>209</v>
      </c>
      <c r="Q5118" s="345" t="s">
        <v>210</v>
      </c>
      <c r="R5118" s="345" t="s">
        <v>223</v>
      </c>
      <c r="S5118" s="345" t="s">
        <v>224</v>
      </c>
    </row>
    <row r="5119" spans="1:19" x14ac:dyDescent="0.25">
      <c r="A5119" s="311"/>
      <c r="B5119" s="312"/>
      <c r="C5119" s="312"/>
      <c r="D5119" s="312"/>
      <c r="E5119" s="312"/>
      <c r="F5119" s="312"/>
      <c r="G5119" s="328"/>
      <c r="H5119" s="337"/>
      <c r="I5119" s="334"/>
      <c r="J5119" s="314"/>
      <c r="K5119" s="449"/>
      <c r="M5119" s="349" t="str">
        <f>N5119&amp;AS[[#This Row],[Insurer Code]]&amp;"; "&amp;O5119&amp;AS[[#This Row],[Reporting Year]]&amp;"; "&amp;P5119&amp;AS[[#This Row],[Insurance Category Code]]&amp;"; "&amp;Q5119&amp;AS[[#This Row],[Large Provider Entity Code]]&amp;"; "&amp;R5119&amp;AS[[#This Row],[Age Band Code]]&amp;"; "&amp;S5119&amp;AS[[#This Row],[Sex Code]]</f>
        <v xml:space="preserve">Insurer Code ; Reporting Year ; Insurance Category Code ; Large Provider Entity Code ; Age Band Code ; Sex Code </v>
      </c>
      <c r="N5119" s="345" t="s">
        <v>207</v>
      </c>
      <c r="O5119" s="345" t="s">
        <v>208</v>
      </c>
      <c r="P5119" s="345" t="s">
        <v>209</v>
      </c>
      <c r="Q5119" s="345" t="s">
        <v>210</v>
      </c>
      <c r="R5119" s="345" t="s">
        <v>223</v>
      </c>
      <c r="S5119" s="345" t="s">
        <v>224</v>
      </c>
    </row>
    <row r="5120" spans="1:19" x14ac:dyDescent="0.25">
      <c r="A5120" s="311"/>
      <c r="B5120" s="312"/>
      <c r="C5120" s="312"/>
      <c r="D5120" s="312"/>
      <c r="E5120" s="312"/>
      <c r="F5120" s="312"/>
      <c r="G5120" s="328"/>
      <c r="H5120" s="337"/>
      <c r="I5120" s="334"/>
      <c r="J5120" s="314"/>
      <c r="K5120" s="449"/>
      <c r="M5120" s="349" t="str">
        <f>N5120&amp;AS[[#This Row],[Insurer Code]]&amp;"; "&amp;O5120&amp;AS[[#This Row],[Reporting Year]]&amp;"; "&amp;P5120&amp;AS[[#This Row],[Insurance Category Code]]&amp;"; "&amp;Q5120&amp;AS[[#This Row],[Large Provider Entity Code]]&amp;"; "&amp;R5120&amp;AS[[#This Row],[Age Band Code]]&amp;"; "&amp;S5120&amp;AS[[#This Row],[Sex Code]]</f>
        <v xml:space="preserve">Insurer Code ; Reporting Year ; Insurance Category Code ; Large Provider Entity Code ; Age Band Code ; Sex Code </v>
      </c>
      <c r="N5120" s="345" t="s">
        <v>207</v>
      </c>
      <c r="O5120" s="345" t="s">
        <v>208</v>
      </c>
      <c r="P5120" s="345" t="s">
        <v>209</v>
      </c>
      <c r="Q5120" s="345" t="s">
        <v>210</v>
      </c>
      <c r="R5120" s="345" t="s">
        <v>223</v>
      </c>
      <c r="S5120" s="345" t="s">
        <v>224</v>
      </c>
    </row>
    <row r="5121" spans="1:19" x14ac:dyDescent="0.25">
      <c r="A5121" s="311"/>
      <c r="B5121" s="312"/>
      <c r="C5121" s="312"/>
      <c r="D5121" s="312"/>
      <c r="E5121" s="312"/>
      <c r="F5121" s="312"/>
      <c r="G5121" s="328"/>
      <c r="H5121" s="337"/>
      <c r="I5121" s="334"/>
      <c r="J5121" s="314"/>
      <c r="K5121" s="449"/>
      <c r="M5121" s="349" t="str">
        <f>N5121&amp;AS[[#This Row],[Insurer Code]]&amp;"; "&amp;O5121&amp;AS[[#This Row],[Reporting Year]]&amp;"; "&amp;P5121&amp;AS[[#This Row],[Insurance Category Code]]&amp;"; "&amp;Q5121&amp;AS[[#This Row],[Large Provider Entity Code]]&amp;"; "&amp;R5121&amp;AS[[#This Row],[Age Band Code]]&amp;"; "&amp;S5121&amp;AS[[#This Row],[Sex Code]]</f>
        <v xml:space="preserve">Insurer Code ; Reporting Year ; Insurance Category Code ; Large Provider Entity Code ; Age Band Code ; Sex Code </v>
      </c>
      <c r="N5121" s="345" t="s">
        <v>207</v>
      </c>
      <c r="O5121" s="345" t="s">
        <v>208</v>
      </c>
      <c r="P5121" s="345" t="s">
        <v>209</v>
      </c>
      <c r="Q5121" s="345" t="s">
        <v>210</v>
      </c>
      <c r="R5121" s="345" t="s">
        <v>223</v>
      </c>
      <c r="S5121" s="345" t="s">
        <v>224</v>
      </c>
    </row>
    <row r="5122" spans="1:19" x14ac:dyDescent="0.25">
      <c r="A5122" s="311"/>
      <c r="B5122" s="312"/>
      <c r="C5122" s="312"/>
      <c r="D5122" s="312"/>
      <c r="E5122" s="312"/>
      <c r="F5122" s="312"/>
      <c r="G5122" s="328"/>
      <c r="H5122" s="337"/>
      <c r="I5122" s="334"/>
      <c r="J5122" s="314"/>
      <c r="K5122" s="449"/>
      <c r="M5122" s="349" t="str">
        <f>N5122&amp;AS[[#This Row],[Insurer Code]]&amp;"; "&amp;O5122&amp;AS[[#This Row],[Reporting Year]]&amp;"; "&amp;P5122&amp;AS[[#This Row],[Insurance Category Code]]&amp;"; "&amp;Q5122&amp;AS[[#This Row],[Large Provider Entity Code]]&amp;"; "&amp;R5122&amp;AS[[#This Row],[Age Band Code]]&amp;"; "&amp;S5122&amp;AS[[#This Row],[Sex Code]]</f>
        <v xml:space="preserve">Insurer Code ; Reporting Year ; Insurance Category Code ; Large Provider Entity Code ; Age Band Code ; Sex Code </v>
      </c>
      <c r="N5122" s="345" t="s">
        <v>207</v>
      </c>
      <c r="O5122" s="345" t="s">
        <v>208</v>
      </c>
      <c r="P5122" s="345" t="s">
        <v>209</v>
      </c>
      <c r="Q5122" s="345" t="s">
        <v>210</v>
      </c>
      <c r="R5122" s="345" t="s">
        <v>223</v>
      </c>
      <c r="S5122" s="345" t="s">
        <v>224</v>
      </c>
    </row>
    <row r="5123" spans="1:19" x14ac:dyDescent="0.25">
      <c r="A5123" s="311"/>
      <c r="B5123" s="312"/>
      <c r="C5123" s="312"/>
      <c r="D5123" s="312"/>
      <c r="E5123" s="312"/>
      <c r="F5123" s="312"/>
      <c r="G5123" s="328"/>
      <c r="H5123" s="337"/>
      <c r="I5123" s="334"/>
      <c r="J5123" s="314"/>
      <c r="K5123" s="449"/>
      <c r="M5123" s="349" t="str">
        <f>N5123&amp;AS[[#This Row],[Insurer Code]]&amp;"; "&amp;O5123&amp;AS[[#This Row],[Reporting Year]]&amp;"; "&amp;P5123&amp;AS[[#This Row],[Insurance Category Code]]&amp;"; "&amp;Q5123&amp;AS[[#This Row],[Large Provider Entity Code]]&amp;"; "&amp;R5123&amp;AS[[#This Row],[Age Band Code]]&amp;"; "&amp;S5123&amp;AS[[#This Row],[Sex Code]]</f>
        <v xml:space="preserve">Insurer Code ; Reporting Year ; Insurance Category Code ; Large Provider Entity Code ; Age Band Code ; Sex Code </v>
      </c>
      <c r="N5123" s="345" t="s">
        <v>207</v>
      </c>
      <c r="O5123" s="345" t="s">
        <v>208</v>
      </c>
      <c r="P5123" s="345" t="s">
        <v>209</v>
      </c>
      <c r="Q5123" s="345" t="s">
        <v>210</v>
      </c>
      <c r="R5123" s="345" t="s">
        <v>223</v>
      </c>
      <c r="S5123" s="345" t="s">
        <v>224</v>
      </c>
    </row>
    <row r="5124" spans="1:19" x14ac:dyDescent="0.25">
      <c r="A5124" s="311"/>
      <c r="B5124" s="312"/>
      <c r="C5124" s="312"/>
      <c r="D5124" s="312"/>
      <c r="E5124" s="312"/>
      <c r="F5124" s="312"/>
      <c r="G5124" s="328"/>
      <c r="H5124" s="337"/>
      <c r="I5124" s="334"/>
      <c r="J5124" s="314"/>
      <c r="K5124" s="449"/>
      <c r="M5124" s="349" t="str">
        <f>N5124&amp;AS[[#This Row],[Insurer Code]]&amp;"; "&amp;O5124&amp;AS[[#This Row],[Reporting Year]]&amp;"; "&amp;P5124&amp;AS[[#This Row],[Insurance Category Code]]&amp;"; "&amp;Q5124&amp;AS[[#This Row],[Large Provider Entity Code]]&amp;"; "&amp;R5124&amp;AS[[#This Row],[Age Band Code]]&amp;"; "&amp;S5124&amp;AS[[#This Row],[Sex Code]]</f>
        <v xml:space="preserve">Insurer Code ; Reporting Year ; Insurance Category Code ; Large Provider Entity Code ; Age Band Code ; Sex Code </v>
      </c>
      <c r="N5124" s="345" t="s">
        <v>207</v>
      </c>
      <c r="O5124" s="345" t="s">
        <v>208</v>
      </c>
      <c r="P5124" s="345" t="s">
        <v>209</v>
      </c>
      <c r="Q5124" s="345" t="s">
        <v>210</v>
      </c>
      <c r="R5124" s="345" t="s">
        <v>223</v>
      </c>
      <c r="S5124" s="345" t="s">
        <v>224</v>
      </c>
    </row>
    <row r="5125" spans="1:19" x14ac:dyDescent="0.25">
      <c r="A5125" s="311"/>
      <c r="B5125" s="312"/>
      <c r="C5125" s="312"/>
      <c r="D5125" s="312"/>
      <c r="E5125" s="312"/>
      <c r="F5125" s="312"/>
      <c r="G5125" s="328"/>
      <c r="H5125" s="337"/>
      <c r="I5125" s="334"/>
      <c r="J5125" s="314"/>
      <c r="K5125" s="449"/>
      <c r="M5125" s="349" t="str">
        <f>N5125&amp;AS[[#This Row],[Insurer Code]]&amp;"; "&amp;O5125&amp;AS[[#This Row],[Reporting Year]]&amp;"; "&amp;P5125&amp;AS[[#This Row],[Insurance Category Code]]&amp;"; "&amp;Q5125&amp;AS[[#This Row],[Large Provider Entity Code]]&amp;"; "&amp;R5125&amp;AS[[#This Row],[Age Band Code]]&amp;"; "&amp;S5125&amp;AS[[#This Row],[Sex Code]]</f>
        <v xml:space="preserve">Insurer Code ; Reporting Year ; Insurance Category Code ; Large Provider Entity Code ; Age Band Code ; Sex Code </v>
      </c>
      <c r="N5125" s="345" t="s">
        <v>207</v>
      </c>
      <c r="O5125" s="345" t="s">
        <v>208</v>
      </c>
      <c r="P5125" s="345" t="s">
        <v>209</v>
      </c>
      <c r="Q5125" s="345" t="s">
        <v>210</v>
      </c>
      <c r="R5125" s="345" t="s">
        <v>223</v>
      </c>
      <c r="S5125" s="345" t="s">
        <v>224</v>
      </c>
    </row>
    <row r="5126" spans="1:19" x14ac:dyDescent="0.25">
      <c r="A5126" s="311"/>
      <c r="B5126" s="312"/>
      <c r="C5126" s="312"/>
      <c r="D5126" s="312"/>
      <c r="E5126" s="312"/>
      <c r="F5126" s="312"/>
      <c r="G5126" s="328"/>
      <c r="H5126" s="337"/>
      <c r="I5126" s="334"/>
      <c r="J5126" s="314"/>
      <c r="K5126" s="449"/>
      <c r="M5126" s="349" t="str">
        <f>N5126&amp;AS[[#This Row],[Insurer Code]]&amp;"; "&amp;O5126&amp;AS[[#This Row],[Reporting Year]]&amp;"; "&amp;P5126&amp;AS[[#This Row],[Insurance Category Code]]&amp;"; "&amp;Q5126&amp;AS[[#This Row],[Large Provider Entity Code]]&amp;"; "&amp;R5126&amp;AS[[#This Row],[Age Band Code]]&amp;"; "&amp;S5126&amp;AS[[#This Row],[Sex Code]]</f>
        <v xml:space="preserve">Insurer Code ; Reporting Year ; Insurance Category Code ; Large Provider Entity Code ; Age Band Code ; Sex Code </v>
      </c>
      <c r="N5126" s="345" t="s">
        <v>207</v>
      </c>
      <c r="O5126" s="345" t="s">
        <v>208</v>
      </c>
      <c r="P5126" s="345" t="s">
        <v>209</v>
      </c>
      <c r="Q5126" s="345" t="s">
        <v>210</v>
      </c>
      <c r="R5126" s="345" t="s">
        <v>223</v>
      </c>
      <c r="S5126" s="345" t="s">
        <v>224</v>
      </c>
    </row>
    <row r="5127" spans="1:19" x14ac:dyDescent="0.25">
      <c r="A5127" s="311"/>
      <c r="B5127" s="312"/>
      <c r="C5127" s="312"/>
      <c r="D5127" s="312"/>
      <c r="E5127" s="312"/>
      <c r="F5127" s="312"/>
      <c r="G5127" s="328"/>
      <c r="H5127" s="337"/>
      <c r="I5127" s="334"/>
      <c r="J5127" s="314"/>
      <c r="K5127" s="449"/>
      <c r="M5127" s="349" t="str">
        <f>N5127&amp;AS[[#This Row],[Insurer Code]]&amp;"; "&amp;O5127&amp;AS[[#This Row],[Reporting Year]]&amp;"; "&amp;P5127&amp;AS[[#This Row],[Insurance Category Code]]&amp;"; "&amp;Q5127&amp;AS[[#This Row],[Large Provider Entity Code]]&amp;"; "&amp;R5127&amp;AS[[#This Row],[Age Band Code]]&amp;"; "&amp;S5127&amp;AS[[#This Row],[Sex Code]]</f>
        <v xml:space="preserve">Insurer Code ; Reporting Year ; Insurance Category Code ; Large Provider Entity Code ; Age Band Code ; Sex Code </v>
      </c>
      <c r="N5127" s="345" t="s">
        <v>207</v>
      </c>
      <c r="O5127" s="345" t="s">
        <v>208</v>
      </c>
      <c r="P5127" s="345" t="s">
        <v>209</v>
      </c>
      <c r="Q5127" s="345" t="s">
        <v>210</v>
      </c>
      <c r="R5127" s="345" t="s">
        <v>223</v>
      </c>
      <c r="S5127" s="345" t="s">
        <v>224</v>
      </c>
    </row>
    <row r="5128" spans="1:19" x14ac:dyDescent="0.25">
      <c r="A5128" s="311"/>
      <c r="B5128" s="312"/>
      <c r="C5128" s="312"/>
      <c r="D5128" s="312"/>
      <c r="E5128" s="312"/>
      <c r="F5128" s="312"/>
      <c r="G5128" s="328"/>
      <c r="H5128" s="337"/>
      <c r="I5128" s="334"/>
      <c r="J5128" s="314"/>
      <c r="K5128" s="449"/>
      <c r="M5128" s="349" t="str">
        <f>N5128&amp;AS[[#This Row],[Insurer Code]]&amp;"; "&amp;O5128&amp;AS[[#This Row],[Reporting Year]]&amp;"; "&amp;P5128&amp;AS[[#This Row],[Insurance Category Code]]&amp;"; "&amp;Q5128&amp;AS[[#This Row],[Large Provider Entity Code]]&amp;"; "&amp;R5128&amp;AS[[#This Row],[Age Band Code]]&amp;"; "&amp;S5128&amp;AS[[#This Row],[Sex Code]]</f>
        <v xml:space="preserve">Insurer Code ; Reporting Year ; Insurance Category Code ; Large Provider Entity Code ; Age Band Code ; Sex Code </v>
      </c>
      <c r="N5128" s="345" t="s">
        <v>207</v>
      </c>
      <c r="O5128" s="345" t="s">
        <v>208</v>
      </c>
      <c r="P5128" s="345" t="s">
        <v>209</v>
      </c>
      <c r="Q5128" s="345" t="s">
        <v>210</v>
      </c>
      <c r="R5128" s="345" t="s">
        <v>223</v>
      </c>
      <c r="S5128" s="345" t="s">
        <v>224</v>
      </c>
    </row>
    <row r="5129" spans="1:19" x14ac:dyDescent="0.25">
      <c r="A5129" s="311"/>
      <c r="B5129" s="312"/>
      <c r="C5129" s="312"/>
      <c r="D5129" s="312"/>
      <c r="E5129" s="312"/>
      <c r="F5129" s="312"/>
      <c r="G5129" s="328"/>
      <c r="H5129" s="337"/>
      <c r="I5129" s="334"/>
      <c r="J5129" s="314"/>
      <c r="K5129" s="449"/>
      <c r="M5129" s="349" t="str">
        <f>N5129&amp;AS[[#This Row],[Insurer Code]]&amp;"; "&amp;O5129&amp;AS[[#This Row],[Reporting Year]]&amp;"; "&amp;P5129&amp;AS[[#This Row],[Insurance Category Code]]&amp;"; "&amp;Q5129&amp;AS[[#This Row],[Large Provider Entity Code]]&amp;"; "&amp;R5129&amp;AS[[#This Row],[Age Band Code]]&amp;"; "&amp;S5129&amp;AS[[#This Row],[Sex Code]]</f>
        <v xml:space="preserve">Insurer Code ; Reporting Year ; Insurance Category Code ; Large Provider Entity Code ; Age Band Code ; Sex Code </v>
      </c>
      <c r="N5129" s="345" t="s">
        <v>207</v>
      </c>
      <c r="O5129" s="345" t="s">
        <v>208</v>
      </c>
      <c r="P5129" s="345" t="s">
        <v>209</v>
      </c>
      <c r="Q5129" s="345" t="s">
        <v>210</v>
      </c>
      <c r="R5129" s="345" t="s">
        <v>223</v>
      </c>
      <c r="S5129" s="345" t="s">
        <v>224</v>
      </c>
    </row>
    <row r="5130" spans="1:19" x14ac:dyDescent="0.25">
      <c r="A5130" s="311"/>
      <c r="B5130" s="312"/>
      <c r="C5130" s="312"/>
      <c r="D5130" s="312"/>
      <c r="E5130" s="312"/>
      <c r="F5130" s="312"/>
      <c r="G5130" s="328"/>
      <c r="H5130" s="337"/>
      <c r="I5130" s="334"/>
      <c r="J5130" s="314"/>
      <c r="K5130" s="449"/>
      <c r="M5130" s="349" t="str">
        <f>N5130&amp;AS[[#This Row],[Insurer Code]]&amp;"; "&amp;O5130&amp;AS[[#This Row],[Reporting Year]]&amp;"; "&amp;P5130&amp;AS[[#This Row],[Insurance Category Code]]&amp;"; "&amp;Q5130&amp;AS[[#This Row],[Large Provider Entity Code]]&amp;"; "&amp;R5130&amp;AS[[#This Row],[Age Band Code]]&amp;"; "&amp;S5130&amp;AS[[#This Row],[Sex Code]]</f>
        <v xml:space="preserve">Insurer Code ; Reporting Year ; Insurance Category Code ; Large Provider Entity Code ; Age Band Code ; Sex Code </v>
      </c>
      <c r="N5130" s="345" t="s">
        <v>207</v>
      </c>
      <c r="O5130" s="345" t="s">
        <v>208</v>
      </c>
      <c r="P5130" s="345" t="s">
        <v>209</v>
      </c>
      <c r="Q5130" s="345" t="s">
        <v>210</v>
      </c>
      <c r="R5130" s="345" t="s">
        <v>223</v>
      </c>
      <c r="S5130" s="345" t="s">
        <v>224</v>
      </c>
    </row>
    <row r="5131" spans="1:19" x14ac:dyDescent="0.25">
      <c r="A5131" s="311"/>
      <c r="B5131" s="312"/>
      <c r="C5131" s="312"/>
      <c r="D5131" s="312"/>
      <c r="E5131" s="312"/>
      <c r="F5131" s="312"/>
      <c r="G5131" s="328"/>
      <c r="H5131" s="337"/>
      <c r="I5131" s="334"/>
      <c r="J5131" s="314"/>
      <c r="K5131" s="449"/>
      <c r="M5131" s="349" t="str">
        <f>N5131&amp;AS[[#This Row],[Insurer Code]]&amp;"; "&amp;O5131&amp;AS[[#This Row],[Reporting Year]]&amp;"; "&amp;P5131&amp;AS[[#This Row],[Insurance Category Code]]&amp;"; "&amp;Q5131&amp;AS[[#This Row],[Large Provider Entity Code]]&amp;"; "&amp;R5131&amp;AS[[#This Row],[Age Band Code]]&amp;"; "&amp;S5131&amp;AS[[#This Row],[Sex Code]]</f>
        <v xml:space="preserve">Insurer Code ; Reporting Year ; Insurance Category Code ; Large Provider Entity Code ; Age Band Code ; Sex Code </v>
      </c>
      <c r="N5131" s="345" t="s">
        <v>207</v>
      </c>
      <c r="O5131" s="345" t="s">
        <v>208</v>
      </c>
      <c r="P5131" s="345" t="s">
        <v>209</v>
      </c>
      <c r="Q5131" s="345" t="s">
        <v>210</v>
      </c>
      <c r="R5131" s="345" t="s">
        <v>223</v>
      </c>
      <c r="S5131" s="345" t="s">
        <v>224</v>
      </c>
    </row>
    <row r="5132" spans="1:19" x14ac:dyDescent="0.25">
      <c r="A5132" s="311"/>
      <c r="B5132" s="312"/>
      <c r="C5132" s="312"/>
      <c r="D5132" s="312"/>
      <c r="E5132" s="312"/>
      <c r="F5132" s="312"/>
      <c r="G5132" s="328"/>
      <c r="H5132" s="337"/>
      <c r="I5132" s="334"/>
      <c r="J5132" s="314"/>
      <c r="K5132" s="449"/>
      <c r="M5132" s="349" t="str">
        <f>N5132&amp;AS[[#This Row],[Insurer Code]]&amp;"; "&amp;O5132&amp;AS[[#This Row],[Reporting Year]]&amp;"; "&amp;P5132&amp;AS[[#This Row],[Insurance Category Code]]&amp;"; "&amp;Q5132&amp;AS[[#This Row],[Large Provider Entity Code]]&amp;"; "&amp;R5132&amp;AS[[#This Row],[Age Band Code]]&amp;"; "&amp;S5132&amp;AS[[#This Row],[Sex Code]]</f>
        <v xml:space="preserve">Insurer Code ; Reporting Year ; Insurance Category Code ; Large Provider Entity Code ; Age Band Code ; Sex Code </v>
      </c>
      <c r="N5132" s="345" t="s">
        <v>207</v>
      </c>
      <c r="O5132" s="345" t="s">
        <v>208</v>
      </c>
      <c r="P5132" s="345" t="s">
        <v>209</v>
      </c>
      <c r="Q5132" s="345" t="s">
        <v>210</v>
      </c>
      <c r="R5132" s="345" t="s">
        <v>223</v>
      </c>
      <c r="S5132" s="345" t="s">
        <v>224</v>
      </c>
    </row>
    <row r="5133" spans="1:19" x14ac:dyDescent="0.25">
      <c r="A5133" s="311"/>
      <c r="B5133" s="312"/>
      <c r="C5133" s="312"/>
      <c r="D5133" s="312"/>
      <c r="E5133" s="312"/>
      <c r="F5133" s="312"/>
      <c r="G5133" s="328"/>
      <c r="H5133" s="337"/>
      <c r="I5133" s="334"/>
      <c r="J5133" s="314"/>
      <c r="K5133" s="449"/>
      <c r="M5133" s="349" t="str">
        <f>N5133&amp;AS[[#This Row],[Insurer Code]]&amp;"; "&amp;O5133&amp;AS[[#This Row],[Reporting Year]]&amp;"; "&amp;P5133&amp;AS[[#This Row],[Insurance Category Code]]&amp;"; "&amp;Q5133&amp;AS[[#This Row],[Large Provider Entity Code]]&amp;"; "&amp;R5133&amp;AS[[#This Row],[Age Band Code]]&amp;"; "&amp;S5133&amp;AS[[#This Row],[Sex Code]]</f>
        <v xml:space="preserve">Insurer Code ; Reporting Year ; Insurance Category Code ; Large Provider Entity Code ; Age Band Code ; Sex Code </v>
      </c>
      <c r="N5133" s="345" t="s">
        <v>207</v>
      </c>
      <c r="O5133" s="345" t="s">
        <v>208</v>
      </c>
      <c r="P5133" s="345" t="s">
        <v>209</v>
      </c>
      <c r="Q5133" s="345" t="s">
        <v>210</v>
      </c>
      <c r="R5133" s="345" t="s">
        <v>223</v>
      </c>
      <c r="S5133" s="345" t="s">
        <v>224</v>
      </c>
    </row>
    <row r="5134" spans="1:19" x14ac:dyDescent="0.25">
      <c r="A5134" s="311"/>
      <c r="B5134" s="312"/>
      <c r="C5134" s="312"/>
      <c r="D5134" s="312"/>
      <c r="E5134" s="312"/>
      <c r="F5134" s="312"/>
      <c r="G5134" s="328"/>
      <c r="H5134" s="337"/>
      <c r="I5134" s="334"/>
      <c r="J5134" s="314"/>
      <c r="K5134" s="449"/>
      <c r="M5134" s="349" t="str">
        <f>N5134&amp;AS[[#This Row],[Insurer Code]]&amp;"; "&amp;O5134&amp;AS[[#This Row],[Reporting Year]]&amp;"; "&amp;P5134&amp;AS[[#This Row],[Insurance Category Code]]&amp;"; "&amp;Q5134&amp;AS[[#This Row],[Large Provider Entity Code]]&amp;"; "&amp;R5134&amp;AS[[#This Row],[Age Band Code]]&amp;"; "&amp;S5134&amp;AS[[#This Row],[Sex Code]]</f>
        <v xml:space="preserve">Insurer Code ; Reporting Year ; Insurance Category Code ; Large Provider Entity Code ; Age Band Code ; Sex Code </v>
      </c>
      <c r="N5134" s="345" t="s">
        <v>207</v>
      </c>
      <c r="O5134" s="345" t="s">
        <v>208</v>
      </c>
      <c r="P5134" s="345" t="s">
        <v>209</v>
      </c>
      <c r="Q5134" s="345" t="s">
        <v>210</v>
      </c>
      <c r="R5134" s="345" t="s">
        <v>223</v>
      </c>
      <c r="S5134" s="345" t="s">
        <v>224</v>
      </c>
    </row>
    <row r="5135" spans="1:19" x14ac:dyDescent="0.25">
      <c r="A5135" s="311"/>
      <c r="B5135" s="312"/>
      <c r="C5135" s="312"/>
      <c r="D5135" s="312"/>
      <c r="E5135" s="312"/>
      <c r="F5135" s="312"/>
      <c r="G5135" s="328"/>
      <c r="H5135" s="337"/>
      <c r="I5135" s="334"/>
      <c r="J5135" s="314"/>
      <c r="K5135" s="449"/>
      <c r="M5135" s="349" t="str">
        <f>N5135&amp;AS[[#This Row],[Insurer Code]]&amp;"; "&amp;O5135&amp;AS[[#This Row],[Reporting Year]]&amp;"; "&amp;P5135&amp;AS[[#This Row],[Insurance Category Code]]&amp;"; "&amp;Q5135&amp;AS[[#This Row],[Large Provider Entity Code]]&amp;"; "&amp;R5135&amp;AS[[#This Row],[Age Band Code]]&amp;"; "&amp;S5135&amp;AS[[#This Row],[Sex Code]]</f>
        <v xml:space="preserve">Insurer Code ; Reporting Year ; Insurance Category Code ; Large Provider Entity Code ; Age Band Code ; Sex Code </v>
      </c>
      <c r="N5135" s="345" t="s">
        <v>207</v>
      </c>
      <c r="O5135" s="345" t="s">
        <v>208</v>
      </c>
      <c r="P5135" s="345" t="s">
        <v>209</v>
      </c>
      <c r="Q5135" s="345" t="s">
        <v>210</v>
      </c>
      <c r="R5135" s="345" t="s">
        <v>223</v>
      </c>
      <c r="S5135" s="345" t="s">
        <v>224</v>
      </c>
    </row>
    <row r="5136" spans="1:19" x14ac:dyDescent="0.25">
      <c r="A5136" s="311"/>
      <c r="B5136" s="312"/>
      <c r="C5136" s="312"/>
      <c r="D5136" s="312"/>
      <c r="E5136" s="312"/>
      <c r="F5136" s="312"/>
      <c r="G5136" s="328"/>
      <c r="H5136" s="337"/>
      <c r="I5136" s="334"/>
      <c r="J5136" s="314"/>
      <c r="K5136" s="449"/>
      <c r="M5136" s="349" t="str">
        <f>N5136&amp;AS[[#This Row],[Insurer Code]]&amp;"; "&amp;O5136&amp;AS[[#This Row],[Reporting Year]]&amp;"; "&amp;P5136&amp;AS[[#This Row],[Insurance Category Code]]&amp;"; "&amp;Q5136&amp;AS[[#This Row],[Large Provider Entity Code]]&amp;"; "&amp;R5136&amp;AS[[#This Row],[Age Band Code]]&amp;"; "&amp;S5136&amp;AS[[#This Row],[Sex Code]]</f>
        <v xml:space="preserve">Insurer Code ; Reporting Year ; Insurance Category Code ; Large Provider Entity Code ; Age Band Code ; Sex Code </v>
      </c>
      <c r="N5136" s="345" t="s">
        <v>207</v>
      </c>
      <c r="O5136" s="345" t="s">
        <v>208</v>
      </c>
      <c r="P5136" s="345" t="s">
        <v>209</v>
      </c>
      <c r="Q5136" s="345" t="s">
        <v>210</v>
      </c>
      <c r="R5136" s="345" t="s">
        <v>223</v>
      </c>
      <c r="S5136" s="345" t="s">
        <v>224</v>
      </c>
    </row>
    <row r="5137" spans="1:19" x14ac:dyDescent="0.25">
      <c r="A5137" s="311"/>
      <c r="B5137" s="312"/>
      <c r="C5137" s="312"/>
      <c r="D5137" s="312"/>
      <c r="E5137" s="312"/>
      <c r="F5137" s="312"/>
      <c r="G5137" s="328"/>
      <c r="H5137" s="337"/>
      <c r="I5137" s="334"/>
      <c r="J5137" s="314"/>
      <c r="K5137" s="449"/>
      <c r="M5137" s="349" t="str">
        <f>N5137&amp;AS[[#This Row],[Insurer Code]]&amp;"; "&amp;O5137&amp;AS[[#This Row],[Reporting Year]]&amp;"; "&amp;P5137&amp;AS[[#This Row],[Insurance Category Code]]&amp;"; "&amp;Q5137&amp;AS[[#This Row],[Large Provider Entity Code]]&amp;"; "&amp;R5137&amp;AS[[#This Row],[Age Band Code]]&amp;"; "&amp;S5137&amp;AS[[#This Row],[Sex Code]]</f>
        <v xml:space="preserve">Insurer Code ; Reporting Year ; Insurance Category Code ; Large Provider Entity Code ; Age Band Code ; Sex Code </v>
      </c>
      <c r="N5137" s="345" t="s">
        <v>207</v>
      </c>
      <c r="O5137" s="345" t="s">
        <v>208</v>
      </c>
      <c r="P5137" s="345" t="s">
        <v>209</v>
      </c>
      <c r="Q5137" s="345" t="s">
        <v>210</v>
      </c>
      <c r="R5137" s="345" t="s">
        <v>223</v>
      </c>
      <c r="S5137" s="345" t="s">
        <v>224</v>
      </c>
    </row>
    <row r="5138" spans="1:19" x14ac:dyDescent="0.25">
      <c r="A5138" s="311"/>
      <c r="B5138" s="312"/>
      <c r="C5138" s="312"/>
      <c r="D5138" s="312"/>
      <c r="E5138" s="312"/>
      <c r="F5138" s="312"/>
      <c r="G5138" s="328"/>
      <c r="H5138" s="337"/>
      <c r="I5138" s="334"/>
      <c r="J5138" s="314"/>
      <c r="K5138" s="449"/>
      <c r="M5138" s="349" t="str">
        <f>N5138&amp;AS[[#This Row],[Insurer Code]]&amp;"; "&amp;O5138&amp;AS[[#This Row],[Reporting Year]]&amp;"; "&amp;P5138&amp;AS[[#This Row],[Insurance Category Code]]&amp;"; "&amp;Q5138&amp;AS[[#This Row],[Large Provider Entity Code]]&amp;"; "&amp;R5138&amp;AS[[#This Row],[Age Band Code]]&amp;"; "&amp;S5138&amp;AS[[#This Row],[Sex Code]]</f>
        <v xml:space="preserve">Insurer Code ; Reporting Year ; Insurance Category Code ; Large Provider Entity Code ; Age Band Code ; Sex Code </v>
      </c>
      <c r="N5138" s="345" t="s">
        <v>207</v>
      </c>
      <c r="O5138" s="345" t="s">
        <v>208</v>
      </c>
      <c r="P5138" s="345" t="s">
        <v>209</v>
      </c>
      <c r="Q5138" s="345" t="s">
        <v>210</v>
      </c>
      <c r="R5138" s="345" t="s">
        <v>223</v>
      </c>
      <c r="S5138" s="345" t="s">
        <v>224</v>
      </c>
    </row>
    <row r="5139" spans="1:19" x14ac:dyDescent="0.25">
      <c r="A5139" s="311"/>
      <c r="B5139" s="312"/>
      <c r="C5139" s="312"/>
      <c r="D5139" s="312"/>
      <c r="E5139" s="312"/>
      <c r="F5139" s="312"/>
      <c r="G5139" s="328"/>
      <c r="H5139" s="337"/>
      <c r="I5139" s="334"/>
      <c r="J5139" s="314"/>
      <c r="K5139" s="449"/>
      <c r="M5139" s="349" t="str">
        <f>N5139&amp;AS[[#This Row],[Insurer Code]]&amp;"; "&amp;O5139&amp;AS[[#This Row],[Reporting Year]]&amp;"; "&amp;P5139&amp;AS[[#This Row],[Insurance Category Code]]&amp;"; "&amp;Q5139&amp;AS[[#This Row],[Large Provider Entity Code]]&amp;"; "&amp;R5139&amp;AS[[#This Row],[Age Band Code]]&amp;"; "&amp;S5139&amp;AS[[#This Row],[Sex Code]]</f>
        <v xml:space="preserve">Insurer Code ; Reporting Year ; Insurance Category Code ; Large Provider Entity Code ; Age Band Code ; Sex Code </v>
      </c>
      <c r="N5139" s="345" t="s">
        <v>207</v>
      </c>
      <c r="O5139" s="345" t="s">
        <v>208</v>
      </c>
      <c r="P5139" s="345" t="s">
        <v>209</v>
      </c>
      <c r="Q5139" s="345" t="s">
        <v>210</v>
      </c>
      <c r="R5139" s="345" t="s">
        <v>223</v>
      </c>
      <c r="S5139" s="345" t="s">
        <v>224</v>
      </c>
    </row>
    <row r="5140" spans="1:19" x14ac:dyDescent="0.25">
      <c r="A5140" s="311"/>
      <c r="B5140" s="312"/>
      <c r="C5140" s="312"/>
      <c r="D5140" s="312"/>
      <c r="E5140" s="312"/>
      <c r="F5140" s="312"/>
      <c r="G5140" s="328"/>
      <c r="H5140" s="337"/>
      <c r="I5140" s="334"/>
      <c r="J5140" s="314"/>
      <c r="K5140" s="449"/>
      <c r="M5140" s="349" t="str">
        <f>N5140&amp;AS[[#This Row],[Insurer Code]]&amp;"; "&amp;O5140&amp;AS[[#This Row],[Reporting Year]]&amp;"; "&amp;P5140&amp;AS[[#This Row],[Insurance Category Code]]&amp;"; "&amp;Q5140&amp;AS[[#This Row],[Large Provider Entity Code]]&amp;"; "&amp;R5140&amp;AS[[#This Row],[Age Band Code]]&amp;"; "&amp;S5140&amp;AS[[#This Row],[Sex Code]]</f>
        <v xml:space="preserve">Insurer Code ; Reporting Year ; Insurance Category Code ; Large Provider Entity Code ; Age Band Code ; Sex Code </v>
      </c>
      <c r="N5140" s="345" t="s">
        <v>207</v>
      </c>
      <c r="O5140" s="345" t="s">
        <v>208</v>
      </c>
      <c r="P5140" s="345" t="s">
        <v>209</v>
      </c>
      <c r="Q5140" s="345" t="s">
        <v>210</v>
      </c>
      <c r="R5140" s="345" t="s">
        <v>223</v>
      </c>
      <c r="S5140" s="345" t="s">
        <v>224</v>
      </c>
    </row>
    <row r="5141" spans="1:19" x14ac:dyDescent="0.25">
      <c r="A5141" s="311"/>
      <c r="B5141" s="312"/>
      <c r="C5141" s="312"/>
      <c r="D5141" s="312"/>
      <c r="E5141" s="312"/>
      <c r="F5141" s="312"/>
      <c r="G5141" s="328"/>
      <c r="H5141" s="337"/>
      <c r="I5141" s="334"/>
      <c r="J5141" s="314"/>
      <c r="K5141" s="449"/>
      <c r="M5141" s="349" t="str">
        <f>N5141&amp;AS[[#This Row],[Insurer Code]]&amp;"; "&amp;O5141&amp;AS[[#This Row],[Reporting Year]]&amp;"; "&amp;P5141&amp;AS[[#This Row],[Insurance Category Code]]&amp;"; "&amp;Q5141&amp;AS[[#This Row],[Large Provider Entity Code]]&amp;"; "&amp;R5141&amp;AS[[#This Row],[Age Band Code]]&amp;"; "&amp;S5141&amp;AS[[#This Row],[Sex Code]]</f>
        <v xml:space="preserve">Insurer Code ; Reporting Year ; Insurance Category Code ; Large Provider Entity Code ; Age Band Code ; Sex Code </v>
      </c>
      <c r="N5141" s="345" t="s">
        <v>207</v>
      </c>
      <c r="O5141" s="345" t="s">
        <v>208</v>
      </c>
      <c r="P5141" s="345" t="s">
        <v>209</v>
      </c>
      <c r="Q5141" s="345" t="s">
        <v>210</v>
      </c>
      <c r="R5141" s="345" t="s">
        <v>223</v>
      </c>
      <c r="S5141" s="345" t="s">
        <v>224</v>
      </c>
    </row>
    <row r="5142" spans="1:19" x14ac:dyDescent="0.25">
      <c r="A5142" s="311"/>
      <c r="B5142" s="312"/>
      <c r="C5142" s="312"/>
      <c r="D5142" s="312"/>
      <c r="E5142" s="312"/>
      <c r="F5142" s="312"/>
      <c r="G5142" s="328"/>
      <c r="H5142" s="337"/>
      <c r="I5142" s="334"/>
      <c r="J5142" s="314"/>
      <c r="K5142" s="449"/>
      <c r="M5142" s="349" t="str">
        <f>N5142&amp;AS[[#This Row],[Insurer Code]]&amp;"; "&amp;O5142&amp;AS[[#This Row],[Reporting Year]]&amp;"; "&amp;P5142&amp;AS[[#This Row],[Insurance Category Code]]&amp;"; "&amp;Q5142&amp;AS[[#This Row],[Large Provider Entity Code]]&amp;"; "&amp;R5142&amp;AS[[#This Row],[Age Band Code]]&amp;"; "&amp;S5142&amp;AS[[#This Row],[Sex Code]]</f>
        <v xml:space="preserve">Insurer Code ; Reporting Year ; Insurance Category Code ; Large Provider Entity Code ; Age Band Code ; Sex Code </v>
      </c>
      <c r="N5142" s="345" t="s">
        <v>207</v>
      </c>
      <c r="O5142" s="345" t="s">
        <v>208</v>
      </c>
      <c r="P5142" s="345" t="s">
        <v>209</v>
      </c>
      <c r="Q5142" s="345" t="s">
        <v>210</v>
      </c>
      <c r="R5142" s="345" t="s">
        <v>223</v>
      </c>
      <c r="S5142" s="345" t="s">
        <v>224</v>
      </c>
    </row>
    <row r="5143" spans="1:19" x14ac:dyDescent="0.25">
      <c r="A5143" s="311"/>
      <c r="B5143" s="312"/>
      <c r="C5143" s="312"/>
      <c r="D5143" s="312"/>
      <c r="E5143" s="312"/>
      <c r="F5143" s="312"/>
      <c r="G5143" s="328"/>
      <c r="H5143" s="337"/>
      <c r="I5143" s="334"/>
      <c r="J5143" s="314"/>
      <c r="K5143" s="449"/>
      <c r="M5143" s="349" t="str">
        <f>N5143&amp;AS[[#This Row],[Insurer Code]]&amp;"; "&amp;O5143&amp;AS[[#This Row],[Reporting Year]]&amp;"; "&amp;P5143&amp;AS[[#This Row],[Insurance Category Code]]&amp;"; "&amp;Q5143&amp;AS[[#This Row],[Large Provider Entity Code]]&amp;"; "&amp;R5143&amp;AS[[#This Row],[Age Band Code]]&amp;"; "&amp;S5143&amp;AS[[#This Row],[Sex Code]]</f>
        <v xml:space="preserve">Insurer Code ; Reporting Year ; Insurance Category Code ; Large Provider Entity Code ; Age Band Code ; Sex Code </v>
      </c>
      <c r="N5143" s="345" t="s">
        <v>207</v>
      </c>
      <c r="O5143" s="345" t="s">
        <v>208</v>
      </c>
      <c r="P5143" s="345" t="s">
        <v>209</v>
      </c>
      <c r="Q5143" s="345" t="s">
        <v>210</v>
      </c>
      <c r="R5143" s="345" t="s">
        <v>223</v>
      </c>
      <c r="S5143" s="345" t="s">
        <v>224</v>
      </c>
    </row>
    <row r="5144" spans="1:19" x14ac:dyDescent="0.25">
      <c r="A5144" s="311"/>
      <c r="B5144" s="312"/>
      <c r="C5144" s="312"/>
      <c r="D5144" s="312"/>
      <c r="E5144" s="312"/>
      <c r="F5144" s="312"/>
      <c r="G5144" s="328"/>
      <c r="H5144" s="337"/>
      <c r="I5144" s="334"/>
      <c r="J5144" s="314"/>
      <c r="K5144" s="449"/>
      <c r="M5144" s="349" t="str">
        <f>N5144&amp;AS[[#This Row],[Insurer Code]]&amp;"; "&amp;O5144&amp;AS[[#This Row],[Reporting Year]]&amp;"; "&amp;P5144&amp;AS[[#This Row],[Insurance Category Code]]&amp;"; "&amp;Q5144&amp;AS[[#This Row],[Large Provider Entity Code]]&amp;"; "&amp;R5144&amp;AS[[#This Row],[Age Band Code]]&amp;"; "&amp;S5144&amp;AS[[#This Row],[Sex Code]]</f>
        <v xml:space="preserve">Insurer Code ; Reporting Year ; Insurance Category Code ; Large Provider Entity Code ; Age Band Code ; Sex Code </v>
      </c>
      <c r="N5144" s="345" t="s">
        <v>207</v>
      </c>
      <c r="O5144" s="345" t="s">
        <v>208</v>
      </c>
      <c r="P5144" s="345" t="s">
        <v>209</v>
      </c>
      <c r="Q5144" s="345" t="s">
        <v>210</v>
      </c>
      <c r="R5144" s="345" t="s">
        <v>223</v>
      </c>
      <c r="S5144" s="345" t="s">
        <v>224</v>
      </c>
    </row>
    <row r="5145" spans="1:19" x14ac:dyDescent="0.25">
      <c r="A5145" s="311"/>
      <c r="B5145" s="312"/>
      <c r="C5145" s="312"/>
      <c r="D5145" s="312"/>
      <c r="E5145" s="312"/>
      <c r="F5145" s="312"/>
      <c r="G5145" s="328"/>
      <c r="H5145" s="337"/>
      <c r="I5145" s="334"/>
      <c r="J5145" s="314"/>
      <c r="K5145" s="449"/>
      <c r="M5145" s="349" t="str">
        <f>N5145&amp;AS[[#This Row],[Insurer Code]]&amp;"; "&amp;O5145&amp;AS[[#This Row],[Reporting Year]]&amp;"; "&amp;P5145&amp;AS[[#This Row],[Insurance Category Code]]&amp;"; "&amp;Q5145&amp;AS[[#This Row],[Large Provider Entity Code]]&amp;"; "&amp;R5145&amp;AS[[#This Row],[Age Band Code]]&amp;"; "&amp;S5145&amp;AS[[#This Row],[Sex Code]]</f>
        <v xml:space="preserve">Insurer Code ; Reporting Year ; Insurance Category Code ; Large Provider Entity Code ; Age Band Code ; Sex Code </v>
      </c>
      <c r="N5145" s="345" t="s">
        <v>207</v>
      </c>
      <c r="O5145" s="345" t="s">
        <v>208</v>
      </c>
      <c r="P5145" s="345" t="s">
        <v>209</v>
      </c>
      <c r="Q5145" s="345" t="s">
        <v>210</v>
      </c>
      <c r="R5145" s="345" t="s">
        <v>223</v>
      </c>
      <c r="S5145" s="345" t="s">
        <v>224</v>
      </c>
    </row>
    <row r="5146" spans="1:19" x14ac:dyDescent="0.25">
      <c r="A5146" s="311"/>
      <c r="B5146" s="312"/>
      <c r="C5146" s="312"/>
      <c r="D5146" s="312"/>
      <c r="E5146" s="312"/>
      <c r="F5146" s="312"/>
      <c r="G5146" s="328"/>
      <c r="H5146" s="337"/>
      <c r="I5146" s="334"/>
      <c r="J5146" s="314"/>
      <c r="K5146" s="449"/>
      <c r="M5146" s="349" t="str">
        <f>N5146&amp;AS[[#This Row],[Insurer Code]]&amp;"; "&amp;O5146&amp;AS[[#This Row],[Reporting Year]]&amp;"; "&amp;P5146&amp;AS[[#This Row],[Insurance Category Code]]&amp;"; "&amp;Q5146&amp;AS[[#This Row],[Large Provider Entity Code]]&amp;"; "&amp;R5146&amp;AS[[#This Row],[Age Band Code]]&amp;"; "&amp;S5146&amp;AS[[#This Row],[Sex Code]]</f>
        <v xml:space="preserve">Insurer Code ; Reporting Year ; Insurance Category Code ; Large Provider Entity Code ; Age Band Code ; Sex Code </v>
      </c>
      <c r="N5146" s="345" t="s">
        <v>207</v>
      </c>
      <c r="O5146" s="345" t="s">
        <v>208</v>
      </c>
      <c r="P5146" s="345" t="s">
        <v>209</v>
      </c>
      <c r="Q5146" s="345" t="s">
        <v>210</v>
      </c>
      <c r="R5146" s="345" t="s">
        <v>223</v>
      </c>
      <c r="S5146" s="345" t="s">
        <v>224</v>
      </c>
    </row>
    <row r="5147" spans="1:19" x14ac:dyDescent="0.25">
      <c r="A5147" s="311"/>
      <c r="B5147" s="312"/>
      <c r="C5147" s="312"/>
      <c r="D5147" s="312"/>
      <c r="E5147" s="312"/>
      <c r="F5147" s="312"/>
      <c r="G5147" s="328"/>
      <c r="H5147" s="337"/>
      <c r="I5147" s="334"/>
      <c r="J5147" s="314"/>
      <c r="K5147" s="449"/>
      <c r="M5147" s="349" t="str">
        <f>N5147&amp;AS[[#This Row],[Insurer Code]]&amp;"; "&amp;O5147&amp;AS[[#This Row],[Reporting Year]]&amp;"; "&amp;P5147&amp;AS[[#This Row],[Insurance Category Code]]&amp;"; "&amp;Q5147&amp;AS[[#This Row],[Large Provider Entity Code]]&amp;"; "&amp;R5147&amp;AS[[#This Row],[Age Band Code]]&amp;"; "&amp;S5147&amp;AS[[#This Row],[Sex Code]]</f>
        <v xml:space="preserve">Insurer Code ; Reporting Year ; Insurance Category Code ; Large Provider Entity Code ; Age Band Code ; Sex Code </v>
      </c>
      <c r="N5147" s="345" t="s">
        <v>207</v>
      </c>
      <c r="O5147" s="345" t="s">
        <v>208</v>
      </c>
      <c r="P5147" s="345" t="s">
        <v>209</v>
      </c>
      <c r="Q5147" s="345" t="s">
        <v>210</v>
      </c>
      <c r="R5147" s="345" t="s">
        <v>223</v>
      </c>
      <c r="S5147" s="345" t="s">
        <v>224</v>
      </c>
    </row>
    <row r="5148" spans="1:19" x14ac:dyDescent="0.25">
      <c r="A5148" s="311"/>
      <c r="B5148" s="312"/>
      <c r="C5148" s="312"/>
      <c r="D5148" s="312"/>
      <c r="E5148" s="312"/>
      <c r="F5148" s="312"/>
      <c r="G5148" s="328"/>
      <c r="H5148" s="337"/>
      <c r="I5148" s="334"/>
      <c r="J5148" s="314"/>
      <c r="K5148" s="449"/>
      <c r="M5148" s="349" t="str">
        <f>N5148&amp;AS[[#This Row],[Insurer Code]]&amp;"; "&amp;O5148&amp;AS[[#This Row],[Reporting Year]]&amp;"; "&amp;P5148&amp;AS[[#This Row],[Insurance Category Code]]&amp;"; "&amp;Q5148&amp;AS[[#This Row],[Large Provider Entity Code]]&amp;"; "&amp;R5148&amp;AS[[#This Row],[Age Band Code]]&amp;"; "&amp;S5148&amp;AS[[#This Row],[Sex Code]]</f>
        <v xml:space="preserve">Insurer Code ; Reporting Year ; Insurance Category Code ; Large Provider Entity Code ; Age Band Code ; Sex Code </v>
      </c>
      <c r="N5148" s="345" t="s">
        <v>207</v>
      </c>
      <c r="O5148" s="345" t="s">
        <v>208</v>
      </c>
      <c r="P5148" s="345" t="s">
        <v>209</v>
      </c>
      <c r="Q5148" s="345" t="s">
        <v>210</v>
      </c>
      <c r="R5148" s="345" t="s">
        <v>223</v>
      </c>
      <c r="S5148" s="345" t="s">
        <v>224</v>
      </c>
    </row>
    <row r="5149" spans="1:19" x14ac:dyDescent="0.25">
      <c r="A5149" s="311"/>
      <c r="B5149" s="312"/>
      <c r="C5149" s="312"/>
      <c r="D5149" s="312"/>
      <c r="E5149" s="312"/>
      <c r="F5149" s="312"/>
      <c r="G5149" s="328"/>
      <c r="H5149" s="337"/>
      <c r="I5149" s="334"/>
      <c r="J5149" s="314"/>
      <c r="K5149" s="449"/>
      <c r="M5149" s="349" t="str">
        <f>N5149&amp;AS[[#This Row],[Insurer Code]]&amp;"; "&amp;O5149&amp;AS[[#This Row],[Reporting Year]]&amp;"; "&amp;P5149&amp;AS[[#This Row],[Insurance Category Code]]&amp;"; "&amp;Q5149&amp;AS[[#This Row],[Large Provider Entity Code]]&amp;"; "&amp;R5149&amp;AS[[#This Row],[Age Band Code]]&amp;"; "&amp;S5149&amp;AS[[#This Row],[Sex Code]]</f>
        <v xml:space="preserve">Insurer Code ; Reporting Year ; Insurance Category Code ; Large Provider Entity Code ; Age Band Code ; Sex Code </v>
      </c>
      <c r="N5149" s="345" t="s">
        <v>207</v>
      </c>
      <c r="O5149" s="345" t="s">
        <v>208</v>
      </c>
      <c r="P5149" s="345" t="s">
        <v>209</v>
      </c>
      <c r="Q5149" s="345" t="s">
        <v>210</v>
      </c>
      <c r="R5149" s="345" t="s">
        <v>223</v>
      </c>
      <c r="S5149" s="345" t="s">
        <v>224</v>
      </c>
    </row>
    <row r="5150" spans="1:19" x14ac:dyDescent="0.25">
      <c r="A5150" s="311"/>
      <c r="B5150" s="312"/>
      <c r="C5150" s="312"/>
      <c r="D5150" s="312"/>
      <c r="E5150" s="312"/>
      <c r="F5150" s="312"/>
      <c r="G5150" s="328"/>
      <c r="H5150" s="337"/>
      <c r="I5150" s="334"/>
      <c r="J5150" s="314"/>
      <c r="K5150" s="449"/>
      <c r="M5150" s="349" t="str">
        <f>N5150&amp;AS[[#This Row],[Insurer Code]]&amp;"; "&amp;O5150&amp;AS[[#This Row],[Reporting Year]]&amp;"; "&amp;P5150&amp;AS[[#This Row],[Insurance Category Code]]&amp;"; "&amp;Q5150&amp;AS[[#This Row],[Large Provider Entity Code]]&amp;"; "&amp;R5150&amp;AS[[#This Row],[Age Band Code]]&amp;"; "&amp;S5150&amp;AS[[#This Row],[Sex Code]]</f>
        <v xml:space="preserve">Insurer Code ; Reporting Year ; Insurance Category Code ; Large Provider Entity Code ; Age Band Code ; Sex Code </v>
      </c>
      <c r="N5150" s="345" t="s">
        <v>207</v>
      </c>
      <c r="O5150" s="345" t="s">
        <v>208</v>
      </c>
      <c r="P5150" s="345" t="s">
        <v>209</v>
      </c>
      <c r="Q5150" s="345" t="s">
        <v>210</v>
      </c>
      <c r="R5150" s="345" t="s">
        <v>223</v>
      </c>
      <c r="S5150" s="345" t="s">
        <v>224</v>
      </c>
    </row>
    <row r="5151" spans="1:19" x14ac:dyDescent="0.25">
      <c r="A5151" s="311"/>
      <c r="B5151" s="312"/>
      <c r="C5151" s="312"/>
      <c r="D5151" s="312"/>
      <c r="E5151" s="312"/>
      <c r="F5151" s="312"/>
      <c r="G5151" s="328"/>
      <c r="H5151" s="337"/>
      <c r="I5151" s="334"/>
      <c r="J5151" s="314"/>
      <c r="K5151" s="449"/>
      <c r="M5151" s="349" t="str">
        <f>N5151&amp;AS[[#This Row],[Insurer Code]]&amp;"; "&amp;O5151&amp;AS[[#This Row],[Reporting Year]]&amp;"; "&amp;P5151&amp;AS[[#This Row],[Insurance Category Code]]&amp;"; "&amp;Q5151&amp;AS[[#This Row],[Large Provider Entity Code]]&amp;"; "&amp;R5151&amp;AS[[#This Row],[Age Band Code]]&amp;"; "&amp;S5151&amp;AS[[#This Row],[Sex Code]]</f>
        <v xml:space="preserve">Insurer Code ; Reporting Year ; Insurance Category Code ; Large Provider Entity Code ; Age Band Code ; Sex Code </v>
      </c>
      <c r="N5151" s="345" t="s">
        <v>207</v>
      </c>
      <c r="O5151" s="345" t="s">
        <v>208</v>
      </c>
      <c r="P5151" s="345" t="s">
        <v>209</v>
      </c>
      <c r="Q5151" s="345" t="s">
        <v>210</v>
      </c>
      <c r="R5151" s="345" t="s">
        <v>223</v>
      </c>
      <c r="S5151" s="345" t="s">
        <v>224</v>
      </c>
    </row>
    <row r="5152" spans="1:19" x14ac:dyDescent="0.25">
      <c r="A5152" s="311"/>
      <c r="B5152" s="312"/>
      <c r="C5152" s="312"/>
      <c r="D5152" s="312"/>
      <c r="E5152" s="312"/>
      <c r="F5152" s="312"/>
      <c r="G5152" s="328"/>
      <c r="H5152" s="337"/>
      <c r="I5152" s="334"/>
      <c r="J5152" s="314"/>
      <c r="K5152" s="449"/>
      <c r="M5152" s="349" t="str">
        <f>N5152&amp;AS[[#This Row],[Insurer Code]]&amp;"; "&amp;O5152&amp;AS[[#This Row],[Reporting Year]]&amp;"; "&amp;P5152&amp;AS[[#This Row],[Insurance Category Code]]&amp;"; "&amp;Q5152&amp;AS[[#This Row],[Large Provider Entity Code]]&amp;"; "&amp;R5152&amp;AS[[#This Row],[Age Band Code]]&amp;"; "&amp;S5152&amp;AS[[#This Row],[Sex Code]]</f>
        <v xml:space="preserve">Insurer Code ; Reporting Year ; Insurance Category Code ; Large Provider Entity Code ; Age Band Code ; Sex Code </v>
      </c>
      <c r="N5152" s="345" t="s">
        <v>207</v>
      </c>
      <c r="O5152" s="345" t="s">
        <v>208</v>
      </c>
      <c r="P5152" s="345" t="s">
        <v>209</v>
      </c>
      <c r="Q5152" s="345" t="s">
        <v>210</v>
      </c>
      <c r="R5152" s="345" t="s">
        <v>223</v>
      </c>
      <c r="S5152" s="345" t="s">
        <v>224</v>
      </c>
    </row>
    <row r="5153" spans="1:19" x14ac:dyDescent="0.25">
      <c r="A5153" s="311"/>
      <c r="B5153" s="312"/>
      <c r="C5153" s="312"/>
      <c r="D5153" s="312"/>
      <c r="E5153" s="312"/>
      <c r="F5153" s="312"/>
      <c r="G5153" s="328"/>
      <c r="H5153" s="337"/>
      <c r="I5153" s="334"/>
      <c r="J5153" s="314"/>
      <c r="K5153" s="449"/>
      <c r="M5153" s="349" t="str">
        <f>N5153&amp;AS[[#This Row],[Insurer Code]]&amp;"; "&amp;O5153&amp;AS[[#This Row],[Reporting Year]]&amp;"; "&amp;P5153&amp;AS[[#This Row],[Insurance Category Code]]&amp;"; "&amp;Q5153&amp;AS[[#This Row],[Large Provider Entity Code]]&amp;"; "&amp;R5153&amp;AS[[#This Row],[Age Band Code]]&amp;"; "&amp;S5153&amp;AS[[#This Row],[Sex Code]]</f>
        <v xml:space="preserve">Insurer Code ; Reporting Year ; Insurance Category Code ; Large Provider Entity Code ; Age Band Code ; Sex Code </v>
      </c>
      <c r="N5153" s="345" t="s">
        <v>207</v>
      </c>
      <c r="O5153" s="345" t="s">
        <v>208</v>
      </c>
      <c r="P5153" s="345" t="s">
        <v>209</v>
      </c>
      <c r="Q5153" s="345" t="s">
        <v>210</v>
      </c>
      <c r="R5153" s="345" t="s">
        <v>223</v>
      </c>
      <c r="S5153" s="345" t="s">
        <v>224</v>
      </c>
    </row>
    <row r="5154" spans="1:19" x14ac:dyDescent="0.25">
      <c r="A5154" s="311"/>
      <c r="B5154" s="312"/>
      <c r="C5154" s="312"/>
      <c r="D5154" s="312"/>
      <c r="E5154" s="312"/>
      <c r="F5154" s="312"/>
      <c r="G5154" s="328"/>
      <c r="H5154" s="337"/>
      <c r="I5154" s="334"/>
      <c r="J5154" s="314"/>
      <c r="K5154" s="449"/>
      <c r="M5154" s="349" t="str">
        <f>N5154&amp;AS[[#This Row],[Insurer Code]]&amp;"; "&amp;O5154&amp;AS[[#This Row],[Reporting Year]]&amp;"; "&amp;P5154&amp;AS[[#This Row],[Insurance Category Code]]&amp;"; "&amp;Q5154&amp;AS[[#This Row],[Large Provider Entity Code]]&amp;"; "&amp;R5154&amp;AS[[#This Row],[Age Band Code]]&amp;"; "&amp;S5154&amp;AS[[#This Row],[Sex Code]]</f>
        <v xml:space="preserve">Insurer Code ; Reporting Year ; Insurance Category Code ; Large Provider Entity Code ; Age Band Code ; Sex Code </v>
      </c>
      <c r="N5154" s="345" t="s">
        <v>207</v>
      </c>
      <c r="O5154" s="345" t="s">
        <v>208</v>
      </c>
      <c r="P5154" s="345" t="s">
        <v>209</v>
      </c>
      <c r="Q5154" s="345" t="s">
        <v>210</v>
      </c>
      <c r="R5154" s="345" t="s">
        <v>223</v>
      </c>
      <c r="S5154" s="345" t="s">
        <v>224</v>
      </c>
    </row>
    <row r="5155" spans="1:19" x14ac:dyDescent="0.25">
      <c r="A5155" s="311"/>
      <c r="B5155" s="312"/>
      <c r="C5155" s="312"/>
      <c r="D5155" s="312"/>
      <c r="E5155" s="312"/>
      <c r="F5155" s="312"/>
      <c r="G5155" s="328"/>
      <c r="H5155" s="337"/>
      <c r="I5155" s="334"/>
      <c r="J5155" s="314"/>
      <c r="K5155" s="449"/>
      <c r="M5155" s="349" t="str">
        <f>N5155&amp;AS[[#This Row],[Insurer Code]]&amp;"; "&amp;O5155&amp;AS[[#This Row],[Reporting Year]]&amp;"; "&amp;P5155&amp;AS[[#This Row],[Insurance Category Code]]&amp;"; "&amp;Q5155&amp;AS[[#This Row],[Large Provider Entity Code]]&amp;"; "&amp;R5155&amp;AS[[#This Row],[Age Band Code]]&amp;"; "&amp;S5155&amp;AS[[#This Row],[Sex Code]]</f>
        <v xml:space="preserve">Insurer Code ; Reporting Year ; Insurance Category Code ; Large Provider Entity Code ; Age Band Code ; Sex Code </v>
      </c>
      <c r="N5155" s="345" t="s">
        <v>207</v>
      </c>
      <c r="O5155" s="345" t="s">
        <v>208</v>
      </c>
      <c r="P5155" s="345" t="s">
        <v>209</v>
      </c>
      <c r="Q5155" s="345" t="s">
        <v>210</v>
      </c>
      <c r="R5155" s="345" t="s">
        <v>223</v>
      </c>
      <c r="S5155" s="345" t="s">
        <v>224</v>
      </c>
    </row>
    <row r="5156" spans="1:19" x14ac:dyDescent="0.25">
      <c r="A5156" s="311"/>
      <c r="B5156" s="312"/>
      <c r="C5156" s="312"/>
      <c r="D5156" s="312"/>
      <c r="E5156" s="312"/>
      <c r="F5156" s="312"/>
      <c r="G5156" s="328"/>
      <c r="H5156" s="337"/>
      <c r="I5156" s="334"/>
      <c r="J5156" s="314"/>
      <c r="K5156" s="449"/>
      <c r="M5156" s="349" t="str">
        <f>N5156&amp;AS[[#This Row],[Insurer Code]]&amp;"; "&amp;O5156&amp;AS[[#This Row],[Reporting Year]]&amp;"; "&amp;P5156&amp;AS[[#This Row],[Insurance Category Code]]&amp;"; "&amp;Q5156&amp;AS[[#This Row],[Large Provider Entity Code]]&amp;"; "&amp;R5156&amp;AS[[#This Row],[Age Band Code]]&amp;"; "&amp;S5156&amp;AS[[#This Row],[Sex Code]]</f>
        <v xml:space="preserve">Insurer Code ; Reporting Year ; Insurance Category Code ; Large Provider Entity Code ; Age Band Code ; Sex Code </v>
      </c>
      <c r="N5156" s="345" t="s">
        <v>207</v>
      </c>
      <c r="O5156" s="345" t="s">
        <v>208</v>
      </c>
      <c r="P5156" s="345" t="s">
        <v>209</v>
      </c>
      <c r="Q5156" s="345" t="s">
        <v>210</v>
      </c>
      <c r="R5156" s="345" t="s">
        <v>223</v>
      </c>
      <c r="S5156" s="345" t="s">
        <v>224</v>
      </c>
    </row>
    <row r="5157" spans="1:19" x14ac:dyDescent="0.25">
      <c r="A5157" s="311"/>
      <c r="B5157" s="312"/>
      <c r="C5157" s="312"/>
      <c r="D5157" s="312"/>
      <c r="E5157" s="312"/>
      <c r="F5157" s="312"/>
      <c r="G5157" s="328"/>
      <c r="H5157" s="337"/>
      <c r="I5157" s="334"/>
      <c r="J5157" s="314"/>
      <c r="K5157" s="449"/>
      <c r="M5157" s="349" t="str">
        <f>N5157&amp;AS[[#This Row],[Insurer Code]]&amp;"; "&amp;O5157&amp;AS[[#This Row],[Reporting Year]]&amp;"; "&amp;P5157&amp;AS[[#This Row],[Insurance Category Code]]&amp;"; "&amp;Q5157&amp;AS[[#This Row],[Large Provider Entity Code]]&amp;"; "&amp;R5157&amp;AS[[#This Row],[Age Band Code]]&amp;"; "&amp;S5157&amp;AS[[#This Row],[Sex Code]]</f>
        <v xml:space="preserve">Insurer Code ; Reporting Year ; Insurance Category Code ; Large Provider Entity Code ; Age Band Code ; Sex Code </v>
      </c>
      <c r="N5157" s="345" t="s">
        <v>207</v>
      </c>
      <c r="O5157" s="345" t="s">
        <v>208</v>
      </c>
      <c r="P5157" s="345" t="s">
        <v>209</v>
      </c>
      <c r="Q5157" s="345" t="s">
        <v>210</v>
      </c>
      <c r="R5157" s="345" t="s">
        <v>223</v>
      </c>
      <c r="S5157" s="345" t="s">
        <v>224</v>
      </c>
    </row>
    <row r="5158" spans="1:19" x14ac:dyDescent="0.25">
      <c r="A5158" s="311"/>
      <c r="B5158" s="312"/>
      <c r="C5158" s="312"/>
      <c r="D5158" s="312"/>
      <c r="E5158" s="312"/>
      <c r="F5158" s="312"/>
      <c r="G5158" s="328"/>
      <c r="H5158" s="337"/>
      <c r="I5158" s="334"/>
      <c r="J5158" s="314"/>
      <c r="K5158" s="449"/>
      <c r="M5158" s="349" t="str">
        <f>N5158&amp;AS[[#This Row],[Insurer Code]]&amp;"; "&amp;O5158&amp;AS[[#This Row],[Reporting Year]]&amp;"; "&amp;P5158&amp;AS[[#This Row],[Insurance Category Code]]&amp;"; "&amp;Q5158&amp;AS[[#This Row],[Large Provider Entity Code]]&amp;"; "&amp;R5158&amp;AS[[#This Row],[Age Band Code]]&amp;"; "&amp;S5158&amp;AS[[#This Row],[Sex Code]]</f>
        <v xml:space="preserve">Insurer Code ; Reporting Year ; Insurance Category Code ; Large Provider Entity Code ; Age Band Code ; Sex Code </v>
      </c>
      <c r="N5158" s="345" t="s">
        <v>207</v>
      </c>
      <c r="O5158" s="345" t="s">
        <v>208</v>
      </c>
      <c r="P5158" s="345" t="s">
        <v>209</v>
      </c>
      <c r="Q5158" s="345" t="s">
        <v>210</v>
      </c>
      <c r="R5158" s="345" t="s">
        <v>223</v>
      </c>
      <c r="S5158" s="345" t="s">
        <v>224</v>
      </c>
    </row>
    <row r="5159" spans="1:19" x14ac:dyDescent="0.25">
      <c r="A5159" s="311"/>
      <c r="B5159" s="312"/>
      <c r="C5159" s="312"/>
      <c r="D5159" s="312"/>
      <c r="E5159" s="312"/>
      <c r="F5159" s="312"/>
      <c r="G5159" s="328"/>
      <c r="H5159" s="337"/>
      <c r="I5159" s="334"/>
      <c r="J5159" s="314"/>
      <c r="K5159" s="449"/>
      <c r="M5159" s="349" t="str">
        <f>N5159&amp;AS[[#This Row],[Insurer Code]]&amp;"; "&amp;O5159&amp;AS[[#This Row],[Reporting Year]]&amp;"; "&amp;P5159&amp;AS[[#This Row],[Insurance Category Code]]&amp;"; "&amp;Q5159&amp;AS[[#This Row],[Large Provider Entity Code]]&amp;"; "&amp;R5159&amp;AS[[#This Row],[Age Band Code]]&amp;"; "&amp;S5159&amp;AS[[#This Row],[Sex Code]]</f>
        <v xml:space="preserve">Insurer Code ; Reporting Year ; Insurance Category Code ; Large Provider Entity Code ; Age Band Code ; Sex Code </v>
      </c>
      <c r="N5159" s="345" t="s">
        <v>207</v>
      </c>
      <c r="O5159" s="345" t="s">
        <v>208</v>
      </c>
      <c r="P5159" s="345" t="s">
        <v>209</v>
      </c>
      <c r="Q5159" s="345" t="s">
        <v>210</v>
      </c>
      <c r="R5159" s="345" t="s">
        <v>223</v>
      </c>
      <c r="S5159" s="345" t="s">
        <v>224</v>
      </c>
    </row>
    <row r="5160" spans="1:19" x14ac:dyDescent="0.25">
      <c r="A5160" s="311"/>
      <c r="B5160" s="312"/>
      <c r="C5160" s="312"/>
      <c r="D5160" s="312"/>
      <c r="E5160" s="312"/>
      <c r="F5160" s="312"/>
      <c r="G5160" s="328"/>
      <c r="H5160" s="337"/>
      <c r="I5160" s="334"/>
      <c r="J5160" s="314"/>
      <c r="K5160" s="449"/>
      <c r="M5160" s="349" t="str">
        <f>N5160&amp;AS[[#This Row],[Insurer Code]]&amp;"; "&amp;O5160&amp;AS[[#This Row],[Reporting Year]]&amp;"; "&amp;P5160&amp;AS[[#This Row],[Insurance Category Code]]&amp;"; "&amp;Q5160&amp;AS[[#This Row],[Large Provider Entity Code]]&amp;"; "&amp;R5160&amp;AS[[#This Row],[Age Band Code]]&amp;"; "&amp;S5160&amp;AS[[#This Row],[Sex Code]]</f>
        <v xml:space="preserve">Insurer Code ; Reporting Year ; Insurance Category Code ; Large Provider Entity Code ; Age Band Code ; Sex Code </v>
      </c>
      <c r="N5160" s="345" t="s">
        <v>207</v>
      </c>
      <c r="O5160" s="345" t="s">
        <v>208</v>
      </c>
      <c r="P5160" s="345" t="s">
        <v>209</v>
      </c>
      <c r="Q5160" s="345" t="s">
        <v>210</v>
      </c>
      <c r="R5160" s="345" t="s">
        <v>223</v>
      </c>
      <c r="S5160" s="345" t="s">
        <v>224</v>
      </c>
    </row>
    <row r="5161" spans="1:19" x14ac:dyDescent="0.25">
      <c r="A5161" s="311"/>
      <c r="B5161" s="312"/>
      <c r="C5161" s="312"/>
      <c r="D5161" s="312"/>
      <c r="E5161" s="312"/>
      <c r="F5161" s="312"/>
      <c r="G5161" s="328"/>
      <c r="H5161" s="337"/>
      <c r="I5161" s="334"/>
      <c r="J5161" s="314"/>
      <c r="K5161" s="449"/>
      <c r="M5161" s="349" t="str">
        <f>N5161&amp;AS[[#This Row],[Insurer Code]]&amp;"; "&amp;O5161&amp;AS[[#This Row],[Reporting Year]]&amp;"; "&amp;P5161&amp;AS[[#This Row],[Insurance Category Code]]&amp;"; "&amp;Q5161&amp;AS[[#This Row],[Large Provider Entity Code]]&amp;"; "&amp;R5161&amp;AS[[#This Row],[Age Band Code]]&amp;"; "&amp;S5161&amp;AS[[#This Row],[Sex Code]]</f>
        <v xml:space="preserve">Insurer Code ; Reporting Year ; Insurance Category Code ; Large Provider Entity Code ; Age Band Code ; Sex Code </v>
      </c>
      <c r="N5161" s="345" t="s">
        <v>207</v>
      </c>
      <c r="O5161" s="345" t="s">
        <v>208</v>
      </c>
      <c r="P5161" s="345" t="s">
        <v>209</v>
      </c>
      <c r="Q5161" s="345" t="s">
        <v>210</v>
      </c>
      <c r="R5161" s="345" t="s">
        <v>223</v>
      </c>
      <c r="S5161" s="345" t="s">
        <v>224</v>
      </c>
    </row>
    <row r="5162" spans="1:19" x14ac:dyDescent="0.25">
      <c r="A5162" s="311"/>
      <c r="B5162" s="312"/>
      <c r="C5162" s="312"/>
      <c r="D5162" s="312"/>
      <c r="E5162" s="312"/>
      <c r="F5162" s="312"/>
      <c r="G5162" s="328"/>
      <c r="H5162" s="337"/>
      <c r="I5162" s="334"/>
      <c r="J5162" s="314"/>
      <c r="K5162" s="449"/>
      <c r="M5162" s="349" t="str">
        <f>N5162&amp;AS[[#This Row],[Insurer Code]]&amp;"; "&amp;O5162&amp;AS[[#This Row],[Reporting Year]]&amp;"; "&amp;P5162&amp;AS[[#This Row],[Insurance Category Code]]&amp;"; "&amp;Q5162&amp;AS[[#This Row],[Large Provider Entity Code]]&amp;"; "&amp;R5162&amp;AS[[#This Row],[Age Band Code]]&amp;"; "&amp;S5162&amp;AS[[#This Row],[Sex Code]]</f>
        <v xml:space="preserve">Insurer Code ; Reporting Year ; Insurance Category Code ; Large Provider Entity Code ; Age Band Code ; Sex Code </v>
      </c>
      <c r="N5162" s="345" t="s">
        <v>207</v>
      </c>
      <c r="O5162" s="345" t="s">
        <v>208</v>
      </c>
      <c r="P5162" s="345" t="s">
        <v>209</v>
      </c>
      <c r="Q5162" s="345" t="s">
        <v>210</v>
      </c>
      <c r="R5162" s="345" t="s">
        <v>223</v>
      </c>
      <c r="S5162" s="345" t="s">
        <v>224</v>
      </c>
    </row>
    <row r="5163" spans="1:19" x14ac:dyDescent="0.25">
      <c r="A5163" s="311"/>
      <c r="B5163" s="312"/>
      <c r="C5163" s="312"/>
      <c r="D5163" s="312"/>
      <c r="E5163" s="312"/>
      <c r="F5163" s="312"/>
      <c r="G5163" s="328"/>
      <c r="H5163" s="337"/>
      <c r="I5163" s="334"/>
      <c r="J5163" s="314"/>
      <c r="K5163" s="449"/>
      <c r="M5163" s="349" t="str">
        <f>N5163&amp;AS[[#This Row],[Insurer Code]]&amp;"; "&amp;O5163&amp;AS[[#This Row],[Reporting Year]]&amp;"; "&amp;P5163&amp;AS[[#This Row],[Insurance Category Code]]&amp;"; "&amp;Q5163&amp;AS[[#This Row],[Large Provider Entity Code]]&amp;"; "&amp;R5163&amp;AS[[#This Row],[Age Band Code]]&amp;"; "&amp;S5163&amp;AS[[#This Row],[Sex Code]]</f>
        <v xml:space="preserve">Insurer Code ; Reporting Year ; Insurance Category Code ; Large Provider Entity Code ; Age Band Code ; Sex Code </v>
      </c>
      <c r="N5163" s="345" t="s">
        <v>207</v>
      </c>
      <c r="O5163" s="345" t="s">
        <v>208</v>
      </c>
      <c r="P5163" s="345" t="s">
        <v>209</v>
      </c>
      <c r="Q5163" s="345" t="s">
        <v>210</v>
      </c>
      <c r="R5163" s="345" t="s">
        <v>223</v>
      </c>
      <c r="S5163" s="345" t="s">
        <v>224</v>
      </c>
    </row>
    <row r="5164" spans="1:19" x14ac:dyDescent="0.25">
      <c r="A5164" s="311"/>
      <c r="B5164" s="312"/>
      <c r="C5164" s="312"/>
      <c r="D5164" s="312"/>
      <c r="E5164" s="312"/>
      <c r="F5164" s="312"/>
      <c r="G5164" s="328"/>
      <c r="H5164" s="337"/>
      <c r="I5164" s="334"/>
      <c r="J5164" s="314"/>
      <c r="K5164" s="449"/>
      <c r="M5164" s="349" t="str">
        <f>N5164&amp;AS[[#This Row],[Insurer Code]]&amp;"; "&amp;O5164&amp;AS[[#This Row],[Reporting Year]]&amp;"; "&amp;P5164&amp;AS[[#This Row],[Insurance Category Code]]&amp;"; "&amp;Q5164&amp;AS[[#This Row],[Large Provider Entity Code]]&amp;"; "&amp;R5164&amp;AS[[#This Row],[Age Band Code]]&amp;"; "&amp;S5164&amp;AS[[#This Row],[Sex Code]]</f>
        <v xml:space="preserve">Insurer Code ; Reporting Year ; Insurance Category Code ; Large Provider Entity Code ; Age Band Code ; Sex Code </v>
      </c>
      <c r="N5164" s="345" t="s">
        <v>207</v>
      </c>
      <c r="O5164" s="345" t="s">
        <v>208</v>
      </c>
      <c r="P5164" s="345" t="s">
        <v>209</v>
      </c>
      <c r="Q5164" s="345" t="s">
        <v>210</v>
      </c>
      <c r="R5164" s="345" t="s">
        <v>223</v>
      </c>
      <c r="S5164" s="345" t="s">
        <v>224</v>
      </c>
    </row>
    <row r="5165" spans="1:19" x14ac:dyDescent="0.25">
      <c r="A5165" s="311"/>
      <c r="B5165" s="312"/>
      <c r="C5165" s="312"/>
      <c r="D5165" s="312"/>
      <c r="E5165" s="312"/>
      <c r="F5165" s="312"/>
      <c r="G5165" s="328"/>
      <c r="H5165" s="337"/>
      <c r="I5165" s="334"/>
      <c r="J5165" s="314"/>
      <c r="K5165" s="449"/>
      <c r="M5165" s="349" t="str">
        <f>N5165&amp;AS[[#This Row],[Insurer Code]]&amp;"; "&amp;O5165&amp;AS[[#This Row],[Reporting Year]]&amp;"; "&amp;P5165&amp;AS[[#This Row],[Insurance Category Code]]&amp;"; "&amp;Q5165&amp;AS[[#This Row],[Large Provider Entity Code]]&amp;"; "&amp;R5165&amp;AS[[#This Row],[Age Band Code]]&amp;"; "&amp;S5165&amp;AS[[#This Row],[Sex Code]]</f>
        <v xml:space="preserve">Insurer Code ; Reporting Year ; Insurance Category Code ; Large Provider Entity Code ; Age Band Code ; Sex Code </v>
      </c>
      <c r="N5165" s="345" t="s">
        <v>207</v>
      </c>
      <c r="O5165" s="345" t="s">
        <v>208</v>
      </c>
      <c r="P5165" s="345" t="s">
        <v>209</v>
      </c>
      <c r="Q5165" s="345" t="s">
        <v>210</v>
      </c>
      <c r="R5165" s="345" t="s">
        <v>223</v>
      </c>
      <c r="S5165" s="345" t="s">
        <v>224</v>
      </c>
    </row>
    <row r="5166" spans="1:19" x14ac:dyDescent="0.25">
      <c r="A5166" s="311"/>
      <c r="B5166" s="312"/>
      <c r="C5166" s="312"/>
      <c r="D5166" s="312"/>
      <c r="E5166" s="312"/>
      <c r="F5166" s="312"/>
      <c r="G5166" s="328"/>
      <c r="H5166" s="337"/>
      <c r="I5166" s="334"/>
      <c r="J5166" s="314"/>
      <c r="K5166" s="449"/>
      <c r="M5166" s="349" t="str">
        <f>N5166&amp;AS[[#This Row],[Insurer Code]]&amp;"; "&amp;O5166&amp;AS[[#This Row],[Reporting Year]]&amp;"; "&amp;P5166&amp;AS[[#This Row],[Insurance Category Code]]&amp;"; "&amp;Q5166&amp;AS[[#This Row],[Large Provider Entity Code]]&amp;"; "&amp;R5166&amp;AS[[#This Row],[Age Band Code]]&amp;"; "&amp;S5166&amp;AS[[#This Row],[Sex Code]]</f>
        <v xml:space="preserve">Insurer Code ; Reporting Year ; Insurance Category Code ; Large Provider Entity Code ; Age Band Code ; Sex Code </v>
      </c>
      <c r="N5166" s="345" t="s">
        <v>207</v>
      </c>
      <c r="O5166" s="345" t="s">
        <v>208</v>
      </c>
      <c r="P5166" s="345" t="s">
        <v>209</v>
      </c>
      <c r="Q5166" s="345" t="s">
        <v>210</v>
      </c>
      <c r="R5166" s="345" t="s">
        <v>223</v>
      </c>
      <c r="S5166" s="345" t="s">
        <v>224</v>
      </c>
    </row>
    <row r="5167" spans="1:19" x14ac:dyDescent="0.25">
      <c r="A5167" s="311"/>
      <c r="B5167" s="312"/>
      <c r="C5167" s="312"/>
      <c r="D5167" s="312"/>
      <c r="E5167" s="312"/>
      <c r="F5167" s="312"/>
      <c r="G5167" s="328"/>
      <c r="H5167" s="337"/>
      <c r="I5167" s="334"/>
      <c r="J5167" s="314"/>
      <c r="K5167" s="449"/>
      <c r="M5167" s="349" t="str">
        <f>N5167&amp;AS[[#This Row],[Insurer Code]]&amp;"; "&amp;O5167&amp;AS[[#This Row],[Reporting Year]]&amp;"; "&amp;P5167&amp;AS[[#This Row],[Insurance Category Code]]&amp;"; "&amp;Q5167&amp;AS[[#This Row],[Large Provider Entity Code]]&amp;"; "&amp;R5167&amp;AS[[#This Row],[Age Band Code]]&amp;"; "&amp;S5167&amp;AS[[#This Row],[Sex Code]]</f>
        <v xml:space="preserve">Insurer Code ; Reporting Year ; Insurance Category Code ; Large Provider Entity Code ; Age Band Code ; Sex Code </v>
      </c>
      <c r="N5167" s="345" t="s">
        <v>207</v>
      </c>
      <c r="O5167" s="345" t="s">
        <v>208</v>
      </c>
      <c r="P5167" s="345" t="s">
        <v>209</v>
      </c>
      <c r="Q5167" s="345" t="s">
        <v>210</v>
      </c>
      <c r="R5167" s="345" t="s">
        <v>223</v>
      </c>
      <c r="S5167" s="345" t="s">
        <v>224</v>
      </c>
    </row>
    <row r="5168" spans="1:19" x14ac:dyDescent="0.25">
      <c r="A5168" s="311"/>
      <c r="B5168" s="312"/>
      <c r="C5168" s="312"/>
      <c r="D5168" s="312"/>
      <c r="E5168" s="312"/>
      <c r="F5168" s="312"/>
      <c r="G5168" s="328"/>
      <c r="H5168" s="337"/>
      <c r="I5168" s="334"/>
      <c r="J5168" s="314"/>
      <c r="K5168" s="449"/>
      <c r="M5168" s="349" t="str">
        <f>N5168&amp;AS[[#This Row],[Insurer Code]]&amp;"; "&amp;O5168&amp;AS[[#This Row],[Reporting Year]]&amp;"; "&amp;P5168&amp;AS[[#This Row],[Insurance Category Code]]&amp;"; "&amp;Q5168&amp;AS[[#This Row],[Large Provider Entity Code]]&amp;"; "&amp;R5168&amp;AS[[#This Row],[Age Band Code]]&amp;"; "&amp;S5168&amp;AS[[#This Row],[Sex Code]]</f>
        <v xml:space="preserve">Insurer Code ; Reporting Year ; Insurance Category Code ; Large Provider Entity Code ; Age Band Code ; Sex Code </v>
      </c>
      <c r="N5168" s="345" t="s">
        <v>207</v>
      </c>
      <c r="O5168" s="345" t="s">
        <v>208</v>
      </c>
      <c r="P5168" s="345" t="s">
        <v>209</v>
      </c>
      <c r="Q5168" s="345" t="s">
        <v>210</v>
      </c>
      <c r="R5168" s="345" t="s">
        <v>223</v>
      </c>
      <c r="S5168" s="345" t="s">
        <v>224</v>
      </c>
    </row>
    <row r="5169" spans="1:19" x14ac:dyDescent="0.25">
      <c r="A5169" s="311"/>
      <c r="B5169" s="312"/>
      <c r="C5169" s="312"/>
      <c r="D5169" s="312"/>
      <c r="E5169" s="312"/>
      <c r="F5169" s="312"/>
      <c r="G5169" s="328"/>
      <c r="H5169" s="337"/>
      <c r="I5169" s="334"/>
      <c r="J5169" s="314"/>
      <c r="K5169" s="449"/>
      <c r="M5169" s="349" t="str">
        <f>N5169&amp;AS[[#This Row],[Insurer Code]]&amp;"; "&amp;O5169&amp;AS[[#This Row],[Reporting Year]]&amp;"; "&amp;P5169&amp;AS[[#This Row],[Insurance Category Code]]&amp;"; "&amp;Q5169&amp;AS[[#This Row],[Large Provider Entity Code]]&amp;"; "&amp;R5169&amp;AS[[#This Row],[Age Band Code]]&amp;"; "&amp;S5169&amp;AS[[#This Row],[Sex Code]]</f>
        <v xml:space="preserve">Insurer Code ; Reporting Year ; Insurance Category Code ; Large Provider Entity Code ; Age Band Code ; Sex Code </v>
      </c>
      <c r="N5169" s="345" t="s">
        <v>207</v>
      </c>
      <c r="O5169" s="345" t="s">
        <v>208</v>
      </c>
      <c r="P5169" s="345" t="s">
        <v>209</v>
      </c>
      <c r="Q5169" s="345" t="s">
        <v>210</v>
      </c>
      <c r="R5169" s="345" t="s">
        <v>223</v>
      </c>
      <c r="S5169" s="345" t="s">
        <v>224</v>
      </c>
    </row>
    <row r="5170" spans="1:19" x14ac:dyDescent="0.25">
      <c r="A5170" s="311"/>
      <c r="B5170" s="312"/>
      <c r="C5170" s="312"/>
      <c r="D5170" s="312"/>
      <c r="E5170" s="312"/>
      <c r="F5170" s="312"/>
      <c r="G5170" s="328"/>
      <c r="H5170" s="337"/>
      <c r="I5170" s="334"/>
      <c r="J5170" s="314"/>
      <c r="K5170" s="449"/>
      <c r="M5170" s="349" t="str">
        <f>N5170&amp;AS[[#This Row],[Insurer Code]]&amp;"; "&amp;O5170&amp;AS[[#This Row],[Reporting Year]]&amp;"; "&amp;P5170&amp;AS[[#This Row],[Insurance Category Code]]&amp;"; "&amp;Q5170&amp;AS[[#This Row],[Large Provider Entity Code]]&amp;"; "&amp;R5170&amp;AS[[#This Row],[Age Band Code]]&amp;"; "&amp;S5170&amp;AS[[#This Row],[Sex Code]]</f>
        <v xml:space="preserve">Insurer Code ; Reporting Year ; Insurance Category Code ; Large Provider Entity Code ; Age Band Code ; Sex Code </v>
      </c>
      <c r="N5170" s="345" t="s">
        <v>207</v>
      </c>
      <c r="O5170" s="345" t="s">
        <v>208</v>
      </c>
      <c r="P5170" s="345" t="s">
        <v>209</v>
      </c>
      <c r="Q5170" s="345" t="s">
        <v>210</v>
      </c>
      <c r="R5170" s="345" t="s">
        <v>223</v>
      </c>
      <c r="S5170" s="345" t="s">
        <v>224</v>
      </c>
    </row>
    <row r="5171" spans="1:19" x14ac:dyDescent="0.25">
      <c r="A5171" s="311"/>
      <c r="B5171" s="312"/>
      <c r="C5171" s="312"/>
      <c r="D5171" s="312"/>
      <c r="E5171" s="312"/>
      <c r="F5171" s="312"/>
      <c r="G5171" s="328"/>
      <c r="H5171" s="337"/>
      <c r="I5171" s="334"/>
      <c r="J5171" s="314"/>
      <c r="K5171" s="449"/>
      <c r="M5171" s="349" t="str">
        <f>N5171&amp;AS[[#This Row],[Insurer Code]]&amp;"; "&amp;O5171&amp;AS[[#This Row],[Reporting Year]]&amp;"; "&amp;P5171&amp;AS[[#This Row],[Insurance Category Code]]&amp;"; "&amp;Q5171&amp;AS[[#This Row],[Large Provider Entity Code]]&amp;"; "&amp;R5171&amp;AS[[#This Row],[Age Band Code]]&amp;"; "&amp;S5171&amp;AS[[#This Row],[Sex Code]]</f>
        <v xml:space="preserve">Insurer Code ; Reporting Year ; Insurance Category Code ; Large Provider Entity Code ; Age Band Code ; Sex Code </v>
      </c>
      <c r="N5171" s="345" t="s">
        <v>207</v>
      </c>
      <c r="O5171" s="345" t="s">
        <v>208</v>
      </c>
      <c r="P5171" s="345" t="s">
        <v>209</v>
      </c>
      <c r="Q5171" s="345" t="s">
        <v>210</v>
      </c>
      <c r="R5171" s="345" t="s">
        <v>223</v>
      </c>
      <c r="S5171" s="345" t="s">
        <v>224</v>
      </c>
    </row>
    <row r="5172" spans="1:19" x14ac:dyDescent="0.25">
      <c r="A5172" s="311"/>
      <c r="B5172" s="312"/>
      <c r="C5172" s="312"/>
      <c r="D5172" s="312"/>
      <c r="E5172" s="312"/>
      <c r="F5172" s="312"/>
      <c r="G5172" s="328"/>
      <c r="H5172" s="337"/>
      <c r="I5172" s="334"/>
      <c r="J5172" s="314"/>
      <c r="K5172" s="449"/>
      <c r="M5172" s="349" t="str">
        <f>N5172&amp;AS[[#This Row],[Insurer Code]]&amp;"; "&amp;O5172&amp;AS[[#This Row],[Reporting Year]]&amp;"; "&amp;P5172&amp;AS[[#This Row],[Insurance Category Code]]&amp;"; "&amp;Q5172&amp;AS[[#This Row],[Large Provider Entity Code]]&amp;"; "&amp;R5172&amp;AS[[#This Row],[Age Band Code]]&amp;"; "&amp;S5172&amp;AS[[#This Row],[Sex Code]]</f>
        <v xml:space="preserve">Insurer Code ; Reporting Year ; Insurance Category Code ; Large Provider Entity Code ; Age Band Code ; Sex Code </v>
      </c>
      <c r="N5172" s="345" t="s">
        <v>207</v>
      </c>
      <c r="O5172" s="345" t="s">
        <v>208</v>
      </c>
      <c r="P5172" s="345" t="s">
        <v>209</v>
      </c>
      <c r="Q5172" s="345" t="s">
        <v>210</v>
      </c>
      <c r="R5172" s="345" t="s">
        <v>223</v>
      </c>
      <c r="S5172" s="345" t="s">
        <v>224</v>
      </c>
    </row>
    <row r="5173" spans="1:19" x14ac:dyDescent="0.25">
      <c r="A5173" s="311"/>
      <c r="B5173" s="312"/>
      <c r="C5173" s="312"/>
      <c r="D5173" s="312"/>
      <c r="E5173" s="312"/>
      <c r="F5173" s="312"/>
      <c r="G5173" s="328"/>
      <c r="H5173" s="337"/>
      <c r="I5173" s="334"/>
      <c r="J5173" s="314"/>
      <c r="K5173" s="449"/>
      <c r="M5173" s="349" t="str">
        <f>N5173&amp;AS[[#This Row],[Insurer Code]]&amp;"; "&amp;O5173&amp;AS[[#This Row],[Reporting Year]]&amp;"; "&amp;P5173&amp;AS[[#This Row],[Insurance Category Code]]&amp;"; "&amp;Q5173&amp;AS[[#This Row],[Large Provider Entity Code]]&amp;"; "&amp;R5173&amp;AS[[#This Row],[Age Band Code]]&amp;"; "&amp;S5173&amp;AS[[#This Row],[Sex Code]]</f>
        <v xml:space="preserve">Insurer Code ; Reporting Year ; Insurance Category Code ; Large Provider Entity Code ; Age Band Code ; Sex Code </v>
      </c>
      <c r="N5173" s="345" t="s">
        <v>207</v>
      </c>
      <c r="O5173" s="345" t="s">
        <v>208</v>
      </c>
      <c r="P5173" s="345" t="s">
        <v>209</v>
      </c>
      <c r="Q5173" s="345" t="s">
        <v>210</v>
      </c>
      <c r="R5173" s="345" t="s">
        <v>223</v>
      </c>
      <c r="S5173" s="345" t="s">
        <v>224</v>
      </c>
    </row>
    <row r="5174" spans="1:19" x14ac:dyDescent="0.25">
      <c r="A5174" s="311"/>
      <c r="B5174" s="312"/>
      <c r="C5174" s="312"/>
      <c r="D5174" s="312"/>
      <c r="E5174" s="312"/>
      <c r="F5174" s="312"/>
      <c r="G5174" s="328"/>
      <c r="H5174" s="337"/>
      <c r="I5174" s="334"/>
      <c r="J5174" s="314"/>
      <c r="K5174" s="449"/>
      <c r="M5174" s="349" t="str">
        <f>N5174&amp;AS[[#This Row],[Insurer Code]]&amp;"; "&amp;O5174&amp;AS[[#This Row],[Reporting Year]]&amp;"; "&amp;P5174&amp;AS[[#This Row],[Insurance Category Code]]&amp;"; "&amp;Q5174&amp;AS[[#This Row],[Large Provider Entity Code]]&amp;"; "&amp;R5174&amp;AS[[#This Row],[Age Band Code]]&amp;"; "&amp;S5174&amp;AS[[#This Row],[Sex Code]]</f>
        <v xml:space="preserve">Insurer Code ; Reporting Year ; Insurance Category Code ; Large Provider Entity Code ; Age Band Code ; Sex Code </v>
      </c>
      <c r="N5174" s="345" t="s">
        <v>207</v>
      </c>
      <c r="O5174" s="345" t="s">
        <v>208</v>
      </c>
      <c r="P5174" s="345" t="s">
        <v>209</v>
      </c>
      <c r="Q5174" s="345" t="s">
        <v>210</v>
      </c>
      <c r="R5174" s="345" t="s">
        <v>223</v>
      </c>
      <c r="S5174" s="345" t="s">
        <v>224</v>
      </c>
    </row>
    <row r="5175" spans="1:19" x14ac:dyDescent="0.25">
      <c r="A5175" s="311"/>
      <c r="B5175" s="312"/>
      <c r="C5175" s="312"/>
      <c r="D5175" s="312"/>
      <c r="E5175" s="312"/>
      <c r="F5175" s="312"/>
      <c r="G5175" s="328"/>
      <c r="H5175" s="337"/>
      <c r="I5175" s="334"/>
      <c r="J5175" s="314"/>
      <c r="K5175" s="449"/>
      <c r="M5175" s="349" t="str">
        <f>N5175&amp;AS[[#This Row],[Insurer Code]]&amp;"; "&amp;O5175&amp;AS[[#This Row],[Reporting Year]]&amp;"; "&amp;P5175&amp;AS[[#This Row],[Insurance Category Code]]&amp;"; "&amp;Q5175&amp;AS[[#This Row],[Large Provider Entity Code]]&amp;"; "&amp;R5175&amp;AS[[#This Row],[Age Band Code]]&amp;"; "&amp;S5175&amp;AS[[#This Row],[Sex Code]]</f>
        <v xml:space="preserve">Insurer Code ; Reporting Year ; Insurance Category Code ; Large Provider Entity Code ; Age Band Code ; Sex Code </v>
      </c>
      <c r="N5175" s="345" t="s">
        <v>207</v>
      </c>
      <c r="O5175" s="345" t="s">
        <v>208</v>
      </c>
      <c r="P5175" s="345" t="s">
        <v>209</v>
      </c>
      <c r="Q5175" s="345" t="s">
        <v>210</v>
      </c>
      <c r="R5175" s="345" t="s">
        <v>223</v>
      </c>
      <c r="S5175" s="345" t="s">
        <v>224</v>
      </c>
    </row>
    <row r="5176" spans="1:19" x14ac:dyDescent="0.25">
      <c r="A5176" s="311"/>
      <c r="B5176" s="312"/>
      <c r="C5176" s="312"/>
      <c r="D5176" s="312"/>
      <c r="E5176" s="312"/>
      <c r="F5176" s="312"/>
      <c r="G5176" s="328"/>
      <c r="H5176" s="337"/>
      <c r="I5176" s="334"/>
      <c r="J5176" s="314"/>
      <c r="K5176" s="449"/>
      <c r="M5176" s="349" t="str">
        <f>N5176&amp;AS[[#This Row],[Insurer Code]]&amp;"; "&amp;O5176&amp;AS[[#This Row],[Reporting Year]]&amp;"; "&amp;P5176&amp;AS[[#This Row],[Insurance Category Code]]&amp;"; "&amp;Q5176&amp;AS[[#This Row],[Large Provider Entity Code]]&amp;"; "&amp;R5176&amp;AS[[#This Row],[Age Band Code]]&amp;"; "&amp;S5176&amp;AS[[#This Row],[Sex Code]]</f>
        <v xml:space="preserve">Insurer Code ; Reporting Year ; Insurance Category Code ; Large Provider Entity Code ; Age Band Code ; Sex Code </v>
      </c>
      <c r="N5176" s="345" t="s">
        <v>207</v>
      </c>
      <c r="O5176" s="345" t="s">
        <v>208</v>
      </c>
      <c r="P5176" s="345" t="s">
        <v>209</v>
      </c>
      <c r="Q5176" s="345" t="s">
        <v>210</v>
      </c>
      <c r="R5176" s="345" t="s">
        <v>223</v>
      </c>
      <c r="S5176" s="345" t="s">
        <v>224</v>
      </c>
    </row>
    <row r="5177" spans="1:19" x14ac:dyDescent="0.25">
      <c r="A5177" s="311"/>
      <c r="B5177" s="312"/>
      <c r="C5177" s="312"/>
      <c r="D5177" s="312"/>
      <c r="E5177" s="312"/>
      <c r="F5177" s="312"/>
      <c r="G5177" s="328"/>
      <c r="H5177" s="337"/>
      <c r="I5177" s="334"/>
      <c r="J5177" s="314"/>
      <c r="K5177" s="449"/>
      <c r="M5177" s="349" t="str">
        <f>N5177&amp;AS[[#This Row],[Insurer Code]]&amp;"; "&amp;O5177&amp;AS[[#This Row],[Reporting Year]]&amp;"; "&amp;P5177&amp;AS[[#This Row],[Insurance Category Code]]&amp;"; "&amp;Q5177&amp;AS[[#This Row],[Large Provider Entity Code]]&amp;"; "&amp;R5177&amp;AS[[#This Row],[Age Band Code]]&amp;"; "&amp;S5177&amp;AS[[#This Row],[Sex Code]]</f>
        <v xml:space="preserve">Insurer Code ; Reporting Year ; Insurance Category Code ; Large Provider Entity Code ; Age Band Code ; Sex Code </v>
      </c>
      <c r="N5177" s="345" t="s">
        <v>207</v>
      </c>
      <c r="O5177" s="345" t="s">
        <v>208</v>
      </c>
      <c r="P5177" s="345" t="s">
        <v>209</v>
      </c>
      <c r="Q5177" s="345" t="s">
        <v>210</v>
      </c>
      <c r="R5177" s="345" t="s">
        <v>223</v>
      </c>
      <c r="S5177" s="345" t="s">
        <v>224</v>
      </c>
    </row>
    <row r="5178" spans="1:19" x14ac:dyDescent="0.25">
      <c r="A5178" s="311"/>
      <c r="B5178" s="312"/>
      <c r="C5178" s="312"/>
      <c r="D5178" s="312"/>
      <c r="E5178" s="312"/>
      <c r="F5178" s="312"/>
      <c r="G5178" s="328"/>
      <c r="H5178" s="337"/>
      <c r="I5178" s="334"/>
      <c r="J5178" s="314"/>
      <c r="K5178" s="449"/>
      <c r="M5178" s="349" t="str">
        <f>N5178&amp;AS[[#This Row],[Insurer Code]]&amp;"; "&amp;O5178&amp;AS[[#This Row],[Reporting Year]]&amp;"; "&amp;P5178&amp;AS[[#This Row],[Insurance Category Code]]&amp;"; "&amp;Q5178&amp;AS[[#This Row],[Large Provider Entity Code]]&amp;"; "&amp;R5178&amp;AS[[#This Row],[Age Band Code]]&amp;"; "&amp;S5178&amp;AS[[#This Row],[Sex Code]]</f>
        <v xml:space="preserve">Insurer Code ; Reporting Year ; Insurance Category Code ; Large Provider Entity Code ; Age Band Code ; Sex Code </v>
      </c>
      <c r="N5178" s="345" t="s">
        <v>207</v>
      </c>
      <c r="O5178" s="345" t="s">
        <v>208</v>
      </c>
      <c r="P5178" s="345" t="s">
        <v>209</v>
      </c>
      <c r="Q5178" s="345" t="s">
        <v>210</v>
      </c>
      <c r="R5178" s="345" t="s">
        <v>223</v>
      </c>
      <c r="S5178" s="345" t="s">
        <v>224</v>
      </c>
    </row>
    <row r="5179" spans="1:19" x14ac:dyDescent="0.25">
      <c r="A5179" s="311"/>
      <c r="B5179" s="312"/>
      <c r="C5179" s="312"/>
      <c r="D5179" s="312"/>
      <c r="E5179" s="312"/>
      <c r="F5179" s="312"/>
      <c r="G5179" s="328"/>
      <c r="H5179" s="337"/>
      <c r="I5179" s="334"/>
      <c r="J5179" s="314"/>
      <c r="K5179" s="449"/>
      <c r="M5179" s="349" t="str">
        <f>N5179&amp;AS[[#This Row],[Insurer Code]]&amp;"; "&amp;O5179&amp;AS[[#This Row],[Reporting Year]]&amp;"; "&amp;P5179&amp;AS[[#This Row],[Insurance Category Code]]&amp;"; "&amp;Q5179&amp;AS[[#This Row],[Large Provider Entity Code]]&amp;"; "&amp;R5179&amp;AS[[#This Row],[Age Band Code]]&amp;"; "&amp;S5179&amp;AS[[#This Row],[Sex Code]]</f>
        <v xml:space="preserve">Insurer Code ; Reporting Year ; Insurance Category Code ; Large Provider Entity Code ; Age Band Code ; Sex Code </v>
      </c>
      <c r="N5179" s="345" t="s">
        <v>207</v>
      </c>
      <c r="O5179" s="345" t="s">
        <v>208</v>
      </c>
      <c r="P5179" s="345" t="s">
        <v>209</v>
      </c>
      <c r="Q5179" s="345" t="s">
        <v>210</v>
      </c>
      <c r="R5179" s="345" t="s">
        <v>223</v>
      </c>
      <c r="S5179" s="345" t="s">
        <v>224</v>
      </c>
    </row>
    <row r="5180" spans="1:19" x14ac:dyDescent="0.25">
      <c r="A5180" s="311"/>
      <c r="B5180" s="312"/>
      <c r="C5180" s="312"/>
      <c r="D5180" s="312"/>
      <c r="E5180" s="312"/>
      <c r="F5180" s="312"/>
      <c r="G5180" s="328"/>
      <c r="H5180" s="337"/>
      <c r="I5180" s="334"/>
      <c r="J5180" s="314"/>
      <c r="K5180" s="449"/>
      <c r="M5180" s="349" t="str">
        <f>N5180&amp;AS[[#This Row],[Insurer Code]]&amp;"; "&amp;O5180&amp;AS[[#This Row],[Reporting Year]]&amp;"; "&amp;P5180&amp;AS[[#This Row],[Insurance Category Code]]&amp;"; "&amp;Q5180&amp;AS[[#This Row],[Large Provider Entity Code]]&amp;"; "&amp;R5180&amp;AS[[#This Row],[Age Band Code]]&amp;"; "&amp;S5180&amp;AS[[#This Row],[Sex Code]]</f>
        <v xml:space="preserve">Insurer Code ; Reporting Year ; Insurance Category Code ; Large Provider Entity Code ; Age Band Code ; Sex Code </v>
      </c>
      <c r="N5180" s="345" t="s">
        <v>207</v>
      </c>
      <c r="O5180" s="345" t="s">
        <v>208</v>
      </c>
      <c r="P5180" s="345" t="s">
        <v>209</v>
      </c>
      <c r="Q5180" s="345" t="s">
        <v>210</v>
      </c>
      <c r="R5180" s="345" t="s">
        <v>223</v>
      </c>
      <c r="S5180" s="345" t="s">
        <v>224</v>
      </c>
    </row>
    <row r="5181" spans="1:19" x14ac:dyDescent="0.25">
      <c r="A5181" s="311"/>
      <c r="B5181" s="312"/>
      <c r="C5181" s="312"/>
      <c r="D5181" s="312"/>
      <c r="E5181" s="312"/>
      <c r="F5181" s="312"/>
      <c r="G5181" s="328"/>
      <c r="H5181" s="337"/>
      <c r="I5181" s="334"/>
      <c r="J5181" s="314"/>
      <c r="K5181" s="449"/>
      <c r="M5181" s="349" t="str">
        <f>N5181&amp;AS[[#This Row],[Insurer Code]]&amp;"; "&amp;O5181&amp;AS[[#This Row],[Reporting Year]]&amp;"; "&amp;P5181&amp;AS[[#This Row],[Insurance Category Code]]&amp;"; "&amp;Q5181&amp;AS[[#This Row],[Large Provider Entity Code]]&amp;"; "&amp;R5181&amp;AS[[#This Row],[Age Band Code]]&amp;"; "&amp;S5181&amp;AS[[#This Row],[Sex Code]]</f>
        <v xml:space="preserve">Insurer Code ; Reporting Year ; Insurance Category Code ; Large Provider Entity Code ; Age Band Code ; Sex Code </v>
      </c>
      <c r="N5181" s="345" t="s">
        <v>207</v>
      </c>
      <c r="O5181" s="345" t="s">
        <v>208</v>
      </c>
      <c r="P5181" s="345" t="s">
        <v>209</v>
      </c>
      <c r="Q5181" s="345" t="s">
        <v>210</v>
      </c>
      <c r="R5181" s="345" t="s">
        <v>223</v>
      </c>
      <c r="S5181" s="345" t="s">
        <v>224</v>
      </c>
    </row>
    <row r="5182" spans="1:19" x14ac:dyDescent="0.25">
      <c r="A5182" s="311"/>
      <c r="B5182" s="312"/>
      <c r="C5182" s="312"/>
      <c r="D5182" s="312"/>
      <c r="E5182" s="312"/>
      <c r="F5182" s="312"/>
      <c r="G5182" s="328"/>
      <c r="H5182" s="337"/>
      <c r="I5182" s="334"/>
      <c r="J5182" s="314"/>
      <c r="K5182" s="449"/>
      <c r="M5182" s="349" t="str">
        <f>N5182&amp;AS[[#This Row],[Insurer Code]]&amp;"; "&amp;O5182&amp;AS[[#This Row],[Reporting Year]]&amp;"; "&amp;P5182&amp;AS[[#This Row],[Insurance Category Code]]&amp;"; "&amp;Q5182&amp;AS[[#This Row],[Large Provider Entity Code]]&amp;"; "&amp;R5182&amp;AS[[#This Row],[Age Band Code]]&amp;"; "&amp;S5182&amp;AS[[#This Row],[Sex Code]]</f>
        <v xml:space="preserve">Insurer Code ; Reporting Year ; Insurance Category Code ; Large Provider Entity Code ; Age Band Code ; Sex Code </v>
      </c>
      <c r="N5182" s="345" t="s">
        <v>207</v>
      </c>
      <c r="O5182" s="345" t="s">
        <v>208</v>
      </c>
      <c r="P5182" s="345" t="s">
        <v>209</v>
      </c>
      <c r="Q5182" s="345" t="s">
        <v>210</v>
      </c>
      <c r="R5182" s="345" t="s">
        <v>223</v>
      </c>
      <c r="S5182" s="345" t="s">
        <v>224</v>
      </c>
    </row>
    <row r="5183" spans="1:19" x14ac:dyDescent="0.25">
      <c r="A5183" s="311"/>
      <c r="B5183" s="312"/>
      <c r="C5183" s="312"/>
      <c r="D5183" s="312"/>
      <c r="E5183" s="312"/>
      <c r="F5183" s="312"/>
      <c r="G5183" s="328"/>
      <c r="H5183" s="337"/>
      <c r="I5183" s="334"/>
      <c r="J5183" s="314"/>
      <c r="K5183" s="449"/>
      <c r="M5183" s="349" t="str">
        <f>N5183&amp;AS[[#This Row],[Insurer Code]]&amp;"; "&amp;O5183&amp;AS[[#This Row],[Reporting Year]]&amp;"; "&amp;P5183&amp;AS[[#This Row],[Insurance Category Code]]&amp;"; "&amp;Q5183&amp;AS[[#This Row],[Large Provider Entity Code]]&amp;"; "&amp;R5183&amp;AS[[#This Row],[Age Band Code]]&amp;"; "&amp;S5183&amp;AS[[#This Row],[Sex Code]]</f>
        <v xml:space="preserve">Insurer Code ; Reporting Year ; Insurance Category Code ; Large Provider Entity Code ; Age Band Code ; Sex Code </v>
      </c>
      <c r="N5183" s="345" t="s">
        <v>207</v>
      </c>
      <c r="O5183" s="345" t="s">
        <v>208</v>
      </c>
      <c r="P5183" s="345" t="s">
        <v>209</v>
      </c>
      <c r="Q5183" s="345" t="s">
        <v>210</v>
      </c>
      <c r="R5183" s="345" t="s">
        <v>223</v>
      </c>
      <c r="S5183" s="345" t="s">
        <v>224</v>
      </c>
    </row>
    <row r="5184" spans="1:19" x14ac:dyDescent="0.25">
      <c r="A5184" s="311"/>
      <c r="B5184" s="312"/>
      <c r="C5184" s="312"/>
      <c r="D5184" s="312"/>
      <c r="E5184" s="312"/>
      <c r="F5184" s="312"/>
      <c r="G5184" s="328"/>
      <c r="H5184" s="337"/>
      <c r="I5184" s="334"/>
      <c r="J5184" s="314"/>
      <c r="K5184" s="449"/>
      <c r="M5184" s="349" t="str">
        <f>N5184&amp;AS[[#This Row],[Insurer Code]]&amp;"; "&amp;O5184&amp;AS[[#This Row],[Reporting Year]]&amp;"; "&amp;P5184&amp;AS[[#This Row],[Insurance Category Code]]&amp;"; "&amp;Q5184&amp;AS[[#This Row],[Large Provider Entity Code]]&amp;"; "&amp;R5184&amp;AS[[#This Row],[Age Band Code]]&amp;"; "&amp;S5184&amp;AS[[#This Row],[Sex Code]]</f>
        <v xml:space="preserve">Insurer Code ; Reporting Year ; Insurance Category Code ; Large Provider Entity Code ; Age Band Code ; Sex Code </v>
      </c>
      <c r="N5184" s="345" t="s">
        <v>207</v>
      </c>
      <c r="O5184" s="345" t="s">
        <v>208</v>
      </c>
      <c r="P5184" s="345" t="s">
        <v>209</v>
      </c>
      <c r="Q5184" s="345" t="s">
        <v>210</v>
      </c>
      <c r="R5184" s="345" t="s">
        <v>223</v>
      </c>
      <c r="S5184" s="345" t="s">
        <v>224</v>
      </c>
    </row>
    <row r="5185" spans="1:19" x14ac:dyDescent="0.25">
      <c r="A5185" s="311"/>
      <c r="B5185" s="312"/>
      <c r="C5185" s="312"/>
      <c r="D5185" s="312"/>
      <c r="E5185" s="312"/>
      <c r="F5185" s="312"/>
      <c r="G5185" s="328"/>
      <c r="H5185" s="337"/>
      <c r="I5185" s="334"/>
      <c r="J5185" s="314"/>
      <c r="K5185" s="449"/>
      <c r="M5185" s="349" t="str">
        <f>N5185&amp;AS[[#This Row],[Insurer Code]]&amp;"; "&amp;O5185&amp;AS[[#This Row],[Reporting Year]]&amp;"; "&amp;P5185&amp;AS[[#This Row],[Insurance Category Code]]&amp;"; "&amp;Q5185&amp;AS[[#This Row],[Large Provider Entity Code]]&amp;"; "&amp;R5185&amp;AS[[#This Row],[Age Band Code]]&amp;"; "&amp;S5185&amp;AS[[#This Row],[Sex Code]]</f>
        <v xml:space="preserve">Insurer Code ; Reporting Year ; Insurance Category Code ; Large Provider Entity Code ; Age Band Code ; Sex Code </v>
      </c>
      <c r="N5185" s="345" t="s">
        <v>207</v>
      </c>
      <c r="O5185" s="345" t="s">
        <v>208</v>
      </c>
      <c r="P5185" s="345" t="s">
        <v>209</v>
      </c>
      <c r="Q5185" s="345" t="s">
        <v>210</v>
      </c>
      <c r="R5185" s="345" t="s">
        <v>223</v>
      </c>
      <c r="S5185" s="345" t="s">
        <v>224</v>
      </c>
    </row>
    <row r="5186" spans="1:19" x14ac:dyDescent="0.25">
      <c r="A5186" s="311"/>
      <c r="B5186" s="312"/>
      <c r="C5186" s="312"/>
      <c r="D5186" s="312"/>
      <c r="E5186" s="312"/>
      <c r="F5186" s="312"/>
      <c r="G5186" s="328"/>
      <c r="H5186" s="337"/>
      <c r="I5186" s="334"/>
      <c r="J5186" s="314"/>
      <c r="K5186" s="449"/>
      <c r="M5186" s="349" t="str">
        <f>N5186&amp;AS[[#This Row],[Insurer Code]]&amp;"; "&amp;O5186&amp;AS[[#This Row],[Reporting Year]]&amp;"; "&amp;P5186&amp;AS[[#This Row],[Insurance Category Code]]&amp;"; "&amp;Q5186&amp;AS[[#This Row],[Large Provider Entity Code]]&amp;"; "&amp;R5186&amp;AS[[#This Row],[Age Band Code]]&amp;"; "&amp;S5186&amp;AS[[#This Row],[Sex Code]]</f>
        <v xml:space="preserve">Insurer Code ; Reporting Year ; Insurance Category Code ; Large Provider Entity Code ; Age Band Code ; Sex Code </v>
      </c>
      <c r="N5186" s="345" t="s">
        <v>207</v>
      </c>
      <c r="O5186" s="345" t="s">
        <v>208</v>
      </c>
      <c r="P5186" s="345" t="s">
        <v>209</v>
      </c>
      <c r="Q5186" s="345" t="s">
        <v>210</v>
      </c>
      <c r="R5186" s="345" t="s">
        <v>223</v>
      </c>
      <c r="S5186" s="345" t="s">
        <v>224</v>
      </c>
    </row>
    <row r="5187" spans="1:19" x14ac:dyDescent="0.25">
      <c r="A5187" s="311"/>
      <c r="B5187" s="312"/>
      <c r="C5187" s="312"/>
      <c r="D5187" s="312"/>
      <c r="E5187" s="312"/>
      <c r="F5187" s="312"/>
      <c r="G5187" s="328"/>
      <c r="H5187" s="337"/>
      <c r="I5187" s="334"/>
      <c r="J5187" s="314"/>
      <c r="K5187" s="449"/>
      <c r="M5187" s="349" t="str">
        <f>N5187&amp;AS[[#This Row],[Insurer Code]]&amp;"; "&amp;O5187&amp;AS[[#This Row],[Reporting Year]]&amp;"; "&amp;P5187&amp;AS[[#This Row],[Insurance Category Code]]&amp;"; "&amp;Q5187&amp;AS[[#This Row],[Large Provider Entity Code]]&amp;"; "&amp;R5187&amp;AS[[#This Row],[Age Band Code]]&amp;"; "&amp;S5187&amp;AS[[#This Row],[Sex Code]]</f>
        <v xml:space="preserve">Insurer Code ; Reporting Year ; Insurance Category Code ; Large Provider Entity Code ; Age Band Code ; Sex Code </v>
      </c>
      <c r="N5187" s="345" t="s">
        <v>207</v>
      </c>
      <c r="O5187" s="345" t="s">
        <v>208</v>
      </c>
      <c r="P5187" s="345" t="s">
        <v>209</v>
      </c>
      <c r="Q5187" s="345" t="s">
        <v>210</v>
      </c>
      <c r="R5187" s="345" t="s">
        <v>223</v>
      </c>
      <c r="S5187" s="345" t="s">
        <v>224</v>
      </c>
    </row>
    <row r="5188" spans="1:19" x14ac:dyDescent="0.25">
      <c r="A5188" s="311"/>
      <c r="B5188" s="312"/>
      <c r="C5188" s="312"/>
      <c r="D5188" s="312"/>
      <c r="E5188" s="312"/>
      <c r="F5188" s="312"/>
      <c r="G5188" s="328"/>
      <c r="H5188" s="337"/>
      <c r="I5188" s="334"/>
      <c r="J5188" s="314"/>
      <c r="K5188" s="449"/>
      <c r="M5188" s="349" t="str">
        <f>N5188&amp;AS[[#This Row],[Insurer Code]]&amp;"; "&amp;O5188&amp;AS[[#This Row],[Reporting Year]]&amp;"; "&amp;P5188&amp;AS[[#This Row],[Insurance Category Code]]&amp;"; "&amp;Q5188&amp;AS[[#This Row],[Large Provider Entity Code]]&amp;"; "&amp;R5188&amp;AS[[#This Row],[Age Band Code]]&amp;"; "&amp;S5188&amp;AS[[#This Row],[Sex Code]]</f>
        <v xml:space="preserve">Insurer Code ; Reporting Year ; Insurance Category Code ; Large Provider Entity Code ; Age Band Code ; Sex Code </v>
      </c>
      <c r="N5188" s="345" t="s">
        <v>207</v>
      </c>
      <c r="O5188" s="345" t="s">
        <v>208</v>
      </c>
      <c r="P5188" s="345" t="s">
        <v>209</v>
      </c>
      <c r="Q5188" s="345" t="s">
        <v>210</v>
      </c>
      <c r="R5188" s="345" t="s">
        <v>223</v>
      </c>
      <c r="S5188" s="345" t="s">
        <v>224</v>
      </c>
    </row>
    <row r="5189" spans="1:19" x14ac:dyDescent="0.25">
      <c r="A5189" s="311"/>
      <c r="B5189" s="312"/>
      <c r="C5189" s="312"/>
      <c r="D5189" s="312"/>
      <c r="E5189" s="312"/>
      <c r="F5189" s="312"/>
      <c r="G5189" s="328"/>
      <c r="H5189" s="337"/>
      <c r="I5189" s="334"/>
      <c r="J5189" s="314"/>
      <c r="K5189" s="449"/>
      <c r="M5189" s="349" t="str">
        <f>N5189&amp;AS[[#This Row],[Insurer Code]]&amp;"; "&amp;O5189&amp;AS[[#This Row],[Reporting Year]]&amp;"; "&amp;P5189&amp;AS[[#This Row],[Insurance Category Code]]&amp;"; "&amp;Q5189&amp;AS[[#This Row],[Large Provider Entity Code]]&amp;"; "&amp;R5189&amp;AS[[#This Row],[Age Band Code]]&amp;"; "&amp;S5189&amp;AS[[#This Row],[Sex Code]]</f>
        <v xml:space="preserve">Insurer Code ; Reporting Year ; Insurance Category Code ; Large Provider Entity Code ; Age Band Code ; Sex Code </v>
      </c>
      <c r="N5189" s="345" t="s">
        <v>207</v>
      </c>
      <c r="O5189" s="345" t="s">
        <v>208</v>
      </c>
      <c r="P5189" s="345" t="s">
        <v>209</v>
      </c>
      <c r="Q5189" s="345" t="s">
        <v>210</v>
      </c>
      <c r="R5189" s="345" t="s">
        <v>223</v>
      </c>
      <c r="S5189" s="345" t="s">
        <v>224</v>
      </c>
    </row>
    <row r="5190" spans="1:19" x14ac:dyDescent="0.25">
      <c r="A5190" s="311"/>
      <c r="B5190" s="312"/>
      <c r="C5190" s="312"/>
      <c r="D5190" s="312"/>
      <c r="E5190" s="312"/>
      <c r="F5190" s="312"/>
      <c r="G5190" s="328"/>
      <c r="H5190" s="337"/>
      <c r="I5190" s="334"/>
      <c r="J5190" s="314"/>
      <c r="K5190" s="449"/>
      <c r="M5190" s="349" t="str">
        <f>N5190&amp;AS[[#This Row],[Insurer Code]]&amp;"; "&amp;O5190&amp;AS[[#This Row],[Reporting Year]]&amp;"; "&amp;P5190&amp;AS[[#This Row],[Insurance Category Code]]&amp;"; "&amp;Q5190&amp;AS[[#This Row],[Large Provider Entity Code]]&amp;"; "&amp;R5190&amp;AS[[#This Row],[Age Band Code]]&amp;"; "&amp;S5190&amp;AS[[#This Row],[Sex Code]]</f>
        <v xml:space="preserve">Insurer Code ; Reporting Year ; Insurance Category Code ; Large Provider Entity Code ; Age Band Code ; Sex Code </v>
      </c>
      <c r="N5190" s="345" t="s">
        <v>207</v>
      </c>
      <c r="O5190" s="345" t="s">
        <v>208</v>
      </c>
      <c r="P5190" s="345" t="s">
        <v>209</v>
      </c>
      <c r="Q5190" s="345" t="s">
        <v>210</v>
      </c>
      <c r="R5190" s="345" t="s">
        <v>223</v>
      </c>
      <c r="S5190" s="345" t="s">
        <v>224</v>
      </c>
    </row>
    <row r="5191" spans="1:19" x14ac:dyDescent="0.25">
      <c r="A5191" s="311"/>
      <c r="B5191" s="312"/>
      <c r="C5191" s="312"/>
      <c r="D5191" s="312"/>
      <c r="E5191" s="312"/>
      <c r="F5191" s="312"/>
      <c r="G5191" s="328"/>
      <c r="H5191" s="337"/>
      <c r="I5191" s="334"/>
      <c r="J5191" s="314"/>
      <c r="K5191" s="449"/>
      <c r="M5191" s="349" t="str">
        <f>N5191&amp;AS[[#This Row],[Insurer Code]]&amp;"; "&amp;O5191&amp;AS[[#This Row],[Reporting Year]]&amp;"; "&amp;P5191&amp;AS[[#This Row],[Insurance Category Code]]&amp;"; "&amp;Q5191&amp;AS[[#This Row],[Large Provider Entity Code]]&amp;"; "&amp;R5191&amp;AS[[#This Row],[Age Band Code]]&amp;"; "&amp;S5191&amp;AS[[#This Row],[Sex Code]]</f>
        <v xml:space="preserve">Insurer Code ; Reporting Year ; Insurance Category Code ; Large Provider Entity Code ; Age Band Code ; Sex Code </v>
      </c>
      <c r="N5191" s="345" t="s">
        <v>207</v>
      </c>
      <c r="O5191" s="345" t="s">
        <v>208</v>
      </c>
      <c r="P5191" s="345" t="s">
        <v>209</v>
      </c>
      <c r="Q5191" s="345" t="s">
        <v>210</v>
      </c>
      <c r="R5191" s="345" t="s">
        <v>223</v>
      </c>
      <c r="S5191" s="345" t="s">
        <v>224</v>
      </c>
    </row>
    <row r="5192" spans="1:19" x14ac:dyDescent="0.25">
      <c r="A5192" s="311"/>
      <c r="B5192" s="312"/>
      <c r="C5192" s="312"/>
      <c r="D5192" s="312"/>
      <c r="E5192" s="312"/>
      <c r="F5192" s="312"/>
      <c r="G5192" s="328"/>
      <c r="H5192" s="337"/>
      <c r="I5192" s="334"/>
      <c r="J5192" s="314"/>
      <c r="K5192" s="449"/>
      <c r="M5192" s="349" t="str">
        <f>N5192&amp;AS[[#This Row],[Insurer Code]]&amp;"; "&amp;O5192&amp;AS[[#This Row],[Reporting Year]]&amp;"; "&amp;P5192&amp;AS[[#This Row],[Insurance Category Code]]&amp;"; "&amp;Q5192&amp;AS[[#This Row],[Large Provider Entity Code]]&amp;"; "&amp;R5192&amp;AS[[#This Row],[Age Band Code]]&amp;"; "&amp;S5192&amp;AS[[#This Row],[Sex Code]]</f>
        <v xml:space="preserve">Insurer Code ; Reporting Year ; Insurance Category Code ; Large Provider Entity Code ; Age Band Code ; Sex Code </v>
      </c>
      <c r="N5192" s="345" t="s">
        <v>207</v>
      </c>
      <c r="O5192" s="345" t="s">
        <v>208</v>
      </c>
      <c r="P5192" s="345" t="s">
        <v>209</v>
      </c>
      <c r="Q5192" s="345" t="s">
        <v>210</v>
      </c>
      <c r="R5192" s="345" t="s">
        <v>223</v>
      </c>
      <c r="S5192" s="345" t="s">
        <v>224</v>
      </c>
    </row>
    <row r="5193" spans="1:19" x14ac:dyDescent="0.25">
      <c r="A5193" s="311"/>
      <c r="B5193" s="312"/>
      <c r="C5193" s="312"/>
      <c r="D5193" s="312"/>
      <c r="E5193" s="312"/>
      <c r="F5193" s="312"/>
      <c r="G5193" s="328"/>
      <c r="H5193" s="337"/>
      <c r="I5193" s="334"/>
      <c r="J5193" s="314"/>
      <c r="K5193" s="449"/>
      <c r="M5193" s="349" t="str">
        <f>N5193&amp;AS[[#This Row],[Insurer Code]]&amp;"; "&amp;O5193&amp;AS[[#This Row],[Reporting Year]]&amp;"; "&amp;P5193&amp;AS[[#This Row],[Insurance Category Code]]&amp;"; "&amp;Q5193&amp;AS[[#This Row],[Large Provider Entity Code]]&amp;"; "&amp;R5193&amp;AS[[#This Row],[Age Band Code]]&amp;"; "&amp;S5193&amp;AS[[#This Row],[Sex Code]]</f>
        <v xml:space="preserve">Insurer Code ; Reporting Year ; Insurance Category Code ; Large Provider Entity Code ; Age Band Code ; Sex Code </v>
      </c>
      <c r="N5193" s="345" t="s">
        <v>207</v>
      </c>
      <c r="O5193" s="345" t="s">
        <v>208</v>
      </c>
      <c r="P5193" s="345" t="s">
        <v>209</v>
      </c>
      <c r="Q5193" s="345" t="s">
        <v>210</v>
      </c>
      <c r="R5193" s="345" t="s">
        <v>223</v>
      </c>
      <c r="S5193" s="345" t="s">
        <v>224</v>
      </c>
    </row>
    <row r="5194" spans="1:19" x14ac:dyDescent="0.25">
      <c r="A5194" s="311"/>
      <c r="B5194" s="312"/>
      <c r="C5194" s="312"/>
      <c r="D5194" s="312"/>
      <c r="E5194" s="312"/>
      <c r="F5194" s="312"/>
      <c r="G5194" s="328"/>
      <c r="H5194" s="337"/>
      <c r="I5194" s="334"/>
      <c r="J5194" s="314"/>
      <c r="K5194" s="449"/>
      <c r="M5194" s="349" t="str">
        <f>N5194&amp;AS[[#This Row],[Insurer Code]]&amp;"; "&amp;O5194&amp;AS[[#This Row],[Reporting Year]]&amp;"; "&amp;P5194&amp;AS[[#This Row],[Insurance Category Code]]&amp;"; "&amp;Q5194&amp;AS[[#This Row],[Large Provider Entity Code]]&amp;"; "&amp;R5194&amp;AS[[#This Row],[Age Band Code]]&amp;"; "&amp;S5194&amp;AS[[#This Row],[Sex Code]]</f>
        <v xml:space="preserve">Insurer Code ; Reporting Year ; Insurance Category Code ; Large Provider Entity Code ; Age Band Code ; Sex Code </v>
      </c>
      <c r="N5194" s="345" t="s">
        <v>207</v>
      </c>
      <c r="O5194" s="345" t="s">
        <v>208</v>
      </c>
      <c r="P5194" s="345" t="s">
        <v>209</v>
      </c>
      <c r="Q5194" s="345" t="s">
        <v>210</v>
      </c>
      <c r="R5194" s="345" t="s">
        <v>223</v>
      </c>
      <c r="S5194" s="345" t="s">
        <v>224</v>
      </c>
    </row>
    <row r="5195" spans="1:19" x14ac:dyDescent="0.25">
      <c r="A5195" s="311"/>
      <c r="B5195" s="312"/>
      <c r="C5195" s="312"/>
      <c r="D5195" s="312"/>
      <c r="E5195" s="312"/>
      <c r="F5195" s="312"/>
      <c r="G5195" s="328"/>
      <c r="H5195" s="337"/>
      <c r="I5195" s="334"/>
      <c r="J5195" s="314"/>
      <c r="K5195" s="449"/>
      <c r="M5195" s="349" t="str">
        <f>N5195&amp;AS[[#This Row],[Insurer Code]]&amp;"; "&amp;O5195&amp;AS[[#This Row],[Reporting Year]]&amp;"; "&amp;P5195&amp;AS[[#This Row],[Insurance Category Code]]&amp;"; "&amp;Q5195&amp;AS[[#This Row],[Large Provider Entity Code]]&amp;"; "&amp;R5195&amp;AS[[#This Row],[Age Band Code]]&amp;"; "&amp;S5195&amp;AS[[#This Row],[Sex Code]]</f>
        <v xml:space="preserve">Insurer Code ; Reporting Year ; Insurance Category Code ; Large Provider Entity Code ; Age Band Code ; Sex Code </v>
      </c>
      <c r="N5195" s="345" t="s">
        <v>207</v>
      </c>
      <c r="O5195" s="345" t="s">
        <v>208</v>
      </c>
      <c r="P5195" s="345" t="s">
        <v>209</v>
      </c>
      <c r="Q5195" s="345" t="s">
        <v>210</v>
      </c>
      <c r="R5195" s="345" t="s">
        <v>223</v>
      </c>
      <c r="S5195" s="345" t="s">
        <v>224</v>
      </c>
    </row>
    <row r="5196" spans="1:19" x14ac:dyDescent="0.25">
      <c r="A5196" s="311"/>
      <c r="B5196" s="312"/>
      <c r="C5196" s="312"/>
      <c r="D5196" s="312"/>
      <c r="E5196" s="312"/>
      <c r="F5196" s="312"/>
      <c r="G5196" s="328"/>
      <c r="H5196" s="337"/>
      <c r="I5196" s="334"/>
      <c r="J5196" s="314"/>
      <c r="K5196" s="449"/>
      <c r="M5196" s="349" t="str">
        <f>N5196&amp;AS[[#This Row],[Insurer Code]]&amp;"; "&amp;O5196&amp;AS[[#This Row],[Reporting Year]]&amp;"; "&amp;P5196&amp;AS[[#This Row],[Insurance Category Code]]&amp;"; "&amp;Q5196&amp;AS[[#This Row],[Large Provider Entity Code]]&amp;"; "&amp;R5196&amp;AS[[#This Row],[Age Band Code]]&amp;"; "&amp;S5196&amp;AS[[#This Row],[Sex Code]]</f>
        <v xml:space="preserve">Insurer Code ; Reporting Year ; Insurance Category Code ; Large Provider Entity Code ; Age Band Code ; Sex Code </v>
      </c>
      <c r="N5196" s="345" t="s">
        <v>207</v>
      </c>
      <c r="O5196" s="345" t="s">
        <v>208</v>
      </c>
      <c r="P5196" s="345" t="s">
        <v>209</v>
      </c>
      <c r="Q5196" s="345" t="s">
        <v>210</v>
      </c>
      <c r="R5196" s="345" t="s">
        <v>223</v>
      </c>
      <c r="S5196" s="345" t="s">
        <v>224</v>
      </c>
    </row>
    <row r="5197" spans="1:19" x14ac:dyDescent="0.25">
      <c r="A5197" s="311"/>
      <c r="B5197" s="312"/>
      <c r="C5197" s="312"/>
      <c r="D5197" s="312"/>
      <c r="E5197" s="312"/>
      <c r="F5197" s="312"/>
      <c r="G5197" s="328"/>
      <c r="H5197" s="337"/>
      <c r="I5197" s="334"/>
      <c r="J5197" s="314"/>
      <c r="K5197" s="449"/>
      <c r="M5197" s="349" t="str">
        <f>N5197&amp;AS[[#This Row],[Insurer Code]]&amp;"; "&amp;O5197&amp;AS[[#This Row],[Reporting Year]]&amp;"; "&amp;P5197&amp;AS[[#This Row],[Insurance Category Code]]&amp;"; "&amp;Q5197&amp;AS[[#This Row],[Large Provider Entity Code]]&amp;"; "&amp;R5197&amp;AS[[#This Row],[Age Band Code]]&amp;"; "&amp;S5197&amp;AS[[#This Row],[Sex Code]]</f>
        <v xml:space="preserve">Insurer Code ; Reporting Year ; Insurance Category Code ; Large Provider Entity Code ; Age Band Code ; Sex Code </v>
      </c>
      <c r="N5197" s="345" t="s">
        <v>207</v>
      </c>
      <c r="O5197" s="345" t="s">
        <v>208</v>
      </c>
      <c r="P5197" s="345" t="s">
        <v>209</v>
      </c>
      <c r="Q5197" s="345" t="s">
        <v>210</v>
      </c>
      <c r="R5197" s="345" t="s">
        <v>223</v>
      </c>
      <c r="S5197" s="345" t="s">
        <v>224</v>
      </c>
    </row>
    <row r="5198" spans="1:19" x14ac:dyDescent="0.25">
      <c r="A5198" s="311"/>
      <c r="B5198" s="312"/>
      <c r="C5198" s="312"/>
      <c r="D5198" s="312"/>
      <c r="E5198" s="312"/>
      <c r="F5198" s="312"/>
      <c r="G5198" s="328"/>
      <c r="H5198" s="337"/>
      <c r="I5198" s="334"/>
      <c r="J5198" s="314"/>
      <c r="K5198" s="449"/>
      <c r="M5198" s="349" t="str">
        <f>N5198&amp;AS[[#This Row],[Insurer Code]]&amp;"; "&amp;O5198&amp;AS[[#This Row],[Reporting Year]]&amp;"; "&amp;P5198&amp;AS[[#This Row],[Insurance Category Code]]&amp;"; "&amp;Q5198&amp;AS[[#This Row],[Large Provider Entity Code]]&amp;"; "&amp;R5198&amp;AS[[#This Row],[Age Band Code]]&amp;"; "&amp;S5198&amp;AS[[#This Row],[Sex Code]]</f>
        <v xml:space="preserve">Insurer Code ; Reporting Year ; Insurance Category Code ; Large Provider Entity Code ; Age Band Code ; Sex Code </v>
      </c>
      <c r="N5198" s="345" t="s">
        <v>207</v>
      </c>
      <c r="O5198" s="345" t="s">
        <v>208</v>
      </c>
      <c r="P5198" s="345" t="s">
        <v>209</v>
      </c>
      <c r="Q5198" s="345" t="s">
        <v>210</v>
      </c>
      <c r="R5198" s="345" t="s">
        <v>223</v>
      </c>
      <c r="S5198" s="345" t="s">
        <v>224</v>
      </c>
    </row>
    <row r="5199" spans="1:19" x14ac:dyDescent="0.25">
      <c r="A5199" s="311"/>
      <c r="B5199" s="312"/>
      <c r="C5199" s="312"/>
      <c r="D5199" s="312"/>
      <c r="E5199" s="312"/>
      <c r="F5199" s="312"/>
      <c r="G5199" s="328"/>
      <c r="H5199" s="337"/>
      <c r="I5199" s="334"/>
      <c r="J5199" s="314"/>
      <c r="K5199" s="449"/>
      <c r="M5199" s="349" t="str">
        <f>N5199&amp;AS[[#This Row],[Insurer Code]]&amp;"; "&amp;O5199&amp;AS[[#This Row],[Reporting Year]]&amp;"; "&amp;P5199&amp;AS[[#This Row],[Insurance Category Code]]&amp;"; "&amp;Q5199&amp;AS[[#This Row],[Large Provider Entity Code]]&amp;"; "&amp;R5199&amp;AS[[#This Row],[Age Band Code]]&amp;"; "&amp;S5199&amp;AS[[#This Row],[Sex Code]]</f>
        <v xml:space="preserve">Insurer Code ; Reporting Year ; Insurance Category Code ; Large Provider Entity Code ; Age Band Code ; Sex Code </v>
      </c>
      <c r="N5199" s="345" t="s">
        <v>207</v>
      </c>
      <c r="O5199" s="345" t="s">
        <v>208</v>
      </c>
      <c r="P5199" s="345" t="s">
        <v>209</v>
      </c>
      <c r="Q5199" s="345" t="s">
        <v>210</v>
      </c>
      <c r="R5199" s="345" t="s">
        <v>223</v>
      </c>
      <c r="S5199" s="345" t="s">
        <v>224</v>
      </c>
    </row>
    <row r="5200" spans="1:19" x14ac:dyDescent="0.25">
      <c r="A5200" s="311"/>
      <c r="B5200" s="312"/>
      <c r="C5200" s="312"/>
      <c r="D5200" s="312"/>
      <c r="E5200" s="312"/>
      <c r="F5200" s="312"/>
      <c r="G5200" s="328"/>
      <c r="H5200" s="337"/>
      <c r="I5200" s="334"/>
      <c r="J5200" s="314"/>
      <c r="K5200" s="449"/>
      <c r="M5200" s="349" t="str">
        <f>N5200&amp;AS[[#This Row],[Insurer Code]]&amp;"; "&amp;O5200&amp;AS[[#This Row],[Reporting Year]]&amp;"; "&amp;P5200&amp;AS[[#This Row],[Insurance Category Code]]&amp;"; "&amp;Q5200&amp;AS[[#This Row],[Large Provider Entity Code]]&amp;"; "&amp;R5200&amp;AS[[#This Row],[Age Band Code]]&amp;"; "&amp;S5200&amp;AS[[#This Row],[Sex Code]]</f>
        <v xml:space="preserve">Insurer Code ; Reporting Year ; Insurance Category Code ; Large Provider Entity Code ; Age Band Code ; Sex Code </v>
      </c>
      <c r="N5200" s="345" t="s">
        <v>207</v>
      </c>
      <c r="O5200" s="345" t="s">
        <v>208</v>
      </c>
      <c r="P5200" s="345" t="s">
        <v>209</v>
      </c>
      <c r="Q5200" s="345" t="s">
        <v>210</v>
      </c>
      <c r="R5200" s="345" t="s">
        <v>223</v>
      </c>
      <c r="S5200" s="345" t="s">
        <v>224</v>
      </c>
    </row>
    <row r="5201" spans="1:19" x14ac:dyDescent="0.25">
      <c r="A5201" s="311"/>
      <c r="B5201" s="312"/>
      <c r="C5201" s="312"/>
      <c r="D5201" s="312"/>
      <c r="E5201" s="312"/>
      <c r="F5201" s="312"/>
      <c r="G5201" s="328"/>
      <c r="H5201" s="337"/>
      <c r="I5201" s="334"/>
      <c r="J5201" s="314"/>
      <c r="K5201" s="449"/>
      <c r="M5201" s="349" t="str">
        <f>N5201&amp;AS[[#This Row],[Insurer Code]]&amp;"; "&amp;O5201&amp;AS[[#This Row],[Reporting Year]]&amp;"; "&amp;P5201&amp;AS[[#This Row],[Insurance Category Code]]&amp;"; "&amp;Q5201&amp;AS[[#This Row],[Large Provider Entity Code]]&amp;"; "&amp;R5201&amp;AS[[#This Row],[Age Band Code]]&amp;"; "&amp;S5201&amp;AS[[#This Row],[Sex Code]]</f>
        <v xml:space="preserve">Insurer Code ; Reporting Year ; Insurance Category Code ; Large Provider Entity Code ; Age Band Code ; Sex Code </v>
      </c>
      <c r="N5201" s="345" t="s">
        <v>207</v>
      </c>
      <c r="O5201" s="345" t="s">
        <v>208</v>
      </c>
      <c r="P5201" s="345" t="s">
        <v>209</v>
      </c>
      <c r="Q5201" s="345" t="s">
        <v>210</v>
      </c>
      <c r="R5201" s="345" t="s">
        <v>223</v>
      </c>
      <c r="S5201" s="345" t="s">
        <v>224</v>
      </c>
    </row>
    <row r="5202" spans="1:19" x14ac:dyDescent="0.25">
      <c r="A5202" s="311"/>
      <c r="B5202" s="312"/>
      <c r="C5202" s="312"/>
      <c r="D5202" s="312"/>
      <c r="E5202" s="312"/>
      <c r="F5202" s="312"/>
      <c r="G5202" s="328"/>
      <c r="H5202" s="337"/>
      <c r="I5202" s="334"/>
      <c r="J5202" s="314"/>
      <c r="K5202" s="449"/>
      <c r="M5202" s="349" t="str">
        <f>N5202&amp;AS[[#This Row],[Insurer Code]]&amp;"; "&amp;O5202&amp;AS[[#This Row],[Reporting Year]]&amp;"; "&amp;P5202&amp;AS[[#This Row],[Insurance Category Code]]&amp;"; "&amp;Q5202&amp;AS[[#This Row],[Large Provider Entity Code]]&amp;"; "&amp;R5202&amp;AS[[#This Row],[Age Band Code]]&amp;"; "&amp;S5202&amp;AS[[#This Row],[Sex Code]]</f>
        <v xml:space="preserve">Insurer Code ; Reporting Year ; Insurance Category Code ; Large Provider Entity Code ; Age Band Code ; Sex Code </v>
      </c>
      <c r="N5202" s="345" t="s">
        <v>207</v>
      </c>
      <c r="O5202" s="345" t="s">
        <v>208</v>
      </c>
      <c r="P5202" s="345" t="s">
        <v>209</v>
      </c>
      <c r="Q5202" s="345" t="s">
        <v>210</v>
      </c>
      <c r="R5202" s="345" t="s">
        <v>223</v>
      </c>
      <c r="S5202" s="345" t="s">
        <v>224</v>
      </c>
    </row>
    <row r="5203" spans="1:19" x14ac:dyDescent="0.25">
      <c r="A5203" s="311"/>
      <c r="B5203" s="312"/>
      <c r="C5203" s="312"/>
      <c r="D5203" s="312"/>
      <c r="E5203" s="312"/>
      <c r="F5203" s="312"/>
      <c r="G5203" s="328"/>
      <c r="H5203" s="337"/>
      <c r="I5203" s="334"/>
      <c r="J5203" s="314"/>
      <c r="K5203" s="449"/>
      <c r="M5203" s="349" t="str">
        <f>N5203&amp;AS[[#This Row],[Insurer Code]]&amp;"; "&amp;O5203&amp;AS[[#This Row],[Reporting Year]]&amp;"; "&amp;P5203&amp;AS[[#This Row],[Insurance Category Code]]&amp;"; "&amp;Q5203&amp;AS[[#This Row],[Large Provider Entity Code]]&amp;"; "&amp;R5203&amp;AS[[#This Row],[Age Band Code]]&amp;"; "&amp;S5203&amp;AS[[#This Row],[Sex Code]]</f>
        <v xml:space="preserve">Insurer Code ; Reporting Year ; Insurance Category Code ; Large Provider Entity Code ; Age Band Code ; Sex Code </v>
      </c>
      <c r="N5203" s="345" t="s">
        <v>207</v>
      </c>
      <c r="O5203" s="345" t="s">
        <v>208</v>
      </c>
      <c r="P5203" s="345" t="s">
        <v>209</v>
      </c>
      <c r="Q5203" s="345" t="s">
        <v>210</v>
      </c>
      <c r="R5203" s="345" t="s">
        <v>223</v>
      </c>
      <c r="S5203" s="345" t="s">
        <v>224</v>
      </c>
    </row>
    <row r="5204" spans="1:19" x14ac:dyDescent="0.25">
      <c r="A5204" s="311"/>
      <c r="B5204" s="312"/>
      <c r="C5204" s="312"/>
      <c r="D5204" s="312"/>
      <c r="E5204" s="312"/>
      <c r="F5204" s="312"/>
      <c r="G5204" s="328"/>
      <c r="H5204" s="337"/>
      <c r="I5204" s="334"/>
      <c r="J5204" s="314"/>
      <c r="K5204" s="449"/>
      <c r="M5204" s="349" t="str">
        <f>N5204&amp;AS[[#This Row],[Insurer Code]]&amp;"; "&amp;O5204&amp;AS[[#This Row],[Reporting Year]]&amp;"; "&amp;P5204&amp;AS[[#This Row],[Insurance Category Code]]&amp;"; "&amp;Q5204&amp;AS[[#This Row],[Large Provider Entity Code]]&amp;"; "&amp;R5204&amp;AS[[#This Row],[Age Band Code]]&amp;"; "&amp;S5204&amp;AS[[#This Row],[Sex Code]]</f>
        <v xml:space="preserve">Insurer Code ; Reporting Year ; Insurance Category Code ; Large Provider Entity Code ; Age Band Code ; Sex Code </v>
      </c>
      <c r="N5204" s="345" t="s">
        <v>207</v>
      </c>
      <c r="O5204" s="345" t="s">
        <v>208</v>
      </c>
      <c r="P5204" s="345" t="s">
        <v>209</v>
      </c>
      <c r="Q5204" s="345" t="s">
        <v>210</v>
      </c>
      <c r="R5204" s="345" t="s">
        <v>223</v>
      </c>
      <c r="S5204" s="345" t="s">
        <v>224</v>
      </c>
    </row>
    <row r="5205" spans="1:19" x14ac:dyDescent="0.25">
      <c r="A5205" s="311"/>
      <c r="B5205" s="312"/>
      <c r="C5205" s="312"/>
      <c r="D5205" s="312"/>
      <c r="E5205" s="312"/>
      <c r="F5205" s="312"/>
      <c r="G5205" s="328"/>
      <c r="H5205" s="337"/>
      <c r="I5205" s="334"/>
      <c r="J5205" s="314"/>
      <c r="K5205" s="449"/>
      <c r="M5205" s="349" t="str">
        <f>N5205&amp;AS[[#This Row],[Insurer Code]]&amp;"; "&amp;O5205&amp;AS[[#This Row],[Reporting Year]]&amp;"; "&amp;P5205&amp;AS[[#This Row],[Insurance Category Code]]&amp;"; "&amp;Q5205&amp;AS[[#This Row],[Large Provider Entity Code]]&amp;"; "&amp;R5205&amp;AS[[#This Row],[Age Band Code]]&amp;"; "&amp;S5205&amp;AS[[#This Row],[Sex Code]]</f>
        <v xml:space="preserve">Insurer Code ; Reporting Year ; Insurance Category Code ; Large Provider Entity Code ; Age Band Code ; Sex Code </v>
      </c>
      <c r="N5205" s="345" t="s">
        <v>207</v>
      </c>
      <c r="O5205" s="345" t="s">
        <v>208</v>
      </c>
      <c r="P5205" s="345" t="s">
        <v>209</v>
      </c>
      <c r="Q5205" s="345" t="s">
        <v>210</v>
      </c>
      <c r="R5205" s="345" t="s">
        <v>223</v>
      </c>
      <c r="S5205" s="345" t="s">
        <v>224</v>
      </c>
    </row>
    <row r="5206" spans="1:19" x14ac:dyDescent="0.25">
      <c r="A5206" s="311"/>
      <c r="B5206" s="312"/>
      <c r="C5206" s="312"/>
      <c r="D5206" s="312"/>
      <c r="E5206" s="312"/>
      <c r="F5206" s="312"/>
      <c r="G5206" s="328"/>
      <c r="H5206" s="337"/>
      <c r="I5206" s="334"/>
      <c r="J5206" s="314"/>
      <c r="K5206" s="449"/>
      <c r="M5206" s="349" t="str">
        <f>N5206&amp;AS[[#This Row],[Insurer Code]]&amp;"; "&amp;O5206&amp;AS[[#This Row],[Reporting Year]]&amp;"; "&amp;P5206&amp;AS[[#This Row],[Insurance Category Code]]&amp;"; "&amp;Q5206&amp;AS[[#This Row],[Large Provider Entity Code]]&amp;"; "&amp;R5206&amp;AS[[#This Row],[Age Band Code]]&amp;"; "&amp;S5206&amp;AS[[#This Row],[Sex Code]]</f>
        <v xml:space="preserve">Insurer Code ; Reporting Year ; Insurance Category Code ; Large Provider Entity Code ; Age Band Code ; Sex Code </v>
      </c>
      <c r="N5206" s="345" t="s">
        <v>207</v>
      </c>
      <c r="O5206" s="345" t="s">
        <v>208</v>
      </c>
      <c r="P5206" s="345" t="s">
        <v>209</v>
      </c>
      <c r="Q5206" s="345" t="s">
        <v>210</v>
      </c>
      <c r="R5206" s="345" t="s">
        <v>223</v>
      </c>
      <c r="S5206" s="345" t="s">
        <v>224</v>
      </c>
    </row>
    <row r="5207" spans="1:19" x14ac:dyDescent="0.25">
      <c r="A5207" s="311"/>
      <c r="B5207" s="312"/>
      <c r="C5207" s="312"/>
      <c r="D5207" s="312"/>
      <c r="E5207" s="312"/>
      <c r="F5207" s="312"/>
      <c r="G5207" s="328"/>
      <c r="H5207" s="337"/>
      <c r="I5207" s="334"/>
      <c r="J5207" s="314"/>
      <c r="K5207" s="449"/>
      <c r="M5207" s="349" t="str">
        <f>N5207&amp;AS[[#This Row],[Insurer Code]]&amp;"; "&amp;O5207&amp;AS[[#This Row],[Reporting Year]]&amp;"; "&amp;P5207&amp;AS[[#This Row],[Insurance Category Code]]&amp;"; "&amp;Q5207&amp;AS[[#This Row],[Large Provider Entity Code]]&amp;"; "&amp;R5207&amp;AS[[#This Row],[Age Band Code]]&amp;"; "&amp;S5207&amp;AS[[#This Row],[Sex Code]]</f>
        <v xml:space="preserve">Insurer Code ; Reporting Year ; Insurance Category Code ; Large Provider Entity Code ; Age Band Code ; Sex Code </v>
      </c>
      <c r="N5207" s="345" t="s">
        <v>207</v>
      </c>
      <c r="O5207" s="345" t="s">
        <v>208</v>
      </c>
      <c r="P5207" s="345" t="s">
        <v>209</v>
      </c>
      <c r="Q5207" s="345" t="s">
        <v>210</v>
      </c>
      <c r="R5207" s="345" t="s">
        <v>223</v>
      </c>
      <c r="S5207" s="345" t="s">
        <v>224</v>
      </c>
    </row>
    <row r="5208" spans="1:19" x14ac:dyDescent="0.25">
      <c r="A5208" s="311"/>
      <c r="B5208" s="312"/>
      <c r="C5208" s="312"/>
      <c r="D5208" s="312"/>
      <c r="E5208" s="312"/>
      <c r="F5208" s="312"/>
      <c r="G5208" s="328"/>
      <c r="H5208" s="337"/>
      <c r="I5208" s="334"/>
      <c r="J5208" s="314"/>
      <c r="K5208" s="449"/>
      <c r="M5208" s="349" t="str">
        <f>N5208&amp;AS[[#This Row],[Insurer Code]]&amp;"; "&amp;O5208&amp;AS[[#This Row],[Reporting Year]]&amp;"; "&amp;P5208&amp;AS[[#This Row],[Insurance Category Code]]&amp;"; "&amp;Q5208&amp;AS[[#This Row],[Large Provider Entity Code]]&amp;"; "&amp;R5208&amp;AS[[#This Row],[Age Band Code]]&amp;"; "&amp;S5208&amp;AS[[#This Row],[Sex Code]]</f>
        <v xml:space="preserve">Insurer Code ; Reporting Year ; Insurance Category Code ; Large Provider Entity Code ; Age Band Code ; Sex Code </v>
      </c>
      <c r="N5208" s="345" t="s">
        <v>207</v>
      </c>
      <c r="O5208" s="345" t="s">
        <v>208</v>
      </c>
      <c r="P5208" s="345" t="s">
        <v>209</v>
      </c>
      <c r="Q5208" s="345" t="s">
        <v>210</v>
      </c>
      <c r="R5208" s="345" t="s">
        <v>223</v>
      </c>
      <c r="S5208" s="345" t="s">
        <v>224</v>
      </c>
    </row>
    <row r="5209" spans="1:19" x14ac:dyDescent="0.25">
      <c r="A5209" s="311"/>
      <c r="B5209" s="312"/>
      <c r="C5209" s="312"/>
      <c r="D5209" s="312"/>
      <c r="E5209" s="312"/>
      <c r="F5209" s="312"/>
      <c r="G5209" s="328"/>
      <c r="H5209" s="337"/>
      <c r="I5209" s="334"/>
      <c r="J5209" s="314"/>
      <c r="K5209" s="449"/>
      <c r="M5209" s="349" t="str">
        <f>N5209&amp;AS[[#This Row],[Insurer Code]]&amp;"; "&amp;O5209&amp;AS[[#This Row],[Reporting Year]]&amp;"; "&amp;P5209&amp;AS[[#This Row],[Insurance Category Code]]&amp;"; "&amp;Q5209&amp;AS[[#This Row],[Large Provider Entity Code]]&amp;"; "&amp;R5209&amp;AS[[#This Row],[Age Band Code]]&amp;"; "&amp;S5209&amp;AS[[#This Row],[Sex Code]]</f>
        <v xml:space="preserve">Insurer Code ; Reporting Year ; Insurance Category Code ; Large Provider Entity Code ; Age Band Code ; Sex Code </v>
      </c>
      <c r="N5209" s="345" t="s">
        <v>207</v>
      </c>
      <c r="O5209" s="345" t="s">
        <v>208</v>
      </c>
      <c r="P5209" s="345" t="s">
        <v>209</v>
      </c>
      <c r="Q5209" s="345" t="s">
        <v>210</v>
      </c>
      <c r="R5209" s="345" t="s">
        <v>223</v>
      </c>
      <c r="S5209" s="345" t="s">
        <v>224</v>
      </c>
    </row>
    <row r="5210" spans="1:19" x14ac:dyDescent="0.25">
      <c r="A5210" s="311"/>
      <c r="B5210" s="312"/>
      <c r="C5210" s="312"/>
      <c r="D5210" s="312"/>
      <c r="E5210" s="312"/>
      <c r="F5210" s="312"/>
      <c r="G5210" s="328"/>
      <c r="H5210" s="337"/>
      <c r="I5210" s="334"/>
      <c r="J5210" s="314"/>
      <c r="K5210" s="449"/>
      <c r="M5210" s="349" t="str">
        <f>N5210&amp;AS[[#This Row],[Insurer Code]]&amp;"; "&amp;O5210&amp;AS[[#This Row],[Reporting Year]]&amp;"; "&amp;P5210&amp;AS[[#This Row],[Insurance Category Code]]&amp;"; "&amp;Q5210&amp;AS[[#This Row],[Large Provider Entity Code]]&amp;"; "&amp;R5210&amp;AS[[#This Row],[Age Band Code]]&amp;"; "&amp;S5210&amp;AS[[#This Row],[Sex Code]]</f>
        <v xml:space="preserve">Insurer Code ; Reporting Year ; Insurance Category Code ; Large Provider Entity Code ; Age Band Code ; Sex Code </v>
      </c>
      <c r="N5210" s="345" t="s">
        <v>207</v>
      </c>
      <c r="O5210" s="345" t="s">
        <v>208</v>
      </c>
      <c r="P5210" s="345" t="s">
        <v>209</v>
      </c>
      <c r="Q5210" s="345" t="s">
        <v>210</v>
      </c>
      <c r="R5210" s="345" t="s">
        <v>223</v>
      </c>
      <c r="S5210" s="345" t="s">
        <v>224</v>
      </c>
    </row>
    <row r="5211" spans="1:19" x14ac:dyDescent="0.25">
      <c r="A5211" s="311"/>
      <c r="B5211" s="312"/>
      <c r="C5211" s="312"/>
      <c r="D5211" s="312"/>
      <c r="E5211" s="312"/>
      <c r="F5211" s="312"/>
      <c r="G5211" s="328"/>
      <c r="H5211" s="337"/>
      <c r="I5211" s="334"/>
      <c r="J5211" s="314"/>
      <c r="K5211" s="449"/>
      <c r="M5211" s="349" t="str">
        <f>N5211&amp;AS[[#This Row],[Insurer Code]]&amp;"; "&amp;O5211&amp;AS[[#This Row],[Reporting Year]]&amp;"; "&amp;P5211&amp;AS[[#This Row],[Insurance Category Code]]&amp;"; "&amp;Q5211&amp;AS[[#This Row],[Large Provider Entity Code]]&amp;"; "&amp;R5211&amp;AS[[#This Row],[Age Band Code]]&amp;"; "&amp;S5211&amp;AS[[#This Row],[Sex Code]]</f>
        <v xml:space="preserve">Insurer Code ; Reporting Year ; Insurance Category Code ; Large Provider Entity Code ; Age Band Code ; Sex Code </v>
      </c>
      <c r="N5211" s="345" t="s">
        <v>207</v>
      </c>
      <c r="O5211" s="345" t="s">
        <v>208</v>
      </c>
      <c r="P5211" s="345" t="s">
        <v>209</v>
      </c>
      <c r="Q5211" s="345" t="s">
        <v>210</v>
      </c>
      <c r="R5211" s="345" t="s">
        <v>223</v>
      </c>
      <c r="S5211" s="345" t="s">
        <v>224</v>
      </c>
    </row>
    <row r="5212" spans="1:19" x14ac:dyDescent="0.25">
      <c r="A5212" s="311"/>
      <c r="B5212" s="312"/>
      <c r="C5212" s="312"/>
      <c r="D5212" s="312"/>
      <c r="E5212" s="312"/>
      <c r="F5212" s="312"/>
      <c r="G5212" s="328"/>
      <c r="H5212" s="337"/>
      <c r="I5212" s="334"/>
      <c r="J5212" s="314"/>
      <c r="K5212" s="449"/>
      <c r="M5212" s="349" t="str">
        <f>N5212&amp;AS[[#This Row],[Insurer Code]]&amp;"; "&amp;O5212&amp;AS[[#This Row],[Reporting Year]]&amp;"; "&amp;P5212&amp;AS[[#This Row],[Insurance Category Code]]&amp;"; "&amp;Q5212&amp;AS[[#This Row],[Large Provider Entity Code]]&amp;"; "&amp;R5212&amp;AS[[#This Row],[Age Band Code]]&amp;"; "&amp;S5212&amp;AS[[#This Row],[Sex Code]]</f>
        <v xml:space="preserve">Insurer Code ; Reporting Year ; Insurance Category Code ; Large Provider Entity Code ; Age Band Code ; Sex Code </v>
      </c>
      <c r="N5212" s="345" t="s">
        <v>207</v>
      </c>
      <c r="O5212" s="345" t="s">
        <v>208</v>
      </c>
      <c r="P5212" s="345" t="s">
        <v>209</v>
      </c>
      <c r="Q5212" s="345" t="s">
        <v>210</v>
      </c>
      <c r="R5212" s="345" t="s">
        <v>223</v>
      </c>
      <c r="S5212" s="345" t="s">
        <v>224</v>
      </c>
    </row>
    <row r="5213" spans="1:19" x14ac:dyDescent="0.25">
      <c r="A5213" s="311"/>
      <c r="B5213" s="312"/>
      <c r="C5213" s="312"/>
      <c r="D5213" s="312"/>
      <c r="E5213" s="312"/>
      <c r="F5213" s="312"/>
      <c r="G5213" s="328"/>
      <c r="H5213" s="337"/>
      <c r="I5213" s="334"/>
      <c r="J5213" s="314"/>
      <c r="K5213" s="449"/>
      <c r="M5213" s="349" t="str">
        <f>N5213&amp;AS[[#This Row],[Insurer Code]]&amp;"; "&amp;O5213&amp;AS[[#This Row],[Reporting Year]]&amp;"; "&amp;P5213&amp;AS[[#This Row],[Insurance Category Code]]&amp;"; "&amp;Q5213&amp;AS[[#This Row],[Large Provider Entity Code]]&amp;"; "&amp;R5213&amp;AS[[#This Row],[Age Band Code]]&amp;"; "&amp;S5213&amp;AS[[#This Row],[Sex Code]]</f>
        <v xml:space="preserve">Insurer Code ; Reporting Year ; Insurance Category Code ; Large Provider Entity Code ; Age Band Code ; Sex Code </v>
      </c>
      <c r="N5213" s="345" t="s">
        <v>207</v>
      </c>
      <c r="O5213" s="345" t="s">
        <v>208</v>
      </c>
      <c r="P5213" s="345" t="s">
        <v>209</v>
      </c>
      <c r="Q5213" s="345" t="s">
        <v>210</v>
      </c>
      <c r="R5213" s="345" t="s">
        <v>223</v>
      </c>
      <c r="S5213" s="345" t="s">
        <v>224</v>
      </c>
    </row>
    <row r="5214" spans="1:19" x14ac:dyDescent="0.25">
      <c r="A5214" s="311"/>
      <c r="B5214" s="312"/>
      <c r="C5214" s="312"/>
      <c r="D5214" s="312"/>
      <c r="E5214" s="312"/>
      <c r="F5214" s="312"/>
      <c r="G5214" s="328"/>
      <c r="H5214" s="337"/>
      <c r="I5214" s="334"/>
      <c r="J5214" s="314"/>
      <c r="K5214" s="449"/>
      <c r="M5214" s="349" t="str">
        <f>N5214&amp;AS[[#This Row],[Insurer Code]]&amp;"; "&amp;O5214&amp;AS[[#This Row],[Reporting Year]]&amp;"; "&amp;P5214&amp;AS[[#This Row],[Insurance Category Code]]&amp;"; "&amp;Q5214&amp;AS[[#This Row],[Large Provider Entity Code]]&amp;"; "&amp;R5214&amp;AS[[#This Row],[Age Band Code]]&amp;"; "&amp;S5214&amp;AS[[#This Row],[Sex Code]]</f>
        <v xml:space="preserve">Insurer Code ; Reporting Year ; Insurance Category Code ; Large Provider Entity Code ; Age Band Code ; Sex Code </v>
      </c>
      <c r="N5214" s="345" t="s">
        <v>207</v>
      </c>
      <c r="O5214" s="345" t="s">
        <v>208</v>
      </c>
      <c r="P5214" s="345" t="s">
        <v>209</v>
      </c>
      <c r="Q5214" s="345" t="s">
        <v>210</v>
      </c>
      <c r="R5214" s="345" t="s">
        <v>223</v>
      </c>
      <c r="S5214" s="345" t="s">
        <v>224</v>
      </c>
    </row>
    <row r="5215" spans="1:19" x14ac:dyDescent="0.25">
      <c r="A5215" s="311"/>
      <c r="B5215" s="312"/>
      <c r="C5215" s="312"/>
      <c r="D5215" s="312"/>
      <c r="E5215" s="312"/>
      <c r="F5215" s="312"/>
      <c r="G5215" s="328"/>
      <c r="H5215" s="337"/>
      <c r="I5215" s="334"/>
      <c r="J5215" s="314"/>
      <c r="K5215" s="449"/>
      <c r="M5215" s="349" t="str">
        <f>N5215&amp;AS[[#This Row],[Insurer Code]]&amp;"; "&amp;O5215&amp;AS[[#This Row],[Reporting Year]]&amp;"; "&amp;P5215&amp;AS[[#This Row],[Insurance Category Code]]&amp;"; "&amp;Q5215&amp;AS[[#This Row],[Large Provider Entity Code]]&amp;"; "&amp;R5215&amp;AS[[#This Row],[Age Band Code]]&amp;"; "&amp;S5215&amp;AS[[#This Row],[Sex Code]]</f>
        <v xml:space="preserve">Insurer Code ; Reporting Year ; Insurance Category Code ; Large Provider Entity Code ; Age Band Code ; Sex Code </v>
      </c>
      <c r="N5215" s="345" t="s">
        <v>207</v>
      </c>
      <c r="O5215" s="345" t="s">
        <v>208</v>
      </c>
      <c r="P5215" s="345" t="s">
        <v>209</v>
      </c>
      <c r="Q5215" s="345" t="s">
        <v>210</v>
      </c>
      <c r="R5215" s="345" t="s">
        <v>223</v>
      </c>
      <c r="S5215" s="345" t="s">
        <v>224</v>
      </c>
    </row>
    <row r="5216" spans="1:19" x14ac:dyDescent="0.25">
      <c r="A5216" s="311"/>
      <c r="B5216" s="312"/>
      <c r="C5216" s="312"/>
      <c r="D5216" s="312"/>
      <c r="E5216" s="312"/>
      <c r="F5216" s="312"/>
      <c r="G5216" s="328"/>
      <c r="H5216" s="337"/>
      <c r="I5216" s="334"/>
      <c r="J5216" s="314"/>
      <c r="K5216" s="449"/>
      <c r="M5216" s="349" t="str">
        <f>N5216&amp;AS[[#This Row],[Insurer Code]]&amp;"; "&amp;O5216&amp;AS[[#This Row],[Reporting Year]]&amp;"; "&amp;P5216&amp;AS[[#This Row],[Insurance Category Code]]&amp;"; "&amp;Q5216&amp;AS[[#This Row],[Large Provider Entity Code]]&amp;"; "&amp;R5216&amp;AS[[#This Row],[Age Band Code]]&amp;"; "&amp;S5216&amp;AS[[#This Row],[Sex Code]]</f>
        <v xml:space="preserve">Insurer Code ; Reporting Year ; Insurance Category Code ; Large Provider Entity Code ; Age Band Code ; Sex Code </v>
      </c>
      <c r="N5216" s="345" t="s">
        <v>207</v>
      </c>
      <c r="O5216" s="345" t="s">
        <v>208</v>
      </c>
      <c r="P5216" s="345" t="s">
        <v>209</v>
      </c>
      <c r="Q5216" s="345" t="s">
        <v>210</v>
      </c>
      <c r="R5216" s="345" t="s">
        <v>223</v>
      </c>
      <c r="S5216" s="345" t="s">
        <v>224</v>
      </c>
    </row>
    <row r="5217" spans="1:19" x14ac:dyDescent="0.25">
      <c r="A5217" s="311"/>
      <c r="B5217" s="312"/>
      <c r="C5217" s="312"/>
      <c r="D5217" s="312"/>
      <c r="E5217" s="312"/>
      <c r="F5217" s="312"/>
      <c r="G5217" s="328"/>
      <c r="H5217" s="337"/>
      <c r="I5217" s="334"/>
      <c r="J5217" s="314"/>
      <c r="K5217" s="449"/>
      <c r="M5217" s="349" t="str">
        <f>N5217&amp;AS[[#This Row],[Insurer Code]]&amp;"; "&amp;O5217&amp;AS[[#This Row],[Reporting Year]]&amp;"; "&amp;P5217&amp;AS[[#This Row],[Insurance Category Code]]&amp;"; "&amp;Q5217&amp;AS[[#This Row],[Large Provider Entity Code]]&amp;"; "&amp;R5217&amp;AS[[#This Row],[Age Band Code]]&amp;"; "&amp;S5217&amp;AS[[#This Row],[Sex Code]]</f>
        <v xml:space="preserve">Insurer Code ; Reporting Year ; Insurance Category Code ; Large Provider Entity Code ; Age Band Code ; Sex Code </v>
      </c>
      <c r="N5217" s="345" t="s">
        <v>207</v>
      </c>
      <c r="O5217" s="345" t="s">
        <v>208</v>
      </c>
      <c r="P5217" s="345" t="s">
        <v>209</v>
      </c>
      <c r="Q5217" s="345" t="s">
        <v>210</v>
      </c>
      <c r="R5217" s="345" t="s">
        <v>223</v>
      </c>
      <c r="S5217" s="345" t="s">
        <v>224</v>
      </c>
    </row>
    <row r="5218" spans="1:19" x14ac:dyDescent="0.25">
      <c r="A5218" s="311"/>
      <c r="B5218" s="312"/>
      <c r="C5218" s="312"/>
      <c r="D5218" s="312"/>
      <c r="E5218" s="312"/>
      <c r="F5218" s="312"/>
      <c r="G5218" s="328"/>
      <c r="H5218" s="337"/>
      <c r="I5218" s="334"/>
      <c r="J5218" s="314"/>
      <c r="K5218" s="449"/>
      <c r="M5218" s="349" t="str">
        <f>N5218&amp;AS[[#This Row],[Insurer Code]]&amp;"; "&amp;O5218&amp;AS[[#This Row],[Reporting Year]]&amp;"; "&amp;P5218&amp;AS[[#This Row],[Insurance Category Code]]&amp;"; "&amp;Q5218&amp;AS[[#This Row],[Large Provider Entity Code]]&amp;"; "&amp;R5218&amp;AS[[#This Row],[Age Band Code]]&amp;"; "&amp;S5218&amp;AS[[#This Row],[Sex Code]]</f>
        <v xml:space="preserve">Insurer Code ; Reporting Year ; Insurance Category Code ; Large Provider Entity Code ; Age Band Code ; Sex Code </v>
      </c>
      <c r="N5218" s="345" t="s">
        <v>207</v>
      </c>
      <c r="O5218" s="345" t="s">
        <v>208</v>
      </c>
      <c r="P5218" s="345" t="s">
        <v>209</v>
      </c>
      <c r="Q5218" s="345" t="s">
        <v>210</v>
      </c>
      <c r="R5218" s="345" t="s">
        <v>223</v>
      </c>
      <c r="S5218" s="345" t="s">
        <v>224</v>
      </c>
    </row>
    <row r="5219" spans="1:19" x14ac:dyDescent="0.25">
      <c r="A5219" s="311"/>
      <c r="B5219" s="312"/>
      <c r="C5219" s="312"/>
      <c r="D5219" s="312"/>
      <c r="E5219" s="312"/>
      <c r="F5219" s="312"/>
      <c r="G5219" s="328"/>
      <c r="H5219" s="337"/>
      <c r="I5219" s="334"/>
      <c r="J5219" s="314"/>
      <c r="K5219" s="449"/>
      <c r="M5219" s="349" t="str">
        <f>N5219&amp;AS[[#This Row],[Insurer Code]]&amp;"; "&amp;O5219&amp;AS[[#This Row],[Reporting Year]]&amp;"; "&amp;P5219&amp;AS[[#This Row],[Insurance Category Code]]&amp;"; "&amp;Q5219&amp;AS[[#This Row],[Large Provider Entity Code]]&amp;"; "&amp;R5219&amp;AS[[#This Row],[Age Band Code]]&amp;"; "&amp;S5219&amp;AS[[#This Row],[Sex Code]]</f>
        <v xml:space="preserve">Insurer Code ; Reporting Year ; Insurance Category Code ; Large Provider Entity Code ; Age Band Code ; Sex Code </v>
      </c>
      <c r="N5219" s="345" t="s">
        <v>207</v>
      </c>
      <c r="O5219" s="345" t="s">
        <v>208</v>
      </c>
      <c r="P5219" s="345" t="s">
        <v>209</v>
      </c>
      <c r="Q5219" s="345" t="s">
        <v>210</v>
      </c>
      <c r="R5219" s="345" t="s">
        <v>223</v>
      </c>
      <c r="S5219" s="345" t="s">
        <v>224</v>
      </c>
    </row>
    <row r="5220" spans="1:19" x14ac:dyDescent="0.25">
      <c r="A5220" s="311"/>
      <c r="B5220" s="312"/>
      <c r="C5220" s="312"/>
      <c r="D5220" s="312"/>
      <c r="E5220" s="312"/>
      <c r="F5220" s="312"/>
      <c r="G5220" s="328"/>
      <c r="H5220" s="337"/>
      <c r="I5220" s="334"/>
      <c r="J5220" s="314"/>
      <c r="K5220" s="449"/>
      <c r="M5220" s="349" t="str">
        <f>N5220&amp;AS[[#This Row],[Insurer Code]]&amp;"; "&amp;O5220&amp;AS[[#This Row],[Reporting Year]]&amp;"; "&amp;P5220&amp;AS[[#This Row],[Insurance Category Code]]&amp;"; "&amp;Q5220&amp;AS[[#This Row],[Large Provider Entity Code]]&amp;"; "&amp;R5220&amp;AS[[#This Row],[Age Band Code]]&amp;"; "&amp;S5220&amp;AS[[#This Row],[Sex Code]]</f>
        <v xml:space="preserve">Insurer Code ; Reporting Year ; Insurance Category Code ; Large Provider Entity Code ; Age Band Code ; Sex Code </v>
      </c>
      <c r="N5220" s="345" t="s">
        <v>207</v>
      </c>
      <c r="O5220" s="345" t="s">
        <v>208</v>
      </c>
      <c r="P5220" s="345" t="s">
        <v>209</v>
      </c>
      <c r="Q5220" s="345" t="s">
        <v>210</v>
      </c>
      <c r="R5220" s="345" t="s">
        <v>223</v>
      </c>
      <c r="S5220" s="345" t="s">
        <v>224</v>
      </c>
    </row>
    <row r="5221" spans="1:19" x14ac:dyDescent="0.25">
      <c r="A5221" s="311"/>
      <c r="B5221" s="312"/>
      <c r="C5221" s="312"/>
      <c r="D5221" s="312"/>
      <c r="E5221" s="312"/>
      <c r="F5221" s="312"/>
      <c r="G5221" s="328"/>
      <c r="H5221" s="337"/>
      <c r="I5221" s="334"/>
      <c r="J5221" s="314"/>
      <c r="K5221" s="449"/>
      <c r="M5221" s="349" t="str">
        <f>N5221&amp;AS[[#This Row],[Insurer Code]]&amp;"; "&amp;O5221&amp;AS[[#This Row],[Reporting Year]]&amp;"; "&amp;P5221&amp;AS[[#This Row],[Insurance Category Code]]&amp;"; "&amp;Q5221&amp;AS[[#This Row],[Large Provider Entity Code]]&amp;"; "&amp;R5221&amp;AS[[#This Row],[Age Band Code]]&amp;"; "&amp;S5221&amp;AS[[#This Row],[Sex Code]]</f>
        <v xml:space="preserve">Insurer Code ; Reporting Year ; Insurance Category Code ; Large Provider Entity Code ; Age Band Code ; Sex Code </v>
      </c>
      <c r="N5221" s="345" t="s">
        <v>207</v>
      </c>
      <c r="O5221" s="345" t="s">
        <v>208</v>
      </c>
      <c r="P5221" s="345" t="s">
        <v>209</v>
      </c>
      <c r="Q5221" s="345" t="s">
        <v>210</v>
      </c>
      <c r="R5221" s="345" t="s">
        <v>223</v>
      </c>
      <c r="S5221" s="345" t="s">
        <v>224</v>
      </c>
    </row>
    <row r="5222" spans="1:19" x14ac:dyDescent="0.25">
      <c r="A5222" s="311"/>
      <c r="B5222" s="312"/>
      <c r="C5222" s="312"/>
      <c r="D5222" s="312"/>
      <c r="E5222" s="312"/>
      <c r="F5222" s="312"/>
      <c r="G5222" s="328"/>
      <c r="H5222" s="337"/>
      <c r="I5222" s="334"/>
      <c r="J5222" s="314"/>
      <c r="K5222" s="449"/>
      <c r="M5222" s="349" t="str">
        <f>N5222&amp;AS[[#This Row],[Insurer Code]]&amp;"; "&amp;O5222&amp;AS[[#This Row],[Reporting Year]]&amp;"; "&amp;P5222&amp;AS[[#This Row],[Insurance Category Code]]&amp;"; "&amp;Q5222&amp;AS[[#This Row],[Large Provider Entity Code]]&amp;"; "&amp;R5222&amp;AS[[#This Row],[Age Band Code]]&amp;"; "&amp;S5222&amp;AS[[#This Row],[Sex Code]]</f>
        <v xml:space="preserve">Insurer Code ; Reporting Year ; Insurance Category Code ; Large Provider Entity Code ; Age Band Code ; Sex Code </v>
      </c>
      <c r="N5222" s="345" t="s">
        <v>207</v>
      </c>
      <c r="O5222" s="345" t="s">
        <v>208</v>
      </c>
      <c r="P5222" s="345" t="s">
        <v>209</v>
      </c>
      <c r="Q5222" s="345" t="s">
        <v>210</v>
      </c>
      <c r="R5222" s="345" t="s">
        <v>223</v>
      </c>
      <c r="S5222" s="345" t="s">
        <v>224</v>
      </c>
    </row>
    <row r="5223" spans="1:19" x14ac:dyDescent="0.25">
      <c r="A5223" s="311"/>
      <c r="B5223" s="312"/>
      <c r="C5223" s="312"/>
      <c r="D5223" s="312"/>
      <c r="E5223" s="312"/>
      <c r="F5223" s="312"/>
      <c r="G5223" s="328"/>
      <c r="H5223" s="337"/>
      <c r="I5223" s="334"/>
      <c r="J5223" s="314"/>
      <c r="K5223" s="449"/>
      <c r="M5223" s="349" t="str">
        <f>N5223&amp;AS[[#This Row],[Insurer Code]]&amp;"; "&amp;O5223&amp;AS[[#This Row],[Reporting Year]]&amp;"; "&amp;P5223&amp;AS[[#This Row],[Insurance Category Code]]&amp;"; "&amp;Q5223&amp;AS[[#This Row],[Large Provider Entity Code]]&amp;"; "&amp;R5223&amp;AS[[#This Row],[Age Band Code]]&amp;"; "&amp;S5223&amp;AS[[#This Row],[Sex Code]]</f>
        <v xml:space="preserve">Insurer Code ; Reporting Year ; Insurance Category Code ; Large Provider Entity Code ; Age Band Code ; Sex Code </v>
      </c>
      <c r="N5223" s="345" t="s">
        <v>207</v>
      </c>
      <c r="O5223" s="345" t="s">
        <v>208</v>
      </c>
      <c r="P5223" s="345" t="s">
        <v>209</v>
      </c>
      <c r="Q5223" s="345" t="s">
        <v>210</v>
      </c>
      <c r="R5223" s="345" t="s">
        <v>223</v>
      </c>
      <c r="S5223" s="345" t="s">
        <v>224</v>
      </c>
    </row>
    <row r="5224" spans="1:19" x14ac:dyDescent="0.25">
      <c r="A5224" s="311"/>
      <c r="B5224" s="312"/>
      <c r="C5224" s="312"/>
      <c r="D5224" s="312"/>
      <c r="E5224" s="312"/>
      <c r="F5224" s="312"/>
      <c r="G5224" s="328"/>
      <c r="H5224" s="337"/>
      <c r="I5224" s="334"/>
      <c r="J5224" s="314"/>
      <c r="K5224" s="449"/>
      <c r="M5224" s="349" t="str">
        <f>N5224&amp;AS[[#This Row],[Insurer Code]]&amp;"; "&amp;O5224&amp;AS[[#This Row],[Reporting Year]]&amp;"; "&amp;P5224&amp;AS[[#This Row],[Insurance Category Code]]&amp;"; "&amp;Q5224&amp;AS[[#This Row],[Large Provider Entity Code]]&amp;"; "&amp;R5224&amp;AS[[#This Row],[Age Band Code]]&amp;"; "&amp;S5224&amp;AS[[#This Row],[Sex Code]]</f>
        <v xml:space="preserve">Insurer Code ; Reporting Year ; Insurance Category Code ; Large Provider Entity Code ; Age Band Code ; Sex Code </v>
      </c>
      <c r="N5224" s="345" t="s">
        <v>207</v>
      </c>
      <c r="O5224" s="345" t="s">
        <v>208</v>
      </c>
      <c r="P5224" s="345" t="s">
        <v>209</v>
      </c>
      <c r="Q5224" s="345" t="s">
        <v>210</v>
      </c>
      <c r="R5224" s="345" t="s">
        <v>223</v>
      </c>
      <c r="S5224" s="345" t="s">
        <v>224</v>
      </c>
    </row>
    <row r="5225" spans="1:19" x14ac:dyDescent="0.25">
      <c r="A5225" s="311"/>
      <c r="B5225" s="312"/>
      <c r="C5225" s="312"/>
      <c r="D5225" s="312"/>
      <c r="E5225" s="312"/>
      <c r="F5225" s="312"/>
      <c r="G5225" s="328"/>
      <c r="H5225" s="337"/>
      <c r="I5225" s="334"/>
      <c r="J5225" s="314"/>
      <c r="K5225" s="449"/>
      <c r="M5225" s="349" t="str">
        <f>N5225&amp;AS[[#This Row],[Insurer Code]]&amp;"; "&amp;O5225&amp;AS[[#This Row],[Reporting Year]]&amp;"; "&amp;P5225&amp;AS[[#This Row],[Insurance Category Code]]&amp;"; "&amp;Q5225&amp;AS[[#This Row],[Large Provider Entity Code]]&amp;"; "&amp;R5225&amp;AS[[#This Row],[Age Band Code]]&amp;"; "&amp;S5225&amp;AS[[#This Row],[Sex Code]]</f>
        <v xml:space="preserve">Insurer Code ; Reporting Year ; Insurance Category Code ; Large Provider Entity Code ; Age Band Code ; Sex Code </v>
      </c>
      <c r="N5225" s="345" t="s">
        <v>207</v>
      </c>
      <c r="O5225" s="345" t="s">
        <v>208</v>
      </c>
      <c r="P5225" s="345" t="s">
        <v>209</v>
      </c>
      <c r="Q5225" s="345" t="s">
        <v>210</v>
      </c>
      <c r="R5225" s="345" t="s">
        <v>223</v>
      </c>
      <c r="S5225" s="345" t="s">
        <v>224</v>
      </c>
    </row>
    <row r="5226" spans="1:19" x14ac:dyDescent="0.25">
      <c r="A5226" s="311"/>
      <c r="B5226" s="312"/>
      <c r="C5226" s="312"/>
      <c r="D5226" s="312"/>
      <c r="E5226" s="312"/>
      <c r="F5226" s="312"/>
      <c r="G5226" s="328"/>
      <c r="H5226" s="337"/>
      <c r="I5226" s="334"/>
      <c r="J5226" s="314"/>
      <c r="K5226" s="449"/>
      <c r="M5226" s="349" t="str">
        <f>N5226&amp;AS[[#This Row],[Insurer Code]]&amp;"; "&amp;O5226&amp;AS[[#This Row],[Reporting Year]]&amp;"; "&amp;P5226&amp;AS[[#This Row],[Insurance Category Code]]&amp;"; "&amp;Q5226&amp;AS[[#This Row],[Large Provider Entity Code]]&amp;"; "&amp;R5226&amp;AS[[#This Row],[Age Band Code]]&amp;"; "&amp;S5226&amp;AS[[#This Row],[Sex Code]]</f>
        <v xml:space="preserve">Insurer Code ; Reporting Year ; Insurance Category Code ; Large Provider Entity Code ; Age Band Code ; Sex Code </v>
      </c>
      <c r="N5226" s="345" t="s">
        <v>207</v>
      </c>
      <c r="O5226" s="345" t="s">
        <v>208</v>
      </c>
      <c r="P5226" s="345" t="s">
        <v>209</v>
      </c>
      <c r="Q5226" s="345" t="s">
        <v>210</v>
      </c>
      <c r="R5226" s="345" t="s">
        <v>223</v>
      </c>
      <c r="S5226" s="345" t="s">
        <v>224</v>
      </c>
    </row>
    <row r="5227" spans="1:19" x14ac:dyDescent="0.25">
      <c r="A5227" s="311"/>
      <c r="B5227" s="312"/>
      <c r="C5227" s="312"/>
      <c r="D5227" s="312"/>
      <c r="E5227" s="312"/>
      <c r="F5227" s="312"/>
      <c r="G5227" s="328"/>
      <c r="H5227" s="337"/>
      <c r="I5227" s="334"/>
      <c r="J5227" s="314"/>
      <c r="K5227" s="449"/>
      <c r="M5227" s="349" t="str">
        <f>N5227&amp;AS[[#This Row],[Insurer Code]]&amp;"; "&amp;O5227&amp;AS[[#This Row],[Reporting Year]]&amp;"; "&amp;P5227&amp;AS[[#This Row],[Insurance Category Code]]&amp;"; "&amp;Q5227&amp;AS[[#This Row],[Large Provider Entity Code]]&amp;"; "&amp;R5227&amp;AS[[#This Row],[Age Band Code]]&amp;"; "&amp;S5227&amp;AS[[#This Row],[Sex Code]]</f>
        <v xml:space="preserve">Insurer Code ; Reporting Year ; Insurance Category Code ; Large Provider Entity Code ; Age Band Code ; Sex Code </v>
      </c>
      <c r="N5227" s="345" t="s">
        <v>207</v>
      </c>
      <c r="O5227" s="345" t="s">
        <v>208</v>
      </c>
      <c r="P5227" s="345" t="s">
        <v>209</v>
      </c>
      <c r="Q5227" s="345" t="s">
        <v>210</v>
      </c>
      <c r="R5227" s="345" t="s">
        <v>223</v>
      </c>
      <c r="S5227" s="345" t="s">
        <v>224</v>
      </c>
    </row>
    <row r="5228" spans="1:19" x14ac:dyDescent="0.25">
      <c r="A5228" s="311"/>
      <c r="B5228" s="312"/>
      <c r="C5228" s="312"/>
      <c r="D5228" s="312"/>
      <c r="E5228" s="312"/>
      <c r="F5228" s="312"/>
      <c r="G5228" s="328"/>
      <c r="H5228" s="337"/>
      <c r="I5228" s="334"/>
      <c r="J5228" s="314"/>
      <c r="K5228" s="449"/>
      <c r="M5228" s="349" t="str">
        <f>N5228&amp;AS[[#This Row],[Insurer Code]]&amp;"; "&amp;O5228&amp;AS[[#This Row],[Reporting Year]]&amp;"; "&amp;P5228&amp;AS[[#This Row],[Insurance Category Code]]&amp;"; "&amp;Q5228&amp;AS[[#This Row],[Large Provider Entity Code]]&amp;"; "&amp;R5228&amp;AS[[#This Row],[Age Band Code]]&amp;"; "&amp;S5228&amp;AS[[#This Row],[Sex Code]]</f>
        <v xml:space="preserve">Insurer Code ; Reporting Year ; Insurance Category Code ; Large Provider Entity Code ; Age Band Code ; Sex Code </v>
      </c>
      <c r="N5228" s="345" t="s">
        <v>207</v>
      </c>
      <c r="O5228" s="345" t="s">
        <v>208</v>
      </c>
      <c r="P5228" s="345" t="s">
        <v>209</v>
      </c>
      <c r="Q5228" s="345" t="s">
        <v>210</v>
      </c>
      <c r="R5228" s="345" t="s">
        <v>223</v>
      </c>
      <c r="S5228" s="345" t="s">
        <v>224</v>
      </c>
    </row>
    <row r="5229" spans="1:19" x14ac:dyDescent="0.25">
      <c r="A5229" s="311"/>
      <c r="B5229" s="312"/>
      <c r="C5229" s="312"/>
      <c r="D5229" s="312"/>
      <c r="E5229" s="312"/>
      <c r="F5229" s="312"/>
      <c r="G5229" s="328"/>
      <c r="H5229" s="337"/>
      <c r="I5229" s="334"/>
      <c r="J5229" s="314"/>
      <c r="K5229" s="449"/>
      <c r="M5229" s="349" t="str">
        <f>N5229&amp;AS[[#This Row],[Insurer Code]]&amp;"; "&amp;O5229&amp;AS[[#This Row],[Reporting Year]]&amp;"; "&amp;P5229&amp;AS[[#This Row],[Insurance Category Code]]&amp;"; "&amp;Q5229&amp;AS[[#This Row],[Large Provider Entity Code]]&amp;"; "&amp;R5229&amp;AS[[#This Row],[Age Band Code]]&amp;"; "&amp;S5229&amp;AS[[#This Row],[Sex Code]]</f>
        <v xml:space="preserve">Insurer Code ; Reporting Year ; Insurance Category Code ; Large Provider Entity Code ; Age Band Code ; Sex Code </v>
      </c>
      <c r="N5229" s="345" t="s">
        <v>207</v>
      </c>
      <c r="O5229" s="345" t="s">
        <v>208</v>
      </c>
      <c r="P5229" s="345" t="s">
        <v>209</v>
      </c>
      <c r="Q5229" s="345" t="s">
        <v>210</v>
      </c>
      <c r="R5229" s="345" t="s">
        <v>223</v>
      </c>
      <c r="S5229" s="345" t="s">
        <v>224</v>
      </c>
    </row>
    <row r="5230" spans="1:19" x14ac:dyDescent="0.25">
      <c r="A5230" s="311"/>
      <c r="B5230" s="312"/>
      <c r="C5230" s="312"/>
      <c r="D5230" s="312"/>
      <c r="E5230" s="312"/>
      <c r="F5230" s="312"/>
      <c r="G5230" s="328"/>
      <c r="H5230" s="337"/>
      <c r="I5230" s="334"/>
      <c r="J5230" s="314"/>
      <c r="K5230" s="449"/>
      <c r="M5230" s="349" t="str">
        <f>N5230&amp;AS[[#This Row],[Insurer Code]]&amp;"; "&amp;O5230&amp;AS[[#This Row],[Reporting Year]]&amp;"; "&amp;P5230&amp;AS[[#This Row],[Insurance Category Code]]&amp;"; "&amp;Q5230&amp;AS[[#This Row],[Large Provider Entity Code]]&amp;"; "&amp;R5230&amp;AS[[#This Row],[Age Band Code]]&amp;"; "&amp;S5230&amp;AS[[#This Row],[Sex Code]]</f>
        <v xml:space="preserve">Insurer Code ; Reporting Year ; Insurance Category Code ; Large Provider Entity Code ; Age Band Code ; Sex Code </v>
      </c>
      <c r="N5230" s="345" t="s">
        <v>207</v>
      </c>
      <c r="O5230" s="345" t="s">
        <v>208</v>
      </c>
      <c r="P5230" s="345" t="s">
        <v>209</v>
      </c>
      <c r="Q5230" s="345" t="s">
        <v>210</v>
      </c>
      <c r="R5230" s="345" t="s">
        <v>223</v>
      </c>
      <c r="S5230" s="345" t="s">
        <v>224</v>
      </c>
    </row>
    <row r="5231" spans="1:19" x14ac:dyDescent="0.25">
      <c r="A5231" s="311"/>
      <c r="B5231" s="312"/>
      <c r="C5231" s="312"/>
      <c r="D5231" s="312"/>
      <c r="E5231" s="312"/>
      <c r="F5231" s="312"/>
      <c r="G5231" s="328"/>
      <c r="H5231" s="337"/>
      <c r="I5231" s="334"/>
      <c r="J5231" s="314"/>
      <c r="K5231" s="449"/>
      <c r="M5231" s="349" t="str">
        <f>N5231&amp;AS[[#This Row],[Insurer Code]]&amp;"; "&amp;O5231&amp;AS[[#This Row],[Reporting Year]]&amp;"; "&amp;P5231&amp;AS[[#This Row],[Insurance Category Code]]&amp;"; "&amp;Q5231&amp;AS[[#This Row],[Large Provider Entity Code]]&amp;"; "&amp;R5231&amp;AS[[#This Row],[Age Band Code]]&amp;"; "&amp;S5231&amp;AS[[#This Row],[Sex Code]]</f>
        <v xml:space="preserve">Insurer Code ; Reporting Year ; Insurance Category Code ; Large Provider Entity Code ; Age Band Code ; Sex Code </v>
      </c>
      <c r="N5231" s="345" t="s">
        <v>207</v>
      </c>
      <c r="O5231" s="345" t="s">
        <v>208</v>
      </c>
      <c r="P5231" s="345" t="s">
        <v>209</v>
      </c>
      <c r="Q5231" s="345" t="s">
        <v>210</v>
      </c>
      <c r="R5231" s="345" t="s">
        <v>223</v>
      </c>
      <c r="S5231" s="345" t="s">
        <v>224</v>
      </c>
    </row>
    <row r="5232" spans="1:19" x14ac:dyDescent="0.25">
      <c r="A5232" s="311"/>
      <c r="B5232" s="312"/>
      <c r="C5232" s="312"/>
      <c r="D5232" s="312"/>
      <c r="E5232" s="312"/>
      <c r="F5232" s="312"/>
      <c r="G5232" s="328"/>
      <c r="H5232" s="337"/>
      <c r="I5232" s="334"/>
      <c r="J5232" s="314"/>
      <c r="K5232" s="449"/>
      <c r="M5232" s="349" t="str">
        <f>N5232&amp;AS[[#This Row],[Insurer Code]]&amp;"; "&amp;O5232&amp;AS[[#This Row],[Reporting Year]]&amp;"; "&amp;P5232&amp;AS[[#This Row],[Insurance Category Code]]&amp;"; "&amp;Q5232&amp;AS[[#This Row],[Large Provider Entity Code]]&amp;"; "&amp;R5232&amp;AS[[#This Row],[Age Band Code]]&amp;"; "&amp;S5232&amp;AS[[#This Row],[Sex Code]]</f>
        <v xml:space="preserve">Insurer Code ; Reporting Year ; Insurance Category Code ; Large Provider Entity Code ; Age Band Code ; Sex Code </v>
      </c>
      <c r="N5232" s="345" t="s">
        <v>207</v>
      </c>
      <c r="O5232" s="345" t="s">
        <v>208</v>
      </c>
      <c r="P5232" s="345" t="s">
        <v>209</v>
      </c>
      <c r="Q5232" s="345" t="s">
        <v>210</v>
      </c>
      <c r="R5232" s="345" t="s">
        <v>223</v>
      </c>
      <c r="S5232" s="345" t="s">
        <v>224</v>
      </c>
    </row>
    <row r="5233" spans="1:19" x14ac:dyDescent="0.25">
      <c r="A5233" s="311"/>
      <c r="B5233" s="312"/>
      <c r="C5233" s="312"/>
      <c r="D5233" s="312"/>
      <c r="E5233" s="312"/>
      <c r="F5233" s="312"/>
      <c r="G5233" s="328"/>
      <c r="H5233" s="337"/>
      <c r="I5233" s="334"/>
      <c r="J5233" s="314"/>
      <c r="K5233" s="449"/>
      <c r="M5233" s="349" t="str">
        <f>N5233&amp;AS[[#This Row],[Insurer Code]]&amp;"; "&amp;O5233&amp;AS[[#This Row],[Reporting Year]]&amp;"; "&amp;P5233&amp;AS[[#This Row],[Insurance Category Code]]&amp;"; "&amp;Q5233&amp;AS[[#This Row],[Large Provider Entity Code]]&amp;"; "&amp;R5233&amp;AS[[#This Row],[Age Band Code]]&amp;"; "&amp;S5233&amp;AS[[#This Row],[Sex Code]]</f>
        <v xml:space="preserve">Insurer Code ; Reporting Year ; Insurance Category Code ; Large Provider Entity Code ; Age Band Code ; Sex Code </v>
      </c>
      <c r="N5233" s="345" t="s">
        <v>207</v>
      </c>
      <c r="O5233" s="345" t="s">
        <v>208</v>
      </c>
      <c r="P5233" s="345" t="s">
        <v>209</v>
      </c>
      <c r="Q5233" s="345" t="s">
        <v>210</v>
      </c>
      <c r="R5233" s="345" t="s">
        <v>223</v>
      </c>
      <c r="S5233" s="345" t="s">
        <v>224</v>
      </c>
    </row>
    <row r="5234" spans="1:19" x14ac:dyDescent="0.25">
      <c r="A5234" s="311"/>
      <c r="B5234" s="312"/>
      <c r="C5234" s="312"/>
      <c r="D5234" s="312"/>
      <c r="E5234" s="312"/>
      <c r="F5234" s="312"/>
      <c r="G5234" s="328"/>
      <c r="H5234" s="337"/>
      <c r="I5234" s="334"/>
      <c r="J5234" s="314"/>
      <c r="K5234" s="449"/>
      <c r="M5234" s="349" t="str">
        <f>N5234&amp;AS[[#This Row],[Insurer Code]]&amp;"; "&amp;O5234&amp;AS[[#This Row],[Reporting Year]]&amp;"; "&amp;P5234&amp;AS[[#This Row],[Insurance Category Code]]&amp;"; "&amp;Q5234&amp;AS[[#This Row],[Large Provider Entity Code]]&amp;"; "&amp;R5234&amp;AS[[#This Row],[Age Band Code]]&amp;"; "&amp;S5234&amp;AS[[#This Row],[Sex Code]]</f>
        <v xml:space="preserve">Insurer Code ; Reporting Year ; Insurance Category Code ; Large Provider Entity Code ; Age Band Code ; Sex Code </v>
      </c>
      <c r="N5234" s="345" t="s">
        <v>207</v>
      </c>
      <c r="O5234" s="345" t="s">
        <v>208</v>
      </c>
      <c r="P5234" s="345" t="s">
        <v>209</v>
      </c>
      <c r="Q5234" s="345" t="s">
        <v>210</v>
      </c>
      <c r="R5234" s="345" t="s">
        <v>223</v>
      </c>
      <c r="S5234" s="345" t="s">
        <v>224</v>
      </c>
    </row>
    <row r="5235" spans="1:19" x14ac:dyDescent="0.25">
      <c r="A5235" s="311"/>
      <c r="B5235" s="312"/>
      <c r="C5235" s="312"/>
      <c r="D5235" s="312"/>
      <c r="E5235" s="312"/>
      <c r="F5235" s="312"/>
      <c r="G5235" s="328"/>
      <c r="H5235" s="337"/>
      <c r="I5235" s="334"/>
      <c r="J5235" s="314"/>
      <c r="K5235" s="449"/>
      <c r="M5235" s="349" t="str">
        <f>N5235&amp;AS[[#This Row],[Insurer Code]]&amp;"; "&amp;O5235&amp;AS[[#This Row],[Reporting Year]]&amp;"; "&amp;P5235&amp;AS[[#This Row],[Insurance Category Code]]&amp;"; "&amp;Q5235&amp;AS[[#This Row],[Large Provider Entity Code]]&amp;"; "&amp;R5235&amp;AS[[#This Row],[Age Band Code]]&amp;"; "&amp;S5235&amp;AS[[#This Row],[Sex Code]]</f>
        <v xml:space="preserve">Insurer Code ; Reporting Year ; Insurance Category Code ; Large Provider Entity Code ; Age Band Code ; Sex Code </v>
      </c>
      <c r="N5235" s="345" t="s">
        <v>207</v>
      </c>
      <c r="O5235" s="345" t="s">
        <v>208</v>
      </c>
      <c r="P5235" s="345" t="s">
        <v>209</v>
      </c>
      <c r="Q5235" s="345" t="s">
        <v>210</v>
      </c>
      <c r="R5235" s="345" t="s">
        <v>223</v>
      </c>
      <c r="S5235" s="345" t="s">
        <v>224</v>
      </c>
    </row>
    <row r="5236" spans="1:19" x14ac:dyDescent="0.25">
      <c r="A5236" s="311"/>
      <c r="B5236" s="312"/>
      <c r="C5236" s="312"/>
      <c r="D5236" s="312"/>
      <c r="E5236" s="312"/>
      <c r="F5236" s="312"/>
      <c r="G5236" s="328"/>
      <c r="H5236" s="337"/>
      <c r="I5236" s="334"/>
      <c r="J5236" s="314"/>
      <c r="K5236" s="449"/>
      <c r="M5236" s="349" t="str">
        <f>N5236&amp;AS[[#This Row],[Insurer Code]]&amp;"; "&amp;O5236&amp;AS[[#This Row],[Reporting Year]]&amp;"; "&amp;P5236&amp;AS[[#This Row],[Insurance Category Code]]&amp;"; "&amp;Q5236&amp;AS[[#This Row],[Large Provider Entity Code]]&amp;"; "&amp;R5236&amp;AS[[#This Row],[Age Band Code]]&amp;"; "&amp;S5236&amp;AS[[#This Row],[Sex Code]]</f>
        <v xml:space="preserve">Insurer Code ; Reporting Year ; Insurance Category Code ; Large Provider Entity Code ; Age Band Code ; Sex Code </v>
      </c>
      <c r="N5236" s="345" t="s">
        <v>207</v>
      </c>
      <c r="O5236" s="345" t="s">
        <v>208</v>
      </c>
      <c r="P5236" s="345" t="s">
        <v>209</v>
      </c>
      <c r="Q5236" s="345" t="s">
        <v>210</v>
      </c>
      <c r="R5236" s="345" t="s">
        <v>223</v>
      </c>
      <c r="S5236" s="345" t="s">
        <v>224</v>
      </c>
    </row>
    <row r="5237" spans="1:19" x14ac:dyDescent="0.25">
      <c r="A5237" s="311"/>
      <c r="B5237" s="312"/>
      <c r="C5237" s="312"/>
      <c r="D5237" s="312"/>
      <c r="E5237" s="312"/>
      <c r="F5237" s="312"/>
      <c r="G5237" s="328"/>
      <c r="H5237" s="337"/>
      <c r="I5237" s="334"/>
      <c r="J5237" s="314"/>
      <c r="K5237" s="449"/>
      <c r="M5237" s="349" t="str">
        <f>N5237&amp;AS[[#This Row],[Insurer Code]]&amp;"; "&amp;O5237&amp;AS[[#This Row],[Reporting Year]]&amp;"; "&amp;P5237&amp;AS[[#This Row],[Insurance Category Code]]&amp;"; "&amp;Q5237&amp;AS[[#This Row],[Large Provider Entity Code]]&amp;"; "&amp;R5237&amp;AS[[#This Row],[Age Band Code]]&amp;"; "&amp;S5237&amp;AS[[#This Row],[Sex Code]]</f>
        <v xml:space="preserve">Insurer Code ; Reporting Year ; Insurance Category Code ; Large Provider Entity Code ; Age Band Code ; Sex Code </v>
      </c>
      <c r="N5237" s="345" t="s">
        <v>207</v>
      </c>
      <c r="O5237" s="345" t="s">
        <v>208</v>
      </c>
      <c r="P5237" s="345" t="s">
        <v>209</v>
      </c>
      <c r="Q5237" s="345" t="s">
        <v>210</v>
      </c>
      <c r="R5237" s="345" t="s">
        <v>223</v>
      </c>
      <c r="S5237" s="345" t="s">
        <v>224</v>
      </c>
    </row>
    <row r="5238" spans="1:19" x14ac:dyDescent="0.25">
      <c r="A5238" s="311"/>
      <c r="B5238" s="312"/>
      <c r="C5238" s="312"/>
      <c r="D5238" s="312"/>
      <c r="E5238" s="312"/>
      <c r="F5238" s="312"/>
      <c r="G5238" s="328"/>
      <c r="H5238" s="337"/>
      <c r="I5238" s="334"/>
      <c r="J5238" s="314"/>
      <c r="K5238" s="449"/>
      <c r="M5238" s="349" t="str">
        <f>N5238&amp;AS[[#This Row],[Insurer Code]]&amp;"; "&amp;O5238&amp;AS[[#This Row],[Reporting Year]]&amp;"; "&amp;P5238&amp;AS[[#This Row],[Insurance Category Code]]&amp;"; "&amp;Q5238&amp;AS[[#This Row],[Large Provider Entity Code]]&amp;"; "&amp;R5238&amp;AS[[#This Row],[Age Band Code]]&amp;"; "&amp;S5238&amp;AS[[#This Row],[Sex Code]]</f>
        <v xml:space="preserve">Insurer Code ; Reporting Year ; Insurance Category Code ; Large Provider Entity Code ; Age Band Code ; Sex Code </v>
      </c>
      <c r="N5238" s="345" t="s">
        <v>207</v>
      </c>
      <c r="O5238" s="345" t="s">
        <v>208</v>
      </c>
      <c r="P5238" s="345" t="s">
        <v>209</v>
      </c>
      <c r="Q5238" s="345" t="s">
        <v>210</v>
      </c>
      <c r="R5238" s="345" t="s">
        <v>223</v>
      </c>
      <c r="S5238" s="345" t="s">
        <v>224</v>
      </c>
    </row>
    <row r="5239" spans="1:19" x14ac:dyDescent="0.25">
      <c r="A5239" s="311"/>
      <c r="B5239" s="312"/>
      <c r="C5239" s="312"/>
      <c r="D5239" s="312"/>
      <c r="E5239" s="312"/>
      <c r="F5239" s="312"/>
      <c r="G5239" s="328"/>
      <c r="H5239" s="337"/>
      <c r="I5239" s="334"/>
      <c r="J5239" s="314"/>
      <c r="K5239" s="449"/>
      <c r="M5239" s="349" t="str">
        <f>N5239&amp;AS[[#This Row],[Insurer Code]]&amp;"; "&amp;O5239&amp;AS[[#This Row],[Reporting Year]]&amp;"; "&amp;P5239&amp;AS[[#This Row],[Insurance Category Code]]&amp;"; "&amp;Q5239&amp;AS[[#This Row],[Large Provider Entity Code]]&amp;"; "&amp;R5239&amp;AS[[#This Row],[Age Band Code]]&amp;"; "&amp;S5239&amp;AS[[#This Row],[Sex Code]]</f>
        <v xml:space="preserve">Insurer Code ; Reporting Year ; Insurance Category Code ; Large Provider Entity Code ; Age Band Code ; Sex Code </v>
      </c>
      <c r="N5239" s="345" t="s">
        <v>207</v>
      </c>
      <c r="O5239" s="345" t="s">
        <v>208</v>
      </c>
      <c r="P5239" s="345" t="s">
        <v>209</v>
      </c>
      <c r="Q5239" s="345" t="s">
        <v>210</v>
      </c>
      <c r="R5239" s="345" t="s">
        <v>223</v>
      </c>
      <c r="S5239" s="345" t="s">
        <v>224</v>
      </c>
    </row>
    <row r="5240" spans="1:19" x14ac:dyDescent="0.25">
      <c r="A5240" s="311"/>
      <c r="B5240" s="312"/>
      <c r="C5240" s="312"/>
      <c r="D5240" s="312"/>
      <c r="E5240" s="312"/>
      <c r="F5240" s="312"/>
      <c r="G5240" s="328"/>
      <c r="H5240" s="337"/>
      <c r="I5240" s="334"/>
      <c r="J5240" s="314"/>
      <c r="K5240" s="449"/>
      <c r="M5240" s="349" t="str">
        <f>N5240&amp;AS[[#This Row],[Insurer Code]]&amp;"; "&amp;O5240&amp;AS[[#This Row],[Reporting Year]]&amp;"; "&amp;P5240&amp;AS[[#This Row],[Insurance Category Code]]&amp;"; "&amp;Q5240&amp;AS[[#This Row],[Large Provider Entity Code]]&amp;"; "&amp;R5240&amp;AS[[#This Row],[Age Band Code]]&amp;"; "&amp;S5240&amp;AS[[#This Row],[Sex Code]]</f>
        <v xml:space="preserve">Insurer Code ; Reporting Year ; Insurance Category Code ; Large Provider Entity Code ; Age Band Code ; Sex Code </v>
      </c>
      <c r="N5240" s="345" t="s">
        <v>207</v>
      </c>
      <c r="O5240" s="345" t="s">
        <v>208</v>
      </c>
      <c r="P5240" s="345" t="s">
        <v>209</v>
      </c>
      <c r="Q5240" s="345" t="s">
        <v>210</v>
      </c>
      <c r="R5240" s="345" t="s">
        <v>223</v>
      </c>
      <c r="S5240" s="345" t="s">
        <v>224</v>
      </c>
    </row>
    <row r="5241" spans="1:19" x14ac:dyDescent="0.25">
      <c r="A5241" s="311"/>
      <c r="B5241" s="312"/>
      <c r="C5241" s="312"/>
      <c r="D5241" s="312"/>
      <c r="E5241" s="312"/>
      <c r="F5241" s="312"/>
      <c r="G5241" s="328"/>
      <c r="H5241" s="337"/>
      <c r="I5241" s="334"/>
      <c r="J5241" s="314"/>
      <c r="K5241" s="449"/>
      <c r="M5241" s="349" t="str">
        <f>N5241&amp;AS[[#This Row],[Insurer Code]]&amp;"; "&amp;O5241&amp;AS[[#This Row],[Reporting Year]]&amp;"; "&amp;P5241&amp;AS[[#This Row],[Insurance Category Code]]&amp;"; "&amp;Q5241&amp;AS[[#This Row],[Large Provider Entity Code]]&amp;"; "&amp;R5241&amp;AS[[#This Row],[Age Band Code]]&amp;"; "&amp;S5241&amp;AS[[#This Row],[Sex Code]]</f>
        <v xml:space="preserve">Insurer Code ; Reporting Year ; Insurance Category Code ; Large Provider Entity Code ; Age Band Code ; Sex Code </v>
      </c>
      <c r="N5241" s="345" t="s">
        <v>207</v>
      </c>
      <c r="O5241" s="345" t="s">
        <v>208</v>
      </c>
      <c r="P5241" s="345" t="s">
        <v>209</v>
      </c>
      <c r="Q5241" s="345" t="s">
        <v>210</v>
      </c>
      <c r="R5241" s="345" t="s">
        <v>223</v>
      </c>
      <c r="S5241" s="345" t="s">
        <v>224</v>
      </c>
    </row>
    <row r="5242" spans="1:19" x14ac:dyDescent="0.25">
      <c r="A5242" s="311"/>
      <c r="B5242" s="312"/>
      <c r="C5242" s="312"/>
      <c r="D5242" s="312"/>
      <c r="E5242" s="312"/>
      <c r="F5242" s="312"/>
      <c r="G5242" s="328"/>
      <c r="H5242" s="453"/>
      <c r="I5242" s="334"/>
      <c r="J5242" s="314"/>
      <c r="K5242" s="454"/>
      <c r="M5242" s="349" t="str">
        <f>N5242&amp;AS[[#This Row],[Insurer Code]]&amp;"; "&amp;O5242&amp;AS[[#This Row],[Reporting Year]]&amp;"; "&amp;P5242&amp;AS[[#This Row],[Insurance Category Code]]&amp;"; "&amp;Q5242&amp;AS[[#This Row],[Large Provider Entity Code]]&amp;"; "&amp;R5242&amp;AS[[#This Row],[Age Band Code]]&amp;"; "&amp;S5242&amp;AS[[#This Row],[Sex Code]]</f>
        <v xml:space="preserve">Insurer Code ; Reporting Year ; Insurance Category Code ; Large Provider Entity Code ; Age Band Code ; Sex Code </v>
      </c>
      <c r="N5242" s="345" t="s">
        <v>207</v>
      </c>
      <c r="O5242" s="345" t="s">
        <v>208</v>
      </c>
      <c r="P5242" s="345" t="s">
        <v>209</v>
      </c>
      <c r="Q5242" s="345" t="s">
        <v>210</v>
      </c>
      <c r="R5242" s="345" t="s">
        <v>223</v>
      </c>
      <c r="S5242" s="345" t="s">
        <v>224</v>
      </c>
    </row>
    <row r="5243" spans="1:19" x14ac:dyDescent="0.25">
      <c r="A5243" s="311"/>
      <c r="B5243" s="312"/>
      <c r="C5243" s="312"/>
      <c r="D5243" s="312"/>
      <c r="E5243" s="312"/>
      <c r="F5243" s="312"/>
      <c r="G5243" s="328"/>
      <c r="H5243" s="453"/>
      <c r="I5243" s="334"/>
      <c r="J5243" s="314"/>
      <c r="K5243" s="454"/>
      <c r="M5243" s="349" t="str">
        <f>N5243&amp;AS[[#This Row],[Insurer Code]]&amp;"; "&amp;O5243&amp;AS[[#This Row],[Reporting Year]]&amp;"; "&amp;P5243&amp;AS[[#This Row],[Insurance Category Code]]&amp;"; "&amp;Q5243&amp;AS[[#This Row],[Large Provider Entity Code]]&amp;"; "&amp;R5243&amp;AS[[#This Row],[Age Band Code]]&amp;"; "&amp;S5243&amp;AS[[#This Row],[Sex Code]]</f>
        <v xml:space="preserve">Insurer Code ; Reporting Year ; Insurance Category Code ; Large Provider Entity Code ; Age Band Code ; Sex Code </v>
      </c>
      <c r="N5243" s="345" t="s">
        <v>207</v>
      </c>
      <c r="O5243" s="345" t="s">
        <v>208</v>
      </c>
      <c r="P5243" s="345" t="s">
        <v>209</v>
      </c>
      <c r="Q5243" s="345" t="s">
        <v>210</v>
      </c>
      <c r="R5243" s="345" t="s">
        <v>223</v>
      </c>
      <c r="S5243" s="345" t="s">
        <v>224</v>
      </c>
    </row>
    <row r="5244" spans="1:19" x14ac:dyDescent="0.25">
      <c r="A5244" s="311"/>
      <c r="B5244" s="312"/>
      <c r="C5244" s="312"/>
      <c r="D5244" s="312"/>
      <c r="E5244" s="312"/>
      <c r="F5244" s="312"/>
      <c r="G5244" s="328"/>
      <c r="H5244" s="453"/>
      <c r="I5244" s="334"/>
      <c r="J5244" s="314"/>
      <c r="K5244" s="454"/>
      <c r="M5244" s="349" t="str">
        <f>N5244&amp;AS[[#This Row],[Insurer Code]]&amp;"; "&amp;O5244&amp;AS[[#This Row],[Reporting Year]]&amp;"; "&amp;P5244&amp;AS[[#This Row],[Insurance Category Code]]&amp;"; "&amp;Q5244&amp;AS[[#This Row],[Large Provider Entity Code]]&amp;"; "&amp;R5244&amp;AS[[#This Row],[Age Band Code]]&amp;"; "&amp;S5244&amp;AS[[#This Row],[Sex Code]]</f>
        <v xml:space="preserve">Insurer Code ; Reporting Year ; Insurance Category Code ; Large Provider Entity Code ; Age Band Code ; Sex Code </v>
      </c>
      <c r="N5244" s="345" t="s">
        <v>207</v>
      </c>
      <c r="O5244" s="345" t="s">
        <v>208</v>
      </c>
      <c r="P5244" s="345" t="s">
        <v>209</v>
      </c>
      <c r="Q5244" s="345" t="s">
        <v>210</v>
      </c>
      <c r="R5244" s="345" t="s">
        <v>223</v>
      </c>
      <c r="S5244" s="345" t="s">
        <v>224</v>
      </c>
    </row>
    <row r="5245" spans="1:19" x14ac:dyDescent="0.25">
      <c r="A5245" s="311"/>
      <c r="B5245" s="312"/>
      <c r="C5245" s="312"/>
      <c r="D5245" s="312"/>
      <c r="E5245" s="312"/>
      <c r="F5245" s="312"/>
      <c r="G5245" s="328"/>
      <c r="H5245" s="453"/>
      <c r="I5245" s="334"/>
      <c r="J5245" s="314"/>
      <c r="K5245" s="454"/>
      <c r="M5245" s="349" t="str">
        <f>N5245&amp;AS[[#This Row],[Insurer Code]]&amp;"; "&amp;O5245&amp;AS[[#This Row],[Reporting Year]]&amp;"; "&amp;P5245&amp;AS[[#This Row],[Insurance Category Code]]&amp;"; "&amp;Q5245&amp;AS[[#This Row],[Large Provider Entity Code]]&amp;"; "&amp;R5245&amp;AS[[#This Row],[Age Band Code]]&amp;"; "&amp;S5245&amp;AS[[#This Row],[Sex Code]]</f>
        <v xml:space="preserve">Insurer Code ; Reporting Year ; Insurance Category Code ; Large Provider Entity Code ; Age Band Code ; Sex Code </v>
      </c>
      <c r="N5245" s="345" t="s">
        <v>207</v>
      </c>
      <c r="O5245" s="345" t="s">
        <v>208</v>
      </c>
      <c r="P5245" s="345" t="s">
        <v>209</v>
      </c>
      <c r="Q5245" s="345" t="s">
        <v>210</v>
      </c>
      <c r="R5245" s="345" t="s">
        <v>223</v>
      </c>
      <c r="S5245" s="345" t="s">
        <v>224</v>
      </c>
    </row>
    <row r="5246" spans="1:19" x14ac:dyDescent="0.25">
      <c r="A5246" s="311"/>
      <c r="B5246" s="312"/>
      <c r="C5246" s="312"/>
      <c r="D5246" s="312"/>
      <c r="E5246" s="312"/>
      <c r="F5246" s="312"/>
      <c r="G5246" s="328"/>
      <c r="H5246" s="453"/>
      <c r="I5246" s="334"/>
      <c r="J5246" s="314"/>
      <c r="K5246" s="454"/>
      <c r="M5246" s="349" t="str">
        <f>N5246&amp;AS[[#This Row],[Insurer Code]]&amp;"; "&amp;O5246&amp;AS[[#This Row],[Reporting Year]]&amp;"; "&amp;P5246&amp;AS[[#This Row],[Insurance Category Code]]&amp;"; "&amp;Q5246&amp;AS[[#This Row],[Large Provider Entity Code]]&amp;"; "&amp;R5246&amp;AS[[#This Row],[Age Band Code]]&amp;"; "&amp;S5246&amp;AS[[#This Row],[Sex Code]]</f>
        <v xml:space="preserve">Insurer Code ; Reporting Year ; Insurance Category Code ; Large Provider Entity Code ; Age Band Code ; Sex Code </v>
      </c>
      <c r="N5246" s="345" t="s">
        <v>207</v>
      </c>
      <c r="O5246" s="345" t="s">
        <v>208</v>
      </c>
      <c r="P5246" s="345" t="s">
        <v>209</v>
      </c>
      <c r="Q5246" s="345" t="s">
        <v>210</v>
      </c>
      <c r="R5246" s="345" t="s">
        <v>223</v>
      </c>
      <c r="S5246" s="345" t="s">
        <v>224</v>
      </c>
    </row>
    <row r="5247" spans="1:19" x14ac:dyDescent="0.25">
      <c r="A5247" s="311"/>
      <c r="B5247" s="312"/>
      <c r="C5247" s="312"/>
      <c r="D5247" s="312"/>
      <c r="E5247" s="312"/>
      <c r="F5247" s="312"/>
      <c r="G5247" s="328"/>
      <c r="H5247" s="453"/>
      <c r="I5247" s="334"/>
      <c r="J5247" s="314"/>
      <c r="K5247" s="454"/>
      <c r="M5247" s="349" t="str">
        <f>N5247&amp;AS[[#This Row],[Insurer Code]]&amp;"; "&amp;O5247&amp;AS[[#This Row],[Reporting Year]]&amp;"; "&amp;P5247&amp;AS[[#This Row],[Insurance Category Code]]&amp;"; "&amp;Q5247&amp;AS[[#This Row],[Large Provider Entity Code]]&amp;"; "&amp;R5247&amp;AS[[#This Row],[Age Band Code]]&amp;"; "&amp;S5247&amp;AS[[#This Row],[Sex Code]]</f>
        <v xml:space="preserve">Insurer Code ; Reporting Year ; Insurance Category Code ; Large Provider Entity Code ; Age Band Code ; Sex Code </v>
      </c>
      <c r="N5247" s="345" t="s">
        <v>207</v>
      </c>
      <c r="O5247" s="345" t="s">
        <v>208</v>
      </c>
      <c r="P5247" s="345" t="s">
        <v>209</v>
      </c>
      <c r="Q5247" s="345" t="s">
        <v>210</v>
      </c>
      <c r="R5247" s="345" t="s">
        <v>223</v>
      </c>
      <c r="S5247" s="345" t="s">
        <v>224</v>
      </c>
    </row>
    <row r="5248" spans="1:19" x14ac:dyDescent="0.25">
      <c r="A5248" s="311"/>
      <c r="B5248" s="312"/>
      <c r="C5248" s="312"/>
      <c r="D5248" s="312"/>
      <c r="E5248" s="312"/>
      <c r="F5248" s="312"/>
      <c r="G5248" s="328"/>
      <c r="H5248" s="453"/>
      <c r="I5248" s="334"/>
      <c r="J5248" s="314"/>
      <c r="K5248" s="454"/>
      <c r="M5248" s="349" t="str">
        <f>N5248&amp;AS[[#This Row],[Insurer Code]]&amp;"; "&amp;O5248&amp;AS[[#This Row],[Reporting Year]]&amp;"; "&amp;P5248&amp;AS[[#This Row],[Insurance Category Code]]&amp;"; "&amp;Q5248&amp;AS[[#This Row],[Large Provider Entity Code]]&amp;"; "&amp;R5248&amp;AS[[#This Row],[Age Band Code]]&amp;"; "&amp;S5248&amp;AS[[#This Row],[Sex Code]]</f>
        <v xml:space="preserve">Insurer Code ; Reporting Year ; Insurance Category Code ; Large Provider Entity Code ; Age Band Code ; Sex Code </v>
      </c>
      <c r="N5248" s="345" t="s">
        <v>207</v>
      </c>
      <c r="O5248" s="345" t="s">
        <v>208</v>
      </c>
      <c r="P5248" s="345" t="s">
        <v>209</v>
      </c>
      <c r="Q5248" s="345" t="s">
        <v>210</v>
      </c>
      <c r="R5248" s="345" t="s">
        <v>223</v>
      </c>
      <c r="S5248" s="345" t="s">
        <v>224</v>
      </c>
    </row>
    <row r="5249" spans="1:19" x14ac:dyDescent="0.25">
      <c r="A5249" s="311"/>
      <c r="B5249" s="312"/>
      <c r="C5249" s="312"/>
      <c r="D5249" s="312"/>
      <c r="E5249" s="312"/>
      <c r="F5249" s="312"/>
      <c r="G5249" s="328"/>
      <c r="H5249" s="453"/>
      <c r="I5249" s="334"/>
      <c r="J5249" s="314"/>
      <c r="K5249" s="454"/>
      <c r="M5249" s="349" t="str">
        <f>N5249&amp;AS[[#This Row],[Insurer Code]]&amp;"; "&amp;O5249&amp;AS[[#This Row],[Reporting Year]]&amp;"; "&amp;P5249&amp;AS[[#This Row],[Insurance Category Code]]&amp;"; "&amp;Q5249&amp;AS[[#This Row],[Large Provider Entity Code]]&amp;"; "&amp;R5249&amp;AS[[#This Row],[Age Band Code]]&amp;"; "&amp;S5249&amp;AS[[#This Row],[Sex Code]]</f>
        <v xml:space="preserve">Insurer Code ; Reporting Year ; Insurance Category Code ; Large Provider Entity Code ; Age Band Code ; Sex Code </v>
      </c>
      <c r="N5249" s="345" t="s">
        <v>207</v>
      </c>
      <c r="O5249" s="345" t="s">
        <v>208</v>
      </c>
      <c r="P5249" s="345" t="s">
        <v>209</v>
      </c>
      <c r="Q5249" s="345" t="s">
        <v>210</v>
      </c>
      <c r="R5249" s="345" t="s">
        <v>223</v>
      </c>
      <c r="S5249" s="345" t="s">
        <v>224</v>
      </c>
    </row>
    <row r="5250" spans="1:19" x14ac:dyDescent="0.25">
      <c r="A5250" s="311"/>
      <c r="B5250" s="312"/>
      <c r="C5250" s="312"/>
      <c r="D5250" s="312"/>
      <c r="E5250" s="312"/>
      <c r="F5250" s="312"/>
      <c r="G5250" s="328"/>
      <c r="H5250" s="453"/>
      <c r="I5250" s="334"/>
      <c r="J5250" s="314"/>
      <c r="K5250" s="454"/>
      <c r="M5250" s="349" t="str">
        <f>N5250&amp;AS[[#This Row],[Insurer Code]]&amp;"; "&amp;O5250&amp;AS[[#This Row],[Reporting Year]]&amp;"; "&amp;P5250&amp;AS[[#This Row],[Insurance Category Code]]&amp;"; "&amp;Q5250&amp;AS[[#This Row],[Large Provider Entity Code]]&amp;"; "&amp;R5250&amp;AS[[#This Row],[Age Band Code]]&amp;"; "&amp;S5250&amp;AS[[#This Row],[Sex Code]]</f>
        <v xml:space="preserve">Insurer Code ; Reporting Year ; Insurance Category Code ; Large Provider Entity Code ; Age Band Code ; Sex Code </v>
      </c>
      <c r="N5250" s="345" t="s">
        <v>207</v>
      </c>
      <c r="O5250" s="345" t="s">
        <v>208</v>
      </c>
      <c r="P5250" s="345" t="s">
        <v>209</v>
      </c>
      <c r="Q5250" s="345" t="s">
        <v>210</v>
      </c>
      <c r="R5250" s="345" t="s">
        <v>223</v>
      </c>
      <c r="S5250" s="345" t="s">
        <v>224</v>
      </c>
    </row>
    <row r="5251" spans="1:19" x14ac:dyDescent="0.25">
      <c r="A5251" s="311"/>
      <c r="B5251" s="312"/>
      <c r="C5251" s="312"/>
      <c r="D5251" s="312"/>
      <c r="E5251" s="312"/>
      <c r="F5251" s="312"/>
      <c r="G5251" s="328"/>
      <c r="H5251" s="453"/>
      <c r="I5251" s="334"/>
      <c r="J5251" s="314"/>
      <c r="K5251" s="454"/>
      <c r="M5251" s="349" t="str">
        <f>N5251&amp;AS[[#This Row],[Insurer Code]]&amp;"; "&amp;O5251&amp;AS[[#This Row],[Reporting Year]]&amp;"; "&amp;P5251&amp;AS[[#This Row],[Insurance Category Code]]&amp;"; "&amp;Q5251&amp;AS[[#This Row],[Large Provider Entity Code]]&amp;"; "&amp;R5251&amp;AS[[#This Row],[Age Band Code]]&amp;"; "&amp;S5251&amp;AS[[#This Row],[Sex Code]]</f>
        <v xml:space="preserve">Insurer Code ; Reporting Year ; Insurance Category Code ; Large Provider Entity Code ; Age Band Code ; Sex Code </v>
      </c>
      <c r="N5251" s="345" t="s">
        <v>207</v>
      </c>
      <c r="O5251" s="345" t="s">
        <v>208</v>
      </c>
      <c r="P5251" s="345" t="s">
        <v>209</v>
      </c>
      <c r="Q5251" s="345" t="s">
        <v>210</v>
      </c>
      <c r="R5251" s="345" t="s">
        <v>223</v>
      </c>
      <c r="S5251" s="345" t="s">
        <v>224</v>
      </c>
    </row>
    <row r="5252" spans="1:19" x14ac:dyDescent="0.25">
      <c r="A5252" s="311"/>
      <c r="B5252" s="312"/>
      <c r="C5252" s="312"/>
      <c r="D5252" s="312"/>
      <c r="E5252" s="312"/>
      <c r="F5252" s="312"/>
      <c r="G5252" s="328"/>
      <c r="H5252" s="453"/>
      <c r="I5252" s="334"/>
      <c r="J5252" s="314"/>
      <c r="K5252" s="454"/>
      <c r="M5252" s="349" t="str">
        <f>N5252&amp;AS[[#This Row],[Insurer Code]]&amp;"; "&amp;O5252&amp;AS[[#This Row],[Reporting Year]]&amp;"; "&amp;P5252&amp;AS[[#This Row],[Insurance Category Code]]&amp;"; "&amp;Q5252&amp;AS[[#This Row],[Large Provider Entity Code]]&amp;"; "&amp;R5252&amp;AS[[#This Row],[Age Band Code]]&amp;"; "&amp;S5252&amp;AS[[#This Row],[Sex Code]]</f>
        <v xml:space="preserve">Insurer Code ; Reporting Year ; Insurance Category Code ; Large Provider Entity Code ; Age Band Code ; Sex Code </v>
      </c>
      <c r="N5252" s="345" t="s">
        <v>207</v>
      </c>
      <c r="O5252" s="345" t="s">
        <v>208</v>
      </c>
      <c r="P5252" s="345" t="s">
        <v>209</v>
      </c>
      <c r="Q5252" s="345" t="s">
        <v>210</v>
      </c>
      <c r="R5252" s="345" t="s">
        <v>223</v>
      </c>
      <c r="S5252" s="345" t="s">
        <v>224</v>
      </c>
    </row>
    <row r="5253" spans="1:19" x14ac:dyDescent="0.25">
      <c r="A5253" s="311"/>
      <c r="B5253" s="312"/>
      <c r="C5253" s="312"/>
      <c r="D5253" s="312"/>
      <c r="E5253" s="312"/>
      <c r="F5253" s="312"/>
      <c r="G5253" s="328"/>
      <c r="H5253" s="453"/>
      <c r="I5253" s="334"/>
      <c r="J5253" s="314"/>
      <c r="K5253" s="454"/>
      <c r="M5253" s="349" t="str">
        <f>N5253&amp;AS[[#This Row],[Insurer Code]]&amp;"; "&amp;O5253&amp;AS[[#This Row],[Reporting Year]]&amp;"; "&amp;P5253&amp;AS[[#This Row],[Insurance Category Code]]&amp;"; "&amp;Q5253&amp;AS[[#This Row],[Large Provider Entity Code]]&amp;"; "&amp;R5253&amp;AS[[#This Row],[Age Band Code]]&amp;"; "&amp;S5253&amp;AS[[#This Row],[Sex Code]]</f>
        <v xml:space="preserve">Insurer Code ; Reporting Year ; Insurance Category Code ; Large Provider Entity Code ; Age Band Code ; Sex Code </v>
      </c>
      <c r="N5253" s="345" t="s">
        <v>207</v>
      </c>
      <c r="O5253" s="345" t="s">
        <v>208</v>
      </c>
      <c r="P5253" s="345" t="s">
        <v>209</v>
      </c>
      <c r="Q5253" s="345" t="s">
        <v>210</v>
      </c>
      <c r="R5253" s="345" t="s">
        <v>223</v>
      </c>
      <c r="S5253" s="345" t="s">
        <v>224</v>
      </c>
    </row>
    <row r="5254" spans="1:19" x14ac:dyDescent="0.25">
      <c r="A5254" s="311"/>
      <c r="B5254" s="312"/>
      <c r="C5254" s="312"/>
      <c r="D5254" s="312"/>
      <c r="E5254" s="312"/>
      <c r="F5254" s="312"/>
      <c r="G5254" s="328"/>
      <c r="H5254" s="453"/>
      <c r="I5254" s="334"/>
      <c r="J5254" s="314"/>
      <c r="K5254" s="454"/>
      <c r="M5254" s="349" t="str">
        <f>N5254&amp;AS[[#This Row],[Insurer Code]]&amp;"; "&amp;O5254&amp;AS[[#This Row],[Reporting Year]]&amp;"; "&amp;P5254&amp;AS[[#This Row],[Insurance Category Code]]&amp;"; "&amp;Q5254&amp;AS[[#This Row],[Large Provider Entity Code]]&amp;"; "&amp;R5254&amp;AS[[#This Row],[Age Band Code]]&amp;"; "&amp;S5254&amp;AS[[#This Row],[Sex Code]]</f>
        <v xml:space="preserve">Insurer Code ; Reporting Year ; Insurance Category Code ; Large Provider Entity Code ; Age Band Code ; Sex Code </v>
      </c>
      <c r="N5254" s="345" t="s">
        <v>207</v>
      </c>
      <c r="O5254" s="345" t="s">
        <v>208</v>
      </c>
      <c r="P5254" s="345" t="s">
        <v>209</v>
      </c>
      <c r="Q5254" s="345" t="s">
        <v>210</v>
      </c>
      <c r="R5254" s="345" t="s">
        <v>223</v>
      </c>
      <c r="S5254" s="345" t="s">
        <v>224</v>
      </c>
    </row>
    <row r="5255" spans="1:19" x14ac:dyDescent="0.25">
      <c r="A5255" s="311"/>
      <c r="B5255" s="312"/>
      <c r="C5255" s="312"/>
      <c r="D5255" s="312"/>
      <c r="E5255" s="312"/>
      <c r="F5255" s="312"/>
      <c r="G5255" s="328"/>
      <c r="H5255" s="453"/>
      <c r="I5255" s="334"/>
      <c r="J5255" s="314"/>
      <c r="K5255" s="454"/>
      <c r="M5255" s="349" t="str">
        <f>N5255&amp;AS[[#This Row],[Insurer Code]]&amp;"; "&amp;O5255&amp;AS[[#This Row],[Reporting Year]]&amp;"; "&amp;P5255&amp;AS[[#This Row],[Insurance Category Code]]&amp;"; "&amp;Q5255&amp;AS[[#This Row],[Large Provider Entity Code]]&amp;"; "&amp;R5255&amp;AS[[#This Row],[Age Band Code]]&amp;"; "&amp;S5255&amp;AS[[#This Row],[Sex Code]]</f>
        <v xml:space="preserve">Insurer Code ; Reporting Year ; Insurance Category Code ; Large Provider Entity Code ; Age Band Code ; Sex Code </v>
      </c>
      <c r="N5255" s="345" t="s">
        <v>207</v>
      </c>
      <c r="O5255" s="345" t="s">
        <v>208</v>
      </c>
      <c r="P5255" s="345" t="s">
        <v>209</v>
      </c>
      <c r="Q5255" s="345" t="s">
        <v>210</v>
      </c>
      <c r="R5255" s="345" t="s">
        <v>223</v>
      </c>
      <c r="S5255" s="345" t="s">
        <v>224</v>
      </c>
    </row>
    <row r="5256" spans="1:19" x14ac:dyDescent="0.25">
      <c r="A5256" s="311"/>
      <c r="B5256" s="312"/>
      <c r="C5256" s="312"/>
      <c r="D5256" s="312"/>
      <c r="E5256" s="312"/>
      <c r="F5256" s="312"/>
      <c r="G5256" s="328"/>
      <c r="H5256" s="453"/>
      <c r="I5256" s="334"/>
      <c r="J5256" s="314"/>
      <c r="K5256" s="454"/>
      <c r="M5256" s="349" t="str">
        <f>N5256&amp;AS[[#This Row],[Insurer Code]]&amp;"; "&amp;O5256&amp;AS[[#This Row],[Reporting Year]]&amp;"; "&amp;P5256&amp;AS[[#This Row],[Insurance Category Code]]&amp;"; "&amp;Q5256&amp;AS[[#This Row],[Large Provider Entity Code]]&amp;"; "&amp;R5256&amp;AS[[#This Row],[Age Band Code]]&amp;"; "&amp;S5256&amp;AS[[#This Row],[Sex Code]]</f>
        <v xml:space="preserve">Insurer Code ; Reporting Year ; Insurance Category Code ; Large Provider Entity Code ; Age Band Code ; Sex Code </v>
      </c>
      <c r="N5256" s="345" t="s">
        <v>207</v>
      </c>
      <c r="O5256" s="345" t="s">
        <v>208</v>
      </c>
      <c r="P5256" s="345" t="s">
        <v>209</v>
      </c>
      <c r="Q5256" s="345" t="s">
        <v>210</v>
      </c>
      <c r="R5256" s="345" t="s">
        <v>223</v>
      </c>
      <c r="S5256" s="345" t="s">
        <v>224</v>
      </c>
    </row>
    <row r="5257" spans="1:19" x14ac:dyDescent="0.25">
      <c r="A5257" s="311"/>
      <c r="B5257" s="312"/>
      <c r="C5257" s="312"/>
      <c r="D5257" s="312"/>
      <c r="E5257" s="312"/>
      <c r="F5257" s="312"/>
      <c r="G5257" s="328"/>
      <c r="H5257" s="453"/>
      <c r="I5257" s="334"/>
      <c r="J5257" s="314"/>
      <c r="K5257" s="454"/>
      <c r="M5257" s="349" t="str">
        <f>N5257&amp;AS[[#This Row],[Insurer Code]]&amp;"; "&amp;O5257&amp;AS[[#This Row],[Reporting Year]]&amp;"; "&amp;P5257&amp;AS[[#This Row],[Insurance Category Code]]&amp;"; "&amp;Q5257&amp;AS[[#This Row],[Large Provider Entity Code]]&amp;"; "&amp;R5257&amp;AS[[#This Row],[Age Band Code]]&amp;"; "&amp;S5257&amp;AS[[#This Row],[Sex Code]]</f>
        <v xml:space="preserve">Insurer Code ; Reporting Year ; Insurance Category Code ; Large Provider Entity Code ; Age Band Code ; Sex Code </v>
      </c>
      <c r="N5257" s="345" t="s">
        <v>207</v>
      </c>
      <c r="O5257" s="345" t="s">
        <v>208</v>
      </c>
      <c r="P5257" s="345" t="s">
        <v>209</v>
      </c>
      <c r="Q5257" s="345" t="s">
        <v>210</v>
      </c>
      <c r="R5257" s="345" t="s">
        <v>223</v>
      </c>
      <c r="S5257" s="345" t="s">
        <v>224</v>
      </c>
    </row>
    <row r="5258" spans="1:19" x14ac:dyDescent="0.25">
      <c r="A5258" s="311"/>
      <c r="B5258" s="312"/>
      <c r="C5258" s="312"/>
      <c r="D5258" s="312"/>
      <c r="E5258" s="312"/>
      <c r="F5258" s="312"/>
      <c r="G5258" s="328"/>
      <c r="H5258" s="453"/>
      <c r="I5258" s="334"/>
      <c r="J5258" s="314"/>
      <c r="K5258" s="454"/>
      <c r="M5258" s="349" t="str">
        <f>N5258&amp;AS[[#This Row],[Insurer Code]]&amp;"; "&amp;O5258&amp;AS[[#This Row],[Reporting Year]]&amp;"; "&amp;P5258&amp;AS[[#This Row],[Insurance Category Code]]&amp;"; "&amp;Q5258&amp;AS[[#This Row],[Large Provider Entity Code]]&amp;"; "&amp;R5258&amp;AS[[#This Row],[Age Band Code]]&amp;"; "&amp;S5258&amp;AS[[#This Row],[Sex Code]]</f>
        <v xml:space="preserve">Insurer Code ; Reporting Year ; Insurance Category Code ; Large Provider Entity Code ; Age Band Code ; Sex Code </v>
      </c>
      <c r="N5258" s="345" t="s">
        <v>207</v>
      </c>
      <c r="O5258" s="345" t="s">
        <v>208</v>
      </c>
      <c r="P5258" s="345" t="s">
        <v>209</v>
      </c>
      <c r="Q5258" s="345" t="s">
        <v>210</v>
      </c>
      <c r="R5258" s="345" t="s">
        <v>223</v>
      </c>
      <c r="S5258" s="345" t="s">
        <v>224</v>
      </c>
    </row>
    <row r="5259" spans="1:19" x14ac:dyDescent="0.25">
      <c r="A5259" s="311"/>
      <c r="B5259" s="312"/>
      <c r="C5259" s="312"/>
      <c r="D5259" s="312"/>
      <c r="E5259" s="312"/>
      <c r="F5259" s="312"/>
      <c r="G5259" s="328"/>
      <c r="H5259" s="453"/>
      <c r="I5259" s="334"/>
      <c r="J5259" s="314"/>
      <c r="K5259" s="454"/>
      <c r="M5259" s="349" t="str">
        <f>N5259&amp;AS[[#This Row],[Insurer Code]]&amp;"; "&amp;O5259&amp;AS[[#This Row],[Reporting Year]]&amp;"; "&amp;P5259&amp;AS[[#This Row],[Insurance Category Code]]&amp;"; "&amp;Q5259&amp;AS[[#This Row],[Large Provider Entity Code]]&amp;"; "&amp;R5259&amp;AS[[#This Row],[Age Band Code]]&amp;"; "&amp;S5259&amp;AS[[#This Row],[Sex Code]]</f>
        <v xml:space="preserve">Insurer Code ; Reporting Year ; Insurance Category Code ; Large Provider Entity Code ; Age Band Code ; Sex Code </v>
      </c>
      <c r="N5259" s="345" t="s">
        <v>207</v>
      </c>
      <c r="O5259" s="345" t="s">
        <v>208</v>
      </c>
      <c r="P5259" s="345" t="s">
        <v>209</v>
      </c>
      <c r="Q5259" s="345" t="s">
        <v>210</v>
      </c>
      <c r="R5259" s="345" t="s">
        <v>223</v>
      </c>
      <c r="S5259" s="345" t="s">
        <v>224</v>
      </c>
    </row>
    <row r="5260" spans="1:19" x14ac:dyDescent="0.25">
      <c r="A5260" s="311"/>
      <c r="B5260" s="312"/>
      <c r="C5260" s="312"/>
      <c r="D5260" s="312"/>
      <c r="E5260" s="312"/>
      <c r="F5260" s="312"/>
      <c r="G5260" s="328"/>
      <c r="H5260" s="453"/>
      <c r="I5260" s="334"/>
      <c r="J5260" s="314"/>
      <c r="K5260" s="454"/>
      <c r="M5260" s="349" t="str">
        <f>N5260&amp;AS[[#This Row],[Insurer Code]]&amp;"; "&amp;O5260&amp;AS[[#This Row],[Reporting Year]]&amp;"; "&amp;P5260&amp;AS[[#This Row],[Insurance Category Code]]&amp;"; "&amp;Q5260&amp;AS[[#This Row],[Large Provider Entity Code]]&amp;"; "&amp;R5260&amp;AS[[#This Row],[Age Band Code]]&amp;"; "&amp;S5260&amp;AS[[#This Row],[Sex Code]]</f>
        <v xml:space="preserve">Insurer Code ; Reporting Year ; Insurance Category Code ; Large Provider Entity Code ; Age Band Code ; Sex Code </v>
      </c>
      <c r="N5260" s="345" t="s">
        <v>207</v>
      </c>
      <c r="O5260" s="345" t="s">
        <v>208</v>
      </c>
      <c r="P5260" s="345" t="s">
        <v>209</v>
      </c>
      <c r="Q5260" s="345" t="s">
        <v>210</v>
      </c>
      <c r="R5260" s="345" t="s">
        <v>223</v>
      </c>
      <c r="S5260" s="345" t="s">
        <v>224</v>
      </c>
    </row>
    <row r="5261" spans="1:19" x14ac:dyDescent="0.25">
      <c r="A5261" s="311"/>
      <c r="B5261" s="312"/>
      <c r="C5261" s="312"/>
      <c r="D5261" s="312"/>
      <c r="E5261" s="312"/>
      <c r="F5261" s="312"/>
      <c r="G5261" s="328"/>
      <c r="H5261" s="453"/>
      <c r="I5261" s="334"/>
      <c r="J5261" s="314"/>
      <c r="K5261" s="454"/>
      <c r="M5261" s="349" t="str">
        <f>N5261&amp;AS[[#This Row],[Insurer Code]]&amp;"; "&amp;O5261&amp;AS[[#This Row],[Reporting Year]]&amp;"; "&amp;P5261&amp;AS[[#This Row],[Insurance Category Code]]&amp;"; "&amp;Q5261&amp;AS[[#This Row],[Large Provider Entity Code]]&amp;"; "&amp;R5261&amp;AS[[#This Row],[Age Band Code]]&amp;"; "&amp;S5261&amp;AS[[#This Row],[Sex Code]]</f>
        <v xml:space="preserve">Insurer Code ; Reporting Year ; Insurance Category Code ; Large Provider Entity Code ; Age Band Code ; Sex Code </v>
      </c>
      <c r="N5261" s="345" t="s">
        <v>207</v>
      </c>
      <c r="O5261" s="345" t="s">
        <v>208</v>
      </c>
      <c r="P5261" s="345" t="s">
        <v>209</v>
      </c>
      <c r="Q5261" s="345" t="s">
        <v>210</v>
      </c>
      <c r="R5261" s="345" t="s">
        <v>223</v>
      </c>
      <c r="S5261" s="345" t="s">
        <v>224</v>
      </c>
    </row>
    <row r="5262" spans="1:19" x14ac:dyDescent="0.25">
      <c r="A5262" s="311"/>
      <c r="B5262" s="312"/>
      <c r="C5262" s="312"/>
      <c r="D5262" s="312"/>
      <c r="E5262" s="312"/>
      <c r="F5262" s="312"/>
      <c r="G5262" s="328"/>
      <c r="H5262" s="453"/>
      <c r="I5262" s="334"/>
      <c r="J5262" s="314"/>
      <c r="K5262" s="454"/>
      <c r="M5262" s="349" t="str">
        <f>N5262&amp;AS[[#This Row],[Insurer Code]]&amp;"; "&amp;O5262&amp;AS[[#This Row],[Reporting Year]]&amp;"; "&amp;P5262&amp;AS[[#This Row],[Insurance Category Code]]&amp;"; "&amp;Q5262&amp;AS[[#This Row],[Large Provider Entity Code]]&amp;"; "&amp;R5262&amp;AS[[#This Row],[Age Band Code]]&amp;"; "&amp;S5262&amp;AS[[#This Row],[Sex Code]]</f>
        <v xml:space="preserve">Insurer Code ; Reporting Year ; Insurance Category Code ; Large Provider Entity Code ; Age Band Code ; Sex Code </v>
      </c>
      <c r="N5262" s="345" t="s">
        <v>207</v>
      </c>
      <c r="O5262" s="345" t="s">
        <v>208</v>
      </c>
      <c r="P5262" s="345" t="s">
        <v>209</v>
      </c>
      <c r="Q5262" s="345" t="s">
        <v>210</v>
      </c>
      <c r="R5262" s="345" t="s">
        <v>223</v>
      </c>
      <c r="S5262" s="345" t="s">
        <v>224</v>
      </c>
    </row>
    <row r="5263" spans="1:19" x14ac:dyDescent="0.25">
      <c r="A5263" s="311"/>
      <c r="B5263" s="312"/>
      <c r="C5263" s="312"/>
      <c r="D5263" s="312"/>
      <c r="E5263" s="312"/>
      <c r="F5263" s="312"/>
      <c r="G5263" s="328"/>
      <c r="H5263" s="453"/>
      <c r="I5263" s="334"/>
      <c r="J5263" s="314"/>
      <c r="K5263" s="454"/>
      <c r="M5263" s="349" t="str">
        <f>N5263&amp;AS[[#This Row],[Insurer Code]]&amp;"; "&amp;O5263&amp;AS[[#This Row],[Reporting Year]]&amp;"; "&amp;P5263&amp;AS[[#This Row],[Insurance Category Code]]&amp;"; "&amp;Q5263&amp;AS[[#This Row],[Large Provider Entity Code]]&amp;"; "&amp;R5263&amp;AS[[#This Row],[Age Band Code]]&amp;"; "&amp;S5263&amp;AS[[#This Row],[Sex Code]]</f>
        <v xml:space="preserve">Insurer Code ; Reporting Year ; Insurance Category Code ; Large Provider Entity Code ; Age Band Code ; Sex Code </v>
      </c>
      <c r="N5263" s="345" t="s">
        <v>207</v>
      </c>
      <c r="O5263" s="345" t="s">
        <v>208</v>
      </c>
      <c r="P5263" s="345" t="s">
        <v>209</v>
      </c>
      <c r="Q5263" s="345" t="s">
        <v>210</v>
      </c>
      <c r="R5263" s="345" t="s">
        <v>223</v>
      </c>
      <c r="S5263" s="345" t="s">
        <v>224</v>
      </c>
    </row>
    <row r="5264" spans="1:19" x14ac:dyDescent="0.25">
      <c r="A5264" s="311"/>
      <c r="B5264" s="312"/>
      <c r="C5264" s="312"/>
      <c r="D5264" s="312"/>
      <c r="E5264" s="312"/>
      <c r="F5264" s="312"/>
      <c r="G5264" s="328"/>
      <c r="H5264" s="453"/>
      <c r="I5264" s="334"/>
      <c r="J5264" s="314"/>
      <c r="K5264" s="454"/>
      <c r="M5264" s="349" t="str">
        <f>N5264&amp;AS[[#This Row],[Insurer Code]]&amp;"; "&amp;O5264&amp;AS[[#This Row],[Reporting Year]]&amp;"; "&amp;P5264&amp;AS[[#This Row],[Insurance Category Code]]&amp;"; "&amp;Q5264&amp;AS[[#This Row],[Large Provider Entity Code]]&amp;"; "&amp;R5264&amp;AS[[#This Row],[Age Band Code]]&amp;"; "&amp;S5264&amp;AS[[#This Row],[Sex Code]]</f>
        <v xml:space="preserve">Insurer Code ; Reporting Year ; Insurance Category Code ; Large Provider Entity Code ; Age Band Code ; Sex Code </v>
      </c>
      <c r="N5264" s="345" t="s">
        <v>207</v>
      </c>
      <c r="O5264" s="345" t="s">
        <v>208</v>
      </c>
      <c r="P5264" s="345" t="s">
        <v>209</v>
      </c>
      <c r="Q5264" s="345" t="s">
        <v>210</v>
      </c>
      <c r="R5264" s="345" t="s">
        <v>223</v>
      </c>
      <c r="S5264" s="345" t="s">
        <v>224</v>
      </c>
    </row>
    <row r="5265" spans="1:19" x14ac:dyDescent="0.25">
      <c r="A5265" s="311"/>
      <c r="B5265" s="312"/>
      <c r="C5265" s="312"/>
      <c r="D5265" s="312"/>
      <c r="E5265" s="312"/>
      <c r="F5265" s="312"/>
      <c r="G5265" s="328"/>
      <c r="H5265" s="453"/>
      <c r="I5265" s="334"/>
      <c r="J5265" s="314"/>
      <c r="K5265" s="454"/>
      <c r="M5265" s="349" t="str">
        <f>N5265&amp;AS[[#This Row],[Insurer Code]]&amp;"; "&amp;O5265&amp;AS[[#This Row],[Reporting Year]]&amp;"; "&amp;P5265&amp;AS[[#This Row],[Insurance Category Code]]&amp;"; "&amp;Q5265&amp;AS[[#This Row],[Large Provider Entity Code]]&amp;"; "&amp;R5265&amp;AS[[#This Row],[Age Band Code]]&amp;"; "&amp;S5265&amp;AS[[#This Row],[Sex Code]]</f>
        <v xml:space="preserve">Insurer Code ; Reporting Year ; Insurance Category Code ; Large Provider Entity Code ; Age Band Code ; Sex Code </v>
      </c>
      <c r="N5265" s="345" t="s">
        <v>207</v>
      </c>
      <c r="O5265" s="345" t="s">
        <v>208</v>
      </c>
      <c r="P5265" s="345" t="s">
        <v>209</v>
      </c>
      <c r="Q5265" s="345" t="s">
        <v>210</v>
      </c>
      <c r="R5265" s="345" t="s">
        <v>223</v>
      </c>
      <c r="S5265" s="345" t="s">
        <v>224</v>
      </c>
    </row>
    <row r="5266" spans="1:19" x14ac:dyDescent="0.25">
      <c r="A5266" s="311"/>
      <c r="B5266" s="312"/>
      <c r="C5266" s="312"/>
      <c r="D5266" s="312"/>
      <c r="E5266" s="312"/>
      <c r="F5266" s="312"/>
      <c r="G5266" s="328"/>
      <c r="H5266" s="453"/>
      <c r="I5266" s="334"/>
      <c r="J5266" s="314"/>
      <c r="K5266" s="454"/>
      <c r="M5266" s="349" t="str">
        <f>N5266&amp;AS[[#This Row],[Insurer Code]]&amp;"; "&amp;O5266&amp;AS[[#This Row],[Reporting Year]]&amp;"; "&amp;P5266&amp;AS[[#This Row],[Insurance Category Code]]&amp;"; "&amp;Q5266&amp;AS[[#This Row],[Large Provider Entity Code]]&amp;"; "&amp;R5266&amp;AS[[#This Row],[Age Band Code]]&amp;"; "&amp;S5266&amp;AS[[#This Row],[Sex Code]]</f>
        <v xml:space="preserve">Insurer Code ; Reporting Year ; Insurance Category Code ; Large Provider Entity Code ; Age Band Code ; Sex Code </v>
      </c>
      <c r="N5266" s="345" t="s">
        <v>207</v>
      </c>
      <c r="O5266" s="345" t="s">
        <v>208</v>
      </c>
      <c r="P5266" s="345" t="s">
        <v>209</v>
      </c>
      <c r="Q5266" s="345" t="s">
        <v>210</v>
      </c>
      <c r="R5266" s="345" t="s">
        <v>223</v>
      </c>
      <c r="S5266" s="345" t="s">
        <v>224</v>
      </c>
    </row>
    <row r="5267" spans="1:19" x14ac:dyDescent="0.25">
      <c r="A5267" s="311"/>
      <c r="B5267" s="312"/>
      <c r="C5267" s="312"/>
      <c r="D5267" s="312"/>
      <c r="E5267" s="312"/>
      <c r="F5267" s="312"/>
      <c r="G5267" s="328"/>
      <c r="H5267" s="453"/>
      <c r="I5267" s="334"/>
      <c r="J5267" s="314"/>
      <c r="K5267" s="454"/>
      <c r="M5267" s="349" t="str">
        <f>N5267&amp;AS[[#This Row],[Insurer Code]]&amp;"; "&amp;O5267&amp;AS[[#This Row],[Reporting Year]]&amp;"; "&amp;P5267&amp;AS[[#This Row],[Insurance Category Code]]&amp;"; "&amp;Q5267&amp;AS[[#This Row],[Large Provider Entity Code]]&amp;"; "&amp;R5267&amp;AS[[#This Row],[Age Band Code]]&amp;"; "&amp;S5267&amp;AS[[#This Row],[Sex Code]]</f>
        <v xml:space="preserve">Insurer Code ; Reporting Year ; Insurance Category Code ; Large Provider Entity Code ; Age Band Code ; Sex Code </v>
      </c>
      <c r="N5267" s="345" t="s">
        <v>207</v>
      </c>
      <c r="O5267" s="345" t="s">
        <v>208</v>
      </c>
      <c r="P5267" s="345" t="s">
        <v>209</v>
      </c>
      <c r="Q5267" s="345" t="s">
        <v>210</v>
      </c>
      <c r="R5267" s="345" t="s">
        <v>223</v>
      </c>
      <c r="S5267" s="345" t="s">
        <v>224</v>
      </c>
    </row>
    <row r="5268" spans="1:19" x14ac:dyDescent="0.25">
      <c r="A5268" s="311"/>
      <c r="B5268" s="312"/>
      <c r="C5268" s="312"/>
      <c r="D5268" s="312"/>
      <c r="E5268" s="312"/>
      <c r="F5268" s="312"/>
      <c r="G5268" s="328"/>
      <c r="H5268" s="453"/>
      <c r="I5268" s="334"/>
      <c r="J5268" s="314"/>
      <c r="K5268" s="454"/>
      <c r="M5268" s="349" t="str">
        <f>N5268&amp;AS[[#This Row],[Insurer Code]]&amp;"; "&amp;O5268&amp;AS[[#This Row],[Reporting Year]]&amp;"; "&amp;P5268&amp;AS[[#This Row],[Insurance Category Code]]&amp;"; "&amp;Q5268&amp;AS[[#This Row],[Large Provider Entity Code]]&amp;"; "&amp;R5268&amp;AS[[#This Row],[Age Band Code]]&amp;"; "&amp;S5268&amp;AS[[#This Row],[Sex Code]]</f>
        <v xml:space="preserve">Insurer Code ; Reporting Year ; Insurance Category Code ; Large Provider Entity Code ; Age Band Code ; Sex Code </v>
      </c>
      <c r="N5268" s="345" t="s">
        <v>207</v>
      </c>
      <c r="O5268" s="345" t="s">
        <v>208</v>
      </c>
      <c r="P5268" s="345" t="s">
        <v>209</v>
      </c>
      <c r="Q5268" s="345" t="s">
        <v>210</v>
      </c>
      <c r="R5268" s="345" t="s">
        <v>223</v>
      </c>
      <c r="S5268" s="345" t="s">
        <v>224</v>
      </c>
    </row>
    <row r="5269" spans="1:19" x14ac:dyDescent="0.25">
      <c r="A5269" s="311"/>
      <c r="B5269" s="312"/>
      <c r="C5269" s="312"/>
      <c r="D5269" s="312"/>
      <c r="E5269" s="312"/>
      <c r="F5269" s="312"/>
      <c r="G5269" s="328"/>
      <c r="H5269" s="453"/>
      <c r="I5269" s="334"/>
      <c r="J5269" s="314"/>
      <c r="K5269" s="454"/>
      <c r="M5269" s="349" t="str">
        <f>N5269&amp;AS[[#This Row],[Insurer Code]]&amp;"; "&amp;O5269&amp;AS[[#This Row],[Reporting Year]]&amp;"; "&amp;P5269&amp;AS[[#This Row],[Insurance Category Code]]&amp;"; "&amp;Q5269&amp;AS[[#This Row],[Large Provider Entity Code]]&amp;"; "&amp;R5269&amp;AS[[#This Row],[Age Band Code]]&amp;"; "&amp;S5269&amp;AS[[#This Row],[Sex Code]]</f>
        <v xml:space="preserve">Insurer Code ; Reporting Year ; Insurance Category Code ; Large Provider Entity Code ; Age Band Code ; Sex Code </v>
      </c>
      <c r="N5269" s="345" t="s">
        <v>207</v>
      </c>
      <c r="O5269" s="345" t="s">
        <v>208</v>
      </c>
      <c r="P5269" s="345" t="s">
        <v>209</v>
      </c>
      <c r="Q5269" s="345" t="s">
        <v>210</v>
      </c>
      <c r="R5269" s="345" t="s">
        <v>223</v>
      </c>
      <c r="S5269" s="345" t="s">
        <v>224</v>
      </c>
    </row>
    <row r="5270" spans="1:19" x14ac:dyDescent="0.25">
      <c r="A5270" s="311"/>
      <c r="B5270" s="312"/>
      <c r="C5270" s="312"/>
      <c r="D5270" s="312"/>
      <c r="E5270" s="312"/>
      <c r="F5270" s="312"/>
      <c r="G5270" s="328"/>
      <c r="H5270" s="453"/>
      <c r="I5270" s="334"/>
      <c r="J5270" s="314"/>
      <c r="K5270" s="454"/>
      <c r="M5270" s="349" t="str">
        <f>N5270&amp;AS[[#This Row],[Insurer Code]]&amp;"; "&amp;O5270&amp;AS[[#This Row],[Reporting Year]]&amp;"; "&amp;P5270&amp;AS[[#This Row],[Insurance Category Code]]&amp;"; "&amp;Q5270&amp;AS[[#This Row],[Large Provider Entity Code]]&amp;"; "&amp;R5270&amp;AS[[#This Row],[Age Band Code]]&amp;"; "&amp;S5270&amp;AS[[#This Row],[Sex Code]]</f>
        <v xml:space="preserve">Insurer Code ; Reporting Year ; Insurance Category Code ; Large Provider Entity Code ; Age Band Code ; Sex Code </v>
      </c>
      <c r="N5270" s="345" t="s">
        <v>207</v>
      </c>
      <c r="O5270" s="345" t="s">
        <v>208</v>
      </c>
      <c r="P5270" s="345" t="s">
        <v>209</v>
      </c>
      <c r="Q5270" s="345" t="s">
        <v>210</v>
      </c>
      <c r="R5270" s="345" t="s">
        <v>223</v>
      </c>
      <c r="S5270" s="345" t="s">
        <v>224</v>
      </c>
    </row>
    <row r="5271" spans="1:19" x14ac:dyDescent="0.25">
      <c r="A5271" s="311"/>
      <c r="B5271" s="312"/>
      <c r="C5271" s="312"/>
      <c r="D5271" s="312"/>
      <c r="E5271" s="312"/>
      <c r="F5271" s="312"/>
      <c r="G5271" s="328"/>
      <c r="H5271" s="453"/>
      <c r="I5271" s="334"/>
      <c r="J5271" s="314"/>
      <c r="K5271" s="454"/>
      <c r="M5271" s="349" t="str">
        <f>N5271&amp;AS[[#This Row],[Insurer Code]]&amp;"; "&amp;O5271&amp;AS[[#This Row],[Reporting Year]]&amp;"; "&amp;P5271&amp;AS[[#This Row],[Insurance Category Code]]&amp;"; "&amp;Q5271&amp;AS[[#This Row],[Large Provider Entity Code]]&amp;"; "&amp;R5271&amp;AS[[#This Row],[Age Band Code]]&amp;"; "&amp;S5271&amp;AS[[#This Row],[Sex Code]]</f>
        <v xml:space="preserve">Insurer Code ; Reporting Year ; Insurance Category Code ; Large Provider Entity Code ; Age Band Code ; Sex Code </v>
      </c>
      <c r="N5271" s="345" t="s">
        <v>207</v>
      </c>
      <c r="O5271" s="345" t="s">
        <v>208</v>
      </c>
      <c r="P5271" s="345" t="s">
        <v>209</v>
      </c>
      <c r="Q5271" s="345" t="s">
        <v>210</v>
      </c>
      <c r="R5271" s="345" t="s">
        <v>223</v>
      </c>
      <c r="S5271" s="345" t="s">
        <v>224</v>
      </c>
    </row>
    <row r="5272" spans="1:19" x14ac:dyDescent="0.25">
      <c r="A5272" s="311"/>
      <c r="B5272" s="312"/>
      <c r="C5272" s="312"/>
      <c r="D5272" s="312"/>
      <c r="E5272" s="312"/>
      <c r="F5272" s="312"/>
      <c r="G5272" s="328"/>
      <c r="H5272" s="453"/>
      <c r="I5272" s="334"/>
      <c r="J5272" s="314"/>
      <c r="K5272" s="454"/>
      <c r="M5272" s="349" t="str">
        <f>N5272&amp;AS[[#This Row],[Insurer Code]]&amp;"; "&amp;O5272&amp;AS[[#This Row],[Reporting Year]]&amp;"; "&amp;P5272&amp;AS[[#This Row],[Insurance Category Code]]&amp;"; "&amp;Q5272&amp;AS[[#This Row],[Large Provider Entity Code]]&amp;"; "&amp;R5272&amp;AS[[#This Row],[Age Band Code]]&amp;"; "&amp;S5272&amp;AS[[#This Row],[Sex Code]]</f>
        <v xml:space="preserve">Insurer Code ; Reporting Year ; Insurance Category Code ; Large Provider Entity Code ; Age Band Code ; Sex Code </v>
      </c>
      <c r="N5272" s="345" t="s">
        <v>207</v>
      </c>
      <c r="O5272" s="345" t="s">
        <v>208</v>
      </c>
      <c r="P5272" s="345" t="s">
        <v>209</v>
      </c>
      <c r="Q5272" s="345" t="s">
        <v>210</v>
      </c>
      <c r="R5272" s="345" t="s">
        <v>223</v>
      </c>
      <c r="S5272" s="345" t="s">
        <v>224</v>
      </c>
    </row>
    <row r="5273" spans="1:19" x14ac:dyDescent="0.25">
      <c r="A5273" s="311"/>
      <c r="B5273" s="312"/>
      <c r="C5273" s="312"/>
      <c r="D5273" s="312"/>
      <c r="E5273" s="312"/>
      <c r="F5273" s="312"/>
      <c r="G5273" s="328"/>
      <c r="H5273" s="453"/>
      <c r="I5273" s="334"/>
      <c r="J5273" s="314"/>
      <c r="K5273" s="454"/>
      <c r="M5273" s="349" t="str">
        <f>N5273&amp;AS[[#This Row],[Insurer Code]]&amp;"; "&amp;O5273&amp;AS[[#This Row],[Reporting Year]]&amp;"; "&amp;P5273&amp;AS[[#This Row],[Insurance Category Code]]&amp;"; "&amp;Q5273&amp;AS[[#This Row],[Large Provider Entity Code]]&amp;"; "&amp;R5273&amp;AS[[#This Row],[Age Band Code]]&amp;"; "&amp;S5273&amp;AS[[#This Row],[Sex Code]]</f>
        <v xml:space="preserve">Insurer Code ; Reporting Year ; Insurance Category Code ; Large Provider Entity Code ; Age Band Code ; Sex Code </v>
      </c>
      <c r="N5273" s="345" t="s">
        <v>207</v>
      </c>
      <c r="O5273" s="345" t="s">
        <v>208</v>
      </c>
      <c r="P5273" s="345" t="s">
        <v>209</v>
      </c>
      <c r="Q5273" s="345" t="s">
        <v>210</v>
      </c>
      <c r="R5273" s="345" t="s">
        <v>223</v>
      </c>
      <c r="S5273" s="345" t="s">
        <v>224</v>
      </c>
    </row>
    <row r="5274" spans="1:19" x14ac:dyDescent="0.25">
      <c r="A5274" s="311"/>
      <c r="B5274" s="312"/>
      <c r="C5274" s="312"/>
      <c r="D5274" s="312"/>
      <c r="E5274" s="312"/>
      <c r="F5274" s="312"/>
      <c r="G5274" s="328"/>
      <c r="H5274" s="453"/>
      <c r="I5274" s="334"/>
      <c r="J5274" s="314"/>
      <c r="K5274" s="454"/>
      <c r="M5274" s="349" t="str">
        <f>N5274&amp;AS[[#This Row],[Insurer Code]]&amp;"; "&amp;O5274&amp;AS[[#This Row],[Reporting Year]]&amp;"; "&amp;P5274&amp;AS[[#This Row],[Insurance Category Code]]&amp;"; "&amp;Q5274&amp;AS[[#This Row],[Large Provider Entity Code]]&amp;"; "&amp;R5274&amp;AS[[#This Row],[Age Band Code]]&amp;"; "&amp;S5274&amp;AS[[#This Row],[Sex Code]]</f>
        <v xml:space="preserve">Insurer Code ; Reporting Year ; Insurance Category Code ; Large Provider Entity Code ; Age Band Code ; Sex Code </v>
      </c>
      <c r="N5274" s="345" t="s">
        <v>207</v>
      </c>
      <c r="O5274" s="345" t="s">
        <v>208</v>
      </c>
      <c r="P5274" s="345" t="s">
        <v>209</v>
      </c>
      <c r="Q5274" s="345" t="s">
        <v>210</v>
      </c>
      <c r="R5274" s="345" t="s">
        <v>223</v>
      </c>
      <c r="S5274" s="345" t="s">
        <v>224</v>
      </c>
    </row>
    <row r="5275" spans="1:19" x14ac:dyDescent="0.25">
      <c r="A5275" s="311"/>
      <c r="B5275" s="312"/>
      <c r="C5275" s="312"/>
      <c r="D5275" s="312"/>
      <c r="E5275" s="312"/>
      <c r="F5275" s="312"/>
      <c r="G5275" s="328"/>
      <c r="H5275" s="453"/>
      <c r="I5275" s="334"/>
      <c r="J5275" s="314"/>
      <c r="K5275" s="454"/>
      <c r="M5275" s="349" t="str">
        <f>N5275&amp;AS[[#This Row],[Insurer Code]]&amp;"; "&amp;O5275&amp;AS[[#This Row],[Reporting Year]]&amp;"; "&amp;P5275&amp;AS[[#This Row],[Insurance Category Code]]&amp;"; "&amp;Q5275&amp;AS[[#This Row],[Large Provider Entity Code]]&amp;"; "&amp;R5275&amp;AS[[#This Row],[Age Band Code]]&amp;"; "&amp;S5275&amp;AS[[#This Row],[Sex Code]]</f>
        <v xml:space="preserve">Insurer Code ; Reporting Year ; Insurance Category Code ; Large Provider Entity Code ; Age Band Code ; Sex Code </v>
      </c>
      <c r="N5275" s="345" t="s">
        <v>207</v>
      </c>
      <c r="O5275" s="345" t="s">
        <v>208</v>
      </c>
      <c r="P5275" s="345" t="s">
        <v>209</v>
      </c>
      <c r="Q5275" s="345" t="s">
        <v>210</v>
      </c>
      <c r="R5275" s="345" t="s">
        <v>223</v>
      </c>
      <c r="S5275" s="345" t="s">
        <v>224</v>
      </c>
    </row>
    <row r="5276" spans="1:19" x14ac:dyDescent="0.25">
      <c r="A5276" s="311"/>
      <c r="B5276" s="312"/>
      <c r="C5276" s="312"/>
      <c r="D5276" s="312"/>
      <c r="E5276" s="312"/>
      <c r="F5276" s="312"/>
      <c r="G5276" s="328"/>
      <c r="H5276" s="453"/>
      <c r="I5276" s="334"/>
      <c r="J5276" s="314"/>
      <c r="K5276" s="454"/>
      <c r="M5276" s="349" t="str">
        <f>N5276&amp;AS[[#This Row],[Insurer Code]]&amp;"; "&amp;O5276&amp;AS[[#This Row],[Reporting Year]]&amp;"; "&amp;P5276&amp;AS[[#This Row],[Insurance Category Code]]&amp;"; "&amp;Q5276&amp;AS[[#This Row],[Large Provider Entity Code]]&amp;"; "&amp;R5276&amp;AS[[#This Row],[Age Band Code]]&amp;"; "&amp;S5276&amp;AS[[#This Row],[Sex Code]]</f>
        <v xml:space="preserve">Insurer Code ; Reporting Year ; Insurance Category Code ; Large Provider Entity Code ; Age Band Code ; Sex Code </v>
      </c>
      <c r="N5276" s="345" t="s">
        <v>207</v>
      </c>
      <c r="O5276" s="345" t="s">
        <v>208</v>
      </c>
      <c r="P5276" s="345" t="s">
        <v>209</v>
      </c>
      <c r="Q5276" s="345" t="s">
        <v>210</v>
      </c>
      <c r="R5276" s="345" t="s">
        <v>223</v>
      </c>
      <c r="S5276" s="345" t="s">
        <v>224</v>
      </c>
    </row>
    <row r="5277" spans="1:19" x14ac:dyDescent="0.25">
      <c r="A5277" s="311"/>
      <c r="B5277" s="312"/>
      <c r="C5277" s="312"/>
      <c r="D5277" s="312"/>
      <c r="E5277" s="312"/>
      <c r="F5277" s="312"/>
      <c r="G5277" s="328"/>
      <c r="H5277" s="453"/>
      <c r="I5277" s="334"/>
      <c r="J5277" s="314"/>
      <c r="K5277" s="454"/>
      <c r="M5277" s="349" t="str">
        <f>N5277&amp;AS[[#This Row],[Insurer Code]]&amp;"; "&amp;O5277&amp;AS[[#This Row],[Reporting Year]]&amp;"; "&amp;P5277&amp;AS[[#This Row],[Insurance Category Code]]&amp;"; "&amp;Q5277&amp;AS[[#This Row],[Large Provider Entity Code]]&amp;"; "&amp;R5277&amp;AS[[#This Row],[Age Band Code]]&amp;"; "&amp;S5277&amp;AS[[#This Row],[Sex Code]]</f>
        <v xml:space="preserve">Insurer Code ; Reporting Year ; Insurance Category Code ; Large Provider Entity Code ; Age Band Code ; Sex Code </v>
      </c>
      <c r="N5277" s="345" t="s">
        <v>207</v>
      </c>
      <c r="O5277" s="345" t="s">
        <v>208</v>
      </c>
      <c r="P5277" s="345" t="s">
        <v>209</v>
      </c>
      <c r="Q5277" s="345" t="s">
        <v>210</v>
      </c>
      <c r="R5277" s="345" t="s">
        <v>223</v>
      </c>
      <c r="S5277" s="345" t="s">
        <v>224</v>
      </c>
    </row>
    <row r="5278" spans="1:19" x14ac:dyDescent="0.25">
      <c r="A5278" s="311"/>
      <c r="B5278" s="312"/>
      <c r="C5278" s="312"/>
      <c r="D5278" s="312"/>
      <c r="E5278" s="312"/>
      <c r="F5278" s="312"/>
      <c r="G5278" s="328"/>
      <c r="H5278" s="453"/>
      <c r="I5278" s="334"/>
      <c r="J5278" s="314"/>
      <c r="K5278" s="454"/>
      <c r="M5278" s="349" t="str">
        <f>N5278&amp;AS[[#This Row],[Insurer Code]]&amp;"; "&amp;O5278&amp;AS[[#This Row],[Reporting Year]]&amp;"; "&amp;P5278&amp;AS[[#This Row],[Insurance Category Code]]&amp;"; "&amp;Q5278&amp;AS[[#This Row],[Large Provider Entity Code]]&amp;"; "&amp;R5278&amp;AS[[#This Row],[Age Band Code]]&amp;"; "&amp;S5278&amp;AS[[#This Row],[Sex Code]]</f>
        <v xml:space="preserve">Insurer Code ; Reporting Year ; Insurance Category Code ; Large Provider Entity Code ; Age Band Code ; Sex Code </v>
      </c>
      <c r="N5278" s="345" t="s">
        <v>207</v>
      </c>
      <c r="O5278" s="345" t="s">
        <v>208</v>
      </c>
      <c r="P5278" s="345" t="s">
        <v>209</v>
      </c>
      <c r="Q5278" s="345" t="s">
        <v>210</v>
      </c>
      <c r="R5278" s="345" t="s">
        <v>223</v>
      </c>
      <c r="S5278" s="345" t="s">
        <v>224</v>
      </c>
    </row>
    <row r="5279" spans="1:19" x14ac:dyDescent="0.25">
      <c r="A5279" s="311"/>
      <c r="B5279" s="312"/>
      <c r="C5279" s="312"/>
      <c r="D5279" s="312"/>
      <c r="E5279" s="312"/>
      <c r="F5279" s="312"/>
      <c r="G5279" s="328"/>
      <c r="H5279" s="453"/>
      <c r="I5279" s="334"/>
      <c r="J5279" s="314"/>
      <c r="K5279" s="454"/>
      <c r="M5279" s="349" t="str">
        <f>N5279&amp;AS[[#This Row],[Insurer Code]]&amp;"; "&amp;O5279&amp;AS[[#This Row],[Reporting Year]]&amp;"; "&amp;P5279&amp;AS[[#This Row],[Insurance Category Code]]&amp;"; "&amp;Q5279&amp;AS[[#This Row],[Large Provider Entity Code]]&amp;"; "&amp;R5279&amp;AS[[#This Row],[Age Band Code]]&amp;"; "&amp;S5279&amp;AS[[#This Row],[Sex Code]]</f>
        <v xml:space="preserve">Insurer Code ; Reporting Year ; Insurance Category Code ; Large Provider Entity Code ; Age Band Code ; Sex Code </v>
      </c>
      <c r="N5279" s="345" t="s">
        <v>207</v>
      </c>
      <c r="O5279" s="345" t="s">
        <v>208</v>
      </c>
      <c r="P5279" s="345" t="s">
        <v>209</v>
      </c>
      <c r="Q5279" s="345" t="s">
        <v>210</v>
      </c>
      <c r="R5279" s="345" t="s">
        <v>223</v>
      </c>
      <c r="S5279" s="345" t="s">
        <v>224</v>
      </c>
    </row>
    <row r="5280" spans="1:19" x14ac:dyDescent="0.25">
      <c r="A5280" s="311"/>
      <c r="B5280" s="312"/>
      <c r="C5280" s="312"/>
      <c r="D5280" s="312"/>
      <c r="E5280" s="312"/>
      <c r="F5280" s="312"/>
      <c r="G5280" s="328"/>
      <c r="H5280" s="453"/>
      <c r="I5280" s="334"/>
      <c r="J5280" s="314"/>
      <c r="K5280" s="454"/>
      <c r="M5280" s="349" t="str">
        <f>N5280&amp;AS[[#This Row],[Insurer Code]]&amp;"; "&amp;O5280&amp;AS[[#This Row],[Reporting Year]]&amp;"; "&amp;P5280&amp;AS[[#This Row],[Insurance Category Code]]&amp;"; "&amp;Q5280&amp;AS[[#This Row],[Large Provider Entity Code]]&amp;"; "&amp;R5280&amp;AS[[#This Row],[Age Band Code]]&amp;"; "&amp;S5280&amp;AS[[#This Row],[Sex Code]]</f>
        <v xml:space="preserve">Insurer Code ; Reporting Year ; Insurance Category Code ; Large Provider Entity Code ; Age Band Code ; Sex Code </v>
      </c>
      <c r="N5280" s="345" t="s">
        <v>207</v>
      </c>
      <c r="O5280" s="345" t="s">
        <v>208</v>
      </c>
      <c r="P5280" s="345" t="s">
        <v>209</v>
      </c>
      <c r="Q5280" s="345" t="s">
        <v>210</v>
      </c>
      <c r="R5280" s="345" t="s">
        <v>223</v>
      </c>
      <c r="S5280" s="345" t="s">
        <v>224</v>
      </c>
    </row>
    <row r="5281" spans="1:19" x14ac:dyDescent="0.25">
      <c r="A5281" s="311"/>
      <c r="B5281" s="312"/>
      <c r="C5281" s="312"/>
      <c r="D5281" s="312"/>
      <c r="E5281" s="312"/>
      <c r="F5281" s="312"/>
      <c r="G5281" s="328"/>
      <c r="H5281" s="453"/>
      <c r="I5281" s="334"/>
      <c r="J5281" s="314"/>
      <c r="K5281" s="454"/>
      <c r="M5281" s="349" t="str">
        <f>N5281&amp;AS[[#This Row],[Insurer Code]]&amp;"; "&amp;O5281&amp;AS[[#This Row],[Reporting Year]]&amp;"; "&amp;P5281&amp;AS[[#This Row],[Insurance Category Code]]&amp;"; "&amp;Q5281&amp;AS[[#This Row],[Large Provider Entity Code]]&amp;"; "&amp;R5281&amp;AS[[#This Row],[Age Band Code]]&amp;"; "&amp;S5281&amp;AS[[#This Row],[Sex Code]]</f>
        <v xml:space="preserve">Insurer Code ; Reporting Year ; Insurance Category Code ; Large Provider Entity Code ; Age Band Code ; Sex Code </v>
      </c>
      <c r="N5281" s="345" t="s">
        <v>207</v>
      </c>
      <c r="O5281" s="345" t="s">
        <v>208</v>
      </c>
      <c r="P5281" s="345" t="s">
        <v>209</v>
      </c>
      <c r="Q5281" s="345" t="s">
        <v>210</v>
      </c>
      <c r="R5281" s="345" t="s">
        <v>223</v>
      </c>
      <c r="S5281" s="345" t="s">
        <v>224</v>
      </c>
    </row>
    <row r="5282" spans="1:19" x14ac:dyDescent="0.25">
      <c r="A5282" s="311"/>
      <c r="B5282" s="312"/>
      <c r="C5282" s="312"/>
      <c r="D5282" s="312"/>
      <c r="E5282" s="312"/>
      <c r="F5282" s="312"/>
      <c r="G5282" s="328"/>
      <c r="H5282" s="453"/>
      <c r="I5282" s="334"/>
      <c r="J5282" s="314"/>
      <c r="K5282" s="454"/>
      <c r="M5282" s="349" t="str">
        <f>N5282&amp;AS[[#This Row],[Insurer Code]]&amp;"; "&amp;O5282&amp;AS[[#This Row],[Reporting Year]]&amp;"; "&amp;P5282&amp;AS[[#This Row],[Insurance Category Code]]&amp;"; "&amp;Q5282&amp;AS[[#This Row],[Large Provider Entity Code]]&amp;"; "&amp;R5282&amp;AS[[#This Row],[Age Band Code]]&amp;"; "&amp;S5282&amp;AS[[#This Row],[Sex Code]]</f>
        <v xml:space="preserve">Insurer Code ; Reporting Year ; Insurance Category Code ; Large Provider Entity Code ; Age Band Code ; Sex Code </v>
      </c>
      <c r="N5282" s="345" t="s">
        <v>207</v>
      </c>
      <c r="O5282" s="345" t="s">
        <v>208</v>
      </c>
      <c r="P5282" s="345" t="s">
        <v>209</v>
      </c>
      <c r="Q5282" s="345" t="s">
        <v>210</v>
      </c>
      <c r="R5282" s="345" t="s">
        <v>223</v>
      </c>
      <c r="S5282" s="345" t="s">
        <v>224</v>
      </c>
    </row>
    <row r="5283" spans="1:19" x14ac:dyDescent="0.25">
      <c r="A5283" s="311"/>
      <c r="B5283" s="312"/>
      <c r="C5283" s="312"/>
      <c r="D5283" s="312"/>
      <c r="E5283" s="312"/>
      <c r="F5283" s="312"/>
      <c r="G5283" s="328"/>
      <c r="H5283" s="453"/>
      <c r="I5283" s="334"/>
      <c r="J5283" s="314"/>
      <c r="K5283" s="454"/>
      <c r="M5283" s="349" t="str">
        <f>N5283&amp;AS[[#This Row],[Insurer Code]]&amp;"; "&amp;O5283&amp;AS[[#This Row],[Reporting Year]]&amp;"; "&amp;P5283&amp;AS[[#This Row],[Insurance Category Code]]&amp;"; "&amp;Q5283&amp;AS[[#This Row],[Large Provider Entity Code]]&amp;"; "&amp;R5283&amp;AS[[#This Row],[Age Band Code]]&amp;"; "&amp;S5283&amp;AS[[#This Row],[Sex Code]]</f>
        <v xml:space="preserve">Insurer Code ; Reporting Year ; Insurance Category Code ; Large Provider Entity Code ; Age Band Code ; Sex Code </v>
      </c>
      <c r="N5283" s="345" t="s">
        <v>207</v>
      </c>
      <c r="O5283" s="345" t="s">
        <v>208</v>
      </c>
      <c r="P5283" s="345" t="s">
        <v>209</v>
      </c>
      <c r="Q5283" s="345" t="s">
        <v>210</v>
      </c>
      <c r="R5283" s="345" t="s">
        <v>223</v>
      </c>
      <c r="S5283" s="345" t="s">
        <v>224</v>
      </c>
    </row>
    <row r="5284" spans="1:19" x14ac:dyDescent="0.25">
      <c r="A5284" s="311"/>
      <c r="B5284" s="312"/>
      <c r="C5284" s="312"/>
      <c r="D5284" s="312"/>
      <c r="E5284" s="312"/>
      <c r="F5284" s="312"/>
      <c r="G5284" s="328"/>
      <c r="H5284" s="453"/>
      <c r="I5284" s="334"/>
      <c r="J5284" s="314"/>
      <c r="K5284" s="454"/>
      <c r="M5284" s="349" t="str">
        <f>N5284&amp;AS[[#This Row],[Insurer Code]]&amp;"; "&amp;O5284&amp;AS[[#This Row],[Reporting Year]]&amp;"; "&amp;P5284&amp;AS[[#This Row],[Insurance Category Code]]&amp;"; "&amp;Q5284&amp;AS[[#This Row],[Large Provider Entity Code]]&amp;"; "&amp;R5284&amp;AS[[#This Row],[Age Band Code]]&amp;"; "&amp;S5284&amp;AS[[#This Row],[Sex Code]]</f>
        <v xml:space="preserve">Insurer Code ; Reporting Year ; Insurance Category Code ; Large Provider Entity Code ; Age Band Code ; Sex Code </v>
      </c>
      <c r="N5284" s="345" t="s">
        <v>207</v>
      </c>
      <c r="O5284" s="345" t="s">
        <v>208</v>
      </c>
      <c r="P5284" s="345" t="s">
        <v>209</v>
      </c>
      <c r="Q5284" s="345" t="s">
        <v>210</v>
      </c>
      <c r="R5284" s="345" t="s">
        <v>223</v>
      </c>
      <c r="S5284" s="345" t="s">
        <v>224</v>
      </c>
    </row>
    <row r="5285" spans="1:19" x14ac:dyDescent="0.25">
      <c r="A5285" s="311"/>
      <c r="B5285" s="312"/>
      <c r="C5285" s="312"/>
      <c r="D5285" s="312"/>
      <c r="E5285" s="312"/>
      <c r="F5285" s="312"/>
      <c r="G5285" s="328"/>
      <c r="H5285" s="453"/>
      <c r="I5285" s="334"/>
      <c r="J5285" s="314"/>
      <c r="K5285" s="454"/>
      <c r="M5285" s="349" t="str">
        <f>N5285&amp;AS[[#This Row],[Insurer Code]]&amp;"; "&amp;O5285&amp;AS[[#This Row],[Reporting Year]]&amp;"; "&amp;P5285&amp;AS[[#This Row],[Insurance Category Code]]&amp;"; "&amp;Q5285&amp;AS[[#This Row],[Large Provider Entity Code]]&amp;"; "&amp;R5285&amp;AS[[#This Row],[Age Band Code]]&amp;"; "&amp;S5285&amp;AS[[#This Row],[Sex Code]]</f>
        <v xml:space="preserve">Insurer Code ; Reporting Year ; Insurance Category Code ; Large Provider Entity Code ; Age Band Code ; Sex Code </v>
      </c>
      <c r="N5285" s="345" t="s">
        <v>207</v>
      </c>
      <c r="O5285" s="345" t="s">
        <v>208</v>
      </c>
      <c r="P5285" s="345" t="s">
        <v>209</v>
      </c>
      <c r="Q5285" s="345" t="s">
        <v>210</v>
      </c>
      <c r="R5285" s="345" t="s">
        <v>223</v>
      </c>
      <c r="S5285" s="345" t="s">
        <v>224</v>
      </c>
    </row>
    <row r="5286" spans="1:19" x14ac:dyDescent="0.25">
      <c r="A5286" s="311"/>
      <c r="B5286" s="312"/>
      <c r="C5286" s="312"/>
      <c r="D5286" s="312"/>
      <c r="E5286" s="312"/>
      <c r="F5286" s="312"/>
      <c r="G5286" s="328"/>
      <c r="H5286" s="453"/>
      <c r="I5286" s="334"/>
      <c r="J5286" s="314"/>
      <c r="K5286" s="454"/>
      <c r="M5286" s="349" t="str">
        <f>N5286&amp;AS[[#This Row],[Insurer Code]]&amp;"; "&amp;O5286&amp;AS[[#This Row],[Reporting Year]]&amp;"; "&amp;P5286&amp;AS[[#This Row],[Insurance Category Code]]&amp;"; "&amp;Q5286&amp;AS[[#This Row],[Large Provider Entity Code]]&amp;"; "&amp;R5286&amp;AS[[#This Row],[Age Band Code]]&amp;"; "&amp;S5286&amp;AS[[#This Row],[Sex Code]]</f>
        <v xml:space="preserve">Insurer Code ; Reporting Year ; Insurance Category Code ; Large Provider Entity Code ; Age Band Code ; Sex Code </v>
      </c>
      <c r="N5286" s="345" t="s">
        <v>207</v>
      </c>
      <c r="O5286" s="345" t="s">
        <v>208</v>
      </c>
      <c r="P5286" s="345" t="s">
        <v>209</v>
      </c>
      <c r="Q5286" s="345" t="s">
        <v>210</v>
      </c>
      <c r="R5286" s="345" t="s">
        <v>223</v>
      </c>
      <c r="S5286" s="345" t="s">
        <v>224</v>
      </c>
    </row>
    <row r="5287" spans="1:19" x14ac:dyDescent="0.25">
      <c r="A5287" s="311"/>
      <c r="B5287" s="312"/>
      <c r="C5287" s="312"/>
      <c r="D5287" s="312"/>
      <c r="E5287" s="312"/>
      <c r="F5287" s="312"/>
      <c r="G5287" s="328"/>
      <c r="H5287" s="453"/>
      <c r="I5287" s="334"/>
      <c r="J5287" s="314"/>
      <c r="K5287" s="454"/>
      <c r="M5287" s="349" t="str">
        <f>N5287&amp;AS[[#This Row],[Insurer Code]]&amp;"; "&amp;O5287&amp;AS[[#This Row],[Reporting Year]]&amp;"; "&amp;P5287&amp;AS[[#This Row],[Insurance Category Code]]&amp;"; "&amp;Q5287&amp;AS[[#This Row],[Large Provider Entity Code]]&amp;"; "&amp;R5287&amp;AS[[#This Row],[Age Band Code]]&amp;"; "&amp;S5287&amp;AS[[#This Row],[Sex Code]]</f>
        <v xml:space="preserve">Insurer Code ; Reporting Year ; Insurance Category Code ; Large Provider Entity Code ; Age Band Code ; Sex Code </v>
      </c>
      <c r="N5287" s="345" t="s">
        <v>207</v>
      </c>
      <c r="O5287" s="345" t="s">
        <v>208</v>
      </c>
      <c r="P5287" s="345" t="s">
        <v>209</v>
      </c>
      <c r="Q5287" s="345" t="s">
        <v>210</v>
      </c>
      <c r="R5287" s="345" t="s">
        <v>223</v>
      </c>
      <c r="S5287" s="345" t="s">
        <v>224</v>
      </c>
    </row>
    <row r="5288" spans="1:19" x14ac:dyDescent="0.25">
      <c r="A5288" s="311"/>
      <c r="B5288" s="312"/>
      <c r="C5288" s="312"/>
      <c r="D5288" s="312"/>
      <c r="E5288" s="312"/>
      <c r="F5288" s="312"/>
      <c r="G5288" s="328"/>
      <c r="H5288" s="453"/>
      <c r="I5288" s="334"/>
      <c r="J5288" s="314"/>
      <c r="K5288" s="454"/>
      <c r="M5288" s="349" t="str">
        <f>N5288&amp;AS[[#This Row],[Insurer Code]]&amp;"; "&amp;O5288&amp;AS[[#This Row],[Reporting Year]]&amp;"; "&amp;P5288&amp;AS[[#This Row],[Insurance Category Code]]&amp;"; "&amp;Q5288&amp;AS[[#This Row],[Large Provider Entity Code]]&amp;"; "&amp;R5288&amp;AS[[#This Row],[Age Band Code]]&amp;"; "&amp;S5288&amp;AS[[#This Row],[Sex Code]]</f>
        <v xml:space="preserve">Insurer Code ; Reporting Year ; Insurance Category Code ; Large Provider Entity Code ; Age Band Code ; Sex Code </v>
      </c>
      <c r="N5288" s="345" t="s">
        <v>207</v>
      </c>
      <c r="O5288" s="345" t="s">
        <v>208</v>
      </c>
      <c r="P5288" s="345" t="s">
        <v>209</v>
      </c>
      <c r="Q5288" s="345" t="s">
        <v>210</v>
      </c>
      <c r="R5288" s="345" t="s">
        <v>223</v>
      </c>
      <c r="S5288" s="345" t="s">
        <v>224</v>
      </c>
    </row>
    <row r="5289" spans="1:19" x14ac:dyDescent="0.25">
      <c r="A5289" s="311"/>
      <c r="B5289" s="312"/>
      <c r="C5289" s="312"/>
      <c r="D5289" s="312"/>
      <c r="E5289" s="312"/>
      <c r="F5289" s="312"/>
      <c r="G5289" s="328"/>
      <c r="H5289" s="453"/>
      <c r="I5289" s="334"/>
      <c r="J5289" s="314"/>
      <c r="K5289" s="454"/>
      <c r="M5289" s="349" t="str">
        <f>N5289&amp;AS[[#This Row],[Insurer Code]]&amp;"; "&amp;O5289&amp;AS[[#This Row],[Reporting Year]]&amp;"; "&amp;P5289&amp;AS[[#This Row],[Insurance Category Code]]&amp;"; "&amp;Q5289&amp;AS[[#This Row],[Large Provider Entity Code]]&amp;"; "&amp;R5289&amp;AS[[#This Row],[Age Band Code]]&amp;"; "&amp;S5289&amp;AS[[#This Row],[Sex Code]]</f>
        <v xml:space="preserve">Insurer Code ; Reporting Year ; Insurance Category Code ; Large Provider Entity Code ; Age Band Code ; Sex Code </v>
      </c>
      <c r="N5289" s="345" t="s">
        <v>207</v>
      </c>
      <c r="O5289" s="345" t="s">
        <v>208</v>
      </c>
      <c r="P5289" s="345" t="s">
        <v>209</v>
      </c>
      <c r="Q5289" s="345" t="s">
        <v>210</v>
      </c>
      <c r="R5289" s="345" t="s">
        <v>223</v>
      </c>
      <c r="S5289" s="345" t="s">
        <v>224</v>
      </c>
    </row>
    <row r="5290" spans="1:19" x14ac:dyDescent="0.25">
      <c r="A5290" s="311"/>
      <c r="B5290" s="312"/>
      <c r="C5290" s="312"/>
      <c r="D5290" s="312"/>
      <c r="E5290" s="312"/>
      <c r="F5290" s="312"/>
      <c r="G5290" s="328"/>
      <c r="H5290" s="453"/>
      <c r="I5290" s="334"/>
      <c r="J5290" s="314"/>
      <c r="K5290" s="454"/>
      <c r="M5290" s="349" t="str">
        <f>N5290&amp;AS[[#This Row],[Insurer Code]]&amp;"; "&amp;O5290&amp;AS[[#This Row],[Reporting Year]]&amp;"; "&amp;P5290&amp;AS[[#This Row],[Insurance Category Code]]&amp;"; "&amp;Q5290&amp;AS[[#This Row],[Large Provider Entity Code]]&amp;"; "&amp;R5290&amp;AS[[#This Row],[Age Band Code]]&amp;"; "&amp;S5290&amp;AS[[#This Row],[Sex Code]]</f>
        <v xml:space="preserve">Insurer Code ; Reporting Year ; Insurance Category Code ; Large Provider Entity Code ; Age Band Code ; Sex Code </v>
      </c>
      <c r="N5290" s="345" t="s">
        <v>207</v>
      </c>
      <c r="O5290" s="345" t="s">
        <v>208</v>
      </c>
      <c r="P5290" s="345" t="s">
        <v>209</v>
      </c>
      <c r="Q5290" s="345" t="s">
        <v>210</v>
      </c>
      <c r="R5290" s="345" t="s">
        <v>223</v>
      </c>
      <c r="S5290" s="345" t="s">
        <v>224</v>
      </c>
    </row>
    <row r="5291" spans="1:19" x14ac:dyDescent="0.25">
      <c r="A5291" s="311"/>
      <c r="B5291" s="312"/>
      <c r="C5291" s="312"/>
      <c r="D5291" s="312"/>
      <c r="E5291" s="312"/>
      <c r="F5291" s="312"/>
      <c r="G5291" s="328"/>
      <c r="H5291" s="453"/>
      <c r="I5291" s="334"/>
      <c r="J5291" s="314"/>
      <c r="K5291" s="454"/>
      <c r="M5291" s="349" t="str">
        <f>N5291&amp;AS[[#This Row],[Insurer Code]]&amp;"; "&amp;O5291&amp;AS[[#This Row],[Reporting Year]]&amp;"; "&amp;P5291&amp;AS[[#This Row],[Insurance Category Code]]&amp;"; "&amp;Q5291&amp;AS[[#This Row],[Large Provider Entity Code]]&amp;"; "&amp;R5291&amp;AS[[#This Row],[Age Band Code]]&amp;"; "&amp;S5291&amp;AS[[#This Row],[Sex Code]]</f>
        <v xml:space="preserve">Insurer Code ; Reporting Year ; Insurance Category Code ; Large Provider Entity Code ; Age Band Code ; Sex Code </v>
      </c>
      <c r="N5291" s="345" t="s">
        <v>207</v>
      </c>
      <c r="O5291" s="345" t="s">
        <v>208</v>
      </c>
      <c r="P5291" s="345" t="s">
        <v>209</v>
      </c>
      <c r="Q5291" s="345" t="s">
        <v>210</v>
      </c>
      <c r="R5291" s="345" t="s">
        <v>223</v>
      </c>
      <c r="S5291" s="345" t="s">
        <v>224</v>
      </c>
    </row>
    <row r="5292" spans="1:19" x14ac:dyDescent="0.25">
      <c r="A5292" s="311"/>
      <c r="B5292" s="312"/>
      <c r="C5292" s="312"/>
      <c r="D5292" s="312"/>
      <c r="E5292" s="312"/>
      <c r="F5292" s="312"/>
      <c r="G5292" s="328"/>
      <c r="H5292" s="453"/>
      <c r="I5292" s="334"/>
      <c r="J5292" s="314"/>
      <c r="K5292" s="454"/>
      <c r="M5292" s="349" t="str">
        <f>N5292&amp;AS[[#This Row],[Insurer Code]]&amp;"; "&amp;O5292&amp;AS[[#This Row],[Reporting Year]]&amp;"; "&amp;P5292&amp;AS[[#This Row],[Insurance Category Code]]&amp;"; "&amp;Q5292&amp;AS[[#This Row],[Large Provider Entity Code]]&amp;"; "&amp;R5292&amp;AS[[#This Row],[Age Band Code]]&amp;"; "&amp;S5292&amp;AS[[#This Row],[Sex Code]]</f>
        <v xml:space="preserve">Insurer Code ; Reporting Year ; Insurance Category Code ; Large Provider Entity Code ; Age Band Code ; Sex Code </v>
      </c>
      <c r="N5292" s="345" t="s">
        <v>207</v>
      </c>
      <c r="O5292" s="345" t="s">
        <v>208</v>
      </c>
      <c r="P5292" s="345" t="s">
        <v>209</v>
      </c>
      <c r="Q5292" s="345" t="s">
        <v>210</v>
      </c>
      <c r="R5292" s="345" t="s">
        <v>223</v>
      </c>
      <c r="S5292" s="345" t="s">
        <v>224</v>
      </c>
    </row>
    <row r="5293" spans="1:19" x14ac:dyDescent="0.25">
      <c r="A5293" s="311"/>
      <c r="B5293" s="312"/>
      <c r="C5293" s="312"/>
      <c r="D5293" s="312"/>
      <c r="E5293" s="312"/>
      <c r="F5293" s="312"/>
      <c r="G5293" s="328"/>
      <c r="H5293" s="453"/>
      <c r="I5293" s="334"/>
      <c r="J5293" s="314"/>
      <c r="K5293" s="454"/>
      <c r="M5293" s="349" t="str">
        <f>N5293&amp;AS[[#This Row],[Insurer Code]]&amp;"; "&amp;O5293&amp;AS[[#This Row],[Reporting Year]]&amp;"; "&amp;P5293&amp;AS[[#This Row],[Insurance Category Code]]&amp;"; "&amp;Q5293&amp;AS[[#This Row],[Large Provider Entity Code]]&amp;"; "&amp;R5293&amp;AS[[#This Row],[Age Band Code]]&amp;"; "&amp;S5293&amp;AS[[#This Row],[Sex Code]]</f>
        <v xml:space="preserve">Insurer Code ; Reporting Year ; Insurance Category Code ; Large Provider Entity Code ; Age Band Code ; Sex Code </v>
      </c>
      <c r="N5293" s="345" t="s">
        <v>207</v>
      </c>
      <c r="O5293" s="345" t="s">
        <v>208</v>
      </c>
      <c r="P5293" s="345" t="s">
        <v>209</v>
      </c>
      <c r="Q5293" s="345" t="s">
        <v>210</v>
      </c>
      <c r="R5293" s="345" t="s">
        <v>223</v>
      </c>
      <c r="S5293" s="345" t="s">
        <v>224</v>
      </c>
    </row>
    <row r="5294" spans="1:19" x14ac:dyDescent="0.25">
      <c r="A5294" s="311"/>
      <c r="B5294" s="312"/>
      <c r="C5294" s="312"/>
      <c r="D5294" s="312"/>
      <c r="E5294" s="312"/>
      <c r="F5294" s="312"/>
      <c r="G5294" s="328"/>
      <c r="H5294" s="453"/>
      <c r="I5294" s="334"/>
      <c r="J5294" s="314"/>
      <c r="K5294" s="454"/>
      <c r="M5294" s="349" t="str">
        <f>N5294&amp;AS[[#This Row],[Insurer Code]]&amp;"; "&amp;O5294&amp;AS[[#This Row],[Reporting Year]]&amp;"; "&amp;P5294&amp;AS[[#This Row],[Insurance Category Code]]&amp;"; "&amp;Q5294&amp;AS[[#This Row],[Large Provider Entity Code]]&amp;"; "&amp;R5294&amp;AS[[#This Row],[Age Band Code]]&amp;"; "&amp;S5294&amp;AS[[#This Row],[Sex Code]]</f>
        <v xml:space="preserve">Insurer Code ; Reporting Year ; Insurance Category Code ; Large Provider Entity Code ; Age Band Code ; Sex Code </v>
      </c>
      <c r="N5294" s="345" t="s">
        <v>207</v>
      </c>
      <c r="O5294" s="345" t="s">
        <v>208</v>
      </c>
      <c r="P5294" s="345" t="s">
        <v>209</v>
      </c>
      <c r="Q5294" s="345" t="s">
        <v>210</v>
      </c>
      <c r="R5294" s="345" t="s">
        <v>223</v>
      </c>
      <c r="S5294" s="345" t="s">
        <v>224</v>
      </c>
    </row>
    <row r="5295" spans="1:19" x14ac:dyDescent="0.25">
      <c r="A5295" s="311"/>
      <c r="B5295" s="312"/>
      <c r="C5295" s="312"/>
      <c r="D5295" s="312"/>
      <c r="E5295" s="312"/>
      <c r="F5295" s="312"/>
      <c r="G5295" s="328"/>
      <c r="H5295" s="453"/>
      <c r="I5295" s="334"/>
      <c r="J5295" s="314"/>
      <c r="K5295" s="454"/>
      <c r="M5295" s="349" t="str">
        <f>N5295&amp;AS[[#This Row],[Insurer Code]]&amp;"; "&amp;O5295&amp;AS[[#This Row],[Reporting Year]]&amp;"; "&amp;P5295&amp;AS[[#This Row],[Insurance Category Code]]&amp;"; "&amp;Q5295&amp;AS[[#This Row],[Large Provider Entity Code]]&amp;"; "&amp;R5295&amp;AS[[#This Row],[Age Band Code]]&amp;"; "&amp;S5295&amp;AS[[#This Row],[Sex Code]]</f>
        <v xml:space="preserve">Insurer Code ; Reporting Year ; Insurance Category Code ; Large Provider Entity Code ; Age Band Code ; Sex Code </v>
      </c>
      <c r="N5295" s="345" t="s">
        <v>207</v>
      </c>
      <c r="O5295" s="345" t="s">
        <v>208</v>
      </c>
      <c r="P5295" s="345" t="s">
        <v>209</v>
      </c>
      <c r="Q5295" s="345" t="s">
        <v>210</v>
      </c>
      <c r="R5295" s="345" t="s">
        <v>223</v>
      </c>
      <c r="S5295" s="345" t="s">
        <v>224</v>
      </c>
    </row>
    <row r="5296" spans="1:19" x14ac:dyDescent="0.25">
      <c r="A5296" s="311"/>
      <c r="B5296" s="312"/>
      <c r="C5296" s="312"/>
      <c r="D5296" s="312"/>
      <c r="E5296" s="312"/>
      <c r="F5296" s="312"/>
      <c r="G5296" s="328"/>
      <c r="H5296" s="453"/>
      <c r="I5296" s="334"/>
      <c r="J5296" s="314"/>
      <c r="K5296" s="454"/>
      <c r="M5296" s="349" t="str">
        <f>N5296&amp;AS[[#This Row],[Insurer Code]]&amp;"; "&amp;O5296&amp;AS[[#This Row],[Reporting Year]]&amp;"; "&amp;P5296&amp;AS[[#This Row],[Insurance Category Code]]&amp;"; "&amp;Q5296&amp;AS[[#This Row],[Large Provider Entity Code]]&amp;"; "&amp;R5296&amp;AS[[#This Row],[Age Band Code]]&amp;"; "&amp;S5296&amp;AS[[#This Row],[Sex Code]]</f>
        <v xml:space="preserve">Insurer Code ; Reporting Year ; Insurance Category Code ; Large Provider Entity Code ; Age Band Code ; Sex Code </v>
      </c>
      <c r="N5296" s="345" t="s">
        <v>207</v>
      </c>
      <c r="O5296" s="345" t="s">
        <v>208</v>
      </c>
      <c r="P5296" s="345" t="s">
        <v>209</v>
      </c>
      <c r="Q5296" s="345" t="s">
        <v>210</v>
      </c>
      <c r="R5296" s="345" t="s">
        <v>223</v>
      </c>
      <c r="S5296" s="345" t="s">
        <v>224</v>
      </c>
    </row>
    <row r="5297" spans="1:19" x14ac:dyDescent="0.25">
      <c r="A5297" s="311"/>
      <c r="B5297" s="312"/>
      <c r="C5297" s="312"/>
      <c r="D5297" s="312"/>
      <c r="E5297" s="312"/>
      <c r="F5297" s="312"/>
      <c r="G5297" s="328"/>
      <c r="H5297" s="453"/>
      <c r="I5297" s="334"/>
      <c r="J5297" s="314"/>
      <c r="K5297" s="454"/>
      <c r="M5297" s="349" t="str">
        <f>N5297&amp;AS[[#This Row],[Insurer Code]]&amp;"; "&amp;O5297&amp;AS[[#This Row],[Reporting Year]]&amp;"; "&amp;P5297&amp;AS[[#This Row],[Insurance Category Code]]&amp;"; "&amp;Q5297&amp;AS[[#This Row],[Large Provider Entity Code]]&amp;"; "&amp;R5297&amp;AS[[#This Row],[Age Band Code]]&amp;"; "&amp;S5297&amp;AS[[#This Row],[Sex Code]]</f>
        <v xml:space="preserve">Insurer Code ; Reporting Year ; Insurance Category Code ; Large Provider Entity Code ; Age Band Code ; Sex Code </v>
      </c>
      <c r="N5297" s="345" t="s">
        <v>207</v>
      </c>
      <c r="O5297" s="345" t="s">
        <v>208</v>
      </c>
      <c r="P5297" s="345" t="s">
        <v>209</v>
      </c>
      <c r="Q5297" s="345" t="s">
        <v>210</v>
      </c>
      <c r="R5297" s="345" t="s">
        <v>223</v>
      </c>
      <c r="S5297" s="345" t="s">
        <v>224</v>
      </c>
    </row>
    <row r="5298" spans="1:19" x14ac:dyDescent="0.25">
      <c r="A5298" s="311"/>
      <c r="B5298" s="312"/>
      <c r="C5298" s="312"/>
      <c r="D5298" s="312"/>
      <c r="E5298" s="312"/>
      <c r="F5298" s="312"/>
      <c r="G5298" s="328"/>
      <c r="H5298" s="453"/>
      <c r="I5298" s="334"/>
      <c r="J5298" s="314"/>
      <c r="K5298" s="454"/>
      <c r="M5298" s="349" t="str">
        <f>N5298&amp;AS[[#This Row],[Insurer Code]]&amp;"; "&amp;O5298&amp;AS[[#This Row],[Reporting Year]]&amp;"; "&amp;P5298&amp;AS[[#This Row],[Insurance Category Code]]&amp;"; "&amp;Q5298&amp;AS[[#This Row],[Large Provider Entity Code]]&amp;"; "&amp;R5298&amp;AS[[#This Row],[Age Band Code]]&amp;"; "&amp;S5298&amp;AS[[#This Row],[Sex Code]]</f>
        <v xml:space="preserve">Insurer Code ; Reporting Year ; Insurance Category Code ; Large Provider Entity Code ; Age Band Code ; Sex Code </v>
      </c>
      <c r="N5298" s="345" t="s">
        <v>207</v>
      </c>
      <c r="O5298" s="345" t="s">
        <v>208</v>
      </c>
      <c r="P5298" s="345" t="s">
        <v>209</v>
      </c>
      <c r="Q5298" s="345" t="s">
        <v>210</v>
      </c>
      <c r="R5298" s="345" t="s">
        <v>223</v>
      </c>
      <c r="S5298" s="345" t="s">
        <v>224</v>
      </c>
    </row>
    <row r="5299" spans="1:19" x14ac:dyDescent="0.25">
      <c r="A5299" s="311"/>
      <c r="B5299" s="312"/>
      <c r="C5299" s="312"/>
      <c r="D5299" s="312"/>
      <c r="E5299" s="312"/>
      <c r="F5299" s="312"/>
      <c r="G5299" s="328"/>
      <c r="H5299" s="453"/>
      <c r="I5299" s="334"/>
      <c r="J5299" s="314"/>
      <c r="K5299" s="454"/>
      <c r="M5299" s="349" t="str">
        <f>N5299&amp;AS[[#This Row],[Insurer Code]]&amp;"; "&amp;O5299&amp;AS[[#This Row],[Reporting Year]]&amp;"; "&amp;P5299&amp;AS[[#This Row],[Insurance Category Code]]&amp;"; "&amp;Q5299&amp;AS[[#This Row],[Large Provider Entity Code]]&amp;"; "&amp;R5299&amp;AS[[#This Row],[Age Band Code]]&amp;"; "&amp;S5299&amp;AS[[#This Row],[Sex Code]]</f>
        <v xml:space="preserve">Insurer Code ; Reporting Year ; Insurance Category Code ; Large Provider Entity Code ; Age Band Code ; Sex Code </v>
      </c>
      <c r="N5299" s="345" t="s">
        <v>207</v>
      </c>
      <c r="O5299" s="345" t="s">
        <v>208</v>
      </c>
      <c r="P5299" s="345" t="s">
        <v>209</v>
      </c>
      <c r="Q5299" s="345" t="s">
        <v>210</v>
      </c>
      <c r="R5299" s="345" t="s">
        <v>223</v>
      </c>
      <c r="S5299" s="345" t="s">
        <v>224</v>
      </c>
    </row>
    <row r="5300" spans="1:19" x14ac:dyDescent="0.25">
      <c r="A5300" s="311"/>
      <c r="B5300" s="312"/>
      <c r="C5300" s="312"/>
      <c r="D5300" s="312"/>
      <c r="E5300" s="312"/>
      <c r="F5300" s="312"/>
      <c r="G5300" s="328"/>
      <c r="H5300" s="453"/>
      <c r="I5300" s="334"/>
      <c r="J5300" s="314"/>
      <c r="K5300" s="454"/>
      <c r="M5300" s="349" t="str">
        <f>N5300&amp;AS[[#This Row],[Insurer Code]]&amp;"; "&amp;O5300&amp;AS[[#This Row],[Reporting Year]]&amp;"; "&amp;P5300&amp;AS[[#This Row],[Insurance Category Code]]&amp;"; "&amp;Q5300&amp;AS[[#This Row],[Large Provider Entity Code]]&amp;"; "&amp;R5300&amp;AS[[#This Row],[Age Band Code]]&amp;"; "&amp;S5300&amp;AS[[#This Row],[Sex Code]]</f>
        <v xml:space="preserve">Insurer Code ; Reporting Year ; Insurance Category Code ; Large Provider Entity Code ; Age Band Code ; Sex Code </v>
      </c>
      <c r="N5300" s="345" t="s">
        <v>207</v>
      </c>
      <c r="O5300" s="345" t="s">
        <v>208</v>
      </c>
      <c r="P5300" s="345" t="s">
        <v>209</v>
      </c>
      <c r="Q5300" s="345" t="s">
        <v>210</v>
      </c>
      <c r="R5300" s="345" t="s">
        <v>223</v>
      </c>
      <c r="S5300" s="345" t="s">
        <v>224</v>
      </c>
    </row>
    <row r="5301" spans="1:19" x14ac:dyDescent="0.25">
      <c r="A5301" s="311"/>
      <c r="B5301" s="312"/>
      <c r="C5301" s="312"/>
      <c r="D5301" s="312"/>
      <c r="E5301" s="312"/>
      <c r="F5301" s="312"/>
      <c r="G5301" s="328"/>
      <c r="H5301" s="453"/>
      <c r="I5301" s="334"/>
      <c r="J5301" s="314"/>
      <c r="K5301" s="454"/>
      <c r="M5301" s="349" t="str">
        <f>N5301&amp;AS[[#This Row],[Insurer Code]]&amp;"; "&amp;O5301&amp;AS[[#This Row],[Reporting Year]]&amp;"; "&amp;P5301&amp;AS[[#This Row],[Insurance Category Code]]&amp;"; "&amp;Q5301&amp;AS[[#This Row],[Large Provider Entity Code]]&amp;"; "&amp;R5301&amp;AS[[#This Row],[Age Band Code]]&amp;"; "&amp;S5301&amp;AS[[#This Row],[Sex Code]]</f>
        <v xml:space="preserve">Insurer Code ; Reporting Year ; Insurance Category Code ; Large Provider Entity Code ; Age Band Code ; Sex Code </v>
      </c>
      <c r="N5301" s="345" t="s">
        <v>207</v>
      </c>
      <c r="O5301" s="345" t="s">
        <v>208</v>
      </c>
      <c r="P5301" s="345" t="s">
        <v>209</v>
      </c>
      <c r="Q5301" s="345" t="s">
        <v>210</v>
      </c>
      <c r="R5301" s="345" t="s">
        <v>223</v>
      </c>
      <c r="S5301" s="345" t="s">
        <v>224</v>
      </c>
    </row>
    <row r="5302" spans="1:19" x14ac:dyDescent="0.25">
      <c r="A5302" s="311"/>
      <c r="B5302" s="312"/>
      <c r="C5302" s="312"/>
      <c r="D5302" s="312"/>
      <c r="E5302" s="312"/>
      <c r="F5302" s="312"/>
      <c r="G5302" s="328"/>
      <c r="H5302" s="453"/>
      <c r="I5302" s="334"/>
      <c r="J5302" s="314"/>
      <c r="K5302" s="454"/>
      <c r="M5302" s="349" t="str">
        <f>N5302&amp;AS[[#This Row],[Insurer Code]]&amp;"; "&amp;O5302&amp;AS[[#This Row],[Reporting Year]]&amp;"; "&amp;P5302&amp;AS[[#This Row],[Insurance Category Code]]&amp;"; "&amp;Q5302&amp;AS[[#This Row],[Large Provider Entity Code]]&amp;"; "&amp;R5302&amp;AS[[#This Row],[Age Band Code]]&amp;"; "&amp;S5302&amp;AS[[#This Row],[Sex Code]]</f>
        <v xml:space="preserve">Insurer Code ; Reporting Year ; Insurance Category Code ; Large Provider Entity Code ; Age Band Code ; Sex Code </v>
      </c>
      <c r="N5302" s="345" t="s">
        <v>207</v>
      </c>
      <c r="O5302" s="345" t="s">
        <v>208</v>
      </c>
      <c r="P5302" s="345" t="s">
        <v>209</v>
      </c>
      <c r="Q5302" s="345" t="s">
        <v>210</v>
      </c>
      <c r="R5302" s="345" t="s">
        <v>223</v>
      </c>
      <c r="S5302" s="345" t="s">
        <v>224</v>
      </c>
    </row>
    <row r="5303" spans="1:19" x14ac:dyDescent="0.25">
      <c r="A5303" s="311"/>
      <c r="B5303" s="312"/>
      <c r="C5303" s="312"/>
      <c r="D5303" s="312"/>
      <c r="E5303" s="312"/>
      <c r="F5303" s="312"/>
      <c r="G5303" s="328"/>
      <c r="H5303" s="453"/>
      <c r="I5303" s="334"/>
      <c r="J5303" s="314"/>
      <c r="K5303" s="454"/>
      <c r="M5303" s="349" t="str">
        <f>N5303&amp;AS[[#This Row],[Insurer Code]]&amp;"; "&amp;O5303&amp;AS[[#This Row],[Reporting Year]]&amp;"; "&amp;P5303&amp;AS[[#This Row],[Insurance Category Code]]&amp;"; "&amp;Q5303&amp;AS[[#This Row],[Large Provider Entity Code]]&amp;"; "&amp;R5303&amp;AS[[#This Row],[Age Band Code]]&amp;"; "&amp;S5303&amp;AS[[#This Row],[Sex Code]]</f>
        <v xml:space="preserve">Insurer Code ; Reporting Year ; Insurance Category Code ; Large Provider Entity Code ; Age Band Code ; Sex Code </v>
      </c>
      <c r="N5303" s="345" t="s">
        <v>207</v>
      </c>
      <c r="O5303" s="345" t="s">
        <v>208</v>
      </c>
      <c r="P5303" s="345" t="s">
        <v>209</v>
      </c>
      <c r="Q5303" s="345" t="s">
        <v>210</v>
      </c>
      <c r="R5303" s="345" t="s">
        <v>223</v>
      </c>
      <c r="S5303" s="345" t="s">
        <v>224</v>
      </c>
    </row>
    <row r="5304" spans="1:19" x14ac:dyDescent="0.25">
      <c r="A5304" s="311"/>
      <c r="B5304" s="312"/>
      <c r="C5304" s="312"/>
      <c r="D5304" s="312"/>
      <c r="E5304" s="312"/>
      <c r="F5304" s="312"/>
      <c r="G5304" s="328"/>
      <c r="H5304" s="453"/>
      <c r="I5304" s="334"/>
      <c r="J5304" s="314"/>
      <c r="K5304" s="454"/>
      <c r="M5304" s="349" t="str">
        <f>N5304&amp;AS[[#This Row],[Insurer Code]]&amp;"; "&amp;O5304&amp;AS[[#This Row],[Reporting Year]]&amp;"; "&amp;P5304&amp;AS[[#This Row],[Insurance Category Code]]&amp;"; "&amp;Q5304&amp;AS[[#This Row],[Large Provider Entity Code]]&amp;"; "&amp;R5304&amp;AS[[#This Row],[Age Band Code]]&amp;"; "&amp;S5304&amp;AS[[#This Row],[Sex Code]]</f>
        <v xml:space="preserve">Insurer Code ; Reporting Year ; Insurance Category Code ; Large Provider Entity Code ; Age Band Code ; Sex Code </v>
      </c>
      <c r="N5304" s="345" t="s">
        <v>207</v>
      </c>
      <c r="O5304" s="345" t="s">
        <v>208</v>
      </c>
      <c r="P5304" s="345" t="s">
        <v>209</v>
      </c>
      <c r="Q5304" s="345" t="s">
        <v>210</v>
      </c>
      <c r="R5304" s="345" t="s">
        <v>223</v>
      </c>
      <c r="S5304" s="345" t="s">
        <v>224</v>
      </c>
    </row>
    <row r="5305" spans="1:19" x14ac:dyDescent="0.25">
      <c r="A5305" s="311"/>
      <c r="B5305" s="312"/>
      <c r="C5305" s="312"/>
      <c r="D5305" s="312"/>
      <c r="E5305" s="312"/>
      <c r="F5305" s="312"/>
      <c r="G5305" s="328"/>
      <c r="H5305" s="453"/>
      <c r="I5305" s="334"/>
      <c r="J5305" s="314"/>
      <c r="K5305" s="454"/>
      <c r="M5305" s="349" t="str">
        <f>N5305&amp;AS[[#This Row],[Insurer Code]]&amp;"; "&amp;O5305&amp;AS[[#This Row],[Reporting Year]]&amp;"; "&amp;P5305&amp;AS[[#This Row],[Insurance Category Code]]&amp;"; "&amp;Q5305&amp;AS[[#This Row],[Large Provider Entity Code]]&amp;"; "&amp;R5305&amp;AS[[#This Row],[Age Band Code]]&amp;"; "&amp;S5305&amp;AS[[#This Row],[Sex Code]]</f>
        <v xml:space="preserve">Insurer Code ; Reporting Year ; Insurance Category Code ; Large Provider Entity Code ; Age Band Code ; Sex Code </v>
      </c>
      <c r="N5305" s="345" t="s">
        <v>207</v>
      </c>
      <c r="O5305" s="345" t="s">
        <v>208</v>
      </c>
      <c r="P5305" s="345" t="s">
        <v>209</v>
      </c>
      <c r="Q5305" s="345" t="s">
        <v>210</v>
      </c>
      <c r="R5305" s="345" t="s">
        <v>223</v>
      </c>
      <c r="S5305" s="345" t="s">
        <v>224</v>
      </c>
    </row>
    <row r="5306" spans="1:19" x14ac:dyDescent="0.25">
      <c r="A5306" s="311"/>
      <c r="B5306" s="312"/>
      <c r="C5306" s="312"/>
      <c r="D5306" s="312"/>
      <c r="E5306" s="312"/>
      <c r="F5306" s="312"/>
      <c r="G5306" s="328"/>
      <c r="H5306" s="453"/>
      <c r="I5306" s="334"/>
      <c r="J5306" s="314"/>
      <c r="K5306" s="454"/>
      <c r="M5306" s="349" t="str">
        <f>N5306&amp;AS[[#This Row],[Insurer Code]]&amp;"; "&amp;O5306&amp;AS[[#This Row],[Reporting Year]]&amp;"; "&amp;P5306&amp;AS[[#This Row],[Insurance Category Code]]&amp;"; "&amp;Q5306&amp;AS[[#This Row],[Large Provider Entity Code]]&amp;"; "&amp;R5306&amp;AS[[#This Row],[Age Band Code]]&amp;"; "&amp;S5306&amp;AS[[#This Row],[Sex Code]]</f>
        <v xml:space="preserve">Insurer Code ; Reporting Year ; Insurance Category Code ; Large Provider Entity Code ; Age Band Code ; Sex Code </v>
      </c>
      <c r="N5306" s="345" t="s">
        <v>207</v>
      </c>
      <c r="O5306" s="345" t="s">
        <v>208</v>
      </c>
      <c r="P5306" s="345" t="s">
        <v>209</v>
      </c>
      <c r="Q5306" s="345" t="s">
        <v>210</v>
      </c>
      <c r="R5306" s="345" t="s">
        <v>223</v>
      </c>
      <c r="S5306" s="345" t="s">
        <v>224</v>
      </c>
    </row>
    <row r="5307" spans="1:19" x14ac:dyDescent="0.25">
      <c r="A5307" s="311"/>
      <c r="B5307" s="312"/>
      <c r="C5307" s="312"/>
      <c r="D5307" s="312"/>
      <c r="E5307" s="312"/>
      <c r="F5307" s="312"/>
      <c r="G5307" s="328"/>
      <c r="H5307" s="453"/>
      <c r="I5307" s="334"/>
      <c r="J5307" s="314"/>
      <c r="K5307" s="454"/>
      <c r="M5307" s="349" t="str">
        <f>N5307&amp;AS[[#This Row],[Insurer Code]]&amp;"; "&amp;O5307&amp;AS[[#This Row],[Reporting Year]]&amp;"; "&amp;P5307&amp;AS[[#This Row],[Insurance Category Code]]&amp;"; "&amp;Q5307&amp;AS[[#This Row],[Large Provider Entity Code]]&amp;"; "&amp;R5307&amp;AS[[#This Row],[Age Band Code]]&amp;"; "&amp;S5307&amp;AS[[#This Row],[Sex Code]]</f>
        <v xml:space="preserve">Insurer Code ; Reporting Year ; Insurance Category Code ; Large Provider Entity Code ; Age Band Code ; Sex Code </v>
      </c>
      <c r="N5307" s="345" t="s">
        <v>207</v>
      </c>
      <c r="O5307" s="345" t="s">
        <v>208</v>
      </c>
      <c r="P5307" s="345" t="s">
        <v>209</v>
      </c>
      <c r="Q5307" s="345" t="s">
        <v>210</v>
      </c>
      <c r="R5307" s="345" t="s">
        <v>223</v>
      </c>
      <c r="S5307" s="345" t="s">
        <v>224</v>
      </c>
    </row>
    <row r="5308" spans="1:19" x14ac:dyDescent="0.25">
      <c r="A5308" s="311"/>
      <c r="B5308" s="312"/>
      <c r="C5308" s="312"/>
      <c r="D5308" s="312"/>
      <c r="E5308" s="312"/>
      <c r="F5308" s="312"/>
      <c r="G5308" s="328"/>
      <c r="H5308" s="453"/>
      <c r="I5308" s="334"/>
      <c r="J5308" s="314"/>
      <c r="K5308" s="454"/>
      <c r="M5308" s="349" t="str">
        <f>N5308&amp;AS[[#This Row],[Insurer Code]]&amp;"; "&amp;O5308&amp;AS[[#This Row],[Reporting Year]]&amp;"; "&amp;P5308&amp;AS[[#This Row],[Insurance Category Code]]&amp;"; "&amp;Q5308&amp;AS[[#This Row],[Large Provider Entity Code]]&amp;"; "&amp;R5308&amp;AS[[#This Row],[Age Band Code]]&amp;"; "&amp;S5308&amp;AS[[#This Row],[Sex Code]]</f>
        <v xml:space="preserve">Insurer Code ; Reporting Year ; Insurance Category Code ; Large Provider Entity Code ; Age Band Code ; Sex Code </v>
      </c>
      <c r="N5308" s="345" t="s">
        <v>207</v>
      </c>
      <c r="O5308" s="345" t="s">
        <v>208</v>
      </c>
      <c r="P5308" s="345" t="s">
        <v>209</v>
      </c>
      <c r="Q5308" s="345" t="s">
        <v>210</v>
      </c>
      <c r="R5308" s="345" t="s">
        <v>223</v>
      </c>
      <c r="S5308" s="345" t="s">
        <v>224</v>
      </c>
    </row>
    <row r="5309" spans="1:19" x14ac:dyDescent="0.25">
      <c r="A5309" s="311"/>
      <c r="B5309" s="312"/>
      <c r="C5309" s="312"/>
      <c r="D5309" s="312"/>
      <c r="E5309" s="312"/>
      <c r="F5309" s="312"/>
      <c r="G5309" s="328"/>
      <c r="H5309" s="453"/>
      <c r="I5309" s="334"/>
      <c r="J5309" s="314"/>
      <c r="K5309" s="454"/>
      <c r="M5309" s="349" t="str">
        <f>N5309&amp;AS[[#This Row],[Insurer Code]]&amp;"; "&amp;O5309&amp;AS[[#This Row],[Reporting Year]]&amp;"; "&amp;P5309&amp;AS[[#This Row],[Insurance Category Code]]&amp;"; "&amp;Q5309&amp;AS[[#This Row],[Large Provider Entity Code]]&amp;"; "&amp;R5309&amp;AS[[#This Row],[Age Band Code]]&amp;"; "&amp;S5309&amp;AS[[#This Row],[Sex Code]]</f>
        <v xml:space="preserve">Insurer Code ; Reporting Year ; Insurance Category Code ; Large Provider Entity Code ; Age Band Code ; Sex Code </v>
      </c>
      <c r="N5309" s="345" t="s">
        <v>207</v>
      </c>
      <c r="O5309" s="345" t="s">
        <v>208</v>
      </c>
      <c r="P5309" s="345" t="s">
        <v>209</v>
      </c>
      <c r="Q5309" s="345" t="s">
        <v>210</v>
      </c>
      <c r="R5309" s="345" t="s">
        <v>223</v>
      </c>
      <c r="S5309" s="345" t="s">
        <v>224</v>
      </c>
    </row>
    <row r="5310" spans="1:19" x14ac:dyDescent="0.25">
      <c r="A5310" s="311"/>
      <c r="B5310" s="312"/>
      <c r="C5310" s="312"/>
      <c r="D5310" s="312"/>
      <c r="E5310" s="312"/>
      <c r="F5310" s="312"/>
      <c r="G5310" s="328"/>
      <c r="H5310" s="453"/>
      <c r="I5310" s="334"/>
      <c r="J5310" s="314"/>
      <c r="K5310" s="454"/>
      <c r="M5310" s="349" t="str">
        <f>N5310&amp;AS[[#This Row],[Insurer Code]]&amp;"; "&amp;O5310&amp;AS[[#This Row],[Reporting Year]]&amp;"; "&amp;P5310&amp;AS[[#This Row],[Insurance Category Code]]&amp;"; "&amp;Q5310&amp;AS[[#This Row],[Large Provider Entity Code]]&amp;"; "&amp;R5310&amp;AS[[#This Row],[Age Band Code]]&amp;"; "&amp;S5310&amp;AS[[#This Row],[Sex Code]]</f>
        <v xml:space="preserve">Insurer Code ; Reporting Year ; Insurance Category Code ; Large Provider Entity Code ; Age Band Code ; Sex Code </v>
      </c>
      <c r="N5310" s="345" t="s">
        <v>207</v>
      </c>
      <c r="O5310" s="345" t="s">
        <v>208</v>
      </c>
      <c r="P5310" s="345" t="s">
        <v>209</v>
      </c>
      <c r="Q5310" s="345" t="s">
        <v>210</v>
      </c>
      <c r="R5310" s="345" t="s">
        <v>223</v>
      </c>
      <c r="S5310" s="345" t="s">
        <v>224</v>
      </c>
    </row>
    <row r="5311" spans="1:19" x14ac:dyDescent="0.25">
      <c r="A5311" s="311"/>
      <c r="B5311" s="312"/>
      <c r="C5311" s="312"/>
      <c r="D5311" s="312"/>
      <c r="E5311" s="312"/>
      <c r="F5311" s="312"/>
      <c r="G5311" s="328"/>
      <c r="H5311" s="453"/>
      <c r="I5311" s="334"/>
      <c r="J5311" s="314"/>
      <c r="K5311" s="454"/>
      <c r="M5311" s="349" t="str">
        <f>N5311&amp;AS[[#This Row],[Insurer Code]]&amp;"; "&amp;O5311&amp;AS[[#This Row],[Reporting Year]]&amp;"; "&amp;P5311&amp;AS[[#This Row],[Insurance Category Code]]&amp;"; "&amp;Q5311&amp;AS[[#This Row],[Large Provider Entity Code]]&amp;"; "&amp;R5311&amp;AS[[#This Row],[Age Band Code]]&amp;"; "&amp;S5311&amp;AS[[#This Row],[Sex Code]]</f>
        <v xml:space="preserve">Insurer Code ; Reporting Year ; Insurance Category Code ; Large Provider Entity Code ; Age Band Code ; Sex Code </v>
      </c>
      <c r="N5311" s="345" t="s">
        <v>207</v>
      </c>
      <c r="O5311" s="345" t="s">
        <v>208</v>
      </c>
      <c r="P5311" s="345" t="s">
        <v>209</v>
      </c>
      <c r="Q5311" s="345" t="s">
        <v>210</v>
      </c>
      <c r="R5311" s="345" t="s">
        <v>223</v>
      </c>
      <c r="S5311" s="345" t="s">
        <v>224</v>
      </c>
    </row>
    <row r="5312" spans="1:19" x14ac:dyDescent="0.25">
      <c r="A5312" s="311"/>
      <c r="B5312" s="312"/>
      <c r="C5312" s="312"/>
      <c r="D5312" s="312"/>
      <c r="E5312" s="312"/>
      <c r="F5312" s="312"/>
      <c r="G5312" s="328"/>
      <c r="H5312" s="453"/>
      <c r="I5312" s="334"/>
      <c r="J5312" s="314"/>
      <c r="K5312" s="454"/>
      <c r="M5312" s="349" t="str">
        <f>N5312&amp;AS[[#This Row],[Insurer Code]]&amp;"; "&amp;O5312&amp;AS[[#This Row],[Reporting Year]]&amp;"; "&amp;P5312&amp;AS[[#This Row],[Insurance Category Code]]&amp;"; "&amp;Q5312&amp;AS[[#This Row],[Large Provider Entity Code]]&amp;"; "&amp;R5312&amp;AS[[#This Row],[Age Band Code]]&amp;"; "&amp;S5312&amp;AS[[#This Row],[Sex Code]]</f>
        <v xml:space="preserve">Insurer Code ; Reporting Year ; Insurance Category Code ; Large Provider Entity Code ; Age Band Code ; Sex Code </v>
      </c>
      <c r="N5312" s="345" t="s">
        <v>207</v>
      </c>
      <c r="O5312" s="345" t="s">
        <v>208</v>
      </c>
      <c r="P5312" s="345" t="s">
        <v>209</v>
      </c>
      <c r="Q5312" s="345" t="s">
        <v>210</v>
      </c>
      <c r="R5312" s="345" t="s">
        <v>223</v>
      </c>
      <c r="S5312" s="345" t="s">
        <v>224</v>
      </c>
    </row>
    <row r="5313" spans="1:19" x14ac:dyDescent="0.25">
      <c r="A5313" s="311"/>
      <c r="B5313" s="312"/>
      <c r="C5313" s="312"/>
      <c r="D5313" s="312"/>
      <c r="E5313" s="312"/>
      <c r="F5313" s="312"/>
      <c r="G5313" s="328"/>
      <c r="H5313" s="453"/>
      <c r="I5313" s="334"/>
      <c r="J5313" s="314"/>
      <c r="K5313" s="454"/>
      <c r="M5313" s="349" t="str">
        <f>N5313&amp;AS[[#This Row],[Insurer Code]]&amp;"; "&amp;O5313&amp;AS[[#This Row],[Reporting Year]]&amp;"; "&amp;P5313&amp;AS[[#This Row],[Insurance Category Code]]&amp;"; "&amp;Q5313&amp;AS[[#This Row],[Large Provider Entity Code]]&amp;"; "&amp;R5313&amp;AS[[#This Row],[Age Band Code]]&amp;"; "&amp;S5313&amp;AS[[#This Row],[Sex Code]]</f>
        <v xml:space="preserve">Insurer Code ; Reporting Year ; Insurance Category Code ; Large Provider Entity Code ; Age Band Code ; Sex Code </v>
      </c>
      <c r="N5313" s="345" t="s">
        <v>207</v>
      </c>
      <c r="O5313" s="345" t="s">
        <v>208</v>
      </c>
      <c r="P5313" s="345" t="s">
        <v>209</v>
      </c>
      <c r="Q5313" s="345" t="s">
        <v>210</v>
      </c>
      <c r="R5313" s="345" t="s">
        <v>223</v>
      </c>
      <c r="S5313" s="345" t="s">
        <v>224</v>
      </c>
    </row>
    <row r="5314" spans="1:19" x14ac:dyDescent="0.25">
      <c r="A5314" s="311"/>
      <c r="B5314" s="312"/>
      <c r="C5314" s="312"/>
      <c r="D5314" s="312"/>
      <c r="E5314" s="312"/>
      <c r="F5314" s="312"/>
      <c r="G5314" s="328"/>
      <c r="H5314" s="453"/>
      <c r="I5314" s="334"/>
      <c r="J5314" s="314"/>
      <c r="K5314" s="454"/>
      <c r="M5314" s="349" t="str">
        <f>N5314&amp;AS[[#This Row],[Insurer Code]]&amp;"; "&amp;O5314&amp;AS[[#This Row],[Reporting Year]]&amp;"; "&amp;P5314&amp;AS[[#This Row],[Insurance Category Code]]&amp;"; "&amp;Q5314&amp;AS[[#This Row],[Large Provider Entity Code]]&amp;"; "&amp;R5314&amp;AS[[#This Row],[Age Band Code]]&amp;"; "&amp;S5314&amp;AS[[#This Row],[Sex Code]]</f>
        <v xml:space="preserve">Insurer Code ; Reporting Year ; Insurance Category Code ; Large Provider Entity Code ; Age Band Code ; Sex Code </v>
      </c>
      <c r="N5314" s="345" t="s">
        <v>207</v>
      </c>
      <c r="O5314" s="345" t="s">
        <v>208</v>
      </c>
      <c r="P5314" s="345" t="s">
        <v>209</v>
      </c>
      <c r="Q5314" s="345" t="s">
        <v>210</v>
      </c>
      <c r="R5314" s="345" t="s">
        <v>223</v>
      </c>
      <c r="S5314" s="345" t="s">
        <v>224</v>
      </c>
    </row>
    <row r="5315" spans="1:19" x14ac:dyDescent="0.25">
      <c r="A5315" s="311"/>
      <c r="B5315" s="312"/>
      <c r="C5315" s="312"/>
      <c r="D5315" s="312"/>
      <c r="E5315" s="312"/>
      <c r="F5315" s="312"/>
      <c r="G5315" s="328"/>
      <c r="H5315" s="453"/>
      <c r="I5315" s="334"/>
      <c r="J5315" s="314"/>
      <c r="K5315" s="454"/>
      <c r="M5315" s="349" t="str">
        <f>N5315&amp;AS[[#This Row],[Insurer Code]]&amp;"; "&amp;O5315&amp;AS[[#This Row],[Reporting Year]]&amp;"; "&amp;P5315&amp;AS[[#This Row],[Insurance Category Code]]&amp;"; "&amp;Q5315&amp;AS[[#This Row],[Large Provider Entity Code]]&amp;"; "&amp;R5315&amp;AS[[#This Row],[Age Band Code]]&amp;"; "&amp;S5315&amp;AS[[#This Row],[Sex Code]]</f>
        <v xml:space="preserve">Insurer Code ; Reporting Year ; Insurance Category Code ; Large Provider Entity Code ; Age Band Code ; Sex Code </v>
      </c>
      <c r="N5315" s="345" t="s">
        <v>207</v>
      </c>
      <c r="O5315" s="345" t="s">
        <v>208</v>
      </c>
      <c r="P5315" s="345" t="s">
        <v>209</v>
      </c>
      <c r="Q5315" s="345" t="s">
        <v>210</v>
      </c>
      <c r="R5315" s="345" t="s">
        <v>223</v>
      </c>
      <c r="S5315" s="345" t="s">
        <v>224</v>
      </c>
    </row>
    <row r="5316" spans="1:19" x14ac:dyDescent="0.25">
      <c r="A5316" s="311"/>
      <c r="B5316" s="312"/>
      <c r="C5316" s="312"/>
      <c r="D5316" s="312"/>
      <c r="E5316" s="312"/>
      <c r="F5316" s="312"/>
      <c r="G5316" s="328"/>
      <c r="H5316" s="453"/>
      <c r="I5316" s="334"/>
      <c r="J5316" s="314"/>
      <c r="K5316" s="454"/>
      <c r="M5316" s="349" t="str">
        <f>N5316&amp;AS[[#This Row],[Insurer Code]]&amp;"; "&amp;O5316&amp;AS[[#This Row],[Reporting Year]]&amp;"; "&amp;P5316&amp;AS[[#This Row],[Insurance Category Code]]&amp;"; "&amp;Q5316&amp;AS[[#This Row],[Large Provider Entity Code]]&amp;"; "&amp;R5316&amp;AS[[#This Row],[Age Band Code]]&amp;"; "&amp;S5316&amp;AS[[#This Row],[Sex Code]]</f>
        <v xml:space="preserve">Insurer Code ; Reporting Year ; Insurance Category Code ; Large Provider Entity Code ; Age Band Code ; Sex Code </v>
      </c>
      <c r="N5316" s="345" t="s">
        <v>207</v>
      </c>
      <c r="O5316" s="345" t="s">
        <v>208</v>
      </c>
      <c r="P5316" s="345" t="s">
        <v>209</v>
      </c>
      <c r="Q5316" s="345" t="s">
        <v>210</v>
      </c>
      <c r="R5316" s="345" t="s">
        <v>223</v>
      </c>
      <c r="S5316" s="345" t="s">
        <v>224</v>
      </c>
    </row>
    <row r="5317" spans="1:19" x14ac:dyDescent="0.25">
      <c r="A5317" s="311"/>
      <c r="B5317" s="312"/>
      <c r="C5317" s="312"/>
      <c r="D5317" s="312"/>
      <c r="E5317" s="312"/>
      <c r="F5317" s="312"/>
      <c r="G5317" s="328"/>
      <c r="H5317" s="453"/>
      <c r="I5317" s="334"/>
      <c r="J5317" s="314"/>
      <c r="K5317" s="454"/>
      <c r="M5317" s="349" t="str">
        <f>N5317&amp;AS[[#This Row],[Insurer Code]]&amp;"; "&amp;O5317&amp;AS[[#This Row],[Reporting Year]]&amp;"; "&amp;P5317&amp;AS[[#This Row],[Insurance Category Code]]&amp;"; "&amp;Q5317&amp;AS[[#This Row],[Large Provider Entity Code]]&amp;"; "&amp;R5317&amp;AS[[#This Row],[Age Band Code]]&amp;"; "&amp;S5317&amp;AS[[#This Row],[Sex Code]]</f>
        <v xml:space="preserve">Insurer Code ; Reporting Year ; Insurance Category Code ; Large Provider Entity Code ; Age Band Code ; Sex Code </v>
      </c>
      <c r="N5317" s="345" t="s">
        <v>207</v>
      </c>
      <c r="O5317" s="345" t="s">
        <v>208</v>
      </c>
      <c r="P5317" s="345" t="s">
        <v>209</v>
      </c>
      <c r="Q5317" s="345" t="s">
        <v>210</v>
      </c>
      <c r="R5317" s="345" t="s">
        <v>223</v>
      </c>
      <c r="S5317" s="345" t="s">
        <v>224</v>
      </c>
    </row>
    <row r="5318" spans="1:19" x14ac:dyDescent="0.25">
      <c r="A5318" s="311"/>
      <c r="B5318" s="312"/>
      <c r="C5318" s="312"/>
      <c r="D5318" s="312"/>
      <c r="E5318" s="312"/>
      <c r="F5318" s="312"/>
      <c r="G5318" s="328"/>
      <c r="H5318" s="453"/>
      <c r="I5318" s="334"/>
      <c r="J5318" s="314"/>
      <c r="K5318" s="454"/>
      <c r="M5318" s="349" t="str">
        <f>N5318&amp;AS[[#This Row],[Insurer Code]]&amp;"; "&amp;O5318&amp;AS[[#This Row],[Reporting Year]]&amp;"; "&amp;P5318&amp;AS[[#This Row],[Insurance Category Code]]&amp;"; "&amp;Q5318&amp;AS[[#This Row],[Large Provider Entity Code]]&amp;"; "&amp;R5318&amp;AS[[#This Row],[Age Band Code]]&amp;"; "&amp;S5318&amp;AS[[#This Row],[Sex Code]]</f>
        <v xml:space="preserve">Insurer Code ; Reporting Year ; Insurance Category Code ; Large Provider Entity Code ; Age Band Code ; Sex Code </v>
      </c>
      <c r="N5318" s="345" t="s">
        <v>207</v>
      </c>
      <c r="O5318" s="345" t="s">
        <v>208</v>
      </c>
      <c r="P5318" s="345" t="s">
        <v>209</v>
      </c>
      <c r="Q5318" s="345" t="s">
        <v>210</v>
      </c>
      <c r="R5318" s="345" t="s">
        <v>223</v>
      </c>
      <c r="S5318" s="345" t="s">
        <v>224</v>
      </c>
    </row>
    <row r="5319" spans="1:19" x14ac:dyDescent="0.25">
      <c r="A5319" s="311"/>
      <c r="B5319" s="312"/>
      <c r="C5319" s="312"/>
      <c r="D5319" s="312"/>
      <c r="E5319" s="312"/>
      <c r="F5319" s="312"/>
      <c r="G5319" s="328"/>
      <c r="H5319" s="453"/>
      <c r="I5319" s="334"/>
      <c r="J5319" s="314"/>
      <c r="K5319" s="454"/>
      <c r="M5319" s="349" t="str">
        <f>N5319&amp;AS[[#This Row],[Insurer Code]]&amp;"; "&amp;O5319&amp;AS[[#This Row],[Reporting Year]]&amp;"; "&amp;P5319&amp;AS[[#This Row],[Insurance Category Code]]&amp;"; "&amp;Q5319&amp;AS[[#This Row],[Large Provider Entity Code]]&amp;"; "&amp;R5319&amp;AS[[#This Row],[Age Band Code]]&amp;"; "&amp;S5319&amp;AS[[#This Row],[Sex Code]]</f>
        <v xml:space="preserve">Insurer Code ; Reporting Year ; Insurance Category Code ; Large Provider Entity Code ; Age Band Code ; Sex Code </v>
      </c>
      <c r="N5319" s="345" t="s">
        <v>207</v>
      </c>
      <c r="O5319" s="345" t="s">
        <v>208</v>
      </c>
      <c r="P5319" s="345" t="s">
        <v>209</v>
      </c>
      <c r="Q5319" s="345" t="s">
        <v>210</v>
      </c>
      <c r="R5319" s="345" t="s">
        <v>223</v>
      </c>
      <c r="S5319" s="345" t="s">
        <v>224</v>
      </c>
    </row>
    <row r="5320" spans="1:19" x14ac:dyDescent="0.25">
      <c r="A5320" s="311"/>
      <c r="B5320" s="312"/>
      <c r="C5320" s="312"/>
      <c r="D5320" s="312"/>
      <c r="E5320" s="312"/>
      <c r="F5320" s="312"/>
      <c r="G5320" s="328"/>
      <c r="H5320" s="453"/>
      <c r="I5320" s="334"/>
      <c r="J5320" s="314"/>
      <c r="K5320" s="454"/>
      <c r="M5320" s="349" t="str">
        <f>N5320&amp;AS[[#This Row],[Insurer Code]]&amp;"; "&amp;O5320&amp;AS[[#This Row],[Reporting Year]]&amp;"; "&amp;P5320&amp;AS[[#This Row],[Insurance Category Code]]&amp;"; "&amp;Q5320&amp;AS[[#This Row],[Large Provider Entity Code]]&amp;"; "&amp;R5320&amp;AS[[#This Row],[Age Band Code]]&amp;"; "&amp;S5320&amp;AS[[#This Row],[Sex Code]]</f>
        <v xml:space="preserve">Insurer Code ; Reporting Year ; Insurance Category Code ; Large Provider Entity Code ; Age Band Code ; Sex Code </v>
      </c>
      <c r="N5320" s="345" t="s">
        <v>207</v>
      </c>
      <c r="O5320" s="345" t="s">
        <v>208</v>
      </c>
      <c r="P5320" s="345" t="s">
        <v>209</v>
      </c>
      <c r="Q5320" s="345" t="s">
        <v>210</v>
      </c>
      <c r="R5320" s="345" t="s">
        <v>223</v>
      </c>
      <c r="S5320" s="345" t="s">
        <v>224</v>
      </c>
    </row>
    <row r="5321" spans="1:19" x14ac:dyDescent="0.25">
      <c r="A5321" s="311"/>
      <c r="B5321" s="312"/>
      <c r="C5321" s="312"/>
      <c r="D5321" s="312"/>
      <c r="E5321" s="312"/>
      <c r="F5321" s="312"/>
      <c r="G5321" s="328"/>
      <c r="H5321" s="453"/>
      <c r="I5321" s="334"/>
      <c r="J5321" s="314"/>
      <c r="K5321" s="454"/>
      <c r="M5321" s="349" t="str">
        <f>N5321&amp;AS[[#This Row],[Insurer Code]]&amp;"; "&amp;O5321&amp;AS[[#This Row],[Reporting Year]]&amp;"; "&amp;P5321&amp;AS[[#This Row],[Insurance Category Code]]&amp;"; "&amp;Q5321&amp;AS[[#This Row],[Large Provider Entity Code]]&amp;"; "&amp;R5321&amp;AS[[#This Row],[Age Band Code]]&amp;"; "&amp;S5321&amp;AS[[#This Row],[Sex Code]]</f>
        <v xml:space="preserve">Insurer Code ; Reporting Year ; Insurance Category Code ; Large Provider Entity Code ; Age Band Code ; Sex Code </v>
      </c>
      <c r="N5321" s="345" t="s">
        <v>207</v>
      </c>
      <c r="O5321" s="345" t="s">
        <v>208</v>
      </c>
      <c r="P5321" s="345" t="s">
        <v>209</v>
      </c>
      <c r="Q5321" s="345" t="s">
        <v>210</v>
      </c>
      <c r="R5321" s="345" t="s">
        <v>223</v>
      </c>
      <c r="S5321" s="345" t="s">
        <v>224</v>
      </c>
    </row>
    <row r="5322" spans="1:19" x14ac:dyDescent="0.25">
      <c r="A5322" s="311"/>
      <c r="B5322" s="312"/>
      <c r="C5322" s="312"/>
      <c r="D5322" s="312"/>
      <c r="E5322" s="312"/>
      <c r="F5322" s="312"/>
      <c r="G5322" s="328"/>
      <c r="H5322" s="453"/>
      <c r="I5322" s="334"/>
      <c r="J5322" s="314"/>
      <c r="K5322" s="454"/>
      <c r="M5322" s="349" t="str">
        <f>N5322&amp;AS[[#This Row],[Insurer Code]]&amp;"; "&amp;O5322&amp;AS[[#This Row],[Reporting Year]]&amp;"; "&amp;P5322&amp;AS[[#This Row],[Insurance Category Code]]&amp;"; "&amp;Q5322&amp;AS[[#This Row],[Large Provider Entity Code]]&amp;"; "&amp;R5322&amp;AS[[#This Row],[Age Band Code]]&amp;"; "&amp;S5322&amp;AS[[#This Row],[Sex Code]]</f>
        <v xml:space="preserve">Insurer Code ; Reporting Year ; Insurance Category Code ; Large Provider Entity Code ; Age Band Code ; Sex Code </v>
      </c>
      <c r="N5322" s="345" t="s">
        <v>207</v>
      </c>
      <c r="O5322" s="345" t="s">
        <v>208</v>
      </c>
      <c r="P5322" s="345" t="s">
        <v>209</v>
      </c>
      <c r="Q5322" s="345" t="s">
        <v>210</v>
      </c>
      <c r="R5322" s="345" t="s">
        <v>223</v>
      </c>
      <c r="S5322" s="345" t="s">
        <v>224</v>
      </c>
    </row>
    <row r="5323" spans="1:19" x14ac:dyDescent="0.25">
      <c r="A5323" s="311"/>
      <c r="B5323" s="312"/>
      <c r="C5323" s="312"/>
      <c r="D5323" s="312"/>
      <c r="E5323" s="312"/>
      <c r="F5323" s="312"/>
      <c r="G5323" s="328"/>
      <c r="H5323" s="453"/>
      <c r="I5323" s="334"/>
      <c r="J5323" s="314"/>
      <c r="K5323" s="454"/>
      <c r="M5323" s="349" t="str">
        <f>N5323&amp;AS[[#This Row],[Insurer Code]]&amp;"; "&amp;O5323&amp;AS[[#This Row],[Reporting Year]]&amp;"; "&amp;P5323&amp;AS[[#This Row],[Insurance Category Code]]&amp;"; "&amp;Q5323&amp;AS[[#This Row],[Large Provider Entity Code]]&amp;"; "&amp;R5323&amp;AS[[#This Row],[Age Band Code]]&amp;"; "&amp;S5323&amp;AS[[#This Row],[Sex Code]]</f>
        <v xml:space="preserve">Insurer Code ; Reporting Year ; Insurance Category Code ; Large Provider Entity Code ; Age Band Code ; Sex Code </v>
      </c>
      <c r="N5323" s="345" t="s">
        <v>207</v>
      </c>
      <c r="O5323" s="345" t="s">
        <v>208</v>
      </c>
      <c r="P5323" s="345" t="s">
        <v>209</v>
      </c>
      <c r="Q5323" s="345" t="s">
        <v>210</v>
      </c>
      <c r="R5323" s="345" t="s">
        <v>223</v>
      </c>
      <c r="S5323" s="345" t="s">
        <v>224</v>
      </c>
    </row>
    <row r="5324" spans="1:19" x14ac:dyDescent="0.25">
      <c r="A5324" s="311"/>
      <c r="B5324" s="312"/>
      <c r="C5324" s="312"/>
      <c r="D5324" s="312"/>
      <c r="E5324" s="312"/>
      <c r="F5324" s="312"/>
      <c r="G5324" s="328"/>
      <c r="H5324" s="453"/>
      <c r="I5324" s="334"/>
      <c r="J5324" s="314"/>
      <c r="K5324" s="454"/>
      <c r="M5324" s="349" t="str">
        <f>N5324&amp;AS[[#This Row],[Insurer Code]]&amp;"; "&amp;O5324&amp;AS[[#This Row],[Reporting Year]]&amp;"; "&amp;P5324&amp;AS[[#This Row],[Insurance Category Code]]&amp;"; "&amp;Q5324&amp;AS[[#This Row],[Large Provider Entity Code]]&amp;"; "&amp;R5324&amp;AS[[#This Row],[Age Band Code]]&amp;"; "&amp;S5324&amp;AS[[#This Row],[Sex Code]]</f>
        <v xml:space="preserve">Insurer Code ; Reporting Year ; Insurance Category Code ; Large Provider Entity Code ; Age Band Code ; Sex Code </v>
      </c>
      <c r="N5324" s="345" t="s">
        <v>207</v>
      </c>
      <c r="O5324" s="345" t="s">
        <v>208</v>
      </c>
      <c r="P5324" s="345" t="s">
        <v>209</v>
      </c>
      <c r="Q5324" s="345" t="s">
        <v>210</v>
      </c>
      <c r="R5324" s="345" t="s">
        <v>223</v>
      </c>
      <c r="S5324" s="345" t="s">
        <v>224</v>
      </c>
    </row>
    <row r="5325" spans="1:19" x14ac:dyDescent="0.25">
      <c r="A5325" s="311"/>
      <c r="B5325" s="312"/>
      <c r="C5325" s="312"/>
      <c r="D5325" s="312"/>
      <c r="E5325" s="312"/>
      <c r="F5325" s="312"/>
      <c r="G5325" s="328"/>
      <c r="H5325" s="453"/>
      <c r="I5325" s="334"/>
      <c r="J5325" s="314"/>
      <c r="K5325" s="454"/>
      <c r="M5325" s="349" t="str">
        <f>N5325&amp;AS[[#This Row],[Insurer Code]]&amp;"; "&amp;O5325&amp;AS[[#This Row],[Reporting Year]]&amp;"; "&amp;P5325&amp;AS[[#This Row],[Insurance Category Code]]&amp;"; "&amp;Q5325&amp;AS[[#This Row],[Large Provider Entity Code]]&amp;"; "&amp;R5325&amp;AS[[#This Row],[Age Band Code]]&amp;"; "&amp;S5325&amp;AS[[#This Row],[Sex Code]]</f>
        <v xml:space="preserve">Insurer Code ; Reporting Year ; Insurance Category Code ; Large Provider Entity Code ; Age Band Code ; Sex Code </v>
      </c>
      <c r="N5325" s="345" t="s">
        <v>207</v>
      </c>
      <c r="O5325" s="345" t="s">
        <v>208</v>
      </c>
      <c r="P5325" s="345" t="s">
        <v>209</v>
      </c>
      <c r="Q5325" s="345" t="s">
        <v>210</v>
      </c>
      <c r="R5325" s="345" t="s">
        <v>223</v>
      </c>
      <c r="S5325" s="345" t="s">
        <v>224</v>
      </c>
    </row>
    <row r="5326" spans="1:19" x14ac:dyDescent="0.25">
      <c r="A5326" s="311"/>
      <c r="B5326" s="312"/>
      <c r="C5326" s="312"/>
      <c r="D5326" s="312"/>
      <c r="E5326" s="312"/>
      <c r="F5326" s="312"/>
      <c r="G5326" s="328"/>
      <c r="H5326" s="453"/>
      <c r="I5326" s="334"/>
      <c r="J5326" s="314"/>
      <c r="K5326" s="454"/>
      <c r="M5326" s="349" t="str">
        <f>N5326&amp;AS[[#This Row],[Insurer Code]]&amp;"; "&amp;O5326&amp;AS[[#This Row],[Reporting Year]]&amp;"; "&amp;P5326&amp;AS[[#This Row],[Insurance Category Code]]&amp;"; "&amp;Q5326&amp;AS[[#This Row],[Large Provider Entity Code]]&amp;"; "&amp;R5326&amp;AS[[#This Row],[Age Band Code]]&amp;"; "&amp;S5326&amp;AS[[#This Row],[Sex Code]]</f>
        <v xml:space="preserve">Insurer Code ; Reporting Year ; Insurance Category Code ; Large Provider Entity Code ; Age Band Code ; Sex Code </v>
      </c>
      <c r="N5326" s="345" t="s">
        <v>207</v>
      </c>
      <c r="O5326" s="345" t="s">
        <v>208</v>
      </c>
      <c r="P5326" s="345" t="s">
        <v>209</v>
      </c>
      <c r="Q5326" s="345" t="s">
        <v>210</v>
      </c>
      <c r="R5326" s="345" t="s">
        <v>223</v>
      </c>
      <c r="S5326" s="345" t="s">
        <v>224</v>
      </c>
    </row>
    <row r="5327" spans="1:19" x14ac:dyDescent="0.25">
      <c r="A5327" s="311"/>
      <c r="B5327" s="312"/>
      <c r="C5327" s="312"/>
      <c r="D5327" s="312"/>
      <c r="E5327" s="312"/>
      <c r="F5327" s="312"/>
      <c r="G5327" s="328"/>
      <c r="H5327" s="453"/>
      <c r="I5327" s="334"/>
      <c r="J5327" s="314"/>
      <c r="K5327" s="454"/>
      <c r="M5327" s="349" t="str">
        <f>N5327&amp;AS[[#This Row],[Insurer Code]]&amp;"; "&amp;O5327&amp;AS[[#This Row],[Reporting Year]]&amp;"; "&amp;P5327&amp;AS[[#This Row],[Insurance Category Code]]&amp;"; "&amp;Q5327&amp;AS[[#This Row],[Large Provider Entity Code]]&amp;"; "&amp;R5327&amp;AS[[#This Row],[Age Band Code]]&amp;"; "&amp;S5327&amp;AS[[#This Row],[Sex Code]]</f>
        <v xml:space="preserve">Insurer Code ; Reporting Year ; Insurance Category Code ; Large Provider Entity Code ; Age Band Code ; Sex Code </v>
      </c>
      <c r="N5327" s="345" t="s">
        <v>207</v>
      </c>
      <c r="O5327" s="345" t="s">
        <v>208</v>
      </c>
      <c r="P5327" s="345" t="s">
        <v>209</v>
      </c>
      <c r="Q5327" s="345" t="s">
        <v>210</v>
      </c>
      <c r="R5327" s="345" t="s">
        <v>223</v>
      </c>
      <c r="S5327" s="345" t="s">
        <v>224</v>
      </c>
    </row>
    <row r="5328" spans="1:19" x14ac:dyDescent="0.25">
      <c r="A5328" s="311"/>
      <c r="B5328" s="312"/>
      <c r="C5328" s="312"/>
      <c r="D5328" s="312"/>
      <c r="E5328" s="312"/>
      <c r="F5328" s="312"/>
      <c r="G5328" s="328"/>
      <c r="H5328" s="453"/>
      <c r="I5328" s="334"/>
      <c r="J5328" s="314"/>
      <c r="K5328" s="454"/>
      <c r="M5328" s="349" t="str">
        <f>N5328&amp;AS[[#This Row],[Insurer Code]]&amp;"; "&amp;O5328&amp;AS[[#This Row],[Reporting Year]]&amp;"; "&amp;P5328&amp;AS[[#This Row],[Insurance Category Code]]&amp;"; "&amp;Q5328&amp;AS[[#This Row],[Large Provider Entity Code]]&amp;"; "&amp;R5328&amp;AS[[#This Row],[Age Band Code]]&amp;"; "&amp;S5328&amp;AS[[#This Row],[Sex Code]]</f>
        <v xml:space="preserve">Insurer Code ; Reporting Year ; Insurance Category Code ; Large Provider Entity Code ; Age Band Code ; Sex Code </v>
      </c>
      <c r="N5328" s="345" t="s">
        <v>207</v>
      </c>
      <c r="O5328" s="345" t="s">
        <v>208</v>
      </c>
      <c r="P5328" s="345" t="s">
        <v>209</v>
      </c>
      <c r="Q5328" s="345" t="s">
        <v>210</v>
      </c>
      <c r="R5328" s="345" t="s">
        <v>223</v>
      </c>
      <c r="S5328" s="345" t="s">
        <v>224</v>
      </c>
    </row>
    <row r="5329" spans="1:19" x14ac:dyDescent="0.25">
      <c r="A5329" s="311"/>
      <c r="B5329" s="312"/>
      <c r="C5329" s="312"/>
      <c r="D5329" s="312"/>
      <c r="E5329" s="312"/>
      <c r="F5329" s="312"/>
      <c r="G5329" s="328"/>
      <c r="H5329" s="453"/>
      <c r="I5329" s="334"/>
      <c r="J5329" s="314"/>
      <c r="K5329" s="454"/>
      <c r="M5329" s="349" t="str">
        <f>N5329&amp;AS[[#This Row],[Insurer Code]]&amp;"; "&amp;O5329&amp;AS[[#This Row],[Reporting Year]]&amp;"; "&amp;P5329&amp;AS[[#This Row],[Insurance Category Code]]&amp;"; "&amp;Q5329&amp;AS[[#This Row],[Large Provider Entity Code]]&amp;"; "&amp;R5329&amp;AS[[#This Row],[Age Band Code]]&amp;"; "&amp;S5329&amp;AS[[#This Row],[Sex Code]]</f>
        <v xml:space="preserve">Insurer Code ; Reporting Year ; Insurance Category Code ; Large Provider Entity Code ; Age Band Code ; Sex Code </v>
      </c>
      <c r="N5329" s="345" t="s">
        <v>207</v>
      </c>
      <c r="O5329" s="345" t="s">
        <v>208</v>
      </c>
      <c r="P5329" s="345" t="s">
        <v>209</v>
      </c>
      <c r="Q5329" s="345" t="s">
        <v>210</v>
      </c>
      <c r="R5329" s="345" t="s">
        <v>223</v>
      </c>
      <c r="S5329" s="345" t="s">
        <v>224</v>
      </c>
    </row>
    <row r="5330" spans="1:19" x14ac:dyDescent="0.25">
      <c r="A5330" s="311"/>
      <c r="B5330" s="312"/>
      <c r="C5330" s="312"/>
      <c r="D5330" s="312"/>
      <c r="E5330" s="312"/>
      <c r="F5330" s="312"/>
      <c r="G5330" s="328"/>
      <c r="H5330" s="453"/>
      <c r="I5330" s="334"/>
      <c r="J5330" s="314"/>
      <c r="K5330" s="454"/>
      <c r="M5330" s="349" t="str">
        <f>N5330&amp;AS[[#This Row],[Insurer Code]]&amp;"; "&amp;O5330&amp;AS[[#This Row],[Reporting Year]]&amp;"; "&amp;P5330&amp;AS[[#This Row],[Insurance Category Code]]&amp;"; "&amp;Q5330&amp;AS[[#This Row],[Large Provider Entity Code]]&amp;"; "&amp;R5330&amp;AS[[#This Row],[Age Band Code]]&amp;"; "&amp;S5330&amp;AS[[#This Row],[Sex Code]]</f>
        <v xml:space="preserve">Insurer Code ; Reporting Year ; Insurance Category Code ; Large Provider Entity Code ; Age Band Code ; Sex Code </v>
      </c>
      <c r="N5330" s="345" t="s">
        <v>207</v>
      </c>
      <c r="O5330" s="345" t="s">
        <v>208</v>
      </c>
      <c r="P5330" s="345" t="s">
        <v>209</v>
      </c>
      <c r="Q5330" s="345" t="s">
        <v>210</v>
      </c>
      <c r="R5330" s="345" t="s">
        <v>223</v>
      </c>
      <c r="S5330" s="345" t="s">
        <v>224</v>
      </c>
    </row>
    <row r="5331" spans="1:19" x14ac:dyDescent="0.25">
      <c r="A5331" s="311"/>
      <c r="B5331" s="312"/>
      <c r="C5331" s="312"/>
      <c r="D5331" s="312"/>
      <c r="E5331" s="312"/>
      <c r="F5331" s="312"/>
      <c r="G5331" s="328"/>
      <c r="H5331" s="453"/>
      <c r="I5331" s="334"/>
      <c r="J5331" s="314"/>
      <c r="K5331" s="454"/>
      <c r="M5331" s="349" t="str">
        <f>N5331&amp;AS[[#This Row],[Insurer Code]]&amp;"; "&amp;O5331&amp;AS[[#This Row],[Reporting Year]]&amp;"; "&amp;P5331&amp;AS[[#This Row],[Insurance Category Code]]&amp;"; "&amp;Q5331&amp;AS[[#This Row],[Large Provider Entity Code]]&amp;"; "&amp;R5331&amp;AS[[#This Row],[Age Band Code]]&amp;"; "&amp;S5331&amp;AS[[#This Row],[Sex Code]]</f>
        <v xml:space="preserve">Insurer Code ; Reporting Year ; Insurance Category Code ; Large Provider Entity Code ; Age Band Code ; Sex Code </v>
      </c>
      <c r="N5331" s="345" t="s">
        <v>207</v>
      </c>
      <c r="O5331" s="345" t="s">
        <v>208</v>
      </c>
      <c r="P5331" s="345" t="s">
        <v>209</v>
      </c>
      <c r="Q5331" s="345" t="s">
        <v>210</v>
      </c>
      <c r="R5331" s="345" t="s">
        <v>223</v>
      </c>
      <c r="S5331" s="345" t="s">
        <v>224</v>
      </c>
    </row>
    <row r="5332" spans="1:19" x14ac:dyDescent="0.25">
      <c r="A5332" s="311"/>
      <c r="B5332" s="312"/>
      <c r="C5332" s="312"/>
      <c r="D5332" s="312"/>
      <c r="E5332" s="312"/>
      <c r="F5332" s="312"/>
      <c r="G5332" s="328"/>
      <c r="H5332" s="453"/>
      <c r="I5332" s="334"/>
      <c r="J5332" s="314"/>
      <c r="K5332" s="454"/>
      <c r="M5332" s="349" t="str">
        <f>N5332&amp;AS[[#This Row],[Insurer Code]]&amp;"; "&amp;O5332&amp;AS[[#This Row],[Reporting Year]]&amp;"; "&amp;P5332&amp;AS[[#This Row],[Insurance Category Code]]&amp;"; "&amp;Q5332&amp;AS[[#This Row],[Large Provider Entity Code]]&amp;"; "&amp;R5332&amp;AS[[#This Row],[Age Band Code]]&amp;"; "&amp;S5332&amp;AS[[#This Row],[Sex Code]]</f>
        <v xml:space="preserve">Insurer Code ; Reporting Year ; Insurance Category Code ; Large Provider Entity Code ; Age Band Code ; Sex Code </v>
      </c>
      <c r="N5332" s="345" t="s">
        <v>207</v>
      </c>
      <c r="O5332" s="345" t="s">
        <v>208</v>
      </c>
      <c r="P5332" s="345" t="s">
        <v>209</v>
      </c>
      <c r="Q5332" s="345" t="s">
        <v>210</v>
      </c>
      <c r="R5332" s="345" t="s">
        <v>223</v>
      </c>
      <c r="S5332" s="345" t="s">
        <v>224</v>
      </c>
    </row>
    <row r="5333" spans="1:19" x14ac:dyDescent="0.25">
      <c r="A5333" s="311"/>
      <c r="B5333" s="312"/>
      <c r="C5333" s="312"/>
      <c r="D5333" s="312"/>
      <c r="E5333" s="312"/>
      <c r="F5333" s="312"/>
      <c r="G5333" s="328"/>
      <c r="H5333" s="453"/>
      <c r="I5333" s="334"/>
      <c r="J5333" s="314"/>
      <c r="K5333" s="454"/>
      <c r="M5333" s="349" t="str">
        <f>N5333&amp;AS[[#This Row],[Insurer Code]]&amp;"; "&amp;O5333&amp;AS[[#This Row],[Reporting Year]]&amp;"; "&amp;P5333&amp;AS[[#This Row],[Insurance Category Code]]&amp;"; "&amp;Q5333&amp;AS[[#This Row],[Large Provider Entity Code]]&amp;"; "&amp;R5333&amp;AS[[#This Row],[Age Band Code]]&amp;"; "&amp;S5333&amp;AS[[#This Row],[Sex Code]]</f>
        <v xml:space="preserve">Insurer Code ; Reporting Year ; Insurance Category Code ; Large Provider Entity Code ; Age Band Code ; Sex Code </v>
      </c>
      <c r="N5333" s="345" t="s">
        <v>207</v>
      </c>
      <c r="O5333" s="345" t="s">
        <v>208</v>
      </c>
      <c r="P5333" s="345" t="s">
        <v>209</v>
      </c>
      <c r="Q5333" s="345" t="s">
        <v>210</v>
      </c>
      <c r="R5333" s="345" t="s">
        <v>223</v>
      </c>
      <c r="S5333" s="345" t="s">
        <v>224</v>
      </c>
    </row>
    <row r="5334" spans="1:19" x14ac:dyDescent="0.25">
      <c r="A5334" s="311"/>
      <c r="B5334" s="312"/>
      <c r="C5334" s="312"/>
      <c r="D5334" s="312"/>
      <c r="E5334" s="312"/>
      <c r="F5334" s="312"/>
      <c r="G5334" s="328"/>
      <c r="H5334" s="453"/>
      <c r="I5334" s="334"/>
      <c r="J5334" s="314"/>
      <c r="K5334" s="454"/>
      <c r="M5334" s="349" t="str">
        <f>N5334&amp;AS[[#This Row],[Insurer Code]]&amp;"; "&amp;O5334&amp;AS[[#This Row],[Reporting Year]]&amp;"; "&amp;P5334&amp;AS[[#This Row],[Insurance Category Code]]&amp;"; "&amp;Q5334&amp;AS[[#This Row],[Large Provider Entity Code]]&amp;"; "&amp;R5334&amp;AS[[#This Row],[Age Band Code]]&amp;"; "&amp;S5334&amp;AS[[#This Row],[Sex Code]]</f>
        <v xml:space="preserve">Insurer Code ; Reporting Year ; Insurance Category Code ; Large Provider Entity Code ; Age Band Code ; Sex Code </v>
      </c>
      <c r="N5334" s="345" t="s">
        <v>207</v>
      </c>
      <c r="O5334" s="345" t="s">
        <v>208</v>
      </c>
      <c r="P5334" s="345" t="s">
        <v>209</v>
      </c>
      <c r="Q5334" s="345" t="s">
        <v>210</v>
      </c>
      <c r="R5334" s="345" t="s">
        <v>223</v>
      </c>
      <c r="S5334" s="345" t="s">
        <v>224</v>
      </c>
    </row>
    <row r="5335" spans="1:19" x14ac:dyDescent="0.25">
      <c r="A5335" s="311"/>
      <c r="B5335" s="312"/>
      <c r="C5335" s="312"/>
      <c r="D5335" s="312"/>
      <c r="E5335" s="312"/>
      <c r="F5335" s="312"/>
      <c r="G5335" s="328"/>
      <c r="H5335" s="453"/>
      <c r="I5335" s="334"/>
      <c r="J5335" s="314"/>
      <c r="K5335" s="454"/>
      <c r="M5335" s="349" t="str">
        <f>N5335&amp;AS[[#This Row],[Insurer Code]]&amp;"; "&amp;O5335&amp;AS[[#This Row],[Reporting Year]]&amp;"; "&amp;P5335&amp;AS[[#This Row],[Insurance Category Code]]&amp;"; "&amp;Q5335&amp;AS[[#This Row],[Large Provider Entity Code]]&amp;"; "&amp;R5335&amp;AS[[#This Row],[Age Band Code]]&amp;"; "&amp;S5335&amp;AS[[#This Row],[Sex Code]]</f>
        <v xml:space="preserve">Insurer Code ; Reporting Year ; Insurance Category Code ; Large Provider Entity Code ; Age Band Code ; Sex Code </v>
      </c>
      <c r="N5335" s="345" t="s">
        <v>207</v>
      </c>
      <c r="O5335" s="345" t="s">
        <v>208</v>
      </c>
      <c r="P5335" s="345" t="s">
        <v>209</v>
      </c>
      <c r="Q5335" s="345" t="s">
        <v>210</v>
      </c>
      <c r="R5335" s="345" t="s">
        <v>223</v>
      </c>
      <c r="S5335" s="345" t="s">
        <v>224</v>
      </c>
    </row>
    <row r="5336" spans="1:19" x14ac:dyDescent="0.25">
      <c r="A5336" s="311"/>
      <c r="B5336" s="312"/>
      <c r="C5336" s="312"/>
      <c r="D5336" s="312"/>
      <c r="E5336" s="312"/>
      <c r="F5336" s="312"/>
      <c r="G5336" s="328"/>
      <c r="H5336" s="453"/>
      <c r="I5336" s="334"/>
      <c r="J5336" s="314"/>
      <c r="K5336" s="454"/>
      <c r="M5336" s="349" t="str">
        <f>N5336&amp;AS[[#This Row],[Insurer Code]]&amp;"; "&amp;O5336&amp;AS[[#This Row],[Reporting Year]]&amp;"; "&amp;P5336&amp;AS[[#This Row],[Insurance Category Code]]&amp;"; "&amp;Q5336&amp;AS[[#This Row],[Large Provider Entity Code]]&amp;"; "&amp;R5336&amp;AS[[#This Row],[Age Band Code]]&amp;"; "&amp;S5336&amp;AS[[#This Row],[Sex Code]]</f>
        <v xml:space="preserve">Insurer Code ; Reporting Year ; Insurance Category Code ; Large Provider Entity Code ; Age Band Code ; Sex Code </v>
      </c>
      <c r="N5336" s="345" t="s">
        <v>207</v>
      </c>
      <c r="O5336" s="345" t="s">
        <v>208</v>
      </c>
      <c r="P5336" s="345" t="s">
        <v>209</v>
      </c>
      <c r="Q5336" s="345" t="s">
        <v>210</v>
      </c>
      <c r="R5336" s="345" t="s">
        <v>223</v>
      </c>
      <c r="S5336" s="345" t="s">
        <v>224</v>
      </c>
    </row>
    <row r="5337" spans="1:19" x14ac:dyDescent="0.25">
      <c r="A5337" s="311"/>
      <c r="B5337" s="312"/>
      <c r="C5337" s="312"/>
      <c r="D5337" s="312"/>
      <c r="E5337" s="312"/>
      <c r="F5337" s="312"/>
      <c r="G5337" s="328"/>
      <c r="H5337" s="453"/>
      <c r="I5337" s="334"/>
      <c r="J5337" s="314"/>
      <c r="K5337" s="454"/>
      <c r="M5337" s="349" t="str">
        <f>N5337&amp;AS[[#This Row],[Insurer Code]]&amp;"; "&amp;O5337&amp;AS[[#This Row],[Reporting Year]]&amp;"; "&amp;P5337&amp;AS[[#This Row],[Insurance Category Code]]&amp;"; "&amp;Q5337&amp;AS[[#This Row],[Large Provider Entity Code]]&amp;"; "&amp;R5337&amp;AS[[#This Row],[Age Band Code]]&amp;"; "&amp;S5337&amp;AS[[#This Row],[Sex Code]]</f>
        <v xml:space="preserve">Insurer Code ; Reporting Year ; Insurance Category Code ; Large Provider Entity Code ; Age Band Code ; Sex Code </v>
      </c>
      <c r="N5337" s="345" t="s">
        <v>207</v>
      </c>
      <c r="O5337" s="345" t="s">
        <v>208</v>
      </c>
      <c r="P5337" s="345" t="s">
        <v>209</v>
      </c>
      <c r="Q5337" s="345" t="s">
        <v>210</v>
      </c>
      <c r="R5337" s="345" t="s">
        <v>223</v>
      </c>
      <c r="S5337" s="345" t="s">
        <v>224</v>
      </c>
    </row>
    <row r="5338" spans="1:19" x14ac:dyDescent="0.25">
      <c r="A5338" s="311"/>
      <c r="B5338" s="312"/>
      <c r="C5338" s="312"/>
      <c r="D5338" s="312"/>
      <c r="E5338" s="312"/>
      <c r="F5338" s="312"/>
      <c r="G5338" s="328"/>
      <c r="H5338" s="453"/>
      <c r="I5338" s="334"/>
      <c r="J5338" s="314"/>
      <c r="K5338" s="454"/>
      <c r="M5338" s="349" t="str">
        <f>N5338&amp;AS[[#This Row],[Insurer Code]]&amp;"; "&amp;O5338&amp;AS[[#This Row],[Reporting Year]]&amp;"; "&amp;P5338&amp;AS[[#This Row],[Insurance Category Code]]&amp;"; "&amp;Q5338&amp;AS[[#This Row],[Large Provider Entity Code]]&amp;"; "&amp;R5338&amp;AS[[#This Row],[Age Band Code]]&amp;"; "&amp;S5338&amp;AS[[#This Row],[Sex Code]]</f>
        <v xml:space="preserve">Insurer Code ; Reporting Year ; Insurance Category Code ; Large Provider Entity Code ; Age Band Code ; Sex Code </v>
      </c>
      <c r="N5338" s="345" t="s">
        <v>207</v>
      </c>
      <c r="O5338" s="345" t="s">
        <v>208</v>
      </c>
      <c r="P5338" s="345" t="s">
        <v>209</v>
      </c>
      <c r="Q5338" s="345" t="s">
        <v>210</v>
      </c>
      <c r="R5338" s="345" t="s">
        <v>223</v>
      </c>
      <c r="S5338" s="345" t="s">
        <v>224</v>
      </c>
    </row>
    <row r="5339" spans="1:19" x14ac:dyDescent="0.25">
      <c r="A5339" s="311"/>
      <c r="B5339" s="312"/>
      <c r="C5339" s="312"/>
      <c r="D5339" s="312"/>
      <c r="E5339" s="312"/>
      <c r="F5339" s="312"/>
      <c r="G5339" s="328"/>
      <c r="H5339" s="453"/>
      <c r="I5339" s="334"/>
      <c r="J5339" s="314"/>
      <c r="K5339" s="454"/>
      <c r="M5339" s="349" t="str">
        <f>N5339&amp;AS[[#This Row],[Insurer Code]]&amp;"; "&amp;O5339&amp;AS[[#This Row],[Reporting Year]]&amp;"; "&amp;P5339&amp;AS[[#This Row],[Insurance Category Code]]&amp;"; "&amp;Q5339&amp;AS[[#This Row],[Large Provider Entity Code]]&amp;"; "&amp;R5339&amp;AS[[#This Row],[Age Band Code]]&amp;"; "&amp;S5339&amp;AS[[#This Row],[Sex Code]]</f>
        <v xml:space="preserve">Insurer Code ; Reporting Year ; Insurance Category Code ; Large Provider Entity Code ; Age Band Code ; Sex Code </v>
      </c>
      <c r="N5339" s="345" t="s">
        <v>207</v>
      </c>
      <c r="O5339" s="345" t="s">
        <v>208</v>
      </c>
      <c r="P5339" s="345" t="s">
        <v>209</v>
      </c>
      <c r="Q5339" s="345" t="s">
        <v>210</v>
      </c>
      <c r="R5339" s="345" t="s">
        <v>223</v>
      </c>
      <c r="S5339" s="345" t="s">
        <v>224</v>
      </c>
    </row>
    <row r="5340" spans="1:19" x14ac:dyDescent="0.25">
      <c r="A5340" s="311"/>
      <c r="B5340" s="312"/>
      <c r="C5340" s="312"/>
      <c r="D5340" s="312"/>
      <c r="E5340" s="312"/>
      <c r="F5340" s="312"/>
      <c r="G5340" s="328"/>
      <c r="H5340" s="453"/>
      <c r="I5340" s="334"/>
      <c r="J5340" s="314"/>
      <c r="K5340" s="454"/>
      <c r="M5340" s="349" t="str">
        <f>N5340&amp;AS[[#This Row],[Insurer Code]]&amp;"; "&amp;O5340&amp;AS[[#This Row],[Reporting Year]]&amp;"; "&amp;P5340&amp;AS[[#This Row],[Insurance Category Code]]&amp;"; "&amp;Q5340&amp;AS[[#This Row],[Large Provider Entity Code]]&amp;"; "&amp;R5340&amp;AS[[#This Row],[Age Band Code]]&amp;"; "&amp;S5340&amp;AS[[#This Row],[Sex Code]]</f>
        <v xml:space="preserve">Insurer Code ; Reporting Year ; Insurance Category Code ; Large Provider Entity Code ; Age Band Code ; Sex Code </v>
      </c>
      <c r="N5340" s="345" t="s">
        <v>207</v>
      </c>
      <c r="O5340" s="345" t="s">
        <v>208</v>
      </c>
      <c r="P5340" s="345" t="s">
        <v>209</v>
      </c>
      <c r="Q5340" s="345" t="s">
        <v>210</v>
      </c>
      <c r="R5340" s="345" t="s">
        <v>223</v>
      </c>
      <c r="S5340" s="345" t="s">
        <v>224</v>
      </c>
    </row>
    <row r="5341" spans="1:19" x14ac:dyDescent="0.25">
      <c r="A5341" s="311"/>
      <c r="B5341" s="312"/>
      <c r="C5341" s="312"/>
      <c r="D5341" s="312"/>
      <c r="E5341" s="312"/>
      <c r="F5341" s="312"/>
      <c r="G5341" s="328"/>
      <c r="H5341" s="453"/>
      <c r="I5341" s="334"/>
      <c r="J5341" s="314"/>
      <c r="K5341" s="454"/>
      <c r="M5341" s="349" t="str">
        <f>N5341&amp;AS[[#This Row],[Insurer Code]]&amp;"; "&amp;O5341&amp;AS[[#This Row],[Reporting Year]]&amp;"; "&amp;P5341&amp;AS[[#This Row],[Insurance Category Code]]&amp;"; "&amp;Q5341&amp;AS[[#This Row],[Large Provider Entity Code]]&amp;"; "&amp;R5341&amp;AS[[#This Row],[Age Band Code]]&amp;"; "&amp;S5341&amp;AS[[#This Row],[Sex Code]]</f>
        <v xml:space="preserve">Insurer Code ; Reporting Year ; Insurance Category Code ; Large Provider Entity Code ; Age Band Code ; Sex Code </v>
      </c>
      <c r="N5341" s="345" t="s">
        <v>207</v>
      </c>
      <c r="O5341" s="345" t="s">
        <v>208</v>
      </c>
      <c r="P5341" s="345" t="s">
        <v>209</v>
      </c>
      <c r="Q5341" s="345" t="s">
        <v>210</v>
      </c>
      <c r="R5341" s="345" t="s">
        <v>223</v>
      </c>
      <c r="S5341" s="345" t="s">
        <v>224</v>
      </c>
    </row>
    <row r="5342" spans="1:19" x14ac:dyDescent="0.25">
      <c r="A5342" s="311"/>
      <c r="B5342" s="312"/>
      <c r="C5342" s="312"/>
      <c r="D5342" s="312"/>
      <c r="E5342" s="312"/>
      <c r="F5342" s="312"/>
      <c r="G5342" s="328"/>
      <c r="H5342" s="453"/>
      <c r="I5342" s="334"/>
      <c r="J5342" s="314"/>
      <c r="K5342" s="454"/>
      <c r="M5342" s="349" t="str">
        <f>N5342&amp;AS[[#This Row],[Insurer Code]]&amp;"; "&amp;O5342&amp;AS[[#This Row],[Reporting Year]]&amp;"; "&amp;P5342&amp;AS[[#This Row],[Insurance Category Code]]&amp;"; "&amp;Q5342&amp;AS[[#This Row],[Large Provider Entity Code]]&amp;"; "&amp;R5342&amp;AS[[#This Row],[Age Band Code]]&amp;"; "&amp;S5342&amp;AS[[#This Row],[Sex Code]]</f>
        <v xml:space="preserve">Insurer Code ; Reporting Year ; Insurance Category Code ; Large Provider Entity Code ; Age Band Code ; Sex Code </v>
      </c>
      <c r="N5342" s="345" t="s">
        <v>207</v>
      </c>
      <c r="O5342" s="345" t="s">
        <v>208</v>
      </c>
      <c r="P5342" s="345" t="s">
        <v>209</v>
      </c>
      <c r="Q5342" s="345" t="s">
        <v>210</v>
      </c>
      <c r="R5342" s="345" t="s">
        <v>223</v>
      </c>
      <c r="S5342" s="345" t="s">
        <v>224</v>
      </c>
    </row>
    <row r="5343" spans="1:19" x14ac:dyDescent="0.25">
      <c r="A5343" s="311"/>
      <c r="B5343" s="312"/>
      <c r="C5343" s="312"/>
      <c r="D5343" s="312"/>
      <c r="E5343" s="312"/>
      <c r="F5343" s="312"/>
      <c r="G5343" s="328"/>
      <c r="H5343" s="453"/>
      <c r="I5343" s="334"/>
      <c r="J5343" s="314"/>
      <c r="K5343" s="454"/>
      <c r="M5343" s="349" t="str">
        <f>N5343&amp;AS[[#This Row],[Insurer Code]]&amp;"; "&amp;O5343&amp;AS[[#This Row],[Reporting Year]]&amp;"; "&amp;P5343&amp;AS[[#This Row],[Insurance Category Code]]&amp;"; "&amp;Q5343&amp;AS[[#This Row],[Large Provider Entity Code]]&amp;"; "&amp;R5343&amp;AS[[#This Row],[Age Band Code]]&amp;"; "&amp;S5343&amp;AS[[#This Row],[Sex Code]]</f>
        <v xml:space="preserve">Insurer Code ; Reporting Year ; Insurance Category Code ; Large Provider Entity Code ; Age Band Code ; Sex Code </v>
      </c>
      <c r="N5343" s="345" t="s">
        <v>207</v>
      </c>
      <c r="O5343" s="345" t="s">
        <v>208</v>
      </c>
      <c r="P5343" s="345" t="s">
        <v>209</v>
      </c>
      <c r="Q5343" s="345" t="s">
        <v>210</v>
      </c>
      <c r="R5343" s="345" t="s">
        <v>223</v>
      </c>
      <c r="S5343" s="345" t="s">
        <v>224</v>
      </c>
    </row>
    <row r="5344" spans="1:19" x14ac:dyDescent="0.25">
      <c r="A5344" s="311"/>
      <c r="B5344" s="312"/>
      <c r="C5344" s="312"/>
      <c r="D5344" s="312"/>
      <c r="E5344" s="312"/>
      <c r="F5344" s="312"/>
      <c r="G5344" s="328"/>
      <c r="H5344" s="453"/>
      <c r="I5344" s="334"/>
      <c r="J5344" s="314"/>
      <c r="K5344" s="454"/>
      <c r="M5344" s="349" t="str">
        <f>N5344&amp;AS[[#This Row],[Insurer Code]]&amp;"; "&amp;O5344&amp;AS[[#This Row],[Reporting Year]]&amp;"; "&amp;P5344&amp;AS[[#This Row],[Insurance Category Code]]&amp;"; "&amp;Q5344&amp;AS[[#This Row],[Large Provider Entity Code]]&amp;"; "&amp;R5344&amp;AS[[#This Row],[Age Band Code]]&amp;"; "&amp;S5344&amp;AS[[#This Row],[Sex Code]]</f>
        <v xml:space="preserve">Insurer Code ; Reporting Year ; Insurance Category Code ; Large Provider Entity Code ; Age Band Code ; Sex Code </v>
      </c>
      <c r="N5344" s="345" t="s">
        <v>207</v>
      </c>
      <c r="O5344" s="345" t="s">
        <v>208</v>
      </c>
      <c r="P5344" s="345" t="s">
        <v>209</v>
      </c>
      <c r="Q5344" s="345" t="s">
        <v>210</v>
      </c>
      <c r="R5344" s="345" t="s">
        <v>223</v>
      </c>
      <c r="S5344" s="345" t="s">
        <v>224</v>
      </c>
    </row>
    <row r="5345" spans="1:19" x14ac:dyDescent="0.25">
      <c r="A5345" s="311"/>
      <c r="B5345" s="312"/>
      <c r="C5345" s="312"/>
      <c r="D5345" s="312"/>
      <c r="E5345" s="312"/>
      <c r="F5345" s="312"/>
      <c r="G5345" s="328"/>
      <c r="H5345" s="453"/>
      <c r="I5345" s="334"/>
      <c r="J5345" s="314"/>
      <c r="K5345" s="454"/>
      <c r="M5345" s="349" t="str">
        <f>N5345&amp;AS[[#This Row],[Insurer Code]]&amp;"; "&amp;O5345&amp;AS[[#This Row],[Reporting Year]]&amp;"; "&amp;P5345&amp;AS[[#This Row],[Insurance Category Code]]&amp;"; "&amp;Q5345&amp;AS[[#This Row],[Large Provider Entity Code]]&amp;"; "&amp;R5345&amp;AS[[#This Row],[Age Band Code]]&amp;"; "&amp;S5345&amp;AS[[#This Row],[Sex Code]]</f>
        <v xml:space="preserve">Insurer Code ; Reporting Year ; Insurance Category Code ; Large Provider Entity Code ; Age Band Code ; Sex Code </v>
      </c>
      <c r="N5345" s="345" t="s">
        <v>207</v>
      </c>
      <c r="O5345" s="345" t="s">
        <v>208</v>
      </c>
      <c r="P5345" s="345" t="s">
        <v>209</v>
      </c>
      <c r="Q5345" s="345" t="s">
        <v>210</v>
      </c>
      <c r="R5345" s="345" t="s">
        <v>223</v>
      </c>
      <c r="S5345" s="345" t="s">
        <v>224</v>
      </c>
    </row>
    <row r="5346" spans="1:19" x14ac:dyDescent="0.25">
      <c r="A5346" s="311"/>
      <c r="B5346" s="312"/>
      <c r="C5346" s="312"/>
      <c r="D5346" s="312"/>
      <c r="E5346" s="312"/>
      <c r="F5346" s="312"/>
      <c r="G5346" s="328"/>
      <c r="H5346" s="453"/>
      <c r="I5346" s="334"/>
      <c r="J5346" s="314"/>
      <c r="K5346" s="454"/>
      <c r="M5346" s="349" t="str">
        <f>N5346&amp;AS[[#This Row],[Insurer Code]]&amp;"; "&amp;O5346&amp;AS[[#This Row],[Reporting Year]]&amp;"; "&amp;P5346&amp;AS[[#This Row],[Insurance Category Code]]&amp;"; "&amp;Q5346&amp;AS[[#This Row],[Large Provider Entity Code]]&amp;"; "&amp;R5346&amp;AS[[#This Row],[Age Band Code]]&amp;"; "&amp;S5346&amp;AS[[#This Row],[Sex Code]]</f>
        <v xml:space="preserve">Insurer Code ; Reporting Year ; Insurance Category Code ; Large Provider Entity Code ; Age Band Code ; Sex Code </v>
      </c>
      <c r="N5346" s="345" t="s">
        <v>207</v>
      </c>
      <c r="O5346" s="345" t="s">
        <v>208</v>
      </c>
      <c r="P5346" s="345" t="s">
        <v>209</v>
      </c>
      <c r="Q5346" s="345" t="s">
        <v>210</v>
      </c>
      <c r="R5346" s="345" t="s">
        <v>223</v>
      </c>
      <c r="S5346" s="345" t="s">
        <v>224</v>
      </c>
    </row>
    <row r="5347" spans="1:19" x14ac:dyDescent="0.25">
      <c r="A5347" s="311"/>
      <c r="B5347" s="312"/>
      <c r="C5347" s="312"/>
      <c r="D5347" s="312"/>
      <c r="E5347" s="312"/>
      <c r="F5347" s="312"/>
      <c r="G5347" s="328"/>
      <c r="H5347" s="453"/>
      <c r="I5347" s="334"/>
      <c r="J5347" s="314"/>
      <c r="K5347" s="454"/>
      <c r="M5347" s="349" t="str">
        <f>N5347&amp;AS[[#This Row],[Insurer Code]]&amp;"; "&amp;O5347&amp;AS[[#This Row],[Reporting Year]]&amp;"; "&amp;P5347&amp;AS[[#This Row],[Insurance Category Code]]&amp;"; "&amp;Q5347&amp;AS[[#This Row],[Large Provider Entity Code]]&amp;"; "&amp;R5347&amp;AS[[#This Row],[Age Band Code]]&amp;"; "&amp;S5347&amp;AS[[#This Row],[Sex Code]]</f>
        <v xml:space="preserve">Insurer Code ; Reporting Year ; Insurance Category Code ; Large Provider Entity Code ; Age Band Code ; Sex Code </v>
      </c>
      <c r="N5347" s="345" t="s">
        <v>207</v>
      </c>
      <c r="O5347" s="345" t="s">
        <v>208</v>
      </c>
      <c r="P5347" s="345" t="s">
        <v>209</v>
      </c>
      <c r="Q5347" s="345" t="s">
        <v>210</v>
      </c>
      <c r="R5347" s="345" t="s">
        <v>223</v>
      </c>
      <c r="S5347" s="345" t="s">
        <v>224</v>
      </c>
    </row>
    <row r="5348" spans="1:19" x14ac:dyDescent="0.25">
      <c r="A5348" s="311"/>
      <c r="B5348" s="312"/>
      <c r="C5348" s="312"/>
      <c r="D5348" s="312"/>
      <c r="E5348" s="312"/>
      <c r="F5348" s="312"/>
      <c r="G5348" s="328"/>
      <c r="H5348" s="453"/>
      <c r="I5348" s="334"/>
      <c r="J5348" s="314"/>
      <c r="K5348" s="454"/>
      <c r="M5348" s="349" t="str">
        <f>N5348&amp;AS[[#This Row],[Insurer Code]]&amp;"; "&amp;O5348&amp;AS[[#This Row],[Reporting Year]]&amp;"; "&amp;P5348&amp;AS[[#This Row],[Insurance Category Code]]&amp;"; "&amp;Q5348&amp;AS[[#This Row],[Large Provider Entity Code]]&amp;"; "&amp;R5348&amp;AS[[#This Row],[Age Band Code]]&amp;"; "&amp;S5348&amp;AS[[#This Row],[Sex Code]]</f>
        <v xml:space="preserve">Insurer Code ; Reporting Year ; Insurance Category Code ; Large Provider Entity Code ; Age Band Code ; Sex Code </v>
      </c>
      <c r="N5348" s="345" t="s">
        <v>207</v>
      </c>
      <c r="O5348" s="345" t="s">
        <v>208</v>
      </c>
      <c r="P5348" s="345" t="s">
        <v>209</v>
      </c>
      <c r="Q5348" s="345" t="s">
        <v>210</v>
      </c>
      <c r="R5348" s="345" t="s">
        <v>223</v>
      </c>
      <c r="S5348" s="345" t="s">
        <v>224</v>
      </c>
    </row>
    <row r="5349" spans="1:19" x14ac:dyDescent="0.25">
      <c r="A5349" s="311"/>
      <c r="B5349" s="312"/>
      <c r="C5349" s="312"/>
      <c r="D5349" s="312"/>
      <c r="E5349" s="312"/>
      <c r="F5349" s="312"/>
      <c r="G5349" s="328"/>
      <c r="H5349" s="453"/>
      <c r="I5349" s="334"/>
      <c r="J5349" s="314"/>
      <c r="K5349" s="454"/>
      <c r="M5349" s="349" t="str">
        <f>N5349&amp;AS[[#This Row],[Insurer Code]]&amp;"; "&amp;O5349&amp;AS[[#This Row],[Reporting Year]]&amp;"; "&amp;P5349&amp;AS[[#This Row],[Insurance Category Code]]&amp;"; "&amp;Q5349&amp;AS[[#This Row],[Large Provider Entity Code]]&amp;"; "&amp;R5349&amp;AS[[#This Row],[Age Band Code]]&amp;"; "&amp;S5349&amp;AS[[#This Row],[Sex Code]]</f>
        <v xml:space="preserve">Insurer Code ; Reporting Year ; Insurance Category Code ; Large Provider Entity Code ; Age Band Code ; Sex Code </v>
      </c>
      <c r="N5349" s="345" t="s">
        <v>207</v>
      </c>
      <c r="O5349" s="345" t="s">
        <v>208</v>
      </c>
      <c r="P5349" s="345" t="s">
        <v>209</v>
      </c>
      <c r="Q5349" s="345" t="s">
        <v>210</v>
      </c>
      <c r="R5349" s="345" t="s">
        <v>223</v>
      </c>
      <c r="S5349" s="345" t="s">
        <v>224</v>
      </c>
    </row>
    <row r="5350" spans="1:19" x14ac:dyDescent="0.25">
      <c r="A5350" s="311"/>
      <c r="B5350" s="312"/>
      <c r="C5350" s="312"/>
      <c r="D5350" s="312"/>
      <c r="E5350" s="312"/>
      <c r="F5350" s="312"/>
      <c r="G5350" s="328"/>
      <c r="H5350" s="453"/>
      <c r="I5350" s="334"/>
      <c r="J5350" s="314"/>
      <c r="K5350" s="454"/>
      <c r="M5350" s="349" t="str">
        <f>N5350&amp;AS[[#This Row],[Insurer Code]]&amp;"; "&amp;O5350&amp;AS[[#This Row],[Reporting Year]]&amp;"; "&amp;P5350&amp;AS[[#This Row],[Insurance Category Code]]&amp;"; "&amp;Q5350&amp;AS[[#This Row],[Large Provider Entity Code]]&amp;"; "&amp;R5350&amp;AS[[#This Row],[Age Band Code]]&amp;"; "&amp;S5350&amp;AS[[#This Row],[Sex Code]]</f>
        <v xml:space="preserve">Insurer Code ; Reporting Year ; Insurance Category Code ; Large Provider Entity Code ; Age Band Code ; Sex Code </v>
      </c>
      <c r="N5350" s="345" t="s">
        <v>207</v>
      </c>
      <c r="O5350" s="345" t="s">
        <v>208</v>
      </c>
      <c r="P5350" s="345" t="s">
        <v>209</v>
      </c>
      <c r="Q5350" s="345" t="s">
        <v>210</v>
      </c>
      <c r="R5350" s="345" t="s">
        <v>223</v>
      </c>
      <c r="S5350" s="345" t="s">
        <v>224</v>
      </c>
    </row>
    <row r="5351" spans="1:19" x14ac:dyDescent="0.25">
      <c r="A5351" s="311"/>
      <c r="B5351" s="312"/>
      <c r="C5351" s="312"/>
      <c r="D5351" s="312"/>
      <c r="E5351" s="312"/>
      <c r="F5351" s="312"/>
      <c r="G5351" s="328"/>
      <c r="H5351" s="453"/>
      <c r="I5351" s="334"/>
      <c r="J5351" s="314"/>
      <c r="K5351" s="454"/>
      <c r="M5351" s="349" t="str">
        <f>N5351&amp;AS[[#This Row],[Insurer Code]]&amp;"; "&amp;O5351&amp;AS[[#This Row],[Reporting Year]]&amp;"; "&amp;P5351&amp;AS[[#This Row],[Insurance Category Code]]&amp;"; "&amp;Q5351&amp;AS[[#This Row],[Large Provider Entity Code]]&amp;"; "&amp;R5351&amp;AS[[#This Row],[Age Band Code]]&amp;"; "&amp;S5351&amp;AS[[#This Row],[Sex Code]]</f>
        <v xml:space="preserve">Insurer Code ; Reporting Year ; Insurance Category Code ; Large Provider Entity Code ; Age Band Code ; Sex Code </v>
      </c>
      <c r="N5351" s="345" t="s">
        <v>207</v>
      </c>
      <c r="O5351" s="345" t="s">
        <v>208</v>
      </c>
      <c r="P5351" s="345" t="s">
        <v>209</v>
      </c>
      <c r="Q5351" s="345" t="s">
        <v>210</v>
      </c>
      <c r="R5351" s="345" t="s">
        <v>223</v>
      </c>
      <c r="S5351" s="345" t="s">
        <v>224</v>
      </c>
    </row>
    <row r="5352" spans="1:19" x14ac:dyDescent="0.25">
      <c r="A5352" s="311"/>
      <c r="B5352" s="312"/>
      <c r="C5352" s="312"/>
      <c r="D5352" s="312"/>
      <c r="E5352" s="312"/>
      <c r="F5352" s="312"/>
      <c r="G5352" s="328"/>
      <c r="H5352" s="453"/>
      <c r="I5352" s="334"/>
      <c r="J5352" s="314"/>
      <c r="K5352" s="454"/>
      <c r="M5352" s="349" t="str">
        <f>N5352&amp;AS[[#This Row],[Insurer Code]]&amp;"; "&amp;O5352&amp;AS[[#This Row],[Reporting Year]]&amp;"; "&amp;P5352&amp;AS[[#This Row],[Insurance Category Code]]&amp;"; "&amp;Q5352&amp;AS[[#This Row],[Large Provider Entity Code]]&amp;"; "&amp;R5352&amp;AS[[#This Row],[Age Band Code]]&amp;"; "&amp;S5352&amp;AS[[#This Row],[Sex Code]]</f>
        <v xml:space="preserve">Insurer Code ; Reporting Year ; Insurance Category Code ; Large Provider Entity Code ; Age Band Code ; Sex Code </v>
      </c>
      <c r="N5352" s="345" t="s">
        <v>207</v>
      </c>
      <c r="O5352" s="345" t="s">
        <v>208</v>
      </c>
      <c r="P5352" s="345" t="s">
        <v>209</v>
      </c>
      <c r="Q5352" s="345" t="s">
        <v>210</v>
      </c>
      <c r="R5352" s="345" t="s">
        <v>223</v>
      </c>
      <c r="S5352" s="345" t="s">
        <v>224</v>
      </c>
    </row>
    <row r="5353" spans="1:19" x14ac:dyDescent="0.25">
      <c r="A5353" s="311"/>
      <c r="B5353" s="312"/>
      <c r="C5353" s="312"/>
      <c r="D5353" s="312"/>
      <c r="E5353" s="312"/>
      <c r="F5353" s="312"/>
      <c r="G5353" s="328"/>
      <c r="H5353" s="453"/>
      <c r="I5353" s="334"/>
      <c r="J5353" s="314"/>
      <c r="K5353" s="454"/>
      <c r="M5353" s="349" t="str">
        <f>N5353&amp;AS[[#This Row],[Insurer Code]]&amp;"; "&amp;O5353&amp;AS[[#This Row],[Reporting Year]]&amp;"; "&amp;P5353&amp;AS[[#This Row],[Insurance Category Code]]&amp;"; "&amp;Q5353&amp;AS[[#This Row],[Large Provider Entity Code]]&amp;"; "&amp;R5353&amp;AS[[#This Row],[Age Band Code]]&amp;"; "&amp;S5353&amp;AS[[#This Row],[Sex Code]]</f>
        <v xml:space="preserve">Insurer Code ; Reporting Year ; Insurance Category Code ; Large Provider Entity Code ; Age Band Code ; Sex Code </v>
      </c>
      <c r="N5353" s="345" t="s">
        <v>207</v>
      </c>
      <c r="O5353" s="345" t="s">
        <v>208</v>
      </c>
      <c r="P5353" s="345" t="s">
        <v>209</v>
      </c>
      <c r="Q5353" s="345" t="s">
        <v>210</v>
      </c>
      <c r="R5353" s="345" t="s">
        <v>223</v>
      </c>
      <c r="S5353" s="345" t="s">
        <v>224</v>
      </c>
    </row>
    <row r="5354" spans="1:19" x14ac:dyDescent="0.25">
      <c r="A5354" s="311"/>
      <c r="B5354" s="312"/>
      <c r="C5354" s="312"/>
      <c r="D5354" s="312"/>
      <c r="E5354" s="312"/>
      <c r="F5354" s="312"/>
      <c r="G5354" s="328"/>
      <c r="H5354" s="453"/>
      <c r="I5354" s="334"/>
      <c r="J5354" s="314"/>
      <c r="K5354" s="454"/>
      <c r="M5354" s="349" t="str">
        <f>N5354&amp;AS[[#This Row],[Insurer Code]]&amp;"; "&amp;O5354&amp;AS[[#This Row],[Reporting Year]]&amp;"; "&amp;P5354&amp;AS[[#This Row],[Insurance Category Code]]&amp;"; "&amp;Q5354&amp;AS[[#This Row],[Large Provider Entity Code]]&amp;"; "&amp;R5354&amp;AS[[#This Row],[Age Band Code]]&amp;"; "&amp;S5354&amp;AS[[#This Row],[Sex Code]]</f>
        <v xml:space="preserve">Insurer Code ; Reporting Year ; Insurance Category Code ; Large Provider Entity Code ; Age Band Code ; Sex Code </v>
      </c>
      <c r="N5354" s="345" t="s">
        <v>207</v>
      </c>
      <c r="O5354" s="345" t="s">
        <v>208</v>
      </c>
      <c r="P5354" s="345" t="s">
        <v>209</v>
      </c>
      <c r="Q5354" s="345" t="s">
        <v>210</v>
      </c>
      <c r="R5354" s="345" t="s">
        <v>223</v>
      </c>
      <c r="S5354" s="345" t="s">
        <v>224</v>
      </c>
    </row>
    <row r="5355" spans="1:19" x14ac:dyDescent="0.25">
      <c r="A5355" s="311"/>
      <c r="B5355" s="312"/>
      <c r="C5355" s="312"/>
      <c r="D5355" s="312"/>
      <c r="E5355" s="312"/>
      <c r="F5355" s="312"/>
      <c r="G5355" s="328"/>
      <c r="H5355" s="453"/>
      <c r="I5355" s="334"/>
      <c r="J5355" s="314"/>
      <c r="K5355" s="454"/>
      <c r="M5355" s="349" t="str">
        <f>N5355&amp;AS[[#This Row],[Insurer Code]]&amp;"; "&amp;O5355&amp;AS[[#This Row],[Reporting Year]]&amp;"; "&amp;P5355&amp;AS[[#This Row],[Insurance Category Code]]&amp;"; "&amp;Q5355&amp;AS[[#This Row],[Large Provider Entity Code]]&amp;"; "&amp;R5355&amp;AS[[#This Row],[Age Band Code]]&amp;"; "&amp;S5355&amp;AS[[#This Row],[Sex Code]]</f>
        <v xml:space="preserve">Insurer Code ; Reporting Year ; Insurance Category Code ; Large Provider Entity Code ; Age Band Code ; Sex Code </v>
      </c>
      <c r="N5355" s="345" t="s">
        <v>207</v>
      </c>
      <c r="O5355" s="345" t="s">
        <v>208</v>
      </c>
      <c r="P5355" s="345" t="s">
        <v>209</v>
      </c>
      <c r="Q5355" s="345" t="s">
        <v>210</v>
      </c>
      <c r="R5355" s="345" t="s">
        <v>223</v>
      </c>
      <c r="S5355" s="345" t="s">
        <v>224</v>
      </c>
    </row>
    <row r="5356" spans="1:19" x14ac:dyDescent="0.25">
      <c r="A5356" s="311"/>
      <c r="B5356" s="312"/>
      <c r="C5356" s="312"/>
      <c r="D5356" s="312"/>
      <c r="E5356" s="312"/>
      <c r="F5356" s="312"/>
      <c r="G5356" s="328"/>
      <c r="H5356" s="453"/>
      <c r="I5356" s="334"/>
      <c r="J5356" s="314"/>
      <c r="K5356" s="454"/>
      <c r="M5356" s="349" t="str">
        <f>N5356&amp;AS[[#This Row],[Insurer Code]]&amp;"; "&amp;O5356&amp;AS[[#This Row],[Reporting Year]]&amp;"; "&amp;P5356&amp;AS[[#This Row],[Insurance Category Code]]&amp;"; "&amp;Q5356&amp;AS[[#This Row],[Large Provider Entity Code]]&amp;"; "&amp;R5356&amp;AS[[#This Row],[Age Band Code]]&amp;"; "&amp;S5356&amp;AS[[#This Row],[Sex Code]]</f>
        <v xml:space="preserve">Insurer Code ; Reporting Year ; Insurance Category Code ; Large Provider Entity Code ; Age Band Code ; Sex Code </v>
      </c>
      <c r="N5356" s="345" t="s">
        <v>207</v>
      </c>
      <c r="O5356" s="345" t="s">
        <v>208</v>
      </c>
      <c r="P5356" s="345" t="s">
        <v>209</v>
      </c>
      <c r="Q5356" s="345" t="s">
        <v>210</v>
      </c>
      <c r="R5356" s="345" t="s">
        <v>223</v>
      </c>
      <c r="S5356" s="345" t="s">
        <v>224</v>
      </c>
    </row>
    <row r="5357" spans="1:19" x14ac:dyDescent="0.25">
      <c r="A5357" s="311"/>
      <c r="B5357" s="312"/>
      <c r="C5357" s="312"/>
      <c r="D5357" s="312"/>
      <c r="E5357" s="312"/>
      <c r="F5357" s="312"/>
      <c r="G5357" s="328"/>
      <c r="H5357" s="453"/>
      <c r="I5357" s="334"/>
      <c r="J5357" s="314"/>
      <c r="K5357" s="454"/>
      <c r="M5357" s="349" t="str">
        <f>N5357&amp;AS[[#This Row],[Insurer Code]]&amp;"; "&amp;O5357&amp;AS[[#This Row],[Reporting Year]]&amp;"; "&amp;P5357&amp;AS[[#This Row],[Insurance Category Code]]&amp;"; "&amp;Q5357&amp;AS[[#This Row],[Large Provider Entity Code]]&amp;"; "&amp;R5357&amp;AS[[#This Row],[Age Band Code]]&amp;"; "&amp;S5357&amp;AS[[#This Row],[Sex Code]]</f>
        <v xml:space="preserve">Insurer Code ; Reporting Year ; Insurance Category Code ; Large Provider Entity Code ; Age Band Code ; Sex Code </v>
      </c>
      <c r="N5357" s="345" t="s">
        <v>207</v>
      </c>
      <c r="O5357" s="345" t="s">
        <v>208</v>
      </c>
      <c r="P5357" s="345" t="s">
        <v>209</v>
      </c>
      <c r="Q5357" s="345" t="s">
        <v>210</v>
      </c>
      <c r="R5357" s="345" t="s">
        <v>223</v>
      </c>
      <c r="S5357" s="345" t="s">
        <v>224</v>
      </c>
    </row>
    <row r="5358" spans="1:19" x14ac:dyDescent="0.25">
      <c r="A5358" s="311"/>
      <c r="B5358" s="312"/>
      <c r="C5358" s="312"/>
      <c r="D5358" s="312"/>
      <c r="E5358" s="312"/>
      <c r="F5358" s="312"/>
      <c r="G5358" s="328"/>
      <c r="H5358" s="453"/>
      <c r="I5358" s="334"/>
      <c r="J5358" s="314"/>
      <c r="K5358" s="454"/>
      <c r="M5358" s="349" t="str">
        <f>N5358&amp;AS[[#This Row],[Insurer Code]]&amp;"; "&amp;O5358&amp;AS[[#This Row],[Reporting Year]]&amp;"; "&amp;P5358&amp;AS[[#This Row],[Insurance Category Code]]&amp;"; "&amp;Q5358&amp;AS[[#This Row],[Large Provider Entity Code]]&amp;"; "&amp;R5358&amp;AS[[#This Row],[Age Band Code]]&amp;"; "&amp;S5358&amp;AS[[#This Row],[Sex Code]]</f>
        <v xml:space="preserve">Insurer Code ; Reporting Year ; Insurance Category Code ; Large Provider Entity Code ; Age Band Code ; Sex Code </v>
      </c>
      <c r="N5358" s="345" t="s">
        <v>207</v>
      </c>
      <c r="O5358" s="345" t="s">
        <v>208</v>
      </c>
      <c r="P5358" s="345" t="s">
        <v>209</v>
      </c>
      <c r="Q5358" s="345" t="s">
        <v>210</v>
      </c>
      <c r="R5358" s="345" t="s">
        <v>223</v>
      </c>
      <c r="S5358" s="345" t="s">
        <v>224</v>
      </c>
    </row>
    <row r="5359" spans="1:19" x14ac:dyDescent="0.25">
      <c r="A5359" s="311"/>
      <c r="B5359" s="312"/>
      <c r="C5359" s="312"/>
      <c r="D5359" s="312"/>
      <c r="E5359" s="312"/>
      <c r="F5359" s="312"/>
      <c r="G5359" s="328"/>
      <c r="H5359" s="453"/>
      <c r="I5359" s="334"/>
      <c r="J5359" s="314"/>
      <c r="K5359" s="454"/>
      <c r="M5359" s="349" t="str">
        <f>N5359&amp;AS[[#This Row],[Insurer Code]]&amp;"; "&amp;O5359&amp;AS[[#This Row],[Reporting Year]]&amp;"; "&amp;P5359&amp;AS[[#This Row],[Insurance Category Code]]&amp;"; "&amp;Q5359&amp;AS[[#This Row],[Large Provider Entity Code]]&amp;"; "&amp;R5359&amp;AS[[#This Row],[Age Band Code]]&amp;"; "&amp;S5359&amp;AS[[#This Row],[Sex Code]]</f>
        <v xml:space="preserve">Insurer Code ; Reporting Year ; Insurance Category Code ; Large Provider Entity Code ; Age Band Code ; Sex Code </v>
      </c>
      <c r="N5359" s="345" t="s">
        <v>207</v>
      </c>
      <c r="O5359" s="345" t="s">
        <v>208</v>
      </c>
      <c r="P5359" s="345" t="s">
        <v>209</v>
      </c>
      <c r="Q5359" s="345" t="s">
        <v>210</v>
      </c>
      <c r="R5359" s="345" t="s">
        <v>223</v>
      </c>
      <c r="S5359" s="345" t="s">
        <v>224</v>
      </c>
    </row>
    <row r="5360" spans="1:19" x14ac:dyDescent="0.25">
      <c r="A5360" s="311"/>
      <c r="B5360" s="312"/>
      <c r="C5360" s="312"/>
      <c r="D5360" s="312"/>
      <c r="E5360" s="312"/>
      <c r="F5360" s="312"/>
      <c r="G5360" s="328"/>
      <c r="H5360" s="453"/>
      <c r="I5360" s="334"/>
      <c r="J5360" s="314"/>
      <c r="K5360" s="454"/>
      <c r="M5360" s="349" t="str">
        <f>N5360&amp;AS[[#This Row],[Insurer Code]]&amp;"; "&amp;O5360&amp;AS[[#This Row],[Reporting Year]]&amp;"; "&amp;P5360&amp;AS[[#This Row],[Insurance Category Code]]&amp;"; "&amp;Q5360&amp;AS[[#This Row],[Large Provider Entity Code]]&amp;"; "&amp;R5360&amp;AS[[#This Row],[Age Band Code]]&amp;"; "&amp;S5360&amp;AS[[#This Row],[Sex Code]]</f>
        <v xml:space="preserve">Insurer Code ; Reporting Year ; Insurance Category Code ; Large Provider Entity Code ; Age Band Code ; Sex Code </v>
      </c>
      <c r="N5360" s="345" t="s">
        <v>207</v>
      </c>
      <c r="O5360" s="345" t="s">
        <v>208</v>
      </c>
      <c r="P5360" s="345" t="s">
        <v>209</v>
      </c>
      <c r="Q5360" s="345" t="s">
        <v>210</v>
      </c>
      <c r="R5360" s="345" t="s">
        <v>223</v>
      </c>
      <c r="S5360" s="345" t="s">
        <v>224</v>
      </c>
    </row>
    <row r="5361" spans="1:19" x14ac:dyDescent="0.25">
      <c r="A5361" s="311"/>
      <c r="B5361" s="312"/>
      <c r="C5361" s="312"/>
      <c r="D5361" s="312"/>
      <c r="E5361" s="312"/>
      <c r="F5361" s="312"/>
      <c r="G5361" s="328"/>
      <c r="H5361" s="453"/>
      <c r="I5361" s="334"/>
      <c r="J5361" s="314"/>
      <c r="K5361" s="454"/>
      <c r="M5361" s="349" t="str">
        <f>N5361&amp;AS[[#This Row],[Insurer Code]]&amp;"; "&amp;O5361&amp;AS[[#This Row],[Reporting Year]]&amp;"; "&amp;P5361&amp;AS[[#This Row],[Insurance Category Code]]&amp;"; "&amp;Q5361&amp;AS[[#This Row],[Large Provider Entity Code]]&amp;"; "&amp;R5361&amp;AS[[#This Row],[Age Band Code]]&amp;"; "&amp;S5361&amp;AS[[#This Row],[Sex Code]]</f>
        <v xml:space="preserve">Insurer Code ; Reporting Year ; Insurance Category Code ; Large Provider Entity Code ; Age Band Code ; Sex Code </v>
      </c>
      <c r="N5361" s="345" t="s">
        <v>207</v>
      </c>
      <c r="O5361" s="345" t="s">
        <v>208</v>
      </c>
      <c r="P5361" s="345" t="s">
        <v>209</v>
      </c>
      <c r="Q5361" s="345" t="s">
        <v>210</v>
      </c>
      <c r="R5361" s="345" t="s">
        <v>223</v>
      </c>
      <c r="S5361" s="345" t="s">
        <v>224</v>
      </c>
    </row>
    <row r="5362" spans="1:19" x14ac:dyDescent="0.25">
      <c r="A5362" s="311"/>
      <c r="B5362" s="312"/>
      <c r="C5362" s="312"/>
      <c r="D5362" s="312"/>
      <c r="E5362" s="312"/>
      <c r="F5362" s="312"/>
      <c r="G5362" s="328"/>
      <c r="H5362" s="453"/>
      <c r="I5362" s="334"/>
      <c r="J5362" s="314"/>
      <c r="K5362" s="454"/>
      <c r="M5362" s="349" t="str">
        <f>N5362&amp;AS[[#This Row],[Insurer Code]]&amp;"; "&amp;O5362&amp;AS[[#This Row],[Reporting Year]]&amp;"; "&amp;P5362&amp;AS[[#This Row],[Insurance Category Code]]&amp;"; "&amp;Q5362&amp;AS[[#This Row],[Large Provider Entity Code]]&amp;"; "&amp;R5362&amp;AS[[#This Row],[Age Band Code]]&amp;"; "&amp;S5362&amp;AS[[#This Row],[Sex Code]]</f>
        <v xml:space="preserve">Insurer Code ; Reporting Year ; Insurance Category Code ; Large Provider Entity Code ; Age Band Code ; Sex Code </v>
      </c>
      <c r="N5362" s="345" t="s">
        <v>207</v>
      </c>
      <c r="O5362" s="345" t="s">
        <v>208</v>
      </c>
      <c r="P5362" s="345" t="s">
        <v>209</v>
      </c>
      <c r="Q5362" s="345" t="s">
        <v>210</v>
      </c>
      <c r="R5362" s="345" t="s">
        <v>223</v>
      </c>
      <c r="S5362" s="345" t="s">
        <v>224</v>
      </c>
    </row>
    <row r="5363" spans="1:19" x14ac:dyDescent="0.25">
      <c r="A5363" s="311"/>
      <c r="B5363" s="312"/>
      <c r="C5363" s="312"/>
      <c r="D5363" s="312"/>
      <c r="E5363" s="312"/>
      <c r="F5363" s="312"/>
      <c r="G5363" s="328"/>
      <c r="H5363" s="453"/>
      <c r="I5363" s="334"/>
      <c r="J5363" s="314"/>
      <c r="K5363" s="454"/>
      <c r="M5363" s="349" t="str">
        <f>N5363&amp;AS[[#This Row],[Insurer Code]]&amp;"; "&amp;O5363&amp;AS[[#This Row],[Reporting Year]]&amp;"; "&amp;P5363&amp;AS[[#This Row],[Insurance Category Code]]&amp;"; "&amp;Q5363&amp;AS[[#This Row],[Large Provider Entity Code]]&amp;"; "&amp;R5363&amp;AS[[#This Row],[Age Band Code]]&amp;"; "&amp;S5363&amp;AS[[#This Row],[Sex Code]]</f>
        <v xml:space="preserve">Insurer Code ; Reporting Year ; Insurance Category Code ; Large Provider Entity Code ; Age Band Code ; Sex Code </v>
      </c>
      <c r="N5363" s="345" t="s">
        <v>207</v>
      </c>
      <c r="O5363" s="345" t="s">
        <v>208</v>
      </c>
      <c r="P5363" s="345" t="s">
        <v>209</v>
      </c>
      <c r="Q5363" s="345" t="s">
        <v>210</v>
      </c>
      <c r="R5363" s="345" t="s">
        <v>223</v>
      </c>
      <c r="S5363" s="345" t="s">
        <v>224</v>
      </c>
    </row>
    <row r="5364" spans="1:19" x14ac:dyDescent="0.25">
      <c r="A5364" s="311"/>
      <c r="B5364" s="312"/>
      <c r="C5364" s="312"/>
      <c r="D5364" s="312"/>
      <c r="E5364" s="312"/>
      <c r="F5364" s="312"/>
      <c r="G5364" s="328"/>
      <c r="H5364" s="453"/>
      <c r="I5364" s="334"/>
      <c r="J5364" s="314"/>
      <c r="K5364" s="454"/>
      <c r="M5364" s="349" t="str">
        <f>N5364&amp;AS[[#This Row],[Insurer Code]]&amp;"; "&amp;O5364&amp;AS[[#This Row],[Reporting Year]]&amp;"; "&amp;P5364&amp;AS[[#This Row],[Insurance Category Code]]&amp;"; "&amp;Q5364&amp;AS[[#This Row],[Large Provider Entity Code]]&amp;"; "&amp;R5364&amp;AS[[#This Row],[Age Band Code]]&amp;"; "&amp;S5364&amp;AS[[#This Row],[Sex Code]]</f>
        <v xml:space="preserve">Insurer Code ; Reporting Year ; Insurance Category Code ; Large Provider Entity Code ; Age Band Code ; Sex Code </v>
      </c>
      <c r="N5364" s="345" t="s">
        <v>207</v>
      </c>
      <c r="O5364" s="345" t="s">
        <v>208</v>
      </c>
      <c r="P5364" s="345" t="s">
        <v>209</v>
      </c>
      <c r="Q5364" s="345" t="s">
        <v>210</v>
      </c>
      <c r="R5364" s="345" t="s">
        <v>223</v>
      </c>
      <c r="S5364" s="345" t="s">
        <v>224</v>
      </c>
    </row>
    <row r="5365" spans="1:19" x14ac:dyDescent="0.25">
      <c r="A5365" s="311"/>
      <c r="B5365" s="312"/>
      <c r="C5365" s="312"/>
      <c r="D5365" s="312"/>
      <c r="E5365" s="312"/>
      <c r="F5365" s="312"/>
      <c r="G5365" s="328"/>
      <c r="H5365" s="453"/>
      <c r="I5365" s="334"/>
      <c r="J5365" s="314"/>
      <c r="K5365" s="454"/>
      <c r="M5365" s="349" t="str">
        <f>N5365&amp;AS[[#This Row],[Insurer Code]]&amp;"; "&amp;O5365&amp;AS[[#This Row],[Reporting Year]]&amp;"; "&amp;P5365&amp;AS[[#This Row],[Insurance Category Code]]&amp;"; "&amp;Q5365&amp;AS[[#This Row],[Large Provider Entity Code]]&amp;"; "&amp;R5365&amp;AS[[#This Row],[Age Band Code]]&amp;"; "&amp;S5365&amp;AS[[#This Row],[Sex Code]]</f>
        <v xml:space="preserve">Insurer Code ; Reporting Year ; Insurance Category Code ; Large Provider Entity Code ; Age Band Code ; Sex Code </v>
      </c>
      <c r="N5365" s="345" t="s">
        <v>207</v>
      </c>
      <c r="O5365" s="345" t="s">
        <v>208</v>
      </c>
      <c r="P5365" s="345" t="s">
        <v>209</v>
      </c>
      <c r="Q5365" s="345" t="s">
        <v>210</v>
      </c>
      <c r="R5365" s="345" t="s">
        <v>223</v>
      </c>
      <c r="S5365" s="345" t="s">
        <v>224</v>
      </c>
    </row>
    <row r="5366" spans="1:19" x14ac:dyDescent="0.25">
      <c r="A5366" s="311"/>
      <c r="B5366" s="312"/>
      <c r="C5366" s="312"/>
      <c r="D5366" s="312"/>
      <c r="E5366" s="312"/>
      <c r="F5366" s="312"/>
      <c r="G5366" s="328"/>
      <c r="H5366" s="453"/>
      <c r="I5366" s="334"/>
      <c r="J5366" s="314"/>
      <c r="K5366" s="454"/>
      <c r="M5366" s="349" t="str">
        <f>N5366&amp;AS[[#This Row],[Insurer Code]]&amp;"; "&amp;O5366&amp;AS[[#This Row],[Reporting Year]]&amp;"; "&amp;P5366&amp;AS[[#This Row],[Insurance Category Code]]&amp;"; "&amp;Q5366&amp;AS[[#This Row],[Large Provider Entity Code]]&amp;"; "&amp;R5366&amp;AS[[#This Row],[Age Band Code]]&amp;"; "&amp;S5366&amp;AS[[#This Row],[Sex Code]]</f>
        <v xml:space="preserve">Insurer Code ; Reporting Year ; Insurance Category Code ; Large Provider Entity Code ; Age Band Code ; Sex Code </v>
      </c>
      <c r="N5366" s="345" t="s">
        <v>207</v>
      </c>
      <c r="O5366" s="345" t="s">
        <v>208</v>
      </c>
      <c r="P5366" s="345" t="s">
        <v>209</v>
      </c>
      <c r="Q5366" s="345" t="s">
        <v>210</v>
      </c>
      <c r="R5366" s="345" t="s">
        <v>223</v>
      </c>
      <c r="S5366" s="345" t="s">
        <v>224</v>
      </c>
    </row>
    <row r="5367" spans="1:19" x14ac:dyDescent="0.25">
      <c r="A5367" s="311"/>
      <c r="B5367" s="312"/>
      <c r="C5367" s="312"/>
      <c r="D5367" s="312"/>
      <c r="E5367" s="312"/>
      <c r="F5367" s="312"/>
      <c r="G5367" s="328"/>
      <c r="H5367" s="453"/>
      <c r="I5367" s="334"/>
      <c r="J5367" s="314"/>
      <c r="K5367" s="454"/>
      <c r="M5367" s="349" t="str">
        <f>N5367&amp;AS[[#This Row],[Insurer Code]]&amp;"; "&amp;O5367&amp;AS[[#This Row],[Reporting Year]]&amp;"; "&amp;P5367&amp;AS[[#This Row],[Insurance Category Code]]&amp;"; "&amp;Q5367&amp;AS[[#This Row],[Large Provider Entity Code]]&amp;"; "&amp;R5367&amp;AS[[#This Row],[Age Band Code]]&amp;"; "&amp;S5367&amp;AS[[#This Row],[Sex Code]]</f>
        <v xml:space="preserve">Insurer Code ; Reporting Year ; Insurance Category Code ; Large Provider Entity Code ; Age Band Code ; Sex Code </v>
      </c>
      <c r="N5367" s="345" t="s">
        <v>207</v>
      </c>
      <c r="O5367" s="345" t="s">
        <v>208</v>
      </c>
      <c r="P5367" s="345" t="s">
        <v>209</v>
      </c>
      <c r="Q5367" s="345" t="s">
        <v>210</v>
      </c>
      <c r="R5367" s="345" t="s">
        <v>223</v>
      </c>
      <c r="S5367" s="345" t="s">
        <v>224</v>
      </c>
    </row>
    <row r="5368" spans="1:19" x14ac:dyDescent="0.25">
      <c r="A5368" s="311"/>
      <c r="B5368" s="312"/>
      <c r="C5368" s="312"/>
      <c r="D5368" s="312"/>
      <c r="E5368" s="312"/>
      <c r="F5368" s="312"/>
      <c r="G5368" s="328"/>
      <c r="H5368" s="453"/>
      <c r="I5368" s="334"/>
      <c r="J5368" s="314"/>
      <c r="K5368" s="454"/>
      <c r="M5368" s="349" t="str">
        <f>N5368&amp;AS[[#This Row],[Insurer Code]]&amp;"; "&amp;O5368&amp;AS[[#This Row],[Reporting Year]]&amp;"; "&amp;P5368&amp;AS[[#This Row],[Insurance Category Code]]&amp;"; "&amp;Q5368&amp;AS[[#This Row],[Large Provider Entity Code]]&amp;"; "&amp;R5368&amp;AS[[#This Row],[Age Band Code]]&amp;"; "&amp;S5368&amp;AS[[#This Row],[Sex Code]]</f>
        <v xml:space="preserve">Insurer Code ; Reporting Year ; Insurance Category Code ; Large Provider Entity Code ; Age Band Code ; Sex Code </v>
      </c>
      <c r="N5368" s="345" t="s">
        <v>207</v>
      </c>
      <c r="O5368" s="345" t="s">
        <v>208</v>
      </c>
      <c r="P5368" s="345" t="s">
        <v>209</v>
      </c>
      <c r="Q5368" s="345" t="s">
        <v>210</v>
      </c>
      <c r="R5368" s="345" t="s">
        <v>223</v>
      </c>
      <c r="S5368" s="345" t="s">
        <v>224</v>
      </c>
    </row>
    <row r="5369" spans="1:19" x14ac:dyDescent="0.25">
      <c r="A5369" s="311"/>
      <c r="B5369" s="312"/>
      <c r="C5369" s="312"/>
      <c r="D5369" s="312"/>
      <c r="E5369" s="312"/>
      <c r="F5369" s="312"/>
      <c r="G5369" s="328"/>
      <c r="H5369" s="453"/>
      <c r="I5369" s="334"/>
      <c r="J5369" s="314"/>
      <c r="K5369" s="454"/>
      <c r="M5369" s="349" t="str">
        <f>N5369&amp;AS[[#This Row],[Insurer Code]]&amp;"; "&amp;O5369&amp;AS[[#This Row],[Reporting Year]]&amp;"; "&amp;P5369&amp;AS[[#This Row],[Insurance Category Code]]&amp;"; "&amp;Q5369&amp;AS[[#This Row],[Large Provider Entity Code]]&amp;"; "&amp;R5369&amp;AS[[#This Row],[Age Band Code]]&amp;"; "&amp;S5369&amp;AS[[#This Row],[Sex Code]]</f>
        <v xml:space="preserve">Insurer Code ; Reporting Year ; Insurance Category Code ; Large Provider Entity Code ; Age Band Code ; Sex Code </v>
      </c>
      <c r="N5369" s="345" t="s">
        <v>207</v>
      </c>
      <c r="O5369" s="345" t="s">
        <v>208</v>
      </c>
      <c r="P5369" s="345" t="s">
        <v>209</v>
      </c>
      <c r="Q5369" s="345" t="s">
        <v>210</v>
      </c>
      <c r="R5369" s="345" t="s">
        <v>223</v>
      </c>
      <c r="S5369" s="345" t="s">
        <v>224</v>
      </c>
    </row>
    <row r="5370" spans="1:19" x14ac:dyDescent="0.25">
      <c r="A5370" s="311"/>
      <c r="B5370" s="312"/>
      <c r="C5370" s="312"/>
      <c r="D5370" s="312"/>
      <c r="E5370" s="312"/>
      <c r="F5370" s="312"/>
      <c r="G5370" s="328"/>
      <c r="H5370" s="453"/>
      <c r="I5370" s="334"/>
      <c r="J5370" s="314"/>
      <c r="K5370" s="454"/>
      <c r="M5370" s="349" t="str">
        <f>N5370&amp;AS[[#This Row],[Insurer Code]]&amp;"; "&amp;O5370&amp;AS[[#This Row],[Reporting Year]]&amp;"; "&amp;P5370&amp;AS[[#This Row],[Insurance Category Code]]&amp;"; "&amp;Q5370&amp;AS[[#This Row],[Large Provider Entity Code]]&amp;"; "&amp;R5370&amp;AS[[#This Row],[Age Band Code]]&amp;"; "&amp;S5370&amp;AS[[#This Row],[Sex Code]]</f>
        <v xml:space="preserve">Insurer Code ; Reporting Year ; Insurance Category Code ; Large Provider Entity Code ; Age Band Code ; Sex Code </v>
      </c>
      <c r="N5370" s="345" t="s">
        <v>207</v>
      </c>
      <c r="O5370" s="345" t="s">
        <v>208</v>
      </c>
      <c r="P5370" s="345" t="s">
        <v>209</v>
      </c>
      <c r="Q5370" s="345" t="s">
        <v>210</v>
      </c>
      <c r="R5370" s="345" t="s">
        <v>223</v>
      </c>
      <c r="S5370" s="345" t="s">
        <v>224</v>
      </c>
    </row>
    <row r="5371" spans="1:19" x14ac:dyDescent="0.25">
      <c r="A5371" s="311"/>
      <c r="B5371" s="312"/>
      <c r="C5371" s="312"/>
      <c r="D5371" s="312"/>
      <c r="E5371" s="312"/>
      <c r="F5371" s="312"/>
      <c r="G5371" s="328"/>
      <c r="H5371" s="453"/>
      <c r="I5371" s="334"/>
      <c r="J5371" s="314"/>
      <c r="K5371" s="454"/>
      <c r="M5371" s="349" t="str">
        <f>N5371&amp;AS[[#This Row],[Insurer Code]]&amp;"; "&amp;O5371&amp;AS[[#This Row],[Reporting Year]]&amp;"; "&amp;P5371&amp;AS[[#This Row],[Insurance Category Code]]&amp;"; "&amp;Q5371&amp;AS[[#This Row],[Large Provider Entity Code]]&amp;"; "&amp;R5371&amp;AS[[#This Row],[Age Band Code]]&amp;"; "&amp;S5371&amp;AS[[#This Row],[Sex Code]]</f>
        <v xml:space="preserve">Insurer Code ; Reporting Year ; Insurance Category Code ; Large Provider Entity Code ; Age Band Code ; Sex Code </v>
      </c>
      <c r="N5371" s="345" t="s">
        <v>207</v>
      </c>
      <c r="O5371" s="345" t="s">
        <v>208</v>
      </c>
      <c r="P5371" s="345" t="s">
        <v>209</v>
      </c>
      <c r="Q5371" s="345" t="s">
        <v>210</v>
      </c>
      <c r="R5371" s="345" t="s">
        <v>223</v>
      </c>
      <c r="S5371" s="345" t="s">
        <v>224</v>
      </c>
    </row>
    <row r="5372" spans="1:19" x14ac:dyDescent="0.25">
      <c r="A5372" s="311"/>
      <c r="B5372" s="312"/>
      <c r="C5372" s="312"/>
      <c r="D5372" s="312"/>
      <c r="E5372" s="312"/>
      <c r="F5372" s="312"/>
      <c r="G5372" s="328"/>
      <c r="H5372" s="453"/>
      <c r="I5372" s="334"/>
      <c r="J5372" s="314"/>
      <c r="K5372" s="454"/>
      <c r="M5372" s="349" t="str">
        <f>N5372&amp;AS[[#This Row],[Insurer Code]]&amp;"; "&amp;O5372&amp;AS[[#This Row],[Reporting Year]]&amp;"; "&amp;P5372&amp;AS[[#This Row],[Insurance Category Code]]&amp;"; "&amp;Q5372&amp;AS[[#This Row],[Large Provider Entity Code]]&amp;"; "&amp;R5372&amp;AS[[#This Row],[Age Band Code]]&amp;"; "&amp;S5372&amp;AS[[#This Row],[Sex Code]]</f>
        <v xml:space="preserve">Insurer Code ; Reporting Year ; Insurance Category Code ; Large Provider Entity Code ; Age Band Code ; Sex Code </v>
      </c>
      <c r="N5372" s="345" t="s">
        <v>207</v>
      </c>
      <c r="O5372" s="345" t="s">
        <v>208</v>
      </c>
      <c r="P5372" s="345" t="s">
        <v>209</v>
      </c>
      <c r="Q5372" s="345" t="s">
        <v>210</v>
      </c>
      <c r="R5372" s="345" t="s">
        <v>223</v>
      </c>
      <c r="S5372" s="345" t="s">
        <v>224</v>
      </c>
    </row>
    <row r="5373" spans="1:19" x14ac:dyDescent="0.25">
      <c r="A5373" s="311"/>
      <c r="B5373" s="312"/>
      <c r="C5373" s="312"/>
      <c r="D5373" s="312"/>
      <c r="E5373" s="312"/>
      <c r="F5373" s="312"/>
      <c r="G5373" s="328"/>
      <c r="H5373" s="453"/>
      <c r="I5373" s="334"/>
      <c r="J5373" s="314"/>
      <c r="K5373" s="454"/>
      <c r="M5373" s="349" t="str">
        <f>N5373&amp;AS[[#This Row],[Insurer Code]]&amp;"; "&amp;O5373&amp;AS[[#This Row],[Reporting Year]]&amp;"; "&amp;P5373&amp;AS[[#This Row],[Insurance Category Code]]&amp;"; "&amp;Q5373&amp;AS[[#This Row],[Large Provider Entity Code]]&amp;"; "&amp;R5373&amp;AS[[#This Row],[Age Band Code]]&amp;"; "&amp;S5373&amp;AS[[#This Row],[Sex Code]]</f>
        <v xml:space="preserve">Insurer Code ; Reporting Year ; Insurance Category Code ; Large Provider Entity Code ; Age Band Code ; Sex Code </v>
      </c>
      <c r="N5373" s="345" t="s">
        <v>207</v>
      </c>
      <c r="O5373" s="345" t="s">
        <v>208</v>
      </c>
      <c r="P5373" s="345" t="s">
        <v>209</v>
      </c>
      <c r="Q5373" s="345" t="s">
        <v>210</v>
      </c>
      <c r="R5373" s="345" t="s">
        <v>223</v>
      </c>
      <c r="S5373" s="345" t="s">
        <v>224</v>
      </c>
    </row>
    <row r="5374" spans="1:19" x14ac:dyDescent="0.25">
      <c r="A5374" s="311"/>
      <c r="B5374" s="312"/>
      <c r="C5374" s="312"/>
      <c r="D5374" s="312"/>
      <c r="E5374" s="312"/>
      <c r="F5374" s="312"/>
      <c r="G5374" s="328"/>
      <c r="H5374" s="453"/>
      <c r="I5374" s="334"/>
      <c r="J5374" s="314"/>
      <c r="K5374" s="454"/>
      <c r="M5374" s="349" t="str">
        <f>N5374&amp;AS[[#This Row],[Insurer Code]]&amp;"; "&amp;O5374&amp;AS[[#This Row],[Reporting Year]]&amp;"; "&amp;P5374&amp;AS[[#This Row],[Insurance Category Code]]&amp;"; "&amp;Q5374&amp;AS[[#This Row],[Large Provider Entity Code]]&amp;"; "&amp;R5374&amp;AS[[#This Row],[Age Band Code]]&amp;"; "&amp;S5374&amp;AS[[#This Row],[Sex Code]]</f>
        <v xml:space="preserve">Insurer Code ; Reporting Year ; Insurance Category Code ; Large Provider Entity Code ; Age Band Code ; Sex Code </v>
      </c>
      <c r="N5374" s="345" t="s">
        <v>207</v>
      </c>
      <c r="O5374" s="345" t="s">
        <v>208</v>
      </c>
      <c r="P5374" s="345" t="s">
        <v>209</v>
      </c>
      <c r="Q5374" s="345" t="s">
        <v>210</v>
      </c>
      <c r="R5374" s="345" t="s">
        <v>223</v>
      </c>
      <c r="S5374" s="345" t="s">
        <v>224</v>
      </c>
    </row>
    <row r="5375" spans="1:19" x14ac:dyDescent="0.25">
      <c r="A5375" s="311"/>
      <c r="B5375" s="312"/>
      <c r="C5375" s="312"/>
      <c r="D5375" s="312"/>
      <c r="E5375" s="312"/>
      <c r="F5375" s="312"/>
      <c r="G5375" s="328"/>
      <c r="H5375" s="453"/>
      <c r="I5375" s="334"/>
      <c r="J5375" s="314"/>
      <c r="K5375" s="454"/>
      <c r="M5375" s="349" t="str">
        <f>N5375&amp;AS[[#This Row],[Insurer Code]]&amp;"; "&amp;O5375&amp;AS[[#This Row],[Reporting Year]]&amp;"; "&amp;P5375&amp;AS[[#This Row],[Insurance Category Code]]&amp;"; "&amp;Q5375&amp;AS[[#This Row],[Large Provider Entity Code]]&amp;"; "&amp;R5375&amp;AS[[#This Row],[Age Band Code]]&amp;"; "&amp;S5375&amp;AS[[#This Row],[Sex Code]]</f>
        <v xml:space="preserve">Insurer Code ; Reporting Year ; Insurance Category Code ; Large Provider Entity Code ; Age Band Code ; Sex Code </v>
      </c>
      <c r="N5375" s="345" t="s">
        <v>207</v>
      </c>
      <c r="O5375" s="345" t="s">
        <v>208</v>
      </c>
      <c r="P5375" s="345" t="s">
        <v>209</v>
      </c>
      <c r="Q5375" s="345" t="s">
        <v>210</v>
      </c>
      <c r="R5375" s="345" t="s">
        <v>223</v>
      </c>
      <c r="S5375" s="345" t="s">
        <v>224</v>
      </c>
    </row>
    <row r="5376" spans="1:19" x14ac:dyDescent="0.25">
      <c r="A5376" s="311"/>
      <c r="B5376" s="312"/>
      <c r="C5376" s="312"/>
      <c r="D5376" s="312"/>
      <c r="E5376" s="312"/>
      <c r="F5376" s="312"/>
      <c r="G5376" s="328"/>
      <c r="H5376" s="453"/>
      <c r="I5376" s="334"/>
      <c r="J5376" s="314"/>
      <c r="K5376" s="454"/>
      <c r="M5376" s="349" t="str">
        <f>N5376&amp;AS[[#This Row],[Insurer Code]]&amp;"; "&amp;O5376&amp;AS[[#This Row],[Reporting Year]]&amp;"; "&amp;P5376&amp;AS[[#This Row],[Insurance Category Code]]&amp;"; "&amp;Q5376&amp;AS[[#This Row],[Large Provider Entity Code]]&amp;"; "&amp;R5376&amp;AS[[#This Row],[Age Band Code]]&amp;"; "&amp;S5376&amp;AS[[#This Row],[Sex Code]]</f>
        <v xml:space="preserve">Insurer Code ; Reporting Year ; Insurance Category Code ; Large Provider Entity Code ; Age Band Code ; Sex Code </v>
      </c>
      <c r="N5376" s="345" t="s">
        <v>207</v>
      </c>
      <c r="O5376" s="345" t="s">
        <v>208</v>
      </c>
      <c r="P5376" s="345" t="s">
        <v>209</v>
      </c>
      <c r="Q5376" s="345" t="s">
        <v>210</v>
      </c>
      <c r="R5376" s="345" t="s">
        <v>223</v>
      </c>
      <c r="S5376" s="345" t="s">
        <v>224</v>
      </c>
    </row>
    <row r="5377" spans="1:19" x14ac:dyDescent="0.25">
      <c r="A5377" s="311"/>
      <c r="B5377" s="312"/>
      <c r="C5377" s="312"/>
      <c r="D5377" s="312"/>
      <c r="E5377" s="312"/>
      <c r="F5377" s="312"/>
      <c r="G5377" s="328"/>
      <c r="H5377" s="453"/>
      <c r="I5377" s="334"/>
      <c r="J5377" s="314"/>
      <c r="K5377" s="454"/>
      <c r="M5377" s="349" t="str">
        <f>N5377&amp;AS[[#This Row],[Insurer Code]]&amp;"; "&amp;O5377&amp;AS[[#This Row],[Reporting Year]]&amp;"; "&amp;P5377&amp;AS[[#This Row],[Insurance Category Code]]&amp;"; "&amp;Q5377&amp;AS[[#This Row],[Large Provider Entity Code]]&amp;"; "&amp;R5377&amp;AS[[#This Row],[Age Band Code]]&amp;"; "&amp;S5377&amp;AS[[#This Row],[Sex Code]]</f>
        <v xml:space="preserve">Insurer Code ; Reporting Year ; Insurance Category Code ; Large Provider Entity Code ; Age Band Code ; Sex Code </v>
      </c>
      <c r="N5377" s="345" t="s">
        <v>207</v>
      </c>
      <c r="O5377" s="345" t="s">
        <v>208</v>
      </c>
      <c r="P5377" s="345" t="s">
        <v>209</v>
      </c>
      <c r="Q5377" s="345" t="s">
        <v>210</v>
      </c>
      <c r="R5377" s="345" t="s">
        <v>223</v>
      </c>
      <c r="S5377" s="345" t="s">
        <v>224</v>
      </c>
    </row>
    <row r="5378" spans="1:19" x14ac:dyDescent="0.25">
      <c r="A5378" s="311"/>
      <c r="B5378" s="312"/>
      <c r="C5378" s="312"/>
      <c r="D5378" s="312"/>
      <c r="E5378" s="312"/>
      <c r="F5378" s="312"/>
      <c r="G5378" s="328"/>
      <c r="H5378" s="453"/>
      <c r="I5378" s="334"/>
      <c r="J5378" s="314"/>
      <c r="K5378" s="454"/>
      <c r="M5378" s="349" t="str">
        <f>N5378&amp;AS[[#This Row],[Insurer Code]]&amp;"; "&amp;O5378&amp;AS[[#This Row],[Reporting Year]]&amp;"; "&amp;P5378&amp;AS[[#This Row],[Insurance Category Code]]&amp;"; "&amp;Q5378&amp;AS[[#This Row],[Large Provider Entity Code]]&amp;"; "&amp;R5378&amp;AS[[#This Row],[Age Band Code]]&amp;"; "&amp;S5378&amp;AS[[#This Row],[Sex Code]]</f>
        <v xml:space="preserve">Insurer Code ; Reporting Year ; Insurance Category Code ; Large Provider Entity Code ; Age Band Code ; Sex Code </v>
      </c>
      <c r="N5378" s="345" t="s">
        <v>207</v>
      </c>
      <c r="O5378" s="345" t="s">
        <v>208</v>
      </c>
      <c r="P5378" s="345" t="s">
        <v>209</v>
      </c>
      <c r="Q5378" s="345" t="s">
        <v>210</v>
      </c>
      <c r="R5378" s="345" t="s">
        <v>223</v>
      </c>
      <c r="S5378" s="345" t="s">
        <v>224</v>
      </c>
    </row>
    <row r="5379" spans="1:19" x14ac:dyDescent="0.25">
      <c r="A5379" s="311"/>
      <c r="B5379" s="312"/>
      <c r="C5379" s="312"/>
      <c r="D5379" s="312"/>
      <c r="E5379" s="312"/>
      <c r="F5379" s="312"/>
      <c r="G5379" s="328"/>
      <c r="H5379" s="453"/>
      <c r="I5379" s="334"/>
      <c r="J5379" s="314"/>
      <c r="K5379" s="454"/>
      <c r="M5379" s="349" t="str">
        <f>N5379&amp;AS[[#This Row],[Insurer Code]]&amp;"; "&amp;O5379&amp;AS[[#This Row],[Reporting Year]]&amp;"; "&amp;P5379&amp;AS[[#This Row],[Insurance Category Code]]&amp;"; "&amp;Q5379&amp;AS[[#This Row],[Large Provider Entity Code]]&amp;"; "&amp;R5379&amp;AS[[#This Row],[Age Band Code]]&amp;"; "&amp;S5379&amp;AS[[#This Row],[Sex Code]]</f>
        <v xml:space="preserve">Insurer Code ; Reporting Year ; Insurance Category Code ; Large Provider Entity Code ; Age Band Code ; Sex Code </v>
      </c>
      <c r="N5379" s="345" t="s">
        <v>207</v>
      </c>
      <c r="O5379" s="345" t="s">
        <v>208</v>
      </c>
      <c r="P5379" s="345" t="s">
        <v>209</v>
      </c>
      <c r="Q5379" s="345" t="s">
        <v>210</v>
      </c>
      <c r="R5379" s="345" t="s">
        <v>223</v>
      </c>
      <c r="S5379" s="345" t="s">
        <v>224</v>
      </c>
    </row>
    <row r="5380" spans="1:19" x14ac:dyDescent="0.25">
      <c r="A5380" s="311"/>
      <c r="B5380" s="312"/>
      <c r="C5380" s="312"/>
      <c r="D5380" s="312"/>
      <c r="E5380" s="312"/>
      <c r="F5380" s="312"/>
      <c r="G5380" s="328"/>
      <c r="H5380" s="453"/>
      <c r="I5380" s="334"/>
      <c r="J5380" s="314"/>
      <c r="K5380" s="454"/>
      <c r="M5380" s="349" t="str">
        <f>N5380&amp;AS[[#This Row],[Insurer Code]]&amp;"; "&amp;O5380&amp;AS[[#This Row],[Reporting Year]]&amp;"; "&amp;P5380&amp;AS[[#This Row],[Insurance Category Code]]&amp;"; "&amp;Q5380&amp;AS[[#This Row],[Large Provider Entity Code]]&amp;"; "&amp;R5380&amp;AS[[#This Row],[Age Band Code]]&amp;"; "&amp;S5380&amp;AS[[#This Row],[Sex Code]]</f>
        <v xml:space="preserve">Insurer Code ; Reporting Year ; Insurance Category Code ; Large Provider Entity Code ; Age Band Code ; Sex Code </v>
      </c>
      <c r="N5380" s="345" t="s">
        <v>207</v>
      </c>
      <c r="O5380" s="345" t="s">
        <v>208</v>
      </c>
      <c r="P5380" s="345" t="s">
        <v>209</v>
      </c>
      <c r="Q5380" s="345" t="s">
        <v>210</v>
      </c>
      <c r="R5380" s="345" t="s">
        <v>223</v>
      </c>
      <c r="S5380" s="345" t="s">
        <v>224</v>
      </c>
    </row>
    <row r="5381" spans="1:19" x14ac:dyDescent="0.25">
      <c r="A5381" s="311"/>
      <c r="B5381" s="312"/>
      <c r="C5381" s="312"/>
      <c r="D5381" s="312"/>
      <c r="E5381" s="312"/>
      <c r="F5381" s="312"/>
      <c r="G5381" s="328"/>
      <c r="H5381" s="453"/>
      <c r="I5381" s="334"/>
      <c r="J5381" s="314"/>
      <c r="K5381" s="454"/>
      <c r="M5381" s="349" t="str">
        <f>N5381&amp;AS[[#This Row],[Insurer Code]]&amp;"; "&amp;O5381&amp;AS[[#This Row],[Reporting Year]]&amp;"; "&amp;P5381&amp;AS[[#This Row],[Insurance Category Code]]&amp;"; "&amp;Q5381&amp;AS[[#This Row],[Large Provider Entity Code]]&amp;"; "&amp;R5381&amp;AS[[#This Row],[Age Band Code]]&amp;"; "&amp;S5381&amp;AS[[#This Row],[Sex Code]]</f>
        <v xml:space="preserve">Insurer Code ; Reporting Year ; Insurance Category Code ; Large Provider Entity Code ; Age Band Code ; Sex Code </v>
      </c>
      <c r="N5381" s="345" t="s">
        <v>207</v>
      </c>
      <c r="O5381" s="345" t="s">
        <v>208</v>
      </c>
      <c r="P5381" s="345" t="s">
        <v>209</v>
      </c>
      <c r="Q5381" s="345" t="s">
        <v>210</v>
      </c>
      <c r="R5381" s="345" t="s">
        <v>223</v>
      </c>
      <c r="S5381" s="345" t="s">
        <v>224</v>
      </c>
    </row>
    <row r="5382" spans="1:19" x14ac:dyDescent="0.25">
      <c r="A5382" s="311"/>
      <c r="B5382" s="312"/>
      <c r="C5382" s="312"/>
      <c r="D5382" s="312"/>
      <c r="E5382" s="312"/>
      <c r="F5382" s="312"/>
      <c r="G5382" s="328"/>
      <c r="H5382" s="453"/>
      <c r="I5382" s="334"/>
      <c r="J5382" s="314"/>
      <c r="K5382" s="454"/>
      <c r="M5382" s="349" t="str">
        <f>N5382&amp;AS[[#This Row],[Insurer Code]]&amp;"; "&amp;O5382&amp;AS[[#This Row],[Reporting Year]]&amp;"; "&amp;P5382&amp;AS[[#This Row],[Insurance Category Code]]&amp;"; "&amp;Q5382&amp;AS[[#This Row],[Large Provider Entity Code]]&amp;"; "&amp;R5382&amp;AS[[#This Row],[Age Band Code]]&amp;"; "&amp;S5382&amp;AS[[#This Row],[Sex Code]]</f>
        <v xml:space="preserve">Insurer Code ; Reporting Year ; Insurance Category Code ; Large Provider Entity Code ; Age Band Code ; Sex Code </v>
      </c>
      <c r="N5382" s="345" t="s">
        <v>207</v>
      </c>
      <c r="O5382" s="345" t="s">
        <v>208</v>
      </c>
      <c r="P5382" s="345" t="s">
        <v>209</v>
      </c>
      <c r="Q5382" s="345" t="s">
        <v>210</v>
      </c>
      <c r="R5382" s="345" t="s">
        <v>223</v>
      </c>
      <c r="S5382" s="345" t="s">
        <v>224</v>
      </c>
    </row>
    <row r="5383" spans="1:19" x14ac:dyDescent="0.25">
      <c r="A5383" s="311"/>
      <c r="B5383" s="312"/>
      <c r="C5383" s="312"/>
      <c r="D5383" s="312"/>
      <c r="E5383" s="312"/>
      <c r="F5383" s="312"/>
      <c r="G5383" s="328"/>
      <c r="H5383" s="453"/>
      <c r="I5383" s="334"/>
      <c r="J5383" s="314"/>
      <c r="K5383" s="454"/>
      <c r="M5383" s="349" t="str">
        <f>N5383&amp;AS[[#This Row],[Insurer Code]]&amp;"; "&amp;O5383&amp;AS[[#This Row],[Reporting Year]]&amp;"; "&amp;P5383&amp;AS[[#This Row],[Insurance Category Code]]&amp;"; "&amp;Q5383&amp;AS[[#This Row],[Large Provider Entity Code]]&amp;"; "&amp;R5383&amp;AS[[#This Row],[Age Band Code]]&amp;"; "&amp;S5383&amp;AS[[#This Row],[Sex Code]]</f>
        <v xml:space="preserve">Insurer Code ; Reporting Year ; Insurance Category Code ; Large Provider Entity Code ; Age Band Code ; Sex Code </v>
      </c>
      <c r="N5383" s="345" t="s">
        <v>207</v>
      </c>
      <c r="O5383" s="345" t="s">
        <v>208</v>
      </c>
      <c r="P5383" s="345" t="s">
        <v>209</v>
      </c>
      <c r="Q5383" s="345" t="s">
        <v>210</v>
      </c>
      <c r="R5383" s="345" t="s">
        <v>223</v>
      </c>
      <c r="S5383" s="345" t="s">
        <v>224</v>
      </c>
    </row>
    <row r="5384" spans="1:19" x14ac:dyDescent="0.25">
      <c r="A5384" s="311"/>
      <c r="B5384" s="312"/>
      <c r="C5384" s="312"/>
      <c r="D5384" s="312"/>
      <c r="E5384" s="312"/>
      <c r="F5384" s="312"/>
      <c r="G5384" s="328"/>
      <c r="H5384" s="453"/>
      <c r="I5384" s="334"/>
      <c r="J5384" s="314"/>
      <c r="K5384" s="454"/>
      <c r="M5384" s="349" t="str">
        <f>N5384&amp;AS[[#This Row],[Insurer Code]]&amp;"; "&amp;O5384&amp;AS[[#This Row],[Reporting Year]]&amp;"; "&amp;P5384&amp;AS[[#This Row],[Insurance Category Code]]&amp;"; "&amp;Q5384&amp;AS[[#This Row],[Large Provider Entity Code]]&amp;"; "&amp;R5384&amp;AS[[#This Row],[Age Band Code]]&amp;"; "&amp;S5384&amp;AS[[#This Row],[Sex Code]]</f>
        <v xml:space="preserve">Insurer Code ; Reporting Year ; Insurance Category Code ; Large Provider Entity Code ; Age Band Code ; Sex Code </v>
      </c>
      <c r="N5384" s="345" t="s">
        <v>207</v>
      </c>
      <c r="O5384" s="345" t="s">
        <v>208</v>
      </c>
      <c r="P5384" s="345" t="s">
        <v>209</v>
      </c>
      <c r="Q5384" s="345" t="s">
        <v>210</v>
      </c>
      <c r="R5384" s="345" t="s">
        <v>223</v>
      </c>
      <c r="S5384" s="345" t="s">
        <v>224</v>
      </c>
    </row>
    <row r="5385" spans="1:19" x14ac:dyDescent="0.25">
      <c r="A5385" s="311"/>
      <c r="B5385" s="312"/>
      <c r="C5385" s="312"/>
      <c r="D5385" s="312"/>
      <c r="E5385" s="312"/>
      <c r="F5385" s="312"/>
      <c r="G5385" s="328"/>
      <c r="H5385" s="453"/>
      <c r="I5385" s="334"/>
      <c r="J5385" s="314"/>
      <c r="K5385" s="454"/>
      <c r="M5385" s="349" t="str">
        <f>N5385&amp;AS[[#This Row],[Insurer Code]]&amp;"; "&amp;O5385&amp;AS[[#This Row],[Reporting Year]]&amp;"; "&amp;P5385&amp;AS[[#This Row],[Insurance Category Code]]&amp;"; "&amp;Q5385&amp;AS[[#This Row],[Large Provider Entity Code]]&amp;"; "&amp;R5385&amp;AS[[#This Row],[Age Band Code]]&amp;"; "&amp;S5385&amp;AS[[#This Row],[Sex Code]]</f>
        <v xml:space="preserve">Insurer Code ; Reporting Year ; Insurance Category Code ; Large Provider Entity Code ; Age Band Code ; Sex Code </v>
      </c>
      <c r="N5385" s="345" t="s">
        <v>207</v>
      </c>
      <c r="O5385" s="345" t="s">
        <v>208</v>
      </c>
      <c r="P5385" s="345" t="s">
        <v>209</v>
      </c>
      <c r="Q5385" s="345" t="s">
        <v>210</v>
      </c>
      <c r="R5385" s="345" t="s">
        <v>223</v>
      </c>
      <c r="S5385" s="345" t="s">
        <v>224</v>
      </c>
    </row>
    <row r="5386" spans="1:19" x14ac:dyDescent="0.25">
      <c r="A5386" s="311"/>
      <c r="B5386" s="312"/>
      <c r="C5386" s="312"/>
      <c r="D5386" s="312"/>
      <c r="E5386" s="312"/>
      <c r="F5386" s="312"/>
      <c r="G5386" s="328"/>
      <c r="H5386" s="453"/>
      <c r="I5386" s="334"/>
      <c r="J5386" s="314"/>
      <c r="K5386" s="454"/>
      <c r="M5386" s="349" t="str">
        <f>N5386&amp;AS[[#This Row],[Insurer Code]]&amp;"; "&amp;O5386&amp;AS[[#This Row],[Reporting Year]]&amp;"; "&amp;P5386&amp;AS[[#This Row],[Insurance Category Code]]&amp;"; "&amp;Q5386&amp;AS[[#This Row],[Large Provider Entity Code]]&amp;"; "&amp;R5386&amp;AS[[#This Row],[Age Band Code]]&amp;"; "&amp;S5386&amp;AS[[#This Row],[Sex Code]]</f>
        <v xml:space="preserve">Insurer Code ; Reporting Year ; Insurance Category Code ; Large Provider Entity Code ; Age Band Code ; Sex Code </v>
      </c>
      <c r="N5386" s="345" t="s">
        <v>207</v>
      </c>
      <c r="O5386" s="345" t="s">
        <v>208</v>
      </c>
      <c r="P5386" s="345" t="s">
        <v>209</v>
      </c>
      <c r="Q5386" s="345" t="s">
        <v>210</v>
      </c>
      <c r="R5386" s="345" t="s">
        <v>223</v>
      </c>
      <c r="S5386" s="345" t="s">
        <v>224</v>
      </c>
    </row>
    <row r="5387" spans="1:19" x14ac:dyDescent="0.25">
      <c r="A5387" s="311"/>
      <c r="B5387" s="312"/>
      <c r="C5387" s="312"/>
      <c r="D5387" s="312"/>
      <c r="E5387" s="312"/>
      <c r="F5387" s="312"/>
      <c r="G5387" s="328"/>
      <c r="H5387" s="453"/>
      <c r="I5387" s="334"/>
      <c r="J5387" s="314"/>
      <c r="K5387" s="454"/>
      <c r="M5387" s="349" t="str">
        <f>N5387&amp;AS[[#This Row],[Insurer Code]]&amp;"; "&amp;O5387&amp;AS[[#This Row],[Reporting Year]]&amp;"; "&amp;P5387&amp;AS[[#This Row],[Insurance Category Code]]&amp;"; "&amp;Q5387&amp;AS[[#This Row],[Large Provider Entity Code]]&amp;"; "&amp;R5387&amp;AS[[#This Row],[Age Band Code]]&amp;"; "&amp;S5387&amp;AS[[#This Row],[Sex Code]]</f>
        <v xml:space="preserve">Insurer Code ; Reporting Year ; Insurance Category Code ; Large Provider Entity Code ; Age Band Code ; Sex Code </v>
      </c>
      <c r="N5387" s="345" t="s">
        <v>207</v>
      </c>
      <c r="O5387" s="345" t="s">
        <v>208</v>
      </c>
      <c r="P5387" s="345" t="s">
        <v>209</v>
      </c>
      <c r="Q5387" s="345" t="s">
        <v>210</v>
      </c>
      <c r="R5387" s="345" t="s">
        <v>223</v>
      </c>
      <c r="S5387" s="345" t="s">
        <v>224</v>
      </c>
    </row>
    <row r="5388" spans="1:19" x14ac:dyDescent="0.25">
      <c r="A5388" s="311"/>
      <c r="B5388" s="312"/>
      <c r="C5388" s="312"/>
      <c r="D5388" s="312"/>
      <c r="E5388" s="312"/>
      <c r="F5388" s="312"/>
      <c r="G5388" s="328"/>
      <c r="H5388" s="453"/>
      <c r="I5388" s="334"/>
      <c r="J5388" s="314"/>
      <c r="K5388" s="454"/>
      <c r="M5388" s="349" t="str">
        <f>N5388&amp;AS[[#This Row],[Insurer Code]]&amp;"; "&amp;O5388&amp;AS[[#This Row],[Reporting Year]]&amp;"; "&amp;P5388&amp;AS[[#This Row],[Insurance Category Code]]&amp;"; "&amp;Q5388&amp;AS[[#This Row],[Large Provider Entity Code]]&amp;"; "&amp;R5388&amp;AS[[#This Row],[Age Band Code]]&amp;"; "&amp;S5388&amp;AS[[#This Row],[Sex Code]]</f>
        <v xml:space="preserve">Insurer Code ; Reporting Year ; Insurance Category Code ; Large Provider Entity Code ; Age Band Code ; Sex Code </v>
      </c>
      <c r="N5388" s="345" t="s">
        <v>207</v>
      </c>
      <c r="O5388" s="345" t="s">
        <v>208</v>
      </c>
      <c r="P5388" s="345" t="s">
        <v>209</v>
      </c>
      <c r="Q5388" s="345" t="s">
        <v>210</v>
      </c>
      <c r="R5388" s="345" t="s">
        <v>223</v>
      </c>
      <c r="S5388" s="345" t="s">
        <v>224</v>
      </c>
    </row>
    <row r="5389" spans="1:19" x14ac:dyDescent="0.25">
      <c r="A5389" s="311"/>
      <c r="B5389" s="312"/>
      <c r="C5389" s="312"/>
      <c r="D5389" s="312"/>
      <c r="E5389" s="312"/>
      <c r="F5389" s="312"/>
      <c r="G5389" s="328"/>
      <c r="H5389" s="453"/>
      <c r="I5389" s="334"/>
      <c r="J5389" s="314"/>
      <c r="K5389" s="454"/>
      <c r="M5389" s="349" t="str">
        <f>N5389&amp;AS[[#This Row],[Insurer Code]]&amp;"; "&amp;O5389&amp;AS[[#This Row],[Reporting Year]]&amp;"; "&amp;P5389&amp;AS[[#This Row],[Insurance Category Code]]&amp;"; "&amp;Q5389&amp;AS[[#This Row],[Large Provider Entity Code]]&amp;"; "&amp;R5389&amp;AS[[#This Row],[Age Band Code]]&amp;"; "&amp;S5389&amp;AS[[#This Row],[Sex Code]]</f>
        <v xml:space="preserve">Insurer Code ; Reporting Year ; Insurance Category Code ; Large Provider Entity Code ; Age Band Code ; Sex Code </v>
      </c>
      <c r="N5389" s="345" t="s">
        <v>207</v>
      </c>
      <c r="O5389" s="345" t="s">
        <v>208</v>
      </c>
      <c r="P5389" s="345" t="s">
        <v>209</v>
      </c>
      <c r="Q5389" s="345" t="s">
        <v>210</v>
      </c>
      <c r="R5389" s="345" t="s">
        <v>223</v>
      </c>
      <c r="S5389" s="345" t="s">
        <v>224</v>
      </c>
    </row>
    <row r="5390" spans="1:19" x14ac:dyDescent="0.25">
      <c r="A5390" s="311"/>
      <c r="B5390" s="312"/>
      <c r="C5390" s="312"/>
      <c r="D5390" s="312"/>
      <c r="E5390" s="312"/>
      <c r="F5390" s="312"/>
      <c r="G5390" s="328"/>
      <c r="H5390" s="453"/>
      <c r="I5390" s="334"/>
      <c r="J5390" s="314"/>
      <c r="K5390" s="454"/>
      <c r="M5390" s="349" t="str">
        <f>N5390&amp;AS[[#This Row],[Insurer Code]]&amp;"; "&amp;O5390&amp;AS[[#This Row],[Reporting Year]]&amp;"; "&amp;P5390&amp;AS[[#This Row],[Insurance Category Code]]&amp;"; "&amp;Q5390&amp;AS[[#This Row],[Large Provider Entity Code]]&amp;"; "&amp;R5390&amp;AS[[#This Row],[Age Band Code]]&amp;"; "&amp;S5390&amp;AS[[#This Row],[Sex Code]]</f>
        <v xml:space="preserve">Insurer Code ; Reporting Year ; Insurance Category Code ; Large Provider Entity Code ; Age Band Code ; Sex Code </v>
      </c>
      <c r="N5390" s="345" t="s">
        <v>207</v>
      </c>
      <c r="O5390" s="345" t="s">
        <v>208</v>
      </c>
      <c r="P5390" s="345" t="s">
        <v>209</v>
      </c>
      <c r="Q5390" s="345" t="s">
        <v>210</v>
      </c>
      <c r="R5390" s="345" t="s">
        <v>223</v>
      </c>
      <c r="S5390" s="345" t="s">
        <v>224</v>
      </c>
    </row>
    <row r="5391" spans="1:19" x14ac:dyDescent="0.25">
      <c r="A5391" s="311"/>
      <c r="B5391" s="312"/>
      <c r="C5391" s="312"/>
      <c r="D5391" s="312"/>
      <c r="E5391" s="312"/>
      <c r="F5391" s="312"/>
      <c r="G5391" s="328"/>
      <c r="H5391" s="453"/>
      <c r="I5391" s="334"/>
      <c r="J5391" s="314"/>
      <c r="K5391" s="454"/>
      <c r="M5391" s="349" t="str">
        <f>N5391&amp;AS[[#This Row],[Insurer Code]]&amp;"; "&amp;O5391&amp;AS[[#This Row],[Reporting Year]]&amp;"; "&amp;P5391&amp;AS[[#This Row],[Insurance Category Code]]&amp;"; "&amp;Q5391&amp;AS[[#This Row],[Large Provider Entity Code]]&amp;"; "&amp;R5391&amp;AS[[#This Row],[Age Band Code]]&amp;"; "&amp;S5391&amp;AS[[#This Row],[Sex Code]]</f>
        <v xml:space="preserve">Insurer Code ; Reporting Year ; Insurance Category Code ; Large Provider Entity Code ; Age Band Code ; Sex Code </v>
      </c>
      <c r="N5391" s="345" t="s">
        <v>207</v>
      </c>
      <c r="O5391" s="345" t="s">
        <v>208</v>
      </c>
      <c r="P5391" s="345" t="s">
        <v>209</v>
      </c>
      <c r="Q5391" s="345" t="s">
        <v>210</v>
      </c>
      <c r="R5391" s="345" t="s">
        <v>223</v>
      </c>
      <c r="S5391" s="345" t="s">
        <v>224</v>
      </c>
    </row>
    <row r="5392" spans="1:19" x14ac:dyDescent="0.25">
      <c r="A5392" s="311"/>
      <c r="B5392" s="312"/>
      <c r="C5392" s="312"/>
      <c r="D5392" s="312"/>
      <c r="E5392" s="312"/>
      <c r="F5392" s="312"/>
      <c r="G5392" s="328"/>
      <c r="H5392" s="453"/>
      <c r="I5392" s="334"/>
      <c r="J5392" s="314"/>
      <c r="K5392" s="454"/>
      <c r="M5392" s="349" t="str">
        <f>N5392&amp;AS[[#This Row],[Insurer Code]]&amp;"; "&amp;O5392&amp;AS[[#This Row],[Reporting Year]]&amp;"; "&amp;P5392&amp;AS[[#This Row],[Insurance Category Code]]&amp;"; "&amp;Q5392&amp;AS[[#This Row],[Large Provider Entity Code]]&amp;"; "&amp;R5392&amp;AS[[#This Row],[Age Band Code]]&amp;"; "&amp;S5392&amp;AS[[#This Row],[Sex Code]]</f>
        <v xml:space="preserve">Insurer Code ; Reporting Year ; Insurance Category Code ; Large Provider Entity Code ; Age Band Code ; Sex Code </v>
      </c>
      <c r="N5392" s="345" t="s">
        <v>207</v>
      </c>
      <c r="O5392" s="345" t="s">
        <v>208</v>
      </c>
      <c r="P5392" s="345" t="s">
        <v>209</v>
      </c>
      <c r="Q5392" s="345" t="s">
        <v>210</v>
      </c>
      <c r="R5392" s="345" t="s">
        <v>223</v>
      </c>
      <c r="S5392" s="345" t="s">
        <v>224</v>
      </c>
    </row>
    <row r="5393" spans="1:19" x14ac:dyDescent="0.25">
      <c r="A5393" s="311"/>
      <c r="B5393" s="312"/>
      <c r="C5393" s="312"/>
      <c r="D5393" s="312"/>
      <c r="E5393" s="312"/>
      <c r="F5393" s="312"/>
      <c r="G5393" s="328"/>
      <c r="H5393" s="453"/>
      <c r="I5393" s="334"/>
      <c r="J5393" s="314"/>
      <c r="K5393" s="454"/>
      <c r="M5393" s="349" t="str">
        <f>N5393&amp;AS[[#This Row],[Insurer Code]]&amp;"; "&amp;O5393&amp;AS[[#This Row],[Reporting Year]]&amp;"; "&amp;P5393&amp;AS[[#This Row],[Insurance Category Code]]&amp;"; "&amp;Q5393&amp;AS[[#This Row],[Large Provider Entity Code]]&amp;"; "&amp;R5393&amp;AS[[#This Row],[Age Band Code]]&amp;"; "&amp;S5393&amp;AS[[#This Row],[Sex Code]]</f>
        <v xml:space="preserve">Insurer Code ; Reporting Year ; Insurance Category Code ; Large Provider Entity Code ; Age Band Code ; Sex Code </v>
      </c>
      <c r="N5393" s="345" t="s">
        <v>207</v>
      </c>
      <c r="O5393" s="345" t="s">
        <v>208</v>
      </c>
      <c r="P5393" s="345" t="s">
        <v>209</v>
      </c>
      <c r="Q5393" s="345" t="s">
        <v>210</v>
      </c>
      <c r="R5393" s="345" t="s">
        <v>223</v>
      </c>
      <c r="S5393" s="345" t="s">
        <v>224</v>
      </c>
    </row>
    <row r="5394" spans="1:19" x14ac:dyDescent="0.25">
      <c r="A5394" s="311"/>
      <c r="B5394" s="312"/>
      <c r="C5394" s="312"/>
      <c r="D5394" s="312"/>
      <c r="E5394" s="312"/>
      <c r="F5394" s="312"/>
      <c r="G5394" s="328"/>
      <c r="H5394" s="453"/>
      <c r="I5394" s="334"/>
      <c r="J5394" s="314"/>
      <c r="K5394" s="454"/>
      <c r="M5394" s="349" t="str">
        <f>N5394&amp;AS[[#This Row],[Insurer Code]]&amp;"; "&amp;O5394&amp;AS[[#This Row],[Reporting Year]]&amp;"; "&amp;P5394&amp;AS[[#This Row],[Insurance Category Code]]&amp;"; "&amp;Q5394&amp;AS[[#This Row],[Large Provider Entity Code]]&amp;"; "&amp;R5394&amp;AS[[#This Row],[Age Band Code]]&amp;"; "&amp;S5394&amp;AS[[#This Row],[Sex Code]]</f>
        <v xml:space="preserve">Insurer Code ; Reporting Year ; Insurance Category Code ; Large Provider Entity Code ; Age Band Code ; Sex Code </v>
      </c>
      <c r="N5394" s="345" t="s">
        <v>207</v>
      </c>
      <c r="O5394" s="345" t="s">
        <v>208</v>
      </c>
      <c r="P5394" s="345" t="s">
        <v>209</v>
      </c>
      <c r="Q5394" s="345" t="s">
        <v>210</v>
      </c>
      <c r="R5394" s="345" t="s">
        <v>223</v>
      </c>
      <c r="S5394" s="345" t="s">
        <v>224</v>
      </c>
    </row>
    <row r="5395" spans="1:19" x14ac:dyDescent="0.25">
      <c r="A5395" s="311"/>
      <c r="B5395" s="312"/>
      <c r="C5395" s="312"/>
      <c r="D5395" s="312"/>
      <c r="E5395" s="312"/>
      <c r="F5395" s="312"/>
      <c r="G5395" s="328"/>
      <c r="H5395" s="453"/>
      <c r="I5395" s="334"/>
      <c r="J5395" s="314"/>
      <c r="K5395" s="454"/>
      <c r="M5395" s="349" t="str">
        <f>N5395&amp;AS[[#This Row],[Insurer Code]]&amp;"; "&amp;O5395&amp;AS[[#This Row],[Reporting Year]]&amp;"; "&amp;P5395&amp;AS[[#This Row],[Insurance Category Code]]&amp;"; "&amp;Q5395&amp;AS[[#This Row],[Large Provider Entity Code]]&amp;"; "&amp;R5395&amp;AS[[#This Row],[Age Band Code]]&amp;"; "&amp;S5395&amp;AS[[#This Row],[Sex Code]]</f>
        <v xml:space="preserve">Insurer Code ; Reporting Year ; Insurance Category Code ; Large Provider Entity Code ; Age Band Code ; Sex Code </v>
      </c>
      <c r="N5395" s="345" t="s">
        <v>207</v>
      </c>
      <c r="O5395" s="345" t="s">
        <v>208</v>
      </c>
      <c r="P5395" s="345" t="s">
        <v>209</v>
      </c>
      <c r="Q5395" s="345" t="s">
        <v>210</v>
      </c>
      <c r="R5395" s="345" t="s">
        <v>223</v>
      </c>
      <c r="S5395" s="345" t="s">
        <v>224</v>
      </c>
    </row>
    <row r="5396" spans="1:19" x14ac:dyDescent="0.25">
      <c r="A5396" s="311"/>
      <c r="B5396" s="312"/>
      <c r="C5396" s="312"/>
      <c r="D5396" s="312"/>
      <c r="E5396" s="312"/>
      <c r="F5396" s="312"/>
      <c r="G5396" s="328"/>
      <c r="H5396" s="453"/>
      <c r="I5396" s="334"/>
      <c r="J5396" s="314"/>
      <c r="K5396" s="454"/>
      <c r="M5396" s="349" t="str">
        <f>N5396&amp;AS[[#This Row],[Insurer Code]]&amp;"; "&amp;O5396&amp;AS[[#This Row],[Reporting Year]]&amp;"; "&amp;P5396&amp;AS[[#This Row],[Insurance Category Code]]&amp;"; "&amp;Q5396&amp;AS[[#This Row],[Large Provider Entity Code]]&amp;"; "&amp;R5396&amp;AS[[#This Row],[Age Band Code]]&amp;"; "&amp;S5396&amp;AS[[#This Row],[Sex Code]]</f>
        <v xml:space="preserve">Insurer Code ; Reporting Year ; Insurance Category Code ; Large Provider Entity Code ; Age Band Code ; Sex Code </v>
      </c>
      <c r="N5396" s="345" t="s">
        <v>207</v>
      </c>
      <c r="O5396" s="345" t="s">
        <v>208</v>
      </c>
      <c r="P5396" s="345" t="s">
        <v>209</v>
      </c>
      <c r="Q5396" s="345" t="s">
        <v>210</v>
      </c>
      <c r="R5396" s="345" t="s">
        <v>223</v>
      </c>
      <c r="S5396" s="345" t="s">
        <v>224</v>
      </c>
    </row>
    <row r="5397" spans="1:19" x14ac:dyDescent="0.25">
      <c r="A5397" s="311"/>
      <c r="B5397" s="312"/>
      <c r="C5397" s="312"/>
      <c r="D5397" s="312"/>
      <c r="E5397" s="312"/>
      <c r="F5397" s="312"/>
      <c r="G5397" s="328"/>
      <c r="H5397" s="453"/>
      <c r="I5397" s="334"/>
      <c r="J5397" s="314"/>
      <c r="K5397" s="454"/>
      <c r="M5397" s="349" t="str">
        <f>N5397&amp;AS[[#This Row],[Insurer Code]]&amp;"; "&amp;O5397&amp;AS[[#This Row],[Reporting Year]]&amp;"; "&amp;P5397&amp;AS[[#This Row],[Insurance Category Code]]&amp;"; "&amp;Q5397&amp;AS[[#This Row],[Large Provider Entity Code]]&amp;"; "&amp;R5397&amp;AS[[#This Row],[Age Band Code]]&amp;"; "&amp;S5397&amp;AS[[#This Row],[Sex Code]]</f>
        <v xml:space="preserve">Insurer Code ; Reporting Year ; Insurance Category Code ; Large Provider Entity Code ; Age Band Code ; Sex Code </v>
      </c>
      <c r="N5397" s="345" t="s">
        <v>207</v>
      </c>
      <c r="O5397" s="345" t="s">
        <v>208</v>
      </c>
      <c r="P5397" s="345" t="s">
        <v>209</v>
      </c>
      <c r="Q5397" s="345" t="s">
        <v>210</v>
      </c>
      <c r="R5397" s="345" t="s">
        <v>223</v>
      </c>
      <c r="S5397" s="345" t="s">
        <v>224</v>
      </c>
    </row>
    <row r="5398" spans="1:19" x14ac:dyDescent="0.25">
      <c r="A5398" s="311"/>
      <c r="B5398" s="312"/>
      <c r="C5398" s="312"/>
      <c r="D5398" s="312"/>
      <c r="E5398" s="312"/>
      <c r="F5398" s="312"/>
      <c r="G5398" s="328"/>
      <c r="H5398" s="453"/>
      <c r="I5398" s="334"/>
      <c r="J5398" s="314"/>
      <c r="K5398" s="454"/>
      <c r="M5398" s="349" t="str">
        <f>N5398&amp;AS[[#This Row],[Insurer Code]]&amp;"; "&amp;O5398&amp;AS[[#This Row],[Reporting Year]]&amp;"; "&amp;P5398&amp;AS[[#This Row],[Insurance Category Code]]&amp;"; "&amp;Q5398&amp;AS[[#This Row],[Large Provider Entity Code]]&amp;"; "&amp;R5398&amp;AS[[#This Row],[Age Band Code]]&amp;"; "&amp;S5398&amp;AS[[#This Row],[Sex Code]]</f>
        <v xml:space="preserve">Insurer Code ; Reporting Year ; Insurance Category Code ; Large Provider Entity Code ; Age Band Code ; Sex Code </v>
      </c>
      <c r="N5398" s="345" t="s">
        <v>207</v>
      </c>
      <c r="O5398" s="345" t="s">
        <v>208</v>
      </c>
      <c r="P5398" s="345" t="s">
        <v>209</v>
      </c>
      <c r="Q5398" s="345" t="s">
        <v>210</v>
      </c>
      <c r="R5398" s="345" t="s">
        <v>223</v>
      </c>
      <c r="S5398" s="345" t="s">
        <v>224</v>
      </c>
    </row>
    <row r="5399" spans="1:19" x14ac:dyDescent="0.25">
      <c r="A5399" s="311"/>
      <c r="B5399" s="312"/>
      <c r="C5399" s="312"/>
      <c r="D5399" s="312"/>
      <c r="E5399" s="312"/>
      <c r="F5399" s="312"/>
      <c r="G5399" s="328"/>
      <c r="H5399" s="453"/>
      <c r="I5399" s="334"/>
      <c r="J5399" s="314"/>
      <c r="K5399" s="454"/>
      <c r="M5399" s="349" t="str">
        <f>N5399&amp;AS[[#This Row],[Insurer Code]]&amp;"; "&amp;O5399&amp;AS[[#This Row],[Reporting Year]]&amp;"; "&amp;P5399&amp;AS[[#This Row],[Insurance Category Code]]&amp;"; "&amp;Q5399&amp;AS[[#This Row],[Large Provider Entity Code]]&amp;"; "&amp;R5399&amp;AS[[#This Row],[Age Band Code]]&amp;"; "&amp;S5399&amp;AS[[#This Row],[Sex Code]]</f>
        <v xml:space="preserve">Insurer Code ; Reporting Year ; Insurance Category Code ; Large Provider Entity Code ; Age Band Code ; Sex Code </v>
      </c>
      <c r="N5399" s="345" t="s">
        <v>207</v>
      </c>
      <c r="O5399" s="345" t="s">
        <v>208</v>
      </c>
      <c r="P5399" s="345" t="s">
        <v>209</v>
      </c>
      <c r="Q5399" s="345" t="s">
        <v>210</v>
      </c>
      <c r="R5399" s="345" t="s">
        <v>223</v>
      </c>
      <c r="S5399" s="345" t="s">
        <v>224</v>
      </c>
    </row>
    <row r="5400" spans="1:19" x14ac:dyDescent="0.25">
      <c r="A5400" s="311"/>
      <c r="B5400" s="312"/>
      <c r="C5400" s="312"/>
      <c r="D5400" s="312"/>
      <c r="E5400" s="312"/>
      <c r="F5400" s="312"/>
      <c r="G5400" s="328"/>
      <c r="H5400" s="453"/>
      <c r="I5400" s="334"/>
      <c r="J5400" s="314"/>
      <c r="K5400" s="454"/>
      <c r="M5400" s="349" t="str">
        <f>N5400&amp;AS[[#This Row],[Insurer Code]]&amp;"; "&amp;O5400&amp;AS[[#This Row],[Reporting Year]]&amp;"; "&amp;P5400&amp;AS[[#This Row],[Insurance Category Code]]&amp;"; "&amp;Q5400&amp;AS[[#This Row],[Large Provider Entity Code]]&amp;"; "&amp;R5400&amp;AS[[#This Row],[Age Band Code]]&amp;"; "&amp;S5400&amp;AS[[#This Row],[Sex Code]]</f>
        <v xml:space="preserve">Insurer Code ; Reporting Year ; Insurance Category Code ; Large Provider Entity Code ; Age Band Code ; Sex Code </v>
      </c>
      <c r="N5400" s="345" t="s">
        <v>207</v>
      </c>
      <c r="O5400" s="345" t="s">
        <v>208</v>
      </c>
      <c r="P5400" s="345" t="s">
        <v>209</v>
      </c>
      <c r="Q5400" s="345" t="s">
        <v>210</v>
      </c>
      <c r="R5400" s="345" t="s">
        <v>223</v>
      </c>
      <c r="S5400" s="345" t="s">
        <v>224</v>
      </c>
    </row>
    <row r="5401" spans="1:19" x14ac:dyDescent="0.25">
      <c r="A5401" s="311"/>
      <c r="B5401" s="312"/>
      <c r="C5401" s="312"/>
      <c r="D5401" s="312"/>
      <c r="E5401" s="312"/>
      <c r="F5401" s="312"/>
      <c r="G5401" s="328"/>
      <c r="H5401" s="453"/>
      <c r="I5401" s="334"/>
      <c r="J5401" s="314"/>
      <c r="K5401" s="454"/>
      <c r="M5401" s="349" t="str">
        <f>N5401&amp;AS[[#This Row],[Insurer Code]]&amp;"; "&amp;O5401&amp;AS[[#This Row],[Reporting Year]]&amp;"; "&amp;P5401&amp;AS[[#This Row],[Insurance Category Code]]&amp;"; "&amp;Q5401&amp;AS[[#This Row],[Large Provider Entity Code]]&amp;"; "&amp;R5401&amp;AS[[#This Row],[Age Band Code]]&amp;"; "&amp;S5401&amp;AS[[#This Row],[Sex Code]]</f>
        <v xml:space="preserve">Insurer Code ; Reporting Year ; Insurance Category Code ; Large Provider Entity Code ; Age Band Code ; Sex Code </v>
      </c>
      <c r="N5401" s="345" t="s">
        <v>207</v>
      </c>
      <c r="O5401" s="345" t="s">
        <v>208</v>
      </c>
      <c r="P5401" s="345" t="s">
        <v>209</v>
      </c>
      <c r="Q5401" s="345" t="s">
        <v>210</v>
      </c>
      <c r="R5401" s="345" t="s">
        <v>223</v>
      </c>
      <c r="S5401" s="345" t="s">
        <v>224</v>
      </c>
    </row>
    <row r="5402" spans="1:19" x14ac:dyDescent="0.25">
      <c r="A5402" s="311"/>
      <c r="B5402" s="312"/>
      <c r="C5402" s="312"/>
      <c r="D5402" s="312"/>
      <c r="E5402" s="312"/>
      <c r="F5402" s="312"/>
      <c r="G5402" s="328"/>
      <c r="H5402" s="453"/>
      <c r="I5402" s="334"/>
      <c r="J5402" s="314"/>
      <c r="K5402" s="454"/>
      <c r="M5402" s="349" t="str">
        <f>N5402&amp;AS[[#This Row],[Insurer Code]]&amp;"; "&amp;O5402&amp;AS[[#This Row],[Reporting Year]]&amp;"; "&amp;P5402&amp;AS[[#This Row],[Insurance Category Code]]&amp;"; "&amp;Q5402&amp;AS[[#This Row],[Large Provider Entity Code]]&amp;"; "&amp;R5402&amp;AS[[#This Row],[Age Band Code]]&amp;"; "&amp;S5402&amp;AS[[#This Row],[Sex Code]]</f>
        <v xml:space="preserve">Insurer Code ; Reporting Year ; Insurance Category Code ; Large Provider Entity Code ; Age Band Code ; Sex Code </v>
      </c>
      <c r="N5402" s="345" t="s">
        <v>207</v>
      </c>
      <c r="O5402" s="345" t="s">
        <v>208</v>
      </c>
      <c r="P5402" s="345" t="s">
        <v>209</v>
      </c>
      <c r="Q5402" s="345" t="s">
        <v>210</v>
      </c>
      <c r="R5402" s="345" t="s">
        <v>223</v>
      </c>
      <c r="S5402" s="345" t="s">
        <v>224</v>
      </c>
    </row>
    <row r="5403" spans="1:19" x14ac:dyDescent="0.25">
      <c r="A5403" s="311"/>
      <c r="B5403" s="312"/>
      <c r="C5403" s="312"/>
      <c r="D5403" s="312"/>
      <c r="E5403" s="312"/>
      <c r="F5403" s="312"/>
      <c r="G5403" s="328"/>
      <c r="H5403" s="453"/>
      <c r="I5403" s="334"/>
      <c r="J5403" s="314"/>
      <c r="K5403" s="454"/>
      <c r="M5403" s="349" t="str">
        <f>N5403&amp;AS[[#This Row],[Insurer Code]]&amp;"; "&amp;O5403&amp;AS[[#This Row],[Reporting Year]]&amp;"; "&amp;P5403&amp;AS[[#This Row],[Insurance Category Code]]&amp;"; "&amp;Q5403&amp;AS[[#This Row],[Large Provider Entity Code]]&amp;"; "&amp;R5403&amp;AS[[#This Row],[Age Band Code]]&amp;"; "&amp;S5403&amp;AS[[#This Row],[Sex Code]]</f>
        <v xml:space="preserve">Insurer Code ; Reporting Year ; Insurance Category Code ; Large Provider Entity Code ; Age Band Code ; Sex Code </v>
      </c>
      <c r="N5403" s="345" t="s">
        <v>207</v>
      </c>
      <c r="O5403" s="345" t="s">
        <v>208</v>
      </c>
      <c r="P5403" s="345" t="s">
        <v>209</v>
      </c>
      <c r="Q5403" s="345" t="s">
        <v>210</v>
      </c>
      <c r="R5403" s="345" t="s">
        <v>223</v>
      </c>
      <c r="S5403" s="345" t="s">
        <v>224</v>
      </c>
    </row>
    <row r="5404" spans="1:19" x14ac:dyDescent="0.25">
      <c r="A5404" s="311"/>
      <c r="B5404" s="312"/>
      <c r="C5404" s="312"/>
      <c r="D5404" s="312"/>
      <c r="E5404" s="312"/>
      <c r="F5404" s="312"/>
      <c r="G5404" s="328"/>
      <c r="H5404" s="453"/>
      <c r="I5404" s="334"/>
      <c r="J5404" s="314"/>
      <c r="K5404" s="454"/>
      <c r="M5404" s="349" t="str">
        <f>N5404&amp;AS[[#This Row],[Insurer Code]]&amp;"; "&amp;O5404&amp;AS[[#This Row],[Reporting Year]]&amp;"; "&amp;P5404&amp;AS[[#This Row],[Insurance Category Code]]&amp;"; "&amp;Q5404&amp;AS[[#This Row],[Large Provider Entity Code]]&amp;"; "&amp;R5404&amp;AS[[#This Row],[Age Band Code]]&amp;"; "&amp;S5404&amp;AS[[#This Row],[Sex Code]]</f>
        <v xml:space="preserve">Insurer Code ; Reporting Year ; Insurance Category Code ; Large Provider Entity Code ; Age Band Code ; Sex Code </v>
      </c>
      <c r="N5404" s="345" t="s">
        <v>207</v>
      </c>
      <c r="O5404" s="345" t="s">
        <v>208</v>
      </c>
      <c r="P5404" s="345" t="s">
        <v>209</v>
      </c>
      <c r="Q5404" s="345" t="s">
        <v>210</v>
      </c>
      <c r="R5404" s="345" t="s">
        <v>223</v>
      </c>
      <c r="S5404" s="345" t="s">
        <v>224</v>
      </c>
    </row>
    <row r="5405" spans="1:19" x14ac:dyDescent="0.25">
      <c r="A5405" s="311"/>
      <c r="B5405" s="312"/>
      <c r="C5405" s="312"/>
      <c r="D5405" s="312"/>
      <c r="E5405" s="312"/>
      <c r="F5405" s="312"/>
      <c r="G5405" s="328"/>
      <c r="H5405" s="453"/>
      <c r="I5405" s="334"/>
      <c r="J5405" s="314"/>
      <c r="K5405" s="454"/>
      <c r="M5405" s="349" t="str">
        <f>N5405&amp;AS[[#This Row],[Insurer Code]]&amp;"; "&amp;O5405&amp;AS[[#This Row],[Reporting Year]]&amp;"; "&amp;P5405&amp;AS[[#This Row],[Insurance Category Code]]&amp;"; "&amp;Q5405&amp;AS[[#This Row],[Large Provider Entity Code]]&amp;"; "&amp;R5405&amp;AS[[#This Row],[Age Band Code]]&amp;"; "&amp;S5405&amp;AS[[#This Row],[Sex Code]]</f>
        <v xml:space="preserve">Insurer Code ; Reporting Year ; Insurance Category Code ; Large Provider Entity Code ; Age Band Code ; Sex Code </v>
      </c>
      <c r="N5405" s="345" t="s">
        <v>207</v>
      </c>
      <c r="O5405" s="345" t="s">
        <v>208</v>
      </c>
      <c r="P5405" s="345" t="s">
        <v>209</v>
      </c>
      <c r="Q5405" s="345" t="s">
        <v>210</v>
      </c>
      <c r="R5405" s="345" t="s">
        <v>223</v>
      </c>
      <c r="S5405" s="345" t="s">
        <v>224</v>
      </c>
    </row>
    <row r="5406" spans="1:19" x14ac:dyDescent="0.25">
      <c r="A5406" s="311"/>
      <c r="B5406" s="312"/>
      <c r="C5406" s="312"/>
      <c r="D5406" s="312"/>
      <c r="E5406" s="312"/>
      <c r="F5406" s="312"/>
      <c r="G5406" s="328"/>
      <c r="H5406" s="453"/>
      <c r="I5406" s="334"/>
      <c r="J5406" s="314"/>
      <c r="K5406" s="454"/>
      <c r="M5406" s="349" t="str">
        <f>N5406&amp;AS[[#This Row],[Insurer Code]]&amp;"; "&amp;O5406&amp;AS[[#This Row],[Reporting Year]]&amp;"; "&amp;P5406&amp;AS[[#This Row],[Insurance Category Code]]&amp;"; "&amp;Q5406&amp;AS[[#This Row],[Large Provider Entity Code]]&amp;"; "&amp;R5406&amp;AS[[#This Row],[Age Band Code]]&amp;"; "&amp;S5406&amp;AS[[#This Row],[Sex Code]]</f>
        <v xml:space="preserve">Insurer Code ; Reporting Year ; Insurance Category Code ; Large Provider Entity Code ; Age Band Code ; Sex Code </v>
      </c>
      <c r="N5406" s="345" t="s">
        <v>207</v>
      </c>
      <c r="O5406" s="345" t="s">
        <v>208</v>
      </c>
      <c r="P5406" s="345" t="s">
        <v>209</v>
      </c>
      <c r="Q5406" s="345" t="s">
        <v>210</v>
      </c>
      <c r="R5406" s="345" t="s">
        <v>223</v>
      </c>
      <c r="S5406" s="345" t="s">
        <v>224</v>
      </c>
    </row>
    <row r="5407" spans="1:19" x14ac:dyDescent="0.25">
      <c r="A5407" s="311"/>
      <c r="B5407" s="312"/>
      <c r="C5407" s="312"/>
      <c r="D5407" s="312"/>
      <c r="E5407" s="312"/>
      <c r="F5407" s="312"/>
      <c r="G5407" s="328"/>
      <c r="H5407" s="453"/>
      <c r="I5407" s="334"/>
      <c r="J5407" s="314"/>
      <c r="K5407" s="454"/>
      <c r="M5407" s="349" t="str">
        <f>N5407&amp;AS[[#This Row],[Insurer Code]]&amp;"; "&amp;O5407&amp;AS[[#This Row],[Reporting Year]]&amp;"; "&amp;P5407&amp;AS[[#This Row],[Insurance Category Code]]&amp;"; "&amp;Q5407&amp;AS[[#This Row],[Large Provider Entity Code]]&amp;"; "&amp;R5407&amp;AS[[#This Row],[Age Band Code]]&amp;"; "&amp;S5407&amp;AS[[#This Row],[Sex Code]]</f>
        <v xml:space="preserve">Insurer Code ; Reporting Year ; Insurance Category Code ; Large Provider Entity Code ; Age Band Code ; Sex Code </v>
      </c>
      <c r="N5407" s="345" t="s">
        <v>207</v>
      </c>
      <c r="O5407" s="345" t="s">
        <v>208</v>
      </c>
      <c r="P5407" s="345" t="s">
        <v>209</v>
      </c>
      <c r="Q5407" s="345" t="s">
        <v>210</v>
      </c>
      <c r="R5407" s="345" t="s">
        <v>223</v>
      </c>
      <c r="S5407" s="345" t="s">
        <v>224</v>
      </c>
    </row>
    <row r="5408" spans="1:19" x14ac:dyDescent="0.25">
      <c r="A5408" s="311"/>
      <c r="B5408" s="312"/>
      <c r="C5408" s="312"/>
      <c r="D5408" s="312"/>
      <c r="E5408" s="312"/>
      <c r="F5408" s="312"/>
      <c r="G5408" s="328"/>
      <c r="H5408" s="453"/>
      <c r="I5408" s="334"/>
      <c r="J5408" s="314"/>
      <c r="K5408" s="454"/>
      <c r="M5408" s="349" t="str">
        <f>N5408&amp;AS[[#This Row],[Insurer Code]]&amp;"; "&amp;O5408&amp;AS[[#This Row],[Reporting Year]]&amp;"; "&amp;P5408&amp;AS[[#This Row],[Insurance Category Code]]&amp;"; "&amp;Q5408&amp;AS[[#This Row],[Large Provider Entity Code]]&amp;"; "&amp;R5408&amp;AS[[#This Row],[Age Band Code]]&amp;"; "&amp;S5408&amp;AS[[#This Row],[Sex Code]]</f>
        <v xml:space="preserve">Insurer Code ; Reporting Year ; Insurance Category Code ; Large Provider Entity Code ; Age Band Code ; Sex Code </v>
      </c>
      <c r="N5408" s="345" t="s">
        <v>207</v>
      </c>
      <c r="O5408" s="345" t="s">
        <v>208</v>
      </c>
      <c r="P5408" s="345" t="s">
        <v>209</v>
      </c>
      <c r="Q5408" s="345" t="s">
        <v>210</v>
      </c>
      <c r="R5408" s="345" t="s">
        <v>223</v>
      </c>
      <c r="S5408" s="345" t="s">
        <v>224</v>
      </c>
    </row>
    <row r="5409" spans="1:19" x14ac:dyDescent="0.25">
      <c r="A5409" s="311"/>
      <c r="B5409" s="312"/>
      <c r="C5409" s="312"/>
      <c r="D5409" s="312"/>
      <c r="E5409" s="312"/>
      <c r="F5409" s="312"/>
      <c r="G5409" s="328"/>
      <c r="H5409" s="453"/>
      <c r="I5409" s="334"/>
      <c r="J5409" s="314"/>
      <c r="K5409" s="454"/>
      <c r="M5409" s="349" t="str">
        <f>N5409&amp;AS[[#This Row],[Insurer Code]]&amp;"; "&amp;O5409&amp;AS[[#This Row],[Reporting Year]]&amp;"; "&amp;P5409&amp;AS[[#This Row],[Insurance Category Code]]&amp;"; "&amp;Q5409&amp;AS[[#This Row],[Large Provider Entity Code]]&amp;"; "&amp;R5409&amp;AS[[#This Row],[Age Band Code]]&amp;"; "&amp;S5409&amp;AS[[#This Row],[Sex Code]]</f>
        <v xml:space="preserve">Insurer Code ; Reporting Year ; Insurance Category Code ; Large Provider Entity Code ; Age Band Code ; Sex Code </v>
      </c>
      <c r="N5409" s="345" t="s">
        <v>207</v>
      </c>
      <c r="O5409" s="345" t="s">
        <v>208</v>
      </c>
      <c r="P5409" s="345" t="s">
        <v>209</v>
      </c>
      <c r="Q5409" s="345" t="s">
        <v>210</v>
      </c>
      <c r="R5409" s="345" t="s">
        <v>223</v>
      </c>
      <c r="S5409" s="345" t="s">
        <v>224</v>
      </c>
    </row>
    <row r="5410" spans="1:19" x14ac:dyDescent="0.25">
      <c r="A5410" s="311"/>
      <c r="B5410" s="312"/>
      <c r="C5410" s="312"/>
      <c r="D5410" s="312"/>
      <c r="E5410" s="312"/>
      <c r="F5410" s="312"/>
      <c r="G5410" s="328"/>
      <c r="H5410" s="453"/>
      <c r="I5410" s="334"/>
      <c r="J5410" s="314"/>
      <c r="K5410" s="454"/>
      <c r="M5410" s="349" t="str">
        <f>N5410&amp;AS[[#This Row],[Insurer Code]]&amp;"; "&amp;O5410&amp;AS[[#This Row],[Reporting Year]]&amp;"; "&amp;P5410&amp;AS[[#This Row],[Insurance Category Code]]&amp;"; "&amp;Q5410&amp;AS[[#This Row],[Large Provider Entity Code]]&amp;"; "&amp;R5410&amp;AS[[#This Row],[Age Band Code]]&amp;"; "&amp;S5410&amp;AS[[#This Row],[Sex Code]]</f>
        <v xml:space="preserve">Insurer Code ; Reporting Year ; Insurance Category Code ; Large Provider Entity Code ; Age Band Code ; Sex Code </v>
      </c>
      <c r="N5410" s="345" t="s">
        <v>207</v>
      </c>
      <c r="O5410" s="345" t="s">
        <v>208</v>
      </c>
      <c r="P5410" s="345" t="s">
        <v>209</v>
      </c>
      <c r="Q5410" s="345" t="s">
        <v>210</v>
      </c>
      <c r="R5410" s="345" t="s">
        <v>223</v>
      </c>
      <c r="S5410" s="345" t="s">
        <v>224</v>
      </c>
    </row>
    <row r="5411" spans="1:19" x14ac:dyDescent="0.25">
      <c r="A5411" s="311"/>
      <c r="B5411" s="312"/>
      <c r="C5411" s="312"/>
      <c r="D5411" s="312"/>
      <c r="E5411" s="312"/>
      <c r="F5411" s="312"/>
      <c r="G5411" s="328"/>
      <c r="H5411" s="453"/>
      <c r="I5411" s="334"/>
      <c r="J5411" s="314"/>
      <c r="K5411" s="454"/>
      <c r="M5411" s="349" t="str">
        <f>N5411&amp;AS[[#This Row],[Insurer Code]]&amp;"; "&amp;O5411&amp;AS[[#This Row],[Reporting Year]]&amp;"; "&amp;P5411&amp;AS[[#This Row],[Insurance Category Code]]&amp;"; "&amp;Q5411&amp;AS[[#This Row],[Large Provider Entity Code]]&amp;"; "&amp;R5411&amp;AS[[#This Row],[Age Band Code]]&amp;"; "&amp;S5411&amp;AS[[#This Row],[Sex Code]]</f>
        <v xml:space="preserve">Insurer Code ; Reporting Year ; Insurance Category Code ; Large Provider Entity Code ; Age Band Code ; Sex Code </v>
      </c>
      <c r="N5411" s="345" t="s">
        <v>207</v>
      </c>
      <c r="O5411" s="345" t="s">
        <v>208</v>
      </c>
      <c r="P5411" s="345" t="s">
        <v>209</v>
      </c>
      <c r="Q5411" s="345" t="s">
        <v>210</v>
      </c>
      <c r="R5411" s="345" t="s">
        <v>223</v>
      </c>
      <c r="S5411" s="345" t="s">
        <v>224</v>
      </c>
    </row>
    <row r="5412" spans="1:19" x14ac:dyDescent="0.25">
      <c r="A5412" s="311"/>
      <c r="B5412" s="312"/>
      <c r="C5412" s="312"/>
      <c r="D5412" s="312"/>
      <c r="E5412" s="312"/>
      <c r="F5412" s="312"/>
      <c r="G5412" s="328"/>
      <c r="H5412" s="453"/>
      <c r="I5412" s="334"/>
      <c r="J5412" s="314"/>
      <c r="K5412" s="454"/>
      <c r="M5412" s="349" t="str">
        <f>N5412&amp;AS[[#This Row],[Insurer Code]]&amp;"; "&amp;O5412&amp;AS[[#This Row],[Reporting Year]]&amp;"; "&amp;P5412&amp;AS[[#This Row],[Insurance Category Code]]&amp;"; "&amp;Q5412&amp;AS[[#This Row],[Large Provider Entity Code]]&amp;"; "&amp;R5412&amp;AS[[#This Row],[Age Band Code]]&amp;"; "&amp;S5412&amp;AS[[#This Row],[Sex Code]]</f>
        <v xml:space="preserve">Insurer Code ; Reporting Year ; Insurance Category Code ; Large Provider Entity Code ; Age Band Code ; Sex Code </v>
      </c>
      <c r="N5412" s="345" t="s">
        <v>207</v>
      </c>
      <c r="O5412" s="345" t="s">
        <v>208</v>
      </c>
      <c r="P5412" s="345" t="s">
        <v>209</v>
      </c>
      <c r="Q5412" s="345" t="s">
        <v>210</v>
      </c>
      <c r="R5412" s="345" t="s">
        <v>223</v>
      </c>
      <c r="S5412" s="345" t="s">
        <v>224</v>
      </c>
    </row>
    <row r="5413" spans="1:19" x14ac:dyDescent="0.25">
      <c r="A5413" s="311"/>
      <c r="B5413" s="312"/>
      <c r="C5413" s="312"/>
      <c r="D5413" s="312"/>
      <c r="E5413" s="312"/>
      <c r="F5413" s="312"/>
      <c r="G5413" s="328"/>
      <c r="H5413" s="453"/>
      <c r="I5413" s="334"/>
      <c r="J5413" s="314"/>
      <c r="K5413" s="454"/>
      <c r="M5413" s="349" t="str">
        <f>N5413&amp;AS[[#This Row],[Insurer Code]]&amp;"; "&amp;O5413&amp;AS[[#This Row],[Reporting Year]]&amp;"; "&amp;P5413&amp;AS[[#This Row],[Insurance Category Code]]&amp;"; "&amp;Q5413&amp;AS[[#This Row],[Large Provider Entity Code]]&amp;"; "&amp;R5413&amp;AS[[#This Row],[Age Band Code]]&amp;"; "&amp;S5413&amp;AS[[#This Row],[Sex Code]]</f>
        <v xml:space="preserve">Insurer Code ; Reporting Year ; Insurance Category Code ; Large Provider Entity Code ; Age Band Code ; Sex Code </v>
      </c>
      <c r="N5413" s="345" t="s">
        <v>207</v>
      </c>
      <c r="O5413" s="345" t="s">
        <v>208</v>
      </c>
      <c r="P5413" s="345" t="s">
        <v>209</v>
      </c>
      <c r="Q5413" s="345" t="s">
        <v>210</v>
      </c>
      <c r="R5413" s="345" t="s">
        <v>223</v>
      </c>
      <c r="S5413" s="345" t="s">
        <v>224</v>
      </c>
    </row>
    <row r="5414" spans="1:19" x14ac:dyDescent="0.25">
      <c r="A5414" s="311"/>
      <c r="B5414" s="312"/>
      <c r="C5414" s="312"/>
      <c r="D5414" s="312"/>
      <c r="E5414" s="312"/>
      <c r="F5414" s="312"/>
      <c r="G5414" s="328"/>
      <c r="H5414" s="453"/>
      <c r="I5414" s="334"/>
      <c r="J5414" s="314"/>
      <c r="K5414" s="454"/>
      <c r="M5414" s="349" t="str">
        <f>N5414&amp;AS[[#This Row],[Insurer Code]]&amp;"; "&amp;O5414&amp;AS[[#This Row],[Reporting Year]]&amp;"; "&amp;P5414&amp;AS[[#This Row],[Insurance Category Code]]&amp;"; "&amp;Q5414&amp;AS[[#This Row],[Large Provider Entity Code]]&amp;"; "&amp;R5414&amp;AS[[#This Row],[Age Band Code]]&amp;"; "&amp;S5414&amp;AS[[#This Row],[Sex Code]]</f>
        <v xml:space="preserve">Insurer Code ; Reporting Year ; Insurance Category Code ; Large Provider Entity Code ; Age Band Code ; Sex Code </v>
      </c>
      <c r="N5414" s="345" t="s">
        <v>207</v>
      </c>
      <c r="O5414" s="345" t="s">
        <v>208</v>
      </c>
      <c r="P5414" s="345" t="s">
        <v>209</v>
      </c>
      <c r="Q5414" s="345" t="s">
        <v>210</v>
      </c>
      <c r="R5414" s="345" t="s">
        <v>223</v>
      </c>
      <c r="S5414" s="345" t="s">
        <v>224</v>
      </c>
    </row>
    <row r="5415" spans="1:19" x14ac:dyDescent="0.25">
      <c r="A5415" s="311"/>
      <c r="B5415" s="312"/>
      <c r="C5415" s="312"/>
      <c r="D5415" s="312"/>
      <c r="E5415" s="312"/>
      <c r="F5415" s="312"/>
      <c r="G5415" s="328"/>
      <c r="H5415" s="453"/>
      <c r="I5415" s="334"/>
      <c r="J5415" s="314"/>
      <c r="K5415" s="454"/>
      <c r="M5415" s="349" t="str">
        <f>N5415&amp;AS[[#This Row],[Insurer Code]]&amp;"; "&amp;O5415&amp;AS[[#This Row],[Reporting Year]]&amp;"; "&amp;P5415&amp;AS[[#This Row],[Insurance Category Code]]&amp;"; "&amp;Q5415&amp;AS[[#This Row],[Large Provider Entity Code]]&amp;"; "&amp;R5415&amp;AS[[#This Row],[Age Band Code]]&amp;"; "&amp;S5415&amp;AS[[#This Row],[Sex Code]]</f>
        <v xml:space="preserve">Insurer Code ; Reporting Year ; Insurance Category Code ; Large Provider Entity Code ; Age Band Code ; Sex Code </v>
      </c>
      <c r="N5415" s="345" t="s">
        <v>207</v>
      </c>
      <c r="O5415" s="345" t="s">
        <v>208</v>
      </c>
      <c r="P5415" s="345" t="s">
        <v>209</v>
      </c>
      <c r="Q5415" s="345" t="s">
        <v>210</v>
      </c>
      <c r="R5415" s="345" t="s">
        <v>223</v>
      </c>
      <c r="S5415" s="345" t="s">
        <v>224</v>
      </c>
    </row>
    <row r="5416" spans="1:19" x14ac:dyDescent="0.25">
      <c r="A5416" s="311"/>
      <c r="B5416" s="312"/>
      <c r="C5416" s="312"/>
      <c r="D5416" s="312"/>
      <c r="E5416" s="312"/>
      <c r="F5416" s="312"/>
      <c r="G5416" s="328"/>
      <c r="H5416" s="453"/>
      <c r="I5416" s="334"/>
      <c r="J5416" s="314"/>
      <c r="K5416" s="454"/>
      <c r="M5416" s="349" t="str">
        <f>N5416&amp;AS[[#This Row],[Insurer Code]]&amp;"; "&amp;O5416&amp;AS[[#This Row],[Reporting Year]]&amp;"; "&amp;P5416&amp;AS[[#This Row],[Insurance Category Code]]&amp;"; "&amp;Q5416&amp;AS[[#This Row],[Large Provider Entity Code]]&amp;"; "&amp;R5416&amp;AS[[#This Row],[Age Band Code]]&amp;"; "&amp;S5416&amp;AS[[#This Row],[Sex Code]]</f>
        <v xml:space="preserve">Insurer Code ; Reporting Year ; Insurance Category Code ; Large Provider Entity Code ; Age Band Code ; Sex Code </v>
      </c>
      <c r="N5416" s="345" t="s">
        <v>207</v>
      </c>
      <c r="O5416" s="345" t="s">
        <v>208</v>
      </c>
      <c r="P5416" s="345" t="s">
        <v>209</v>
      </c>
      <c r="Q5416" s="345" t="s">
        <v>210</v>
      </c>
      <c r="R5416" s="345" t="s">
        <v>223</v>
      </c>
      <c r="S5416" s="345" t="s">
        <v>224</v>
      </c>
    </row>
    <row r="5417" spans="1:19" x14ac:dyDescent="0.25">
      <c r="A5417" s="311"/>
      <c r="B5417" s="312"/>
      <c r="C5417" s="312"/>
      <c r="D5417" s="312"/>
      <c r="E5417" s="312"/>
      <c r="F5417" s="312"/>
      <c r="G5417" s="328"/>
      <c r="H5417" s="453"/>
      <c r="I5417" s="334"/>
      <c r="J5417" s="314"/>
      <c r="K5417" s="454"/>
      <c r="M5417" s="349" t="str">
        <f>N5417&amp;AS[[#This Row],[Insurer Code]]&amp;"; "&amp;O5417&amp;AS[[#This Row],[Reporting Year]]&amp;"; "&amp;P5417&amp;AS[[#This Row],[Insurance Category Code]]&amp;"; "&amp;Q5417&amp;AS[[#This Row],[Large Provider Entity Code]]&amp;"; "&amp;R5417&amp;AS[[#This Row],[Age Band Code]]&amp;"; "&amp;S5417&amp;AS[[#This Row],[Sex Code]]</f>
        <v xml:space="preserve">Insurer Code ; Reporting Year ; Insurance Category Code ; Large Provider Entity Code ; Age Band Code ; Sex Code </v>
      </c>
      <c r="N5417" s="345" t="s">
        <v>207</v>
      </c>
      <c r="O5417" s="345" t="s">
        <v>208</v>
      </c>
      <c r="P5417" s="345" t="s">
        <v>209</v>
      </c>
      <c r="Q5417" s="345" t="s">
        <v>210</v>
      </c>
      <c r="R5417" s="345" t="s">
        <v>223</v>
      </c>
      <c r="S5417" s="345" t="s">
        <v>224</v>
      </c>
    </row>
    <row r="5418" spans="1:19" x14ac:dyDescent="0.25">
      <c r="A5418" s="311"/>
      <c r="B5418" s="312"/>
      <c r="C5418" s="312"/>
      <c r="D5418" s="312"/>
      <c r="E5418" s="312"/>
      <c r="F5418" s="312"/>
      <c r="G5418" s="328"/>
      <c r="H5418" s="453"/>
      <c r="I5418" s="334"/>
      <c r="J5418" s="314"/>
      <c r="K5418" s="454"/>
      <c r="M5418" s="349" t="str">
        <f>N5418&amp;AS[[#This Row],[Insurer Code]]&amp;"; "&amp;O5418&amp;AS[[#This Row],[Reporting Year]]&amp;"; "&amp;P5418&amp;AS[[#This Row],[Insurance Category Code]]&amp;"; "&amp;Q5418&amp;AS[[#This Row],[Large Provider Entity Code]]&amp;"; "&amp;R5418&amp;AS[[#This Row],[Age Band Code]]&amp;"; "&amp;S5418&amp;AS[[#This Row],[Sex Code]]</f>
        <v xml:space="preserve">Insurer Code ; Reporting Year ; Insurance Category Code ; Large Provider Entity Code ; Age Band Code ; Sex Code </v>
      </c>
      <c r="N5418" s="345" t="s">
        <v>207</v>
      </c>
      <c r="O5418" s="345" t="s">
        <v>208</v>
      </c>
      <c r="P5418" s="345" t="s">
        <v>209</v>
      </c>
      <c r="Q5418" s="345" t="s">
        <v>210</v>
      </c>
      <c r="R5418" s="345" t="s">
        <v>223</v>
      </c>
      <c r="S5418" s="345" t="s">
        <v>224</v>
      </c>
    </row>
    <row r="5419" spans="1:19" x14ac:dyDescent="0.25">
      <c r="A5419" s="311"/>
      <c r="B5419" s="312"/>
      <c r="C5419" s="312"/>
      <c r="D5419" s="312"/>
      <c r="E5419" s="312"/>
      <c r="F5419" s="312"/>
      <c r="G5419" s="328"/>
      <c r="H5419" s="453"/>
      <c r="I5419" s="334"/>
      <c r="J5419" s="314"/>
      <c r="K5419" s="454"/>
      <c r="M5419" s="349" t="str">
        <f>N5419&amp;AS[[#This Row],[Insurer Code]]&amp;"; "&amp;O5419&amp;AS[[#This Row],[Reporting Year]]&amp;"; "&amp;P5419&amp;AS[[#This Row],[Insurance Category Code]]&amp;"; "&amp;Q5419&amp;AS[[#This Row],[Large Provider Entity Code]]&amp;"; "&amp;R5419&amp;AS[[#This Row],[Age Band Code]]&amp;"; "&amp;S5419&amp;AS[[#This Row],[Sex Code]]</f>
        <v xml:space="preserve">Insurer Code ; Reporting Year ; Insurance Category Code ; Large Provider Entity Code ; Age Band Code ; Sex Code </v>
      </c>
      <c r="N5419" s="345" t="s">
        <v>207</v>
      </c>
      <c r="O5419" s="345" t="s">
        <v>208</v>
      </c>
      <c r="P5419" s="345" t="s">
        <v>209</v>
      </c>
      <c r="Q5419" s="345" t="s">
        <v>210</v>
      </c>
      <c r="R5419" s="345" t="s">
        <v>223</v>
      </c>
      <c r="S5419" s="345" t="s">
        <v>224</v>
      </c>
    </row>
    <row r="5420" spans="1:19" x14ac:dyDescent="0.25">
      <c r="A5420" s="311"/>
      <c r="B5420" s="312"/>
      <c r="C5420" s="312"/>
      <c r="D5420" s="312"/>
      <c r="E5420" s="312"/>
      <c r="F5420" s="312"/>
      <c r="G5420" s="328"/>
      <c r="H5420" s="453"/>
      <c r="I5420" s="334"/>
      <c r="J5420" s="314"/>
      <c r="K5420" s="454"/>
      <c r="M5420" s="349" t="str">
        <f>N5420&amp;AS[[#This Row],[Insurer Code]]&amp;"; "&amp;O5420&amp;AS[[#This Row],[Reporting Year]]&amp;"; "&amp;P5420&amp;AS[[#This Row],[Insurance Category Code]]&amp;"; "&amp;Q5420&amp;AS[[#This Row],[Large Provider Entity Code]]&amp;"; "&amp;R5420&amp;AS[[#This Row],[Age Band Code]]&amp;"; "&amp;S5420&amp;AS[[#This Row],[Sex Code]]</f>
        <v xml:space="preserve">Insurer Code ; Reporting Year ; Insurance Category Code ; Large Provider Entity Code ; Age Band Code ; Sex Code </v>
      </c>
      <c r="N5420" s="345" t="s">
        <v>207</v>
      </c>
      <c r="O5420" s="345" t="s">
        <v>208</v>
      </c>
      <c r="P5420" s="345" t="s">
        <v>209</v>
      </c>
      <c r="Q5420" s="345" t="s">
        <v>210</v>
      </c>
      <c r="R5420" s="345" t="s">
        <v>223</v>
      </c>
      <c r="S5420" s="345" t="s">
        <v>224</v>
      </c>
    </row>
    <row r="5421" spans="1:19" x14ac:dyDescent="0.25">
      <c r="A5421" s="311"/>
      <c r="B5421" s="312"/>
      <c r="C5421" s="312"/>
      <c r="D5421" s="312"/>
      <c r="E5421" s="312"/>
      <c r="F5421" s="312"/>
      <c r="G5421" s="328"/>
      <c r="H5421" s="453"/>
      <c r="I5421" s="334"/>
      <c r="J5421" s="314"/>
      <c r="K5421" s="454"/>
      <c r="M5421" s="349" t="str">
        <f>N5421&amp;AS[[#This Row],[Insurer Code]]&amp;"; "&amp;O5421&amp;AS[[#This Row],[Reporting Year]]&amp;"; "&amp;P5421&amp;AS[[#This Row],[Insurance Category Code]]&amp;"; "&amp;Q5421&amp;AS[[#This Row],[Large Provider Entity Code]]&amp;"; "&amp;R5421&amp;AS[[#This Row],[Age Band Code]]&amp;"; "&amp;S5421&amp;AS[[#This Row],[Sex Code]]</f>
        <v xml:space="preserve">Insurer Code ; Reporting Year ; Insurance Category Code ; Large Provider Entity Code ; Age Band Code ; Sex Code </v>
      </c>
      <c r="N5421" s="345" t="s">
        <v>207</v>
      </c>
      <c r="O5421" s="345" t="s">
        <v>208</v>
      </c>
      <c r="P5421" s="345" t="s">
        <v>209</v>
      </c>
      <c r="Q5421" s="345" t="s">
        <v>210</v>
      </c>
      <c r="R5421" s="345" t="s">
        <v>223</v>
      </c>
      <c r="S5421" s="345" t="s">
        <v>224</v>
      </c>
    </row>
    <row r="5422" spans="1:19" x14ac:dyDescent="0.25">
      <c r="A5422" s="311"/>
      <c r="B5422" s="312"/>
      <c r="C5422" s="312"/>
      <c r="D5422" s="312"/>
      <c r="E5422" s="312"/>
      <c r="F5422" s="312"/>
      <c r="G5422" s="328"/>
      <c r="H5422" s="453"/>
      <c r="I5422" s="334"/>
      <c r="J5422" s="314"/>
      <c r="K5422" s="454"/>
      <c r="M5422" s="349" t="str">
        <f>N5422&amp;AS[[#This Row],[Insurer Code]]&amp;"; "&amp;O5422&amp;AS[[#This Row],[Reporting Year]]&amp;"; "&amp;P5422&amp;AS[[#This Row],[Insurance Category Code]]&amp;"; "&amp;Q5422&amp;AS[[#This Row],[Large Provider Entity Code]]&amp;"; "&amp;R5422&amp;AS[[#This Row],[Age Band Code]]&amp;"; "&amp;S5422&amp;AS[[#This Row],[Sex Code]]</f>
        <v xml:space="preserve">Insurer Code ; Reporting Year ; Insurance Category Code ; Large Provider Entity Code ; Age Band Code ; Sex Code </v>
      </c>
      <c r="N5422" s="345" t="s">
        <v>207</v>
      </c>
      <c r="O5422" s="345" t="s">
        <v>208</v>
      </c>
      <c r="P5422" s="345" t="s">
        <v>209</v>
      </c>
      <c r="Q5422" s="345" t="s">
        <v>210</v>
      </c>
      <c r="R5422" s="345" t="s">
        <v>223</v>
      </c>
      <c r="S5422" s="345" t="s">
        <v>224</v>
      </c>
    </row>
    <row r="5423" spans="1:19" x14ac:dyDescent="0.25">
      <c r="A5423" s="311"/>
      <c r="B5423" s="312"/>
      <c r="C5423" s="312"/>
      <c r="D5423" s="312"/>
      <c r="E5423" s="312"/>
      <c r="F5423" s="312"/>
      <c r="G5423" s="328"/>
      <c r="H5423" s="453"/>
      <c r="I5423" s="334"/>
      <c r="J5423" s="314"/>
      <c r="K5423" s="454"/>
      <c r="M5423" s="349" t="str">
        <f>N5423&amp;AS[[#This Row],[Insurer Code]]&amp;"; "&amp;O5423&amp;AS[[#This Row],[Reporting Year]]&amp;"; "&amp;P5423&amp;AS[[#This Row],[Insurance Category Code]]&amp;"; "&amp;Q5423&amp;AS[[#This Row],[Large Provider Entity Code]]&amp;"; "&amp;R5423&amp;AS[[#This Row],[Age Band Code]]&amp;"; "&amp;S5423&amp;AS[[#This Row],[Sex Code]]</f>
        <v xml:space="preserve">Insurer Code ; Reporting Year ; Insurance Category Code ; Large Provider Entity Code ; Age Band Code ; Sex Code </v>
      </c>
      <c r="N5423" s="345" t="s">
        <v>207</v>
      </c>
      <c r="O5423" s="345" t="s">
        <v>208</v>
      </c>
      <c r="P5423" s="345" t="s">
        <v>209</v>
      </c>
      <c r="Q5423" s="345" t="s">
        <v>210</v>
      </c>
      <c r="R5423" s="345" t="s">
        <v>223</v>
      </c>
      <c r="S5423" s="345" t="s">
        <v>224</v>
      </c>
    </row>
    <row r="5424" spans="1:19" x14ac:dyDescent="0.25">
      <c r="A5424" s="311"/>
      <c r="B5424" s="312"/>
      <c r="C5424" s="312"/>
      <c r="D5424" s="312"/>
      <c r="E5424" s="312"/>
      <c r="F5424" s="312"/>
      <c r="G5424" s="328"/>
      <c r="H5424" s="453"/>
      <c r="I5424" s="334"/>
      <c r="J5424" s="314"/>
      <c r="K5424" s="454"/>
      <c r="M5424" s="349" t="str">
        <f>N5424&amp;AS[[#This Row],[Insurer Code]]&amp;"; "&amp;O5424&amp;AS[[#This Row],[Reporting Year]]&amp;"; "&amp;P5424&amp;AS[[#This Row],[Insurance Category Code]]&amp;"; "&amp;Q5424&amp;AS[[#This Row],[Large Provider Entity Code]]&amp;"; "&amp;R5424&amp;AS[[#This Row],[Age Band Code]]&amp;"; "&amp;S5424&amp;AS[[#This Row],[Sex Code]]</f>
        <v xml:space="preserve">Insurer Code ; Reporting Year ; Insurance Category Code ; Large Provider Entity Code ; Age Band Code ; Sex Code </v>
      </c>
      <c r="N5424" s="345" t="s">
        <v>207</v>
      </c>
      <c r="O5424" s="345" t="s">
        <v>208</v>
      </c>
      <c r="P5424" s="345" t="s">
        <v>209</v>
      </c>
      <c r="Q5424" s="345" t="s">
        <v>210</v>
      </c>
      <c r="R5424" s="345" t="s">
        <v>223</v>
      </c>
      <c r="S5424" s="345" t="s">
        <v>224</v>
      </c>
    </row>
    <row r="5425" spans="1:19" x14ac:dyDescent="0.25">
      <c r="A5425" s="311"/>
      <c r="B5425" s="312"/>
      <c r="C5425" s="312"/>
      <c r="D5425" s="312"/>
      <c r="E5425" s="312"/>
      <c r="F5425" s="312"/>
      <c r="G5425" s="328"/>
      <c r="H5425" s="453"/>
      <c r="I5425" s="334"/>
      <c r="J5425" s="314"/>
      <c r="K5425" s="454"/>
      <c r="M5425" s="349" t="str">
        <f>N5425&amp;AS[[#This Row],[Insurer Code]]&amp;"; "&amp;O5425&amp;AS[[#This Row],[Reporting Year]]&amp;"; "&amp;P5425&amp;AS[[#This Row],[Insurance Category Code]]&amp;"; "&amp;Q5425&amp;AS[[#This Row],[Large Provider Entity Code]]&amp;"; "&amp;R5425&amp;AS[[#This Row],[Age Band Code]]&amp;"; "&amp;S5425&amp;AS[[#This Row],[Sex Code]]</f>
        <v xml:space="preserve">Insurer Code ; Reporting Year ; Insurance Category Code ; Large Provider Entity Code ; Age Band Code ; Sex Code </v>
      </c>
      <c r="N5425" s="345" t="s">
        <v>207</v>
      </c>
      <c r="O5425" s="345" t="s">
        <v>208</v>
      </c>
      <c r="P5425" s="345" t="s">
        <v>209</v>
      </c>
      <c r="Q5425" s="345" t="s">
        <v>210</v>
      </c>
      <c r="R5425" s="345" t="s">
        <v>223</v>
      </c>
      <c r="S5425" s="345" t="s">
        <v>224</v>
      </c>
    </row>
    <row r="5426" spans="1:19" x14ac:dyDescent="0.25">
      <c r="A5426" s="311"/>
      <c r="B5426" s="312"/>
      <c r="C5426" s="312"/>
      <c r="D5426" s="312"/>
      <c r="E5426" s="312"/>
      <c r="F5426" s="312"/>
      <c r="G5426" s="328"/>
      <c r="H5426" s="453"/>
      <c r="I5426" s="334"/>
      <c r="J5426" s="314"/>
      <c r="K5426" s="454"/>
      <c r="M5426" s="349" t="str">
        <f>N5426&amp;AS[[#This Row],[Insurer Code]]&amp;"; "&amp;O5426&amp;AS[[#This Row],[Reporting Year]]&amp;"; "&amp;P5426&amp;AS[[#This Row],[Insurance Category Code]]&amp;"; "&amp;Q5426&amp;AS[[#This Row],[Large Provider Entity Code]]&amp;"; "&amp;R5426&amp;AS[[#This Row],[Age Band Code]]&amp;"; "&amp;S5426&amp;AS[[#This Row],[Sex Code]]</f>
        <v xml:space="preserve">Insurer Code ; Reporting Year ; Insurance Category Code ; Large Provider Entity Code ; Age Band Code ; Sex Code </v>
      </c>
      <c r="N5426" s="345" t="s">
        <v>207</v>
      </c>
      <c r="O5426" s="345" t="s">
        <v>208</v>
      </c>
      <c r="P5426" s="345" t="s">
        <v>209</v>
      </c>
      <c r="Q5426" s="345" t="s">
        <v>210</v>
      </c>
      <c r="R5426" s="345" t="s">
        <v>223</v>
      </c>
      <c r="S5426" s="345" t="s">
        <v>224</v>
      </c>
    </row>
    <row r="5427" spans="1:19" x14ac:dyDescent="0.25">
      <c r="A5427" s="311"/>
      <c r="B5427" s="312"/>
      <c r="C5427" s="312"/>
      <c r="D5427" s="312"/>
      <c r="E5427" s="312"/>
      <c r="F5427" s="312"/>
      <c r="G5427" s="328"/>
      <c r="H5427" s="453"/>
      <c r="I5427" s="334"/>
      <c r="J5427" s="314"/>
      <c r="K5427" s="454"/>
      <c r="M5427" s="349" t="str">
        <f>N5427&amp;AS[[#This Row],[Insurer Code]]&amp;"; "&amp;O5427&amp;AS[[#This Row],[Reporting Year]]&amp;"; "&amp;P5427&amp;AS[[#This Row],[Insurance Category Code]]&amp;"; "&amp;Q5427&amp;AS[[#This Row],[Large Provider Entity Code]]&amp;"; "&amp;R5427&amp;AS[[#This Row],[Age Band Code]]&amp;"; "&amp;S5427&amp;AS[[#This Row],[Sex Code]]</f>
        <v xml:space="preserve">Insurer Code ; Reporting Year ; Insurance Category Code ; Large Provider Entity Code ; Age Band Code ; Sex Code </v>
      </c>
      <c r="N5427" s="345" t="s">
        <v>207</v>
      </c>
      <c r="O5427" s="345" t="s">
        <v>208</v>
      </c>
      <c r="P5427" s="345" t="s">
        <v>209</v>
      </c>
      <c r="Q5427" s="345" t="s">
        <v>210</v>
      </c>
      <c r="R5427" s="345" t="s">
        <v>223</v>
      </c>
      <c r="S5427" s="345" t="s">
        <v>224</v>
      </c>
    </row>
    <row r="5428" spans="1:19" x14ac:dyDescent="0.25">
      <c r="A5428" s="311"/>
      <c r="B5428" s="312"/>
      <c r="C5428" s="312"/>
      <c r="D5428" s="312"/>
      <c r="E5428" s="312"/>
      <c r="F5428" s="312"/>
      <c r="G5428" s="328"/>
      <c r="H5428" s="453"/>
      <c r="I5428" s="334"/>
      <c r="J5428" s="314"/>
      <c r="K5428" s="454"/>
      <c r="M5428" s="349" t="str">
        <f>N5428&amp;AS[[#This Row],[Insurer Code]]&amp;"; "&amp;O5428&amp;AS[[#This Row],[Reporting Year]]&amp;"; "&amp;P5428&amp;AS[[#This Row],[Insurance Category Code]]&amp;"; "&amp;Q5428&amp;AS[[#This Row],[Large Provider Entity Code]]&amp;"; "&amp;R5428&amp;AS[[#This Row],[Age Band Code]]&amp;"; "&amp;S5428&amp;AS[[#This Row],[Sex Code]]</f>
        <v xml:space="preserve">Insurer Code ; Reporting Year ; Insurance Category Code ; Large Provider Entity Code ; Age Band Code ; Sex Code </v>
      </c>
      <c r="N5428" s="345" t="s">
        <v>207</v>
      </c>
      <c r="O5428" s="345" t="s">
        <v>208</v>
      </c>
      <c r="P5428" s="345" t="s">
        <v>209</v>
      </c>
      <c r="Q5428" s="345" t="s">
        <v>210</v>
      </c>
      <c r="R5428" s="345" t="s">
        <v>223</v>
      </c>
      <c r="S5428" s="345" t="s">
        <v>224</v>
      </c>
    </row>
    <row r="5429" spans="1:19" x14ac:dyDescent="0.25">
      <c r="A5429" s="311"/>
      <c r="B5429" s="312"/>
      <c r="C5429" s="312"/>
      <c r="D5429" s="312"/>
      <c r="E5429" s="312"/>
      <c r="F5429" s="312"/>
      <c r="G5429" s="328"/>
      <c r="H5429" s="453"/>
      <c r="I5429" s="334"/>
      <c r="J5429" s="314"/>
      <c r="K5429" s="454"/>
      <c r="M5429" s="349" t="str">
        <f>N5429&amp;AS[[#This Row],[Insurer Code]]&amp;"; "&amp;O5429&amp;AS[[#This Row],[Reporting Year]]&amp;"; "&amp;P5429&amp;AS[[#This Row],[Insurance Category Code]]&amp;"; "&amp;Q5429&amp;AS[[#This Row],[Large Provider Entity Code]]&amp;"; "&amp;R5429&amp;AS[[#This Row],[Age Band Code]]&amp;"; "&amp;S5429&amp;AS[[#This Row],[Sex Code]]</f>
        <v xml:space="preserve">Insurer Code ; Reporting Year ; Insurance Category Code ; Large Provider Entity Code ; Age Band Code ; Sex Code </v>
      </c>
      <c r="N5429" s="345" t="s">
        <v>207</v>
      </c>
      <c r="O5429" s="345" t="s">
        <v>208</v>
      </c>
      <c r="P5429" s="345" t="s">
        <v>209</v>
      </c>
      <c r="Q5429" s="345" t="s">
        <v>210</v>
      </c>
      <c r="R5429" s="345" t="s">
        <v>223</v>
      </c>
      <c r="S5429" s="345" t="s">
        <v>224</v>
      </c>
    </row>
    <row r="5430" spans="1:19" x14ac:dyDescent="0.25">
      <c r="A5430" s="311"/>
      <c r="B5430" s="312"/>
      <c r="C5430" s="312"/>
      <c r="D5430" s="312"/>
      <c r="E5430" s="312"/>
      <c r="F5430" s="312"/>
      <c r="G5430" s="328"/>
      <c r="H5430" s="453"/>
      <c r="I5430" s="334"/>
      <c r="J5430" s="314"/>
      <c r="K5430" s="454"/>
      <c r="M5430" s="349" t="str">
        <f>N5430&amp;AS[[#This Row],[Insurer Code]]&amp;"; "&amp;O5430&amp;AS[[#This Row],[Reporting Year]]&amp;"; "&amp;P5430&amp;AS[[#This Row],[Insurance Category Code]]&amp;"; "&amp;Q5430&amp;AS[[#This Row],[Large Provider Entity Code]]&amp;"; "&amp;R5430&amp;AS[[#This Row],[Age Band Code]]&amp;"; "&amp;S5430&amp;AS[[#This Row],[Sex Code]]</f>
        <v xml:space="preserve">Insurer Code ; Reporting Year ; Insurance Category Code ; Large Provider Entity Code ; Age Band Code ; Sex Code </v>
      </c>
      <c r="N5430" s="345" t="s">
        <v>207</v>
      </c>
      <c r="O5430" s="345" t="s">
        <v>208</v>
      </c>
      <c r="P5430" s="345" t="s">
        <v>209</v>
      </c>
      <c r="Q5430" s="345" t="s">
        <v>210</v>
      </c>
      <c r="R5430" s="345" t="s">
        <v>223</v>
      </c>
      <c r="S5430" s="345" t="s">
        <v>224</v>
      </c>
    </row>
    <row r="5431" spans="1:19" x14ac:dyDescent="0.25">
      <c r="A5431" s="311"/>
      <c r="B5431" s="312"/>
      <c r="C5431" s="312"/>
      <c r="D5431" s="312"/>
      <c r="E5431" s="312"/>
      <c r="F5431" s="312"/>
      <c r="G5431" s="328"/>
      <c r="H5431" s="453"/>
      <c r="I5431" s="334"/>
      <c r="J5431" s="314"/>
      <c r="K5431" s="454"/>
      <c r="M5431" s="349" t="str">
        <f>N5431&amp;AS[[#This Row],[Insurer Code]]&amp;"; "&amp;O5431&amp;AS[[#This Row],[Reporting Year]]&amp;"; "&amp;P5431&amp;AS[[#This Row],[Insurance Category Code]]&amp;"; "&amp;Q5431&amp;AS[[#This Row],[Large Provider Entity Code]]&amp;"; "&amp;R5431&amp;AS[[#This Row],[Age Band Code]]&amp;"; "&amp;S5431&amp;AS[[#This Row],[Sex Code]]</f>
        <v xml:space="preserve">Insurer Code ; Reporting Year ; Insurance Category Code ; Large Provider Entity Code ; Age Band Code ; Sex Code </v>
      </c>
      <c r="N5431" s="345" t="s">
        <v>207</v>
      </c>
      <c r="O5431" s="345" t="s">
        <v>208</v>
      </c>
      <c r="P5431" s="345" t="s">
        <v>209</v>
      </c>
      <c r="Q5431" s="345" t="s">
        <v>210</v>
      </c>
      <c r="R5431" s="345" t="s">
        <v>223</v>
      </c>
      <c r="S5431" s="345" t="s">
        <v>224</v>
      </c>
    </row>
    <row r="5432" spans="1:19" x14ac:dyDescent="0.25">
      <c r="A5432" s="311"/>
      <c r="B5432" s="312"/>
      <c r="C5432" s="312"/>
      <c r="D5432" s="312"/>
      <c r="E5432" s="312"/>
      <c r="F5432" s="312"/>
      <c r="G5432" s="328"/>
      <c r="H5432" s="453"/>
      <c r="I5432" s="334"/>
      <c r="J5432" s="314"/>
      <c r="K5432" s="454"/>
      <c r="M5432" s="349" t="str">
        <f>N5432&amp;AS[[#This Row],[Insurer Code]]&amp;"; "&amp;O5432&amp;AS[[#This Row],[Reporting Year]]&amp;"; "&amp;P5432&amp;AS[[#This Row],[Insurance Category Code]]&amp;"; "&amp;Q5432&amp;AS[[#This Row],[Large Provider Entity Code]]&amp;"; "&amp;R5432&amp;AS[[#This Row],[Age Band Code]]&amp;"; "&amp;S5432&amp;AS[[#This Row],[Sex Code]]</f>
        <v xml:space="preserve">Insurer Code ; Reporting Year ; Insurance Category Code ; Large Provider Entity Code ; Age Band Code ; Sex Code </v>
      </c>
      <c r="N5432" s="345" t="s">
        <v>207</v>
      </c>
      <c r="O5432" s="345" t="s">
        <v>208</v>
      </c>
      <c r="P5432" s="345" t="s">
        <v>209</v>
      </c>
      <c r="Q5432" s="345" t="s">
        <v>210</v>
      </c>
      <c r="R5432" s="345" t="s">
        <v>223</v>
      </c>
      <c r="S5432" s="345" t="s">
        <v>224</v>
      </c>
    </row>
    <row r="5433" spans="1:19" x14ac:dyDescent="0.25">
      <c r="A5433" s="311"/>
      <c r="B5433" s="312"/>
      <c r="C5433" s="312"/>
      <c r="D5433" s="312"/>
      <c r="E5433" s="312"/>
      <c r="F5433" s="312"/>
      <c r="G5433" s="328"/>
      <c r="H5433" s="453"/>
      <c r="I5433" s="334"/>
      <c r="J5433" s="314"/>
      <c r="K5433" s="454"/>
      <c r="M5433" s="349" t="str">
        <f>N5433&amp;AS[[#This Row],[Insurer Code]]&amp;"; "&amp;O5433&amp;AS[[#This Row],[Reporting Year]]&amp;"; "&amp;P5433&amp;AS[[#This Row],[Insurance Category Code]]&amp;"; "&amp;Q5433&amp;AS[[#This Row],[Large Provider Entity Code]]&amp;"; "&amp;R5433&amp;AS[[#This Row],[Age Band Code]]&amp;"; "&amp;S5433&amp;AS[[#This Row],[Sex Code]]</f>
        <v xml:space="preserve">Insurer Code ; Reporting Year ; Insurance Category Code ; Large Provider Entity Code ; Age Band Code ; Sex Code </v>
      </c>
      <c r="N5433" s="345" t="s">
        <v>207</v>
      </c>
      <c r="O5433" s="345" t="s">
        <v>208</v>
      </c>
      <c r="P5433" s="345" t="s">
        <v>209</v>
      </c>
      <c r="Q5433" s="345" t="s">
        <v>210</v>
      </c>
      <c r="R5433" s="345" t="s">
        <v>223</v>
      </c>
      <c r="S5433" s="345" t="s">
        <v>224</v>
      </c>
    </row>
    <row r="5434" spans="1:19" x14ac:dyDescent="0.25">
      <c r="A5434" s="311"/>
      <c r="B5434" s="312"/>
      <c r="C5434" s="312"/>
      <c r="D5434" s="312"/>
      <c r="E5434" s="312"/>
      <c r="F5434" s="312"/>
      <c r="G5434" s="328"/>
      <c r="H5434" s="453"/>
      <c r="I5434" s="334"/>
      <c r="J5434" s="314"/>
      <c r="K5434" s="454"/>
      <c r="M5434" s="349" t="str">
        <f>N5434&amp;AS[[#This Row],[Insurer Code]]&amp;"; "&amp;O5434&amp;AS[[#This Row],[Reporting Year]]&amp;"; "&amp;P5434&amp;AS[[#This Row],[Insurance Category Code]]&amp;"; "&amp;Q5434&amp;AS[[#This Row],[Large Provider Entity Code]]&amp;"; "&amp;R5434&amp;AS[[#This Row],[Age Band Code]]&amp;"; "&amp;S5434&amp;AS[[#This Row],[Sex Code]]</f>
        <v xml:space="preserve">Insurer Code ; Reporting Year ; Insurance Category Code ; Large Provider Entity Code ; Age Band Code ; Sex Code </v>
      </c>
      <c r="N5434" s="345" t="s">
        <v>207</v>
      </c>
      <c r="O5434" s="345" t="s">
        <v>208</v>
      </c>
      <c r="P5434" s="345" t="s">
        <v>209</v>
      </c>
      <c r="Q5434" s="345" t="s">
        <v>210</v>
      </c>
      <c r="R5434" s="345" t="s">
        <v>223</v>
      </c>
      <c r="S5434" s="345" t="s">
        <v>224</v>
      </c>
    </row>
    <row r="5435" spans="1:19" x14ac:dyDescent="0.25">
      <c r="A5435" s="311"/>
      <c r="B5435" s="312"/>
      <c r="C5435" s="312"/>
      <c r="D5435" s="312"/>
      <c r="E5435" s="312"/>
      <c r="F5435" s="312"/>
      <c r="G5435" s="328"/>
      <c r="H5435" s="453"/>
      <c r="I5435" s="334"/>
      <c r="J5435" s="314"/>
      <c r="K5435" s="454"/>
      <c r="M5435" s="349" t="str">
        <f>N5435&amp;AS[[#This Row],[Insurer Code]]&amp;"; "&amp;O5435&amp;AS[[#This Row],[Reporting Year]]&amp;"; "&amp;P5435&amp;AS[[#This Row],[Insurance Category Code]]&amp;"; "&amp;Q5435&amp;AS[[#This Row],[Large Provider Entity Code]]&amp;"; "&amp;R5435&amp;AS[[#This Row],[Age Band Code]]&amp;"; "&amp;S5435&amp;AS[[#This Row],[Sex Code]]</f>
        <v xml:space="preserve">Insurer Code ; Reporting Year ; Insurance Category Code ; Large Provider Entity Code ; Age Band Code ; Sex Code </v>
      </c>
      <c r="N5435" s="345" t="s">
        <v>207</v>
      </c>
      <c r="O5435" s="345" t="s">
        <v>208</v>
      </c>
      <c r="P5435" s="345" t="s">
        <v>209</v>
      </c>
      <c r="Q5435" s="345" t="s">
        <v>210</v>
      </c>
      <c r="R5435" s="345" t="s">
        <v>223</v>
      </c>
      <c r="S5435" s="345" t="s">
        <v>224</v>
      </c>
    </row>
    <row r="5436" spans="1:19" x14ac:dyDescent="0.25">
      <c r="A5436" s="311"/>
      <c r="B5436" s="312"/>
      <c r="C5436" s="312"/>
      <c r="D5436" s="312"/>
      <c r="E5436" s="312"/>
      <c r="F5436" s="312"/>
      <c r="G5436" s="328"/>
      <c r="H5436" s="453"/>
      <c r="I5436" s="334"/>
      <c r="J5436" s="314"/>
      <c r="K5436" s="454"/>
      <c r="M5436" s="349" t="str">
        <f>N5436&amp;AS[[#This Row],[Insurer Code]]&amp;"; "&amp;O5436&amp;AS[[#This Row],[Reporting Year]]&amp;"; "&amp;P5436&amp;AS[[#This Row],[Insurance Category Code]]&amp;"; "&amp;Q5436&amp;AS[[#This Row],[Large Provider Entity Code]]&amp;"; "&amp;R5436&amp;AS[[#This Row],[Age Band Code]]&amp;"; "&amp;S5436&amp;AS[[#This Row],[Sex Code]]</f>
        <v xml:space="preserve">Insurer Code ; Reporting Year ; Insurance Category Code ; Large Provider Entity Code ; Age Band Code ; Sex Code </v>
      </c>
      <c r="N5436" s="345" t="s">
        <v>207</v>
      </c>
      <c r="O5436" s="345" t="s">
        <v>208</v>
      </c>
      <c r="P5436" s="345" t="s">
        <v>209</v>
      </c>
      <c r="Q5436" s="345" t="s">
        <v>210</v>
      </c>
      <c r="R5436" s="345" t="s">
        <v>223</v>
      </c>
      <c r="S5436" s="345" t="s">
        <v>224</v>
      </c>
    </row>
    <row r="5437" spans="1:19" x14ac:dyDescent="0.25">
      <c r="A5437" s="311"/>
      <c r="B5437" s="312"/>
      <c r="C5437" s="312"/>
      <c r="D5437" s="312"/>
      <c r="E5437" s="312"/>
      <c r="F5437" s="312"/>
      <c r="G5437" s="328"/>
      <c r="H5437" s="453"/>
      <c r="I5437" s="334"/>
      <c r="J5437" s="314"/>
      <c r="K5437" s="454"/>
      <c r="M5437" s="349" t="str">
        <f>N5437&amp;AS[[#This Row],[Insurer Code]]&amp;"; "&amp;O5437&amp;AS[[#This Row],[Reporting Year]]&amp;"; "&amp;P5437&amp;AS[[#This Row],[Insurance Category Code]]&amp;"; "&amp;Q5437&amp;AS[[#This Row],[Large Provider Entity Code]]&amp;"; "&amp;R5437&amp;AS[[#This Row],[Age Band Code]]&amp;"; "&amp;S5437&amp;AS[[#This Row],[Sex Code]]</f>
        <v xml:space="preserve">Insurer Code ; Reporting Year ; Insurance Category Code ; Large Provider Entity Code ; Age Band Code ; Sex Code </v>
      </c>
      <c r="N5437" s="345" t="s">
        <v>207</v>
      </c>
      <c r="O5437" s="345" t="s">
        <v>208</v>
      </c>
      <c r="P5437" s="345" t="s">
        <v>209</v>
      </c>
      <c r="Q5437" s="345" t="s">
        <v>210</v>
      </c>
      <c r="R5437" s="345" t="s">
        <v>223</v>
      </c>
      <c r="S5437" s="345" t="s">
        <v>224</v>
      </c>
    </row>
    <row r="5438" spans="1:19" x14ac:dyDescent="0.25">
      <c r="A5438" s="311"/>
      <c r="B5438" s="312"/>
      <c r="C5438" s="312"/>
      <c r="D5438" s="312"/>
      <c r="E5438" s="312"/>
      <c r="F5438" s="312"/>
      <c r="G5438" s="328"/>
      <c r="H5438" s="453"/>
      <c r="I5438" s="334"/>
      <c r="J5438" s="314"/>
      <c r="K5438" s="454"/>
      <c r="M5438" s="349" t="str">
        <f>N5438&amp;AS[[#This Row],[Insurer Code]]&amp;"; "&amp;O5438&amp;AS[[#This Row],[Reporting Year]]&amp;"; "&amp;P5438&amp;AS[[#This Row],[Insurance Category Code]]&amp;"; "&amp;Q5438&amp;AS[[#This Row],[Large Provider Entity Code]]&amp;"; "&amp;R5438&amp;AS[[#This Row],[Age Band Code]]&amp;"; "&amp;S5438&amp;AS[[#This Row],[Sex Code]]</f>
        <v xml:space="preserve">Insurer Code ; Reporting Year ; Insurance Category Code ; Large Provider Entity Code ; Age Band Code ; Sex Code </v>
      </c>
      <c r="N5438" s="345" t="s">
        <v>207</v>
      </c>
      <c r="O5438" s="345" t="s">
        <v>208</v>
      </c>
      <c r="P5438" s="345" t="s">
        <v>209</v>
      </c>
      <c r="Q5438" s="345" t="s">
        <v>210</v>
      </c>
      <c r="R5438" s="345" t="s">
        <v>223</v>
      </c>
      <c r="S5438" s="345" t="s">
        <v>224</v>
      </c>
    </row>
    <row r="5439" spans="1:19" x14ac:dyDescent="0.25">
      <c r="A5439" s="311"/>
      <c r="B5439" s="312"/>
      <c r="C5439" s="312"/>
      <c r="D5439" s="312"/>
      <c r="E5439" s="312"/>
      <c r="F5439" s="312"/>
      <c r="G5439" s="328"/>
      <c r="H5439" s="453"/>
      <c r="I5439" s="334"/>
      <c r="J5439" s="314"/>
      <c r="K5439" s="454"/>
      <c r="M5439" s="349" t="str">
        <f>N5439&amp;AS[[#This Row],[Insurer Code]]&amp;"; "&amp;O5439&amp;AS[[#This Row],[Reporting Year]]&amp;"; "&amp;P5439&amp;AS[[#This Row],[Insurance Category Code]]&amp;"; "&amp;Q5439&amp;AS[[#This Row],[Large Provider Entity Code]]&amp;"; "&amp;R5439&amp;AS[[#This Row],[Age Band Code]]&amp;"; "&amp;S5439&amp;AS[[#This Row],[Sex Code]]</f>
        <v xml:space="preserve">Insurer Code ; Reporting Year ; Insurance Category Code ; Large Provider Entity Code ; Age Band Code ; Sex Code </v>
      </c>
      <c r="N5439" s="345" t="s">
        <v>207</v>
      </c>
      <c r="O5439" s="345" t="s">
        <v>208</v>
      </c>
      <c r="P5439" s="345" t="s">
        <v>209</v>
      </c>
      <c r="Q5439" s="345" t="s">
        <v>210</v>
      </c>
      <c r="R5439" s="345" t="s">
        <v>223</v>
      </c>
      <c r="S5439" s="345" t="s">
        <v>224</v>
      </c>
    </row>
    <row r="5440" spans="1:19" x14ac:dyDescent="0.25">
      <c r="A5440" s="311"/>
      <c r="B5440" s="312"/>
      <c r="C5440" s="312"/>
      <c r="D5440" s="312"/>
      <c r="E5440" s="312"/>
      <c r="F5440" s="312"/>
      <c r="G5440" s="328"/>
      <c r="H5440" s="453"/>
      <c r="I5440" s="334"/>
      <c r="J5440" s="314"/>
      <c r="K5440" s="454"/>
      <c r="M5440" s="349" t="str">
        <f>N5440&amp;AS[[#This Row],[Insurer Code]]&amp;"; "&amp;O5440&amp;AS[[#This Row],[Reporting Year]]&amp;"; "&amp;P5440&amp;AS[[#This Row],[Insurance Category Code]]&amp;"; "&amp;Q5440&amp;AS[[#This Row],[Large Provider Entity Code]]&amp;"; "&amp;R5440&amp;AS[[#This Row],[Age Band Code]]&amp;"; "&amp;S5440&amp;AS[[#This Row],[Sex Code]]</f>
        <v xml:space="preserve">Insurer Code ; Reporting Year ; Insurance Category Code ; Large Provider Entity Code ; Age Band Code ; Sex Code </v>
      </c>
      <c r="N5440" s="345" t="s">
        <v>207</v>
      </c>
      <c r="O5440" s="345" t="s">
        <v>208</v>
      </c>
      <c r="P5440" s="345" t="s">
        <v>209</v>
      </c>
      <c r="Q5440" s="345" t="s">
        <v>210</v>
      </c>
      <c r="R5440" s="345" t="s">
        <v>223</v>
      </c>
      <c r="S5440" s="345" t="s">
        <v>224</v>
      </c>
    </row>
    <row r="5441" spans="1:19" x14ac:dyDescent="0.25">
      <c r="A5441" s="311"/>
      <c r="B5441" s="312"/>
      <c r="C5441" s="312"/>
      <c r="D5441" s="312"/>
      <c r="E5441" s="312"/>
      <c r="F5441" s="312"/>
      <c r="G5441" s="328"/>
      <c r="H5441" s="453"/>
      <c r="I5441" s="334"/>
      <c r="J5441" s="314"/>
      <c r="K5441" s="454"/>
      <c r="M5441" s="349" t="str">
        <f>N5441&amp;AS[[#This Row],[Insurer Code]]&amp;"; "&amp;O5441&amp;AS[[#This Row],[Reporting Year]]&amp;"; "&amp;P5441&amp;AS[[#This Row],[Insurance Category Code]]&amp;"; "&amp;Q5441&amp;AS[[#This Row],[Large Provider Entity Code]]&amp;"; "&amp;R5441&amp;AS[[#This Row],[Age Band Code]]&amp;"; "&amp;S5441&amp;AS[[#This Row],[Sex Code]]</f>
        <v xml:space="preserve">Insurer Code ; Reporting Year ; Insurance Category Code ; Large Provider Entity Code ; Age Band Code ; Sex Code </v>
      </c>
      <c r="N5441" s="345" t="s">
        <v>207</v>
      </c>
      <c r="O5441" s="345" t="s">
        <v>208</v>
      </c>
      <c r="P5441" s="345" t="s">
        <v>209</v>
      </c>
      <c r="Q5441" s="345" t="s">
        <v>210</v>
      </c>
      <c r="R5441" s="345" t="s">
        <v>223</v>
      </c>
      <c r="S5441" s="345" t="s">
        <v>224</v>
      </c>
    </row>
    <row r="5442" spans="1:19" x14ac:dyDescent="0.25">
      <c r="A5442" s="311"/>
      <c r="B5442" s="312"/>
      <c r="C5442" s="312"/>
      <c r="D5442" s="312"/>
      <c r="E5442" s="312"/>
      <c r="F5442" s="312"/>
      <c r="G5442" s="328"/>
      <c r="H5442" s="453"/>
      <c r="I5442" s="334"/>
      <c r="J5442" s="314"/>
      <c r="K5442" s="454"/>
      <c r="M5442" s="349" t="str">
        <f>N5442&amp;AS[[#This Row],[Insurer Code]]&amp;"; "&amp;O5442&amp;AS[[#This Row],[Reporting Year]]&amp;"; "&amp;P5442&amp;AS[[#This Row],[Insurance Category Code]]&amp;"; "&amp;Q5442&amp;AS[[#This Row],[Large Provider Entity Code]]&amp;"; "&amp;R5442&amp;AS[[#This Row],[Age Band Code]]&amp;"; "&amp;S5442&amp;AS[[#This Row],[Sex Code]]</f>
        <v xml:space="preserve">Insurer Code ; Reporting Year ; Insurance Category Code ; Large Provider Entity Code ; Age Band Code ; Sex Code </v>
      </c>
      <c r="N5442" s="345" t="s">
        <v>207</v>
      </c>
      <c r="O5442" s="345" t="s">
        <v>208</v>
      </c>
      <c r="P5442" s="345" t="s">
        <v>209</v>
      </c>
      <c r="Q5442" s="345" t="s">
        <v>210</v>
      </c>
      <c r="R5442" s="345" t="s">
        <v>223</v>
      </c>
      <c r="S5442" s="345" t="s">
        <v>224</v>
      </c>
    </row>
    <row r="5443" spans="1:19" x14ac:dyDescent="0.25">
      <c r="A5443" s="311"/>
      <c r="B5443" s="312"/>
      <c r="C5443" s="312"/>
      <c r="D5443" s="312"/>
      <c r="E5443" s="312"/>
      <c r="F5443" s="312"/>
      <c r="G5443" s="328"/>
      <c r="H5443" s="453"/>
      <c r="I5443" s="334"/>
      <c r="J5443" s="314"/>
      <c r="K5443" s="454"/>
      <c r="M5443" s="349" t="str">
        <f>N5443&amp;AS[[#This Row],[Insurer Code]]&amp;"; "&amp;O5443&amp;AS[[#This Row],[Reporting Year]]&amp;"; "&amp;P5443&amp;AS[[#This Row],[Insurance Category Code]]&amp;"; "&amp;Q5443&amp;AS[[#This Row],[Large Provider Entity Code]]&amp;"; "&amp;R5443&amp;AS[[#This Row],[Age Band Code]]&amp;"; "&amp;S5443&amp;AS[[#This Row],[Sex Code]]</f>
        <v xml:space="preserve">Insurer Code ; Reporting Year ; Insurance Category Code ; Large Provider Entity Code ; Age Band Code ; Sex Code </v>
      </c>
      <c r="N5443" s="345" t="s">
        <v>207</v>
      </c>
      <c r="O5443" s="345" t="s">
        <v>208</v>
      </c>
      <c r="P5443" s="345" t="s">
        <v>209</v>
      </c>
      <c r="Q5443" s="345" t="s">
        <v>210</v>
      </c>
      <c r="R5443" s="345" t="s">
        <v>223</v>
      </c>
      <c r="S5443" s="345" t="s">
        <v>224</v>
      </c>
    </row>
    <row r="5444" spans="1:19" x14ac:dyDescent="0.25">
      <c r="A5444" s="311"/>
      <c r="B5444" s="312"/>
      <c r="C5444" s="312"/>
      <c r="D5444" s="312"/>
      <c r="E5444" s="312"/>
      <c r="F5444" s="312"/>
      <c r="G5444" s="328"/>
      <c r="H5444" s="453"/>
      <c r="I5444" s="334"/>
      <c r="J5444" s="314"/>
      <c r="K5444" s="454"/>
      <c r="M5444" s="349" t="str">
        <f>N5444&amp;AS[[#This Row],[Insurer Code]]&amp;"; "&amp;O5444&amp;AS[[#This Row],[Reporting Year]]&amp;"; "&amp;P5444&amp;AS[[#This Row],[Insurance Category Code]]&amp;"; "&amp;Q5444&amp;AS[[#This Row],[Large Provider Entity Code]]&amp;"; "&amp;R5444&amp;AS[[#This Row],[Age Band Code]]&amp;"; "&amp;S5444&amp;AS[[#This Row],[Sex Code]]</f>
        <v xml:space="preserve">Insurer Code ; Reporting Year ; Insurance Category Code ; Large Provider Entity Code ; Age Band Code ; Sex Code </v>
      </c>
      <c r="N5444" s="345" t="s">
        <v>207</v>
      </c>
      <c r="O5444" s="345" t="s">
        <v>208</v>
      </c>
      <c r="P5444" s="345" t="s">
        <v>209</v>
      </c>
      <c r="Q5444" s="345" t="s">
        <v>210</v>
      </c>
      <c r="R5444" s="345" t="s">
        <v>223</v>
      </c>
      <c r="S5444" s="345" t="s">
        <v>224</v>
      </c>
    </row>
    <row r="5445" spans="1:19" x14ac:dyDescent="0.25">
      <c r="A5445" s="311"/>
      <c r="B5445" s="312"/>
      <c r="C5445" s="312"/>
      <c r="D5445" s="312"/>
      <c r="E5445" s="312"/>
      <c r="F5445" s="312"/>
      <c r="G5445" s="328"/>
      <c r="H5445" s="453"/>
      <c r="I5445" s="334"/>
      <c r="J5445" s="314"/>
      <c r="K5445" s="454"/>
      <c r="M5445" s="349" t="str">
        <f>N5445&amp;AS[[#This Row],[Insurer Code]]&amp;"; "&amp;O5445&amp;AS[[#This Row],[Reporting Year]]&amp;"; "&amp;P5445&amp;AS[[#This Row],[Insurance Category Code]]&amp;"; "&amp;Q5445&amp;AS[[#This Row],[Large Provider Entity Code]]&amp;"; "&amp;R5445&amp;AS[[#This Row],[Age Band Code]]&amp;"; "&amp;S5445&amp;AS[[#This Row],[Sex Code]]</f>
        <v xml:space="preserve">Insurer Code ; Reporting Year ; Insurance Category Code ; Large Provider Entity Code ; Age Band Code ; Sex Code </v>
      </c>
      <c r="N5445" s="345" t="s">
        <v>207</v>
      </c>
      <c r="O5445" s="345" t="s">
        <v>208</v>
      </c>
      <c r="P5445" s="345" t="s">
        <v>209</v>
      </c>
      <c r="Q5445" s="345" t="s">
        <v>210</v>
      </c>
      <c r="R5445" s="345" t="s">
        <v>223</v>
      </c>
      <c r="S5445" s="345" t="s">
        <v>224</v>
      </c>
    </row>
    <row r="5446" spans="1:19" x14ac:dyDescent="0.25">
      <c r="A5446" s="311"/>
      <c r="B5446" s="312"/>
      <c r="C5446" s="312"/>
      <c r="D5446" s="312"/>
      <c r="E5446" s="312"/>
      <c r="F5446" s="312"/>
      <c r="G5446" s="328"/>
      <c r="H5446" s="453"/>
      <c r="I5446" s="334"/>
      <c r="J5446" s="314"/>
      <c r="K5446" s="454"/>
      <c r="M5446" s="349" t="str">
        <f>N5446&amp;AS[[#This Row],[Insurer Code]]&amp;"; "&amp;O5446&amp;AS[[#This Row],[Reporting Year]]&amp;"; "&amp;P5446&amp;AS[[#This Row],[Insurance Category Code]]&amp;"; "&amp;Q5446&amp;AS[[#This Row],[Large Provider Entity Code]]&amp;"; "&amp;R5446&amp;AS[[#This Row],[Age Band Code]]&amp;"; "&amp;S5446&amp;AS[[#This Row],[Sex Code]]</f>
        <v xml:space="preserve">Insurer Code ; Reporting Year ; Insurance Category Code ; Large Provider Entity Code ; Age Band Code ; Sex Code </v>
      </c>
      <c r="N5446" s="345" t="s">
        <v>207</v>
      </c>
      <c r="O5446" s="345" t="s">
        <v>208</v>
      </c>
      <c r="P5446" s="345" t="s">
        <v>209</v>
      </c>
      <c r="Q5446" s="345" t="s">
        <v>210</v>
      </c>
      <c r="R5446" s="345" t="s">
        <v>223</v>
      </c>
      <c r="S5446" s="345" t="s">
        <v>224</v>
      </c>
    </row>
    <row r="5447" spans="1:19" x14ac:dyDescent="0.25">
      <c r="A5447" s="311"/>
      <c r="B5447" s="312"/>
      <c r="C5447" s="312"/>
      <c r="D5447" s="312"/>
      <c r="E5447" s="312"/>
      <c r="F5447" s="312"/>
      <c r="G5447" s="328"/>
      <c r="H5447" s="453"/>
      <c r="I5447" s="334"/>
      <c r="J5447" s="314"/>
      <c r="K5447" s="454"/>
      <c r="M5447" s="349" t="str">
        <f>N5447&amp;AS[[#This Row],[Insurer Code]]&amp;"; "&amp;O5447&amp;AS[[#This Row],[Reporting Year]]&amp;"; "&amp;P5447&amp;AS[[#This Row],[Insurance Category Code]]&amp;"; "&amp;Q5447&amp;AS[[#This Row],[Large Provider Entity Code]]&amp;"; "&amp;R5447&amp;AS[[#This Row],[Age Band Code]]&amp;"; "&amp;S5447&amp;AS[[#This Row],[Sex Code]]</f>
        <v xml:space="preserve">Insurer Code ; Reporting Year ; Insurance Category Code ; Large Provider Entity Code ; Age Band Code ; Sex Code </v>
      </c>
      <c r="N5447" s="345" t="s">
        <v>207</v>
      </c>
      <c r="O5447" s="345" t="s">
        <v>208</v>
      </c>
      <c r="P5447" s="345" t="s">
        <v>209</v>
      </c>
      <c r="Q5447" s="345" t="s">
        <v>210</v>
      </c>
      <c r="R5447" s="345" t="s">
        <v>223</v>
      </c>
      <c r="S5447" s="345" t="s">
        <v>224</v>
      </c>
    </row>
    <row r="5448" spans="1:19" x14ac:dyDescent="0.25">
      <c r="A5448" s="311"/>
      <c r="B5448" s="312"/>
      <c r="C5448" s="312"/>
      <c r="D5448" s="312"/>
      <c r="E5448" s="312"/>
      <c r="F5448" s="312"/>
      <c r="G5448" s="328"/>
      <c r="H5448" s="453"/>
      <c r="I5448" s="334"/>
      <c r="J5448" s="314"/>
      <c r="K5448" s="454"/>
      <c r="M5448" s="349" t="str">
        <f>N5448&amp;AS[[#This Row],[Insurer Code]]&amp;"; "&amp;O5448&amp;AS[[#This Row],[Reporting Year]]&amp;"; "&amp;P5448&amp;AS[[#This Row],[Insurance Category Code]]&amp;"; "&amp;Q5448&amp;AS[[#This Row],[Large Provider Entity Code]]&amp;"; "&amp;R5448&amp;AS[[#This Row],[Age Band Code]]&amp;"; "&amp;S5448&amp;AS[[#This Row],[Sex Code]]</f>
        <v xml:space="preserve">Insurer Code ; Reporting Year ; Insurance Category Code ; Large Provider Entity Code ; Age Band Code ; Sex Code </v>
      </c>
      <c r="N5448" s="345" t="s">
        <v>207</v>
      </c>
      <c r="O5448" s="345" t="s">
        <v>208</v>
      </c>
      <c r="P5448" s="345" t="s">
        <v>209</v>
      </c>
      <c r="Q5448" s="345" t="s">
        <v>210</v>
      </c>
      <c r="R5448" s="345" t="s">
        <v>223</v>
      </c>
      <c r="S5448" s="345" t="s">
        <v>224</v>
      </c>
    </row>
    <row r="5449" spans="1:19" x14ac:dyDescent="0.25">
      <c r="A5449" s="311"/>
      <c r="B5449" s="312"/>
      <c r="C5449" s="312"/>
      <c r="D5449" s="312"/>
      <c r="E5449" s="312"/>
      <c r="F5449" s="312"/>
      <c r="G5449" s="328"/>
      <c r="H5449" s="453"/>
      <c r="I5449" s="334"/>
      <c r="J5449" s="314"/>
      <c r="K5449" s="454"/>
      <c r="M5449" s="349" t="str">
        <f>N5449&amp;AS[[#This Row],[Insurer Code]]&amp;"; "&amp;O5449&amp;AS[[#This Row],[Reporting Year]]&amp;"; "&amp;P5449&amp;AS[[#This Row],[Insurance Category Code]]&amp;"; "&amp;Q5449&amp;AS[[#This Row],[Large Provider Entity Code]]&amp;"; "&amp;R5449&amp;AS[[#This Row],[Age Band Code]]&amp;"; "&amp;S5449&amp;AS[[#This Row],[Sex Code]]</f>
        <v xml:space="preserve">Insurer Code ; Reporting Year ; Insurance Category Code ; Large Provider Entity Code ; Age Band Code ; Sex Code </v>
      </c>
      <c r="N5449" s="345" t="s">
        <v>207</v>
      </c>
      <c r="O5449" s="345" t="s">
        <v>208</v>
      </c>
      <c r="P5449" s="345" t="s">
        <v>209</v>
      </c>
      <c r="Q5449" s="345" t="s">
        <v>210</v>
      </c>
      <c r="R5449" s="345" t="s">
        <v>223</v>
      </c>
      <c r="S5449" s="345" t="s">
        <v>224</v>
      </c>
    </row>
    <row r="5450" spans="1:19" x14ac:dyDescent="0.25">
      <c r="A5450" s="311"/>
      <c r="B5450" s="312"/>
      <c r="C5450" s="312"/>
      <c r="D5450" s="312"/>
      <c r="E5450" s="312"/>
      <c r="F5450" s="312"/>
      <c r="G5450" s="328"/>
      <c r="H5450" s="453"/>
      <c r="I5450" s="334"/>
      <c r="J5450" s="314"/>
      <c r="K5450" s="454"/>
      <c r="M5450" s="349" t="str">
        <f>N5450&amp;AS[[#This Row],[Insurer Code]]&amp;"; "&amp;O5450&amp;AS[[#This Row],[Reporting Year]]&amp;"; "&amp;P5450&amp;AS[[#This Row],[Insurance Category Code]]&amp;"; "&amp;Q5450&amp;AS[[#This Row],[Large Provider Entity Code]]&amp;"; "&amp;R5450&amp;AS[[#This Row],[Age Band Code]]&amp;"; "&amp;S5450&amp;AS[[#This Row],[Sex Code]]</f>
        <v xml:space="preserve">Insurer Code ; Reporting Year ; Insurance Category Code ; Large Provider Entity Code ; Age Band Code ; Sex Code </v>
      </c>
      <c r="N5450" s="345" t="s">
        <v>207</v>
      </c>
      <c r="O5450" s="345" t="s">
        <v>208</v>
      </c>
      <c r="P5450" s="345" t="s">
        <v>209</v>
      </c>
      <c r="Q5450" s="345" t="s">
        <v>210</v>
      </c>
      <c r="R5450" s="345" t="s">
        <v>223</v>
      </c>
      <c r="S5450" s="345" t="s">
        <v>224</v>
      </c>
    </row>
    <row r="5451" spans="1:19" x14ac:dyDescent="0.25">
      <c r="A5451" s="311"/>
      <c r="B5451" s="312"/>
      <c r="C5451" s="312"/>
      <c r="D5451" s="312"/>
      <c r="E5451" s="312"/>
      <c r="F5451" s="312"/>
      <c r="G5451" s="328"/>
      <c r="H5451" s="453"/>
      <c r="I5451" s="334"/>
      <c r="J5451" s="314"/>
      <c r="K5451" s="454"/>
      <c r="M5451" s="349" t="str">
        <f>N5451&amp;AS[[#This Row],[Insurer Code]]&amp;"; "&amp;O5451&amp;AS[[#This Row],[Reporting Year]]&amp;"; "&amp;P5451&amp;AS[[#This Row],[Insurance Category Code]]&amp;"; "&amp;Q5451&amp;AS[[#This Row],[Large Provider Entity Code]]&amp;"; "&amp;R5451&amp;AS[[#This Row],[Age Band Code]]&amp;"; "&amp;S5451&amp;AS[[#This Row],[Sex Code]]</f>
        <v xml:space="preserve">Insurer Code ; Reporting Year ; Insurance Category Code ; Large Provider Entity Code ; Age Band Code ; Sex Code </v>
      </c>
      <c r="N5451" s="345" t="s">
        <v>207</v>
      </c>
      <c r="O5451" s="345" t="s">
        <v>208</v>
      </c>
      <c r="P5451" s="345" t="s">
        <v>209</v>
      </c>
      <c r="Q5451" s="345" t="s">
        <v>210</v>
      </c>
      <c r="R5451" s="345" t="s">
        <v>223</v>
      </c>
      <c r="S5451" s="345" t="s">
        <v>224</v>
      </c>
    </row>
    <row r="5452" spans="1:19" x14ac:dyDescent="0.25">
      <c r="A5452" s="311"/>
      <c r="B5452" s="312"/>
      <c r="C5452" s="312"/>
      <c r="D5452" s="312"/>
      <c r="E5452" s="312"/>
      <c r="F5452" s="312"/>
      <c r="G5452" s="328"/>
      <c r="H5452" s="453"/>
      <c r="I5452" s="334"/>
      <c r="J5452" s="314"/>
      <c r="K5452" s="454"/>
      <c r="M5452" s="349" t="str">
        <f>N5452&amp;AS[[#This Row],[Insurer Code]]&amp;"; "&amp;O5452&amp;AS[[#This Row],[Reporting Year]]&amp;"; "&amp;P5452&amp;AS[[#This Row],[Insurance Category Code]]&amp;"; "&amp;Q5452&amp;AS[[#This Row],[Large Provider Entity Code]]&amp;"; "&amp;R5452&amp;AS[[#This Row],[Age Band Code]]&amp;"; "&amp;S5452&amp;AS[[#This Row],[Sex Code]]</f>
        <v xml:space="preserve">Insurer Code ; Reporting Year ; Insurance Category Code ; Large Provider Entity Code ; Age Band Code ; Sex Code </v>
      </c>
      <c r="N5452" s="345" t="s">
        <v>207</v>
      </c>
      <c r="O5452" s="345" t="s">
        <v>208</v>
      </c>
      <c r="P5452" s="345" t="s">
        <v>209</v>
      </c>
      <c r="Q5452" s="345" t="s">
        <v>210</v>
      </c>
      <c r="R5452" s="345" t="s">
        <v>223</v>
      </c>
      <c r="S5452" s="345" t="s">
        <v>224</v>
      </c>
    </row>
    <row r="5453" spans="1:19" x14ac:dyDescent="0.25">
      <c r="A5453" s="311"/>
      <c r="B5453" s="312"/>
      <c r="C5453" s="312"/>
      <c r="D5453" s="312"/>
      <c r="E5453" s="312"/>
      <c r="F5453" s="312"/>
      <c r="G5453" s="328"/>
      <c r="H5453" s="453"/>
      <c r="I5453" s="334"/>
      <c r="J5453" s="314"/>
      <c r="K5453" s="454"/>
      <c r="M5453" s="349" t="str">
        <f>N5453&amp;AS[[#This Row],[Insurer Code]]&amp;"; "&amp;O5453&amp;AS[[#This Row],[Reporting Year]]&amp;"; "&amp;P5453&amp;AS[[#This Row],[Insurance Category Code]]&amp;"; "&amp;Q5453&amp;AS[[#This Row],[Large Provider Entity Code]]&amp;"; "&amp;R5453&amp;AS[[#This Row],[Age Band Code]]&amp;"; "&amp;S5453&amp;AS[[#This Row],[Sex Code]]</f>
        <v xml:space="preserve">Insurer Code ; Reporting Year ; Insurance Category Code ; Large Provider Entity Code ; Age Band Code ; Sex Code </v>
      </c>
      <c r="N5453" s="345" t="s">
        <v>207</v>
      </c>
      <c r="O5453" s="345" t="s">
        <v>208</v>
      </c>
      <c r="P5453" s="345" t="s">
        <v>209</v>
      </c>
      <c r="Q5453" s="345" t="s">
        <v>210</v>
      </c>
      <c r="R5453" s="345" t="s">
        <v>223</v>
      </c>
      <c r="S5453" s="345" t="s">
        <v>224</v>
      </c>
    </row>
    <row r="5454" spans="1:19" x14ac:dyDescent="0.25">
      <c r="A5454" s="311"/>
      <c r="B5454" s="312"/>
      <c r="C5454" s="312"/>
      <c r="D5454" s="312"/>
      <c r="E5454" s="312"/>
      <c r="F5454" s="312"/>
      <c r="G5454" s="328"/>
      <c r="H5454" s="453"/>
      <c r="I5454" s="334"/>
      <c r="J5454" s="314"/>
      <c r="K5454" s="454"/>
      <c r="M5454" s="349" t="str">
        <f>N5454&amp;AS[[#This Row],[Insurer Code]]&amp;"; "&amp;O5454&amp;AS[[#This Row],[Reporting Year]]&amp;"; "&amp;P5454&amp;AS[[#This Row],[Insurance Category Code]]&amp;"; "&amp;Q5454&amp;AS[[#This Row],[Large Provider Entity Code]]&amp;"; "&amp;R5454&amp;AS[[#This Row],[Age Band Code]]&amp;"; "&amp;S5454&amp;AS[[#This Row],[Sex Code]]</f>
        <v xml:space="preserve">Insurer Code ; Reporting Year ; Insurance Category Code ; Large Provider Entity Code ; Age Band Code ; Sex Code </v>
      </c>
      <c r="N5454" s="345" t="s">
        <v>207</v>
      </c>
      <c r="O5454" s="345" t="s">
        <v>208</v>
      </c>
      <c r="P5454" s="345" t="s">
        <v>209</v>
      </c>
      <c r="Q5454" s="345" t="s">
        <v>210</v>
      </c>
      <c r="R5454" s="345" t="s">
        <v>223</v>
      </c>
      <c r="S5454" s="345" t="s">
        <v>224</v>
      </c>
    </row>
    <row r="5455" spans="1:19" x14ac:dyDescent="0.25">
      <c r="A5455" s="311"/>
      <c r="B5455" s="312"/>
      <c r="C5455" s="312"/>
      <c r="D5455" s="312"/>
      <c r="E5455" s="312"/>
      <c r="F5455" s="312"/>
      <c r="G5455" s="328"/>
      <c r="H5455" s="453"/>
      <c r="I5455" s="334"/>
      <c r="J5455" s="314"/>
      <c r="K5455" s="454"/>
      <c r="M5455" s="349" t="str">
        <f>N5455&amp;AS[[#This Row],[Insurer Code]]&amp;"; "&amp;O5455&amp;AS[[#This Row],[Reporting Year]]&amp;"; "&amp;P5455&amp;AS[[#This Row],[Insurance Category Code]]&amp;"; "&amp;Q5455&amp;AS[[#This Row],[Large Provider Entity Code]]&amp;"; "&amp;R5455&amp;AS[[#This Row],[Age Band Code]]&amp;"; "&amp;S5455&amp;AS[[#This Row],[Sex Code]]</f>
        <v xml:space="preserve">Insurer Code ; Reporting Year ; Insurance Category Code ; Large Provider Entity Code ; Age Band Code ; Sex Code </v>
      </c>
      <c r="N5455" s="345" t="s">
        <v>207</v>
      </c>
      <c r="O5455" s="345" t="s">
        <v>208</v>
      </c>
      <c r="P5455" s="345" t="s">
        <v>209</v>
      </c>
      <c r="Q5455" s="345" t="s">
        <v>210</v>
      </c>
      <c r="R5455" s="345" t="s">
        <v>223</v>
      </c>
      <c r="S5455" s="345" t="s">
        <v>224</v>
      </c>
    </row>
    <row r="5456" spans="1:19" x14ac:dyDescent="0.25">
      <c r="A5456" s="311"/>
      <c r="B5456" s="312"/>
      <c r="C5456" s="312"/>
      <c r="D5456" s="312"/>
      <c r="E5456" s="312"/>
      <c r="F5456" s="312"/>
      <c r="G5456" s="328"/>
      <c r="H5456" s="453"/>
      <c r="I5456" s="334"/>
      <c r="J5456" s="314"/>
      <c r="K5456" s="454"/>
      <c r="M5456" s="349" t="str">
        <f>N5456&amp;AS[[#This Row],[Insurer Code]]&amp;"; "&amp;O5456&amp;AS[[#This Row],[Reporting Year]]&amp;"; "&amp;P5456&amp;AS[[#This Row],[Insurance Category Code]]&amp;"; "&amp;Q5456&amp;AS[[#This Row],[Large Provider Entity Code]]&amp;"; "&amp;R5456&amp;AS[[#This Row],[Age Band Code]]&amp;"; "&amp;S5456&amp;AS[[#This Row],[Sex Code]]</f>
        <v xml:space="preserve">Insurer Code ; Reporting Year ; Insurance Category Code ; Large Provider Entity Code ; Age Band Code ; Sex Code </v>
      </c>
      <c r="N5456" s="345" t="s">
        <v>207</v>
      </c>
      <c r="O5456" s="345" t="s">
        <v>208</v>
      </c>
      <c r="P5456" s="345" t="s">
        <v>209</v>
      </c>
      <c r="Q5456" s="345" t="s">
        <v>210</v>
      </c>
      <c r="R5456" s="345" t="s">
        <v>223</v>
      </c>
      <c r="S5456" s="345" t="s">
        <v>224</v>
      </c>
    </row>
    <row r="5457" spans="1:19" x14ac:dyDescent="0.25">
      <c r="A5457" s="311"/>
      <c r="B5457" s="312"/>
      <c r="C5457" s="312"/>
      <c r="D5457" s="312"/>
      <c r="E5457" s="312"/>
      <c r="F5457" s="312"/>
      <c r="G5457" s="328"/>
      <c r="H5457" s="453"/>
      <c r="I5457" s="334"/>
      <c r="J5457" s="314"/>
      <c r="K5457" s="454"/>
      <c r="M5457" s="349" t="str">
        <f>N5457&amp;AS[[#This Row],[Insurer Code]]&amp;"; "&amp;O5457&amp;AS[[#This Row],[Reporting Year]]&amp;"; "&amp;P5457&amp;AS[[#This Row],[Insurance Category Code]]&amp;"; "&amp;Q5457&amp;AS[[#This Row],[Large Provider Entity Code]]&amp;"; "&amp;R5457&amp;AS[[#This Row],[Age Band Code]]&amp;"; "&amp;S5457&amp;AS[[#This Row],[Sex Code]]</f>
        <v xml:space="preserve">Insurer Code ; Reporting Year ; Insurance Category Code ; Large Provider Entity Code ; Age Band Code ; Sex Code </v>
      </c>
      <c r="N5457" s="345" t="s">
        <v>207</v>
      </c>
      <c r="O5457" s="345" t="s">
        <v>208</v>
      </c>
      <c r="P5457" s="345" t="s">
        <v>209</v>
      </c>
      <c r="Q5457" s="345" t="s">
        <v>210</v>
      </c>
      <c r="R5457" s="345" t="s">
        <v>223</v>
      </c>
      <c r="S5457" s="345" t="s">
        <v>224</v>
      </c>
    </row>
    <row r="5458" spans="1:19" x14ac:dyDescent="0.25">
      <c r="A5458" s="311"/>
      <c r="B5458" s="312"/>
      <c r="C5458" s="312"/>
      <c r="D5458" s="312"/>
      <c r="E5458" s="312"/>
      <c r="F5458" s="312"/>
      <c r="G5458" s="328"/>
      <c r="H5458" s="453"/>
      <c r="I5458" s="334"/>
      <c r="J5458" s="314"/>
      <c r="K5458" s="454"/>
      <c r="M5458" s="349" t="str">
        <f>N5458&amp;AS[[#This Row],[Insurer Code]]&amp;"; "&amp;O5458&amp;AS[[#This Row],[Reporting Year]]&amp;"; "&amp;P5458&amp;AS[[#This Row],[Insurance Category Code]]&amp;"; "&amp;Q5458&amp;AS[[#This Row],[Large Provider Entity Code]]&amp;"; "&amp;R5458&amp;AS[[#This Row],[Age Band Code]]&amp;"; "&amp;S5458&amp;AS[[#This Row],[Sex Code]]</f>
        <v xml:space="preserve">Insurer Code ; Reporting Year ; Insurance Category Code ; Large Provider Entity Code ; Age Band Code ; Sex Code </v>
      </c>
      <c r="N5458" s="345" t="s">
        <v>207</v>
      </c>
      <c r="O5458" s="345" t="s">
        <v>208</v>
      </c>
      <c r="P5458" s="345" t="s">
        <v>209</v>
      </c>
      <c r="Q5458" s="345" t="s">
        <v>210</v>
      </c>
      <c r="R5458" s="345" t="s">
        <v>223</v>
      </c>
      <c r="S5458" s="345" t="s">
        <v>224</v>
      </c>
    </row>
    <row r="5459" spans="1:19" x14ac:dyDescent="0.25">
      <c r="A5459" s="311"/>
      <c r="B5459" s="312"/>
      <c r="C5459" s="312"/>
      <c r="D5459" s="312"/>
      <c r="E5459" s="312"/>
      <c r="F5459" s="312"/>
      <c r="G5459" s="328"/>
      <c r="H5459" s="453"/>
      <c r="I5459" s="334"/>
      <c r="J5459" s="314"/>
      <c r="K5459" s="454"/>
      <c r="M5459" s="349" t="str">
        <f>N5459&amp;AS[[#This Row],[Insurer Code]]&amp;"; "&amp;O5459&amp;AS[[#This Row],[Reporting Year]]&amp;"; "&amp;P5459&amp;AS[[#This Row],[Insurance Category Code]]&amp;"; "&amp;Q5459&amp;AS[[#This Row],[Large Provider Entity Code]]&amp;"; "&amp;R5459&amp;AS[[#This Row],[Age Band Code]]&amp;"; "&amp;S5459&amp;AS[[#This Row],[Sex Code]]</f>
        <v xml:space="preserve">Insurer Code ; Reporting Year ; Insurance Category Code ; Large Provider Entity Code ; Age Band Code ; Sex Code </v>
      </c>
      <c r="N5459" s="345" t="s">
        <v>207</v>
      </c>
      <c r="O5459" s="345" t="s">
        <v>208</v>
      </c>
      <c r="P5459" s="345" t="s">
        <v>209</v>
      </c>
      <c r="Q5459" s="345" t="s">
        <v>210</v>
      </c>
      <c r="R5459" s="345" t="s">
        <v>223</v>
      </c>
      <c r="S5459" s="345" t="s">
        <v>224</v>
      </c>
    </row>
    <row r="5460" spans="1:19" x14ac:dyDescent="0.25">
      <c r="A5460" s="311"/>
      <c r="B5460" s="312"/>
      <c r="C5460" s="312"/>
      <c r="D5460" s="312"/>
      <c r="E5460" s="312"/>
      <c r="F5460" s="312"/>
      <c r="G5460" s="328"/>
      <c r="H5460" s="453"/>
      <c r="I5460" s="334"/>
      <c r="J5460" s="314"/>
      <c r="K5460" s="454"/>
      <c r="M5460" s="349" t="str">
        <f>N5460&amp;AS[[#This Row],[Insurer Code]]&amp;"; "&amp;O5460&amp;AS[[#This Row],[Reporting Year]]&amp;"; "&amp;P5460&amp;AS[[#This Row],[Insurance Category Code]]&amp;"; "&amp;Q5460&amp;AS[[#This Row],[Large Provider Entity Code]]&amp;"; "&amp;R5460&amp;AS[[#This Row],[Age Band Code]]&amp;"; "&amp;S5460&amp;AS[[#This Row],[Sex Code]]</f>
        <v xml:space="preserve">Insurer Code ; Reporting Year ; Insurance Category Code ; Large Provider Entity Code ; Age Band Code ; Sex Code </v>
      </c>
      <c r="N5460" s="345" t="s">
        <v>207</v>
      </c>
      <c r="O5460" s="345" t="s">
        <v>208</v>
      </c>
      <c r="P5460" s="345" t="s">
        <v>209</v>
      </c>
      <c r="Q5460" s="345" t="s">
        <v>210</v>
      </c>
      <c r="R5460" s="345" t="s">
        <v>223</v>
      </c>
      <c r="S5460" s="345" t="s">
        <v>224</v>
      </c>
    </row>
    <row r="5461" spans="1:19" x14ac:dyDescent="0.25">
      <c r="A5461" s="311"/>
      <c r="B5461" s="312"/>
      <c r="C5461" s="312"/>
      <c r="D5461" s="312"/>
      <c r="E5461" s="312"/>
      <c r="F5461" s="312"/>
      <c r="G5461" s="328"/>
      <c r="H5461" s="453"/>
      <c r="I5461" s="334"/>
      <c r="J5461" s="314"/>
      <c r="K5461" s="454"/>
      <c r="M5461" s="349" t="str">
        <f>N5461&amp;AS[[#This Row],[Insurer Code]]&amp;"; "&amp;O5461&amp;AS[[#This Row],[Reporting Year]]&amp;"; "&amp;P5461&amp;AS[[#This Row],[Insurance Category Code]]&amp;"; "&amp;Q5461&amp;AS[[#This Row],[Large Provider Entity Code]]&amp;"; "&amp;R5461&amp;AS[[#This Row],[Age Band Code]]&amp;"; "&amp;S5461&amp;AS[[#This Row],[Sex Code]]</f>
        <v xml:space="preserve">Insurer Code ; Reporting Year ; Insurance Category Code ; Large Provider Entity Code ; Age Band Code ; Sex Code </v>
      </c>
      <c r="N5461" s="345" t="s">
        <v>207</v>
      </c>
      <c r="O5461" s="345" t="s">
        <v>208</v>
      </c>
      <c r="P5461" s="345" t="s">
        <v>209</v>
      </c>
      <c r="Q5461" s="345" t="s">
        <v>210</v>
      </c>
      <c r="R5461" s="345" t="s">
        <v>223</v>
      </c>
      <c r="S5461" s="345" t="s">
        <v>224</v>
      </c>
    </row>
    <row r="5462" spans="1:19" x14ac:dyDescent="0.25">
      <c r="A5462" s="311"/>
      <c r="B5462" s="312"/>
      <c r="C5462" s="312"/>
      <c r="D5462" s="312"/>
      <c r="E5462" s="312"/>
      <c r="F5462" s="312"/>
      <c r="G5462" s="328"/>
      <c r="H5462" s="453"/>
      <c r="I5462" s="334"/>
      <c r="J5462" s="314"/>
      <c r="K5462" s="454"/>
      <c r="M5462" s="349" t="str">
        <f>N5462&amp;AS[[#This Row],[Insurer Code]]&amp;"; "&amp;O5462&amp;AS[[#This Row],[Reporting Year]]&amp;"; "&amp;P5462&amp;AS[[#This Row],[Insurance Category Code]]&amp;"; "&amp;Q5462&amp;AS[[#This Row],[Large Provider Entity Code]]&amp;"; "&amp;R5462&amp;AS[[#This Row],[Age Band Code]]&amp;"; "&amp;S5462&amp;AS[[#This Row],[Sex Code]]</f>
        <v xml:space="preserve">Insurer Code ; Reporting Year ; Insurance Category Code ; Large Provider Entity Code ; Age Band Code ; Sex Code </v>
      </c>
      <c r="N5462" s="345" t="s">
        <v>207</v>
      </c>
      <c r="O5462" s="345" t="s">
        <v>208</v>
      </c>
      <c r="P5462" s="345" t="s">
        <v>209</v>
      </c>
      <c r="Q5462" s="345" t="s">
        <v>210</v>
      </c>
      <c r="R5462" s="345" t="s">
        <v>223</v>
      </c>
      <c r="S5462" s="345" t="s">
        <v>224</v>
      </c>
    </row>
    <row r="5463" spans="1:19" x14ac:dyDescent="0.25">
      <c r="A5463" s="311"/>
      <c r="B5463" s="312"/>
      <c r="C5463" s="312"/>
      <c r="D5463" s="312"/>
      <c r="E5463" s="312"/>
      <c r="F5463" s="312"/>
      <c r="G5463" s="328"/>
      <c r="H5463" s="453"/>
      <c r="I5463" s="334"/>
      <c r="J5463" s="314"/>
      <c r="K5463" s="454"/>
      <c r="M5463" s="349" t="str">
        <f>N5463&amp;AS[[#This Row],[Insurer Code]]&amp;"; "&amp;O5463&amp;AS[[#This Row],[Reporting Year]]&amp;"; "&amp;P5463&amp;AS[[#This Row],[Insurance Category Code]]&amp;"; "&amp;Q5463&amp;AS[[#This Row],[Large Provider Entity Code]]&amp;"; "&amp;R5463&amp;AS[[#This Row],[Age Band Code]]&amp;"; "&amp;S5463&amp;AS[[#This Row],[Sex Code]]</f>
        <v xml:space="preserve">Insurer Code ; Reporting Year ; Insurance Category Code ; Large Provider Entity Code ; Age Band Code ; Sex Code </v>
      </c>
      <c r="N5463" s="345" t="s">
        <v>207</v>
      </c>
      <c r="O5463" s="345" t="s">
        <v>208</v>
      </c>
      <c r="P5463" s="345" t="s">
        <v>209</v>
      </c>
      <c r="Q5463" s="345" t="s">
        <v>210</v>
      </c>
      <c r="R5463" s="345" t="s">
        <v>223</v>
      </c>
      <c r="S5463" s="345" t="s">
        <v>224</v>
      </c>
    </row>
    <row r="5464" spans="1:19" x14ac:dyDescent="0.25">
      <c r="A5464" s="311"/>
      <c r="B5464" s="312"/>
      <c r="C5464" s="312"/>
      <c r="D5464" s="312"/>
      <c r="E5464" s="312"/>
      <c r="F5464" s="312"/>
      <c r="G5464" s="328"/>
      <c r="H5464" s="453"/>
      <c r="I5464" s="334"/>
      <c r="J5464" s="314"/>
      <c r="K5464" s="454"/>
      <c r="M5464" s="349" t="str">
        <f>N5464&amp;AS[[#This Row],[Insurer Code]]&amp;"; "&amp;O5464&amp;AS[[#This Row],[Reporting Year]]&amp;"; "&amp;P5464&amp;AS[[#This Row],[Insurance Category Code]]&amp;"; "&amp;Q5464&amp;AS[[#This Row],[Large Provider Entity Code]]&amp;"; "&amp;R5464&amp;AS[[#This Row],[Age Band Code]]&amp;"; "&amp;S5464&amp;AS[[#This Row],[Sex Code]]</f>
        <v xml:space="preserve">Insurer Code ; Reporting Year ; Insurance Category Code ; Large Provider Entity Code ; Age Band Code ; Sex Code </v>
      </c>
      <c r="N5464" s="345" t="s">
        <v>207</v>
      </c>
      <c r="O5464" s="345" t="s">
        <v>208</v>
      </c>
      <c r="P5464" s="345" t="s">
        <v>209</v>
      </c>
      <c r="Q5464" s="345" t="s">
        <v>210</v>
      </c>
      <c r="R5464" s="345" t="s">
        <v>223</v>
      </c>
      <c r="S5464" s="345" t="s">
        <v>224</v>
      </c>
    </row>
    <row r="5465" spans="1:19" x14ac:dyDescent="0.25">
      <c r="A5465" s="311"/>
      <c r="B5465" s="312"/>
      <c r="C5465" s="312"/>
      <c r="D5465" s="312"/>
      <c r="E5465" s="312"/>
      <c r="F5465" s="312"/>
      <c r="G5465" s="328"/>
      <c r="H5465" s="453"/>
      <c r="I5465" s="334"/>
      <c r="J5465" s="314"/>
      <c r="K5465" s="454"/>
      <c r="M5465" s="349" t="str">
        <f>N5465&amp;AS[[#This Row],[Insurer Code]]&amp;"; "&amp;O5465&amp;AS[[#This Row],[Reporting Year]]&amp;"; "&amp;P5465&amp;AS[[#This Row],[Insurance Category Code]]&amp;"; "&amp;Q5465&amp;AS[[#This Row],[Large Provider Entity Code]]&amp;"; "&amp;R5465&amp;AS[[#This Row],[Age Band Code]]&amp;"; "&amp;S5465&amp;AS[[#This Row],[Sex Code]]</f>
        <v xml:space="preserve">Insurer Code ; Reporting Year ; Insurance Category Code ; Large Provider Entity Code ; Age Band Code ; Sex Code </v>
      </c>
      <c r="N5465" s="345" t="s">
        <v>207</v>
      </c>
      <c r="O5465" s="345" t="s">
        <v>208</v>
      </c>
      <c r="P5465" s="345" t="s">
        <v>209</v>
      </c>
      <c r="Q5465" s="345" t="s">
        <v>210</v>
      </c>
      <c r="R5465" s="345" t="s">
        <v>223</v>
      </c>
      <c r="S5465" s="345" t="s">
        <v>224</v>
      </c>
    </row>
    <row r="5466" spans="1:19" x14ac:dyDescent="0.25">
      <c r="A5466" s="311"/>
      <c r="B5466" s="312"/>
      <c r="C5466" s="312"/>
      <c r="D5466" s="312"/>
      <c r="E5466" s="312"/>
      <c r="F5466" s="312"/>
      <c r="G5466" s="328"/>
      <c r="H5466" s="453"/>
      <c r="I5466" s="334"/>
      <c r="J5466" s="314"/>
      <c r="K5466" s="454"/>
      <c r="M5466" s="349" t="str">
        <f>N5466&amp;AS[[#This Row],[Insurer Code]]&amp;"; "&amp;O5466&amp;AS[[#This Row],[Reporting Year]]&amp;"; "&amp;P5466&amp;AS[[#This Row],[Insurance Category Code]]&amp;"; "&amp;Q5466&amp;AS[[#This Row],[Large Provider Entity Code]]&amp;"; "&amp;R5466&amp;AS[[#This Row],[Age Band Code]]&amp;"; "&amp;S5466&amp;AS[[#This Row],[Sex Code]]</f>
        <v xml:space="preserve">Insurer Code ; Reporting Year ; Insurance Category Code ; Large Provider Entity Code ; Age Band Code ; Sex Code </v>
      </c>
      <c r="N5466" s="345" t="s">
        <v>207</v>
      </c>
      <c r="O5466" s="345" t="s">
        <v>208</v>
      </c>
      <c r="P5466" s="345" t="s">
        <v>209</v>
      </c>
      <c r="Q5466" s="345" t="s">
        <v>210</v>
      </c>
      <c r="R5466" s="345" t="s">
        <v>223</v>
      </c>
      <c r="S5466" s="345" t="s">
        <v>224</v>
      </c>
    </row>
    <row r="5467" spans="1:19" x14ac:dyDescent="0.25">
      <c r="A5467" s="311"/>
      <c r="B5467" s="312"/>
      <c r="C5467" s="312"/>
      <c r="D5467" s="312"/>
      <c r="E5467" s="312"/>
      <c r="F5467" s="312"/>
      <c r="G5467" s="328"/>
      <c r="H5467" s="453"/>
      <c r="I5467" s="334"/>
      <c r="J5467" s="314"/>
      <c r="K5467" s="454"/>
      <c r="M5467" s="349" t="str">
        <f>N5467&amp;AS[[#This Row],[Insurer Code]]&amp;"; "&amp;O5467&amp;AS[[#This Row],[Reporting Year]]&amp;"; "&amp;P5467&amp;AS[[#This Row],[Insurance Category Code]]&amp;"; "&amp;Q5467&amp;AS[[#This Row],[Large Provider Entity Code]]&amp;"; "&amp;R5467&amp;AS[[#This Row],[Age Band Code]]&amp;"; "&amp;S5467&amp;AS[[#This Row],[Sex Code]]</f>
        <v xml:space="preserve">Insurer Code ; Reporting Year ; Insurance Category Code ; Large Provider Entity Code ; Age Band Code ; Sex Code </v>
      </c>
      <c r="N5467" s="345" t="s">
        <v>207</v>
      </c>
      <c r="O5467" s="345" t="s">
        <v>208</v>
      </c>
      <c r="P5467" s="345" t="s">
        <v>209</v>
      </c>
      <c r="Q5467" s="345" t="s">
        <v>210</v>
      </c>
      <c r="R5467" s="345" t="s">
        <v>223</v>
      </c>
      <c r="S5467" s="345" t="s">
        <v>224</v>
      </c>
    </row>
    <row r="5468" spans="1:19" x14ac:dyDescent="0.25">
      <c r="A5468" s="311"/>
      <c r="B5468" s="312"/>
      <c r="C5468" s="312"/>
      <c r="D5468" s="312"/>
      <c r="E5468" s="312"/>
      <c r="F5468" s="312"/>
      <c r="G5468" s="328"/>
      <c r="H5468" s="453"/>
      <c r="I5468" s="334"/>
      <c r="J5468" s="314"/>
      <c r="K5468" s="454"/>
      <c r="M5468" s="349" t="str">
        <f>N5468&amp;AS[[#This Row],[Insurer Code]]&amp;"; "&amp;O5468&amp;AS[[#This Row],[Reporting Year]]&amp;"; "&amp;P5468&amp;AS[[#This Row],[Insurance Category Code]]&amp;"; "&amp;Q5468&amp;AS[[#This Row],[Large Provider Entity Code]]&amp;"; "&amp;R5468&amp;AS[[#This Row],[Age Band Code]]&amp;"; "&amp;S5468&amp;AS[[#This Row],[Sex Code]]</f>
        <v xml:space="preserve">Insurer Code ; Reporting Year ; Insurance Category Code ; Large Provider Entity Code ; Age Band Code ; Sex Code </v>
      </c>
      <c r="N5468" s="345" t="s">
        <v>207</v>
      </c>
      <c r="O5468" s="345" t="s">
        <v>208</v>
      </c>
      <c r="P5468" s="345" t="s">
        <v>209</v>
      </c>
      <c r="Q5468" s="345" t="s">
        <v>210</v>
      </c>
      <c r="R5468" s="345" t="s">
        <v>223</v>
      </c>
      <c r="S5468" s="345" t="s">
        <v>224</v>
      </c>
    </row>
    <row r="5469" spans="1:19" x14ac:dyDescent="0.25">
      <c r="A5469" s="311"/>
      <c r="B5469" s="312"/>
      <c r="C5469" s="312"/>
      <c r="D5469" s="312"/>
      <c r="E5469" s="312"/>
      <c r="F5469" s="312"/>
      <c r="G5469" s="328"/>
      <c r="H5469" s="453"/>
      <c r="I5469" s="334"/>
      <c r="J5469" s="314"/>
      <c r="K5469" s="454"/>
      <c r="M5469" s="349" t="str">
        <f>N5469&amp;AS[[#This Row],[Insurer Code]]&amp;"; "&amp;O5469&amp;AS[[#This Row],[Reporting Year]]&amp;"; "&amp;P5469&amp;AS[[#This Row],[Insurance Category Code]]&amp;"; "&amp;Q5469&amp;AS[[#This Row],[Large Provider Entity Code]]&amp;"; "&amp;R5469&amp;AS[[#This Row],[Age Band Code]]&amp;"; "&amp;S5469&amp;AS[[#This Row],[Sex Code]]</f>
        <v xml:space="preserve">Insurer Code ; Reporting Year ; Insurance Category Code ; Large Provider Entity Code ; Age Band Code ; Sex Code </v>
      </c>
      <c r="N5469" s="345" t="s">
        <v>207</v>
      </c>
      <c r="O5469" s="345" t="s">
        <v>208</v>
      </c>
      <c r="P5469" s="345" t="s">
        <v>209</v>
      </c>
      <c r="Q5469" s="345" t="s">
        <v>210</v>
      </c>
      <c r="R5469" s="345" t="s">
        <v>223</v>
      </c>
      <c r="S5469" s="345" t="s">
        <v>224</v>
      </c>
    </row>
    <row r="5470" spans="1:19" x14ac:dyDescent="0.25">
      <c r="A5470" s="311"/>
      <c r="B5470" s="312"/>
      <c r="C5470" s="312"/>
      <c r="D5470" s="312"/>
      <c r="E5470" s="312"/>
      <c r="F5470" s="312"/>
      <c r="G5470" s="328"/>
      <c r="H5470" s="453"/>
      <c r="I5470" s="334"/>
      <c r="J5470" s="314"/>
      <c r="K5470" s="454"/>
      <c r="M5470" s="349" t="str">
        <f>N5470&amp;AS[[#This Row],[Insurer Code]]&amp;"; "&amp;O5470&amp;AS[[#This Row],[Reporting Year]]&amp;"; "&amp;P5470&amp;AS[[#This Row],[Insurance Category Code]]&amp;"; "&amp;Q5470&amp;AS[[#This Row],[Large Provider Entity Code]]&amp;"; "&amp;R5470&amp;AS[[#This Row],[Age Band Code]]&amp;"; "&amp;S5470&amp;AS[[#This Row],[Sex Code]]</f>
        <v xml:space="preserve">Insurer Code ; Reporting Year ; Insurance Category Code ; Large Provider Entity Code ; Age Band Code ; Sex Code </v>
      </c>
      <c r="N5470" s="345" t="s">
        <v>207</v>
      </c>
      <c r="O5470" s="345" t="s">
        <v>208</v>
      </c>
      <c r="P5470" s="345" t="s">
        <v>209</v>
      </c>
      <c r="Q5470" s="345" t="s">
        <v>210</v>
      </c>
      <c r="R5470" s="345" t="s">
        <v>223</v>
      </c>
      <c r="S5470" s="345" t="s">
        <v>224</v>
      </c>
    </row>
    <row r="5471" spans="1:19" x14ac:dyDescent="0.25">
      <c r="A5471" s="311"/>
      <c r="B5471" s="312"/>
      <c r="C5471" s="312"/>
      <c r="D5471" s="312"/>
      <c r="E5471" s="312"/>
      <c r="F5471" s="312"/>
      <c r="G5471" s="328"/>
      <c r="H5471" s="453"/>
      <c r="I5471" s="334"/>
      <c r="J5471" s="314"/>
      <c r="K5471" s="454"/>
      <c r="M5471" s="349" t="str">
        <f>N5471&amp;AS[[#This Row],[Insurer Code]]&amp;"; "&amp;O5471&amp;AS[[#This Row],[Reporting Year]]&amp;"; "&amp;P5471&amp;AS[[#This Row],[Insurance Category Code]]&amp;"; "&amp;Q5471&amp;AS[[#This Row],[Large Provider Entity Code]]&amp;"; "&amp;R5471&amp;AS[[#This Row],[Age Band Code]]&amp;"; "&amp;S5471&amp;AS[[#This Row],[Sex Code]]</f>
        <v xml:space="preserve">Insurer Code ; Reporting Year ; Insurance Category Code ; Large Provider Entity Code ; Age Band Code ; Sex Code </v>
      </c>
      <c r="N5471" s="345" t="s">
        <v>207</v>
      </c>
      <c r="O5471" s="345" t="s">
        <v>208</v>
      </c>
      <c r="P5471" s="345" t="s">
        <v>209</v>
      </c>
      <c r="Q5471" s="345" t="s">
        <v>210</v>
      </c>
      <c r="R5471" s="345" t="s">
        <v>223</v>
      </c>
      <c r="S5471" s="345" t="s">
        <v>224</v>
      </c>
    </row>
    <row r="5472" spans="1:19" x14ac:dyDescent="0.25">
      <c r="A5472" s="311"/>
      <c r="B5472" s="312"/>
      <c r="C5472" s="312"/>
      <c r="D5472" s="312"/>
      <c r="E5472" s="312"/>
      <c r="F5472" s="312"/>
      <c r="G5472" s="328"/>
      <c r="H5472" s="453"/>
      <c r="I5472" s="334"/>
      <c r="J5472" s="314"/>
      <c r="K5472" s="454"/>
      <c r="M5472" s="349" t="str">
        <f>N5472&amp;AS[[#This Row],[Insurer Code]]&amp;"; "&amp;O5472&amp;AS[[#This Row],[Reporting Year]]&amp;"; "&amp;P5472&amp;AS[[#This Row],[Insurance Category Code]]&amp;"; "&amp;Q5472&amp;AS[[#This Row],[Large Provider Entity Code]]&amp;"; "&amp;R5472&amp;AS[[#This Row],[Age Band Code]]&amp;"; "&amp;S5472&amp;AS[[#This Row],[Sex Code]]</f>
        <v xml:space="preserve">Insurer Code ; Reporting Year ; Insurance Category Code ; Large Provider Entity Code ; Age Band Code ; Sex Code </v>
      </c>
      <c r="N5472" s="345" t="s">
        <v>207</v>
      </c>
      <c r="O5472" s="345" t="s">
        <v>208</v>
      </c>
      <c r="P5472" s="345" t="s">
        <v>209</v>
      </c>
      <c r="Q5472" s="345" t="s">
        <v>210</v>
      </c>
      <c r="R5472" s="345" t="s">
        <v>223</v>
      </c>
      <c r="S5472" s="345" t="s">
        <v>224</v>
      </c>
    </row>
    <row r="5473" spans="1:19" x14ac:dyDescent="0.25">
      <c r="A5473" s="311"/>
      <c r="B5473" s="312"/>
      <c r="C5473" s="312"/>
      <c r="D5473" s="312"/>
      <c r="E5473" s="312"/>
      <c r="F5473" s="312"/>
      <c r="G5473" s="328"/>
      <c r="H5473" s="453"/>
      <c r="I5473" s="334"/>
      <c r="J5473" s="314"/>
      <c r="K5473" s="454"/>
      <c r="M5473" s="349" t="str">
        <f>N5473&amp;AS[[#This Row],[Insurer Code]]&amp;"; "&amp;O5473&amp;AS[[#This Row],[Reporting Year]]&amp;"; "&amp;P5473&amp;AS[[#This Row],[Insurance Category Code]]&amp;"; "&amp;Q5473&amp;AS[[#This Row],[Large Provider Entity Code]]&amp;"; "&amp;R5473&amp;AS[[#This Row],[Age Band Code]]&amp;"; "&amp;S5473&amp;AS[[#This Row],[Sex Code]]</f>
        <v xml:space="preserve">Insurer Code ; Reporting Year ; Insurance Category Code ; Large Provider Entity Code ; Age Band Code ; Sex Code </v>
      </c>
      <c r="N5473" s="345" t="s">
        <v>207</v>
      </c>
      <c r="O5473" s="345" t="s">
        <v>208</v>
      </c>
      <c r="P5473" s="345" t="s">
        <v>209</v>
      </c>
      <c r="Q5473" s="345" t="s">
        <v>210</v>
      </c>
      <c r="R5473" s="345" t="s">
        <v>223</v>
      </c>
      <c r="S5473" s="345" t="s">
        <v>224</v>
      </c>
    </row>
    <row r="5474" spans="1:19" x14ac:dyDescent="0.25">
      <c r="A5474" s="311"/>
      <c r="B5474" s="312"/>
      <c r="C5474" s="312"/>
      <c r="D5474" s="312"/>
      <c r="E5474" s="312"/>
      <c r="F5474" s="312"/>
      <c r="G5474" s="328"/>
      <c r="H5474" s="453"/>
      <c r="I5474" s="334"/>
      <c r="J5474" s="314"/>
      <c r="K5474" s="454"/>
      <c r="M5474" s="349" t="str">
        <f>N5474&amp;AS[[#This Row],[Insurer Code]]&amp;"; "&amp;O5474&amp;AS[[#This Row],[Reporting Year]]&amp;"; "&amp;P5474&amp;AS[[#This Row],[Insurance Category Code]]&amp;"; "&amp;Q5474&amp;AS[[#This Row],[Large Provider Entity Code]]&amp;"; "&amp;R5474&amp;AS[[#This Row],[Age Band Code]]&amp;"; "&amp;S5474&amp;AS[[#This Row],[Sex Code]]</f>
        <v xml:space="preserve">Insurer Code ; Reporting Year ; Insurance Category Code ; Large Provider Entity Code ; Age Band Code ; Sex Code </v>
      </c>
      <c r="N5474" s="345" t="s">
        <v>207</v>
      </c>
      <c r="O5474" s="345" t="s">
        <v>208</v>
      </c>
      <c r="P5474" s="345" t="s">
        <v>209</v>
      </c>
      <c r="Q5474" s="345" t="s">
        <v>210</v>
      </c>
      <c r="R5474" s="345" t="s">
        <v>223</v>
      </c>
      <c r="S5474" s="345" t="s">
        <v>224</v>
      </c>
    </row>
    <row r="5475" spans="1:19" x14ac:dyDescent="0.25">
      <c r="A5475" s="311"/>
      <c r="B5475" s="312"/>
      <c r="C5475" s="312"/>
      <c r="D5475" s="312"/>
      <c r="E5475" s="312"/>
      <c r="F5475" s="312"/>
      <c r="G5475" s="328"/>
      <c r="H5475" s="453"/>
      <c r="I5475" s="334"/>
      <c r="J5475" s="314"/>
      <c r="K5475" s="454"/>
      <c r="M5475" s="349" t="str">
        <f>N5475&amp;AS[[#This Row],[Insurer Code]]&amp;"; "&amp;O5475&amp;AS[[#This Row],[Reporting Year]]&amp;"; "&amp;P5475&amp;AS[[#This Row],[Insurance Category Code]]&amp;"; "&amp;Q5475&amp;AS[[#This Row],[Large Provider Entity Code]]&amp;"; "&amp;R5475&amp;AS[[#This Row],[Age Band Code]]&amp;"; "&amp;S5475&amp;AS[[#This Row],[Sex Code]]</f>
        <v xml:space="preserve">Insurer Code ; Reporting Year ; Insurance Category Code ; Large Provider Entity Code ; Age Band Code ; Sex Code </v>
      </c>
      <c r="N5475" s="345" t="s">
        <v>207</v>
      </c>
      <c r="O5475" s="345" t="s">
        <v>208</v>
      </c>
      <c r="P5475" s="345" t="s">
        <v>209</v>
      </c>
      <c r="Q5475" s="345" t="s">
        <v>210</v>
      </c>
      <c r="R5475" s="345" t="s">
        <v>223</v>
      </c>
      <c r="S5475" s="345" t="s">
        <v>224</v>
      </c>
    </row>
    <row r="5476" spans="1:19" x14ac:dyDescent="0.25">
      <c r="A5476" s="311"/>
      <c r="B5476" s="312"/>
      <c r="C5476" s="312"/>
      <c r="D5476" s="312"/>
      <c r="E5476" s="312"/>
      <c r="F5476" s="312"/>
      <c r="G5476" s="328"/>
      <c r="H5476" s="453"/>
      <c r="I5476" s="334"/>
      <c r="J5476" s="314"/>
      <c r="K5476" s="454"/>
      <c r="M5476" s="349" t="str">
        <f>N5476&amp;AS[[#This Row],[Insurer Code]]&amp;"; "&amp;O5476&amp;AS[[#This Row],[Reporting Year]]&amp;"; "&amp;P5476&amp;AS[[#This Row],[Insurance Category Code]]&amp;"; "&amp;Q5476&amp;AS[[#This Row],[Large Provider Entity Code]]&amp;"; "&amp;R5476&amp;AS[[#This Row],[Age Band Code]]&amp;"; "&amp;S5476&amp;AS[[#This Row],[Sex Code]]</f>
        <v xml:space="preserve">Insurer Code ; Reporting Year ; Insurance Category Code ; Large Provider Entity Code ; Age Band Code ; Sex Code </v>
      </c>
      <c r="N5476" s="345" t="s">
        <v>207</v>
      </c>
      <c r="O5476" s="345" t="s">
        <v>208</v>
      </c>
      <c r="P5476" s="345" t="s">
        <v>209</v>
      </c>
      <c r="Q5476" s="345" t="s">
        <v>210</v>
      </c>
      <c r="R5476" s="345" t="s">
        <v>223</v>
      </c>
      <c r="S5476" s="345" t="s">
        <v>224</v>
      </c>
    </row>
    <row r="5477" spans="1:19" x14ac:dyDescent="0.25">
      <c r="A5477" s="311"/>
      <c r="B5477" s="312"/>
      <c r="C5477" s="312"/>
      <c r="D5477" s="312"/>
      <c r="E5477" s="312"/>
      <c r="F5477" s="312"/>
      <c r="G5477" s="328"/>
      <c r="H5477" s="453"/>
      <c r="I5477" s="334"/>
      <c r="J5477" s="314"/>
      <c r="K5477" s="454"/>
      <c r="M5477" s="349" t="str">
        <f>N5477&amp;AS[[#This Row],[Insurer Code]]&amp;"; "&amp;O5477&amp;AS[[#This Row],[Reporting Year]]&amp;"; "&amp;P5477&amp;AS[[#This Row],[Insurance Category Code]]&amp;"; "&amp;Q5477&amp;AS[[#This Row],[Large Provider Entity Code]]&amp;"; "&amp;R5477&amp;AS[[#This Row],[Age Band Code]]&amp;"; "&amp;S5477&amp;AS[[#This Row],[Sex Code]]</f>
        <v xml:space="preserve">Insurer Code ; Reporting Year ; Insurance Category Code ; Large Provider Entity Code ; Age Band Code ; Sex Code </v>
      </c>
      <c r="N5477" s="345" t="s">
        <v>207</v>
      </c>
      <c r="O5477" s="345" t="s">
        <v>208</v>
      </c>
      <c r="P5477" s="345" t="s">
        <v>209</v>
      </c>
      <c r="Q5477" s="345" t="s">
        <v>210</v>
      </c>
      <c r="R5477" s="345" t="s">
        <v>223</v>
      </c>
      <c r="S5477" s="345" t="s">
        <v>224</v>
      </c>
    </row>
    <row r="5478" spans="1:19" x14ac:dyDescent="0.25">
      <c r="A5478" s="311"/>
      <c r="B5478" s="312"/>
      <c r="C5478" s="312"/>
      <c r="D5478" s="312"/>
      <c r="E5478" s="312"/>
      <c r="F5478" s="312"/>
      <c r="G5478" s="328"/>
      <c r="H5478" s="453"/>
      <c r="I5478" s="334"/>
      <c r="J5478" s="314"/>
      <c r="K5478" s="454"/>
      <c r="M5478" s="349" t="str">
        <f>N5478&amp;AS[[#This Row],[Insurer Code]]&amp;"; "&amp;O5478&amp;AS[[#This Row],[Reporting Year]]&amp;"; "&amp;P5478&amp;AS[[#This Row],[Insurance Category Code]]&amp;"; "&amp;Q5478&amp;AS[[#This Row],[Large Provider Entity Code]]&amp;"; "&amp;R5478&amp;AS[[#This Row],[Age Band Code]]&amp;"; "&amp;S5478&amp;AS[[#This Row],[Sex Code]]</f>
        <v xml:space="preserve">Insurer Code ; Reporting Year ; Insurance Category Code ; Large Provider Entity Code ; Age Band Code ; Sex Code </v>
      </c>
      <c r="N5478" s="345" t="s">
        <v>207</v>
      </c>
      <c r="O5478" s="345" t="s">
        <v>208</v>
      </c>
      <c r="P5478" s="345" t="s">
        <v>209</v>
      </c>
      <c r="Q5478" s="345" t="s">
        <v>210</v>
      </c>
      <c r="R5478" s="345" t="s">
        <v>223</v>
      </c>
      <c r="S5478" s="345" t="s">
        <v>224</v>
      </c>
    </row>
    <row r="5479" spans="1:19" x14ac:dyDescent="0.25">
      <c r="A5479" s="311"/>
      <c r="B5479" s="312"/>
      <c r="C5479" s="312"/>
      <c r="D5479" s="312"/>
      <c r="E5479" s="312"/>
      <c r="F5479" s="312"/>
      <c r="G5479" s="328"/>
      <c r="H5479" s="453"/>
      <c r="I5479" s="334"/>
      <c r="J5479" s="314"/>
      <c r="K5479" s="454"/>
      <c r="M5479" s="349" t="str">
        <f>N5479&amp;AS[[#This Row],[Insurer Code]]&amp;"; "&amp;O5479&amp;AS[[#This Row],[Reporting Year]]&amp;"; "&amp;P5479&amp;AS[[#This Row],[Insurance Category Code]]&amp;"; "&amp;Q5479&amp;AS[[#This Row],[Large Provider Entity Code]]&amp;"; "&amp;R5479&amp;AS[[#This Row],[Age Band Code]]&amp;"; "&amp;S5479&amp;AS[[#This Row],[Sex Code]]</f>
        <v xml:space="preserve">Insurer Code ; Reporting Year ; Insurance Category Code ; Large Provider Entity Code ; Age Band Code ; Sex Code </v>
      </c>
      <c r="N5479" s="345" t="s">
        <v>207</v>
      </c>
      <c r="O5479" s="345" t="s">
        <v>208</v>
      </c>
      <c r="P5479" s="345" t="s">
        <v>209</v>
      </c>
      <c r="Q5479" s="345" t="s">
        <v>210</v>
      </c>
      <c r="R5479" s="345" t="s">
        <v>223</v>
      </c>
      <c r="S5479" s="345" t="s">
        <v>224</v>
      </c>
    </row>
    <row r="5480" spans="1:19" x14ac:dyDescent="0.25">
      <c r="A5480" s="311"/>
      <c r="B5480" s="312"/>
      <c r="C5480" s="312"/>
      <c r="D5480" s="312"/>
      <c r="E5480" s="312"/>
      <c r="F5480" s="312"/>
      <c r="G5480" s="328"/>
      <c r="H5480" s="453"/>
      <c r="I5480" s="334"/>
      <c r="J5480" s="314"/>
      <c r="K5480" s="454"/>
      <c r="M5480" s="349" t="str">
        <f>N5480&amp;AS[[#This Row],[Insurer Code]]&amp;"; "&amp;O5480&amp;AS[[#This Row],[Reporting Year]]&amp;"; "&amp;P5480&amp;AS[[#This Row],[Insurance Category Code]]&amp;"; "&amp;Q5480&amp;AS[[#This Row],[Large Provider Entity Code]]&amp;"; "&amp;R5480&amp;AS[[#This Row],[Age Band Code]]&amp;"; "&amp;S5480&amp;AS[[#This Row],[Sex Code]]</f>
        <v xml:space="preserve">Insurer Code ; Reporting Year ; Insurance Category Code ; Large Provider Entity Code ; Age Band Code ; Sex Code </v>
      </c>
      <c r="N5480" s="345" t="s">
        <v>207</v>
      </c>
      <c r="O5480" s="345" t="s">
        <v>208</v>
      </c>
      <c r="P5480" s="345" t="s">
        <v>209</v>
      </c>
      <c r="Q5480" s="345" t="s">
        <v>210</v>
      </c>
      <c r="R5480" s="345" t="s">
        <v>223</v>
      </c>
      <c r="S5480" s="345" t="s">
        <v>224</v>
      </c>
    </row>
    <row r="5481" spans="1:19" x14ac:dyDescent="0.25">
      <c r="A5481" s="311"/>
      <c r="B5481" s="312"/>
      <c r="C5481" s="312"/>
      <c r="D5481" s="312"/>
      <c r="E5481" s="312"/>
      <c r="F5481" s="312"/>
      <c r="G5481" s="328"/>
      <c r="H5481" s="453"/>
      <c r="I5481" s="334"/>
      <c r="J5481" s="314"/>
      <c r="K5481" s="454"/>
      <c r="M5481" s="349" t="str">
        <f>N5481&amp;AS[[#This Row],[Insurer Code]]&amp;"; "&amp;O5481&amp;AS[[#This Row],[Reporting Year]]&amp;"; "&amp;P5481&amp;AS[[#This Row],[Insurance Category Code]]&amp;"; "&amp;Q5481&amp;AS[[#This Row],[Large Provider Entity Code]]&amp;"; "&amp;R5481&amp;AS[[#This Row],[Age Band Code]]&amp;"; "&amp;S5481&amp;AS[[#This Row],[Sex Code]]</f>
        <v xml:space="preserve">Insurer Code ; Reporting Year ; Insurance Category Code ; Large Provider Entity Code ; Age Band Code ; Sex Code </v>
      </c>
      <c r="N5481" s="345" t="s">
        <v>207</v>
      </c>
      <c r="O5481" s="345" t="s">
        <v>208</v>
      </c>
      <c r="P5481" s="345" t="s">
        <v>209</v>
      </c>
      <c r="Q5481" s="345" t="s">
        <v>210</v>
      </c>
      <c r="R5481" s="345" t="s">
        <v>223</v>
      </c>
      <c r="S5481" s="345" t="s">
        <v>224</v>
      </c>
    </row>
    <row r="5482" spans="1:19" x14ac:dyDescent="0.25">
      <c r="A5482" s="311"/>
      <c r="B5482" s="312"/>
      <c r="C5482" s="312"/>
      <c r="D5482" s="312"/>
      <c r="E5482" s="312"/>
      <c r="F5482" s="312"/>
      <c r="G5482" s="328"/>
      <c r="H5482" s="453"/>
      <c r="I5482" s="334"/>
      <c r="J5482" s="314"/>
      <c r="K5482" s="454"/>
      <c r="M5482" s="349" t="str">
        <f>N5482&amp;AS[[#This Row],[Insurer Code]]&amp;"; "&amp;O5482&amp;AS[[#This Row],[Reporting Year]]&amp;"; "&amp;P5482&amp;AS[[#This Row],[Insurance Category Code]]&amp;"; "&amp;Q5482&amp;AS[[#This Row],[Large Provider Entity Code]]&amp;"; "&amp;R5482&amp;AS[[#This Row],[Age Band Code]]&amp;"; "&amp;S5482&amp;AS[[#This Row],[Sex Code]]</f>
        <v xml:space="preserve">Insurer Code ; Reporting Year ; Insurance Category Code ; Large Provider Entity Code ; Age Band Code ; Sex Code </v>
      </c>
      <c r="N5482" s="345" t="s">
        <v>207</v>
      </c>
      <c r="O5482" s="345" t="s">
        <v>208</v>
      </c>
      <c r="P5482" s="345" t="s">
        <v>209</v>
      </c>
      <c r="Q5482" s="345" t="s">
        <v>210</v>
      </c>
      <c r="R5482" s="345" t="s">
        <v>223</v>
      </c>
      <c r="S5482" s="345" t="s">
        <v>224</v>
      </c>
    </row>
    <row r="5483" spans="1:19" x14ac:dyDescent="0.25">
      <c r="A5483" s="311"/>
      <c r="B5483" s="312"/>
      <c r="C5483" s="312"/>
      <c r="D5483" s="312"/>
      <c r="E5483" s="312"/>
      <c r="F5483" s="312"/>
      <c r="G5483" s="328"/>
      <c r="H5483" s="453"/>
      <c r="I5483" s="334"/>
      <c r="J5483" s="314"/>
      <c r="K5483" s="454"/>
      <c r="M5483" s="349" t="str">
        <f>N5483&amp;AS[[#This Row],[Insurer Code]]&amp;"; "&amp;O5483&amp;AS[[#This Row],[Reporting Year]]&amp;"; "&amp;P5483&amp;AS[[#This Row],[Insurance Category Code]]&amp;"; "&amp;Q5483&amp;AS[[#This Row],[Large Provider Entity Code]]&amp;"; "&amp;R5483&amp;AS[[#This Row],[Age Band Code]]&amp;"; "&amp;S5483&amp;AS[[#This Row],[Sex Code]]</f>
        <v xml:space="preserve">Insurer Code ; Reporting Year ; Insurance Category Code ; Large Provider Entity Code ; Age Band Code ; Sex Code </v>
      </c>
      <c r="N5483" s="345" t="s">
        <v>207</v>
      </c>
      <c r="O5483" s="345" t="s">
        <v>208</v>
      </c>
      <c r="P5483" s="345" t="s">
        <v>209</v>
      </c>
      <c r="Q5483" s="345" t="s">
        <v>210</v>
      </c>
      <c r="R5483" s="345" t="s">
        <v>223</v>
      </c>
      <c r="S5483" s="345" t="s">
        <v>224</v>
      </c>
    </row>
    <row r="5484" spans="1:19" x14ac:dyDescent="0.25">
      <c r="A5484" s="311"/>
      <c r="B5484" s="312"/>
      <c r="C5484" s="312"/>
      <c r="D5484" s="312"/>
      <c r="E5484" s="312"/>
      <c r="F5484" s="312"/>
      <c r="G5484" s="328"/>
      <c r="H5484" s="453"/>
      <c r="I5484" s="334"/>
      <c r="J5484" s="314"/>
      <c r="K5484" s="454"/>
      <c r="M5484" s="349" t="str">
        <f>N5484&amp;AS[[#This Row],[Insurer Code]]&amp;"; "&amp;O5484&amp;AS[[#This Row],[Reporting Year]]&amp;"; "&amp;P5484&amp;AS[[#This Row],[Insurance Category Code]]&amp;"; "&amp;Q5484&amp;AS[[#This Row],[Large Provider Entity Code]]&amp;"; "&amp;R5484&amp;AS[[#This Row],[Age Band Code]]&amp;"; "&amp;S5484&amp;AS[[#This Row],[Sex Code]]</f>
        <v xml:space="preserve">Insurer Code ; Reporting Year ; Insurance Category Code ; Large Provider Entity Code ; Age Band Code ; Sex Code </v>
      </c>
      <c r="N5484" s="345" t="s">
        <v>207</v>
      </c>
      <c r="O5484" s="345" t="s">
        <v>208</v>
      </c>
      <c r="P5484" s="345" t="s">
        <v>209</v>
      </c>
      <c r="Q5484" s="345" t="s">
        <v>210</v>
      </c>
      <c r="R5484" s="345" t="s">
        <v>223</v>
      </c>
      <c r="S5484" s="345" t="s">
        <v>224</v>
      </c>
    </row>
    <row r="5485" spans="1:19" x14ac:dyDescent="0.25">
      <c r="A5485" s="311"/>
      <c r="B5485" s="312"/>
      <c r="C5485" s="312"/>
      <c r="D5485" s="312"/>
      <c r="E5485" s="312"/>
      <c r="F5485" s="312"/>
      <c r="G5485" s="328"/>
      <c r="H5485" s="453"/>
      <c r="I5485" s="334"/>
      <c r="J5485" s="314"/>
      <c r="K5485" s="454"/>
      <c r="M5485" s="349" t="str">
        <f>N5485&amp;AS[[#This Row],[Insurer Code]]&amp;"; "&amp;O5485&amp;AS[[#This Row],[Reporting Year]]&amp;"; "&amp;P5485&amp;AS[[#This Row],[Insurance Category Code]]&amp;"; "&amp;Q5485&amp;AS[[#This Row],[Large Provider Entity Code]]&amp;"; "&amp;R5485&amp;AS[[#This Row],[Age Band Code]]&amp;"; "&amp;S5485&amp;AS[[#This Row],[Sex Code]]</f>
        <v xml:space="preserve">Insurer Code ; Reporting Year ; Insurance Category Code ; Large Provider Entity Code ; Age Band Code ; Sex Code </v>
      </c>
      <c r="N5485" s="345" t="s">
        <v>207</v>
      </c>
      <c r="O5485" s="345" t="s">
        <v>208</v>
      </c>
      <c r="P5485" s="345" t="s">
        <v>209</v>
      </c>
      <c r="Q5485" s="345" t="s">
        <v>210</v>
      </c>
      <c r="R5485" s="345" t="s">
        <v>223</v>
      </c>
      <c r="S5485" s="345" t="s">
        <v>224</v>
      </c>
    </row>
    <row r="5486" spans="1:19" x14ac:dyDescent="0.25">
      <c r="A5486" s="311"/>
      <c r="B5486" s="312"/>
      <c r="C5486" s="312"/>
      <c r="D5486" s="312"/>
      <c r="E5486" s="312"/>
      <c r="F5486" s="312"/>
      <c r="G5486" s="328"/>
      <c r="H5486" s="453"/>
      <c r="I5486" s="334"/>
      <c r="J5486" s="314"/>
      <c r="K5486" s="454"/>
      <c r="M5486" s="349" t="str">
        <f>N5486&amp;AS[[#This Row],[Insurer Code]]&amp;"; "&amp;O5486&amp;AS[[#This Row],[Reporting Year]]&amp;"; "&amp;P5486&amp;AS[[#This Row],[Insurance Category Code]]&amp;"; "&amp;Q5486&amp;AS[[#This Row],[Large Provider Entity Code]]&amp;"; "&amp;R5486&amp;AS[[#This Row],[Age Band Code]]&amp;"; "&amp;S5486&amp;AS[[#This Row],[Sex Code]]</f>
        <v xml:space="preserve">Insurer Code ; Reporting Year ; Insurance Category Code ; Large Provider Entity Code ; Age Band Code ; Sex Code </v>
      </c>
      <c r="N5486" s="345" t="s">
        <v>207</v>
      </c>
      <c r="O5486" s="345" t="s">
        <v>208</v>
      </c>
      <c r="P5486" s="345" t="s">
        <v>209</v>
      </c>
      <c r="Q5486" s="345" t="s">
        <v>210</v>
      </c>
      <c r="R5486" s="345" t="s">
        <v>223</v>
      </c>
      <c r="S5486" s="345" t="s">
        <v>224</v>
      </c>
    </row>
    <row r="5487" spans="1:19" x14ac:dyDescent="0.25">
      <c r="A5487" s="311"/>
      <c r="B5487" s="312"/>
      <c r="C5487" s="312"/>
      <c r="D5487" s="312"/>
      <c r="E5487" s="312"/>
      <c r="F5487" s="312"/>
      <c r="G5487" s="328"/>
      <c r="H5487" s="453"/>
      <c r="I5487" s="334"/>
      <c r="J5487" s="314"/>
      <c r="K5487" s="454"/>
      <c r="M5487" s="349" t="str">
        <f>N5487&amp;AS[[#This Row],[Insurer Code]]&amp;"; "&amp;O5487&amp;AS[[#This Row],[Reporting Year]]&amp;"; "&amp;P5487&amp;AS[[#This Row],[Insurance Category Code]]&amp;"; "&amp;Q5487&amp;AS[[#This Row],[Large Provider Entity Code]]&amp;"; "&amp;R5487&amp;AS[[#This Row],[Age Band Code]]&amp;"; "&amp;S5487&amp;AS[[#This Row],[Sex Code]]</f>
        <v xml:space="preserve">Insurer Code ; Reporting Year ; Insurance Category Code ; Large Provider Entity Code ; Age Band Code ; Sex Code </v>
      </c>
      <c r="N5487" s="345" t="s">
        <v>207</v>
      </c>
      <c r="O5487" s="345" t="s">
        <v>208</v>
      </c>
      <c r="P5487" s="345" t="s">
        <v>209</v>
      </c>
      <c r="Q5487" s="345" t="s">
        <v>210</v>
      </c>
      <c r="R5487" s="345" t="s">
        <v>223</v>
      </c>
      <c r="S5487" s="345" t="s">
        <v>224</v>
      </c>
    </row>
    <row r="5488" spans="1:19" x14ac:dyDescent="0.25">
      <c r="A5488" s="311"/>
      <c r="B5488" s="312"/>
      <c r="C5488" s="312"/>
      <c r="D5488" s="312"/>
      <c r="E5488" s="312"/>
      <c r="F5488" s="312"/>
      <c r="G5488" s="328"/>
      <c r="H5488" s="453"/>
      <c r="I5488" s="334"/>
      <c r="J5488" s="314"/>
      <c r="K5488" s="454"/>
      <c r="M5488" s="349" t="str">
        <f>N5488&amp;AS[[#This Row],[Insurer Code]]&amp;"; "&amp;O5488&amp;AS[[#This Row],[Reporting Year]]&amp;"; "&amp;P5488&amp;AS[[#This Row],[Insurance Category Code]]&amp;"; "&amp;Q5488&amp;AS[[#This Row],[Large Provider Entity Code]]&amp;"; "&amp;R5488&amp;AS[[#This Row],[Age Band Code]]&amp;"; "&amp;S5488&amp;AS[[#This Row],[Sex Code]]</f>
        <v xml:space="preserve">Insurer Code ; Reporting Year ; Insurance Category Code ; Large Provider Entity Code ; Age Band Code ; Sex Code </v>
      </c>
      <c r="N5488" s="345" t="s">
        <v>207</v>
      </c>
      <c r="O5488" s="345" t="s">
        <v>208</v>
      </c>
      <c r="P5488" s="345" t="s">
        <v>209</v>
      </c>
      <c r="Q5488" s="345" t="s">
        <v>210</v>
      </c>
      <c r="R5488" s="345" t="s">
        <v>223</v>
      </c>
      <c r="S5488" s="345" t="s">
        <v>224</v>
      </c>
    </row>
    <row r="5489" spans="1:19" x14ac:dyDescent="0.25">
      <c r="A5489" s="311"/>
      <c r="B5489" s="312"/>
      <c r="C5489" s="312"/>
      <c r="D5489" s="312"/>
      <c r="E5489" s="312"/>
      <c r="F5489" s="312"/>
      <c r="G5489" s="328"/>
      <c r="H5489" s="453"/>
      <c r="I5489" s="334"/>
      <c r="J5489" s="314"/>
      <c r="K5489" s="454"/>
      <c r="M5489" s="349" t="str">
        <f>N5489&amp;AS[[#This Row],[Insurer Code]]&amp;"; "&amp;O5489&amp;AS[[#This Row],[Reporting Year]]&amp;"; "&amp;P5489&amp;AS[[#This Row],[Insurance Category Code]]&amp;"; "&amp;Q5489&amp;AS[[#This Row],[Large Provider Entity Code]]&amp;"; "&amp;R5489&amp;AS[[#This Row],[Age Band Code]]&amp;"; "&amp;S5489&amp;AS[[#This Row],[Sex Code]]</f>
        <v xml:space="preserve">Insurer Code ; Reporting Year ; Insurance Category Code ; Large Provider Entity Code ; Age Band Code ; Sex Code </v>
      </c>
      <c r="N5489" s="345" t="s">
        <v>207</v>
      </c>
      <c r="O5489" s="345" t="s">
        <v>208</v>
      </c>
      <c r="P5489" s="345" t="s">
        <v>209</v>
      </c>
      <c r="Q5489" s="345" t="s">
        <v>210</v>
      </c>
      <c r="R5489" s="345" t="s">
        <v>223</v>
      </c>
      <c r="S5489" s="345" t="s">
        <v>224</v>
      </c>
    </row>
    <row r="5490" spans="1:19" x14ac:dyDescent="0.25">
      <c r="A5490" s="311"/>
      <c r="B5490" s="312"/>
      <c r="C5490" s="312"/>
      <c r="D5490" s="312"/>
      <c r="E5490" s="312"/>
      <c r="F5490" s="312"/>
      <c r="G5490" s="328"/>
      <c r="H5490" s="453"/>
      <c r="I5490" s="334"/>
      <c r="J5490" s="314"/>
      <c r="K5490" s="454"/>
      <c r="M5490" s="349" t="str">
        <f>N5490&amp;AS[[#This Row],[Insurer Code]]&amp;"; "&amp;O5490&amp;AS[[#This Row],[Reporting Year]]&amp;"; "&amp;P5490&amp;AS[[#This Row],[Insurance Category Code]]&amp;"; "&amp;Q5490&amp;AS[[#This Row],[Large Provider Entity Code]]&amp;"; "&amp;R5490&amp;AS[[#This Row],[Age Band Code]]&amp;"; "&amp;S5490&amp;AS[[#This Row],[Sex Code]]</f>
        <v xml:space="preserve">Insurer Code ; Reporting Year ; Insurance Category Code ; Large Provider Entity Code ; Age Band Code ; Sex Code </v>
      </c>
      <c r="N5490" s="345" t="s">
        <v>207</v>
      </c>
      <c r="O5490" s="345" t="s">
        <v>208</v>
      </c>
      <c r="P5490" s="345" t="s">
        <v>209</v>
      </c>
      <c r="Q5490" s="345" t="s">
        <v>210</v>
      </c>
      <c r="R5490" s="345" t="s">
        <v>223</v>
      </c>
      <c r="S5490" s="345" t="s">
        <v>224</v>
      </c>
    </row>
    <row r="5491" spans="1:19" x14ac:dyDescent="0.25">
      <c r="A5491" s="311"/>
      <c r="B5491" s="312"/>
      <c r="C5491" s="312"/>
      <c r="D5491" s="312"/>
      <c r="E5491" s="312"/>
      <c r="F5491" s="312"/>
      <c r="G5491" s="328"/>
      <c r="H5491" s="453"/>
      <c r="I5491" s="334"/>
      <c r="J5491" s="314"/>
      <c r="K5491" s="454"/>
      <c r="M5491" s="349" t="str">
        <f>N5491&amp;AS[[#This Row],[Insurer Code]]&amp;"; "&amp;O5491&amp;AS[[#This Row],[Reporting Year]]&amp;"; "&amp;P5491&amp;AS[[#This Row],[Insurance Category Code]]&amp;"; "&amp;Q5491&amp;AS[[#This Row],[Large Provider Entity Code]]&amp;"; "&amp;R5491&amp;AS[[#This Row],[Age Band Code]]&amp;"; "&amp;S5491&amp;AS[[#This Row],[Sex Code]]</f>
        <v xml:space="preserve">Insurer Code ; Reporting Year ; Insurance Category Code ; Large Provider Entity Code ; Age Band Code ; Sex Code </v>
      </c>
      <c r="N5491" s="345" t="s">
        <v>207</v>
      </c>
      <c r="O5491" s="345" t="s">
        <v>208</v>
      </c>
      <c r="P5491" s="345" t="s">
        <v>209</v>
      </c>
      <c r="Q5491" s="345" t="s">
        <v>210</v>
      </c>
      <c r="R5491" s="345" t="s">
        <v>223</v>
      </c>
      <c r="S5491" s="345" t="s">
        <v>224</v>
      </c>
    </row>
    <row r="5492" spans="1:19" x14ac:dyDescent="0.25">
      <c r="A5492" s="311"/>
      <c r="B5492" s="312"/>
      <c r="C5492" s="312"/>
      <c r="D5492" s="312"/>
      <c r="E5492" s="312"/>
      <c r="F5492" s="312"/>
      <c r="G5492" s="328"/>
      <c r="H5492" s="453"/>
      <c r="I5492" s="334"/>
      <c r="J5492" s="314"/>
      <c r="K5492" s="454"/>
      <c r="M5492" s="349" t="str">
        <f>N5492&amp;AS[[#This Row],[Insurer Code]]&amp;"; "&amp;O5492&amp;AS[[#This Row],[Reporting Year]]&amp;"; "&amp;P5492&amp;AS[[#This Row],[Insurance Category Code]]&amp;"; "&amp;Q5492&amp;AS[[#This Row],[Large Provider Entity Code]]&amp;"; "&amp;R5492&amp;AS[[#This Row],[Age Band Code]]&amp;"; "&amp;S5492&amp;AS[[#This Row],[Sex Code]]</f>
        <v xml:space="preserve">Insurer Code ; Reporting Year ; Insurance Category Code ; Large Provider Entity Code ; Age Band Code ; Sex Code </v>
      </c>
      <c r="N5492" s="345" t="s">
        <v>207</v>
      </c>
      <c r="O5492" s="345" t="s">
        <v>208</v>
      </c>
      <c r="P5492" s="345" t="s">
        <v>209</v>
      </c>
      <c r="Q5492" s="345" t="s">
        <v>210</v>
      </c>
      <c r="R5492" s="345" t="s">
        <v>223</v>
      </c>
      <c r="S5492" s="345" t="s">
        <v>224</v>
      </c>
    </row>
    <row r="5493" spans="1:19" x14ac:dyDescent="0.25">
      <c r="A5493" s="311"/>
      <c r="B5493" s="312"/>
      <c r="C5493" s="312"/>
      <c r="D5493" s="312"/>
      <c r="E5493" s="312"/>
      <c r="F5493" s="312"/>
      <c r="G5493" s="328"/>
      <c r="H5493" s="453"/>
      <c r="I5493" s="334"/>
      <c r="J5493" s="314"/>
      <c r="K5493" s="454"/>
      <c r="M5493" s="349" t="str">
        <f>N5493&amp;AS[[#This Row],[Insurer Code]]&amp;"; "&amp;O5493&amp;AS[[#This Row],[Reporting Year]]&amp;"; "&amp;P5493&amp;AS[[#This Row],[Insurance Category Code]]&amp;"; "&amp;Q5493&amp;AS[[#This Row],[Large Provider Entity Code]]&amp;"; "&amp;R5493&amp;AS[[#This Row],[Age Band Code]]&amp;"; "&amp;S5493&amp;AS[[#This Row],[Sex Code]]</f>
        <v xml:space="preserve">Insurer Code ; Reporting Year ; Insurance Category Code ; Large Provider Entity Code ; Age Band Code ; Sex Code </v>
      </c>
      <c r="N5493" s="345" t="s">
        <v>207</v>
      </c>
      <c r="O5493" s="345" t="s">
        <v>208</v>
      </c>
      <c r="P5493" s="345" t="s">
        <v>209</v>
      </c>
      <c r="Q5493" s="345" t="s">
        <v>210</v>
      </c>
      <c r="R5493" s="345" t="s">
        <v>223</v>
      </c>
      <c r="S5493" s="345" t="s">
        <v>224</v>
      </c>
    </row>
    <row r="5494" spans="1:19" x14ac:dyDescent="0.25">
      <c r="A5494" s="311"/>
      <c r="B5494" s="312"/>
      <c r="C5494" s="312"/>
      <c r="D5494" s="312"/>
      <c r="E5494" s="312"/>
      <c r="F5494" s="312"/>
      <c r="G5494" s="328"/>
      <c r="H5494" s="453"/>
      <c r="I5494" s="334"/>
      <c r="J5494" s="314"/>
      <c r="K5494" s="454"/>
      <c r="M5494" s="349" t="str">
        <f>N5494&amp;AS[[#This Row],[Insurer Code]]&amp;"; "&amp;O5494&amp;AS[[#This Row],[Reporting Year]]&amp;"; "&amp;P5494&amp;AS[[#This Row],[Insurance Category Code]]&amp;"; "&amp;Q5494&amp;AS[[#This Row],[Large Provider Entity Code]]&amp;"; "&amp;R5494&amp;AS[[#This Row],[Age Band Code]]&amp;"; "&amp;S5494&amp;AS[[#This Row],[Sex Code]]</f>
        <v xml:space="preserve">Insurer Code ; Reporting Year ; Insurance Category Code ; Large Provider Entity Code ; Age Band Code ; Sex Code </v>
      </c>
      <c r="N5494" s="345" t="s">
        <v>207</v>
      </c>
      <c r="O5494" s="345" t="s">
        <v>208</v>
      </c>
      <c r="P5494" s="345" t="s">
        <v>209</v>
      </c>
      <c r="Q5494" s="345" t="s">
        <v>210</v>
      </c>
      <c r="R5494" s="345" t="s">
        <v>223</v>
      </c>
      <c r="S5494" s="345" t="s">
        <v>224</v>
      </c>
    </row>
    <row r="5495" spans="1:19" x14ac:dyDescent="0.25">
      <c r="A5495" s="311"/>
      <c r="B5495" s="312"/>
      <c r="C5495" s="312"/>
      <c r="D5495" s="312"/>
      <c r="E5495" s="312"/>
      <c r="F5495" s="312"/>
      <c r="G5495" s="328"/>
      <c r="H5495" s="453"/>
      <c r="I5495" s="334"/>
      <c r="J5495" s="314"/>
      <c r="K5495" s="454"/>
      <c r="M5495" s="349" t="str">
        <f>N5495&amp;AS[[#This Row],[Insurer Code]]&amp;"; "&amp;O5495&amp;AS[[#This Row],[Reporting Year]]&amp;"; "&amp;P5495&amp;AS[[#This Row],[Insurance Category Code]]&amp;"; "&amp;Q5495&amp;AS[[#This Row],[Large Provider Entity Code]]&amp;"; "&amp;R5495&amp;AS[[#This Row],[Age Band Code]]&amp;"; "&amp;S5495&amp;AS[[#This Row],[Sex Code]]</f>
        <v xml:space="preserve">Insurer Code ; Reporting Year ; Insurance Category Code ; Large Provider Entity Code ; Age Band Code ; Sex Code </v>
      </c>
      <c r="N5495" s="345" t="s">
        <v>207</v>
      </c>
      <c r="O5495" s="345" t="s">
        <v>208</v>
      </c>
      <c r="P5495" s="345" t="s">
        <v>209</v>
      </c>
      <c r="Q5495" s="345" t="s">
        <v>210</v>
      </c>
      <c r="R5495" s="345" t="s">
        <v>223</v>
      </c>
      <c r="S5495" s="345" t="s">
        <v>224</v>
      </c>
    </row>
    <row r="5496" spans="1:19" x14ac:dyDescent="0.25">
      <c r="A5496" s="311"/>
      <c r="B5496" s="312"/>
      <c r="C5496" s="312"/>
      <c r="D5496" s="312"/>
      <c r="E5496" s="312"/>
      <c r="F5496" s="312"/>
      <c r="G5496" s="328"/>
      <c r="H5496" s="453"/>
      <c r="I5496" s="334"/>
      <c r="J5496" s="314"/>
      <c r="K5496" s="454"/>
      <c r="M5496" s="349" t="str">
        <f>N5496&amp;AS[[#This Row],[Insurer Code]]&amp;"; "&amp;O5496&amp;AS[[#This Row],[Reporting Year]]&amp;"; "&amp;P5496&amp;AS[[#This Row],[Insurance Category Code]]&amp;"; "&amp;Q5496&amp;AS[[#This Row],[Large Provider Entity Code]]&amp;"; "&amp;R5496&amp;AS[[#This Row],[Age Band Code]]&amp;"; "&amp;S5496&amp;AS[[#This Row],[Sex Code]]</f>
        <v xml:space="preserve">Insurer Code ; Reporting Year ; Insurance Category Code ; Large Provider Entity Code ; Age Band Code ; Sex Code </v>
      </c>
      <c r="N5496" s="345" t="s">
        <v>207</v>
      </c>
      <c r="O5496" s="345" t="s">
        <v>208</v>
      </c>
      <c r="P5496" s="345" t="s">
        <v>209</v>
      </c>
      <c r="Q5496" s="345" t="s">
        <v>210</v>
      </c>
      <c r="R5496" s="345" t="s">
        <v>223</v>
      </c>
      <c r="S5496" s="345" t="s">
        <v>224</v>
      </c>
    </row>
    <row r="5497" spans="1:19" x14ac:dyDescent="0.25">
      <c r="A5497" s="311"/>
      <c r="B5497" s="312"/>
      <c r="C5497" s="312"/>
      <c r="D5497" s="312"/>
      <c r="E5497" s="312"/>
      <c r="F5497" s="312"/>
      <c r="G5497" s="328"/>
      <c r="H5497" s="453"/>
      <c r="I5497" s="334"/>
      <c r="J5497" s="314"/>
      <c r="K5497" s="454"/>
      <c r="M5497" s="349" t="str">
        <f>N5497&amp;AS[[#This Row],[Insurer Code]]&amp;"; "&amp;O5497&amp;AS[[#This Row],[Reporting Year]]&amp;"; "&amp;P5497&amp;AS[[#This Row],[Insurance Category Code]]&amp;"; "&amp;Q5497&amp;AS[[#This Row],[Large Provider Entity Code]]&amp;"; "&amp;R5497&amp;AS[[#This Row],[Age Band Code]]&amp;"; "&amp;S5497&amp;AS[[#This Row],[Sex Code]]</f>
        <v xml:space="preserve">Insurer Code ; Reporting Year ; Insurance Category Code ; Large Provider Entity Code ; Age Band Code ; Sex Code </v>
      </c>
      <c r="N5497" s="345" t="s">
        <v>207</v>
      </c>
      <c r="O5497" s="345" t="s">
        <v>208</v>
      </c>
      <c r="P5497" s="345" t="s">
        <v>209</v>
      </c>
      <c r="Q5497" s="345" t="s">
        <v>210</v>
      </c>
      <c r="R5497" s="345" t="s">
        <v>223</v>
      </c>
      <c r="S5497" s="345" t="s">
        <v>224</v>
      </c>
    </row>
    <row r="5498" spans="1:19" x14ac:dyDescent="0.25">
      <c r="A5498" s="311"/>
      <c r="B5498" s="312"/>
      <c r="C5498" s="312"/>
      <c r="D5498" s="312"/>
      <c r="E5498" s="312"/>
      <c r="F5498" s="312"/>
      <c r="G5498" s="328"/>
      <c r="H5498" s="453"/>
      <c r="I5498" s="334"/>
      <c r="J5498" s="314"/>
      <c r="K5498" s="454"/>
      <c r="M5498" s="349" t="str">
        <f>N5498&amp;AS[[#This Row],[Insurer Code]]&amp;"; "&amp;O5498&amp;AS[[#This Row],[Reporting Year]]&amp;"; "&amp;P5498&amp;AS[[#This Row],[Insurance Category Code]]&amp;"; "&amp;Q5498&amp;AS[[#This Row],[Large Provider Entity Code]]&amp;"; "&amp;R5498&amp;AS[[#This Row],[Age Band Code]]&amp;"; "&amp;S5498&amp;AS[[#This Row],[Sex Code]]</f>
        <v xml:space="preserve">Insurer Code ; Reporting Year ; Insurance Category Code ; Large Provider Entity Code ; Age Band Code ; Sex Code </v>
      </c>
      <c r="N5498" s="345" t="s">
        <v>207</v>
      </c>
      <c r="O5498" s="345" t="s">
        <v>208</v>
      </c>
      <c r="P5498" s="345" t="s">
        <v>209</v>
      </c>
      <c r="Q5498" s="345" t="s">
        <v>210</v>
      </c>
      <c r="R5498" s="345" t="s">
        <v>223</v>
      </c>
      <c r="S5498" s="345" t="s">
        <v>224</v>
      </c>
    </row>
    <row r="5499" spans="1:19" x14ac:dyDescent="0.25">
      <c r="A5499" s="311"/>
      <c r="B5499" s="312"/>
      <c r="C5499" s="312"/>
      <c r="D5499" s="312"/>
      <c r="E5499" s="312"/>
      <c r="F5499" s="312"/>
      <c r="G5499" s="328"/>
      <c r="H5499" s="453"/>
      <c r="I5499" s="334"/>
      <c r="J5499" s="314"/>
      <c r="K5499" s="454"/>
      <c r="M5499" s="349" t="str">
        <f>N5499&amp;AS[[#This Row],[Insurer Code]]&amp;"; "&amp;O5499&amp;AS[[#This Row],[Reporting Year]]&amp;"; "&amp;P5499&amp;AS[[#This Row],[Insurance Category Code]]&amp;"; "&amp;Q5499&amp;AS[[#This Row],[Large Provider Entity Code]]&amp;"; "&amp;R5499&amp;AS[[#This Row],[Age Band Code]]&amp;"; "&amp;S5499&amp;AS[[#This Row],[Sex Code]]</f>
        <v xml:space="preserve">Insurer Code ; Reporting Year ; Insurance Category Code ; Large Provider Entity Code ; Age Band Code ; Sex Code </v>
      </c>
      <c r="N5499" s="345" t="s">
        <v>207</v>
      </c>
      <c r="O5499" s="345" t="s">
        <v>208</v>
      </c>
      <c r="P5499" s="345" t="s">
        <v>209</v>
      </c>
      <c r="Q5499" s="345" t="s">
        <v>210</v>
      </c>
      <c r="R5499" s="345" t="s">
        <v>223</v>
      </c>
      <c r="S5499" s="345" t="s">
        <v>224</v>
      </c>
    </row>
    <row r="5500" spans="1:19" x14ac:dyDescent="0.25">
      <c r="A5500" s="311"/>
      <c r="B5500" s="312"/>
      <c r="C5500" s="312"/>
      <c r="D5500" s="312"/>
      <c r="E5500" s="312"/>
      <c r="F5500" s="312"/>
      <c r="G5500" s="328"/>
      <c r="H5500" s="453"/>
      <c r="I5500" s="334"/>
      <c r="J5500" s="314"/>
      <c r="K5500" s="454"/>
      <c r="M5500" s="349" t="str">
        <f>N5500&amp;AS[[#This Row],[Insurer Code]]&amp;"; "&amp;O5500&amp;AS[[#This Row],[Reporting Year]]&amp;"; "&amp;P5500&amp;AS[[#This Row],[Insurance Category Code]]&amp;"; "&amp;Q5500&amp;AS[[#This Row],[Large Provider Entity Code]]&amp;"; "&amp;R5500&amp;AS[[#This Row],[Age Band Code]]&amp;"; "&amp;S5500&amp;AS[[#This Row],[Sex Code]]</f>
        <v xml:space="preserve">Insurer Code ; Reporting Year ; Insurance Category Code ; Large Provider Entity Code ; Age Band Code ; Sex Code </v>
      </c>
      <c r="N5500" s="345" t="s">
        <v>207</v>
      </c>
      <c r="O5500" s="345" t="s">
        <v>208</v>
      </c>
      <c r="P5500" s="345" t="s">
        <v>209</v>
      </c>
      <c r="Q5500" s="345" t="s">
        <v>210</v>
      </c>
      <c r="R5500" s="345" t="s">
        <v>223</v>
      </c>
      <c r="S5500" s="345" t="s">
        <v>224</v>
      </c>
    </row>
    <row r="5501" spans="1:19" x14ac:dyDescent="0.25">
      <c r="A5501" s="311"/>
      <c r="B5501" s="312"/>
      <c r="C5501" s="312"/>
      <c r="D5501" s="312"/>
      <c r="E5501" s="312"/>
      <c r="F5501" s="312"/>
      <c r="G5501" s="328"/>
      <c r="H5501" s="453"/>
      <c r="I5501" s="334"/>
      <c r="J5501" s="314"/>
      <c r="K5501" s="454"/>
      <c r="M5501" s="349" t="str">
        <f>N5501&amp;AS[[#This Row],[Insurer Code]]&amp;"; "&amp;O5501&amp;AS[[#This Row],[Reporting Year]]&amp;"; "&amp;P5501&amp;AS[[#This Row],[Insurance Category Code]]&amp;"; "&amp;Q5501&amp;AS[[#This Row],[Large Provider Entity Code]]&amp;"; "&amp;R5501&amp;AS[[#This Row],[Age Band Code]]&amp;"; "&amp;S5501&amp;AS[[#This Row],[Sex Code]]</f>
        <v xml:space="preserve">Insurer Code ; Reporting Year ; Insurance Category Code ; Large Provider Entity Code ; Age Band Code ; Sex Code </v>
      </c>
      <c r="N5501" s="345" t="s">
        <v>207</v>
      </c>
      <c r="O5501" s="345" t="s">
        <v>208</v>
      </c>
      <c r="P5501" s="345" t="s">
        <v>209</v>
      </c>
      <c r="Q5501" s="345" t="s">
        <v>210</v>
      </c>
      <c r="R5501" s="345" t="s">
        <v>223</v>
      </c>
      <c r="S5501" s="345" t="s">
        <v>224</v>
      </c>
    </row>
    <row r="5502" spans="1:19" x14ac:dyDescent="0.25">
      <c r="A5502" s="311"/>
      <c r="B5502" s="312"/>
      <c r="C5502" s="312"/>
      <c r="D5502" s="312"/>
      <c r="E5502" s="312"/>
      <c r="F5502" s="312"/>
      <c r="G5502" s="328"/>
      <c r="H5502" s="453"/>
      <c r="I5502" s="334"/>
      <c r="J5502" s="314"/>
      <c r="K5502" s="454"/>
      <c r="M5502" s="349" t="str">
        <f>N5502&amp;AS[[#This Row],[Insurer Code]]&amp;"; "&amp;O5502&amp;AS[[#This Row],[Reporting Year]]&amp;"; "&amp;P5502&amp;AS[[#This Row],[Insurance Category Code]]&amp;"; "&amp;Q5502&amp;AS[[#This Row],[Large Provider Entity Code]]&amp;"; "&amp;R5502&amp;AS[[#This Row],[Age Band Code]]&amp;"; "&amp;S5502&amp;AS[[#This Row],[Sex Code]]</f>
        <v xml:space="preserve">Insurer Code ; Reporting Year ; Insurance Category Code ; Large Provider Entity Code ; Age Band Code ; Sex Code </v>
      </c>
      <c r="N5502" s="345" t="s">
        <v>207</v>
      </c>
      <c r="O5502" s="345" t="s">
        <v>208</v>
      </c>
      <c r="P5502" s="345" t="s">
        <v>209</v>
      </c>
      <c r="Q5502" s="345" t="s">
        <v>210</v>
      </c>
      <c r="R5502" s="345" t="s">
        <v>223</v>
      </c>
      <c r="S5502" s="345" t="s">
        <v>224</v>
      </c>
    </row>
    <row r="5503" spans="1:19" x14ac:dyDescent="0.25">
      <c r="A5503" s="311"/>
      <c r="B5503" s="312"/>
      <c r="C5503" s="312"/>
      <c r="D5503" s="312"/>
      <c r="E5503" s="312"/>
      <c r="F5503" s="312"/>
      <c r="G5503" s="328"/>
      <c r="H5503" s="453"/>
      <c r="I5503" s="334"/>
      <c r="J5503" s="314"/>
      <c r="K5503" s="454"/>
      <c r="M5503" s="349" t="str">
        <f>N5503&amp;AS[[#This Row],[Insurer Code]]&amp;"; "&amp;O5503&amp;AS[[#This Row],[Reporting Year]]&amp;"; "&amp;P5503&amp;AS[[#This Row],[Insurance Category Code]]&amp;"; "&amp;Q5503&amp;AS[[#This Row],[Large Provider Entity Code]]&amp;"; "&amp;R5503&amp;AS[[#This Row],[Age Band Code]]&amp;"; "&amp;S5503&amp;AS[[#This Row],[Sex Code]]</f>
        <v xml:space="preserve">Insurer Code ; Reporting Year ; Insurance Category Code ; Large Provider Entity Code ; Age Band Code ; Sex Code </v>
      </c>
      <c r="N5503" s="345" t="s">
        <v>207</v>
      </c>
      <c r="O5503" s="345" t="s">
        <v>208</v>
      </c>
      <c r="P5503" s="345" t="s">
        <v>209</v>
      </c>
      <c r="Q5503" s="345" t="s">
        <v>210</v>
      </c>
      <c r="R5503" s="345" t="s">
        <v>223</v>
      </c>
      <c r="S5503" s="345" t="s">
        <v>224</v>
      </c>
    </row>
    <row r="5504" spans="1:19" x14ac:dyDescent="0.25">
      <c r="A5504" s="311"/>
      <c r="B5504" s="312"/>
      <c r="C5504" s="312"/>
      <c r="D5504" s="312"/>
      <c r="E5504" s="312"/>
      <c r="F5504" s="312"/>
      <c r="G5504" s="328"/>
      <c r="H5504" s="453"/>
      <c r="I5504" s="334"/>
      <c r="J5504" s="314"/>
      <c r="K5504" s="454"/>
      <c r="M5504" s="349" t="str">
        <f>N5504&amp;AS[[#This Row],[Insurer Code]]&amp;"; "&amp;O5504&amp;AS[[#This Row],[Reporting Year]]&amp;"; "&amp;P5504&amp;AS[[#This Row],[Insurance Category Code]]&amp;"; "&amp;Q5504&amp;AS[[#This Row],[Large Provider Entity Code]]&amp;"; "&amp;R5504&amp;AS[[#This Row],[Age Band Code]]&amp;"; "&amp;S5504&amp;AS[[#This Row],[Sex Code]]</f>
        <v xml:space="preserve">Insurer Code ; Reporting Year ; Insurance Category Code ; Large Provider Entity Code ; Age Band Code ; Sex Code </v>
      </c>
      <c r="N5504" s="345" t="s">
        <v>207</v>
      </c>
      <c r="O5504" s="345" t="s">
        <v>208</v>
      </c>
      <c r="P5504" s="345" t="s">
        <v>209</v>
      </c>
      <c r="Q5504" s="345" t="s">
        <v>210</v>
      </c>
      <c r="R5504" s="345" t="s">
        <v>223</v>
      </c>
      <c r="S5504" s="345" t="s">
        <v>224</v>
      </c>
    </row>
    <row r="5505" spans="1:19" x14ac:dyDescent="0.25">
      <c r="A5505" s="311"/>
      <c r="B5505" s="312"/>
      <c r="C5505" s="312"/>
      <c r="D5505" s="312"/>
      <c r="E5505" s="312"/>
      <c r="F5505" s="312"/>
      <c r="G5505" s="328"/>
      <c r="H5505" s="453"/>
      <c r="I5505" s="334"/>
      <c r="J5505" s="314"/>
      <c r="K5505" s="454"/>
      <c r="M5505" s="349" t="str">
        <f>N5505&amp;AS[[#This Row],[Insurer Code]]&amp;"; "&amp;O5505&amp;AS[[#This Row],[Reporting Year]]&amp;"; "&amp;P5505&amp;AS[[#This Row],[Insurance Category Code]]&amp;"; "&amp;Q5505&amp;AS[[#This Row],[Large Provider Entity Code]]&amp;"; "&amp;R5505&amp;AS[[#This Row],[Age Band Code]]&amp;"; "&amp;S5505&amp;AS[[#This Row],[Sex Code]]</f>
        <v xml:space="preserve">Insurer Code ; Reporting Year ; Insurance Category Code ; Large Provider Entity Code ; Age Band Code ; Sex Code </v>
      </c>
      <c r="N5505" s="345" t="s">
        <v>207</v>
      </c>
      <c r="O5505" s="345" t="s">
        <v>208</v>
      </c>
      <c r="P5505" s="345" t="s">
        <v>209</v>
      </c>
      <c r="Q5505" s="345" t="s">
        <v>210</v>
      </c>
      <c r="R5505" s="345" t="s">
        <v>223</v>
      </c>
      <c r="S5505" s="345" t="s">
        <v>224</v>
      </c>
    </row>
    <row r="5506" spans="1:19" x14ac:dyDescent="0.25">
      <c r="A5506" s="311"/>
      <c r="B5506" s="312"/>
      <c r="C5506" s="312"/>
      <c r="D5506" s="312"/>
      <c r="E5506" s="312"/>
      <c r="F5506" s="312"/>
      <c r="G5506" s="328"/>
      <c r="H5506" s="453"/>
      <c r="I5506" s="334"/>
      <c r="J5506" s="314"/>
      <c r="K5506" s="454"/>
      <c r="M5506" s="349" t="str">
        <f>N5506&amp;AS[[#This Row],[Insurer Code]]&amp;"; "&amp;O5506&amp;AS[[#This Row],[Reporting Year]]&amp;"; "&amp;P5506&amp;AS[[#This Row],[Insurance Category Code]]&amp;"; "&amp;Q5506&amp;AS[[#This Row],[Large Provider Entity Code]]&amp;"; "&amp;R5506&amp;AS[[#This Row],[Age Band Code]]&amp;"; "&amp;S5506&amp;AS[[#This Row],[Sex Code]]</f>
        <v xml:space="preserve">Insurer Code ; Reporting Year ; Insurance Category Code ; Large Provider Entity Code ; Age Band Code ; Sex Code </v>
      </c>
      <c r="N5506" s="345" t="s">
        <v>207</v>
      </c>
      <c r="O5506" s="345" t="s">
        <v>208</v>
      </c>
      <c r="P5506" s="345" t="s">
        <v>209</v>
      </c>
      <c r="Q5506" s="345" t="s">
        <v>210</v>
      </c>
      <c r="R5506" s="345" t="s">
        <v>223</v>
      </c>
      <c r="S5506" s="345" t="s">
        <v>224</v>
      </c>
    </row>
    <row r="5507" spans="1:19" x14ac:dyDescent="0.25">
      <c r="A5507" s="311"/>
      <c r="B5507" s="312"/>
      <c r="C5507" s="312"/>
      <c r="D5507" s="312"/>
      <c r="E5507" s="312"/>
      <c r="F5507" s="312"/>
      <c r="G5507" s="328"/>
      <c r="H5507" s="453"/>
      <c r="I5507" s="334"/>
      <c r="J5507" s="314"/>
      <c r="K5507" s="454"/>
      <c r="M5507" s="349" t="str">
        <f>N5507&amp;AS[[#This Row],[Insurer Code]]&amp;"; "&amp;O5507&amp;AS[[#This Row],[Reporting Year]]&amp;"; "&amp;P5507&amp;AS[[#This Row],[Insurance Category Code]]&amp;"; "&amp;Q5507&amp;AS[[#This Row],[Large Provider Entity Code]]&amp;"; "&amp;R5507&amp;AS[[#This Row],[Age Band Code]]&amp;"; "&amp;S5507&amp;AS[[#This Row],[Sex Code]]</f>
        <v xml:space="preserve">Insurer Code ; Reporting Year ; Insurance Category Code ; Large Provider Entity Code ; Age Band Code ; Sex Code </v>
      </c>
      <c r="N5507" s="345" t="s">
        <v>207</v>
      </c>
      <c r="O5507" s="345" t="s">
        <v>208</v>
      </c>
      <c r="P5507" s="345" t="s">
        <v>209</v>
      </c>
      <c r="Q5507" s="345" t="s">
        <v>210</v>
      </c>
      <c r="R5507" s="345" t="s">
        <v>223</v>
      </c>
      <c r="S5507" s="345" t="s">
        <v>224</v>
      </c>
    </row>
    <row r="5508" spans="1:19" x14ac:dyDescent="0.25">
      <c r="A5508" s="311"/>
      <c r="B5508" s="312"/>
      <c r="C5508" s="312"/>
      <c r="D5508" s="312"/>
      <c r="E5508" s="312"/>
      <c r="F5508" s="312"/>
      <c r="G5508" s="328"/>
      <c r="H5508" s="453"/>
      <c r="I5508" s="334"/>
      <c r="J5508" s="314"/>
      <c r="K5508" s="454"/>
      <c r="M5508" s="349" t="str">
        <f>N5508&amp;AS[[#This Row],[Insurer Code]]&amp;"; "&amp;O5508&amp;AS[[#This Row],[Reporting Year]]&amp;"; "&amp;P5508&amp;AS[[#This Row],[Insurance Category Code]]&amp;"; "&amp;Q5508&amp;AS[[#This Row],[Large Provider Entity Code]]&amp;"; "&amp;R5508&amp;AS[[#This Row],[Age Band Code]]&amp;"; "&amp;S5508&amp;AS[[#This Row],[Sex Code]]</f>
        <v xml:space="preserve">Insurer Code ; Reporting Year ; Insurance Category Code ; Large Provider Entity Code ; Age Band Code ; Sex Code </v>
      </c>
      <c r="N5508" s="345" t="s">
        <v>207</v>
      </c>
      <c r="O5508" s="345" t="s">
        <v>208</v>
      </c>
      <c r="P5508" s="345" t="s">
        <v>209</v>
      </c>
      <c r="Q5508" s="345" t="s">
        <v>210</v>
      </c>
      <c r="R5508" s="345" t="s">
        <v>223</v>
      </c>
      <c r="S5508" s="345" t="s">
        <v>224</v>
      </c>
    </row>
    <row r="5509" spans="1:19" x14ac:dyDescent="0.25">
      <c r="A5509" s="311"/>
      <c r="B5509" s="312"/>
      <c r="C5509" s="312"/>
      <c r="D5509" s="312"/>
      <c r="E5509" s="312"/>
      <c r="F5509" s="312"/>
      <c r="G5509" s="328"/>
      <c r="H5509" s="453"/>
      <c r="I5509" s="334"/>
      <c r="J5509" s="314"/>
      <c r="K5509" s="454"/>
      <c r="M5509" s="349" t="str">
        <f>N5509&amp;AS[[#This Row],[Insurer Code]]&amp;"; "&amp;O5509&amp;AS[[#This Row],[Reporting Year]]&amp;"; "&amp;P5509&amp;AS[[#This Row],[Insurance Category Code]]&amp;"; "&amp;Q5509&amp;AS[[#This Row],[Large Provider Entity Code]]&amp;"; "&amp;R5509&amp;AS[[#This Row],[Age Band Code]]&amp;"; "&amp;S5509&amp;AS[[#This Row],[Sex Code]]</f>
        <v xml:space="preserve">Insurer Code ; Reporting Year ; Insurance Category Code ; Large Provider Entity Code ; Age Band Code ; Sex Code </v>
      </c>
      <c r="N5509" s="345" t="s">
        <v>207</v>
      </c>
      <c r="O5509" s="345" t="s">
        <v>208</v>
      </c>
      <c r="P5509" s="345" t="s">
        <v>209</v>
      </c>
      <c r="Q5509" s="345" t="s">
        <v>210</v>
      </c>
      <c r="R5509" s="345" t="s">
        <v>223</v>
      </c>
      <c r="S5509" s="345" t="s">
        <v>224</v>
      </c>
    </row>
    <row r="5510" spans="1:19" x14ac:dyDescent="0.25">
      <c r="A5510" s="311"/>
      <c r="B5510" s="312"/>
      <c r="C5510" s="312"/>
      <c r="D5510" s="312"/>
      <c r="E5510" s="312"/>
      <c r="F5510" s="312"/>
      <c r="G5510" s="328"/>
      <c r="H5510" s="453"/>
      <c r="I5510" s="334"/>
      <c r="J5510" s="314"/>
      <c r="K5510" s="454"/>
      <c r="M5510" s="349" t="str">
        <f>N5510&amp;AS[[#This Row],[Insurer Code]]&amp;"; "&amp;O5510&amp;AS[[#This Row],[Reporting Year]]&amp;"; "&amp;P5510&amp;AS[[#This Row],[Insurance Category Code]]&amp;"; "&amp;Q5510&amp;AS[[#This Row],[Large Provider Entity Code]]&amp;"; "&amp;R5510&amp;AS[[#This Row],[Age Band Code]]&amp;"; "&amp;S5510&amp;AS[[#This Row],[Sex Code]]</f>
        <v xml:space="preserve">Insurer Code ; Reporting Year ; Insurance Category Code ; Large Provider Entity Code ; Age Band Code ; Sex Code </v>
      </c>
      <c r="N5510" s="345" t="s">
        <v>207</v>
      </c>
      <c r="O5510" s="345" t="s">
        <v>208</v>
      </c>
      <c r="P5510" s="345" t="s">
        <v>209</v>
      </c>
      <c r="Q5510" s="345" t="s">
        <v>210</v>
      </c>
      <c r="R5510" s="345" t="s">
        <v>223</v>
      </c>
      <c r="S5510" s="345" t="s">
        <v>224</v>
      </c>
    </row>
    <row r="5511" spans="1:19" x14ac:dyDescent="0.25">
      <c r="A5511" s="311"/>
      <c r="B5511" s="312"/>
      <c r="C5511" s="312"/>
      <c r="D5511" s="312"/>
      <c r="E5511" s="312"/>
      <c r="F5511" s="312"/>
      <c r="G5511" s="328"/>
      <c r="H5511" s="453"/>
      <c r="I5511" s="334"/>
      <c r="J5511" s="314"/>
      <c r="K5511" s="454"/>
      <c r="M5511" s="349" t="str">
        <f>N5511&amp;AS[[#This Row],[Insurer Code]]&amp;"; "&amp;O5511&amp;AS[[#This Row],[Reporting Year]]&amp;"; "&amp;P5511&amp;AS[[#This Row],[Insurance Category Code]]&amp;"; "&amp;Q5511&amp;AS[[#This Row],[Large Provider Entity Code]]&amp;"; "&amp;R5511&amp;AS[[#This Row],[Age Band Code]]&amp;"; "&amp;S5511&amp;AS[[#This Row],[Sex Code]]</f>
        <v xml:space="preserve">Insurer Code ; Reporting Year ; Insurance Category Code ; Large Provider Entity Code ; Age Band Code ; Sex Code </v>
      </c>
      <c r="N5511" s="345" t="s">
        <v>207</v>
      </c>
      <c r="O5511" s="345" t="s">
        <v>208</v>
      </c>
      <c r="P5511" s="345" t="s">
        <v>209</v>
      </c>
      <c r="Q5511" s="345" t="s">
        <v>210</v>
      </c>
      <c r="R5511" s="345" t="s">
        <v>223</v>
      </c>
      <c r="S5511" s="345" t="s">
        <v>224</v>
      </c>
    </row>
    <row r="5512" spans="1:19" x14ac:dyDescent="0.25">
      <c r="A5512" s="311"/>
      <c r="B5512" s="312"/>
      <c r="C5512" s="312"/>
      <c r="D5512" s="312"/>
      <c r="E5512" s="312"/>
      <c r="F5512" s="312"/>
      <c r="G5512" s="328"/>
      <c r="H5512" s="453"/>
      <c r="I5512" s="334"/>
      <c r="J5512" s="314"/>
      <c r="K5512" s="454"/>
      <c r="M5512" s="349" t="str">
        <f>N5512&amp;AS[[#This Row],[Insurer Code]]&amp;"; "&amp;O5512&amp;AS[[#This Row],[Reporting Year]]&amp;"; "&amp;P5512&amp;AS[[#This Row],[Insurance Category Code]]&amp;"; "&amp;Q5512&amp;AS[[#This Row],[Large Provider Entity Code]]&amp;"; "&amp;R5512&amp;AS[[#This Row],[Age Band Code]]&amp;"; "&amp;S5512&amp;AS[[#This Row],[Sex Code]]</f>
        <v xml:space="preserve">Insurer Code ; Reporting Year ; Insurance Category Code ; Large Provider Entity Code ; Age Band Code ; Sex Code </v>
      </c>
      <c r="N5512" s="345" t="s">
        <v>207</v>
      </c>
      <c r="O5512" s="345" t="s">
        <v>208</v>
      </c>
      <c r="P5512" s="345" t="s">
        <v>209</v>
      </c>
      <c r="Q5512" s="345" t="s">
        <v>210</v>
      </c>
      <c r="R5512" s="345" t="s">
        <v>223</v>
      </c>
      <c r="S5512" s="345" t="s">
        <v>224</v>
      </c>
    </row>
    <row r="5513" spans="1:19" x14ac:dyDescent="0.25">
      <c r="A5513" s="311"/>
      <c r="B5513" s="312"/>
      <c r="C5513" s="312"/>
      <c r="D5513" s="312"/>
      <c r="E5513" s="312"/>
      <c r="F5513" s="312"/>
      <c r="G5513" s="328"/>
      <c r="H5513" s="453"/>
      <c r="I5513" s="334"/>
      <c r="J5513" s="314"/>
      <c r="K5513" s="454"/>
      <c r="M5513" s="349" t="str">
        <f>N5513&amp;AS[[#This Row],[Insurer Code]]&amp;"; "&amp;O5513&amp;AS[[#This Row],[Reporting Year]]&amp;"; "&amp;P5513&amp;AS[[#This Row],[Insurance Category Code]]&amp;"; "&amp;Q5513&amp;AS[[#This Row],[Large Provider Entity Code]]&amp;"; "&amp;R5513&amp;AS[[#This Row],[Age Band Code]]&amp;"; "&amp;S5513&amp;AS[[#This Row],[Sex Code]]</f>
        <v xml:space="preserve">Insurer Code ; Reporting Year ; Insurance Category Code ; Large Provider Entity Code ; Age Band Code ; Sex Code </v>
      </c>
      <c r="N5513" s="345" t="s">
        <v>207</v>
      </c>
      <c r="O5513" s="345" t="s">
        <v>208</v>
      </c>
      <c r="P5513" s="345" t="s">
        <v>209</v>
      </c>
      <c r="Q5513" s="345" t="s">
        <v>210</v>
      </c>
      <c r="R5513" s="345" t="s">
        <v>223</v>
      </c>
      <c r="S5513" s="345" t="s">
        <v>224</v>
      </c>
    </row>
    <row r="5514" spans="1:19" x14ac:dyDescent="0.25">
      <c r="A5514" s="311"/>
      <c r="B5514" s="312"/>
      <c r="C5514" s="312"/>
      <c r="D5514" s="312"/>
      <c r="E5514" s="312"/>
      <c r="F5514" s="312"/>
      <c r="G5514" s="328"/>
      <c r="H5514" s="453"/>
      <c r="I5514" s="334"/>
      <c r="J5514" s="314"/>
      <c r="K5514" s="454"/>
      <c r="M5514" s="349" t="str">
        <f>N5514&amp;AS[[#This Row],[Insurer Code]]&amp;"; "&amp;O5514&amp;AS[[#This Row],[Reporting Year]]&amp;"; "&amp;P5514&amp;AS[[#This Row],[Insurance Category Code]]&amp;"; "&amp;Q5514&amp;AS[[#This Row],[Large Provider Entity Code]]&amp;"; "&amp;R5514&amp;AS[[#This Row],[Age Band Code]]&amp;"; "&amp;S5514&amp;AS[[#This Row],[Sex Code]]</f>
        <v xml:space="preserve">Insurer Code ; Reporting Year ; Insurance Category Code ; Large Provider Entity Code ; Age Band Code ; Sex Code </v>
      </c>
      <c r="N5514" s="345" t="s">
        <v>207</v>
      </c>
      <c r="O5514" s="345" t="s">
        <v>208</v>
      </c>
      <c r="P5514" s="345" t="s">
        <v>209</v>
      </c>
      <c r="Q5514" s="345" t="s">
        <v>210</v>
      </c>
      <c r="R5514" s="345" t="s">
        <v>223</v>
      </c>
      <c r="S5514" s="345" t="s">
        <v>224</v>
      </c>
    </row>
    <row r="5515" spans="1:19" x14ac:dyDescent="0.25">
      <c r="A5515" s="311"/>
      <c r="B5515" s="312"/>
      <c r="C5515" s="312"/>
      <c r="D5515" s="312"/>
      <c r="E5515" s="312"/>
      <c r="F5515" s="312"/>
      <c r="G5515" s="328"/>
      <c r="H5515" s="453"/>
      <c r="I5515" s="334"/>
      <c r="J5515" s="314"/>
      <c r="K5515" s="454"/>
      <c r="M5515" s="349" t="str">
        <f>N5515&amp;AS[[#This Row],[Insurer Code]]&amp;"; "&amp;O5515&amp;AS[[#This Row],[Reporting Year]]&amp;"; "&amp;P5515&amp;AS[[#This Row],[Insurance Category Code]]&amp;"; "&amp;Q5515&amp;AS[[#This Row],[Large Provider Entity Code]]&amp;"; "&amp;R5515&amp;AS[[#This Row],[Age Band Code]]&amp;"; "&amp;S5515&amp;AS[[#This Row],[Sex Code]]</f>
        <v xml:space="preserve">Insurer Code ; Reporting Year ; Insurance Category Code ; Large Provider Entity Code ; Age Band Code ; Sex Code </v>
      </c>
      <c r="N5515" s="345" t="s">
        <v>207</v>
      </c>
      <c r="O5515" s="345" t="s">
        <v>208</v>
      </c>
      <c r="P5515" s="345" t="s">
        <v>209</v>
      </c>
      <c r="Q5515" s="345" t="s">
        <v>210</v>
      </c>
      <c r="R5515" s="345" t="s">
        <v>223</v>
      </c>
      <c r="S5515" s="345" t="s">
        <v>224</v>
      </c>
    </row>
    <row r="5516" spans="1:19" x14ac:dyDescent="0.25">
      <c r="A5516" s="311"/>
      <c r="B5516" s="312"/>
      <c r="C5516" s="312"/>
      <c r="D5516" s="312"/>
      <c r="E5516" s="312"/>
      <c r="F5516" s="312"/>
      <c r="G5516" s="328"/>
      <c r="H5516" s="453"/>
      <c r="I5516" s="334"/>
      <c r="J5516" s="314"/>
      <c r="K5516" s="454"/>
      <c r="M5516" s="349" t="str">
        <f>N5516&amp;AS[[#This Row],[Insurer Code]]&amp;"; "&amp;O5516&amp;AS[[#This Row],[Reporting Year]]&amp;"; "&amp;P5516&amp;AS[[#This Row],[Insurance Category Code]]&amp;"; "&amp;Q5516&amp;AS[[#This Row],[Large Provider Entity Code]]&amp;"; "&amp;R5516&amp;AS[[#This Row],[Age Band Code]]&amp;"; "&amp;S5516&amp;AS[[#This Row],[Sex Code]]</f>
        <v xml:space="preserve">Insurer Code ; Reporting Year ; Insurance Category Code ; Large Provider Entity Code ; Age Band Code ; Sex Code </v>
      </c>
      <c r="N5516" s="345" t="s">
        <v>207</v>
      </c>
      <c r="O5516" s="345" t="s">
        <v>208</v>
      </c>
      <c r="P5516" s="345" t="s">
        <v>209</v>
      </c>
      <c r="Q5516" s="345" t="s">
        <v>210</v>
      </c>
      <c r="R5516" s="345" t="s">
        <v>223</v>
      </c>
      <c r="S5516" s="345" t="s">
        <v>224</v>
      </c>
    </row>
    <row r="5517" spans="1:19" x14ac:dyDescent="0.25">
      <c r="A5517" s="311"/>
      <c r="B5517" s="312"/>
      <c r="C5517" s="312"/>
      <c r="D5517" s="312"/>
      <c r="E5517" s="312"/>
      <c r="F5517" s="312"/>
      <c r="G5517" s="328"/>
      <c r="H5517" s="453"/>
      <c r="I5517" s="334"/>
      <c r="J5517" s="314"/>
      <c r="K5517" s="454"/>
      <c r="M5517" s="349" t="str">
        <f>N5517&amp;AS[[#This Row],[Insurer Code]]&amp;"; "&amp;O5517&amp;AS[[#This Row],[Reporting Year]]&amp;"; "&amp;P5517&amp;AS[[#This Row],[Insurance Category Code]]&amp;"; "&amp;Q5517&amp;AS[[#This Row],[Large Provider Entity Code]]&amp;"; "&amp;R5517&amp;AS[[#This Row],[Age Band Code]]&amp;"; "&amp;S5517&amp;AS[[#This Row],[Sex Code]]</f>
        <v xml:space="preserve">Insurer Code ; Reporting Year ; Insurance Category Code ; Large Provider Entity Code ; Age Band Code ; Sex Code </v>
      </c>
      <c r="N5517" s="345" t="s">
        <v>207</v>
      </c>
      <c r="O5517" s="345" t="s">
        <v>208</v>
      </c>
      <c r="P5517" s="345" t="s">
        <v>209</v>
      </c>
      <c r="Q5517" s="345" t="s">
        <v>210</v>
      </c>
      <c r="R5517" s="345" t="s">
        <v>223</v>
      </c>
      <c r="S5517" s="345" t="s">
        <v>224</v>
      </c>
    </row>
    <row r="5518" spans="1:19" x14ac:dyDescent="0.25">
      <c r="A5518" s="311"/>
      <c r="B5518" s="312"/>
      <c r="C5518" s="312"/>
      <c r="D5518" s="312"/>
      <c r="E5518" s="312"/>
      <c r="F5518" s="312"/>
      <c r="G5518" s="328"/>
      <c r="H5518" s="453"/>
      <c r="I5518" s="334"/>
      <c r="J5518" s="314"/>
      <c r="K5518" s="454"/>
      <c r="M5518" s="349" t="str">
        <f>N5518&amp;AS[[#This Row],[Insurer Code]]&amp;"; "&amp;O5518&amp;AS[[#This Row],[Reporting Year]]&amp;"; "&amp;P5518&amp;AS[[#This Row],[Insurance Category Code]]&amp;"; "&amp;Q5518&amp;AS[[#This Row],[Large Provider Entity Code]]&amp;"; "&amp;R5518&amp;AS[[#This Row],[Age Band Code]]&amp;"; "&amp;S5518&amp;AS[[#This Row],[Sex Code]]</f>
        <v xml:space="preserve">Insurer Code ; Reporting Year ; Insurance Category Code ; Large Provider Entity Code ; Age Band Code ; Sex Code </v>
      </c>
      <c r="N5518" s="345" t="s">
        <v>207</v>
      </c>
      <c r="O5518" s="345" t="s">
        <v>208</v>
      </c>
      <c r="P5518" s="345" t="s">
        <v>209</v>
      </c>
      <c r="Q5518" s="345" t="s">
        <v>210</v>
      </c>
      <c r="R5518" s="345" t="s">
        <v>223</v>
      </c>
      <c r="S5518" s="345" t="s">
        <v>224</v>
      </c>
    </row>
    <row r="5519" spans="1:19" x14ac:dyDescent="0.25">
      <c r="A5519" s="311"/>
      <c r="B5519" s="312"/>
      <c r="C5519" s="312"/>
      <c r="D5519" s="312"/>
      <c r="E5519" s="312"/>
      <c r="F5519" s="312"/>
      <c r="G5519" s="328"/>
      <c r="H5519" s="453"/>
      <c r="I5519" s="334"/>
      <c r="J5519" s="314"/>
      <c r="K5519" s="454"/>
      <c r="M5519" s="349" t="str">
        <f>N5519&amp;AS[[#This Row],[Insurer Code]]&amp;"; "&amp;O5519&amp;AS[[#This Row],[Reporting Year]]&amp;"; "&amp;P5519&amp;AS[[#This Row],[Insurance Category Code]]&amp;"; "&amp;Q5519&amp;AS[[#This Row],[Large Provider Entity Code]]&amp;"; "&amp;R5519&amp;AS[[#This Row],[Age Band Code]]&amp;"; "&amp;S5519&amp;AS[[#This Row],[Sex Code]]</f>
        <v xml:space="preserve">Insurer Code ; Reporting Year ; Insurance Category Code ; Large Provider Entity Code ; Age Band Code ; Sex Code </v>
      </c>
      <c r="N5519" s="345" t="s">
        <v>207</v>
      </c>
      <c r="O5519" s="345" t="s">
        <v>208</v>
      </c>
      <c r="P5519" s="345" t="s">
        <v>209</v>
      </c>
      <c r="Q5519" s="345" t="s">
        <v>210</v>
      </c>
      <c r="R5519" s="345" t="s">
        <v>223</v>
      </c>
      <c r="S5519" s="345" t="s">
        <v>224</v>
      </c>
    </row>
    <row r="5520" spans="1:19" x14ac:dyDescent="0.25">
      <c r="A5520" s="311"/>
      <c r="B5520" s="312"/>
      <c r="C5520" s="312"/>
      <c r="D5520" s="312"/>
      <c r="E5520" s="312"/>
      <c r="F5520" s="312"/>
      <c r="G5520" s="328"/>
      <c r="H5520" s="453"/>
      <c r="I5520" s="334"/>
      <c r="J5520" s="314"/>
      <c r="K5520" s="454"/>
      <c r="M5520" s="349" t="str">
        <f>N5520&amp;AS[[#This Row],[Insurer Code]]&amp;"; "&amp;O5520&amp;AS[[#This Row],[Reporting Year]]&amp;"; "&amp;P5520&amp;AS[[#This Row],[Insurance Category Code]]&amp;"; "&amp;Q5520&amp;AS[[#This Row],[Large Provider Entity Code]]&amp;"; "&amp;R5520&amp;AS[[#This Row],[Age Band Code]]&amp;"; "&amp;S5520&amp;AS[[#This Row],[Sex Code]]</f>
        <v xml:space="preserve">Insurer Code ; Reporting Year ; Insurance Category Code ; Large Provider Entity Code ; Age Band Code ; Sex Code </v>
      </c>
      <c r="N5520" s="345" t="s">
        <v>207</v>
      </c>
      <c r="O5520" s="345" t="s">
        <v>208</v>
      </c>
      <c r="P5520" s="345" t="s">
        <v>209</v>
      </c>
      <c r="Q5520" s="345" t="s">
        <v>210</v>
      </c>
      <c r="R5520" s="345" t="s">
        <v>223</v>
      </c>
      <c r="S5520" s="345" t="s">
        <v>224</v>
      </c>
    </row>
    <row r="5521" spans="1:19" x14ac:dyDescent="0.25">
      <c r="A5521" s="311"/>
      <c r="B5521" s="312"/>
      <c r="C5521" s="312"/>
      <c r="D5521" s="312"/>
      <c r="E5521" s="312"/>
      <c r="F5521" s="312"/>
      <c r="G5521" s="328"/>
      <c r="H5521" s="453"/>
      <c r="I5521" s="334"/>
      <c r="J5521" s="314"/>
      <c r="K5521" s="454"/>
      <c r="M5521" s="349" t="str">
        <f>N5521&amp;AS[[#This Row],[Insurer Code]]&amp;"; "&amp;O5521&amp;AS[[#This Row],[Reporting Year]]&amp;"; "&amp;P5521&amp;AS[[#This Row],[Insurance Category Code]]&amp;"; "&amp;Q5521&amp;AS[[#This Row],[Large Provider Entity Code]]&amp;"; "&amp;R5521&amp;AS[[#This Row],[Age Band Code]]&amp;"; "&amp;S5521&amp;AS[[#This Row],[Sex Code]]</f>
        <v xml:space="preserve">Insurer Code ; Reporting Year ; Insurance Category Code ; Large Provider Entity Code ; Age Band Code ; Sex Code </v>
      </c>
      <c r="N5521" s="345" t="s">
        <v>207</v>
      </c>
      <c r="O5521" s="345" t="s">
        <v>208</v>
      </c>
      <c r="P5521" s="345" t="s">
        <v>209</v>
      </c>
      <c r="Q5521" s="345" t="s">
        <v>210</v>
      </c>
      <c r="R5521" s="345" t="s">
        <v>223</v>
      </c>
      <c r="S5521" s="345" t="s">
        <v>224</v>
      </c>
    </row>
    <row r="5522" spans="1:19" x14ac:dyDescent="0.25">
      <c r="A5522" s="311"/>
      <c r="B5522" s="312"/>
      <c r="C5522" s="312"/>
      <c r="D5522" s="312"/>
      <c r="E5522" s="312"/>
      <c r="F5522" s="312"/>
      <c r="G5522" s="328"/>
      <c r="H5522" s="453"/>
      <c r="I5522" s="334"/>
      <c r="J5522" s="314"/>
      <c r="K5522" s="454"/>
      <c r="M5522" s="349" t="str">
        <f>N5522&amp;AS[[#This Row],[Insurer Code]]&amp;"; "&amp;O5522&amp;AS[[#This Row],[Reporting Year]]&amp;"; "&amp;P5522&amp;AS[[#This Row],[Insurance Category Code]]&amp;"; "&amp;Q5522&amp;AS[[#This Row],[Large Provider Entity Code]]&amp;"; "&amp;R5522&amp;AS[[#This Row],[Age Band Code]]&amp;"; "&amp;S5522&amp;AS[[#This Row],[Sex Code]]</f>
        <v xml:space="preserve">Insurer Code ; Reporting Year ; Insurance Category Code ; Large Provider Entity Code ; Age Band Code ; Sex Code </v>
      </c>
      <c r="N5522" s="345" t="s">
        <v>207</v>
      </c>
      <c r="O5522" s="345" t="s">
        <v>208</v>
      </c>
      <c r="P5522" s="345" t="s">
        <v>209</v>
      </c>
      <c r="Q5522" s="345" t="s">
        <v>210</v>
      </c>
      <c r="R5522" s="345" t="s">
        <v>223</v>
      </c>
      <c r="S5522" s="345" t="s">
        <v>224</v>
      </c>
    </row>
    <row r="5523" spans="1:19" x14ac:dyDescent="0.25">
      <c r="A5523" s="311"/>
      <c r="B5523" s="312"/>
      <c r="C5523" s="312"/>
      <c r="D5523" s="312"/>
      <c r="E5523" s="312"/>
      <c r="F5523" s="312"/>
      <c r="G5523" s="328"/>
      <c r="H5523" s="453"/>
      <c r="I5523" s="334"/>
      <c r="J5523" s="314"/>
      <c r="K5523" s="454"/>
      <c r="M5523" s="349" t="str">
        <f>N5523&amp;AS[[#This Row],[Insurer Code]]&amp;"; "&amp;O5523&amp;AS[[#This Row],[Reporting Year]]&amp;"; "&amp;P5523&amp;AS[[#This Row],[Insurance Category Code]]&amp;"; "&amp;Q5523&amp;AS[[#This Row],[Large Provider Entity Code]]&amp;"; "&amp;R5523&amp;AS[[#This Row],[Age Band Code]]&amp;"; "&amp;S5523&amp;AS[[#This Row],[Sex Code]]</f>
        <v xml:space="preserve">Insurer Code ; Reporting Year ; Insurance Category Code ; Large Provider Entity Code ; Age Band Code ; Sex Code </v>
      </c>
      <c r="N5523" s="345" t="s">
        <v>207</v>
      </c>
      <c r="O5523" s="345" t="s">
        <v>208</v>
      </c>
      <c r="P5523" s="345" t="s">
        <v>209</v>
      </c>
      <c r="Q5523" s="345" t="s">
        <v>210</v>
      </c>
      <c r="R5523" s="345" t="s">
        <v>223</v>
      </c>
      <c r="S5523" s="345" t="s">
        <v>224</v>
      </c>
    </row>
    <row r="5524" spans="1:19" x14ac:dyDescent="0.25">
      <c r="A5524" s="311"/>
      <c r="B5524" s="312"/>
      <c r="C5524" s="312"/>
      <c r="D5524" s="312"/>
      <c r="E5524" s="312"/>
      <c r="F5524" s="312"/>
      <c r="G5524" s="328"/>
      <c r="H5524" s="453"/>
      <c r="I5524" s="334"/>
      <c r="J5524" s="314"/>
      <c r="K5524" s="454"/>
      <c r="M5524" s="349" t="str">
        <f>N5524&amp;AS[[#This Row],[Insurer Code]]&amp;"; "&amp;O5524&amp;AS[[#This Row],[Reporting Year]]&amp;"; "&amp;P5524&amp;AS[[#This Row],[Insurance Category Code]]&amp;"; "&amp;Q5524&amp;AS[[#This Row],[Large Provider Entity Code]]&amp;"; "&amp;R5524&amp;AS[[#This Row],[Age Band Code]]&amp;"; "&amp;S5524&amp;AS[[#This Row],[Sex Code]]</f>
        <v xml:space="preserve">Insurer Code ; Reporting Year ; Insurance Category Code ; Large Provider Entity Code ; Age Band Code ; Sex Code </v>
      </c>
      <c r="N5524" s="345" t="s">
        <v>207</v>
      </c>
      <c r="O5524" s="345" t="s">
        <v>208</v>
      </c>
      <c r="P5524" s="345" t="s">
        <v>209</v>
      </c>
      <c r="Q5524" s="345" t="s">
        <v>210</v>
      </c>
      <c r="R5524" s="345" t="s">
        <v>223</v>
      </c>
      <c r="S5524" s="345" t="s">
        <v>224</v>
      </c>
    </row>
    <row r="5525" spans="1:19" x14ac:dyDescent="0.25">
      <c r="A5525" s="311"/>
      <c r="B5525" s="312"/>
      <c r="C5525" s="312"/>
      <c r="D5525" s="312"/>
      <c r="E5525" s="312"/>
      <c r="F5525" s="312"/>
      <c r="G5525" s="328"/>
      <c r="H5525" s="453"/>
      <c r="I5525" s="334"/>
      <c r="J5525" s="314"/>
      <c r="K5525" s="454"/>
      <c r="M5525" s="349" t="str">
        <f>N5525&amp;AS[[#This Row],[Insurer Code]]&amp;"; "&amp;O5525&amp;AS[[#This Row],[Reporting Year]]&amp;"; "&amp;P5525&amp;AS[[#This Row],[Insurance Category Code]]&amp;"; "&amp;Q5525&amp;AS[[#This Row],[Large Provider Entity Code]]&amp;"; "&amp;R5525&amp;AS[[#This Row],[Age Band Code]]&amp;"; "&amp;S5525&amp;AS[[#This Row],[Sex Code]]</f>
        <v xml:space="preserve">Insurer Code ; Reporting Year ; Insurance Category Code ; Large Provider Entity Code ; Age Band Code ; Sex Code </v>
      </c>
      <c r="N5525" s="345" t="s">
        <v>207</v>
      </c>
      <c r="O5525" s="345" t="s">
        <v>208</v>
      </c>
      <c r="P5525" s="345" t="s">
        <v>209</v>
      </c>
      <c r="Q5525" s="345" t="s">
        <v>210</v>
      </c>
      <c r="R5525" s="345" t="s">
        <v>223</v>
      </c>
      <c r="S5525" s="345" t="s">
        <v>224</v>
      </c>
    </row>
    <row r="5526" spans="1:19" x14ac:dyDescent="0.25">
      <c r="A5526" s="311"/>
      <c r="B5526" s="312"/>
      <c r="C5526" s="312"/>
      <c r="D5526" s="312"/>
      <c r="E5526" s="312"/>
      <c r="F5526" s="312"/>
      <c r="G5526" s="328"/>
      <c r="H5526" s="453"/>
      <c r="I5526" s="334"/>
      <c r="J5526" s="314"/>
      <c r="K5526" s="454"/>
      <c r="M5526" s="349" t="str">
        <f>N5526&amp;AS[[#This Row],[Insurer Code]]&amp;"; "&amp;O5526&amp;AS[[#This Row],[Reporting Year]]&amp;"; "&amp;P5526&amp;AS[[#This Row],[Insurance Category Code]]&amp;"; "&amp;Q5526&amp;AS[[#This Row],[Large Provider Entity Code]]&amp;"; "&amp;R5526&amp;AS[[#This Row],[Age Band Code]]&amp;"; "&amp;S5526&amp;AS[[#This Row],[Sex Code]]</f>
        <v xml:space="preserve">Insurer Code ; Reporting Year ; Insurance Category Code ; Large Provider Entity Code ; Age Band Code ; Sex Code </v>
      </c>
      <c r="N5526" s="345" t="s">
        <v>207</v>
      </c>
      <c r="O5526" s="345" t="s">
        <v>208</v>
      </c>
      <c r="P5526" s="345" t="s">
        <v>209</v>
      </c>
      <c r="Q5526" s="345" t="s">
        <v>210</v>
      </c>
      <c r="R5526" s="345" t="s">
        <v>223</v>
      </c>
      <c r="S5526" s="345" t="s">
        <v>224</v>
      </c>
    </row>
    <row r="5527" spans="1:19" x14ac:dyDescent="0.25">
      <c r="A5527" s="311"/>
      <c r="B5527" s="312"/>
      <c r="C5527" s="312"/>
      <c r="D5527" s="312"/>
      <c r="E5527" s="312"/>
      <c r="F5527" s="312"/>
      <c r="G5527" s="328"/>
      <c r="H5527" s="453"/>
      <c r="I5527" s="334"/>
      <c r="J5527" s="314"/>
      <c r="K5527" s="454"/>
      <c r="M5527" s="349" t="str">
        <f>N5527&amp;AS[[#This Row],[Insurer Code]]&amp;"; "&amp;O5527&amp;AS[[#This Row],[Reporting Year]]&amp;"; "&amp;P5527&amp;AS[[#This Row],[Insurance Category Code]]&amp;"; "&amp;Q5527&amp;AS[[#This Row],[Large Provider Entity Code]]&amp;"; "&amp;R5527&amp;AS[[#This Row],[Age Band Code]]&amp;"; "&amp;S5527&amp;AS[[#This Row],[Sex Code]]</f>
        <v xml:space="preserve">Insurer Code ; Reporting Year ; Insurance Category Code ; Large Provider Entity Code ; Age Band Code ; Sex Code </v>
      </c>
      <c r="N5527" s="345" t="s">
        <v>207</v>
      </c>
      <c r="O5527" s="345" t="s">
        <v>208</v>
      </c>
      <c r="P5527" s="345" t="s">
        <v>209</v>
      </c>
      <c r="Q5527" s="345" t="s">
        <v>210</v>
      </c>
      <c r="R5527" s="345" t="s">
        <v>223</v>
      </c>
      <c r="S5527" s="345" t="s">
        <v>224</v>
      </c>
    </row>
    <row r="5528" spans="1:19" x14ac:dyDescent="0.25">
      <c r="A5528" s="311"/>
      <c r="B5528" s="312"/>
      <c r="C5528" s="312"/>
      <c r="D5528" s="312"/>
      <c r="E5528" s="312"/>
      <c r="F5528" s="312"/>
      <c r="G5528" s="328"/>
      <c r="H5528" s="453"/>
      <c r="I5528" s="334"/>
      <c r="J5528" s="314"/>
      <c r="K5528" s="454"/>
      <c r="M5528" s="349" t="str">
        <f>N5528&amp;AS[[#This Row],[Insurer Code]]&amp;"; "&amp;O5528&amp;AS[[#This Row],[Reporting Year]]&amp;"; "&amp;P5528&amp;AS[[#This Row],[Insurance Category Code]]&amp;"; "&amp;Q5528&amp;AS[[#This Row],[Large Provider Entity Code]]&amp;"; "&amp;R5528&amp;AS[[#This Row],[Age Band Code]]&amp;"; "&amp;S5528&amp;AS[[#This Row],[Sex Code]]</f>
        <v xml:space="preserve">Insurer Code ; Reporting Year ; Insurance Category Code ; Large Provider Entity Code ; Age Band Code ; Sex Code </v>
      </c>
      <c r="N5528" s="345" t="s">
        <v>207</v>
      </c>
      <c r="O5528" s="345" t="s">
        <v>208</v>
      </c>
      <c r="P5528" s="345" t="s">
        <v>209</v>
      </c>
      <c r="Q5528" s="345" t="s">
        <v>210</v>
      </c>
      <c r="R5528" s="345" t="s">
        <v>223</v>
      </c>
      <c r="S5528" s="345" t="s">
        <v>224</v>
      </c>
    </row>
    <row r="5529" spans="1:19" x14ac:dyDescent="0.25">
      <c r="A5529" s="311"/>
      <c r="B5529" s="312"/>
      <c r="C5529" s="312"/>
      <c r="D5529" s="312"/>
      <c r="E5529" s="312"/>
      <c r="F5529" s="312"/>
      <c r="G5529" s="328"/>
      <c r="H5529" s="453"/>
      <c r="I5529" s="334"/>
      <c r="J5529" s="314"/>
      <c r="K5529" s="454"/>
      <c r="M5529" s="349" t="str">
        <f>N5529&amp;AS[[#This Row],[Insurer Code]]&amp;"; "&amp;O5529&amp;AS[[#This Row],[Reporting Year]]&amp;"; "&amp;P5529&amp;AS[[#This Row],[Insurance Category Code]]&amp;"; "&amp;Q5529&amp;AS[[#This Row],[Large Provider Entity Code]]&amp;"; "&amp;R5529&amp;AS[[#This Row],[Age Band Code]]&amp;"; "&amp;S5529&amp;AS[[#This Row],[Sex Code]]</f>
        <v xml:space="preserve">Insurer Code ; Reporting Year ; Insurance Category Code ; Large Provider Entity Code ; Age Band Code ; Sex Code </v>
      </c>
      <c r="N5529" s="345" t="s">
        <v>207</v>
      </c>
      <c r="O5529" s="345" t="s">
        <v>208</v>
      </c>
      <c r="P5529" s="345" t="s">
        <v>209</v>
      </c>
      <c r="Q5529" s="345" t="s">
        <v>210</v>
      </c>
      <c r="R5529" s="345" t="s">
        <v>223</v>
      </c>
      <c r="S5529" s="345" t="s">
        <v>224</v>
      </c>
    </row>
    <row r="5530" spans="1:19" x14ac:dyDescent="0.25">
      <c r="A5530" s="311"/>
      <c r="B5530" s="312"/>
      <c r="C5530" s="312"/>
      <c r="D5530" s="312"/>
      <c r="E5530" s="312"/>
      <c r="F5530" s="312"/>
      <c r="G5530" s="328"/>
      <c r="H5530" s="453"/>
      <c r="I5530" s="334"/>
      <c r="J5530" s="314"/>
      <c r="K5530" s="454"/>
      <c r="M5530" s="349" t="str">
        <f>N5530&amp;AS[[#This Row],[Insurer Code]]&amp;"; "&amp;O5530&amp;AS[[#This Row],[Reporting Year]]&amp;"; "&amp;P5530&amp;AS[[#This Row],[Insurance Category Code]]&amp;"; "&amp;Q5530&amp;AS[[#This Row],[Large Provider Entity Code]]&amp;"; "&amp;R5530&amp;AS[[#This Row],[Age Band Code]]&amp;"; "&amp;S5530&amp;AS[[#This Row],[Sex Code]]</f>
        <v xml:space="preserve">Insurer Code ; Reporting Year ; Insurance Category Code ; Large Provider Entity Code ; Age Band Code ; Sex Code </v>
      </c>
      <c r="N5530" s="345" t="s">
        <v>207</v>
      </c>
      <c r="O5530" s="345" t="s">
        <v>208</v>
      </c>
      <c r="P5530" s="345" t="s">
        <v>209</v>
      </c>
      <c r="Q5530" s="345" t="s">
        <v>210</v>
      </c>
      <c r="R5530" s="345" t="s">
        <v>223</v>
      </c>
      <c r="S5530" s="345" t="s">
        <v>224</v>
      </c>
    </row>
    <row r="5531" spans="1:19" x14ac:dyDescent="0.25">
      <c r="A5531" s="311"/>
      <c r="B5531" s="312"/>
      <c r="C5531" s="312"/>
      <c r="D5531" s="312"/>
      <c r="E5531" s="312"/>
      <c r="F5531" s="312"/>
      <c r="G5531" s="328"/>
      <c r="H5531" s="453"/>
      <c r="I5531" s="334"/>
      <c r="J5531" s="314"/>
      <c r="K5531" s="454"/>
      <c r="M5531" s="349" t="str">
        <f>N5531&amp;AS[[#This Row],[Insurer Code]]&amp;"; "&amp;O5531&amp;AS[[#This Row],[Reporting Year]]&amp;"; "&amp;P5531&amp;AS[[#This Row],[Insurance Category Code]]&amp;"; "&amp;Q5531&amp;AS[[#This Row],[Large Provider Entity Code]]&amp;"; "&amp;R5531&amp;AS[[#This Row],[Age Band Code]]&amp;"; "&amp;S5531&amp;AS[[#This Row],[Sex Code]]</f>
        <v xml:space="preserve">Insurer Code ; Reporting Year ; Insurance Category Code ; Large Provider Entity Code ; Age Band Code ; Sex Code </v>
      </c>
      <c r="N5531" s="345" t="s">
        <v>207</v>
      </c>
      <c r="O5531" s="345" t="s">
        <v>208</v>
      </c>
      <c r="P5531" s="345" t="s">
        <v>209</v>
      </c>
      <c r="Q5531" s="345" t="s">
        <v>210</v>
      </c>
      <c r="R5531" s="345" t="s">
        <v>223</v>
      </c>
      <c r="S5531" s="345" t="s">
        <v>224</v>
      </c>
    </row>
    <row r="5532" spans="1:19" x14ac:dyDescent="0.25">
      <c r="A5532" s="311"/>
      <c r="B5532" s="312"/>
      <c r="C5532" s="312"/>
      <c r="D5532" s="312"/>
      <c r="E5532" s="312"/>
      <c r="F5532" s="312"/>
      <c r="G5532" s="328"/>
      <c r="H5532" s="453"/>
      <c r="I5532" s="334"/>
      <c r="J5532" s="314"/>
      <c r="K5532" s="454"/>
      <c r="M5532" s="349" t="str">
        <f>N5532&amp;AS[[#This Row],[Insurer Code]]&amp;"; "&amp;O5532&amp;AS[[#This Row],[Reporting Year]]&amp;"; "&amp;P5532&amp;AS[[#This Row],[Insurance Category Code]]&amp;"; "&amp;Q5532&amp;AS[[#This Row],[Large Provider Entity Code]]&amp;"; "&amp;R5532&amp;AS[[#This Row],[Age Band Code]]&amp;"; "&amp;S5532&amp;AS[[#This Row],[Sex Code]]</f>
        <v xml:space="preserve">Insurer Code ; Reporting Year ; Insurance Category Code ; Large Provider Entity Code ; Age Band Code ; Sex Code </v>
      </c>
      <c r="N5532" s="345" t="s">
        <v>207</v>
      </c>
      <c r="O5532" s="345" t="s">
        <v>208</v>
      </c>
      <c r="P5532" s="345" t="s">
        <v>209</v>
      </c>
      <c r="Q5532" s="345" t="s">
        <v>210</v>
      </c>
      <c r="R5532" s="345" t="s">
        <v>223</v>
      </c>
      <c r="S5532" s="345" t="s">
        <v>224</v>
      </c>
    </row>
    <row r="5533" spans="1:19" x14ac:dyDescent="0.25">
      <c r="A5533" s="311"/>
      <c r="B5533" s="312"/>
      <c r="C5533" s="312"/>
      <c r="D5533" s="312"/>
      <c r="E5533" s="312"/>
      <c r="F5533" s="312"/>
      <c r="G5533" s="328"/>
      <c r="H5533" s="453"/>
      <c r="I5533" s="334"/>
      <c r="J5533" s="314"/>
      <c r="K5533" s="454"/>
      <c r="M5533" s="349" t="str">
        <f>N5533&amp;AS[[#This Row],[Insurer Code]]&amp;"; "&amp;O5533&amp;AS[[#This Row],[Reporting Year]]&amp;"; "&amp;P5533&amp;AS[[#This Row],[Insurance Category Code]]&amp;"; "&amp;Q5533&amp;AS[[#This Row],[Large Provider Entity Code]]&amp;"; "&amp;R5533&amp;AS[[#This Row],[Age Band Code]]&amp;"; "&amp;S5533&amp;AS[[#This Row],[Sex Code]]</f>
        <v xml:space="preserve">Insurer Code ; Reporting Year ; Insurance Category Code ; Large Provider Entity Code ; Age Band Code ; Sex Code </v>
      </c>
      <c r="N5533" s="345" t="s">
        <v>207</v>
      </c>
      <c r="O5533" s="345" t="s">
        <v>208</v>
      </c>
      <c r="P5533" s="345" t="s">
        <v>209</v>
      </c>
      <c r="Q5533" s="345" t="s">
        <v>210</v>
      </c>
      <c r="R5533" s="345" t="s">
        <v>223</v>
      </c>
      <c r="S5533" s="345" t="s">
        <v>224</v>
      </c>
    </row>
    <row r="5534" spans="1:19" x14ac:dyDescent="0.25">
      <c r="A5534" s="311"/>
      <c r="B5534" s="312"/>
      <c r="C5534" s="312"/>
      <c r="D5534" s="312"/>
      <c r="E5534" s="312"/>
      <c r="F5534" s="312"/>
      <c r="G5534" s="328"/>
      <c r="H5534" s="453"/>
      <c r="I5534" s="334"/>
      <c r="J5534" s="314"/>
      <c r="K5534" s="454"/>
      <c r="M5534" s="349" t="str">
        <f>N5534&amp;AS[[#This Row],[Insurer Code]]&amp;"; "&amp;O5534&amp;AS[[#This Row],[Reporting Year]]&amp;"; "&amp;P5534&amp;AS[[#This Row],[Insurance Category Code]]&amp;"; "&amp;Q5534&amp;AS[[#This Row],[Large Provider Entity Code]]&amp;"; "&amp;R5534&amp;AS[[#This Row],[Age Band Code]]&amp;"; "&amp;S5534&amp;AS[[#This Row],[Sex Code]]</f>
        <v xml:space="preserve">Insurer Code ; Reporting Year ; Insurance Category Code ; Large Provider Entity Code ; Age Band Code ; Sex Code </v>
      </c>
      <c r="N5534" s="345" t="s">
        <v>207</v>
      </c>
      <c r="O5534" s="345" t="s">
        <v>208</v>
      </c>
      <c r="P5534" s="345" t="s">
        <v>209</v>
      </c>
      <c r="Q5534" s="345" t="s">
        <v>210</v>
      </c>
      <c r="R5534" s="345" t="s">
        <v>223</v>
      </c>
      <c r="S5534" s="345" t="s">
        <v>224</v>
      </c>
    </row>
    <row r="5535" spans="1:19" x14ac:dyDescent="0.25">
      <c r="A5535" s="311"/>
      <c r="B5535" s="312"/>
      <c r="C5535" s="312"/>
      <c r="D5535" s="312"/>
      <c r="E5535" s="312"/>
      <c r="F5535" s="312"/>
      <c r="G5535" s="328"/>
      <c r="H5535" s="453"/>
      <c r="I5535" s="334"/>
      <c r="J5535" s="314"/>
      <c r="K5535" s="454"/>
      <c r="M5535" s="349" t="str">
        <f>N5535&amp;AS[[#This Row],[Insurer Code]]&amp;"; "&amp;O5535&amp;AS[[#This Row],[Reporting Year]]&amp;"; "&amp;P5535&amp;AS[[#This Row],[Insurance Category Code]]&amp;"; "&amp;Q5535&amp;AS[[#This Row],[Large Provider Entity Code]]&amp;"; "&amp;R5535&amp;AS[[#This Row],[Age Band Code]]&amp;"; "&amp;S5535&amp;AS[[#This Row],[Sex Code]]</f>
        <v xml:space="preserve">Insurer Code ; Reporting Year ; Insurance Category Code ; Large Provider Entity Code ; Age Band Code ; Sex Code </v>
      </c>
      <c r="N5535" s="345" t="s">
        <v>207</v>
      </c>
      <c r="O5535" s="345" t="s">
        <v>208</v>
      </c>
      <c r="P5535" s="345" t="s">
        <v>209</v>
      </c>
      <c r="Q5535" s="345" t="s">
        <v>210</v>
      </c>
      <c r="R5535" s="345" t="s">
        <v>223</v>
      </c>
      <c r="S5535" s="345" t="s">
        <v>224</v>
      </c>
    </row>
    <row r="5536" spans="1:19" x14ac:dyDescent="0.25">
      <c r="A5536" s="311"/>
      <c r="B5536" s="312"/>
      <c r="C5536" s="312"/>
      <c r="D5536" s="312"/>
      <c r="E5536" s="312"/>
      <c r="F5536" s="312"/>
      <c r="G5536" s="328"/>
      <c r="H5536" s="453"/>
      <c r="I5536" s="334"/>
      <c r="J5536" s="314"/>
      <c r="K5536" s="454"/>
      <c r="M5536" s="349" t="str">
        <f>N5536&amp;AS[[#This Row],[Insurer Code]]&amp;"; "&amp;O5536&amp;AS[[#This Row],[Reporting Year]]&amp;"; "&amp;P5536&amp;AS[[#This Row],[Insurance Category Code]]&amp;"; "&amp;Q5536&amp;AS[[#This Row],[Large Provider Entity Code]]&amp;"; "&amp;R5536&amp;AS[[#This Row],[Age Band Code]]&amp;"; "&amp;S5536&amp;AS[[#This Row],[Sex Code]]</f>
        <v xml:space="preserve">Insurer Code ; Reporting Year ; Insurance Category Code ; Large Provider Entity Code ; Age Band Code ; Sex Code </v>
      </c>
      <c r="N5536" s="345" t="s">
        <v>207</v>
      </c>
      <c r="O5536" s="345" t="s">
        <v>208</v>
      </c>
      <c r="P5536" s="345" t="s">
        <v>209</v>
      </c>
      <c r="Q5536" s="345" t="s">
        <v>210</v>
      </c>
      <c r="R5536" s="345" t="s">
        <v>223</v>
      </c>
      <c r="S5536" s="345" t="s">
        <v>224</v>
      </c>
    </row>
    <row r="5537" spans="1:19" x14ac:dyDescent="0.25">
      <c r="A5537" s="311"/>
      <c r="B5537" s="312"/>
      <c r="C5537" s="312"/>
      <c r="D5537" s="312"/>
      <c r="E5537" s="312"/>
      <c r="F5537" s="312"/>
      <c r="G5537" s="328"/>
      <c r="H5537" s="453"/>
      <c r="I5537" s="334"/>
      <c r="J5537" s="314"/>
      <c r="K5537" s="454"/>
      <c r="M5537" s="349" t="str">
        <f>N5537&amp;AS[[#This Row],[Insurer Code]]&amp;"; "&amp;O5537&amp;AS[[#This Row],[Reporting Year]]&amp;"; "&amp;P5537&amp;AS[[#This Row],[Insurance Category Code]]&amp;"; "&amp;Q5537&amp;AS[[#This Row],[Large Provider Entity Code]]&amp;"; "&amp;R5537&amp;AS[[#This Row],[Age Band Code]]&amp;"; "&amp;S5537&amp;AS[[#This Row],[Sex Code]]</f>
        <v xml:space="preserve">Insurer Code ; Reporting Year ; Insurance Category Code ; Large Provider Entity Code ; Age Band Code ; Sex Code </v>
      </c>
      <c r="N5537" s="345" t="s">
        <v>207</v>
      </c>
      <c r="O5537" s="345" t="s">
        <v>208</v>
      </c>
      <c r="P5537" s="345" t="s">
        <v>209</v>
      </c>
      <c r="Q5537" s="345" t="s">
        <v>210</v>
      </c>
      <c r="R5537" s="345" t="s">
        <v>223</v>
      </c>
      <c r="S5537" s="345" t="s">
        <v>224</v>
      </c>
    </row>
    <row r="5538" spans="1:19" x14ac:dyDescent="0.25">
      <c r="A5538" s="311"/>
      <c r="B5538" s="312"/>
      <c r="C5538" s="312"/>
      <c r="D5538" s="312"/>
      <c r="E5538" s="312"/>
      <c r="F5538" s="312"/>
      <c r="G5538" s="328"/>
      <c r="H5538" s="453"/>
      <c r="I5538" s="334"/>
      <c r="J5538" s="314"/>
      <c r="K5538" s="454"/>
      <c r="M5538" s="349" t="str">
        <f>N5538&amp;AS[[#This Row],[Insurer Code]]&amp;"; "&amp;O5538&amp;AS[[#This Row],[Reporting Year]]&amp;"; "&amp;P5538&amp;AS[[#This Row],[Insurance Category Code]]&amp;"; "&amp;Q5538&amp;AS[[#This Row],[Large Provider Entity Code]]&amp;"; "&amp;R5538&amp;AS[[#This Row],[Age Band Code]]&amp;"; "&amp;S5538&amp;AS[[#This Row],[Sex Code]]</f>
        <v xml:space="preserve">Insurer Code ; Reporting Year ; Insurance Category Code ; Large Provider Entity Code ; Age Band Code ; Sex Code </v>
      </c>
      <c r="N5538" s="345" t="s">
        <v>207</v>
      </c>
      <c r="O5538" s="345" t="s">
        <v>208</v>
      </c>
      <c r="P5538" s="345" t="s">
        <v>209</v>
      </c>
      <c r="Q5538" s="345" t="s">
        <v>210</v>
      </c>
      <c r="R5538" s="345" t="s">
        <v>223</v>
      </c>
      <c r="S5538" s="345" t="s">
        <v>224</v>
      </c>
    </row>
    <row r="5539" spans="1:19" x14ac:dyDescent="0.25">
      <c r="A5539" s="311"/>
      <c r="B5539" s="312"/>
      <c r="C5539" s="312"/>
      <c r="D5539" s="312"/>
      <c r="E5539" s="312"/>
      <c r="F5539" s="312"/>
      <c r="G5539" s="328"/>
      <c r="H5539" s="453"/>
      <c r="I5539" s="334"/>
      <c r="J5539" s="314"/>
      <c r="K5539" s="454"/>
      <c r="M5539" s="349" t="str">
        <f>N5539&amp;AS[[#This Row],[Insurer Code]]&amp;"; "&amp;O5539&amp;AS[[#This Row],[Reporting Year]]&amp;"; "&amp;P5539&amp;AS[[#This Row],[Insurance Category Code]]&amp;"; "&amp;Q5539&amp;AS[[#This Row],[Large Provider Entity Code]]&amp;"; "&amp;R5539&amp;AS[[#This Row],[Age Band Code]]&amp;"; "&amp;S5539&amp;AS[[#This Row],[Sex Code]]</f>
        <v xml:space="preserve">Insurer Code ; Reporting Year ; Insurance Category Code ; Large Provider Entity Code ; Age Band Code ; Sex Code </v>
      </c>
      <c r="N5539" s="345" t="s">
        <v>207</v>
      </c>
      <c r="O5539" s="345" t="s">
        <v>208</v>
      </c>
      <c r="P5539" s="345" t="s">
        <v>209</v>
      </c>
      <c r="Q5539" s="345" t="s">
        <v>210</v>
      </c>
      <c r="R5539" s="345" t="s">
        <v>223</v>
      </c>
      <c r="S5539" s="345" t="s">
        <v>224</v>
      </c>
    </row>
    <row r="5540" spans="1:19" x14ac:dyDescent="0.25">
      <c r="A5540" s="311"/>
      <c r="B5540" s="312"/>
      <c r="C5540" s="312"/>
      <c r="D5540" s="312"/>
      <c r="E5540" s="312"/>
      <c r="F5540" s="312"/>
      <c r="G5540" s="328"/>
      <c r="H5540" s="453"/>
      <c r="I5540" s="334"/>
      <c r="J5540" s="314"/>
      <c r="K5540" s="454"/>
      <c r="M5540" s="349" t="str">
        <f>N5540&amp;AS[[#This Row],[Insurer Code]]&amp;"; "&amp;O5540&amp;AS[[#This Row],[Reporting Year]]&amp;"; "&amp;P5540&amp;AS[[#This Row],[Insurance Category Code]]&amp;"; "&amp;Q5540&amp;AS[[#This Row],[Large Provider Entity Code]]&amp;"; "&amp;R5540&amp;AS[[#This Row],[Age Band Code]]&amp;"; "&amp;S5540&amp;AS[[#This Row],[Sex Code]]</f>
        <v xml:space="preserve">Insurer Code ; Reporting Year ; Insurance Category Code ; Large Provider Entity Code ; Age Band Code ; Sex Code </v>
      </c>
      <c r="N5540" s="345" t="s">
        <v>207</v>
      </c>
      <c r="O5540" s="345" t="s">
        <v>208</v>
      </c>
      <c r="P5540" s="345" t="s">
        <v>209</v>
      </c>
      <c r="Q5540" s="345" t="s">
        <v>210</v>
      </c>
      <c r="R5540" s="345" t="s">
        <v>223</v>
      </c>
      <c r="S5540" s="345" t="s">
        <v>224</v>
      </c>
    </row>
    <row r="5541" spans="1:19" x14ac:dyDescent="0.25">
      <c r="A5541" s="311"/>
      <c r="B5541" s="312"/>
      <c r="C5541" s="312"/>
      <c r="D5541" s="312"/>
      <c r="E5541" s="312"/>
      <c r="F5541" s="312"/>
      <c r="G5541" s="328"/>
      <c r="H5541" s="453"/>
      <c r="I5541" s="334"/>
      <c r="J5541" s="314"/>
      <c r="K5541" s="454"/>
      <c r="M5541" s="349" t="str">
        <f>N5541&amp;AS[[#This Row],[Insurer Code]]&amp;"; "&amp;O5541&amp;AS[[#This Row],[Reporting Year]]&amp;"; "&amp;P5541&amp;AS[[#This Row],[Insurance Category Code]]&amp;"; "&amp;Q5541&amp;AS[[#This Row],[Large Provider Entity Code]]&amp;"; "&amp;R5541&amp;AS[[#This Row],[Age Band Code]]&amp;"; "&amp;S5541&amp;AS[[#This Row],[Sex Code]]</f>
        <v xml:space="preserve">Insurer Code ; Reporting Year ; Insurance Category Code ; Large Provider Entity Code ; Age Band Code ; Sex Code </v>
      </c>
      <c r="N5541" s="345" t="s">
        <v>207</v>
      </c>
      <c r="O5541" s="345" t="s">
        <v>208</v>
      </c>
      <c r="P5541" s="345" t="s">
        <v>209</v>
      </c>
      <c r="Q5541" s="345" t="s">
        <v>210</v>
      </c>
      <c r="R5541" s="345" t="s">
        <v>223</v>
      </c>
      <c r="S5541" s="345" t="s">
        <v>224</v>
      </c>
    </row>
    <row r="5542" spans="1:19" x14ac:dyDescent="0.25">
      <c r="A5542" s="311"/>
      <c r="B5542" s="312"/>
      <c r="C5542" s="312"/>
      <c r="D5542" s="312"/>
      <c r="E5542" s="312"/>
      <c r="F5542" s="312"/>
      <c r="G5542" s="328"/>
      <c r="H5542" s="453"/>
      <c r="I5542" s="334"/>
      <c r="J5542" s="314"/>
      <c r="K5542" s="454"/>
      <c r="M5542" s="349" t="str">
        <f>N5542&amp;AS[[#This Row],[Insurer Code]]&amp;"; "&amp;O5542&amp;AS[[#This Row],[Reporting Year]]&amp;"; "&amp;P5542&amp;AS[[#This Row],[Insurance Category Code]]&amp;"; "&amp;Q5542&amp;AS[[#This Row],[Large Provider Entity Code]]&amp;"; "&amp;R5542&amp;AS[[#This Row],[Age Band Code]]&amp;"; "&amp;S5542&amp;AS[[#This Row],[Sex Code]]</f>
        <v xml:space="preserve">Insurer Code ; Reporting Year ; Insurance Category Code ; Large Provider Entity Code ; Age Band Code ; Sex Code </v>
      </c>
      <c r="N5542" s="345" t="s">
        <v>207</v>
      </c>
      <c r="O5542" s="345" t="s">
        <v>208</v>
      </c>
      <c r="P5542" s="345" t="s">
        <v>209</v>
      </c>
      <c r="Q5542" s="345" t="s">
        <v>210</v>
      </c>
      <c r="R5542" s="345" t="s">
        <v>223</v>
      </c>
      <c r="S5542" s="345" t="s">
        <v>224</v>
      </c>
    </row>
    <row r="5543" spans="1:19" x14ac:dyDescent="0.25">
      <c r="A5543" s="311"/>
      <c r="B5543" s="312"/>
      <c r="C5543" s="312"/>
      <c r="D5543" s="312"/>
      <c r="E5543" s="312"/>
      <c r="F5543" s="312"/>
      <c r="G5543" s="328"/>
      <c r="H5543" s="453"/>
      <c r="I5543" s="334"/>
      <c r="J5543" s="314"/>
      <c r="K5543" s="454"/>
      <c r="M5543" s="349" t="str">
        <f>N5543&amp;AS[[#This Row],[Insurer Code]]&amp;"; "&amp;O5543&amp;AS[[#This Row],[Reporting Year]]&amp;"; "&amp;P5543&amp;AS[[#This Row],[Insurance Category Code]]&amp;"; "&amp;Q5543&amp;AS[[#This Row],[Large Provider Entity Code]]&amp;"; "&amp;R5543&amp;AS[[#This Row],[Age Band Code]]&amp;"; "&amp;S5543&amp;AS[[#This Row],[Sex Code]]</f>
        <v xml:space="preserve">Insurer Code ; Reporting Year ; Insurance Category Code ; Large Provider Entity Code ; Age Band Code ; Sex Code </v>
      </c>
      <c r="N5543" s="345" t="s">
        <v>207</v>
      </c>
      <c r="O5543" s="345" t="s">
        <v>208</v>
      </c>
      <c r="P5543" s="345" t="s">
        <v>209</v>
      </c>
      <c r="Q5543" s="345" t="s">
        <v>210</v>
      </c>
      <c r="R5543" s="345" t="s">
        <v>223</v>
      </c>
      <c r="S5543" s="345" t="s">
        <v>224</v>
      </c>
    </row>
    <row r="5544" spans="1:19" x14ac:dyDescent="0.25">
      <c r="A5544" s="311"/>
      <c r="B5544" s="312"/>
      <c r="C5544" s="312"/>
      <c r="D5544" s="312"/>
      <c r="E5544" s="312"/>
      <c r="F5544" s="312"/>
      <c r="G5544" s="328"/>
      <c r="H5544" s="453"/>
      <c r="I5544" s="334"/>
      <c r="J5544" s="314"/>
      <c r="K5544" s="454"/>
      <c r="M5544" s="349" t="str">
        <f>N5544&amp;AS[[#This Row],[Insurer Code]]&amp;"; "&amp;O5544&amp;AS[[#This Row],[Reporting Year]]&amp;"; "&amp;P5544&amp;AS[[#This Row],[Insurance Category Code]]&amp;"; "&amp;Q5544&amp;AS[[#This Row],[Large Provider Entity Code]]&amp;"; "&amp;R5544&amp;AS[[#This Row],[Age Band Code]]&amp;"; "&amp;S5544&amp;AS[[#This Row],[Sex Code]]</f>
        <v xml:space="preserve">Insurer Code ; Reporting Year ; Insurance Category Code ; Large Provider Entity Code ; Age Band Code ; Sex Code </v>
      </c>
      <c r="N5544" s="345" t="s">
        <v>207</v>
      </c>
      <c r="O5544" s="345" t="s">
        <v>208</v>
      </c>
      <c r="P5544" s="345" t="s">
        <v>209</v>
      </c>
      <c r="Q5544" s="345" t="s">
        <v>210</v>
      </c>
      <c r="R5544" s="345" t="s">
        <v>223</v>
      </c>
      <c r="S5544" s="345" t="s">
        <v>224</v>
      </c>
    </row>
    <row r="5545" spans="1:19" x14ac:dyDescent="0.25">
      <c r="A5545" s="311"/>
      <c r="B5545" s="312"/>
      <c r="C5545" s="312"/>
      <c r="D5545" s="312"/>
      <c r="E5545" s="312"/>
      <c r="F5545" s="312"/>
      <c r="G5545" s="328"/>
      <c r="H5545" s="453"/>
      <c r="I5545" s="334"/>
      <c r="J5545" s="314"/>
      <c r="K5545" s="454"/>
      <c r="M5545" s="349" t="str">
        <f>N5545&amp;AS[[#This Row],[Insurer Code]]&amp;"; "&amp;O5545&amp;AS[[#This Row],[Reporting Year]]&amp;"; "&amp;P5545&amp;AS[[#This Row],[Insurance Category Code]]&amp;"; "&amp;Q5545&amp;AS[[#This Row],[Large Provider Entity Code]]&amp;"; "&amp;R5545&amp;AS[[#This Row],[Age Band Code]]&amp;"; "&amp;S5545&amp;AS[[#This Row],[Sex Code]]</f>
        <v xml:space="preserve">Insurer Code ; Reporting Year ; Insurance Category Code ; Large Provider Entity Code ; Age Band Code ; Sex Code </v>
      </c>
      <c r="N5545" s="345" t="s">
        <v>207</v>
      </c>
      <c r="O5545" s="345" t="s">
        <v>208</v>
      </c>
      <c r="P5545" s="345" t="s">
        <v>209</v>
      </c>
      <c r="Q5545" s="345" t="s">
        <v>210</v>
      </c>
      <c r="R5545" s="345" t="s">
        <v>223</v>
      </c>
      <c r="S5545" s="345" t="s">
        <v>224</v>
      </c>
    </row>
    <row r="5546" spans="1:19" x14ac:dyDescent="0.25">
      <c r="A5546" s="311"/>
      <c r="B5546" s="312"/>
      <c r="C5546" s="312"/>
      <c r="D5546" s="312"/>
      <c r="E5546" s="312"/>
      <c r="F5546" s="312"/>
      <c r="G5546" s="328"/>
      <c r="H5546" s="453"/>
      <c r="I5546" s="334"/>
      <c r="J5546" s="314"/>
      <c r="K5546" s="454"/>
      <c r="M5546" s="349" t="str">
        <f>N5546&amp;AS[[#This Row],[Insurer Code]]&amp;"; "&amp;O5546&amp;AS[[#This Row],[Reporting Year]]&amp;"; "&amp;P5546&amp;AS[[#This Row],[Insurance Category Code]]&amp;"; "&amp;Q5546&amp;AS[[#This Row],[Large Provider Entity Code]]&amp;"; "&amp;R5546&amp;AS[[#This Row],[Age Band Code]]&amp;"; "&amp;S5546&amp;AS[[#This Row],[Sex Code]]</f>
        <v xml:space="preserve">Insurer Code ; Reporting Year ; Insurance Category Code ; Large Provider Entity Code ; Age Band Code ; Sex Code </v>
      </c>
      <c r="N5546" s="345" t="s">
        <v>207</v>
      </c>
      <c r="O5546" s="345" t="s">
        <v>208</v>
      </c>
      <c r="P5546" s="345" t="s">
        <v>209</v>
      </c>
      <c r="Q5546" s="345" t="s">
        <v>210</v>
      </c>
      <c r="R5546" s="345" t="s">
        <v>223</v>
      </c>
      <c r="S5546" s="345" t="s">
        <v>224</v>
      </c>
    </row>
    <row r="5547" spans="1:19" x14ac:dyDescent="0.25">
      <c r="A5547" s="311"/>
      <c r="B5547" s="312"/>
      <c r="C5547" s="312"/>
      <c r="D5547" s="312"/>
      <c r="E5547" s="312"/>
      <c r="F5547" s="312"/>
      <c r="G5547" s="328"/>
      <c r="H5547" s="453"/>
      <c r="I5547" s="334"/>
      <c r="J5547" s="314"/>
      <c r="K5547" s="454"/>
      <c r="M5547" s="349" t="str">
        <f>N5547&amp;AS[[#This Row],[Insurer Code]]&amp;"; "&amp;O5547&amp;AS[[#This Row],[Reporting Year]]&amp;"; "&amp;P5547&amp;AS[[#This Row],[Insurance Category Code]]&amp;"; "&amp;Q5547&amp;AS[[#This Row],[Large Provider Entity Code]]&amp;"; "&amp;R5547&amp;AS[[#This Row],[Age Band Code]]&amp;"; "&amp;S5547&amp;AS[[#This Row],[Sex Code]]</f>
        <v xml:space="preserve">Insurer Code ; Reporting Year ; Insurance Category Code ; Large Provider Entity Code ; Age Band Code ; Sex Code </v>
      </c>
      <c r="N5547" s="345" t="s">
        <v>207</v>
      </c>
      <c r="O5547" s="345" t="s">
        <v>208</v>
      </c>
      <c r="P5547" s="345" t="s">
        <v>209</v>
      </c>
      <c r="Q5547" s="345" t="s">
        <v>210</v>
      </c>
      <c r="R5547" s="345" t="s">
        <v>223</v>
      </c>
      <c r="S5547" s="345" t="s">
        <v>224</v>
      </c>
    </row>
    <row r="5548" spans="1:19" x14ac:dyDescent="0.25">
      <c r="A5548" s="311"/>
      <c r="B5548" s="312"/>
      <c r="C5548" s="312"/>
      <c r="D5548" s="312"/>
      <c r="E5548" s="312"/>
      <c r="F5548" s="312"/>
      <c r="G5548" s="328"/>
      <c r="H5548" s="453"/>
      <c r="I5548" s="334"/>
      <c r="J5548" s="314"/>
      <c r="K5548" s="454"/>
      <c r="M5548" s="349" t="str">
        <f>N5548&amp;AS[[#This Row],[Insurer Code]]&amp;"; "&amp;O5548&amp;AS[[#This Row],[Reporting Year]]&amp;"; "&amp;P5548&amp;AS[[#This Row],[Insurance Category Code]]&amp;"; "&amp;Q5548&amp;AS[[#This Row],[Large Provider Entity Code]]&amp;"; "&amp;R5548&amp;AS[[#This Row],[Age Band Code]]&amp;"; "&amp;S5548&amp;AS[[#This Row],[Sex Code]]</f>
        <v xml:space="preserve">Insurer Code ; Reporting Year ; Insurance Category Code ; Large Provider Entity Code ; Age Band Code ; Sex Code </v>
      </c>
      <c r="N5548" s="345" t="s">
        <v>207</v>
      </c>
      <c r="O5548" s="345" t="s">
        <v>208</v>
      </c>
      <c r="P5548" s="345" t="s">
        <v>209</v>
      </c>
      <c r="Q5548" s="345" t="s">
        <v>210</v>
      </c>
      <c r="R5548" s="345" t="s">
        <v>223</v>
      </c>
      <c r="S5548" s="345" t="s">
        <v>224</v>
      </c>
    </row>
    <row r="5549" spans="1:19" x14ac:dyDescent="0.25">
      <c r="A5549" s="311"/>
      <c r="B5549" s="312"/>
      <c r="C5549" s="312"/>
      <c r="D5549" s="312"/>
      <c r="E5549" s="312"/>
      <c r="F5549" s="312"/>
      <c r="G5549" s="328"/>
      <c r="H5549" s="453"/>
      <c r="I5549" s="334"/>
      <c r="J5549" s="314"/>
      <c r="K5549" s="454"/>
      <c r="M5549" s="349" t="str">
        <f>N5549&amp;AS[[#This Row],[Insurer Code]]&amp;"; "&amp;O5549&amp;AS[[#This Row],[Reporting Year]]&amp;"; "&amp;P5549&amp;AS[[#This Row],[Insurance Category Code]]&amp;"; "&amp;Q5549&amp;AS[[#This Row],[Large Provider Entity Code]]&amp;"; "&amp;R5549&amp;AS[[#This Row],[Age Band Code]]&amp;"; "&amp;S5549&amp;AS[[#This Row],[Sex Code]]</f>
        <v xml:space="preserve">Insurer Code ; Reporting Year ; Insurance Category Code ; Large Provider Entity Code ; Age Band Code ; Sex Code </v>
      </c>
      <c r="N5549" s="345" t="s">
        <v>207</v>
      </c>
      <c r="O5549" s="345" t="s">
        <v>208</v>
      </c>
      <c r="P5549" s="345" t="s">
        <v>209</v>
      </c>
      <c r="Q5549" s="345" t="s">
        <v>210</v>
      </c>
      <c r="R5549" s="345" t="s">
        <v>223</v>
      </c>
      <c r="S5549" s="345" t="s">
        <v>224</v>
      </c>
    </row>
    <row r="5550" spans="1:19" x14ac:dyDescent="0.25">
      <c r="A5550" s="311"/>
      <c r="B5550" s="312"/>
      <c r="C5550" s="312"/>
      <c r="D5550" s="312"/>
      <c r="E5550" s="312"/>
      <c r="F5550" s="312"/>
      <c r="G5550" s="328"/>
      <c r="H5550" s="453"/>
      <c r="I5550" s="334"/>
      <c r="J5550" s="314"/>
      <c r="K5550" s="454"/>
      <c r="M5550" s="349" t="str">
        <f>N5550&amp;AS[[#This Row],[Insurer Code]]&amp;"; "&amp;O5550&amp;AS[[#This Row],[Reporting Year]]&amp;"; "&amp;P5550&amp;AS[[#This Row],[Insurance Category Code]]&amp;"; "&amp;Q5550&amp;AS[[#This Row],[Large Provider Entity Code]]&amp;"; "&amp;R5550&amp;AS[[#This Row],[Age Band Code]]&amp;"; "&amp;S5550&amp;AS[[#This Row],[Sex Code]]</f>
        <v xml:space="preserve">Insurer Code ; Reporting Year ; Insurance Category Code ; Large Provider Entity Code ; Age Band Code ; Sex Code </v>
      </c>
      <c r="N5550" s="345" t="s">
        <v>207</v>
      </c>
      <c r="O5550" s="345" t="s">
        <v>208</v>
      </c>
      <c r="P5550" s="345" t="s">
        <v>209</v>
      </c>
      <c r="Q5550" s="345" t="s">
        <v>210</v>
      </c>
      <c r="R5550" s="345" t="s">
        <v>223</v>
      </c>
      <c r="S5550" s="345" t="s">
        <v>224</v>
      </c>
    </row>
    <row r="5551" spans="1:19" x14ac:dyDescent="0.25">
      <c r="A5551" s="311"/>
      <c r="B5551" s="312"/>
      <c r="C5551" s="312"/>
      <c r="D5551" s="312"/>
      <c r="E5551" s="312"/>
      <c r="F5551" s="312"/>
      <c r="G5551" s="328"/>
      <c r="H5551" s="453"/>
      <c r="I5551" s="334"/>
      <c r="J5551" s="314"/>
      <c r="K5551" s="454"/>
      <c r="M5551" s="349" t="str">
        <f>N5551&amp;AS[[#This Row],[Insurer Code]]&amp;"; "&amp;O5551&amp;AS[[#This Row],[Reporting Year]]&amp;"; "&amp;P5551&amp;AS[[#This Row],[Insurance Category Code]]&amp;"; "&amp;Q5551&amp;AS[[#This Row],[Large Provider Entity Code]]&amp;"; "&amp;R5551&amp;AS[[#This Row],[Age Band Code]]&amp;"; "&amp;S5551&amp;AS[[#This Row],[Sex Code]]</f>
        <v xml:space="preserve">Insurer Code ; Reporting Year ; Insurance Category Code ; Large Provider Entity Code ; Age Band Code ; Sex Code </v>
      </c>
      <c r="N5551" s="345" t="s">
        <v>207</v>
      </c>
      <c r="O5551" s="345" t="s">
        <v>208</v>
      </c>
      <c r="P5551" s="345" t="s">
        <v>209</v>
      </c>
      <c r="Q5551" s="345" t="s">
        <v>210</v>
      </c>
      <c r="R5551" s="345" t="s">
        <v>223</v>
      </c>
      <c r="S5551" s="345" t="s">
        <v>224</v>
      </c>
    </row>
    <row r="5552" spans="1:19" x14ac:dyDescent="0.25">
      <c r="A5552" s="311"/>
      <c r="B5552" s="312"/>
      <c r="C5552" s="312"/>
      <c r="D5552" s="312"/>
      <c r="E5552" s="312"/>
      <c r="F5552" s="312"/>
      <c r="G5552" s="328"/>
      <c r="H5552" s="453"/>
      <c r="I5552" s="334"/>
      <c r="J5552" s="314"/>
      <c r="K5552" s="454"/>
      <c r="M5552" s="349" t="str">
        <f>N5552&amp;AS[[#This Row],[Insurer Code]]&amp;"; "&amp;O5552&amp;AS[[#This Row],[Reporting Year]]&amp;"; "&amp;P5552&amp;AS[[#This Row],[Insurance Category Code]]&amp;"; "&amp;Q5552&amp;AS[[#This Row],[Large Provider Entity Code]]&amp;"; "&amp;R5552&amp;AS[[#This Row],[Age Band Code]]&amp;"; "&amp;S5552&amp;AS[[#This Row],[Sex Code]]</f>
        <v xml:space="preserve">Insurer Code ; Reporting Year ; Insurance Category Code ; Large Provider Entity Code ; Age Band Code ; Sex Code </v>
      </c>
      <c r="N5552" s="345" t="s">
        <v>207</v>
      </c>
      <c r="O5552" s="345" t="s">
        <v>208</v>
      </c>
      <c r="P5552" s="345" t="s">
        <v>209</v>
      </c>
      <c r="Q5552" s="345" t="s">
        <v>210</v>
      </c>
      <c r="R5552" s="345" t="s">
        <v>223</v>
      </c>
      <c r="S5552" s="345" t="s">
        <v>224</v>
      </c>
    </row>
    <row r="5553" spans="1:19" x14ac:dyDescent="0.25">
      <c r="A5553" s="311"/>
      <c r="B5553" s="312"/>
      <c r="C5553" s="312"/>
      <c r="D5553" s="312"/>
      <c r="E5553" s="312"/>
      <c r="F5553" s="312"/>
      <c r="G5553" s="328"/>
      <c r="H5553" s="453"/>
      <c r="I5553" s="334"/>
      <c r="J5553" s="314"/>
      <c r="K5553" s="454"/>
      <c r="M5553" s="349" t="str">
        <f>N5553&amp;AS[[#This Row],[Insurer Code]]&amp;"; "&amp;O5553&amp;AS[[#This Row],[Reporting Year]]&amp;"; "&amp;P5553&amp;AS[[#This Row],[Insurance Category Code]]&amp;"; "&amp;Q5553&amp;AS[[#This Row],[Large Provider Entity Code]]&amp;"; "&amp;R5553&amp;AS[[#This Row],[Age Band Code]]&amp;"; "&amp;S5553&amp;AS[[#This Row],[Sex Code]]</f>
        <v xml:space="preserve">Insurer Code ; Reporting Year ; Insurance Category Code ; Large Provider Entity Code ; Age Band Code ; Sex Code </v>
      </c>
      <c r="N5553" s="345" t="s">
        <v>207</v>
      </c>
      <c r="O5553" s="345" t="s">
        <v>208</v>
      </c>
      <c r="P5553" s="345" t="s">
        <v>209</v>
      </c>
      <c r="Q5553" s="345" t="s">
        <v>210</v>
      </c>
      <c r="R5553" s="345" t="s">
        <v>223</v>
      </c>
      <c r="S5553" s="345" t="s">
        <v>224</v>
      </c>
    </row>
    <row r="5554" spans="1:19" x14ac:dyDescent="0.25">
      <c r="A5554" s="311"/>
      <c r="B5554" s="312"/>
      <c r="C5554" s="312"/>
      <c r="D5554" s="312"/>
      <c r="E5554" s="312"/>
      <c r="F5554" s="312"/>
      <c r="G5554" s="328"/>
      <c r="H5554" s="453"/>
      <c r="I5554" s="334"/>
      <c r="J5554" s="314"/>
      <c r="K5554" s="454"/>
      <c r="M5554" s="349" t="str">
        <f>N5554&amp;AS[[#This Row],[Insurer Code]]&amp;"; "&amp;O5554&amp;AS[[#This Row],[Reporting Year]]&amp;"; "&amp;P5554&amp;AS[[#This Row],[Insurance Category Code]]&amp;"; "&amp;Q5554&amp;AS[[#This Row],[Large Provider Entity Code]]&amp;"; "&amp;R5554&amp;AS[[#This Row],[Age Band Code]]&amp;"; "&amp;S5554&amp;AS[[#This Row],[Sex Code]]</f>
        <v xml:space="preserve">Insurer Code ; Reporting Year ; Insurance Category Code ; Large Provider Entity Code ; Age Band Code ; Sex Code </v>
      </c>
      <c r="N5554" s="345" t="s">
        <v>207</v>
      </c>
      <c r="O5554" s="345" t="s">
        <v>208</v>
      </c>
      <c r="P5554" s="345" t="s">
        <v>209</v>
      </c>
      <c r="Q5554" s="345" t="s">
        <v>210</v>
      </c>
      <c r="R5554" s="345" t="s">
        <v>223</v>
      </c>
      <c r="S5554" s="345" t="s">
        <v>224</v>
      </c>
    </row>
    <row r="5555" spans="1:19" x14ac:dyDescent="0.25">
      <c r="A5555" s="311"/>
      <c r="B5555" s="312"/>
      <c r="C5555" s="312"/>
      <c r="D5555" s="312"/>
      <c r="E5555" s="312"/>
      <c r="F5555" s="312"/>
      <c r="G5555" s="328"/>
      <c r="H5555" s="453"/>
      <c r="I5555" s="334"/>
      <c r="J5555" s="314"/>
      <c r="K5555" s="454"/>
      <c r="M5555" s="349" t="str">
        <f>N5555&amp;AS[[#This Row],[Insurer Code]]&amp;"; "&amp;O5555&amp;AS[[#This Row],[Reporting Year]]&amp;"; "&amp;P5555&amp;AS[[#This Row],[Insurance Category Code]]&amp;"; "&amp;Q5555&amp;AS[[#This Row],[Large Provider Entity Code]]&amp;"; "&amp;R5555&amp;AS[[#This Row],[Age Band Code]]&amp;"; "&amp;S5555&amp;AS[[#This Row],[Sex Code]]</f>
        <v xml:space="preserve">Insurer Code ; Reporting Year ; Insurance Category Code ; Large Provider Entity Code ; Age Band Code ; Sex Code </v>
      </c>
      <c r="N5555" s="345" t="s">
        <v>207</v>
      </c>
      <c r="O5555" s="345" t="s">
        <v>208</v>
      </c>
      <c r="P5555" s="345" t="s">
        <v>209</v>
      </c>
      <c r="Q5555" s="345" t="s">
        <v>210</v>
      </c>
      <c r="R5555" s="345" t="s">
        <v>223</v>
      </c>
      <c r="S5555" s="345" t="s">
        <v>224</v>
      </c>
    </row>
    <row r="5556" spans="1:19" x14ac:dyDescent="0.25">
      <c r="A5556" s="311"/>
      <c r="B5556" s="312"/>
      <c r="C5556" s="312"/>
      <c r="D5556" s="312"/>
      <c r="E5556" s="312"/>
      <c r="F5556" s="312"/>
      <c r="G5556" s="328"/>
      <c r="H5556" s="453"/>
      <c r="I5556" s="334"/>
      <c r="J5556" s="314"/>
      <c r="K5556" s="454"/>
      <c r="M5556" s="349" t="str">
        <f>N5556&amp;AS[[#This Row],[Insurer Code]]&amp;"; "&amp;O5556&amp;AS[[#This Row],[Reporting Year]]&amp;"; "&amp;P5556&amp;AS[[#This Row],[Insurance Category Code]]&amp;"; "&amp;Q5556&amp;AS[[#This Row],[Large Provider Entity Code]]&amp;"; "&amp;R5556&amp;AS[[#This Row],[Age Band Code]]&amp;"; "&amp;S5556&amp;AS[[#This Row],[Sex Code]]</f>
        <v xml:space="preserve">Insurer Code ; Reporting Year ; Insurance Category Code ; Large Provider Entity Code ; Age Band Code ; Sex Code </v>
      </c>
      <c r="N5556" s="345" t="s">
        <v>207</v>
      </c>
      <c r="O5556" s="345" t="s">
        <v>208</v>
      </c>
      <c r="P5556" s="345" t="s">
        <v>209</v>
      </c>
      <c r="Q5556" s="345" t="s">
        <v>210</v>
      </c>
      <c r="R5556" s="345" t="s">
        <v>223</v>
      </c>
      <c r="S5556" s="345" t="s">
        <v>224</v>
      </c>
    </row>
    <row r="5557" spans="1:19" x14ac:dyDescent="0.25">
      <c r="A5557" s="311"/>
      <c r="B5557" s="312"/>
      <c r="C5557" s="312"/>
      <c r="D5557" s="312"/>
      <c r="E5557" s="312"/>
      <c r="F5557" s="312"/>
      <c r="G5557" s="328"/>
      <c r="H5557" s="453"/>
      <c r="I5557" s="334"/>
      <c r="J5557" s="314"/>
      <c r="K5557" s="454"/>
      <c r="M5557" s="349" t="str">
        <f>N5557&amp;AS[[#This Row],[Insurer Code]]&amp;"; "&amp;O5557&amp;AS[[#This Row],[Reporting Year]]&amp;"; "&amp;P5557&amp;AS[[#This Row],[Insurance Category Code]]&amp;"; "&amp;Q5557&amp;AS[[#This Row],[Large Provider Entity Code]]&amp;"; "&amp;R5557&amp;AS[[#This Row],[Age Band Code]]&amp;"; "&amp;S5557&amp;AS[[#This Row],[Sex Code]]</f>
        <v xml:space="preserve">Insurer Code ; Reporting Year ; Insurance Category Code ; Large Provider Entity Code ; Age Band Code ; Sex Code </v>
      </c>
      <c r="N5557" s="345" t="s">
        <v>207</v>
      </c>
      <c r="O5557" s="345" t="s">
        <v>208</v>
      </c>
      <c r="P5557" s="345" t="s">
        <v>209</v>
      </c>
      <c r="Q5557" s="345" t="s">
        <v>210</v>
      </c>
      <c r="R5557" s="345" t="s">
        <v>223</v>
      </c>
      <c r="S5557" s="345" t="s">
        <v>224</v>
      </c>
    </row>
    <row r="5558" spans="1:19" x14ac:dyDescent="0.25">
      <c r="A5558" s="311"/>
      <c r="B5558" s="312"/>
      <c r="C5558" s="312"/>
      <c r="D5558" s="312"/>
      <c r="E5558" s="312"/>
      <c r="F5558" s="312"/>
      <c r="G5558" s="328"/>
      <c r="H5558" s="453"/>
      <c r="I5558" s="334"/>
      <c r="J5558" s="314"/>
      <c r="K5558" s="454"/>
      <c r="M5558" s="349" t="str">
        <f>N5558&amp;AS[[#This Row],[Insurer Code]]&amp;"; "&amp;O5558&amp;AS[[#This Row],[Reporting Year]]&amp;"; "&amp;P5558&amp;AS[[#This Row],[Insurance Category Code]]&amp;"; "&amp;Q5558&amp;AS[[#This Row],[Large Provider Entity Code]]&amp;"; "&amp;R5558&amp;AS[[#This Row],[Age Band Code]]&amp;"; "&amp;S5558&amp;AS[[#This Row],[Sex Code]]</f>
        <v xml:space="preserve">Insurer Code ; Reporting Year ; Insurance Category Code ; Large Provider Entity Code ; Age Band Code ; Sex Code </v>
      </c>
      <c r="N5558" s="345" t="s">
        <v>207</v>
      </c>
      <c r="O5558" s="345" t="s">
        <v>208</v>
      </c>
      <c r="P5558" s="345" t="s">
        <v>209</v>
      </c>
      <c r="Q5558" s="345" t="s">
        <v>210</v>
      </c>
      <c r="R5558" s="345" t="s">
        <v>223</v>
      </c>
      <c r="S5558" s="345" t="s">
        <v>224</v>
      </c>
    </row>
    <row r="5559" spans="1:19" x14ac:dyDescent="0.25">
      <c r="A5559" s="311"/>
      <c r="B5559" s="312"/>
      <c r="C5559" s="312"/>
      <c r="D5559" s="312"/>
      <c r="E5559" s="312"/>
      <c r="F5559" s="312"/>
      <c r="G5559" s="328"/>
      <c r="H5559" s="453"/>
      <c r="I5559" s="334"/>
      <c r="J5559" s="314"/>
      <c r="K5559" s="454"/>
      <c r="M5559" s="349" t="str">
        <f>N5559&amp;AS[[#This Row],[Insurer Code]]&amp;"; "&amp;O5559&amp;AS[[#This Row],[Reporting Year]]&amp;"; "&amp;P5559&amp;AS[[#This Row],[Insurance Category Code]]&amp;"; "&amp;Q5559&amp;AS[[#This Row],[Large Provider Entity Code]]&amp;"; "&amp;R5559&amp;AS[[#This Row],[Age Band Code]]&amp;"; "&amp;S5559&amp;AS[[#This Row],[Sex Code]]</f>
        <v xml:space="preserve">Insurer Code ; Reporting Year ; Insurance Category Code ; Large Provider Entity Code ; Age Band Code ; Sex Code </v>
      </c>
      <c r="N5559" s="345" t="s">
        <v>207</v>
      </c>
      <c r="O5559" s="345" t="s">
        <v>208</v>
      </c>
      <c r="P5559" s="345" t="s">
        <v>209</v>
      </c>
      <c r="Q5559" s="345" t="s">
        <v>210</v>
      </c>
      <c r="R5559" s="345" t="s">
        <v>223</v>
      </c>
      <c r="S5559" s="345" t="s">
        <v>224</v>
      </c>
    </row>
    <row r="5560" spans="1:19" x14ac:dyDescent="0.25">
      <c r="A5560" s="311"/>
      <c r="B5560" s="312"/>
      <c r="C5560" s="312"/>
      <c r="D5560" s="312"/>
      <c r="E5560" s="312"/>
      <c r="F5560" s="312"/>
      <c r="G5560" s="328"/>
      <c r="H5560" s="453"/>
      <c r="I5560" s="334"/>
      <c r="J5560" s="314"/>
      <c r="K5560" s="454"/>
      <c r="M5560" s="349" t="str">
        <f>N5560&amp;AS[[#This Row],[Insurer Code]]&amp;"; "&amp;O5560&amp;AS[[#This Row],[Reporting Year]]&amp;"; "&amp;P5560&amp;AS[[#This Row],[Insurance Category Code]]&amp;"; "&amp;Q5560&amp;AS[[#This Row],[Large Provider Entity Code]]&amp;"; "&amp;R5560&amp;AS[[#This Row],[Age Band Code]]&amp;"; "&amp;S5560&amp;AS[[#This Row],[Sex Code]]</f>
        <v xml:space="preserve">Insurer Code ; Reporting Year ; Insurance Category Code ; Large Provider Entity Code ; Age Band Code ; Sex Code </v>
      </c>
      <c r="N5560" s="345" t="s">
        <v>207</v>
      </c>
      <c r="O5560" s="345" t="s">
        <v>208</v>
      </c>
      <c r="P5560" s="345" t="s">
        <v>209</v>
      </c>
      <c r="Q5560" s="345" t="s">
        <v>210</v>
      </c>
      <c r="R5560" s="345" t="s">
        <v>223</v>
      </c>
      <c r="S5560" s="345" t="s">
        <v>224</v>
      </c>
    </row>
    <row r="5561" spans="1:19" x14ac:dyDescent="0.25">
      <c r="A5561" s="311"/>
      <c r="B5561" s="312"/>
      <c r="C5561" s="312"/>
      <c r="D5561" s="312"/>
      <c r="E5561" s="312"/>
      <c r="F5561" s="312"/>
      <c r="G5561" s="328"/>
      <c r="H5561" s="453"/>
      <c r="I5561" s="334"/>
      <c r="J5561" s="314"/>
      <c r="K5561" s="454"/>
      <c r="M5561" s="349" t="str">
        <f>N5561&amp;AS[[#This Row],[Insurer Code]]&amp;"; "&amp;O5561&amp;AS[[#This Row],[Reporting Year]]&amp;"; "&amp;P5561&amp;AS[[#This Row],[Insurance Category Code]]&amp;"; "&amp;Q5561&amp;AS[[#This Row],[Large Provider Entity Code]]&amp;"; "&amp;R5561&amp;AS[[#This Row],[Age Band Code]]&amp;"; "&amp;S5561&amp;AS[[#This Row],[Sex Code]]</f>
        <v xml:space="preserve">Insurer Code ; Reporting Year ; Insurance Category Code ; Large Provider Entity Code ; Age Band Code ; Sex Code </v>
      </c>
      <c r="N5561" s="345" t="s">
        <v>207</v>
      </c>
      <c r="O5561" s="345" t="s">
        <v>208</v>
      </c>
      <c r="P5561" s="345" t="s">
        <v>209</v>
      </c>
      <c r="Q5561" s="345" t="s">
        <v>210</v>
      </c>
      <c r="R5561" s="345" t="s">
        <v>223</v>
      </c>
      <c r="S5561" s="345" t="s">
        <v>224</v>
      </c>
    </row>
    <row r="5562" spans="1:19" x14ac:dyDescent="0.25">
      <c r="A5562" s="311"/>
      <c r="B5562" s="312"/>
      <c r="C5562" s="312"/>
      <c r="D5562" s="312"/>
      <c r="E5562" s="312"/>
      <c r="F5562" s="312"/>
      <c r="G5562" s="328"/>
      <c r="H5562" s="453"/>
      <c r="I5562" s="334"/>
      <c r="J5562" s="314"/>
      <c r="K5562" s="454"/>
      <c r="M5562" s="349" t="str">
        <f>N5562&amp;AS[[#This Row],[Insurer Code]]&amp;"; "&amp;O5562&amp;AS[[#This Row],[Reporting Year]]&amp;"; "&amp;P5562&amp;AS[[#This Row],[Insurance Category Code]]&amp;"; "&amp;Q5562&amp;AS[[#This Row],[Large Provider Entity Code]]&amp;"; "&amp;R5562&amp;AS[[#This Row],[Age Band Code]]&amp;"; "&amp;S5562&amp;AS[[#This Row],[Sex Code]]</f>
        <v xml:space="preserve">Insurer Code ; Reporting Year ; Insurance Category Code ; Large Provider Entity Code ; Age Band Code ; Sex Code </v>
      </c>
      <c r="N5562" s="345" t="s">
        <v>207</v>
      </c>
      <c r="O5562" s="345" t="s">
        <v>208</v>
      </c>
      <c r="P5562" s="345" t="s">
        <v>209</v>
      </c>
      <c r="Q5562" s="345" t="s">
        <v>210</v>
      </c>
      <c r="R5562" s="345" t="s">
        <v>223</v>
      </c>
      <c r="S5562" s="345" t="s">
        <v>224</v>
      </c>
    </row>
    <row r="5563" spans="1:19" x14ac:dyDescent="0.25">
      <c r="A5563" s="311"/>
      <c r="B5563" s="312"/>
      <c r="C5563" s="312"/>
      <c r="D5563" s="312"/>
      <c r="E5563" s="312"/>
      <c r="F5563" s="312"/>
      <c r="G5563" s="328"/>
      <c r="H5563" s="453"/>
      <c r="I5563" s="334"/>
      <c r="J5563" s="314"/>
      <c r="K5563" s="454"/>
      <c r="M5563" s="349" t="str">
        <f>N5563&amp;AS[[#This Row],[Insurer Code]]&amp;"; "&amp;O5563&amp;AS[[#This Row],[Reporting Year]]&amp;"; "&amp;P5563&amp;AS[[#This Row],[Insurance Category Code]]&amp;"; "&amp;Q5563&amp;AS[[#This Row],[Large Provider Entity Code]]&amp;"; "&amp;R5563&amp;AS[[#This Row],[Age Band Code]]&amp;"; "&amp;S5563&amp;AS[[#This Row],[Sex Code]]</f>
        <v xml:space="preserve">Insurer Code ; Reporting Year ; Insurance Category Code ; Large Provider Entity Code ; Age Band Code ; Sex Code </v>
      </c>
      <c r="N5563" s="345" t="s">
        <v>207</v>
      </c>
      <c r="O5563" s="345" t="s">
        <v>208</v>
      </c>
      <c r="P5563" s="345" t="s">
        <v>209</v>
      </c>
      <c r="Q5563" s="345" t="s">
        <v>210</v>
      </c>
      <c r="R5563" s="345" t="s">
        <v>223</v>
      </c>
      <c r="S5563" s="345" t="s">
        <v>224</v>
      </c>
    </row>
    <row r="5564" spans="1:19" x14ac:dyDescent="0.25">
      <c r="A5564" s="311"/>
      <c r="B5564" s="312"/>
      <c r="C5564" s="312"/>
      <c r="D5564" s="312"/>
      <c r="E5564" s="312"/>
      <c r="F5564" s="312"/>
      <c r="G5564" s="328"/>
      <c r="H5564" s="453"/>
      <c r="I5564" s="334"/>
      <c r="J5564" s="314"/>
      <c r="K5564" s="454"/>
      <c r="M5564" s="349" t="str">
        <f>N5564&amp;AS[[#This Row],[Insurer Code]]&amp;"; "&amp;O5564&amp;AS[[#This Row],[Reporting Year]]&amp;"; "&amp;P5564&amp;AS[[#This Row],[Insurance Category Code]]&amp;"; "&amp;Q5564&amp;AS[[#This Row],[Large Provider Entity Code]]&amp;"; "&amp;R5564&amp;AS[[#This Row],[Age Band Code]]&amp;"; "&amp;S5564&amp;AS[[#This Row],[Sex Code]]</f>
        <v xml:space="preserve">Insurer Code ; Reporting Year ; Insurance Category Code ; Large Provider Entity Code ; Age Band Code ; Sex Code </v>
      </c>
      <c r="N5564" s="345" t="s">
        <v>207</v>
      </c>
      <c r="O5564" s="345" t="s">
        <v>208</v>
      </c>
      <c r="P5564" s="345" t="s">
        <v>209</v>
      </c>
      <c r="Q5564" s="345" t="s">
        <v>210</v>
      </c>
      <c r="R5564" s="345" t="s">
        <v>223</v>
      </c>
      <c r="S5564" s="345" t="s">
        <v>224</v>
      </c>
    </row>
    <row r="5565" spans="1:19" x14ac:dyDescent="0.25">
      <c r="A5565" s="311"/>
      <c r="B5565" s="312"/>
      <c r="C5565" s="312"/>
      <c r="D5565" s="312"/>
      <c r="E5565" s="312"/>
      <c r="F5565" s="312"/>
      <c r="G5565" s="328"/>
      <c r="H5565" s="453"/>
      <c r="I5565" s="334"/>
      <c r="J5565" s="314"/>
      <c r="K5565" s="454"/>
      <c r="M5565" s="349" t="str">
        <f>N5565&amp;AS[[#This Row],[Insurer Code]]&amp;"; "&amp;O5565&amp;AS[[#This Row],[Reporting Year]]&amp;"; "&amp;P5565&amp;AS[[#This Row],[Insurance Category Code]]&amp;"; "&amp;Q5565&amp;AS[[#This Row],[Large Provider Entity Code]]&amp;"; "&amp;R5565&amp;AS[[#This Row],[Age Band Code]]&amp;"; "&amp;S5565&amp;AS[[#This Row],[Sex Code]]</f>
        <v xml:space="preserve">Insurer Code ; Reporting Year ; Insurance Category Code ; Large Provider Entity Code ; Age Band Code ; Sex Code </v>
      </c>
      <c r="N5565" s="345" t="s">
        <v>207</v>
      </c>
      <c r="O5565" s="345" t="s">
        <v>208</v>
      </c>
      <c r="P5565" s="345" t="s">
        <v>209</v>
      </c>
      <c r="Q5565" s="345" t="s">
        <v>210</v>
      </c>
      <c r="R5565" s="345" t="s">
        <v>223</v>
      </c>
      <c r="S5565" s="345" t="s">
        <v>224</v>
      </c>
    </row>
    <row r="5566" spans="1:19" x14ac:dyDescent="0.25">
      <c r="A5566" s="311"/>
      <c r="B5566" s="312"/>
      <c r="C5566" s="312"/>
      <c r="D5566" s="312"/>
      <c r="E5566" s="312"/>
      <c r="F5566" s="312"/>
      <c r="G5566" s="328"/>
      <c r="H5566" s="453"/>
      <c r="I5566" s="334"/>
      <c r="J5566" s="314"/>
      <c r="K5566" s="454"/>
      <c r="M5566" s="349" t="str">
        <f>N5566&amp;AS[[#This Row],[Insurer Code]]&amp;"; "&amp;O5566&amp;AS[[#This Row],[Reporting Year]]&amp;"; "&amp;P5566&amp;AS[[#This Row],[Insurance Category Code]]&amp;"; "&amp;Q5566&amp;AS[[#This Row],[Large Provider Entity Code]]&amp;"; "&amp;R5566&amp;AS[[#This Row],[Age Band Code]]&amp;"; "&amp;S5566&amp;AS[[#This Row],[Sex Code]]</f>
        <v xml:space="preserve">Insurer Code ; Reporting Year ; Insurance Category Code ; Large Provider Entity Code ; Age Band Code ; Sex Code </v>
      </c>
      <c r="N5566" s="345" t="s">
        <v>207</v>
      </c>
      <c r="O5566" s="345" t="s">
        <v>208</v>
      </c>
      <c r="P5566" s="345" t="s">
        <v>209</v>
      </c>
      <c r="Q5566" s="345" t="s">
        <v>210</v>
      </c>
      <c r="R5566" s="345" t="s">
        <v>223</v>
      </c>
      <c r="S5566" s="345" t="s">
        <v>224</v>
      </c>
    </row>
    <row r="5567" spans="1:19" x14ac:dyDescent="0.25">
      <c r="A5567" s="311"/>
      <c r="B5567" s="312"/>
      <c r="C5567" s="312"/>
      <c r="D5567" s="312"/>
      <c r="E5567" s="312"/>
      <c r="F5567" s="312"/>
      <c r="G5567" s="328"/>
      <c r="H5567" s="453"/>
      <c r="I5567" s="334"/>
      <c r="J5567" s="314"/>
      <c r="K5567" s="454"/>
      <c r="M5567" s="349" t="str">
        <f>N5567&amp;AS[[#This Row],[Insurer Code]]&amp;"; "&amp;O5567&amp;AS[[#This Row],[Reporting Year]]&amp;"; "&amp;P5567&amp;AS[[#This Row],[Insurance Category Code]]&amp;"; "&amp;Q5567&amp;AS[[#This Row],[Large Provider Entity Code]]&amp;"; "&amp;R5567&amp;AS[[#This Row],[Age Band Code]]&amp;"; "&amp;S5567&amp;AS[[#This Row],[Sex Code]]</f>
        <v xml:space="preserve">Insurer Code ; Reporting Year ; Insurance Category Code ; Large Provider Entity Code ; Age Band Code ; Sex Code </v>
      </c>
      <c r="N5567" s="345" t="s">
        <v>207</v>
      </c>
      <c r="O5567" s="345" t="s">
        <v>208</v>
      </c>
      <c r="P5567" s="345" t="s">
        <v>209</v>
      </c>
      <c r="Q5567" s="345" t="s">
        <v>210</v>
      </c>
      <c r="R5567" s="345" t="s">
        <v>223</v>
      </c>
      <c r="S5567" s="345" t="s">
        <v>224</v>
      </c>
    </row>
    <row r="5568" spans="1:19" x14ac:dyDescent="0.25">
      <c r="A5568" s="311"/>
      <c r="B5568" s="312"/>
      <c r="C5568" s="312"/>
      <c r="D5568" s="312"/>
      <c r="E5568" s="312"/>
      <c r="F5568" s="312"/>
      <c r="G5568" s="328"/>
      <c r="H5568" s="453"/>
      <c r="I5568" s="334"/>
      <c r="J5568" s="314"/>
      <c r="K5568" s="454"/>
      <c r="M5568" s="349" t="str">
        <f>N5568&amp;AS[[#This Row],[Insurer Code]]&amp;"; "&amp;O5568&amp;AS[[#This Row],[Reporting Year]]&amp;"; "&amp;P5568&amp;AS[[#This Row],[Insurance Category Code]]&amp;"; "&amp;Q5568&amp;AS[[#This Row],[Large Provider Entity Code]]&amp;"; "&amp;R5568&amp;AS[[#This Row],[Age Band Code]]&amp;"; "&amp;S5568&amp;AS[[#This Row],[Sex Code]]</f>
        <v xml:space="preserve">Insurer Code ; Reporting Year ; Insurance Category Code ; Large Provider Entity Code ; Age Band Code ; Sex Code </v>
      </c>
      <c r="N5568" s="345" t="s">
        <v>207</v>
      </c>
      <c r="O5568" s="345" t="s">
        <v>208</v>
      </c>
      <c r="P5568" s="345" t="s">
        <v>209</v>
      </c>
      <c r="Q5568" s="345" t="s">
        <v>210</v>
      </c>
      <c r="R5568" s="345" t="s">
        <v>223</v>
      </c>
      <c r="S5568" s="345" t="s">
        <v>224</v>
      </c>
    </row>
    <row r="5569" spans="1:19" x14ac:dyDescent="0.25">
      <c r="A5569" s="311"/>
      <c r="B5569" s="312"/>
      <c r="C5569" s="312"/>
      <c r="D5569" s="312"/>
      <c r="E5569" s="312"/>
      <c r="F5569" s="312"/>
      <c r="G5569" s="328"/>
      <c r="H5569" s="453"/>
      <c r="I5569" s="334"/>
      <c r="J5569" s="314"/>
      <c r="K5569" s="454"/>
      <c r="M5569" s="349" t="str">
        <f>N5569&amp;AS[[#This Row],[Insurer Code]]&amp;"; "&amp;O5569&amp;AS[[#This Row],[Reporting Year]]&amp;"; "&amp;P5569&amp;AS[[#This Row],[Insurance Category Code]]&amp;"; "&amp;Q5569&amp;AS[[#This Row],[Large Provider Entity Code]]&amp;"; "&amp;R5569&amp;AS[[#This Row],[Age Band Code]]&amp;"; "&amp;S5569&amp;AS[[#This Row],[Sex Code]]</f>
        <v xml:space="preserve">Insurer Code ; Reporting Year ; Insurance Category Code ; Large Provider Entity Code ; Age Band Code ; Sex Code </v>
      </c>
      <c r="N5569" s="345" t="s">
        <v>207</v>
      </c>
      <c r="O5569" s="345" t="s">
        <v>208</v>
      </c>
      <c r="P5569" s="345" t="s">
        <v>209</v>
      </c>
      <c r="Q5569" s="345" t="s">
        <v>210</v>
      </c>
      <c r="R5569" s="345" t="s">
        <v>223</v>
      </c>
      <c r="S5569" s="345" t="s">
        <v>224</v>
      </c>
    </row>
    <row r="5570" spans="1:19" x14ac:dyDescent="0.25">
      <c r="A5570" s="311"/>
      <c r="B5570" s="312"/>
      <c r="C5570" s="312"/>
      <c r="D5570" s="312"/>
      <c r="E5570" s="312"/>
      <c r="F5570" s="312"/>
      <c r="G5570" s="328"/>
      <c r="H5570" s="453"/>
      <c r="I5570" s="334"/>
      <c r="J5570" s="314"/>
      <c r="K5570" s="454"/>
      <c r="M5570" s="349" t="str">
        <f>N5570&amp;AS[[#This Row],[Insurer Code]]&amp;"; "&amp;O5570&amp;AS[[#This Row],[Reporting Year]]&amp;"; "&amp;P5570&amp;AS[[#This Row],[Insurance Category Code]]&amp;"; "&amp;Q5570&amp;AS[[#This Row],[Large Provider Entity Code]]&amp;"; "&amp;R5570&amp;AS[[#This Row],[Age Band Code]]&amp;"; "&amp;S5570&amp;AS[[#This Row],[Sex Code]]</f>
        <v xml:space="preserve">Insurer Code ; Reporting Year ; Insurance Category Code ; Large Provider Entity Code ; Age Band Code ; Sex Code </v>
      </c>
      <c r="N5570" s="345" t="s">
        <v>207</v>
      </c>
      <c r="O5570" s="345" t="s">
        <v>208</v>
      </c>
      <c r="P5570" s="345" t="s">
        <v>209</v>
      </c>
      <c r="Q5570" s="345" t="s">
        <v>210</v>
      </c>
      <c r="R5570" s="345" t="s">
        <v>223</v>
      </c>
      <c r="S5570" s="345" t="s">
        <v>224</v>
      </c>
    </row>
    <row r="5571" spans="1:19" x14ac:dyDescent="0.25">
      <c r="A5571" s="311"/>
      <c r="B5571" s="312"/>
      <c r="C5571" s="312"/>
      <c r="D5571" s="312"/>
      <c r="E5571" s="312"/>
      <c r="F5571" s="312"/>
      <c r="G5571" s="328"/>
      <c r="H5571" s="453"/>
      <c r="I5571" s="334"/>
      <c r="J5571" s="314"/>
      <c r="K5571" s="454"/>
      <c r="M5571" s="349" t="str">
        <f>N5571&amp;AS[[#This Row],[Insurer Code]]&amp;"; "&amp;O5571&amp;AS[[#This Row],[Reporting Year]]&amp;"; "&amp;P5571&amp;AS[[#This Row],[Insurance Category Code]]&amp;"; "&amp;Q5571&amp;AS[[#This Row],[Large Provider Entity Code]]&amp;"; "&amp;R5571&amp;AS[[#This Row],[Age Band Code]]&amp;"; "&amp;S5571&amp;AS[[#This Row],[Sex Code]]</f>
        <v xml:space="preserve">Insurer Code ; Reporting Year ; Insurance Category Code ; Large Provider Entity Code ; Age Band Code ; Sex Code </v>
      </c>
      <c r="N5571" s="345" t="s">
        <v>207</v>
      </c>
      <c r="O5571" s="345" t="s">
        <v>208</v>
      </c>
      <c r="P5571" s="345" t="s">
        <v>209</v>
      </c>
      <c r="Q5571" s="345" t="s">
        <v>210</v>
      </c>
      <c r="R5571" s="345" t="s">
        <v>223</v>
      </c>
      <c r="S5571" s="345" t="s">
        <v>224</v>
      </c>
    </row>
    <row r="5572" spans="1:19" x14ac:dyDescent="0.25">
      <c r="A5572" s="311"/>
      <c r="B5572" s="312"/>
      <c r="C5572" s="312"/>
      <c r="D5572" s="312"/>
      <c r="E5572" s="312"/>
      <c r="F5572" s="312"/>
      <c r="G5572" s="328"/>
      <c r="H5572" s="453"/>
      <c r="I5572" s="334"/>
      <c r="J5572" s="314"/>
      <c r="K5572" s="454"/>
      <c r="M5572" s="349" t="str">
        <f>N5572&amp;AS[[#This Row],[Insurer Code]]&amp;"; "&amp;O5572&amp;AS[[#This Row],[Reporting Year]]&amp;"; "&amp;P5572&amp;AS[[#This Row],[Insurance Category Code]]&amp;"; "&amp;Q5572&amp;AS[[#This Row],[Large Provider Entity Code]]&amp;"; "&amp;R5572&amp;AS[[#This Row],[Age Band Code]]&amp;"; "&amp;S5572&amp;AS[[#This Row],[Sex Code]]</f>
        <v xml:space="preserve">Insurer Code ; Reporting Year ; Insurance Category Code ; Large Provider Entity Code ; Age Band Code ; Sex Code </v>
      </c>
      <c r="N5572" s="345" t="s">
        <v>207</v>
      </c>
      <c r="O5572" s="345" t="s">
        <v>208</v>
      </c>
      <c r="P5572" s="345" t="s">
        <v>209</v>
      </c>
      <c r="Q5572" s="345" t="s">
        <v>210</v>
      </c>
      <c r="R5572" s="345" t="s">
        <v>223</v>
      </c>
      <c r="S5572" s="345" t="s">
        <v>224</v>
      </c>
    </row>
    <row r="5573" spans="1:19" x14ac:dyDescent="0.25">
      <c r="A5573" s="311"/>
      <c r="B5573" s="312"/>
      <c r="C5573" s="312"/>
      <c r="D5573" s="312"/>
      <c r="E5573" s="312"/>
      <c r="F5573" s="312"/>
      <c r="G5573" s="328"/>
      <c r="H5573" s="453"/>
      <c r="I5573" s="334"/>
      <c r="J5573" s="314"/>
      <c r="K5573" s="454"/>
      <c r="M5573" s="349" t="str">
        <f>N5573&amp;AS[[#This Row],[Insurer Code]]&amp;"; "&amp;O5573&amp;AS[[#This Row],[Reporting Year]]&amp;"; "&amp;P5573&amp;AS[[#This Row],[Insurance Category Code]]&amp;"; "&amp;Q5573&amp;AS[[#This Row],[Large Provider Entity Code]]&amp;"; "&amp;R5573&amp;AS[[#This Row],[Age Band Code]]&amp;"; "&amp;S5573&amp;AS[[#This Row],[Sex Code]]</f>
        <v xml:space="preserve">Insurer Code ; Reporting Year ; Insurance Category Code ; Large Provider Entity Code ; Age Band Code ; Sex Code </v>
      </c>
      <c r="N5573" s="345" t="s">
        <v>207</v>
      </c>
      <c r="O5573" s="345" t="s">
        <v>208</v>
      </c>
      <c r="P5573" s="345" t="s">
        <v>209</v>
      </c>
      <c r="Q5573" s="345" t="s">
        <v>210</v>
      </c>
      <c r="R5573" s="345" t="s">
        <v>223</v>
      </c>
      <c r="S5573" s="345" t="s">
        <v>224</v>
      </c>
    </row>
    <row r="5574" spans="1:19" x14ac:dyDescent="0.25">
      <c r="A5574" s="311"/>
      <c r="B5574" s="312"/>
      <c r="C5574" s="312"/>
      <c r="D5574" s="312"/>
      <c r="E5574" s="312"/>
      <c r="F5574" s="312"/>
      <c r="G5574" s="328"/>
      <c r="H5574" s="453"/>
      <c r="I5574" s="334"/>
      <c r="J5574" s="314"/>
      <c r="K5574" s="454"/>
      <c r="M5574" s="349" t="str">
        <f>N5574&amp;AS[[#This Row],[Insurer Code]]&amp;"; "&amp;O5574&amp;AS[[#This Row],[Reporting Year]]&amp;"; "&amp;P5574&amp;AS[[#This Row],[Insurance Category Code]]&amp;"; "&amp;Q5574&amp;AS[[#This Row],[Large Provider Entity Code]]&amp;"; "&amp;R5574&amp;AS[[#This Row],[Age Band Code]]&amp;"; "&amp;S5574&amp;AS[[#This Row],[Sex Code]]</f>
        <v xml:space="preserve">Insurer Code ; Reporting Year ; Insurance Category Code ; Large Provider Entity Code ; Age Band Code ; Sex Code </v>
      </c>
      <c r="N5574" s="345" t="s">
        <v>207</v>
      </c>
      <c r="O5574" s="345" t="s">
        <v>208</v>
      </c>
      <c r="P5574" s="345" t="s">
        <v>209</v>
      </c>
      <c r="Q5574" s="345" t="s">
        <v>210</v>
      </c>
      <c r="R5574" s="345" t="s">
        <v>223</v>
      </c>
      <c r="S5574" s="345" t="s">
        <v>224</v>
      </c>
    </row>
    <row r="5575" spans="1:19" x14ac:dyDescent="0.25">
      <c r="A5575" s="311"/>
      <c r="B5575" s="312"/>
      <c r="C5575" s="312"/>
      <c r="D5575" s="312"/>
      <c r="E5575" s="312"/>
      <c r="F5575" s="312"/>
      <c r="G5575" s="328"/>
      <c r="H5575" s="453"/>
      <c r="I5575" s="334"/>
      <c r="J5575" s="314"/>
      <c r="K5575" s="454"/>
      <c r="M5575" s="349" t="str">
        <f>N5575&amp;AS[[#This Row],[Insurer Code]]&amp;"; "&amp;O5575&amp;AS[[#This Row],[Reporting Year]]&amp;"; "&amp;P5575&amp;AS[[#This Row],[Insurance Category Code]]&amp;"; "&amp;Q5575&amp;AS[[#This Row],[Large Provider Entity Code]]&amp;"; "&amp;R5575&amp;AS[[#This Row],[Age Band Code]]&amp;"; "&amp;S5575&amp;AS[[#This Row],[Sex Code]]</f>
        <v xml:space="preserve">Insurer Code ; Reporting Year ; Insurance Category Code ; Large Provider Entity Code ; Age Band Code ; Sex Code </v>
      </c>
      <c r="N5575" s="345" t="s">
        <v>207</v>
      </c>
      <c r="O5575" s="345" t="s">
        <v>208</v>
      </c>
      <c r="P5575" s="345" t="s">
        <v>209</v>
      </c>
      <c r="Q5575" s="345" t="s">
        <v>210</v>
      </c>
      <c r="R5575" s="345" t="s">
        <v>223</v>
      </c>
      <c r="S5575" s="345" t="s">
        <v>224</v>
      </c>
    </row>
    <row r="5576" spans="1:19" x14ac:dyDescent="0.25">
      <c r="A5576" s="311"/>
      <c r="B5576" s="312"/>
      <c r="C5576" s="312"/>
      <c r="D5576" s="312"/>
      <c r="E5576" s="312"/>
      <c r="F5576" s="312"/>
      <c r="G5576" s="328"/>
      <c r="H5576" s="453"/>
      <c r="I5576" s="334"/>
      <c r="J5576" s="314"/>
      <c r="K5576" s="454"/>
      <c r="M5576" s="349" t="str">
        <f>N5576&amp;AS[[#This Row],[Insurer Code]]&amp;"; "&amp;O5576&amp;AS[[#This Row],[Reporting Year]]&amp;"; "&amp;P5576&amp;AS[[#This Row],[Insurance Category Code]]&amp;"; "&amp;Q5576&amp;AS[[#This Row],[Large Provider Entity Code]]&amp;"; "&amp;R5576&amp;AS[[#This Row],[Age Band Code]]&amp;"; "&amp;S5576&amp;AS[[#This Row],[Sex Code]]</f>
        <v xml:space="preserve">Insurer Code ; Reporting Year ; Insurance Category Code ; Large Provider Entity Code ; Age Band Code ; Sex Code </v>
      </c>
      <c r="N5576" s="345" t="s">
        <v>207</v>
      </c>
      <c r="O5576" s="345" t="s">
        <v>208</v>
      </c>
      <c r="P5576" s="345" t="s">
        <v>209</v>
      </c>
      <c r="Q5576" s="345" t="s">
        <v>210</v>
      </c>
      <c r="R5576" s="345" t="s">
        <v>223</v>
      </c>
      <c r="S5576" s="345" t="s">
        <v>224</v>
      </c>
    </row>
    <row r="5577" spans="1:19" x14ac:dyDescent="0.25">
      <c r="A5577" s="311"/>
      <c r="B5577" s="312"/>
      <c r="C5577" s="312"/>
      <c r="D5577" s="312"/>
      <c r="E5577" s="312"/>
      <c r="F5577" s="312"/>
      <c r="G5577" s="328"/>
      <c r="H5577" s="453"/>
      <c r="I5577" s="334"/>
      <c r="J5577" s="314"/>
      <c r="K5577" s="454"/>
      <c r="M5577" s="349" t="str">
        <f>N5577&amp;AS[[#This Row],[Insurer Code]]&amp;"; "&amp;O5577&amp;AS[[#This Row],[Reporting Year]]&amp;"; "&amp;P5577&amp;AS[[#This Row],[Insurance Category Code]]&amp;"; "&amp;Q5577&amp;AS[[#This Row],[Large Provider Entity Code]]&amp;"; "&amp;R5577&amp;AS[[#This Row],[Age Band Code]]&amp;"; "&amp;S5577&amp;AS[[#This Row],[Sex Code]]</f>
        <v xml:space="preserve">Insurer Code ; Reporting Year ; Insurance Category Code ; Large Provider Entity Code ; Age Band Code ; Sex Code </v>
      </c>
      <c r="N5577" s="345" t="s">
        <v>207</v>
      </c>
      <c r="O5577" s="345" t="s">
        <v>208</v>
      </c>
      <c r="P5577" s="345" t="s">
        <v>209</v>
      </c>
      <c r="Q5577" s="345" t="s">
        <v>210</v>
      </c>
      <c r="R5577" s="345" t="s">
        <v>223</v>
      </c>
      <c r="S5577" s="345" t="s">
        <v>224</v>
      </c>
    </row>
    <row r="5578" spans="1:19" x14ac:dyDescent="0.25">
      <c r="A5578" s="311"/>
      <c r="B5578" s="312"/>
      <c r="C5578" s="312"/>
      <c r="D5578" s="312"/>
      <c r="E5578" s="312"/>
      <c r="F5578" s="312"/>
      <c r="G5578" s="328"/>
      <c r="H5578" s="453"/>
      <c r="I5578" s="334"/>
      <c r="J5578" s="314"/>
      <c r="K5578" s="454"/>
      <c r="M5578" s="349" t="str">
        <f>N5578&amp;AS[[#This Row],[Insurer Code]]&amp;"; "&amp;O5578&amp;AS[[#This Row],[Reporting Year]]&amp;"; "&amp;P5578&amp;AS[[#This Row],[Insurance Category Code]]&amp;"; "&amp;Q5578&amp;AS[[#This Row],[Large Provider Entity Code]]&amp;"; "&amp;R5578&amp;AS[[#This Row],[Age Band Code]]&amp;"; "&amp;S5578&amp;AS[[#This Row],[Sex Code]]</f>
        <v xml:space="preserve">Insurer Code ; Reporting Year ; Insurance Category Code ; Large Provider Entity Code ; Age Band Code ; Sex Code </v>
      </c>
      <c r="N5578" s="345" t="s">
        <v>207</v>
      </c>
      <c r="O5578" s="345" t="s">
        <v>208</v>
      </c>
      <c r="P5578" s="345" t="s">
        <v>209</v>
      </c>
      <c r="Q5578" s="345" t="s">
        <v>210</v>
      </c>
      <c r="R5578" s="345" t="s">
        <v>223</v>
      </c>
      <c r="S5578" s="345" t="s">
        <v>224</v>
      </c>
    </row>
    <row r="5579" spans="1:19" x14ac:dyDescent="0.25">
      <c r="A5579" s="311"/>
      <c r="B5579" s="312"/>
      <c r="C5579" s="312"/>
      <c r="D5579" s="312"/>
      <c r="E5579" s="312"/>
      <c r="F5579" s="312"/>
      <c r="G5579" s="328"/>
      <c r="H5579" s="453"/>
      <c r="I5579" s="334"/>
      <c r="J5579" s="314"/>
      <c r="K5579" s="454"/>
      <c r="M5579" s="349" t="str">
        <f>N5579&amp;AS[[#This Row],[Insurer Code]]&amp;"; "&amp;O5579&amp;AS[[#This Row],[Reporting Year]]&amp;"; "&amp;P5579&amp;AS[[#This Row],[Insurance Category Code]]&amp;"; "&amp;Q5579&amp;AS[[#This Row],[Large Provider Entity Code]]&amp;"; "&amp;R5579&amp;AS[[#This Row],[Age Band Code]]&amp;"; "&amp;S5579&amp;AS[[#This Row],[Sex Code]]</f>
        <v xml:space="preserve">Insurer Code ; Reporting Year ; Insurance Category Code ; Large Provider Entity Code ; Age Band Code ; Sex Code </v>
      </c>
      <c r="N5579" s="345" t="s">
        <v>207</v>
      </c>
      <c r="O5579" s="345" t="s">
        <v>208</v>
      </c>
      <c r="P5579" s="345" t="s">
        <v>209</v>
      </c>
      <c r="Q5579" s="345" t="s">
        <v>210</v>
      </c>
      <c r="R5579" s="345" t="s">
        <v>223</v>
      </c>
      <c r="S5579" s="345" t="s">
        <v>224</v>
      </c>
    </row>
    <row r="5580" spans="1:19" x14ac:dyDescent="0.25">
      <c r="A5580" s="311"/>
      <c r="B5580" s="312"/>
      <c r="C5580" s="312"/>
      <c r="D5580" s="312"/>
      <c r="E5580" s="312"/>
      <c r="F5580" s="312"/>
      <c r="G5580" s="328"/>
      <c r="H5580" s="453"/>
      <c r="I5580" s="334"/>
      <c r="J5580" s="314"/>
      <c r="K5580" s="454"/>
      <c r="M5580" s="349" t="str">
        <f>N5580&amp;AS[[#This Row],[Insurer Code]]&amp;"; "&amp;O5580&amp;AS[[#This Row],[Reporting Year]]&amp;"; "&amp;P5580&amp;AS[[#This Row],[Insurance Category Code]]&amp;"; "&amp;Q5580&amp;AS[[#This Row],[Large Provider Entity Code]]&amp;"; "&amp;R5580&amp;AS[[#This Row],[Age Band Code]]&amp;"; "&amp;S5580&amp;AS[[#This Row],[Sex Code]]</f>
        <v xml:space="preserve">Insurer Code ; Reporting Year ; Insurance Category Code ; Large Provider Entity Code ; Age Band Code ; Sex Code </v>
      </c>
      <c r="N5580" s="345" t="s">
        <v>207</v>
      </c>
      <c r="O5580" s="345" t="s">
        <v>208</v>
      </c>
      <c r="P5580" s="345" t="s">
        <v>209</v>
      </c>
      <c r="Q5580" s="345" t="s">
        <v>210</v>
      </c>
      <c r="R5580" s="345" t="s">
        <v>223</v>
      </c>
      <c r="S5580" s="345" t="s">
        <v>224</v>
      </c>
    </row>
    <row r="5581" spans="1:19" x14ac:dyDescent="0.25">
      <c r="A5581" s="311"/>
      <c r="B5581" s="312"/>
      <c r="C5581" s="312"/>
      <c r="D5581" s="312"/>
      <c r="E5581" s="312"/>
      <c r="F5581" s="312"/>
      <c r="G5581" s="328"/>
      <c r="H5581" s="453"/>
      <c r="I5581" s="334"/>
      <c r="J5581" s="314"/>
      <c r="K5581" s="454"/>
      <c r="M5581" s="349" t="str">
        <f>N5581&amp;AS[[#This Row],[Insurer Code]]&amp;"; "&amp;O5581&amp;AS[[#This Row],[Reporting Year]]&amp;"; "&amp;P5581&amp;AS[[#This Row],[Insurance Category Code]]&amp;"; "&amp;Q5581&amp;AS[[#This Row],[Large Provider Entity Code]]&amp;"; "&amp;R5581&amp;AS[[#This Row],[Age Band Code]]&amp;"; "&amp;S5581&amp;AS[[#This Row],[Sex Code]]</f>
        <v xml:space="preserve">Insurer Code ; Reporting Year ; Insurance Category Code ; Large Provider Entity Code ; Age Band Code ; Sex Code </v>
      </c>
      <c r="N5581" s="345" t="s">
        <v>207</v>
      </c>
      <c r="O5581" s="345" t="s">
        <v>208</v>
      </c>
      <c r="P5581" s="345" t="s">
        <v>209</v>
      </c>
      <c r="Q5581" s="345" t="s">
        <v>210</v>
      </c>
      <c r="R5581" s="345" t="s">
        <v>223</v>
      </c>
      <c r="S5581" s="345" t="s">
        <v>224</v>
      </c>
    </row>
    <row r="5582" spans="1:19" x14ac:dyDescent="0.25">
      <c r="A5582" s="311"/>
      <c r="B5582" s="312"/>
      <c r="C5582" s="312"/>
      <c r="D5582" s="312"/>
      <c r="E5582" s="312"/>
      <c r="F5582" s="312"/>
      <c r="G5582" s="328"/>
      <c r="H5582" s="453"/>
      <c r="I5582" s="334"/>
      <c r="J5582" s="314"/>
      <c r="K5582" s="454"/>
      <c r="M5582" s="349" t="str">
        <f>N5582&amp;AS[[#This Row],[Insurer Code]]&amp;"; "&amp;O5582&amp;AS[[#This Row],[Reporting Year]]&amp;"; "&amp;P5582&amp;AS[[#This Row],[Insurance Category Code]]&amp;"; "&amp;Q5582&amp;AS[[#This Row],[Large Provider Entity Code]]&amp;"; "&amp;R5582&amp;AS[[#This Row],[Age Band Code]]&amp;"; "&amp;S5582&amp;AS[[#This Row],[Sex Code]]</f>
        <v xml:space="preserve">Insurer Code ; Reporting Year ; Insurance Category Code ; Large Provider Entity Code ; Age Band Code ; Sex Code </v>
      </c>
      <c r="N5582" s="345" t="s">
        <v>207</v>
      </c>
      <c r="O5582" s="345" t="s">
        <v>208</v>
      </c>
      <c r="P5582" s="345" t="s">
        <v>209</v>
      </c>
      <c r="Q5582" s="345" t="s">
        <v>210</v>
      </c>
      <c r="R5582" s="345" t="s">
        <v>223</v>
      </c>
      <c r="S5582" s="345" t="s">
        <v>224</v>
      </c>
    </row>
    <row r="5583" spans="1:19" x14ac:dyDescent="0.25">
      <c r="A5583" s="311"/>
      <c r="B5583" s="312"/>
      <c r="C5583" s="312"/>
      <c r="D5583" s="312"/>
      <c r="E5583" s="312"/>
      <c r="F5583" s="312"/>
      <c r="G5583" s="328"/>
      <c r="H5583" s="453"/>
      <c r="I5583" s="334"/>
      <c r="J5583" s="314"/>
      <c r="K5583" s="454"/>
      <c r="M5583" s="349" t="str">
        <f>N5583&amp;AS[[#This Row],[Insurer Code]]&amp;"; "&amp;O5583&amp;AS[[#This Row],[Reporting Year]]&amp;"; "&amp;P5583&amp;AS[[#This Row],[Insurance Category Code]]&amp;"; "&amp;Q5583&amp;AS[[#This Row],[Large Provider Entity Code]]&amp;"; "&amp;R5583&amp;AS[[#This Row],[Age Band Code]]&amp;"; "&amp;S5583&amp;AS[[#This Row],[Sex Code]]</f>
        <v xml:space="preserve">Insurer Code ; Reporting Year ; Insurance Category Code ; Large Provider Entity Code ; Age Band Code ; Sex Code </v>
      </c>
      <c r="N5583" s="345" t="s">
        <v>207</v>
      </c>
      <c r="O5583" s="345" t="s">
        <v>208</v>
      </c>
      <c r="P5583" s="345" t="s">
        <v>209</v>
      </c>
      <c r="Q5583" s="345" t="s">
        <v>210</v>
      </c>
      <c r="R5583" s="345" t="s">
        <v>223</v>
      </c>
      <c r="S5583" s="345" t="s">
        <v>224</v>
      </c>
    </row>
    <row r="5584" spans="1:19" x14ac:dyDescent="0.25">
      <c r="A5584" s="311"/>
      <c r="B5584" s="312"/>
      <c r="C5584" s="312"/>
      <c r="D5584" s="312"/>
      <c r="E5584" s="312"/>
      <c r="F5584" s="312"/>
      <c r="G5584" s="328"/>
      <c r="H5584" s="453"/>
      <c r="I5584" s="334"/>
      <c r="J5584" s="314"/>
      <c r="K5584" s="454"/>
      <c r="M5584" s="349" t="str">
        <f>N5584&amp;AS[[#This Row],[Insurer Code]]&amp;"; "&amp;O5584&amp;AS[[#This Row],[Reporting Year]]&amp;"; "&amp;P5584&amp;AS[[#This Row],[Insurance Category Code]]&amp;"; "&amp;Q5584&amp;AS[[#This Row],[Large Provider Entity Code]]&amp;"; "&amp;R5584&amp;AS[[#This Row],[Age Band Code]]&amp;"; "&amp;S5584&amp;AS[[#This Row],[Sex Code]]</f>
        <v xml:space="preserve">Insurer Code ; Reporting Year ; Insurance Category Code ; Large Provider Entity Code ; Age Band Code ; Sex Code </v>
      </c>
      <c r="N5584" s="345" t="s">
        <v>207</v>
      </c>
      <c r="O5584" s="345" t="s">
        <v>208</v>
      </c>
      <c r="P5584" s="345" t="s">
        <v>209</v>
      </c>
      <c r="Q5584" s="345" t="s">
        <v>210</v>
      </c>
      <c r="R5584" s="345" t="s">
        <v>223</v>
      </c>
      <c r="S5584" s="345" t="s">
        <v>224</v>
      </c>
    </row>
    <row r="5585" spans="1:19" x14ac:dyDescent="0.25">
      <c r="A5585" s="311"/>
      <c r="B5585" s="312"/>
      <c r="C5585" s="312"/>
      <c r="D5585" s="312"/>
      <c r="E5585" s="312"/>
      <c r="F5585" s="312"/>
      <c r="G5585" s="328"/>
      <c r="H5585" s="453"/>
      <c r="I5585" s="334"/>
      <c r="J5585" s="314"/>
      <c r="K5585" s="454"/>
      <c r="M5585" s="349" t="str">
        <f>N5585&amp;AS[[#This Row],[Insurer Code]]&amp;"; "&amp;O5585&amp;AS[[#This Row],[Reporting Year]]&amp;"; "&amp;P5585&amp;AS[[#This Row],[Insurance Category Code]]&amp;"; "&amp;Q5585&amp;AS[[#This Row],[Large Provider Entity Code]]&amp;"; "&amp;R5585&amp;AS[[#This Row],[Age Band Code]]&amp;"; "&amp;S5585&amp;AS[[#This Row],[Sex Code]]</f>
        <v xml:space="preserve">Insurer Code ; Reporting Year ; Insurance Category Code ; Large Provider Entity Code ; Age Band Code ; Sex Code </v>
      </c>
      <c r="N5585" s="345" t="s">
        <v>207</v>
      </c>
      <c r="O5585" s="345" t="s">
        <v>208</v>
      </c>
      <c r="P5585" s="345" t="s">
        <v>209</v>
      </c>
      <c r="Q5585" s="345" t="s">
        <v>210</v>
      </c>
      <c r="R5585" s="345" t="s">
        <v>223</v>
      </c>
      <c r="S5585" s="345" t="s">
        <v>224</v>
      </c>
    </row>
    <row r="5586" spans="1:19" x14ac:dyDescent="0.25">
      <c r="A5586" s="311"/>
      <c r="B5586" s="312"/>
      <c r="C5586" s="312"/>
      <c r="D5586" s="312"/>
      <c r="E5586" s="312"/>
      <c r="F5586" s="312"/>
      <c r="G5586" s="328"/>
      <c r="H5586" s="453"/>
      <c r="I5586" s="334"/>
      <c r="J5586" s="314"/>
      <c r="K5586" s="454"/>
      <c r="M5586" s="349" t="str">
        <f>N5586&amp;AS[[#This Row],[Insurer Code]]&amp;"; "&amp;O5586&amp;AS[[#This Row],[Reporting Year]]&amp;"; "&amp;P5586&amp;AS[[#This Row],[Insurance Category Code]]&amp;"; "&amp;Q5586&amp;AS[[#This Row],[Large Provider Entity Code]]&amp;"; "&amp;R5586&amp;AS[[#This Row],[Age Band Code]]&amp;"; "&amp;S5586&amp;AS[[#This Row],[Sex Code]]</f>
        <v xml:space="preserve">Insurer Code ; Reporting Year ; Insurance Category Code ; Large Provider Entity Code ; Age Band Code ; Sex Code </v>
      </c>
      <c r="N5586" s="345" t="s">
        <v>207</v>
      </c>
      <c r="O5586" s="345" t="s">
        <v>208</v>
      </c>
      <c r="P5586" s="345" t="s">
        <v>209</v>
      </c>
      <c r="Q5586" s="345" t="s">
        <v>210</v>
      </c>
      <c r="R5586" s="345" t="s">
        <v>223</v>
      </c>
      <c r="S5586" s="345" t="s">
        <v>224</v>
      </c>
    </row>
    <row r="5587" spans="1:19" x14ac:dyDescent="0.25">
      <c r="A5587" s="311"/>
      <c r="B5587" s="312"/>
      <c r="C5587" s="312"/>
      <c r="D5587" s="312"/>
      <c r="E5587" s="312"/>
      <c r="F5587" s="312"/>
      <c r="G5587" s="328"/>
      <c r="H5587" s="453"/>
      <c r="I5587" s="334"/>
      <c r="J5587" s="314"/>
      <c r="K5587" s="454"/>
      <c r="M5587" s="349" t="str">
        <f>N5587&amp;AS[[#This Row],[Insurer Code]]&amp;"; "&amp;O5587&amp;AS[[#This Row],[Reporting Year]]&amp;"; "&amp;P5587&amp;AS[[#This Row],[Insurance Category Code]]&amp;"; "&amp;Q5587&amp;AS[[#This Row],[Large Provider Entity Code]]&amp;"; "&amp;R5587&amp;AS[[#This Row],[Age Band Code]]&amp;"; "&amp;S5587&amp;AS[[#This Row],[Sex Code]]</f>
        <v xml:space="preserve">Insurer Code ; Reporting Year ; Insurance Category Code ; Large Provider Entity Code ; Age Band Code ; Sex Code </v>
      </c>
      <c r="N5587" s="345" t="s">
        <v>207</v>
      </c>
      <c r="O5587" s="345" t="s">
        <v>208</v>
      </c>
      <c r="P5587" s="345" t="s">
        <v>209</v>
      </c>
      <c r="Q5587" s="345" t="s">
        <v>210</v>
      </c>
      <c r="R5587" s="345" t="s">
        <v>223</v>
      </c>
      <c r="S5587" s="345" t="s">
        <v>224</v>
      </c>
    </row>
    <row r="5588" spans="1:19" x14ac:dyDescent="0.25">
      <c r="A5588" s="311"/>
      <c r="B5588" s="312"/>
      <c r="C5588" s="312"/>
      <c r="D5588" s="312"/>
      <c r="E5588" s="312"/>
      <c r="F5588" s="312"/>
      <c r="G5588" s="328"/>
      <c r="H5588" s="453"/>
      <c r="I5588" s="334"/>
      <c r="J5588" s="314"/>
      <c r="K5588" s="454"/>
      <c r="M5588" s="349" t="str">
        <f>N5588&amp;AS[[#This Row],[Insurer Code]]&amp;"; "&amp;O5588&amp;AS[[#This Row],[Reporting Year]]&amp;"; "&amp;P5588&amp;AS[[#This Row],[Insurance Category Code]]&amp;"; "&amp;Q5588&amp;AS[[#This Row],[Large Provider Entity Code]]&amp;"; "&amp;R5588&amp;AS[[#This Row],[Age Band Code]]&amp;"; "&amp;S5588&amp;AS[[#This Row],[Sex Code]]</f>
        <v xml:space="preserve">Insurer Code ; Reporting Year ; Insurance Category Code ; Large Provider Entity Code ; Age Band Code ; Sex Code </v>
      </c>
      <c r="N5588" s="345" t="s">
        <v>207</v>
      </c>
      <c r="O5588" s="345" t="s">
        <v>208</v>
      </c>
      <c r="P5588" s="345" t="s">
        <v>209</v>
      </c>
      <c r="Q5588" s="345" t="s">
        <v>210</v>
      </c>
      <c r="R5588" s="345" t="s">
        <v>223</v>
      </c>
      <c r="S5588" s="345" t="s">
        <v>224</v>
      </c>
    </row>
    <row r="5589" spans="1:19" x14ac:dyDescent="0.25">
      <c r="A5589" s="311"/>
      <c r="B5589" s="312"/>
      <c r="C5589" s="312"/>
      <c r="D5589" s="312"/>
      <c r="E5589" s="312"/>
      <c r="F5589" s="312"/>
      <c r="G5589" s="328"/>
      <c r="H5589" s="453"/>
      <c r="I5589" s="334"/>
      <c r="J5589" s="314"/>
      <c r="K5589" s="454"/>
      <c r="M5589" s="349" t="str">
        <f>N5589&amp;AS[[#This Row],[Insurer Code]]&amp;"; "&amp;O5589&amp;AS[[#This Row],[Reporting Year]]&amp;"; "&amp;P5589&amp;AS[[#This Row],[Insurance Category Code]]&amp;"; "&amp;Q5589&amp;AS[[#This Row],[Large Provider Entity Code]]&amp;"; "&amp;R5589&amp;AS[[#This Row],[Age Band Code]]&amp;"; "&amp;S5589&amp;AS[[#This Row],[Sex Code]]</f>
        <v xml:space="preserve">Insurer Code ; Reporting Year ; Insurance Category Code ; Large Provider Entity Code ; Age Band Code ; Sex Code </v>
      </c>
      <c r="N5589" s="345" t="s">
        <v>207</v>
      </c>
      <c r="O5589" s="345" t="s">
        <v>208</v>
      </c>
      <c r="P5589" s="345" t="s">
        <v>209</v>
      </c>
      <c r="Q5589" s="345" t="s">
        <v>210</v>
      </c>
      <c r="R5589" s="345" t="s">
        <v>223</v>
      </c>
      <c r="S5589" s="345" t="s">
        <v>224</v>
      </c>
    </row>
    <row r="5590" spans="1:19" x14ac:dyDescent="0.25">
      <c r="A5590" s="311"/>
      <c r="B5590" s="312"/>
      <c r="C5590" s="312"/>
      <c r="D5590" s="312"/>
      <c r="E5590" s="312"/>
      <c r="F5590" s="312"/>
      <c r="G5590" s="328"/>
      <c r="H5590" s="453"/>
      <c r="I5590" s="334"/>
      <c r="J5590" s="314"/>
      <c r="K5590" s="454"/>
      <c r="M5590" s="349" t="str">
        <f>N5590&amp;AS[[#This Row],[Insurer Code]]&amp;"; "&amp;O5590&amp;AS[[#This Row],[Reporting Year]]&amp;"; "&amp;P5590&amp;AS[[#This Row],[Insurance Category Code]]&amp;"; "&amp;Q5590&amp;AS[[#This Row],[Large Provider Entity Code]]&amp;"; "&amp;R5590&amp;AS[[#This Row],[Age Band Code]]&amp;"; "&amp;S5590&amp;AS[[#This Row],[Sex Code]]</f>
        <v xml:space="preserve">Insurer Code ; Reporting Year ; Insurance Category Code ; Large Provider Entity Code ; Age Band Code ; Sex Code </v>
      </c>
      <c r="N5590" s="345" t="s">
        <v>207</v>
      </c>
      <c r="O5590" s="345" t="s">
        <v>208</v>
      </c>
      <c r="P5590" s="345" t="s">
        <v>209</v>
      </c>
      <c r="Q5590" s="345" t="s">
        <v>210</v>
      </c>
      <c r="R5590" s="345" t="s">
        <v>223</v>
      </c>
      <c r="S5590" s="345" t="s">
        <v>224</v>
      </c>
    </row>
    <row r="5591" spans="1:19" x14ac:dyDescent="0.25">
      <c r="A5591" s="311"/>
      <c r="B5591" s="312"/>
      <c r="C5591" s="312"/>
      <c r="D5591" s="312"/>
      <c r="E5591" s="312"/>
      <c r="F5591" s="312"/>
      <c r="G5591" s="328"/>
      <c r="H5591" s="453"/>
      <c r="I5591" s="334"/>
      <c r="J5591" s="314"/>
      <c r="K5591" s="454"/>
      <c r="M5591" s="349" t="str">
        <f>N5591&amp;AS[[#This Row],[Insurer Code]]&amp;"; "&amp;O5591&amp;AS[[#This Row],[Reporting Year]]&amp;"; "&amp;P5591&amp;AS[[#This Row],[Insurance Category Code]]&amp;"; "&amp;Q5591&amp;AS[[#This Row],[Large Provider Entity Code]]&amp;"; "&amp;R5591&amp;AS[[#This Row],[Age Band Code]]&amp;"; "&amp;S5591&amp;AS[[#This Row],[Sex Code]]</f>
        <v xml:space="preserve">Insurer Code ; Reporting Year ; Insurance Category Code ; Large Provider Entity Code ; Age Band Code ; Sex Code </v>
      </c>
      <c r="N5591" s="345" t="s">
        <v>207</v>
      </c>
      <c r="O5591" s="345" t="s">
        <v>208</v>
      </c>
      <c r="P5591" s="345" t="s">
        <v>209</v>
      </c>
      <c r="Q5591" s="345" t="s">
        <v>210</v>
      </c>
      <c r="R5591" s="345" t="s">
        <v>223</v>
      </c>
      <c r="S5591" s="345" t="s">
        <v>224</v>
      </c>
    </row>
    <row r="5592" spans="1:19" x14ac:dyDescent="0.25">
      <c r="A5592" s="311"/>
      <c r="B5592" s="312"/>
      <c r="C5592" s="312"/>
      <c r="D5592" s="312"/>
      <c r="E5592" s="312"/>
      <c r="F5592" s="312"/>
      <c r="G5592" s="328"/>
      <c r="H5592" s="453"/>
      <c r="I5592" s="334"/>
      <c r="J5592" s="314"/>
      <c r="K5592" s="454"/>
      <c r="M5592" s="349" t="str">
        <f>N5592&amp;AS[[#This Row],[Insurer Code]]&amp;"; "&amp;O5592&amp;AS[[#This Row],[Reporting Year]]&amp;"; "&amp;P5592&amp;AS[[#This Row],[Insurance Category Code]]&amp;"; "&amp;Q5592&amp;AS[[#This Row],[Large Provider Entity Code]]&amp;"; "&amp;R5592&amp;AS[[#This Row],[Age Band Code]]&amp;"; "&amp;S5592&amp;AS[[#This Row],[Sex Code]]</f>
        <v xml:space="preserve">Insurer Code ; Reporting Year ; Insurance Category Code ; Large Provider Entity Code ; Age Band Code ; Sex Code </v>
      </c>
      <c r="N5592" s="345" t="s">
        <v>207</v>
      </c>
      <c r="O5592" s="345" t="s">
        <v>208</v>
      </c>
      <c r="P5592" s="345" t="s">
        <v>209</v>
      </c>
      <c r="Q5592" s="345" t="s">
        <v>210</v>
      </c>
      <c r="R5592" s="345" t="s">
        <v>223</v>
      </c>
      <c r="S5592" s="345" t="s">
        <v>224</v>
      </c>
    </row>
    <row r="5593" spans="1:19" x14ac:dyDescent="0.25">
      <c r="A5593" s="311"/>
      <c r="B5593" s="312"/>
      <c r="C5593" s="312"/>
      <c r="D5593" s="312"/>
      <c r="E5593" s="312"/>
      <c r="F5593" s="312"/>
      <c r="G5593" s="328"/>
      <c r="H5593" s="453"/>
      <c r="I5593" s="334"/>
      <c r="J5593" s="314"/>
      <c r="K5593" s="454"/>
      <c r="M5593" s="349" t="str">
        <f>N5593&amp;AS[[#This Row],[Insurer Code]]&amp;"; "&amp;O5593&amp;AS[[#This Row],[Reporting Year]]&amp;"; "&amp;P5593&amp;AS[[#This Row],[Insurance Category Code]]&amp;"; "&amp;Q5593&amp;AS[[#This Row],[Large Provider Entity Code]]&amp;"; "&amp;R5593&amp;AS[[#This Row],[Age Band Code]]&amp;"; "&amp;S5593&amp;AS[[#This Row],[Sex Code]]</f>
        <v xml:space="preserve">Insurer Code ; Reporting Year ; Insurance Category Code ; Large Provider Entity Code ; Age Band Code ; Sex Code </v>
      </c>
      <c r="N5593" s="345" t="s">
        <v>207</v>
      </c>
      <c r="O5593" s="345" t="s">
        <v>208</v>
      </c>
      <c r="P5593" s="345" t="s">
        <v>209</v>
      </c>
      <c r="Q5593" s="345" t="s">
        <v>210</v>
      </c>
      <c r="R5593" s="345" t="s">
        <v>223</v>
      </c>
      <c r="S5593" s="345" t="s">
        <v>224</v>
      </c>
    </row>
    <row r="5594" spans="1:19" x14ac:dyDescent="0.25">
      <c r="A5594" s="311"/>
      <c r="B5594" s="312"/>
      <c r="C5594" s="312"/>
      <c r="D5594" s="312"/>
      <c r="E5594" s="312"/>
      <c r="F5594" s="312"/>
      <c r="G5594" s="328"/>
      <c r="H5594" s="453"/>
      <c r="I5594" s="334"/>
      <c r="J5594" s="314"/>
      <c r="K5594" s="454"/>
      <c r="M5594" s="349" t="str">
        <f>N5594&amp;AS[[#This Row],[Insurer Code]]&amp;"; "&amp;O5594&amp;AS[[#This Row],[Reporting Year]]&amp;"; "&amp;P5594&amp;AS[[#This Row],[Insurance Category Code]]&amp;"; "&amp;Q5594&amp;AS[[#This Row],[Large Provider Entity Code]]&amp;"; "&amp;R5594&amp;AS[[#This Row],[Age Band Code]]&amp;"; "&amp;S5594&amp;AS[[#This Row],[Sex Code]]</f>
        <v xml:space="preserve">Insurer Code ; Reporting Year ; Insurance Category Code ; Large Provider Entity Code ; Age Band Code ; Sex Code </v>
      </c>
      <c r="N5594" s="345" t="s">
        <v>207</v>
      </c>
      <c r="O5594" s="345" t="s">
        <v>208</v>
      </c>
      <c r="P5594" s="345" t="s">
        <v>209</v>
      </c>
      <c r="Q5594" s="345" t="s">
        <v>210</v>
      </c>
      <c r="R5594" s="345" t="s">
        <v>223</v>
      </c>
      <c r="S5594" s="345" t="s">
        <v>224</v>
      </c>
    </row>
    <row r="5595" spans="1:19" x14ac:dyDescent="0.25">
      <c r="A5595" s="311"/>
      <c r="B5595" s="312"/>
      <c r="C5595" s="312"/>
      <c r="D5595" s="312"/>
      <c r="E5595" s="312"/>
      <c r="F5595" s="312"/>
      <c r="G5595" s="328"/>
      <c r="H5595" s="453"/>
      <c r="I5595" s="334"/>
      <c r="J5595" s="314"/>
      <c r="K5595" s="454"/>
      <c r="M5595" s="349" t="str">
        <f>N5595&amp;AS[[#This Row],[Insurer Code]]&amp;"; "&amp;O5595&amp;AS[[#This Row],[Reporting Year]]&amp;"; "&amp;P5595&amp;AS[[#This Row],[Insurance Category Code]]&amp;"; "&amp;Q5595&amp;AS[[#This Row],[Large Provider Entity Code]]&amp;"; "&amp;R5595&amp;AS[[#This Row],[Age Band Code]]&amp;"; "&amp;S5595&amp;AS[[#This Row],[Sex Code]]</f>
        <v xml:space="preserve">Insurer Code ; Reporting Year ; Insurance Category Code ; Large Provider Entity Code ; Age Band Code ; Sex Code </v>
      </c>
      <c r="N5595" s="345" t="s">
        <v>207</v>
      </c>
      <c r="O5595" s="345" t="s">
        <v>208</v>
      </c>
      <c r="P5595" s="345" t="s">
        <v>209</v>
      </c>
      <c r="Q5595" s="345" t="s">
        <v>210</v>
      </c>
      <c r="R5595" s="345" t="s">
        <v>223</v>
      </c>
      <c r="S5595" s="345" t="s">
        <v>224</v>
      </c>
    </row>
    <row r="5596" spans="1:19" x14ac:dyDescent="0.25">
      <c r="A5596" s="311"/>
      <c r="B5596" s="312"/>
      <c r="C5596" s="312"/>
      <c r="D5596" s="312"/>
      <c r="E5596" s="312"/>
      <c r="F5596" s="312"/>
      <c r="G5596" s="328"/>
      <c r="H5596" s="453"/>
      <c r="I5596" s="334"/>
      <c r="J5596" s="314"/>
      <c r="K5596" s="454"/>
      <c r="M5596" s="349" t="str">
        <f>N5596&amp;AS[[#This Row],[Insurer Code]]&amp;"; "&amp;O5596&amp;AS[[#This Row],[Reporting Year]]&amp;"; "&amp;P5596&amp;AS[[#This Row],[Insurance Category Code]]&amp;"; "&amp;Q5596&amp;AS[[#This Row],[Large Provider Entity Code]]&amp;"; "&amp;R5596&amp;AS[[#This Row],[Age Band Code]]&amp;"; "&amp;S5596&amp;AS[[#This Row],[Sex Code]]</f>
        <v xml:space="preserve">Insurer Code ; Reporting Year ; Insurance Category Code ; Large Provider Entity Code ; Age Band Code ; Sex Code </v>
      </c>
      <c r="N5596" s="345" t="s">
        <v>207</v>
      </c>
      <c r="O5596" s="345" t="s">
        <v>208</v>
      </c>
      <c r="P5596" s="345" t="s">
        <v>209</v>
      </c>
      <c r="Q5596" s="345" t="s">
        <v>210</v>
      </c>
      <c r="R5596" s="345" t="s">
        <v>223</v>
      </c>
      <c r="S5596" s="345" t="s">
        <v>224</v>
      </c>
    </row>
    <row r="5597" spans="1:19" x14ac:dyDescent="0.25">
      <c r="A5597" s="311"/>
      <c r="B5597" s="312"/>
      <c r="C5597" s="312"/>
      <c r="D5597" s="312"/>
      <c r="E5597" s="312"/>
      <c r="F5597" s="312"/>
      <c r="G5597" s="328"/>
      <c r="H5597" s="453"/>
      <c r="I5597" s="334"/>
      <c r="J5597" s="314"/>
      <c r="K5597" s="454"/>
      <c r="M5597" s="349" t="str">
        <f>N5597&amp;AS[[#This Row],[Insurer Code]]&amp;"; "&amp;O5597&amp;AS[[#This Row],[Reporting Year]]&amp;"; "&amp;P5597&amp;AS[[#This Row],[Insurance Category Code]]&amp;"; "&amp;Q5597&amp;AS[[#This Row],[Large Provider Entity Code]]&amp;"; "&amp;R5597&amp;AS[[#This Row],[Age Band Code]]&amp;"; "&amp;S5597&amp;AS[[#This Row],[Sex Code]]</f>
        <v xml:space="preserve">Insurer Code ; Reporting Year ; Insurance Category Code ; Large Provider Entity Code ; Age Band Code ; Sex Code </v>
      </c>
      <c r="N5597" s="345" t="s">
        <v>207</v>
      </c>
      <c r="O5597" s="345" t="s">
        <v>208</v>
      </c>
      <c r="P5597" s="345" t="s">
        <v>209</v>
      </c>
      <c r="Q5597" s="345" t="s">
        <v>210</v>
      </c>
      <c r="R5597" s="345" t="s">
        <v>223</v>
      </c>
      <c r="S5597" s="345" t="s">
        <v>224</v>
      </c>
    </row>
    <row r="5598" spans="1:19" x14ac:dyDescent="0.25">
      <c r="A5598" s="311"/>
      <c r="B5598" s="312"/>
      <c r="C5598" s="312"/>
      <c r="D5598" s="312"/>
      <c r="E5598" s="312"/>
      <c r="F5598" s="312"/>
      <c r="G5598" s="328"/>
      <c r="H5598" s="453"/>
      <c r="I5598" s="334"/>
      <c r="J5598" s="314"/>
      <c r="K5598" s="454"/>
      <c r="M5598" s="349" t="str">
        <f>N5598&amp;AS[[#This Row],[Insurer Code]]&amp;"; "&amp;O5598&amp;AS[[#This Row],[Reporting Year]]&amp;"; "&amp;P5598&amp;AS[[#This Row],[Insurance Category Code]]&amp;"; "&amp;Q5598&amp;AS[[#This Row],[Large Provider Entity Code]]&amp;"; "&amp;R5598&amp;AS[[#This Row],[Age Band Code]]&amp;"; "&amp;S5598&amp;AS[[#This Row],[Sex Code]]</f>
        <v xml:space="preserve">Insurer Code ; Reporting Year ; Insurance Category Code ; Large Provider Entity Code ; Age Band Code ; Sex Code </v>
      </c>
      <c r="N5598" s="345" t="s">
        <v>207</v>
      </c>
      <c r="O5598" s="345" t="s">
        <v>208</v>
      </c>
      <c r="P5598" s="345" t="s">
        <v>209</v>
      </c>
      <c r="Q5598" s="345" t="s">
        <v>210</v>
      </c>
      <c r="R5598" s="345" t="s">
        <v>223</v>
      </c>
      <c r="S5598" s="345" t="s">
        <v>224</v>
      </c>
    </row>
    <row r="5599" spans="1:19" x14ac:dyDescent="0.25">
      <c r="A5599" s="311"/>
      <c r="B5599" s="312"/>
      <c r="C5599" s="312"/>
      <c r="D5599" s="312"/>
      <c r="E5599" s="312"/>
      <c r="F5599" s="312"/>
      <c r="G5599" s="328"/>
      <c r="H5599" s="453"/>
      <c r="I5599" s="334"/>
      <c r="J5599" s="314"/>
      <c r="K5599" s="454"/>
      <c r="M5599" s="349" t="str">
        <f>N5599&amp;AS[[#This Row],[Insurer Code]]&amp;"; "&amp;O5599&amp;AS[[#This Row],[Reporting Year]]&amp;"; "&amp;P5599&amp;AS[[#This Row],[Insurance Category Code]]&amp;"; "&amp;Q5599&amp;AS[[#This Row],[Large Provider Entity Code]]&amp;"; "&amp;R5599&amp;AS[[#This Row],[Age Band Code]]&amp;"; "&amp;S5599&amp;AS[[#This Row],[Sex Code]]</f>
        <v xml:space="preserve">Insurer Code ; Reporting Year ; Insurance Category Code ; Large Provider Entity Code ; Age Band Code ; Sex Code </v>
      </c>
      <c r="N5599" s="345" t="s">
        <v>207</v>
      </c>
      <c r="O5599" s="345" t="s">
        <v>208</v>
      </c>
      <c r="P5599" s="345" t="s">
        <v>209</v>
      </c>
      <c r="Q5599" s="345" t="s">
        <v>210</v>
      </c>
      <c r="R5599" s="345" t="s">
        <v>223</v>
      </c>
      <c r="S5599" s="345" t="s">
        <v>224</v>
      </c>
    </row>
    <row r="5600" spans="1:19" x14ac:dyDescent="0.25">
      <c r="A5600" s="311"/>
      <c r="B5600" s="312"/>
      <c r="C5600" s="312"/>
      <c r="D5600" s="312"/>
      <c r="E5600" s="312"/>
      <c r="F5600" s="312"/>
      <c r="G5600" s="328"/>
      <c r="H5600" s="453"/>
      <c r="I5600" s="334"/>
      <c r="J5600" s="314"/>
      <c r="K5600" s="454"/>
      <c r="M5600" s="349" t="str">
        <f>N5600&amp;AS[[#This Row],[Insurer Code]]&amp;"; "&amp;O5600&amp;AS[[#This Row],[Reporting Year]]&amp;"; "&amp;P5600&amp;AS[[#This Row],[Insurance Category Code]]&amp;"; "&amp;Q5600&amp;AS[[#This Row],[Large Provider Entity Code]]&amp;"; "&amp;R5600&amp;AS[[#This Row],[Age Band Code]]&amp;"; "&amp;S5600&amp;AS[[#This Row],[Sex Code]]</f>
        <v xml:space="preserve">Insurer Code ; Reporting Year ; Insurance Category Code ; Large Provider Entity Code ; Age Band Code ; Sex Code </v>
      </c>
      <c r="N5600" s="345" t="s">
        <v>207</v>
      </c>
      <c r="O5600" s="345" t="s">
        <v>208</v>
      </c>
      <c r="P5600" s="345" t="s">
        <v>209</v>
      </c>
      <c r="Q5600" s="345" t="s">
        <v>210</v>
      </c>
      <c r="R5600" s="345" t="s">
        <v>223</v>
      </c>
      <c r="S5600" s="345" t="s">
        <v>224</v>
      </c>
    </row>
    <row r="5601" spans="1:19" x14ac:dyDescent="0.25">
      <c r="A5601" s="311"/>
      <c r="B5601" s="312"/>
      <c r="C5601" s="312"/>
      <c r="D5601" s="312"/>
      <c r="E5601" s="312"/>
      <c r="F5601" s="312"/>
      <c r="G5601" s="328"/>
      <c r="H5601" s="453"/>
      <c r="I5601" s="334"/>
      <c r="J5601" s="314"/>
      <c r="K5601" s="454"/>
      <c r="M5601" s="349" t="str">
        <f>N5601&amp;AS[[#This Row],[Insurer Code]]&amp;"; "&amp;O5601&amp;AS[[#This Row],[Reporting Year]]&amp;"; "&amp;P5601&amp;AS[[#This Row],[Insurance Category Code]]&amp;"; "&amp;Q5601&amp;AS[[#This Row],[Large Provider Entity Code]]&amp;"; "&amp;R5601&amp;AS[[#This Row],[Age Band Code]]&amp;"; "&amp;S5601&amp;AS[[#This Row],[Sex Code]]</f>
        <v xml:space="preserve">Insurer Code ; Reporting Year ; Insurance Category Code ; Large Provider Entity Code ; Age Band Code ; Sex Code </v>
      </c>
      <c r="N5601" s="345" t="s">
        <v>207</v>
      </c>
      <c r="O5601" s="345" t="s">
        <v>208</v>
      </c>
      <c r="P5601" s="345" t="s">
        <v>209</v>
      </c>
      <c r="Q5601" s="345" t="s">
        <v>210</v>
      </c>
      <c r="R5601" s="345" t="s">
        <v>223</v>
      </c>
      <c r="S5601" s="345" t="s">
        <v>224</v>
      </c>
    </row>
    <row r="5602" spans="1:19" x14ac:dyDescent="0.25">
      <c r="A5602" s="311"/>
      <c r="B5602" s="312"/>
      <c r="C5602" s="312"/>
      <c r="D5602" s="312"/>
      <c r="E5602" s="312"/>
      <c r="F5602" s="312"/>
      <c r="G5602" s="328"/>
      <c r="H5602" s="453"/>
      <c r="I5602" s="334"/>
      <c r="J5602" s="314"/>
      <c r="K5602" s="454"/>
      <c r="M5602" s="349" t="str">
        <f>N5602&amp;AS[[#This Row],[Insurer Code]]&amp;"; "&amp;O5602&amp;AS[[#This Row],[Reporting Year]]&amp;"; "&amp;P5602&amp;AS[[#This Row],[Insurance Category Code]]&amp;"; "&amp;Q5602&amp;AS[[#This Row],[Large Provider Entity Code]]&amp;"; "&amp;R5602&amp;AS[[#This Row],[Age Band Code]]&amp;"; "&amp;S5602&amp;AS[[#This Row],[Sex Code]]</f>
        <v xml:space="preserve">Insurer Code ; Reporting Year ; Insurance Category Code ; Large Provider Entity Code ; Age Band Code ; Sex Code </v>
      </c>
      <c r="N5602" s="345" t="s">
        <v>207</v>
      </c>
      <c r="O5602" s="345" t="s">
        <v>208</v>
      </c>
      <c r="P5602" s="345" t="s">
        <v>209</v>
      </c>
      <c r="Q5602" s="345" t="s">
        <v>210</v>
      </c>
      <c r="R5602" s="345" t="s">
        <v>223</v>
      </c>
      <c r="S5602" s="345" t="s">
        <v>224</v>
      </c>
    </row>
    <row r="5603" spans="1:19" x14ac:dyDescent="0.25">
      <c r="A5603" s="311"/>
      <c r="B5603" s="312"/>
      <c r="C5603" s="312"/>
      <c r="D5603" s="312"/>
      <c r="E5603" s="312"/>
      <c r="F5603" s="312"/>
      <c r="G5603" s="328"/>
      <c r="H5603" s="453"/>
      <c r="I5603" s="334"/>
      <c r="J5603" s="314"/>
      <c r="K5603" s="454"/>
      <c r="M5603" s="349" t="str">
        <f>N5603&amp;AS[[#This Row],[Insurer Code]]&amp;"; "&amp;O5603&amp;AS[[#This Row],[Reporting Year]]&amp;"; "&amp;P5603&amp;AS[[#This Row],[Insurance Category Code]]&amp;"; "&amp;Q5603&amp;AS[[#This Row],[Large Provider Entity Code]]&amp;"; "&amp;R5603&amp;AS[[#This Row],[Age Band Code]]&amp;"; "&amp;S5603&amp;AS[[#This Row],[Sex Code]]</f>
        <v xml:space="preserve">Insurer Code ; Reporting Year ; Insurance Category Code ; Large Provider Entity Code ; Age Band Code ; Sex Code </v>
      </c>
      <c r="N5603" s="345" t="s">
        <v>207</v>
      </c>
      <c r="O5603" s="345" t="s">
        <v>208</v>
      </c>
      <c r="P5603" s="345" t="s">
        <v>209</v>
      </c>
      <c r="Q5603" s="345" t="s">
        <v>210</v>
      </c>
      <c r="R5603" s="345" t="s">
        <v>223</v>
      </c>
      <c r="S5603" s="345" t="s">
        <v>224</v>
      </c>
    </row>
    <row r="5604" spans="1:19" x14ac:dyDescent="0.25">
      <c r="A5604" s="311"/>
      <c r="B5604" s="312"/>
      <c r="C5604" s="312"/>
      <c r="D5604" s="312"/>
      <c r="E5604" s="312"/>
      <c r="F5604" s="312"/>
      <c r="G5604" s="328"/>
      <c r="H5604" s="453"/>
      <c r="I5604" s="334"/>
      <c r="J5604" s="314"/>
      <c r="K5604" s="454"/>
      <c r="M5604" s="349" t="str">
        <f>N5604&amp;AS[[#This Row],[Insurer Code]]&amp;"; "&amp;O5604&amp;AS[[#This Row],[Reporting Year]]&amp;"; "&amp;P5604&amp;AS[[#This Row],[Insurance Category Code]]&amp;"; "&amp;Q5604&amp;AS[[#This Row],[Large Provider Entity Code]]&amp;"; "&amp;R5604&amp;AS[[#This Row],[Age Band Code]]&amp;"; "&amp;S5604&amp;AS[[#This Row],[Sex Code]]</f>
        <v xml:space="preserve">Insurer Code ; Reporting Year ; Insurance Category Code ; Large Provider Entity Code ; Age Band Code ; Sex Code </v>
      </c>
      <c r="N5604" s="345" t="s">
        <v>207</v>
      </c>
      <c r="O5604" s="345" t="s">
        <v>208</v>
      </c>
      <c r="P5604" s="345" t="s">
        <v>209</v>
      </c>
      <c r="Q5604" s="345" t="s">
        <v>210</v>
      </c>
      <c r="R5604" s="345" t="s">
        <v>223</v>
      </c>
      <c r="S5604" s="345" t="s">
        <v>224</v>
      </c>
    </row>
    <row r="5605" spans="1:19" x14ac:dyDescent="0.25">
      <c r="A5605" s="311"/>
      <c r="B5605" s="312"/>
      <c r="C5605" s="312"/>
      <c r="D5605" s="312"/>
      <c r="E5605" s="312"/>
      <c r="F5605" s="312"/>
      <c r="G5605" s="328"/>
      <c r="H5605" s="453"/>
      <c r="I5605" s="334"/>
      <c r="J5605" s="314"/>
      <c r="K5605" s="454"/>
      <c r="M5605" s="349" t="str">
        <f>N5605&amp;AS[[#This Row],[Insurer Code]]&amp;"; "&amp;O5605&amp;AS[[#This Row],[Reporting Year]]&amp;"; "&amp;P5605&amp;AS[[#This Row],[Insurance Category Code]]&amp;"; "&amp;Q5605&amp;AS[[#This Row],[Large Provider Entity Code]]&amp;"; "&amp;R5605&amp;AS[[#This Row],[Age Band Code]]&amp;"; "&amp;S5605&amp;AS[[#This Row],[Sex Code]]</f>
        <v xml:space="preserve">Insurer Code ; Reporting Year ; Insurance Category Code ; Large Provider Entity Code ; Age Band Code ; Sex Code </v>
      </c>
      <c r="N5605" s="345" t="s">
        <v>207</v>
      </c>
      <c r="O5605" s="345" t="s">
        <v>208</v>
      </c>
      <c r="P5605" s="345" t="s">
        <v>209</v>
      </c>
      <c r="Q5605" s="345" t="s">
        <v>210</v>
      </c>
      <c r="R5605" s="345" t="s">
        <v>223</v>
      </c>
      <c r="S5605" s="345" t="s">
        <v>224</v>
      </c>
    </row>
    <row r="5606" spans="1:19" x14ac:dyDescent="0.25">
      <c r="A5606" s="311"/>
      <c r="B5606" s="312"/>
      <c r="C5606" s="312"/>
      <c r="D5606" s="312"/>
      <c r="E5606" s="312"/>
      <c r="F5606" s="312"/>
      <c r="G5606" s="328"/>
      <c r="H5606" s="453"/>
      <c r="I5606" s="334"/>
      <c r="J5606" s="314"/>
      <c r="K5606" s="454"/>
      <c r="M5606" s="349" t="str">
        <f>N5606&amp;AS[[#This Row],[Insurer Code]]&amp;"; "&amp;O5606&amp;AS[[#This Row],[Reporting Year]]&amp;"; "&amp;P5606&amp;AS[[#This Row],[Insurance Category Code]]&amp;"; "&amp;Q5606&amp;AS[[#This Row],[Large Provider Entity Code]]&amp;"; "&amp;R5606&amp;AS[[#This Row],[Age Band Code]]&amp;"; "&amp;S5606&amp;AS[[#This Row],[Sex Code]]</f>
        <v xml:space="preserve">Insurer Code ; Reporting Year ; Insurance Category Code ; Large Provider Entity Code ; Age Band Code ; Sex Code </v>
      </c>
      <c r="N5606" s="345" t="s">
        <v>207</v>
      </c>
      <c r="O5606" s="345" t="s">
        <v>208</v>
      </c>
      <c r="P5606" s="345" t="s">
        <v>209</v>
      </c>
      <c r="Q5606" s="345" t="s">
        <v>210</v>
      </c>
      <c r="R5606" s="345" t="s">
        <v>223</v>
      </c>
      <c r="S5606" s="345" t="s">
        <v>224</v>
      </c>
    </row>
    <row r="5607" spans="1:19" x14ac:dyDescent="0.25">
      <c r="A5607" s="311"/>
      <c r="B5607" s="312"/>
      <c r="C5607" s="312"/>
      <c r="D5607" s="312"/>
      <c r="E5607" s="312"/>
      <c r="F5607" s="312"/>
      <c r="G5607" s="328"/>
      <c r="H5607" s="453"/>
      <c r="I5607" s="334"/>
      <c r="J5607" s="314"/>
      <c r="K5607" s="454"/>
      <c r="M5607" s="349" t="str">
        <f>N5607&amp;AS[[#This Row],[Insurer Code]]&amp;"; "&amp;O5607&amp;AS[[#This Row],[Reporting Year]]&amp;"; "&amp;P5607&amp;AS[[#This Row],[Insurance Category Code]]&amp;"; "&amp;Q5607&amp;AS[[#This Row],[Large Provider Entity Code]]&amp;"; "&amp;R5607&amp;AS[[#This Row],[Age Band Code]]&amp;"; "&amp;S5607&amp;AS[[#This Row],[Sex Code]]</f>
        <v xml:space="preserve">Insurer Code ; Reporting Year ; Insurance Category Code ; Large Provider Entity Code ; Age Band Code ; Sex Code </v>
      </c>
      <c r="N5607" s="345" t="s">
        <v>207</v>
      </c>
      <c r="O5607" s="345" t="s">
        <v>208</v>
      </c>
      <c r="P5607" s="345" t="s">
        <v>209</v>
      </c>
      <c r="Q5607" s="345" t="s">
        <v>210</v>
      </c>
      <c r="R5607" s="345" t="s">
        <v>223</v>
      </c>
      <c r="S5607" s="345" t="s">
        <v>224</v>
      </c>
    </row>
    <row r="5608" spans="1:19" x14ac:dyDescent="0.25">
      <c r="A5608" s="311"/>
      <c r="B5608" s="312"/>
      <c r="C5608" s="312"/>
      <c r="D5608" s="312"/>
      <c r="E5608" s="312"/>
      <c r="F5608" s="312"/>
      <c r="G5608" s="328"/>
      <c r="H5608" s="453"/>
      <c r="I5608" s="334"/>
      <c r="J5608" s="314"/>
      <c r="K5608" s="454"/>
      <c r="M5608" s="349" t="str">
        <f>N5608&amp;AS[[#This Row],[Insurer Code]]&amp;"; "&amp;O5608&amp;AS[[#This Row],[Reporting Year]]&amp;"; "&amp;P5608&amp;AS[[#This Row],[Insurance Category Code]]&amp;"; "&amp;Q5608&amp;AS[[#This Row],[Large Provider Entity Code]]&amp;"; "&amp;R5608&amp;AS[[#This Row],[Age Band Code]]&amp;"; "&amp;S5608&amp;AS[[#This Row],[Sex Code]]</f>
        <v xml:space="preserve">Insurer Code ; Reporting Year ; Insurance Category Code ; Large Provider Entity Code ; Age Band Code ; Sex Code </v>
      </c>
      <c r="N5608" s="345" t="s">
        <v>207</v>
      </c>
      <c r="O5608" s="345" t="s">
        <v>208</v>
      </c>
      <c r="P5608" s="345" t="s">
        <v>209</v>
      </c>
      <c r="Q5608" s="345" t="s">
        <v>210</v>
      </c>
      <c r="R5608" s="345" t="s">
        <v>223</v>
      </c>
      <c r="S5608" s="345" t="s">
        <v>224</v>
      </c>
    </row>
    <row r="5609" spans="1:19" x14ac:dyDescent="0.25">
      <c r="A5609" s="311"/>
      <c r="B5609" s="312"/>
      <c r="C5609" s="312"/>
      <c r="D5609" s="312"/>
      <c r="E5609" s="312"/>
      <c r="F5609" s="312"/>
      <c r="G5609" s="328"/>
      <c r="H5609" s="453"/>
      <c r="I5609" s="334"/>
      <c r="J5609" s="314"/>
      <c r="K5609" s="454"/>
      <c r="M5609" s="349" t="str">
        <f>N5609&amp;AS[[#This Row],[Insurer Code]]&amp;"; "&amp;O5609&amp;AS[[#This Row],[Reporting Year]]&amp;"; "&amp;P5609&amp;AS[[#This Row],[Insurance Category Code]]&amp;"; "&amp;Q5609&amp;AS[[#This Row],[Large Provider Entity Code]]&amp;"; "&amp;R5609&amp;AS[[#This Row],[Age Band Code]]&amp;"; "&amp;S5609&amp;AS[[#This Row],[Sex Code]]</f>
        <v xml:space="preserve">Insurer Code ; Reporting Year ; Insurance Category Code ; Large Provider Entity Code ; Age Band Code ; Sex Code </v>
      </c>
      <c r="N5609" s="345" t="s">
        <v>207</v>
      </c>
      <c r="O5609" s="345" t="s">
        <v>208</v>
      </c>
      <c r="P5609" s="345" t="s">
        <v>209</v>
      </c>
      <c r="Q5609" s="345" t="s">
        <v>210</v>
      </c>
      <c r="R5609" s="345" t="s">
        <v>223</v>
      </c>
      <c r="S5609" s="345" t="s">
        <v>224</v>
      </c>
    </row>
    <row r="5610" spans="1:19" x14ac:dyDescent="0.25">
      <c r="A5610" s="311"/>
      <c r="B5610" s="312"/>
      <c r="C5610" s="312"/>
      <c r="D5610" s="312"/>
      <c r="E5610" s="312"/>
      <c r="F5610" s="312"/>
      <c r="G5610" s="328"/>
      <c r="H5610" s="453"/>
      <c r="I5610" s="334"/>
      <c r="J5610" s="314"/>
      <c r="K5610" s="454"/>
      <c r="M5610" s="349" t="str">
        <f>N5610&amp;AS[[#This Row],[Insurer Code]]&amp;"; "&amp;O5610&amp;AS[[#This Row],[Reporting Year]]&amp;"; "&amp;P5610&amp;AS[[#This Row],[Insurance Category Code]]&amp;"; "&amp;Q5610&amp;AS[[#This Row],[Large Provider Entity Code]]&amp;"; "&amp;R5610&amp;AS[[#This Row],[Age Band Code]]&amp;"; "&amp;S5610&amp;AS[[#This Row],[Sex Code]]</f>
        <v xml:space="preserve">Insurer Code ; Reporting Year ; Insurance Category Code ; Large Provider Entity Code ; Age Band Code ; Sex Code </v>
      </c>
      <c r="N5610" s="345" t="s">
        <v>207</v>
      </c>
      <c r="O5610" s="345" t="s">
        <v>208</v>
      </c>
      <c r="P5610" s="345" t="s">
        <v>209</v>
      </c>
      <c r="Q5610" s="345" t="s">
        <v>210</v>
      </c>
      <c r="R5610" s="345" t="s">
        <v>223</v>
      </c>
      <c r="S5610" s="345" t="s">
        <v>224</v>
      </c>
    </row>
    <row r="5611" spans="1:19" x14ac:dyDescent="0.25">
      <c r="A5611" s="311"/>
      <c r="B5611" s="312"/>
      <c r="C5611" s="312"/>
      <c r="D5611" s="312"/>
      <c r="E5611" s="312"/>
      <c r="F5611" s="312"/>
      <c r="G5611" s="328"/>
      <c r="H5611" s="453"/>
      <c r="I5611" s="334"/>
      <c r="J5611" s="314"/>
      <c r="K5611" s="454"/>
      <c r="M5611" s="349" t="str">
        <f>N5611&amp;AS[[#This Row],[Insurer Code]]&amp;"; "&amp;O5611&amp;AS[[#This Row],[Reporting Year]]&amp;"; "&amp;P5611&amp;AS[[#This Row],[Insurance Category Code]]&amp;"; "&amp;Q5611&amp;AS[[#This Row],[Large Provider Entity Code]]&amp;"; "&amp;R5611&amp;AS[[#This Row],[Age Band Code]]&amp;"; "&amp;S5611&amp;AS[[#This Row],[Sex Code]]</f>
        <v xml:space="preserve">Insurer Code ; Reporting Year ; Insurance Category Code ; Large Provider Entity Code ; Age Band Code ; Sex Code </v>
      </c>
      <c r="N5611" s="345" t="s">
        <v>207</v>
      </c>
      <c r="O5611" s="345" t="s">
        <v>208</v>
      </c>
      <c r="P5611" s="345" t="s">
        <v>209</v>
      </c>
      <c r="Q5611" s="345" t="s">
        <v>210</v>
      </c>
      <c r="R5611" s="345" t="s">
        <v>223</v>
      </c>
      <c r="S5611" s="345" t="s">
        <v>224</v>
      </c>
    </row>
    <row r="5612" spans="1:19" x14ac:dyDescent="0.25">
      <c r="A5612" s="311"/>
      <c r="B5612" s="312"/>
      <c r="C5612" s="312"/>
      <c r="D5612" s="312"/>
      <c r="E5612" s="312"/>
      <c r="F5612" s="312"/>
      <c r="G5612" s="328"/>
      <c r="H5612" s="453"/>
      <c r="I5612" s="334"/>
      <c r="J5612" s="314"/>
      <c r="K5612" s="454"/>
      <c r="M5612" s="349" t="str">
        <f>N5612&amp;AS[[#This Row],[Insurer Code]]&amp;"; "&amp;O5612&amp;AS[[#This Row],[Reporting Year]]&amp;"; "&amp;P5612&amp;AS[[#This Row],[Insurance Category Code]]&amp;"; "&amp;Q5612&amp;AS[[#This Row],[Large Provider Entity Code]]&amp;"; "&amp;R5612&amp;AS[[#This Row],[Age Band Code]]&amp;"; "&amp;S5612&amp;AS[[#This Row],[Sex Code]]</f>
        <v xml:space="preserve">Insurer Code ; Reporting Year ; Insurance Category Code ; Large Provider Entity Code ; Age Band Code ; Sex Code </v>
      </c>
      <c r="N5612" s="345" t="s">
        <v>207</v>
      </c>
      <c r="O5612" s="345" t="s">
        <v>208</v>
      </c>
      <c r="P5612" s="345" t="s">
        <v>209</v>
      </c>
      <c r="Q5612" s="345" t="s">
        <v>210</v>
      </c>
      <c r="R5612" s="345" t="s">
        <v>223</v>
      </c>
      <c r="S5612" s="345" t="s">
        <v>224</v>
      </c>
    </row>
    <row r="5613" spans="1:19" x14ac:dyDescent="0.25">
      <c r="A5613" s="311"/>
      <c r="B5613" s="312"/>
      <c r="C5613" s="312"/>
      <c r="D5613" s="312"/>
      <c r="E5613" s="312"/>
      <c r="F5613" s="312"/>
      <c r="G5613" s="328"/>
      <c r="H5613" s="453"/>
      <c r="I5613" s="334"/>
      <c r="J5613" s="314"/>
      <c r="K5613" s="454"/>
      <c r="M5613" s="349" t="str">
        <f>N5613&amp;AS[[#This Row],[Insurer Code]]&amp;"; "&amp;O5613&amp;AS[[#This Row],[Reporting Year]]&amp;"; "&amp;P5613&amp;AS[[#This Row],[Insurance Category Code]]&amp;"; "&amp;Q5613&amp;AS[[#This Row],[Large Provider Entity Code]]&amp;"; "&amp;R5613&amp;AS[[#This Row],[Age Band Code]]&amp;"; "&amp;S5613&amp;AS[[#This Row],[Sex Code]]</f>
        <v xml:space="preserve">Insurer Code ; Reporting Year ; Insurance Category Code ; Large Provider Entity Code ; Age Band Code ; Sex Code </v>
      </c>
      <c r="N5613" s="345" t="s">
        <v>207</v>
      </c>
      <c r="O5613" s="345" t="s">
        <v>208</v>
      </c>
      <c r="P5613" s="345" t="s">
        <v>209</v>
      </c>
      <c r="Q5613" s="345" t="s">
        <v>210</v>
      </c>
      <c r="R5613" s="345" t="s">
        <v>223</v>
      </c>
      <c r="S5613" s="345" t="s">
        <v>224</v>
      </c>
    </row>
    <row r="5614" spans="1:19" x14ac:dyDescent="0.25">
      <c r="A5614" s="311"/>
      <c r="B5614" s="312"/>
      <c r="C5614" s="312"/>
      <c r="D5614" s="312"/>
      <c r="E5614" s="312"/>
      <c r="F5614" s="312"/>
      <c r="G5614" s="328"/>
      <c r="H5614" s="453"/>
      <c r="I5614" s="334"/>
      <c r="J5614" s="314"/>
      <c r="K5614" s="454"/>
      <c r="M5614" s="349" t="str">
        <f>N5614&amp;AS[[#This Row],[Insurer Code]]&amp;"; "&amp;O5614&amp;AS[[#This Row],[Reporting Year]]&amp;"; "&amp;P5614&amp;AS[[#This Row],[Insurance Category Code]]&amp;"; "&amp;Q5614&amp;AS[[#This Row],[Large Provider Entity Code]]&amp;"; "&amp;R5614&amp;AS[[#This Row],[Age Band Code]]&amp;"; "&amp;S5614&amp;AS[[#This Row],[Sex Code]]</f>
        <v xml:space="preserve">Insurer Code ; Reporting Year ; Insurance Category Code ; Large Provider Entity Code ; Age Band Code ; Sex Code </v>
      </c>
      <c r="N5614" s="345" t="s">
        <v>207</v>
      </c>
      <c r="O5614" s="345" t="s">
        <v>208</v>
      </c>
      <c r="P5614" s="345" t="s">
        <v>209</v>
      </c>
      <c r="Q5614" s="345" t="s">
        <v>210</v>
      </c>
      <c r="R5614" s="345" t="s">
        <v>223</v>
      </c>
      <c r="S5614" s="345" t="s">
        <v>224</v>
      </c>
    </row>
    <row r="5615" spans="1:19" x14ac:dyDescent="0.25">
      <c r="A5615" s="311"/>
      <c r="B5615" s="312"/>
      <c r="C5615" s="312"/>
      <c r="D5615" s="312"/>
      <c r="E5615" s="312"/>
      <c r="F5615" s="312"/>
      <c r="G5615" s="328"/>
      <c r="H5615" s="453"/>
      <c r="I5615" s="334"/>
      <c r="J5615" s="314"/>
      <c r="K5615" s="454"/>
      <c r="M5615" s="349" t="str">
        <f>N5615&amp;AS[[#This Row],[Insurer Code]]&amp;"; "&amp;O5615&amp;AS[[#This Row],[Reporting Year]]&amp;"; "&amp;P5615&amp;AS[[#This Row],[Insurance Category Code]]&amp;"; "&amp;Q5615&amp;AS[[#This Row],[Large Provider Entity Code]]&amp;"; "&amp;R5615&amp;AS[[#This Row],[Age Band Code]]&amp;"; "&amp;S5615&amp;AS[[#This Row],[Sex Code]]</f>
        <v xml:space="preserve">Insurer Code ; Reporting Year ; Insurance Category Code ; Large Provider Entity Code ; Age Band Code ; Sex Code </v>
      </c>
      <c r="N5615" s="345" t="s">
        <v>207</v>
      </c>
      <c r="O5615" s="345" t="s">
        <v>208</v>
      </c>
      <c r="P5615" s="345" t="s">
        <v>209</v>
      </c>
      <c r="Q5615" s="345" t="s">
        <v>210</v>
      </c>
      <c r="R5615" s="345" t="s">
        <v>223</v>
      </c>
      <c r="S5615" s="345" t="s">
        <v>224</v>
      </c>
    </row>
    <row r="5616" spans="1:19" x14ac:dyDescent="0.25">
      <c r="A5616" s="311"/>
      <c r="B5616" s="312"/>
      <c r="C5616" s="312"/>
      <c r="D5616" s="312"/>
      <c r="E5616" s="312"/>
      <c r="F5616" s="312"/>
      <c r="G5616" s="328"/>
      <c r="H5616" s="453"/>
      <c r="I5616" s="334"/>
      <c r="J5616" s="314"/>
      <c r="K5616" s="454"/>
      <c r="M5616" s="349" t="str">
        <f>N5616&amp;AS[[#This Row],[Insurer Code]]&amp;"; "&amp;O5616&amp;AS[[#This Row],[Reporting Year]]&amp;"; "&amp;P5616&amp;AS[[#This Row],[Insurance Category Code]]&amp;"; "&amp;Q5616&amp;AS[[#This Row],[Large Provider Entity Code]]&amp;"; "&amp;R5616&amp;AS[[#This Row],[Age Band Code]]&amp;"; "&amp;S5616&amp;AS[[#This Row],[Sex Code]]</f>
        <v xml:space="preserve">Insurer Code ; Reporting Year ; Insurance Category Code ; Large Provider Entity Code ; Age Band Code ; Sex Code </v>
      </c>
      <c r="N5616" s="345" t="s">
        <v>207</v>
      </c>
      <c r="O5616" s="345" t="s">
        <v>208</v>
      </c>
      <c r="P5616" s="345" t="s">
        <v>209</v>
      </c>
      <c r="Q5616" s="345" t="s">
        <v>210</v>
      </c>
      <c r="R5616" s="345" t="s">
        <v>223</v>
      </c>
      <c r="S5616" s="345" t="s">
        <v>224</v>
      </c>
    </row>
    <row r="5617" spans="1:19" x14ac:dyDescent="0.25">
      <c r="A5617" s="311"/>
      <c r="B5617" s="312"/>
      <c r="C5617" s="312"/>
      <c r="D5617" s="312"/>
      <c r="E5617" s="312"/>
      <c r="F5617" s="312"/>
      <c r="G5617" s="328"/>
      <c r="H5617" s="453"/>
      <c r="I5617" s="334"/>
      <c r="J5617" s="314"/>
      <c r="K5617" s="454"/>
      <c r="M5617" s="349" t="str">
        <f>N5617&amp;AS[[#This Row],[Insurer Code]]&amp;"; "&amp;O5617&amp;AS[[#This Row],[Reporting Year]]&amp;"; "&amp;P5617&amp;AS[[#This Row],[Insurance Category Code]]&amp;"; "&amp;Q5617&amp;AS[[#This Row],[Large Provider Entity Code]]&amp;"; "&amp;R5617&amp;AS[[#This Row],[Age Band Code]]&amp;"; "&amp;S5617&amp;AS[[#This Row],[Sex Code]]</f>
        <v xml:space="preserve">Insurer Code ; Reporting Year ; Insurance Category Code ; Large Provider Entity Code ; Age Band Code ; Sex Code </v>
      </c>
      <c r="N5617" s="345" t="s">
        <v>207</v>
      </c>
      <c r="O5617" s="345" t="s">
        <v>208</v>
      </c>
      <c r="P5617" s="345" t="s">
        <v>209</v>
      </c>
      <c r="Q5617" s="345" t="s">
        <v>210</v>
      </c>
      <c r="R5617" s="345" t="s">
        <v>223</v>
      </c>
      <c r="S5617" s="345" t="s">
        <v>224</v>
      </c>
    </row>
    <row r="5618" spans="1:19" x14ac:dyDescent="0.25">
      <c r="A5618" s="311"/>
      <c r="B5618" s="312"/>
      <c r="C5618" s="312"/>
      <c r="D5618" s="312"/>
      <c r="E5618" s="312"/>
      <c r="F5618" s="312"/>
      <c r="G5618" s="328"/>
      <c r="H5618" s="453"/>
      <c r="I5618" s="334"/>
      <c r="J5618" s="314"/>
      <c r="K5618" s="454"/>
      <c r="M5618" s="349" t="str">
        <f>N5618&amp;AS[[#This Row],[Insurer Code]]&amp;"; "&amp;O5618&amp;AS[[#This Row],[Reporting Year]]&amp;"; "&amp;P5618&amp;AS[[#This Row],[Insurance Category Code]]&amp;"; "&amp;Q5618&amp;AS[[#This Row],[Large Provider Entity Code]]&amp;"; "&amp;R5618&amp;AS[[#This Row],[Age Band Code]]&amp;"; "&amp;S5618&amp;AS[[#This Row],[Sex Code]]</f>
        <v xml:space="preserve">Insurer Code ; Reporting Year ; Insurance Category Code ; Large Provider Entity Code ; Age Band Code ; Sex Code </v>
      </c>
      <c r="N5618" s="345" t="s">
        <v>207</v>
      </c>
      <c r="O5618" s="345" t="s">
        <v>208</v>
      </c>
      <c r="P5618" s="345" t="s">
        <v>209</v>
      </c>
      <c r="Q5618" s="345" t="s">
        <v>210</v>
      </c>
      <c r="R5618" s="345" t="s">
        <v>223</v>
      </c>
      <c r="S5618" s="345" t="s">
        <v>224</v>
      </c>
    </row>
    <row r="5619" spans="1:19" x14ac:dyDescent="0.25">
      <c r="A5619" s="311"/>
      <c r="B5619" s="312"/>
      <c r="C5619" s="312"/>
      <c r="D5619" s="312"/>
      <c r="E5619" s="312"/>
      <c r="F5619" s="312"/>
      <c r="G5619" s="328"/>
      <c r="H5619" s="453"/>
      <c r="I5619" s="334"/>
      <c r="J5619" s="314"/>
      <c r="K5619" s="454"/>
      <c r="M5619" s="349" t="str">
        <f>N5619&amp;AS[[#This Row],[Insurer Code]]&amp;"; "&amp;O5619&amp;AS[[#This Row],[Reporting Year]]&amp;"; "&amp;P5619&amp;AS[[#This Row],[Insurance Category Code]]&amp;"; "&amp;Q5619&amp;AS[[#This Row],[Large Provider Entity Code]]&amp;"; "&amp;R5619&amp;AS[[#This Row],[Age Band Code]]&amp;"; "&amp;S5619&amp;AS[[#This Row],[Sex Code]]</f>
        <v xml:space="preserve">Insurer Code ; Reporting Year ; Insurance Category Code ; Large Provider Entity Code ; Age Band Code ; Sex Code </v>
      </c>
      <c r="N5619" s="345" t="s">
        <v>207</v>
      </c>
      <c r="O5619" s="345" t="s">
        <v>208</v>
      </c>
      <c r="P5619" s="345" t="s">
        <v>209</v>
      </c>
      <c r="Q5619" s="345" t="s">
        <v>210</v>
      </c>
      <c r="R5619" s="345" t="s">
        <v>223</v>
      </c>
      <c r="S5619" s="345" t="s">
        <v>224</v>
      </c>
    </row>
    <row r="5620" spans="1:19" x14ac:dyDescent="0.25">
      <c r="A5620" s="311"/>
      <c r="B5620" s="312"/>
      <c r="C5620" s="312"/>
      <c r="D5620" s="312"/>
      <c r="E5620" s="312"/>
      <c r="F5620" s="312"/>
      <c r="G5620" s="328"/>
      <c r="H5620" s="453"/>
      <c r="I5620" s="334"/>
      <c r="J5620" s="314"/>
      <c r="K5620" s="454"/>
      <c r="M5620" s="349" t="str">
        <f>N5620&amp;AS[[#This Row],[Insurer Code]]&amp;"; "&amp;O5620&amp;AS[[#This Row],[Reporting Year]]&amp;"; "&amp;P5620&amp;AS[[#This Row],[Insurance Category Code]]&amp;"; "&amp;Q5620&amp;AS[[#This Row],[Large Provider Entity Code]]&amp;"; "&amp;R5620&amp;AS[[#This Row],[Age Band Code]]&amp;"; "&amp;S5620&amp;AS[[#This Row],[Sex Code]]</f>
        <v xml:space="preserve">Insurer Code ; Reporting Year ; Insurance Category Code ; Large Provider Entity Code ; Age Band Code ; Sex Code </v>
      </c>
      <c r="N5620" s="345" t="s">
        <v>207</v>
      </c>
      <c r="O5620" s="345" t="s">
        <v>208</v>
      </c>
      <c r="P5620" s="345" t="s">
        <v>209</v>
      </c>
      <c r="Q5620" s="345" t="s">
        <v>210</v>
      </c>
      <c r="R5620" s="345" t="s">
        <v>223</v>
      </c>
      <c r="S5620" s="345" t="s">
        <v>224</v>
      </c>
    </row>
    <row r="5621" spans="1:19" x14ac:dyDescent="0.25">
      <c r="A5621" s="311"/>
      <c r="B5621" s="312"/>
      <c r="C5621" s="312"/>
      <c r="D5621" s="312"/>
      <c r="E5621" s="312"/>
      <c r="F5621" s="312"/>
      <c r="G5621" s="328"/>
      <c r="H5621" s="453"/>
      <c r="I5621" s="334"/>
      <c r="J5621" s="314"/>
      <c r="K5621" s="454"/>
      <c r="M5621" s="349" t="str">
        <f>N5621&amp;AS[[#This Row],[Insurer Code]]&amp;"; "&amp;O5621&amp;AS[[#This Row],[Reporting Year]]&amp;"; "&amp;P5621&amp;AS[[#This Row],[Insurance Category Code]]&amp;"; "&amp;Q5621&amp;AS[[#This Row],[Large Provider Entity Code]]&amp;"; "&amp;R5621&amp;AS[[#This Row],[Age Band Code]]&amp;"; "&amp;S5621&amp;AS[[#This Row],[Sex Code]]</f>
        <v xml:space="preserve">Insurer Code ; Reporting Year ; Insurance Category Code ; Large Provider Entity Code ; Age Band Code ; Sex Code </v>
      </c>
      <c r="N5621" s="345" t="s">
        <v>207</v>
      </c>
      <c r="O5621" s="345" t="s">
        <v>208</v>
      </c>
      <c r="P5621" s="345" t="s">
        <v>209</v>
      </c>
      <c r="Q5621" s="345" t="s">
        <v>210</v>
      </c>
      <c r="R5621" s="345" t="s">
        <v>223</v>
      </c>
      <c r="S5621" s="345" t="s">
        <v>224</v>
      </c>
    </row>
    <row r="5622" spans="1:19" x14ac:dyDescent="0.25">
      <c r="A5622" s="311"/>
      <c r="B5622" s="312"/>
      <c r="C5622" s="312"/>
      <c r="D5622" s="312"/>
      <c r="E5622" s="312"/>
      <c r="F5622" s="312"/>
      <c r="G5622" s="328"/>
      <c r="H5622" s="453"/>
      <c r="I5622" s="334"/>
      <c r="J5622" s="314"/>
      <c r="K5622" s="454"/>
      <c r="M5622" s="349" t="str">
        <f>N5622&amp;AS[[#This Row],[Insurer Code]]&amp;"; "&amp;O5622&amp;AS[[#This Row],[Reporting Year]]&amp;"; "&amp;P5622&amp;AS[[#This Row],[Insurance Category Code]]&amp;"; "&amp;Q5622&amp;AS[[#This Row],[Large Provider Entity Code]]&amp;"; "&amp;R5622&amp;AS[[#This Row],[Age Band Code]]&amp;"; "&amp;S5622&amp;AS[[#This Row],[Sex Code]]</f>
        <v xml:space="preserve">Insurer Code ; Reporting Year ; Insurance Category Code ; Large Provider Entity Code ; Age Band Code ; Sex Code </v>
      </c>
      <c r="N5622" s="345" t="s">
        <v>207</v>
      </c>
      <c r="O5622" s="345" t="s">
        <v>208</v>
      </c>
      <c r="P5622" s="345" t="s">
        <v>209</v>
      </c>
      <c r="Q5622" s="345" t="s">
        <v>210</v>
      </c>
      <c r="R5622" s="345" t="s">
        <v>223</v>
      </c>
      <c r="S5622" s="345" t="s">
        <v>224</v>
      </c>
    </row>
    <row r="5623" spans="1:19" x14ac:dyDescent="0.25">
      <c r="A5623" s="311"/>
      <c r="B5623" s="312"/>
      <c r="C5623" s="312"/>
      <c r="D5623" s="312"/>
      <c r="E5623" s="312"/>
      <c r="F5623" s="312"/>
      <c r="G5623" s="328"/>
      <c r="H5623" s="453"/>
      <c r="I5623" s="334"/>
      <c r="J5623" s="314"/>
      <c r="K5623" s="454"/>
      <c r="M5623" s="349" t="str">
        <f>N5623&amp;AS[[#This Row],[Insurer Code]]&amp;"; "&amp;O5623&amp;AS[[#This Row],[Reporting Year]]&amp;"; "&amp;P5623&amp;AS[[#This Row],[Insurance Category Code]]&amp;"; "&amp;Q5623&amp;AS[[#This Row],[Large Provider Entity Code]]&amp;"; "&amp;R5623&amp;AS[[#This Row],[Age Band Code]]&amp;"; "&amp;S5623&amp;AS[[#This Row],[Sex Code]]</f>
        <v xml:space="preserve">Insurer Code ; Reporting Year ; Insurance Category Code ; Large Provider Entity Code ; Age Band Code ; Sex Code </v>
      </c>
      <c r="N5623" s="345" t="s">
        <v>207</v>
      </c>
      <c r="O5623" s="345" t="s">
        <v>208</v>
      </c>
      <c r="P5623" s="345" t="s">
        <v>209</v>
      </c>
      <c r="Q5623" s="345" t="s">
        <v>210</v>
      </c>
      <c r="R5623" s="345" t="s">
        <v>223</v>
      </c>
      <c r="S5623" s="345" t="s">
        <v>224</v>
      </c>
    </row>
    <row r="5624" spans="1:19" x14ac:dyDescent="0.25">
      <c r="A5624" s="311"/>
      <c r="B5624" s="312"/>
      <c r="C5624" s="312"/>
      <c r="D5624" s="312"/>
      <c r="E5624" s="312"/>
      <c r="F5624" s="312"/>
      <c r="G5624" s="328"/>
      <c r="H5624" s="453"/>
      <c r="I5624" s="334"/>
      <c r="J5624" s="314"/>
      <c r="K5624" s="454"/>
      <c r="M5624" s="349" t="str">
        <f>N5624&amp;AS[[#This Row],[Insurer Code]]&amp;"; "&amp;O5624&amp;AS[[#This Row],[Reporting Year]]&amp;"; "&amp;P5624&amp;AS[[#This Row],[Insurance Category Code]]&amp;"; "&amp;Q5624&amp;AS[[#This Row],[Large Provider Entity Code]]&amp;"; "&amp;R5624&amp;AS[[#This Row],[Age Band Code]]&amp;"; "&amp;S5624&amp;AS[[#This Row],[Sex Code]]</f>
        <v xml:space="preserve">Insurer Code ; Reporting Year ; Insurance Category Code ; Large Provider Entity Code ; Age Band Code ; Sex Code </v>
      </c>
      <c r="N5624" s="345" t="s">
        <v>207</v>
      </c>
      <c r="O5624" s="345" t="s">
        <v>208</v>
      </c>
      <c r="P5624" s="345" t="s">
        <v>209</v>
      </c>
      <c r="Q5624" s="345" t="s">
        <v>210</v>
      </c>
      <c r="R5624" s="345" t="s">
        <v>223</v>
      </c>
      <c r="S5624" s="345" t="s">
        <v>224</v>
      </c>
    </row>
    <row r="5625" spans="1:19" x14ac:dyDescent="0.25">
      <c r="A5625" s="311"/>
      <c r="B5625" s="312"/>
      <c r="C5625" s="312"/>
      <c r="D5625" s="312"/>
      <c r="E5625" s="312"/>
      <c r="F5625" s="312"/>
      <c r="G5625" s="328"/>
      <c r="H5625" s="453"/>
      <c r="I5625" s="334"/>
      <c r="J5625" s="314"/>
      <c r="K5625" s="454"/>
      <c r="M5625" s="349" t="str">
        <f>N5625&amp;AS[[#This Row],[Insurer Code]]&amp;"; "&amp;O5625&amp;AS[[#This Row],[Reporting Year]]&amp;"; "&amp;P5625&amp;AS[[#This Row],[Insurance Category Code]]&amp;"; "&amp;Q5625&amp;AS[[#This Row],[Large Provider Entity Code]]&amp;"; "&amp;R5625&amp;AS[[#This Row],[Age Band Code]]&amp;"; "&amp;S5625&amp;AS[[#This Row],[Sex Code]]</f>
        <v xml:space="preserve">Insurer Code ; Reporting Year ; Insurance Category Code ; Large Provider Entity Code ; Age Band Code ; Sex Code </v>
      </c>
      <c r="N5625" s="345" t="s">
        <v>207</v>
      </c>
      <c r="O5625" s="345" t="s">
        <v>208</v>
      </c>
      <c r="P5625" s="345" t="s">
        <v>209</v>
      </c>
      <c r="Q5625" s="345" t="s">
        <v>210</v>
      </c>
      <c r="R5625" s="345" t="s">
        <v>223</v>
      </c>
      <c r="S5625" s="345" t="s">
        <v>224</v>
      </c>
    </row>
    <row r="5626" spans="1:19" x14ac:dyDescent="0.25">
      <c r="A5626" s="311"/>
      <c r="B5626" s="312"/>
      <c r="C5626" s="312"/>
      <c r="D5626" s="312"/>
      <c r="E5626" s="312"/>
      <c r="F5626" s="312"/>
      <c r="G5626" s="328"/>
      <c r="H5626" s="453"/>
      <c r="I5626" s="334"/>
      <c r="J5626" s="314"/>
      <c r="K5626" s="454"/>
      <c r="M5626" s="349" t="str">
        <f>N5626&amp;AS[[#This Row],[Insurer Code]]&amp;"; "&amp;O5626&amp;AS[[#This Row],[Reporting Year]]&amp;"; "&amp;P5626&amp;AS[[#This Row],[Insurance Category Code]]&amp;"; "&amp;Q5626&amp;AS[[#This Row],[Large Provider Entity Code]]&amp;"; "&amp;R5626&amp;AS[[#This Row],[Age Band Code]]&amp;"; "&amp;S5626&amp;AS[[#This Row],[Sex Code]]</f>
        <v xml:space="preserve">Insurer Code ; Reporting Year ; Insurance Category Code ; Large Provider Entity Code ; Age Band Code ; Sex Code </v>
      </c>
      <c r="N5626" s="345" t="s">
        <v>207</v>
      </c>
      <c r="O5626" s="345" t="s">
        <v>208</v>
      </c>
      <c r="P5626" s="345" t="s">
        <v>209</v>
      </c>
      <c r="Q5626" s="345" t="s">
        <v>210</v>
      </c>
      <c r="R5626" s="345" t="s">
        <v>223</v>
      </c>
      <c r="S5626" s="345" t="s">
        <v>224</v>
      </c>
    </row>
    <row r="5627" spans="1:19" x14ac:dyDescent="0.25">
      <c r="A5627" s="311"/>
      <c r="B5627" s="312"/>
      <c r="C5627" s="312"/>
      <c r="D5627" s="312"/>
      <c r="E5627" s="312"/>
      <c r="F5627" s="312"/>
      <c r="G5627" s="328"/>
      <c r="H5627" s="453"/>
      <c r="I5627" s="334"/>
      <c r="J5627" s="314"/>
      <c r="K5627" s="454"/>
      <c r="M5627" s="349" t="str">
        <f>N5627&amp;AS[[#This Row],[Insurer Code]]&amp;"; "&amp;O5627&amp;AS[[#This Row],[Reporting Year]]&amp;"; "&amp;P5627&amp;AS[[#This Row],[Insurance Category Code]]&amp;"; "&amp;Q5627&amp;AS[[#This Row],[Large Provider Entity Code]]&amp;"; "&amp;R5627&amp;AS[[#This Row],[Age Band Code]]&amp;"; "&amp;S5627&amp;AS[[#This Row],[Sex Code]]</f>
        <v xml:space="preserve">Insurer Code ; Reporting Year ; Insurance Category Code ; Large Provider Entity Code ; Age Band Code ; Sex Code </v>
      </c>
      <c r="N5627" s="345" t="s">
        <v>207</v>
      </c>
      <c r="O5627" s="345" t="s">
        <v>208</v>
      </c>
      <c r="P5627" s="345" t="s">
        <v>209</v>
      </c>
      <c r="Q5627" s="345" t="s">
        <v>210</v>
      </c>
      <c r="R5627" s="345" t="s">
        <v>223</v>
      </c>
      <c r="S5627" s="345" t="s">
        <v>224</v>
      </c>
    </row>
    <row r="5628" spans="1:19" x14ac:dyDescent="0.25">
      <c r="A5628" s="311"/>
      <c r="B5628" s="312"/>
      <c r="C5628" s="312"/>
      <c r="D5628" s="312"/>
      <c r="E5628" s="312"/>
      <c r="F5628" s="312"/>
      <c r="G5628" s="328"/>
      <c r="H5628" s="453"/>
      <c r="I5628" s="334"/>
      <c r="J5628" s="314"/>
      <c r="K5628" s="454"/>
      <c r="M5628" s="349" t="str">
        <f>N5628&amp;AS[[#This Row],[Insurer Code]]&amp;"; "&amp;O5628&amp;AS[[#This Row],[Reporting Year]]&amp;"; "&amp;P5628&amp;AS[[#This Row],[Insurance Category Code]]&amp;"; "&amp;Q5628&amp;AS[[#This Row],[Large Provider Entity Code]]&amp;"; "&amp;R5628&amp;AS[[#This Row],[Age Band Code]]&amp;"; "&amp;S5628&amp;AS[[#This Row],[Sex Code]]</f>
        <v xml:space="preserve">Insurer Code ; Reporting Year ; Insurance Category Code ; Large Provider Entity Code ; Age Band Code ; Sex Code </v>
      </c>
      <c r="N5628" s="345" t="s">
        <v>207</v>
      </c>
      <c r="O5628" s="345" t="s">
        <v>208</v>
      </c>
      <c r="P5628" s="345" t="s">
        <v>209</v>
      </c>
      <c r="Q5628" s="345" t="s">
        <v>210</v>
      </c>
      <c r="R5628" s="345" t="s">
        <v>223</v>
      </c>
      <c r="S5628" s="345" t="s">
        <v>224</v>
      </c>
    </row>
    <row r="5629" spans="1:19" x14ac:dyDescent="0.25">
      <c r="A5629" s="311"/>
      <c r="B5629" s="312"/>
      <c r="C5629" s="312"/>
      <c r="D5629" s="312"/>
      <c r="E5629" s="312"/>
      <c r="F5629" s="312"/>
      <c r="G5629" s="328"/>
      <c r="H5629" s="453"/>
      <c r="I5629" s="334"/>
      <c r="J5629" s="314"/>
      <c r="K5629" s="454"/>
      <c r="M5629" s="349" t="str">
        <f>N5629&amp;AS[[#This Row],[Insurer Code]]&amp;"; "&amp;O5629&amp;AS[[#This Row],[Reporting Year]]&amp;"; "&amp;P5629&amp;AS[[#This Row],[Insurance Category Code]]&amp;"; "&amp;Q5629&amp;AS[[#This Row],[Large Provider Entity Code]]&amp;"; "&amp;R5629&amp;AS[[#This Row],[Age Band Code]]&amp;"; "&amp;S5629&amp;AS[[#This Row],[Sex Code]]</f>
        <v xml:space="preserve">Insurer Code ; Reporting Year ; Insurance Category Code ; Large Provider Entity Code ; Age Band Code ; Sex Code </v>
      </c>
      <c r="N5629" s="345" t="s">
        <v>207</v>
      </c>
      <c r="O5629" s="345" t="s">
        <v>208</v>
      </c>
      <c r="P5629" s="345" t="s">
        <v>209</v>
      </c>
      <c r="Q5629" s="345" t="s">
        <v>210</v>
      </c>
      <c r="R5629" s="345" t="s">
        <v>223</v>
      </c>
      <c r="S5629" s="345" t="s">
        <v>224</v>
      </c>
    </row>
    <row r="5630" spans="1:19" x14ac:dyDescent="0.25">
      <c r="A5630" s="311"/>
      <c r="B5630" s="312"/>
      <c r="C5630" s="312"/>
      <c r="D5630" s="312"/>
      <c r="E5630" s="312"/>
      <c r="F5630" s="312"/>
      <c r="G5630" s="328"/>
      <c r="H5630" s="453"/>
      <c r="I5630" s="334"/>
      <c r="J5630" s="314"/>
      <c r="K5630" s="454"/>
      <c r="M5630" s="349" t="str">
        <f>N5630&amp;AS[[#This Row],[Insurer Code]]&amp;"; "&amp;O5630&amp;AS[[#This Row],[Reporting Year]]&amp;"; "&amp;P5630&amp;AS[[#This Row],[Insurance Category Code]]&amp;"; "&amp;Q5630&amp;AS[[#This Row],[Large Provider Entity Code]]&amp;"; "&amp;R5630&amp;AS[[#This Row],[Age Band Code]]&amp;"; "&amp;S5630&amp;AS[[#This Row],[Sex Code]]</f>
        <v xml:space="preserve">Insurer Code ; Reporting Year ; Insurance Category Code ; Large Provider Entity Code ; Age Band Code ; Sex Code </v>
      </c>
      <c r="N5630" s="345" t="s">
        <v>207</v>
      </c>
      <c r="O5630" s="345" t="s">
        <v>208</v>
      </c>
      <c r="P5630" s="345" t="s">
        <v>209</v>
      </c>
      <c r="Q5630" s="345" t="s">
        <v>210</v>
      </c>
      <c r="R5630" s="345" t="s">
        <v>223</v>
      </c>
      <c r="S5630" s="345" t="s">
        <v>224</v>
      </c>
    </row>
    <row r="5631" spans="1:19" x14ac:dyDescent="0.25">
      <c r="A5631" s="311"/>
      <c r="B5631" s="312"/>
      <c r="C5631" s="312"/>
      <c r="D5631" s="312"/>
      <c r="E5631" s="312"/>
      <c r="F5631" s="312"/>
      <c r="G5631" s="328"/>
      <c r="H5631" s="453"/>
      <c r="I5631" s="334"/>
      <c r="J5631" s="314"/>
      <c r="K5631" s="454"/>
      <c r="M5631" s="349" t="str">
        <f>N5631&amp;AS[[#This Row],[Insurer Code]]&amp;"; "&amp;O5631&amp;AS[[#This Row],[Reporting Year]]&amp;"; "&amp;P5631&amp;AS[[#This Row],[Insurance Category Code]]&amp;"; "&amp;Q5631&amp;AS[[#This Row],[Large Provider Entity Code]]&amp;"; "&amp;R5631&amp;AS[[#This Row],[Age Band Code]]&amp;"; "&amp;S5631&amp;AS[[#This Row],[Sex Code]]</f>
        <v xml:space="preserve">Insurer Code ; Reporting Year ; Insurance Category Code ; Large Provider Entity Code ; Age Band Code ; Sex Code </v>
      </c>
      <c r="N5631" s="345" t="s">
        <v>207</v>
      </c>
      <c r="O5631" s="345" t="s">
        <v>208</v>
      </c>
      <c r="P5631" s="345" t="s">
        <v>209</v>
      </c>
      <c r="Q5631" s="345" t="s">
        <v>210</v>
      </c>
      <c r="R5631" s="345" t="s">
        <v>223</v>
      </c>
      <c r="S5631" s="345" t="s">
        <v>224</v>
      </c>
    </row>
    <row r="5632" spans="1:19" x14ac:dyDescent="0.25">
      <c r="A5632" s="311"/>
      <c r="B5632" s="312"/>
      <c r="C5632" s="312"/>
      <c r="D5632" s="312"/>
      <c r="E5632" s="312"/>
      <c r="F5632" s="312"/>
      <c r="G5632" s="328"/>
      <c r="H5632" s="453"/>
      <c r="I5632" s="334"/>
      <c r="J5632" s="314"/>
      <c r="K5632" s="454"/>
      <c r="M5632" s="349" t="str">
        <f>N5632&amp;AS[[#This Row],[Insurer Code]]&amp;"; "&amp;O5632&amp;AS[[#This Row],[Reporting Year]]&amp;"; "&amp;P5632&amp;AS[[#This Row],[Insurance Category Code]]&amp;"; "&amp;Q5632&amp;AS[[#This Row],[Large Provider Entity Code]]&amp;"; "&amp;R5632&amp;AS[[#This Row],[Age Band Code]]&amp;"; "&amp;S5632&amp;AS[[#This Row],[Sex Code]]</f>
        <v xml:space="preserve">Insurer Code ; Reporting Year ; Insurance Category Code ; Large Provider Entity Code ; Age Band Code ; Sex Code </v>
      </c>
      <c r="N5632" s="345" t="s">
        <v>207</v>
      </c>
      <c r="O5632" s="345" t="s">
        <v>208</v>
      </c>
      <c r="P5632" s="345" t="s">
        <v>209</v>
      </c>
      <c r="Q5632" s="345" t="s">
        <v>210</v>
      </c>
      <c r="R5632" s="345" t="s">
        <v>223</v>
      </c>
      <c r="S5632" s="345" t="s">
        <v>224</v>
      </c>
    </row>
    <row r="5633" spans="1:19" x14ac:dyDescent="0.25">
      <c r="A5633" s="311"/>
      <c r="B5633" s="312"/>
      <c r="C5633" s="312"/>
      <c r="D5633" s="312"/>
      <c r="E5633" s="312"/>
      <c r="F5633" s="312"/>
      <c r="G5633" s="328"/>
      <c r="H5633" s="453"/>
      <c r="I5633" s="334"/>
      <c r="J5633" s="314"/>
      <c r="K5633" s="454"/>
      <c r="M5633" s="349" t="str">
        <f>N5633&amp;AS[[#This Row],[Insurer Code]]&amp;"; "&amp;O5633&amp;AS[[#This Row],[Reporting Year]]&amp;"; "&amp;P5633&amp;AS[[#This Row],[Insurance Category Code]]&amp;"; "&amp;Q5633&amp;AS[[#This Row],[Large Provider Entity Code]]&amp;"; "&amp;R5633&amp;AS[[#This Row],[Age Band Code]]&amp;"; "&amp;S5633&amp;AS[[#This Row],[Sex Code]]</f>
        <v xml:space="preserve">Insurer Code ; Reporting Year ; Insurance Category Code ; Large Provider Entity Code ; Age Band Code ; Sex Code </v>
      </c>
      <c r="N5633" s="345" t="s">
        <v>207</v>
      </c>
      <c r="O5633" s="345" t="s">
        <v>208</v>
      </c>
      <c r="P5633" s="345" t="s">
        <v>209</v>
      </c>
      <c r="Q5633" s="345" t="s">
        <v>210</v>
      </c>
      <c r="R5633" s="345" t="s">
        <v>223</v>
      </c>
      <c r="S5633" s="345" t="s">
        <v>224</v>
      </c>
    </row>
    <row r="5634" spans="1:19" x14ac:dyDescent="0.25">
      <c r="A5634" s="311"/>
      <c r="B5634" s="312"/>
      <c r="C5634" s="312"/>
      <c r="D5634" s="312"/>
      <c r="E5634" s="312"/>
      <c r="F5634" s="312"/>
      <c r="G5634" s="328"/>
      <c r="H5634" s="453"/>
      <c r="I5634" s="334"/>
      <c r="J5634" s="314"/>
      <c r="K5634" s="454"/>
      <c r="M5634" s="349" t="str">
        <f>N5634&amp;AS[[#This Row],[Insurer Code]]&amp;"; "&amp;O5634&amp;AS[[#This Row],[Reporting Year]]&amp;"; "&amp;P5634&amp;AS[[#This Row],[Insurance Category Code]]&amp;"; "&amp;Q5634&amp;AS[[#This Row],[Large Provider Entity Code]]&amp;"; "&amp;R5634&amp;AS[[#This Row],[Age Band Code]]&amp;"; "&amp;S5634&amp;AS[[#This Row],[Sex Code]]</f>
        <v xml:space="preserve">Insurer Code ; Reporting Year ; Insurance Category Code ; Large Provider Entity Code ; Age Band Code ; Sex Code </v>
      </c>
      <c r="N5634" s="345" t="s">
        <v>207</v>
      </c>
      <c r="O5634" s="345" t="s">
        <v>208</v>
      </c>
      <c r="P5634" s="345" t="s">
        <v>209</v>
      </c>
      <c r="Q5634" s="345" t="s">
        <v>210</v>
      </c>
      <c r="R5634" s="345" t="s">
        <v>223</v>
      </c>
      <c r="S5634" s="345" t="s">
        <v>224</v>
      </c>
    </row>
    <row r="5635" spans="1:19" x14ac:dyDescent="0.25">
      <c r="A5635" s="311"/>
      <c r="B5635" s="312"/>
      <c r="C5635" s="312"/>
      <c r="D5635" s="312"/>
      <c r="E5635" s="312"/>
      <c r="F5635" s="312"/>
      <c r="G5635" s="328"/>
      <c r="H5635" s="453"/>
      <c r="I5635" s="334"/>
      <c r="J5635" s="314"/>
      <c r="K5635" s="454"/>
      <c r="M5635" s="349" t="str">
        <f>N5635&amp;AS[[#This Row],[Insurer Code]]&amp;"; "&amp;O5635&amp;AS[[#This Row],[Reporting Year]]&amp;"; "&amp;P5635&amp;AS[[#This Row],[Insurance Category Code]]&amp;"; "&amp;Q5635&amp;AS[[#This Row],[Large Provider Entity Code]]&amp;"; "&amp;R5635&amp;AS[[#This Row],[Age Band Code]]&amp;"; "&amp;S5635&amp;AS[[#This Row],[Sex Code]]</f>
        <v xml:space="preserve">Insurer Code ; Reporting Year ; Insurance Category Code ; Large Provider Entity Code ; Age Band Code ; Sex Code </v>
      </c>
      <c r="N5635" s="345" t="s">
        <v>207</v>
      </c>
      <c r="O5635" s="345" t="s">
        <v>208</v>
      </c>
      <c r="P5635" s="345" t="s">
        <v>209</v>
      </c>
      <c r="Q5635" s="345" t="s">
        <v>210</v>
      </c>
      <c r="R5635" s="345" t="s">
        <v>223</v>
      </c>
      <c r="S5635" s="345" t="s">
        <v>224</v>
      </c>
    </row>
    <row r="5636" spans="1:19" x14ac:dyDescent="0.25">
      <c r="A5636" s="311"/>
      <c r="B5636" s="312"/>
      <c r="C5636" s="312"/>
      <c r="D5636" s="312"/>
      <c r="E5636" s="312"/>
      <c r="F5636" s="312"/>
      <c r="G5636" s="328"/>
      <c r="H5636" s="453"/>
      <c r="I5636" s="334"/>
      <c r="J5636" s="314"/>
      <c r="K5636" s="454"/>
      <c r="M5636" s="349" t="str">
        <f>N5636&amp;AS[[#This Row],[Insurer Code]]&amp;"; "&amp;O5636&amp;AS[[#This Row],[Reporting Year]]&amp;"; "&amp;P5636&amp;AS[[#This Row],[Insurance Category Code]]&amp;"; "&amp;Q5636&amp;AS[[#This Row],[Large Provider Entity Code]]&amp;"; "&amp;R5636&amp;AS[[#This Row],[Age Band Code]]&amp;"; "&amp;S5636&amp;AS[[#This Row],[Sex Code]]</f>
        <v xml:space="preserve">Insurer Code ; Reporting Year ; Insurance Category Code ; Large Provider Entity Code ; Age Band Code ; Sex Code </v>
      </c>
      <c r="N5636" s="345" t="s">
        <v>207</v>
      </c>
      <c r="O5636" s="345" t="s">
        <v>208</v>
      </c>
      <c r="P5636" s="345" t="s">
        <v>209</v>
      </c>
      <c r="Q5636" s="345" t="s">
        <v>210</v>
      </c>
      <c r="R5636" s="345" t="s">
        <v>223</v>
      </c>
      <c r="S5636" s="345" t="s">
        <v>224</v>
      </c>
    </row>
    <row r="5637" spans="1:19" x14ac:dyDescent="0.25">
      <c r="A5637" s="311"/>
      <c r="B5637" s="312"/>
      <c r="C5637" s="312"/>
      <c r="D5637" s="312"/>
      <c r="E5637" s="312"/>
      <c r="F5637" s="312"/>
      <c r="G5637" s="328"/>
      <c r="H5637" s="453"/>
      <c r="I5637" s="334"/>
      <c r="J5637" s="314"/>
      <c r="K5637" s="454"/>
      <c r="M5637" s="349" t="str">
        <f>N5637&amp;AS[[#This Row],[Insurer Code]]&amp;"; "&amp;O5637&amp;AS[[#This Row],[Reporting Year]]&amp;"; "&amp;P5637&amp;AS[[#This Row],[Insurance Category Code]]&amp;"; "&amp;Q5637&amp;AS[[#This Row],[Large Provider Entity Code]]&amp;"; "&amp;R5637&amp;AS[[#This Row],[Age Band Code]]&amp;"; "&amp;S5637&amp;AS[[#This Row],[Sex Code]]</f>
        <v xml:space="preserve">Insurer Code ; Reporting Year ; Insurance Category Code ; Large Provider Entity Code ; Age Band Code ; Sex Code </v>
      </c>
      <c r="N5637" s="345" t="s">
        <v>207</v>
      </c>
      <c r="O5637" s="345" t="s">
        <v>208</v>
      </c>
      <c r="P5637" s="345" t="s">
        <v>209</v>
      </c>
      <c r="Q5637" s="345" t="s">
        <v>210</v>
      </c>
      <c r="R5637" s="345" t="s">
        <v>223</v>
      </c>
      <c r="S5637" s="345" t="s">
        <v>224</v>
      </c>
    </row>
    <row r="5638" spans="1:19" x14ac:dyDescent="0.25">
      <c r="A5638" s="311"/>
      <c r="B5638" s="312"/>
      <c r="C5638" s="312"/>
      <c r="D5638" s="312"/>
      <c r="E5638" s="312"/>
      <c r="F5638" s="312"/>
      <c r="G5638" s="328"/>
      <c r="H5638" s="453"/>
      <c r="I5638" s="334"/>
      <c r="J5638" s="314"/>
      <c r="K5638" s="454"/>
      <c r="M5638" s="349" t="str">
        <f>N5638&amp;AS[[#This Row],[Insurer Code]]&amp;"; "&amp;O5638&amp;AS[[#This Row],[Reporting Year]]&amp;"; "&amp;P5638&amp;AS[[#This Row],[Insurance Category Code]]&amp;"; "&amp;Q5638&amp;AS[[#This Row],[Large Provider Entity Code]]&amp;"; "&amp;R5638&amp;AS[[#This Row],[Age Band Code]]&amp;"; "&amp;S5638&amp;AS[[#This Row],[Sex Code]]</f>
        <v xml:space="preserve">Insurer Code ; Reporting Year ; Insurance Category Code ; Large Provider Entity Code ; Age Band Code ; Sex Code </v>
      </c>
      <c r="N5638" s="345" t="s">
        <v>207</v>
      </c>
      <c r="O5638" s="345" t="s">
        <v>208</v>
      </c>
      <c r="P5638" s="345" t="s">
        <v>209</v>
      </c>
      <c r="Q5638" s="345" t="s">
        <v>210</v>
      </c>
      <c r="R5638" s="345" t="s">
        <v>223</v>
      </c>
      <c r="S5638" s="345" t="s">
        <v>224</v>
      </c>
    </row>
    <row r="5639" spans="1:19" x14ac:dyDescent="0.25">
      <c r="A5639" s="311"/>
      <c r="B5639" s="312"/>
      <c r="C5639" s="312"/>
      <c r="D5639" s="312"/>
      <c r="E5639" s="312"/>
      <c r="F5639" s="312"/>
      <c r="G5639" s="328"/>
      <c r="H5639" s="453"/>
      <c r="I5639" s="334"/>
      <c r="J5639" s="314"/>
      <c r="K5639" s="454"/>
      <c r="M5639" s="349" t="str">
        <f>N5639&amp;AS[[#This Row],[Insurer Code]]&amp;"; "&amp;O5639&amp;AS[[#This Row],[Reporting Year]]&amp;"; "&amp;P5639&amp;AS[[#This Row],[Insurance Category Code]]&amp;"; "&amp;Q5639&amp;AS[[#This Row],[Large Provider Entity Code]]&amp;"; "&amp;R5639&amp;AS[[#This Row],[Age Band Code]]&amp;"; "&amp;S5639&amp;AS[[#This Row],[Sex Code]]</f>
        <v xml:space="preserve">Insurer Code ; Reporting Year ; Insurance Category Code ; Large Provider Entity Code ; Age Band Code ; Sex Code </v>
      </c>
      <c r="N5639" s="345" t="s">
        <v>207</v>
      </c>
      <c r="O5639" s="345" t="s">
        <v>208</v>
      </c>
      <c r="P5639" s="345" t="s">
        <v>209</v>
      </c>
      <c r="Q5639" s="345" t="s">
        <v>210</v>
      </c>
      <c r="R5639" s="345" t="s">
        <v>223</v>
      </c>
      <c r="S5639" s="345" t="s">
        <v>224</v>
      </c>
    </row>
    <row r="5640" spans="1:19" x14ac:dyDescent="0.25">
      <c r="A5640" s="311"/>
      <c r="B5640" s="312"/>
      <c r="C5640" s="312"/>
      <c r="D5640" s="312"/>
      <c r="E5640" s="312"/>
      <c r="F5640" s="312"/>
      <c r="G5640" s="328"/>
      <c r="H5640" s="453"/>
      <c r="I5640" s="334"/>
      <c r="J5640" s="314"/>
      <c r="K5640" s="454"/>
      <c r="M5640" s="349" t="str">
        <f>N5640&amp;AS[[#This Row],[Insurer Code]]&amp;"; "&amp;O5640&amp;AS[[#This Row],[Reporting Year]]&amp;"; "&amp;P5640&amp;AS[[#This Row],[Insurance Category Code]]&amp;"; "&amp;Q5640&amp;AS[[#This Row],[Large Provider Entity Code]]&amp;"; "&amp;R5640&amp;AS[[#This Row],[Age Band Code]]&amp;"; "&amp;S5640&amp;AS[[#This Row],[Sex Code]]</f>
        <v xml:space="preserve">Insurer Code ; Reporting Year ; Insurance Category Code ; Large Provider Entity Code ; Age Band Code ; Sex Code </v>
      </c>
      <c r="N5640" s="345" t="s">
        <v>207</v>
      </c>
      <c r="O5640" s="345" t="s">
        <v>208</v>
      </c>
      <c r="P5640" s="345" t="s">
        <v>209</v>
      </c>
      <c r="Q5640" s="345" t="s">
        <v>210</v>
      </c>
      <c r="R5640" s="345" t="s">
        <v>223</v>
      </c>
      <c r="S5640" s="345" t="s">
        <v>224</v>
      </c>
    </row>
    <row r="5641" spans="1:19" x14ac:dyDescent="0.25">
      <c r="A5641" s="311"/>
      <c r="B5641" s="312"/>
      <c r="C5641" s="312"/>
      <c r="D5641" s="312"/>
      <c r="E5641" s="312"/>
      <c r="F5641" s="312"/>
      <c r="G5641" s="328"/>
      <c r="H5641" s="453"/>
      <c r="I5641" s="334"/>
      <c r="J5641" s="314"/>
      <c r="K5641" s="454"/>
      <c r="M5641" s="349" t="str">
        <f>N5641&amp;AS[[#This Row],[Insurer Code]]&amp;"; "&amp;O5641&amp;AS[[#This Row],[Reporting Year]]&amp;"; "&amp;P5641&amp;AS[[#This Row],[Insurance Category Code]]&amp;"; "&amp;Q5641&amp;AS[[#This Row],[Large Provider Entity Code]]&amp;"; "&amp;R5641&amp;AS[[#This Row],[Age Band Code]]&amp;"; "&amp;S5641&amp;AS[[#This Row],[Sex Code]]</f>
        <v xml:space="preserve">Insurer Code ; Reporting Year ; Insurance Category Code ; Large Provider Entity Code ; Age Band Code ; Sex Code </v>
      </c>
      <c r="N5641" s="345" t="s">
        <v>207</v>
      </c>
      <c r="O5641" s="345" t="s">
        <v>208</v>
      </c>
      <c r="P5641" s="345" t="s">
        <v>209</v>
      </c>
      <c r="Q5641" s="345" t="s">
        <v>210</v>
      </c>
      <c r="R5641" s="345" t="s">
        <v>223</v>
      </c>
      <c r="S5641" s="345" t="s">
        <v>224</v>
      </c>
    </row>
    <row r="5642" spans="1:19" x14ac:dyDescent="0.25">
      <c r="A5642" s="311"/>
      <c r="B5642" s="312"/>
      <c r="C5642" s="312"/>
      <c r="D5642" s="312"/>
      <c r="E5642" s="312"/>
      <c r="F5642" s="312"/>
      <c r="G5642" s="328"/>
      <c r="H5642" s="453"/>
      <c r="I5642" s="334"/>
      <c r="J5642" s="314"/>
      <c r="K5642" s="454"/>
      <c r="M5642" s="349" t="str">
        <f>N5642&amp;AS[[#This Row],[Insurer Code]]&amp;"; "&amp;O5642&amp;AS[[#This Row],[Reporting Year]]&amp;"; "&amp;P5642&amp;AS[[#This Row],[Insurance Category Code]]&amp;"; "&amp;Q5642&amp;AS[[#This Row],[Large Provider Entity Code]]&amp;"; "&amp;R5642&amp;AS[[#This Row],[Age Band Code]]&amp;"; "&amp;S5642&amp;AS[[#This Row],[Sex Code]]</f>
        <v xml:space="preserve">Insurer Code ; Reporting Year ; Insurance Category Code ; Large Provider Entity Code ; Age Band Code ; Sex Code </v>
      </c>
      <c r="N5642" s="345" t="s">
        <v>207</v>
      </c>
      <c r="O5642" s="345" t="s">
        <v>208</v>
      </c>
      <c r="P5642" s="345" t="s">
        <v>209</v>
      </c>
      <c r="Q5642" s="345" t="s">
        <v>210</v>
      </c>
      <c r="R5642" s="345" t="s">
        <v>223</v>
      </c>
      <c r="S5642" s="345" t="s">
        <v>224</v>
      </c>
    </row>
    <row r="5643" spans="1:19" x14ac:dyDescent="0.25">
      <c r="A5643" s="311"/>
      <c r="B5643" s="312"/>
      <c r="C5643" s="312"/>
      <c r="D5643" s="312"/>
      <c r="E5643" s="312"/>
      <c r="F5643" s="312"/>
      <c r="G5643" s="328"/>
      <c r="H5643" s="453"/>
      <c r="I5643" s="334"/>
      <c r="J5643" s="314"/>
      <c r="K5643" s="454"/>
      <c r="M5643" s="349" t="str">
        <f>N5643&amp;AS[[#This Row],[Insurer Code]]&amp;"; "&amp;O5643&amp;AS[[#This Row],[Reporting Year]]&amp;"; "&amp;P5643&amp;AS[[#This Row],[Insurance Category Code]]&amp;"; "&amp;Q5643&amp;AS[[#This Row],[Large Provider Entity Code]]&amp;"; "&amp;R5643&amp;AS[[#This Row],[Age Band Code]]&amp;"; "&amp;S5643&amp;AS[[#This Row],[Sex Code]]</f>
        <v xml:space="preserve">Insurer Code ; Reporting Year ; Insurance Category Code ; Large Provider Entity Code ; Age Band Code ; Sex Code </v>
      </c>
      <c r="N5643" s="345" t="s">
        <v>207</v>
      </c>
      <c r="O5643" s="345" t="s">
        <v>208</v>
      </c>
      <c r="P5643" s="345" t="s">
        <v>209</v>
      </c>
      <c r="Q5643" s="345" t="s">
        <v>210</v>
      </c>
      <c r="R5643" s="345" t="s">
        <v>223</v>
      </c>
      <c r="S5643" s="345" t="s">
        <v>224</v>
      </c>
    </row>
    <row r="5644" spans="1:19" x14ac:dyDescent="0.25">
      <c r="A5644" s="311"/>
      <c r="B5644" s="312"/>
      <c r="C5644" s="312"/>
      <c r="D5644" s="312"/>
      <c r="E5644" s="312"/>
      <c r="F5644" s="312"/>
      <c r="G5644" s="328"/>
      <c r="H5644" s="453"/>
      <c r="I5644" s="334"/>
      <c r="J5644" s="314"/>
      <c r="K5644" s="454"/>
      <c r="M5644" s="349" t="str">
        <f>N5644&amp;AS[[#This Row],[Insurer Code]]&amp;"; "&amp;O5644&amp;AS[[#This Row],[Reporting Year]]&amp;"; "&amp;P5644&amp;AS[[#This Row],[Insurance Category Code]]&amp;"; "&amp;Q5644&amp;AS[[#This Row],[Large Provider Entity Code]]&amp;"; "&amp;R5644&amp;AS[[#This Row],[Age Band Code]]&amp;"; "&amp;S5644&amp;AS[[#This Row],[Sex Code]]</f>
        <v xml:space="preserve">Insurer Code ; Reporting Year ; Insurance Category Code ; Large Provider Entity Code ; Age Band Code ; Sex Code </v>
      </c>
      <c r="N5644" s="345" t="s">
        <v>207</v>
      </c>
      <c r="O5644" s="345" t="s">
        <v>208</v>
      </c>
      <c r="P5644" s="345" t="s">
        <v>209</v>
      </c>
      <c r="Q5644" s="345" t="s">
        <v>210</v>
      </c>
      <c r="R5644" s="345" t="s">
        <v>223</v>
      </c>
      <c r="S5644" s="345" t="s">
        <v>224</v>
      </c>
    </row>
    <row r="5645" spans="1:19" x14ac:dyDescent="0.25">
      <c r="A5645" s="311"/>
      <c r="B5645" s="312"/>
      <c r="C5645" s="312"/>
      <c r="D5645" s="312"/>
      <c r="E5645" s="312"/>
      <c r="F5645" s="312"/>
      <c r="G5645" s="328"/>
      <c r="H5645" s="453"/>
      <c r="I5645" s="334"/>
      <c r="J5645" s="314"/>
      <c r="K5645" s="454"/>
      <c r="M5645" s="349" t="str">
        <f>N5645&amp;AS[[#This Row],[Insurer Code]]&amp;"; "&amp;O5645&amp;AS[[#This Row],[Reporting Year]]&amp;"; "&amp;P5645&amp;AS[[#This Row],[Insurance Category Code]]&amp;"; "&amp;Q5645&amp;AS[[#This Row],[Large Provider Entity Code]]&amp;"; "&amp;R5645&amp;AS[[#This Row],[Age Band Code]]&amp;"; "&amp;S5645&amp;AS[[#This Row],[Sex Code]]</f>
        <v xml:space="preserve">Insurer Code ; Reporting Year ; Insurance Category Code ; Large Provider Entity Code ; Age Band Code ; Sex Code </v>
      </c>
      <c r="N5645" s="345" t="s">
        <v>207</v>
      </c>
      <c r="O5645" s="345" t="s">
        <v>208</v>
      </c>
      <c r="P5645" s="345" t="s">
        <v>209</v>
      </c>
      <c r="Q5645" s="345" t="s">
        <v>210</v>
      </c>
      <c r="R5645" s="345" t="s">
        <v>223</v>
      </c>
      <c r="S5645" s="345" t="s">
        <v>224</v>
      </c>
    </row>
    <row r="5646" spans="1:19" x14ac:dyDescent="0.25">
      <c r="A5646" s="311"/>
      <c r="B5646" s="312"/>
      <c r="C5646" s="312"/>
      <c r="D5646" s="312"/>
      <c r="E5646" s="312"/>
      <c r="F5646" s="312"/>
      <c r="G5646" s="328"/>
      <c r="H5646" s="453"/>
      <c r="I5646" s="334"/>
      <c r="J5646" s="314"/>
      <c r="K5646" s="454"/>
      <c r="M5646" s="349" t="str">
        <f>N5646&amp;AS[[#This Row],[Insurer Code]]&amp;"; "&amp;O5646&amp;AS[[#This Row],[Reporting Year]]&amp;"; "&amp;P5646&amp;AS[[#This Row],[Insurance Category Code]]&amp;"; "&amp;Q5646&amp;AS[[#This Row],[Large Provider Entity Code]]&amp;"; "&amp;R5646&amp;AS[[#This Row],[Age Band Code]]&amp;"; "&amp;S5646&amp;AS[[#This Row],[Sex Code]]</f>
        <v xml:space="preserve">Insurer Code ; Reporting Year ; Insurance Category Code ; Large Provider Entity Code ; Age Band Code ; Sex Code </v>
      </c>
      <c r="N5646" s="345" t="s">
        <v>207</v>
      </c>
      <c r="O5646" s="345" t="s">
        <v>208</v>
      </c>
      <c r="P5646" s="345" t="s">
        <v>209</v>
      </c>
      <c r="Q5646" s="345" t="s">
        <v>210</v>
      </c>
      <c r="R5646" s="345" t="s">
        <v>223</v>
      </c>
      <c r="S5646" s="345" t="s">
        <v>224</v>
      </c>
    </row>
    <row r="5647" spans="1:19" x14ac:dyDescent="0.25">
      <c r="A5647" s="311"/>
      <c r="B5647" s="312"/>
      <c r="C5647" s="312"/>
      <c r="D5647" s="312"/>
      <c r="E5647" s="312"/>
      <c r="F5647" s="312"/>
      <c r="G5647" s="328"/>
      <c r="H5647" s="453"/>
      <c r="I5647" s="334"/>
      <c r="J5647" s="314"/>
      <c r="K5647" s="454"/>
      <c r="M5647" s="349" t="str">
        <f>N5647&amp;AS[[#This Row],[Insurer Code]]&amp;"; "&amp;O5647&amp;AS[[#This Row],[Reporting Year]]&amp;"; "&amp;P5647&amp;AS[[#This Row],[Insurance Category Code]]&amp;"; "&amp;Q5647&amp;AS[[#This Row],[Large Provider Entity Code]]&amp;"; "&amp;R5647&amp;AS[[#This Row],[Age Band Code]]&amp;"; "&amp;S5647&amp;AS[[#This Row],[Sex Code]]</f>
        <v xml:space="preserve">Insurer Code ; Reporting Year ; Insurance Category Code ; Large Provider Entity Code ; Age Band Code ; Sex Code </v>
      </c>
      <c r="N5647" s="345" t="s">
        <v>207</v>
      </c>
      <c r="O5647" s="345" t="s">
        <v>208</v>
      </c>
      <c r="P5647" s="345" t="s">
        <v>209</v>
      </c>
      <c r="Q5647" s="345" t="s">
        <v>210</v>
      </c>
      <c r="R5647" s="345" t="s">
        <v>223</v>
      </c>
      <c r="S5647" s="345" t="s">
        <v>224</v>
      </c>
    </row>
    <row r="5648" spans="1:19" x14ac:dyDescent="0.25">
      <c r="A5648" s="311"/>
      <c r="B5648" s="312"/>
      <c r="C5648" s="312"/>
      <c r="D5648" s="312"/>
      <c r="E5648" s="312"/>
      <c r="F5648" s="312"/>
      <c r="G5648" s="328"/>
      <c r="H5648" s="453"/>
      <c r="I5648" s="334"/>
      <c r="J5648" s="314"/>
      <c r="K5648" s="454"/>
      <c r="M5648" s="349" t="str">
        <f>N5648&amp;AS[[#This Row],[Insurer Code]]&amp;"; "&amp;O5648&amp;AS[[#This Row],[Reporting Year]]&amp;"; "&amp;P5648&amp;AS[[#This Row],[Insurance Category Code]]&amp;"; "&amp;Q5648&amp;AS[[#This Row],[Large Provider Entity Code]]&amp;"; "&amp;R5648&amp;AS[[#This Row],[Age Band Code]]&amp;"; "&amp;S5648&amp;AS[[#This Row],[Sex Code]]</f>
        <v xml:space="preserve">Insurer Code ; Reporting Year ; Insurance Category Code ; Large Provider Entity Code ; Age Band Code ; Sex Code </v>
      </c>
      <c r="N5648" s="345" t="s">
        <v>207</v>
      </c>
      <c r="O5648" s="345" t="s">
        <v>208</v>
      </c>
      <c r="P5648" s="345" t="s">
        <v>209</v>
      </c>
      <c r="Q5648" s="345" t="s">
        <v>210</v>
      </c>
      <c r="R5648" s="345" t="s">
        <v>223</v>
      </c>
      <c r="S5648" s="345" t="s">
        <v>224</v>
      </c>
    </row>
    <row r="5649" spans="1:19" x14ac:dyDescent="0.25">
      <c r="A5649" s="311"/>
      <c r="B5649" s="312"/>
      <c r="C5649" s="312"/>
      <c r="D5649" s="312"/>
      <c r="E5649" s="312"/>
      <c r="F5649" s="312"/>
      <c r="G5649" s="328"/>
      <c r="H5649" s="453"/>
      <c r="I5649" s="334"/>
      <c r="J5649" s="314"/>
      <c r="K5649" s="454"/>
      <c r="M5649" s="349" t="str">
        <f>N5649&amp;AS[[#This Row],[Insurer Code]]&amp;"; "&amp;O5649&amp;AS[[#This Row],[Reporting Year]]&amp;"; "&amp;P5649&amp;AS[[#This Row],[Insurance Category Code]]&amp;"; "&amp;Q5649&amp;AS[[#This Row],[Large Provider Entity Code]]&amp;"; "&amp;R5649&amp;AS[[#This Row],[Age Band Code]]&amp;"; "&amp;S5649&amp;AS[[#This Row],[Sex Code]]</f>
        <v xml:space="preserve">Insurer Code ; Reporting Year ; Insurance Category Code ; Large Provider Entity Code ; Age Band Code ; Sex Code </v>
      </c>
      <c r="N5649" s="345" t="s">
        <v>207</v>
      </c>
      <c r="O5649" s="345" t="s">
        <v>208</v>
      </c>
      <c r="P5649" s="345" t="s">
        <v>209</v>
      </c>
      <c r="Q5649" s="345" t="s">
        <v>210</v>
      </c>
      <c r="R5649" s="345" t="s">
        <v>223</v>
      </c>
      <c r="S5649" s="345" t="s">
        <v>224</v>
      </c>
    </row>
    <row r="5650" spans="1:19" x14ac:dyDescent="0.25">
      <c r="A5650" s="311"/>
      <c r="B5650" s="312"/>
      <c r="C5650" s="312"/>
      <c r="D5650" s="312"/>
      <c r="E5650" s="312"/>
      <c r="F5650" s="312"/>
      <c r="G5650" s="328"/>
      <c r="H5650" s="453"/>
      <c r="I5650" s="334"/>
      <c r="J5650" s="314"/>
      <c r="K5650" s="454"/>
      <c r="M5650" s="349" t="str">
        <f>N5650&amp;AS[[#This Row],[Insurer Code]]&amp;"; "&amp;O5650&amp;AS[[#This Row],[Reporting Year]]&amp;"; "&amp;P5650&amp;AS[[#This Row],[Insurance Category Code]]&amp;"; "&amp;Q5650&amp;AS[[#This Row],[Large Provider Entity Code]]&amp;"; "&amp;R5650&amp;AS[[#This Row],[Age Band Code]]&amp;"; "&amp;S5650&amp;AS[[#This Row],[Sex Code]]</f>
        <v xml:space="preserve">Insurer Code ; Reporting Year ; Insurance Category Code ; Large Provider Entity Code ; Age Band Code ; Sex Code </v>
      </c>
      <c r="N5650" s="345" t="s">
        <v>207</v>
      </c>
      <c r="O5650" s="345" t="s">
        <v>208</v>
      </c>
      <c r="P5650" s="345" t="s">
        <v>209</v>
      </c>
      <c r="Q5650" s="345" t="s">
        <v>210</v>
      </c>
      <c r="R5650" s="345" t="s">
        <v>223</v>
      </c>
      <c r="S5650" s="345" t="s">
        <v>224</v>
      </c>
    </row>
    <row r="5651" spans="1:19" x14ac:dyDescent="0.25">
      <c r="A5651" s="311"/>
      <c r="B5651" s="312"/>
      <c r="C5651" s="312"/>
      <c r="D5651" s="312"/>
      <c r="E5651" s="312"/>
      <c r="F5651" s="312"/>
      <c r="G5651" s="328"/>
      <c r="H5651" s="453"/>
      <c r="I5651" s="334"/>
      <c r="J5651" s="314"/>
      <c r="K5651" s="454"/>
      <c r="M5651" s="349" t="str">
        <f>N5651&amp;AS[[#This Row],[Insurer Code]]&amp;"; "&amp;O5651&amp;AS[[#This Row],[Reporting Year]]&amp;"; "&amp;P5651&amp;AS[[#This Row],[Insurance Category Code]]&amp;"; "&amp;Q5651&amp;AS[[#This Row],[Large Provider Entity Code]]&amp;"; "&amp;R5651&amp;AS[[#This Row],[Age Band Code]]&amp;"; "&amp;S5651&amp;AS[[#This Row],[Sex Code]]</f>
        <v xml:space="preserve">Insurer Code ; Reporting Year ; Insurance Category Code ; Large Provider Entity Code ; Age Band Code ; Sex Code </v>
      </c>
      <c r="N5651" s="345" t="s">
        <v>207</v>
      </c>
      <c r="O5651" s="345" t="s">
        <v>208</v>
      </c>
      <c r="P5651" s="345" t="s">
        <v>209</v>
      </c>
      <c r="Q5651" s="345" t="s">
        <v>210</v>
      </c>
      <c r="R5651" s="345" t="s">
        <v>223</v>
      </c>
      <c r="S5651" s="345" t="s">
        <v>224</v>
      </c>
    </row>
    <row r="5652" spans="1:19" x14ac:dyDescent="0.25">
      <c r="A5652" s="311"/>
      <c r="B5652" s="312"/>
      <c r="C5652" s="312"/>
      <c r="D5652" s="312"/>
      <c r="E5652" s="312"/>
      <c r="F5652" s="312"/>
      <c r="G5652" s="328"/>
      <c r="H5652" s="453"/>
      <c r="I5652" s="334"/>
      <c r="J5652" s="314"/>
      <c r="K5652" s="454"/>
      <c r="M5652" s="349" t="str">
        <f>N5652&amp;AS[[#This Row],[Insurer Code]]&amp;"; "&amp;O5652&amp;AS[[#This Row],[Reporting Year]]&amp;"; "&amp;P5652&amp;AS[[#This Row],[Insurance Category Code]]&amp;"; "&amp;Q5652&amp;AS[[#This Row],[Large Provider Entity Code]]&amp;"; "&amp;R5652&amp;AS[[#This Row],[Age Band Code]]&amp;"; "&amp;S5652&amp;AS[[#This Row],[Sex Code]]</f>
        <v xml:space="preserve">Insurer Code ; Reporting Year ; Insurance Category Code ; Large Provider Entity Code ; Age Band Code ; Sex Code </v>
      </c>
      <c r="N5652" s="345" t="s">
        <v>207</v>
      </c>
      <c r="O5652" s="345" t="s">
        <v>208</v>
      </c>
      <c r="P5652" s="345" t="s">
        <v>209</v>
      </c>
      <c r="Q5652" s="345" t="s">
        <v>210</v>
      </c>
      <c r="R5652" s="345" t="s">
        <v>223</v>
      </c>
      <c r="S5652" s="345" t="s">
        <v>224</v>
      </c>
    </row>
    <row r="5653" spans="1:19" x14ac:dyDescent="0.25">
      <c r="A5653" s="311"/>
      <c r="B5653" s="312"/>
      <c r="C5653" s="312"/>
      <c r="D5653" s="312"/>
      <c r="E5653" s="312"/>
      <c r="F5653" s="312"/>
      <c r="G5653" s="328"/>
      <c r="H5653" s="453"/>
      <c r="I5653" s="334"/>
      <c r="J5653" s="314"/>
      <c r="K5653" s="454"/>
      <c r="M5653" s="349" t="str">
        <f>N5653&amp;AS[[#This Row],[Insurer Code]]&amp;"; "&amp;O5653&amp;AS[[#This Row],[Reporting Year]]&amp;"; "&amp;P5653&amp;AS[[#This Row],[Insurance Category Code]]&amp;"; "&amp;Q5653&amp;AS[[#This Row],[Large Provider Entity Code]]&amp;"; "&amp;R5653&amp;AS[[#This Row],[Age Band Code]]&amp;"; "&amp;S5653&amp;AS[[#This Row],[Sex Code]]</f>
        <v xml:space="preserve">Insurer Code ; Reporting Year ; Insurance Category Code ; Large Provider Entity Code ; Age Band Code ; Sex Code </v>
      </c>
      <c r="N5653" s="345" t="s">
        <v>207</v>
      </c>
      <c r="O5653" s="345" t="s">
        <v>208</v>
      </c>
      <c r="P5653" s="345" t="s">
        <v>209</v>
      </c>
      <c r="Q5653" s="345" t="s">
        <v>210</v>
      </c>
      <c r="R5653" s="345" t="s">
        <v>223</v>
      </c>
      <c r="S5653" s="345" t="s">
        <v>224</v>
      </c>
    </row>
    <row r="5654" spans="1:19" x14ac:dyDescent="0.25">
      <c r="A5654" s="311"/>
      <c r="B5654" s="312"/>
      <c r="C5654" s="312"/>
      <c r="D5654" s="312"/>
      <c r="E5654" s="312"/>
      <c r="F5654" s="312"/>
      <c r="G5654" s="328"/>
      <c r="H5654" s="453"/>
      <c r="I5654" s="334"/>
      <c r="J5654" s="314"/>
      <c r="K5654" s="454"/>
      <c r="M5654" s="349" t="str">
        <f>N5654&amp;AS[[#This Row],[Insurer Code]]&amp;"; "&amp;O5654&amp;AS[[#This Row],[Reporting Year]]&amp;"; "&amp;P5654&amp;AS[[#This Row],[Insurance Category Code]]&amp;"; "&amp;Q5654&amp;AS[[#This Row],[Large Provider Entity Code]]&amp;"; "&amp;R5654&amp;AS[[#This Row],[Age Band Code]]&amp;"; "&amp;S5654&amp;AS[[#This Row],[Sex Code]]</f>
        <v xml:space="preserve">Insurer Code ; Reporting Year ; Insurance Category Code ; Large Provider Entity Code ; Age Band Code ; Sex Code </v>
      </c>
      <c r="N5654" s="345" t="s">
        <v>207</v>
      </c>
      <c r="O5654" s="345" t="s">
        <v>208</v>
      </c>
      <c r="P5654" s="345" t="s">
        <v>209</v>
      </c>
      <c r="Q5654" s="345" t="s">
        <v>210</v>
      </c>
      <c r="R5654" s="345" t="s">
        <v>223</v>
      </c>
      <c r="S5654" s="345" t="s">
        <v>224</v>
      </c>
    </row>
    <row r="5655" spans="1:19" x14ac:dyDescent="0.25">
      <c r="A5655" s="311"/>
      <c r="B5655" s="312"/>
      <c r="C5655" s="312"/>
      <c r="D5655" s="312"/>
      <c r="E5655" s="312"/>
      <c r="F5655" s="312"/>
      <c r="G5655" s="328"/>
      <c r="H5655" s="453"/>
      <c r="I5655" s="334"/>
      <c r="J5655" s="314"/>
      <c r="K5655" s="454"/>
      <c r="M5655" s="349" t="str">
        <f>N5655&amp;AS[[#This Row],[Insurer Code]]&amp;"; "&amp;O5655&amp;AS[[#This Row],[Reporting Year]]&amp;"; "&amp;P5655&amp;AS[[#This Row],[Insurance Category Code]]&amp;"; "&amp;Q5655&amp;AS[[#This Row],[Large Provider Entity Code]]&amp;"; "&amp;R5655&amp;AS[[#This Row],[Age Band Code]]&amp;"; "&amp;S5655&amp;AS[[#This Row],[Sex Code]]</f>
        <v xml:space="preserve">Insurer Code ; Reporting Year ; Insurance Category Code ; Large Provider Entity Code ; Age Band Code ; Sex Code </v>
      </c>
      <c r="N5655" s="345" t="s">
        <v>207</v>
      </c>
      <c r="O5655" s="345" t="s">
        <v>208</v>
      </c>
      <c r="P5655" s="345" t="s">
        <v>209</v>
      </c>
      <c r="Q5655" s="345" t="s">
        <v>210</v>
      </c>
      <c r="R5655" s="345" t="s">
        <v>223</v>
      </c>
      <c r="S5655" s="345" t="s">
        <v>224</v>
      </c>
    </row>
    <row r="5656" spans="1:19" x14ac:dyDescent="0.25">
      <c r="A5656" s="311"/>
      <c r="B5656" s="312"/>
      <c r="C5656" s="312"/>
      <c r="D5656" s="312"/>
      <c r="E5656" s="312"/>
      <c r="F5656" s="312"/>
      <c r="G5656" s="328"/>
      <c r="H5656" s="453"/>
      <c r="I5656" s="334"/>
      <c r="J5656" s="314"/>
      <c r="K5656" s="454"/>
      <c r="M5656" s="349" t="str">
        <f>N5656&amp;AS[[#This Row],[Insurer Code]]&amp;"; "&amp;O5656&amp;AS[[#This Row],[Reporting Year]]&amp;"; "&amp;P5656&amp;AS[[#This Row],[Insurance Category Code]]&amp;"; "&amp;Q5656&amp;AS[[#This Row],[Large Provider Entity Code]]&amp;"; "&amp;R5656&amp;AS[[#This Row],[Age Band Code]]&amp;"; "&amp;S5656&amp;AS[[#This Row],[Sex Code]]</f>
        <v xml:space="preserve">Insurer Code ; Reporting Year ; Insurance Category Code ; Large Provider Entity Code ; Age Band Code ; Sex Code </v>
      </c>
      <c r="N5656" s="345" t="s">
        <v>207</v>
      </c>
      <c r="O5656" s="345" t="s">
        <v>208</v>
      </c>
      <c r="P5656" s="345" t="s">
        <v>209</v>
      </c>
      <c r="Q5656" s="345" t="s">
        <v>210</v>
      </c>
      <c r="R5656" s="345" t="s">
        <v>223</v>
      </c>
      <c r="S5656" s="345" t="s">
        <v>224</v>
      </c>
    </row>
    <row r="5657" spans="1:19" x14ac:dyDescent="0.25">
      <c r="A5657" s="311"/>
      <c r="B5657" s="312"/>
      <c r="C5657" s="312"/>
      <c r="D5657" s="312"/>
      <c r="E5657" s="312"/>
      <c r="F5657" s="312"/>
      <c r="G5657" s="328"/>
      <c r="H5657" s="453"/>
      <c r="I5657" s="334"/>
      <c r="J5657" s="314"/>
      <c r="K5657" s="454"/>
      <c r="M5657" s="349" t="str">
        <f>N5657&amp;AS[[#This Row],[Insurer Code]]&amp;"; "&amp;O5657&amp;AS[[#This Row],[Reporting Year]]&amp;"; "&amp;P5657&amp;AS[[#This Row],[Insurance Category Code]]&amp;"; "&amp;Q5657&amp;AS[[#This Row],[Large Provider Entity Code]]&amp;"; "&amp;R5657&amp;AS[[#This Row],[Age Band Code]]&amp;"; "&amp;S5657&amp;AS[[#This Row],[Sex Code]]</f>
        <v xml:space="preserve">Insurer Code ; Reporting Year ; Insurance Category Code ; Large Provider Entity Code ; Age Band Code ; Sex Code </v>
      </c>
      <c r="N5657" s="345" t="s">
        <v>207</v>
      </c>
      <c r="O5657" s="345" t="s">
        <v>208</v>
      </c>
      <c r="P5657" s="345" t="s">
        <v>209</v>
      </c>
      <c r="Q5657" s="345" t="s">
        <v>210</v>
      </c>
      <c r="R5657" s="345" t="s">
        <v>223</v>
      </c>
      <c r="S5657" s="345" t="s">
        <v>224</v>
      </c>
    </row>
    <row r="5658" spans="1:19" x14ac:dyDescent="0.25">
      <c r="A5658" s="311"/>
      <c r="B5658" s="312"/>
      <c r="C5658" s="312"/>
      <c r="D5658" s="312"/>
      <c r="E5658" s="312"/>
      <c r="F5658" s="312"/>
      <c r="G5658" s="328"/>
      <c r="H5658" s="453"/>
      <c r="I5658" s="334"/>
      <c r="J5658" s="314"/>
      <c r="K5658" s="454"/>
      <c r="M5658" s="349" t="str">
        <f>N5658&amp;AS[[#This Row],[Insurer Code]]&amp;"; "&amp;O5658&amp;AS[[#This Row],[Reporting Year]]&amp;"; "&amp;P5658&amp;AS[[#This Row],[Insurance Category Code]]&amp;"; "&amp;Q5658&amp;AS[[#This Row],[Large Provider Entity Code]]&amp;"; "&amp;R5658&amp;AS[[#This Row],[Age Band Code]]&amp;"; "&amp;S5658&amp;AS[[#This Row],[Sex Code]]</f>
        <v xml:space="preserve">Insurer Code ; Reporting Year ; Insurance Category Code ; Large Provider Entity Code ; Age Band Code ; Sex Code </v>
      </c>
      <c r="N5658" s="345" t="s">
        <v>207</v>
      </c>
      <c r="O5658" s="345" t="s">
        <v>208</v>
      </c>
      <c r="P5658" s="345" t="s">
        <v>209</v>
      </c>
      <c r="Q5658" s="345" t="s">
        <v>210</v>
      </c>
      <c r="R5658" s="345" t="s">
        <v>223</v>
      </c>
      <c r="S5658" s="345" t="s">
        <v>224</v>
      </c>
    </row>
    <row r="5659" spans="1:19" x14ac:dyDescent="0.25">
      <c r="A5659" s="311"/>
      <c r="B5659" s="312"/>
      <c r="C5659" s="312"/>
      <c r="D5659" s="312"/>
      <c r="E5659" s="312"/>
      <c r="F5659" s="312"/>
      <c r="G5659" s="328"/>
      <c r="H5659" s="453"/>
      <c r="I5659" s="334"/>
      <c r="J5659" s="314"/>
      <c r="K5659" s="454"/>
      <c r="M5659" s="349" t="str">
        <f>N5659&amp;AS[[#This Row],[Insurer Code]]&amp;"; "&amp;O5659&amp;AS[[#This Row],[Reporting Year]]&amp;"; "&amp;P5659&amp;AS[[#This Row],[Insurance Category Code]]&amp;"; "&amp;Q5659&amp;AS[[#This Row],[Large Provider Entity Code]]&amp;"; "&amp;R5659&amp;AS[[#This Row],[Age Band Code]]&amp;"; "&amp;S5659&amp;AS[[#This Row],[Sex Code]]</f>
        <v xml:space="preserve">Insurer Code ; Reporting Year ; Insurance Category Code ; Large Provider Entity Code ; Age Band Code ; Sex Code </v>
      </c>
      <c r="N5659" s="345" t="s">
        <v>207</v>
      </c>
      <c r="O5659" s="345" t="s">
        <v>208</v>
      </c>
      <c r="P5659" s="345" t="s">
        <v>209</v>
      </c>
      <c r="Q5659" s="345" t="s">
        <v>210</v>
      </c>
      <c r="R5659" s="345" t="s">
        <v>223</v>
      </c>
      <c r="S5659" s="345" t="s">
        <v>224</v>
      </c>
    </row>
    <row r="5660" spans="1:19" x14ac:dyDescent="0.25">
      <c r="A5660" s="311"/>
      <c r="B5660" s="312"/>
      <c r="C5660" s="312"/>
      <c r="D5660" s="312"/>
      <c r="E5660" s="312"/>
      <c r="F5660" s="312"/>
      <c r="G5660" s="328"/>
      <c r="H5660" s="453"/>
      <c r="I5660" s="334"/>
      <c r="J5660" s="314"/>
      <c r="K5660" s="454"/>
      <c r="M5660" s="349" t="str">
        <f>N5660&amp;AS[[#This Row],[Insurer Code]]&amp;"; "&amp;O5660&amp;AS[[#This Row],[Reporting Year]]&amp;"; "&amp;P5660&amp;AS[[#This Row],[Insurance Category Code]]&amp;"; "&amp;Q5660&amp;AS[[#This Row],[Large Provider Entity Code]]&amp;"; "&amp;R5660&amp;AS[[#This Row],[Age Band Code]]&amp;"; "&amp;S5660&amp;AS[[#This Row],[Sex Code]]</f>
        <v xml:space="preserve">Insurer Code ; Reporting Year ; Insurance Category Code ; Large Provider Entity Code ; Age Band Code ; Sex Code </v>
      </c>
      <c r="N5660" s="345" t="s">
        <v>207</v>
      </c>
      <c r="O5660" s="345" t="s">
        <v>208</v>
      </c>
      <c r="P5660" s="345" t="s">
        <v>209</v>
      </c>
      <c r="Q5660" s="345" t="s">
        <v>210</v>
      </c>
      <c r="R5660" s="345" t="s">
        <v>223</v>
      </c>
      <c r="S5660" s="345" t="s">
        <v>224</v>
      </c>
    </row>
    <row r="5661" spans="1:19" x14ac:dyDescent="0.25">
      <c r="A5661" s="311"/>
      <c r="B5661" s="312"/>
      <c r="C5661" s="312"/>
      <c r="D5661" s="312"/>
      <c r="E5661" s="312"/>
      <c r="F5661" s="312"/>
      <c r="G5661" s="328"/>
      <c r="H5661" s="453"/>
      <c r="I5661" s="334"/>
      <c r="J5661" s="314"/>
      <c r="K5661" s="454"/>
      <c r="M5661" s="349" t="str">
        <f>N5661&amp;AS[[#This Row],[Insurer Code]]&amp;"; "&amp;O5661&amp;AS[[#This Row],[Reporting Year]]&amp;"; "&amp;P5661&amp;AS[[#This Row],[Insurance Category Code]]&amp;"; "&amp;Q5661&amp;AS[[#This Row],[Large Provider Entity Code]]&amp;"; "&amp;R5661&amp;AS[[#This Row],[Age Band Code]]&amp;"; "&amp;S5661&amp;AS[[#This Row],[Sex Code]]</f>
        <v xml:space="preserve">Insurer Code ; Reporting Year ; Insurance Category Code ; Large Provider Entity Code ; Age Band Code ; Sex Code </v>
      </c>
      <c r="N5661" s="345" t="s">
        <v>207</v>
      </c>
      <c r="O5661" s="345" t="s">
        <v>208</v>
      </c>
      <c r="P5661" s="345" t="s">
        <v>209</v>
      </c>
      <c r="Q5661" s="345" t="s">
        <v>210</v>
      </c>
      <c r="R5661" s="345" t="s">
        <v>223</v>
      </c>
      <c r="S5661" s="345" t="s">
        <v>224</v>
      </c>
    </row>
    <row r="5662" spans="1:19" x14ac:dyDescent="0.25">
      <c r="A5662" s="311"/>
      <c r="B5662" s="312"/>
      <c r="C5662" s="312"/>
      <c r="D5662" s="312"/>
      <c r="E5662" s="312"/>
      <c r="F5662" s="312"/>
      <c r="G5662" s="328"/>
      <c r="H5662" s="453"/>
      <c r="I5662" s="334"/>
      <c r="J5662" s="314"/>
      <c r="K5662" s="454"/>
      <c r="M5662" s="349" t="str">
        <f>N5662&amp;AS[[#This Row],[Insurer Code]]&amp;"; "&amp;O5662&amp;AS[[#This Row],[Reporting Year]]&amp;"; "&amp;P5662&amp;AS[[#This Row],[Insurance Category Code]]&amp;"; "&amp;Q5662&amp;AS[[#This Row],[Large Provider Entity Code]]&amp;"; "&amp;R5662&amp;AS[[#This Row],[Age Band Code]]&amp;"; "&amp;S5662&amp;AS[[#This Row],[Sex Code]]</f>
        <v xml:space="preserve">Insurer Code ; Reporting Year ; Insurance Category Code ; Large Provider Entity Code ; Age Band Code ; Sex Code </v>
      </c>
      <c r="N5662" s="345" t="s">
        <v>207</v>
      </c>
      <c r="O5662" s="345" t="s">
        <v>208</v>
      </c>
      <c r="P5662" s="345" t="s">
        <v>209</v>
      </c>
      <c r="Q5662" s="345" t="s">
        <v>210</v>
      </c>
      <c r="R5662" s="345" t="s">
        <v>223</v>
      </c>
      <c r="S5662" s="345" t="s">
        <v>224</v>
      </c>
    </row>
    <row r="5663" spans="1:19" x14ac:dyDescent="0.25">
      <c r="A5663" s="311"/>
      <c r="B5663" s="312"/>
      <c r="C5663" s="312"/>
      <c r="D5663" s="312"/>
      <c r="E5663" s="312"/>
      <c r="F5663" s="312"/>
      <c r="G5663" s="328"/>
      <c r="H5663" s="453"/>
      <c r="I5663" s="334"/>
      <c r="J5663" s="314"/>
      <c r="K5663" s="454"/>
      <c r="M5663" s="349" t="str">
        <f>N5663&amp;AS[[#This Row],[Insurer Code]]&amp;"; "&amp;O5663&amp;AS[[#This Row],[Reporting Year]]&amp;"; "&amp;P5663&amp;AS[[#This Row],[Insurance Category Code]]&amp;"; "&amp;Q5663&amp;AS[[#This Row],[Large Provider Entity Code]]&amp;"; "&amp;R5663&amp;AS[[#This Row],[Age Band Code]]&amp;"; "&amp;S5663&amp;AS[[#This Row],[Sex Code]]</f>
        <v xml:space="preserve">Insurer Code ; Reporting Year ; Insurance Category Code ; Large Provider Entity Code ; Age Band Code ; Sex Code </v>
      </c>
      <c r="N5663" s="345" t="s">
        <v>207</v>
      </c>
      <c r="O5663" s="345" t="s">
        <v>208</v>
      </c>
      <c r="P5663" s="345" t="s">
        <v>209</v>
      </c>
      <c r="Q5663" s="345" t="s">
        <v>210</v>
      </c>
      <c r="R5663" s="345" t="s">
        <v>223</v>
      </c>
      <c r="S5663" s="345" t="s">
        <v>224</v>
      </c>
    </row>
    <row r="5664" spans="1:19" x14ac:dyDescent="0.25">
      <c r="A5664" s="311"/>
      <c r="B5664" s="312"/>
      <c r="C5664" s="312"/>
      <c r="D5664" s="312"/>
      <c r="E5664" s="312"/>
      <c r="F5664" s="312"/>
      <c r="G5664" s="328"/>
      <c r="H5664" s="453"/>
      <c r="I5664" s="334"/>
      <c r="J5664" s="314"/>
      <c r="K5664" s="454"/>
      <c r="M5664" s="349" t="str">
        <f>N5664&amp;AS[[#This Row],[Insurer Code]]&amp;"; "&amp;O5664&amp;AS[[#This Row],[Reporting Year]]&amp;"; "&amp;P5664&amp;AS[[#This Row],[Insurance Category Code]]&amp;"; "&amp;Q5664&amp;AS[[#This Row],[Large Provider Entity Code]]&amp;"; "&amp;R5664&amp;AS[[#This Row],[Age Band Code]]&amp;"; "&amp;S5664&amp;AS[[#This Row],[Sex Code]]</f>
        <v xml:space="preserve">Insurer Code ; Reporting Year ; Insurance Category Code ; Large Provider Entity Code ; Age Band Code ; Sex Code </v>
      </c>
      <c r="N5664" s="345" t="s">
        <v>207</v>
      </c>
      <c r="O5664" s="345" t="s">
        <v>208</v>
      </c>
      <c r="P5664" s="345" t="s">
        <v>209</v>
      </c>
      <c r="Q5664" s="345" t="s">
        <v>210</v>
      </c>
      <c r="R5664" s="345" t="s">
        <v>223</v>
      </c>
      <c r="S5664" s="345" t="s">
        <v>224</v>
      </c>
    </row>
    <row r="5665" spans="1:19" x14ac:dyDescent="0.25">
      <c r="A5665" s="311"/>
      <c r="B5665" s="312"/>
      <c r="C5665" s="312"/>
      <c r="D5665" s="312"/>
      <c r="E5665" s="312"/>
      <c r="F5665" s="312"/>
      <c r="G5665" s="328"/>
      <c r="H5665" s="453"/>
      <c r="I5665" s="334"/>
      <c r="J5665" s="314"/>
      <c r="K5665" s="454"/>
      <c r="M5665" s="349" t="str">
        <f>N5665&amp;AS[[#This Row],[Insurer Code]]&amp;"; "&amp;O5665&amp;AS[[#This Row],[Reporting Year]]&amp;"; "&amp;P5665&amp;AS[[#This Row],[Insurance Category Code]]&amp;"; "&amp;Q5665&amp;AS[[#This Row],[Large Provider Entity Code]]&amp;"; "&amp;R5665&amp;AS[[#This Row],[Age Band Code]]&amp;"; "&amp;S5665&amp;AS[[#This Row],[Sex Code]]</f>
        <v xml:space="preserve">Insurer Code ; Reporting Year ; Insurance Category Code ; Large Provider Entity Code ; Age Band Code ; Sex Code </v>
      </c>
      <c r="N5665" s="345" t="s">
        <v>207</v>
      </c>
      <c r="O5665" s="345" t="s">
        <v>208</v>
      </c>
      <c r="P5665" s="345" t="s">
        <v>209</v>
      </c>
      <c r="Q5665" s="345" t="s">
        <v>210</v>
      </c>
      <c r="R5665" s="345" t="s">
        <v>223</v>
      </c>
      <c r="S5665" s="345" t="s">
        <v>224</v>
      </c>
    </row>
    <row r="5666" spans="1:19" x14ac:dyDescent="0.25">
      <c r="A5666" s="311"/>
      <c r="B5666" s="312"/>
      <c r="C5666" s="312"/>
      <c r="D5666" s="312"/>
      <c r="E5666" s="312"/>
      <c r="F5666" s="312"/>
      <c r="G5666" s="328"/>
      <c r="H5666" s="453"/>
      <c r="I5666" s="334"/>
      <c r="J5666" s="314"/>
      <c r="K5666" s="454"/>
      <c r="M5666" s="349" t="str">
        <f>N5666&amp;AS[[#This Row],[Insurer Code]]&amp;"; "&amp;O5666&amp;AS[[#This Row],[Reporting Year]]&amp;"; "&amp;P5666&amp;AS[[#This Row],[Insurance Category Code]]&amp;"; "&amp;Q5666&amp;AS[[#This Row],[Large Provider Entity Code]]&amp;"; "&amp;R5666&amp;AS[[#This Row],[Age Band Code]]&amp;"; "&amp;S5666&amp;AS[[#This Row],[Sex Code]]</f>
        <v xml:space="preserve">Insurer Code ; Reporting Year ; Insurance Category Code ; Large Provider Entity Code ; Age Band Code ; Sex Code </v>
      </c>
      <c r="N5666" s="345" t="s">
        <v>207</v>
      </c>
      <c r="O5666" s="345" t="s">
        <v>208</v>
      </c>
      <c r="P5666" s="345" t="s">
        <v>209</v>
      </c>
      <c r="Q5666" s="345" t="s">
        <v>210</v>
      </c>
      <c r="R5666" s="345" t="s">
        <v>223</v>
      </c>
      <c r="S5666" s="345" t="s">
        <v>224</v>
      </c>
    </row>
    <row r="5667" spans="1:19" x14ac:dyDescent="0.25">
      <c r="A5667" s="311"/>
      <c r="B5667" s="312"/>
      <c r="C5667" s="312"/>
      <c r="D5667" s="312"/>
      <c r="E5667" s="312"/>
      <c r="F5667" s="312"/>
      <c r="G5667" s="328"/>
      <c r="H5667" s="453"/>
      <c r="I5667" s="334"/>
      <c r="J5667" s="314"/>
      <c r="K5667" s="454"/>
      <c r="M5667" s="349" t="str">
        <f>N5667&amp;AS[[#This Row],[Insurer Code]]&amp;"; "&amp;O5667&amp;AS[[#This Row],[Reporting Year]]&amp;"; "&amp;P5667&amp;AS[[#This Row],[Insurance Category Code]]&amp;"; "&amp;Q5667&amp;AS[[#This Row],[Large Provider Entity Code]]&amp;"; "&amp;R5667&amp;AS[[#This Row],[Age Band Code]]&amp;"; "&amp;S5667&amp;AS[[#This Row],[Sex Code]]</f>
        <v xml:space="preserve">Insurer Code ; Reporting Year ; Insurance Category Code ; Large Provider Entity Code ; Age Band Code ; Sex Code </v>
      </c>
      <c r="N5667" s="345" t="s">
        <v>207</v>
      </c>
      <c r="O5667" s="345" t="s">
        <v>208</v>
      </c>
      <c r="P5667" s="345" t="s">
        <v>209</v>
      </c>
      <c r="Q5667" s="345" t="s">
        <v>210</v>
      </c>
      <c r="R5667" s="345" t="s">
        <v>223</v>
      </c>
      <c r="S5667" s="345" t="s">
        <v>224</v>
      </c>
    </row>
    <row r="5668" spans="1:19" x14ac:dyDescent="0.25">
      <c r="A5668" s="311"/>
      <c r="B5668" s="312"/>
      <c r="C5668" s="312"/>
      <c r="D5668" s="312"/>
      <c r="E5668" s="312"/>
      <c r="F5668" s="312"/>
      <c r="G5668" s="328"/>
      <c r="H5668" s="453"/>
      <c r="I5668" s="334"/>
      <c r="J5668" s="314"/>
      <c r="K5668" s="454"/>
      <c r="M5668" s="349" t="str">
        <f>N5668&amp;AS[[#This Row],[Insurer Code]]&amp;"; "&amp;O5668&amp;AS[[#This Row],[Reporting Year]]&amp;"; "&amp;P5668&amp;AS[[#This Row],[Insurance Category Code]]&amp;"; "&amp;Q5668&amp;AS[[#This Row],[Large Provider Entity Code]]&amp;"; "&amp;R5668&amp;AS[[#This Row],[Age Band Code]]&amp;"; "&amp;S5668&amp;AS[[#This Row],[Sex Code]]</f>
        <v xml:space="preserve">Insurer Code ; Reporting Year ; Insurance Category Code ; Large Provider Entity Code ; Age Band Code ; Sex Code </v>
      </c>
      <c r="N5668" s="345" t="s">
        <v>207</v>
      </c>
      <c r="O5668" s="345" t="s">
        <v>208</v>
      </c>
      <c r="P5668" s="345" t="s">
        <v>209</v>
      </c>
      <c r="Q5668" s="345" t="s">
        <v>210</v>
      </c>
      <c r="R5668" s="345" t="s">
        <v>223</v>
      </c>
      <c r="S5668" s="345" t="s">
        <v>224</v>
      </c>
    </row>
    <row r="5669" spans="1:19" x14ac:dyDescent="0.25">
      <c r="A5669" s="311"/>
      <c r="B5669" s="312"/>
      <c r="C5669" s="312"/>
      <c r="D5669" s="312"/>
      <c r="E5669" s="312"/>
      <c r="F5669" s="312"/>
      <c r="G5669" s="328"/>
      <c r="H5669" s="453"/>
      <c r="I5669" s="334"/>
      <c r="J5669" s="314"/>
      <c r="K5669" s="454"/>
      <c r="M5669" s="349" t="str">
        <f>N5669&amp;AS[[#This Row],[Insurer Code]]&amp;"; "&amp;O5669&amp;AS[[#This Row],[Reporting Year]]&amp;"; "&amp;P5669&amp;AS[[#This Row],[Insurance Category Code]]&amp;"; "&amp;Q5669&amp;AS[[#This Row],[Large Provider Entity Code]]&amp;"; "&amp;R5669&amp;AS[[#This Row],[Age Band Code]]&amp;"; "&amp;S5669&amp;AS[[#This Row],[Sex Code]]</f>
        <v xml:space="preserve">Insurer Code ; Reporting Year ; Insurance Category Code ; Large Provider Entity Code ; Age Band Code ; Sex Code </v>
      </c>
      <c r="N5669" s="345" t="s">
        <v>207</v>
      </c>
      <c r="O5669" s="345" t="s">
        <v>208</v>
      </c>
      <c r="P5669" s="345" t="s">
        <v>209</v>
      </c>
      <c r="Q5669" s="345" t="s">
        <v>210</v>
      </c>
      <c r="R5669" s="345" t="s">
        <v>223</v>
      </c>
      <c r="S5669" s="345" t="s">
        <v>224</v>
      </c>
    </row>
    <row r="5670" spans="1:19" x14ac:dyDescent="0.25">
      <c r="A5670" s="311"/>
      <c r="B5670" s="312"/>
      <c r="C5670" s="312"/>
      <c r="D5670" s="312"/>
      <c r="E5670" s="312"/>
      <c r="F5670" s="312"/>
      <c r="G5670" s="328"/>
      <c r="H5670" s="453"/>
      <c r="I5670" s="334"/>
      <c r="J5670" s="314"/>
      <c r="K5670" s="454"/>
      <c r="M5670" s="349" t="str">
        <f>N5670&amp;AS[[#This Row],[Insurer Code]]&amp;"; "&amp;O5670&amp;AS[[#This Row],[Reporting Year]]&amp;"; "&amp;P5670&amp;AS[[#This Row],[Insurance Category Code]]&amp;"; "&amp;Q5670&amp;AS[[#This Row],[Large Provider Entity Code]]&amp;"; "&amp;R5670&amp;AS[[#This Row],[Age Band Code]]&amp;"; "&amp;S5670&amp;AS[[#This Row],[Sex Code]]</f>
        <v xml:space="preserve">Insurer Code ; Reporting Year ; Insurance Category Code ; Large Provider Entity Code ; Age Band Code ; Sex Code </v>
      </c>
      <c r="N5670" s="345" t="s">
        <v>207</v>
      </c>
      <c r="O5670" s="345" t="s">
        <v>208</v>
      </c>
      <c r="P5670" s="345" t="s">
        <v>209</v>
      </c>
      <c r="Q5670" s="345" t="s">
        <v>210</v>
      </c>
      <c r="R5670" s="345" t="s">
        <v>223</v>
      </c>
      <c r="S5670" s="345" t="s">
        <v>224</v>
      </c>
    </row>
    <row r="5671" spans="1:19" x14ac:dyDescent="0.25">
      <c r="A5671" s="311"/>
      <c r="B5671" s="312"/>
      <c r="C5671" s="312"/>
      <c r="D5671" s="312"/>
      <c r="E5671" s="312"/>
      <c r="F5671" s="312"/>
      <c r="G5671" s="328"/>
      <c r="H5671" s="453"/>
      <c r="I5671" s="334"/>
      <c r="J5671" s="314"/>
      <c r="K5671" s="454"/>
      <c r="M5671" s="349" t="str">
        <f>N5671&amp;AS[[#This Row],[Insurer Code]]&amp;"; "&amp;O5671&amp;AS[[#This Row],[Reporting Year]]&amp;"; "&amp;P5671&amp;AS[[#This Row],[Insurance Category Code]]&amp;"; "&amp;Q5671&amp;AS[[#This Row],[Large Provider Entity Code]]&amp;"; "&amp;R5671&amp;AS[[#This Row],[Age Band Code]]&amp;"; "&amp;S5671&amp;AS[[#This Row],[Sex Code]]</f>
        <v xml:space="preserve">Insurer Code ; Reporting Year ; Insurance Category Code ; Large Provider Entity Code ; Age Band Code ; Sex Code </v>
      </c>
      <c r="N5671" s="345" t="s">
        <v>207</v>
      </c>
      <c r="O5671" s="345" t="s">
        <v>208</v>
      </c>
      <c r="P5671" s="345" t="s">
        <v>209</v>
      </c>
      <c r="Q5671" s="345" t="s">
        <v>210</v>
      </c>
      <c r="R5671" s="345" t="s">
        <v>223</v>
      </c>
      <c r="S5671" s="345" t="s">
        <v>224</v>
      </c>
    </row>
    <row r="5672" spans="1:19" x14ac:dyDescent="0.25">
      <c r="A5672" s="311"/>
      <c r="B5672" s="312"/>
      <c r="C5672" s="312"/>
      <c r="D5672" s="312"/>
      <c r="E5672" s="312"/>
      <c r="F5672" s="312"/>
      <c r="G5672" s="328"/>
      <c r="H5672" s="453"/>
      <c r="I5672" s="334"/>
      <c r="J5672" s="314"/>
      <c r="K5672" s="454"/>
      <c r="M5672" s="349" t="str">
        <f>N5672&amp;AS[[#This Row],[Insurer Code]]&amp;"; "&amp;O5672&amp;AS[[#This Row],[Reporting Year]]&amp;"; "&amp;P5672&amp;AS[[#This Row],[Insurance Category Code]]&amp;"; "&amp;Q5672&amp;AS[[#This Row],[Large Provider Entity Code]]&amp;"; "&amp;R5672&amp;AS[[#This Row],[Age Band Code]]&amp;"; "&amp;S5672&amp;AS[[#This Row],[Sex Code]]</f>
        <v xml:space="preserve">Insurer Code ; Reporting Year ; Insurance Category Code ; Large Provider Entity Code ; Age Band Code ; Sex Code </v>
      </c>
      <c r="N5672" s="345" t="s">
        <v>207</v>
      </c>
      <c r="O5672" s="345" t="s">
        <v>208</v>
      </c>
      <c r="P5672" s="345" t="s">
        <v>209</v>
      </c>
      <c r="Q5672" s="345" t="s">
        <v>210</v>
      </c>
      <c r="R5672" s="345" t="s">
        <v>223</v>
      </c>
      <c r="S5672" s="345" t="s">
        <v>224</v>
      </c>
    </row>
    <row r="5673" spans="1:19" x14ac:dyDescent="0.25">
      <c r="A5673" s="311"/>
      <c r="B5673" s="312"/>
      <c r="C5673" s="312"/>
      <c r="D5673" s="312"/>
      <c r="E5673" s="312"/>
      <c r="F5673" s="312"/>
      <c r="G5673" s="328"/>
      <c r="H5673" s="453"/>
      <c r="I5673" s="334"/>
      <c r="J5673" s="314"/>
      <c r="K5673" s="454"/>
      <c r="M5673" s="349" t="str">
        <f>N5673&amp;AS[[#This Row],[Insurer Code]]&amp;"; "&amp;O5673&amp;AS[[#This Row],[Reporting Year]]&amp;"; "&amp;P5673&amp;AS[[#This Row],[Insurance Category Code]]&amp;"; "&amp;Q5673&amp;AS[[#This Row],[Large Provider Entity Code]]&amp;"; "&amp;R5673&amp;AS[[#This Row],[Age Band Code]]&amp;"; "&amp;S5673&amp;AS[[#This Row],[Sex Code]]</f>
        <v xml:space="preserve">Insurer Code ; Reporting Year ; Insurance Category Code ; Large Provider Entity Code ; Age Band Code ; Sex Code </v>
      </c>
      <c r="N5673" s="345" t="s">
        <v>207</v>
      </c>
      <c r="O5673" s="345" t="s">
        <v>208</v>
      </c>
      <c r="P5673" s="345" t="s">
        <v>209</v>
      </c>
      <c r="Q5673" s="345" t="s">
        <v>210</v>
      </c>
      <c r="R5673" s="345" t="s">
        <v>223</v>
      </c>
      <c r="S5673" s="345" t="s">
        <v>224</v>
      </c>
    </row>
    <row r="5674" spans="1:19" x14ac:dyDescent="0.25">
      <c r="A5674" s="311"/>
      <c r="B5674" s="312"/>
      <c r="C5674" s="312"/>
      <c r="D5674" s="312"/>
      <c r="E5674" s="312"/>
      <c r="F5674" s="312"/>
      <c r="G5674" s="328"/>
      <c r="H5674" s="453"/>
      <c r="I5674" s="334"/>
      <c r="J5674" s="314"/>
      <c r="K5674" s="454"/>
      <c r="M5674" s="349" t="str">
        <f>N5674&amp;AS[[#This Row],[Insurer Code]]&amp;"; "&amp;O5674&amp;AS[[#This Row],[Reporting Year]]&amp;"; "&amp;P5674&amp;AS[[#This Row],[Insurance Category Code]]&amp;"; "&amp;Q5674&amp;AS[[#This Row],[Large Provider Entity Code]]&amp;"; "&amp;R5674&amp;AS[[#This Row],[Age Band Code]]&amp;"; "&amp;S5674&amp;AS[[#This Row],[Sex Code]]</f>
        <v xml:space="preserve">Insurer Code ; Reporting Year ; Insurance Category Code ; Large Provider Entity Code ; Age Band Code ; Sex Code </v>
      </c>
      <c r="N5674" s="345" t="s">
        <v>207</v>
      </c>
      <c r="O5674" s="345" t="s">
        <v>208</v>
      </c>
      <c r="P5674" s="345" t="s">
        <v>209</v>
      </c>
      <c r="Q5674" s="345" t="s">
        <v>210</v>
      </c>
      <c r="R5674" s="345" t="s">
        <v>223</v>
      </c>
      <c r="S5674" s="345" t="s">
        <v>224</v>
      </c>
    </row>
    <row r="5675" spans="1:19" x14ac:dyDescent="0.25">
      <c r="A5675" s="311"/>
      <c r="B5675" s="312"/>
      <c r="C5675" s="312"/>
      <c r="D5675" s="312"/>
      <c r="E5675" s="312"/>
      <c r="F5675" s="312"/>
      <c r="G5675" s="328"/>
      <c r="H5675" s="453"/>
      <c r="I5675" s="334"/>
      <c r="J5675" s="314"/>
      <c r="K5675" s="454"/>
      <c r="M5675" s="349" t="str">
        <f>N5675&amp;AS[[#This Row],[Insurer Code]]&amp;"; "&amp;O5675&amp;AS[[#This Row],[Reporting Year]]&amp;"; "&amp;P5675&amp;AS[[#This Row],[Insurance Category Code]]&amp;"; "&amp;Q5675&amp;AS[[#This Row],[Large Provider Entity Code]]&amp;"; "&amp;R5675&amp;AS[[#This Row],[Age Band Code]]&amp;"; "&amp;S5675&amp;AS[[#This Row],[Sex Code]]</f>
        <v xml:space="preserve">Insurer Code ; Reporting Year ; Insurance Category Code ; Large Provider Entity Code ; Age Band Code ; Sex Code </v>
      </c>
      <c r="N5675" s="345" t="s">
        <v>207</v>
      </c>
      <c r="O5675" s="345" t="s">
        <v>208</v>
      </c>
      <c r="P5675" s="345" t="s">
        <v>209</v>
      </c>
      <c r="Q5675" s="345" t="s">
        <v>210</v>
      </c>
      <c r="R5675" s="345" t="s">
        <v>223</v>
      </c>
      <c r="S5675" s="345" t="s">
        <v>224</v>
      </c>
    </row>
    <row r="5676" spans="1:19" x14ac:dyDescent="0.25">
      <c r="A5676" s="311"/>
      <c r="B5676" s="312"/>
      <c r="C5676" s="312"/>
      <c r="D5676" s="312"/>
      <c r="E5676" s="312"/>
      <c r="F5676" s="312"/>
      <c r="G5676" s="328"/>
      <c r="H5676" s="453"/>
      <c r="I5676" s="334"/>
      <c r="J5676" s="314"/>
      <c r="K5676" s="454"/>
      <c r="M5676" s="349" t="str">
        <f>N5676&amp;AS[[#This Row],[Insurer Code]]&amp;"; "&amp;O5676&amp;AS[[#This Row],[Reporting Year]]&amp;"; "&amp;P5676&amp;AS[[#This Row],[Insurance Category Code]]&amp;"; "&amp;Q5676&amp;AS[[#This Row],[Large Provider Entity Code]]&amp;"; "&amp;R5676&amp;AS[[#This Row],[Age Band Code]]&amp;"; "&amp;S5676&amp;AS[[#This Row],[Sex Code]]</f>
        <v xml:space="preserve">Insurer Code ; Reporting Year ; Insurance Category Code ; Large Provider Entity Code ; Age Band Code ; Sex Code </v>
      </c>
      <c r="N5676" s="345" t="s">
        <v>207</v>
      </c>
      <c r="O5676" s="345" t="s">
        <v>208</v>
      </c>
      <c r="P5676" s="345" t="s">
        <v>209</v>
      </c>
      <c r="Q5676" s="345" t="s">
        <v>210</v>
      </c>
      <c r="R5676" s="345" t="s">
        <v>223</v>
      </c>
      <c r="S5676" s="345" t="s">
        <v>224</v>
      </c>
    </row>
    <row r="5677" spans="1:19" x14ac:dyDescent="0.25">
      <c r="A5677" s="311"/>
      <c r="B5677" s="312"/>
      <c r="C5677" s="312"/>
      <c r="D5677" s="312"/>
      <c r="E5677" s="312"/>
      <c r="F5677" s="312"/>
      <c r="G5677" s="328"/>
      <c r="H5677" s="453"/>
      <c r="I5677" s="334"/>
      <c r="J5677" s="314"/>
      <c r="K5677" s="454"/>
      <c r="M5677" s="349" t="str">
        <f>N5677&amp;AS[[#This Row],[Insurer Code]]&amp;"; "&amp;O5677&amp;AS[[#This Row],[Reporting Year]]&amp;"; "&amp;P5677&amp;AS[[#This Row],[Insurance Category Code]]&amp;"; "&amp;Q5677&amp;AS[[#This Row],[Large Provider Entity Code]]&amp;"; "&amp;R5677&amp;AS[[#This Row],[Age Band Code]]&amp;"; "&amp;S5677&amp;AS[[#This Row],[Sex Code]]</f>
        <v xml:space="preserve">Insurer Code ; Reporting Year ; Insurance Category Code ; Large Provider Entity Code ; Age Band Code ; Sex Code </v>
      </c>
      <c r="N5677" s="345" t="s">
        <v>207</v>
      </c>
      <c r="O5677" s="345" t="s">
        <v>208</v>
      </c>
      <c r="P5677" s="345" t="s">
        <v>209</v>
      </c>
      <c r="Q5677" s="345" t="s">
        <v>210</v>
      </c>
      <c r="R5677" s="345" t="s">
        <v>223</v>
      </c>
      <c r="S5677" s="345" t="s">
        <v>224</v>
      </c>
    </row>
    <row r="5678" spans="1:19" x14ac:dyDescent="0.25">
      <c r="A5678" s="311"/>
      <c r="B5678" s="312"/>
      <c r="C5678" s="312"/>
      <c r="D5678" s="312"/>
      <c r="E5678" s="312"/>
      <c r="F5678" s="312"/>
      <c r="G5678" s="328"/>
      <c r="H5678" s="453"/>
      <c r="I5678" s="334"/>
      <c r="J5678" s="314"/>
      <c r="K5678" s="454"/>
      <c r="M5678" s="349" t="str">
        <f>N5678&amp;AS[[#This Row],[Insurer Code]]&amp;"; "&amp;O5678&amp;AS[[#This Row],[Reporting Year]]&amp;"; "&amp;P5678&amp;AS[[#This Row],[Insurance Category Code]]&amp;"; "&amp;Q5678&amp;AS[[#This Row],[Large Provider Entity Code]]&amp;"; "&amp;R5678&amp;AS[[#This Row],[Age Band Code]]&amp;"; "&amp;S5678&amp;AS[[#This Row],[Sex Code]]</f>
        <v xml:space="preserve">Insurer Code ; Reporting Year ; Insurance Category Code ; Large Provider Entity Code ; Age Band Code ; Sex Code </v>
      </c>
      <c r="N5678" s="345" t="s">
        <v>207</v>
      </c>
      <c r="O5678" s="345" t="s">
        <v>208</v>
      </c>
      <c r="P5678" s="345" t="s">
        <v>209</v>
      </c>
      <c r="Q5678" s="345" t="s">
        <v>210</v>
      </c>
      <c r="R5678" s="345" t="s">
        <v>223</v>
      </c>
      <c r="S5678" s="345" t="s">
        <v>224</v>
      </c>
    </row>
    <row r="5679" spans="1:19" x14ac:dyDescent="0.25">
      <c r="A5679" s="311"/>
      <c r="B5679" s="312"/>
      <c r="C5679" s="312"/>
      <c r="D5679" s="312"/>
      <c r="E5679" s="312"/>
      <c r="F5679" s="312"/>
      <c r="G5679" s="328"/>
      <c r="H5679" s="453"/>
      <c r="I5679" s="334"/>
      <c r="J5679" s="314"/>
      <c r="K5679" s="454"/>
      <c r="M5679" s="349" t="str">
        <f>N5679&amp;AS[[#This Row],[Insurer Code]]&amp;"; "&amp;O5679&amp;AS[[#This Row],[Reporting Year]]&amp;"; "&amp;P5679&amp;AS[[#This Row],[Insurance Category Code]]&amp;"; "&amp;Q5679&amp;AS[[#This Row],[Large Provider Entity Code]]&amp;"; "&amp;R5679&amp;AS[[#This Row],[Age Band Code]]&amp;"; "&amp;S5679&amp;AS[[#This Row],[Sex Code]]</f>
        <v xml:space="preserve">Insurer Code ; Reporting Year ; Insurance Category Code ; Large Provider Entity Code ; Age Band Code ; Sex Code </v>
      </c>
      <c r="N5679" s="345" t="s">
        <v>207</v>
      </c>
      <c r="O5679" s="345" t="s">
        <v>208</v>
      </c>
      <c r="P5679" s="345" t="s">
        <v>209</v>
      </c>
      <c r="Q5679" s="345" t="s">
        <v>210</v>
      </c>
      <c r="R5679" s="345" t="s">
        <v>223</v>
      </c>
      <c r="S5679" s="345" t="s">
        <v>224</v>
      </c>
    </row>
    <row r="5680" spans="1:19" x14ac:dyDescent="0.25">
      <c r="A5680" s="311"/>
      <c r="B5680" s="312"/>
      <c r="C5680" s="312"/>
      <c r="D5680" s="312"/>
      <c r="E5680" s="312"/>
      <c r="F5680" s="312"/>
      <c r="G5680" s="328"/>
      <c r="H5680" s="453"/>
      <c r="I5680" s="334"/>
      <c r="J5680" s="314"/>
      <c r="K5680" s="454"/>
      <c r="M5680" s="349" t="str">
        <f>N5680&amp;AS[[#This Row],[Insurer Code]]&amp;"; "&amp;O5680&amp;AS[[#This Row],[Reporting Year]]&amp;"; "&amp;P5680&amp;AS[[#This Row],[Insurance Category Code]]&amp;"; "&amp;Q5680&amp;AS[[#This Row],[Large Provider Entity Code]]&amp;"; "&amp;R5680&amp;AS[[#This Row],[Age Band Code]]&amp;"; "&amp;S5680&amp;AS[[#This Row],[Sex Code]]</f>
        <v xml:space="preserve">Insurer Code ; Reporting Year ; Insurance Category Code ; Large Provider Entity Code ; Age Band Code ; Sex Code </v>
      </c>
      <c r="N5680" s="345" t="s">
        <v>207</v>
      </c>
      <c r="O5680" s="345" t="s">
        <v>208</v>
      </c>
      <c r="P5680" s="345" t="s">
        <v>209</v>
      </c>
      <c r="Q5680" s="345" t="s">
        <v>210</v>
      </c>
      <c r="R5680" s="345" t="s">
        <v>223</v>
      </c>
      <c r="S5680" s="345" t="s">
        <v>224</v>
      </c>
    </row>
    <row r="5681" spans="1:19" x14ac:dyDescent="0.25">
      <c r="A5681" s="311"/>
      <c r="B5681" s="312"/>
      <c r="C5681" s="312"/>
      <c r="D5681" s="312"/>
      <c r="E5681" s="312"/>
      <c r="F5681" s="312"/>
      <c r="G5681" s="328"/>
      <c r="H5681" s="453"/>
      <c r="I5681" s="334"/>
      <c r="J5681" s="314"/>
      <c r="K5681" s="454"/>
      <c r="M5681" s="349" t="str">
        <f>N5681&amp;AS[[#This Row],[Insurer Code]]&amp;"; "&amp;O5681&amp;AS[[#This Row],[Reporting Year]]&amp;"; "&amp;P5681&amp;AS[[#This Row],[Insurance Category Code]]&amp;"; "&amp;Q5681&amp;AS[[#This Row],[Large Provider Entity Code]]&amp;"; "&amp;R5681&amp;AS[[#This Row],[Age Band Code]]&amp;"; "&amp;S5681&amp;AS[[#This Row],[Sex Code]]</f>
        <v xml:space="preserve">Insurer Code ; Reporting Year ; Insurance Category Code ; Large Provider Entity Code ; Age Band Code ; Sex Code </v>
      </c>
      <c r="N5681" s="345" t="s">
        <v>207</v>
      </c>
      <c r="O5681" s="345" t="s">
        <v>208</v>
      </c>
      <c r="P5681" s="345" t="s">
        <v>209</v>
      </c>
      <c r="Q5681" s="345" t="s">
        <v>210</v>
      </c>
      <c r="R5681" s="345" t="s">
        <v>223</v>
      </c>
      <c r="S5681" s="345" t="s">
        <v>224</v>
      </c>
    </row>
    <row r="5682" spans="1:19" x14ac:dyDescent="0.25">
      <c r="A5682" s="311"/>
      <c r="B5682" s="312"/>
      <c r="C5682" s="312"/>
      <c r="D5682" s="312"/>
      <c r="E5682" s="312"/>
      <c r="F5682" s="312"/>
      <c r="G5682" s="328"/>
      <c r="H5682" s="453"/>
      <c r="I5682" s="334"/>
      <c r="J5682" s="314"/>
      <c r="K5682" s="454"/>
      <c r="M5682" s="349" t="str">
        <f>N5682&amp;AS[[#This Row],[Insurer Code]]&amp;"; "&amp;O5682&amp;AS[[#This Row],[Reporting Year]]&amp;"; "&amp;P5682&amp;AS[[#This Row],[Insurance Category Code]]&amp;"; "&amp;Q5682&amp;AS[[#This Row],[Large Provider Entity Code]]&amp;"; "&amp;R5682&amp;AS[[#This Row],[Age Band Code]]&amp;"; "&amp;S5682&amp;AS[[#This Row],[Sex Code]]</f>
        <v xml:space="preserve">Insurer Code ; Reporting Year ; Insurance Category Code ; Large Provider Entity Code ; Age Band Code ; Sex Code </v>
      </c>
      <c r="N5682" s="345" t="s">
        <v>207</v>
      </c>
      <c r="O5682" s="345" t="s">
        <v>208</v>
      </c>
      <c r="P5682" s="345" t="s">
        <v>209</v>
      </c>
      <c r="Q5682" s="345" t="s">
        <v>210</v>
      </c>
      <c r="R5682" s="345" t="s">
        <v>223</v>
      </c>
      <c r="S5682" s="345" t="s">
        <v>224</v>
      </c>
    </row>
    <row r="5683" spans="1:19" x14ac:dyDescent="0.25">
      <c r="A5683" s="311"/>
      <c r="B5683" s="312"/>
      <c r="C5683" s="312"/>
      <c r="D5683" s="312"/>
      <c r="E5683" s="312"/>
      <c r="F5683" s="312"/>
      <c r="G5683" s="328"/>
      <c r="H5683" s="453"/>
      <c r="I5683" s="334"/>
      <c r="J5683" s="314"/>
      <c r="K5683" s="454"/>
      <c r="M5683" s="349" t="str">
        <f>N5683&amp;AS[[#This Row],[Insurer Code]]&amp;"; "&amp;O5683&amp;AS[[#This Row],[Reporting Year]]&amp;"; "&amp;P5683&amp;AS[[#This Row],[Insurance Category Code]]&amp;"; "&amp;Q5683&amp;AS[[#This Row],[Large Provider Entity Code]]&amp;"; "&amp;R5683&amp;AS[[#This Row],[Age Band Code]]&amp;"; "&amp;S5683&amp;AS[[#This Row],[Sex Code]]</f>
        <v xml:space="preserve">Insurer Code ; Reporting Year ; Insurance Category Code ; Large Provider Entity Code ; Age Band Code ; Sex Code </v>
      </c>
      <c r="N5683" s="345" t="s">
        <v>207</v>
      </c>
      <c r="O5683" s="345" t="s">
        <v>208</v>
      </c>
      <c r="P5683" s="345" t="s">
        <v>209</v>
      </c>
      <c r="Q5683" s="345" t="s">
        <v>210</v>
      </c>
      <c r="R5683" s="345" t="s">
        <v>223</v>
      </c>
      <c r="S5683" s="345" t="s">
        <v>224</v>
      </c>
    </row>
    <row r="5684" spans="1:19" x14ac:dyDescent="0.25">
      <c r="A5684" s="311"/>
      <c r="B5684" s="312"/>
      <c r="C5684" s="312"/>
      <c r="D5684" s="312"/>
      <c r="E5684" s="312"/>
      <c r="F5684" s="312"/>
      <c r="G5684" s="328"/>
      <c r="H5684" s="453"/>
      <c r="I5684" s="334"/>
      <c r="J5684" s="314"/>
      <c r="K5684" s="454"/>
      <c r="M5684" s="349" t="str">
        <f>N5684&amp;AS[[#This Row],[Insurer Code]]&amp;"; "&amp;O5684&amp;AS[[#This Row],[Reporting Year]]&amp;"; "&amp;P5684&amp;AS[[#This Row],[Insurance Category Code]]&amp;"; "&amp;Q5684&amp;AS[[#This Row],[Large Provider Entity Code]]&amp;"; "&amp;R5684&amp;AS[[#This Row],[Age Band Code]]&amp;"; "&amp;S5684&amp;AS[[#This Row],[Sex Code]]</f>
        <v xml:space="preserve">Insurer Code ; Reporting Year ; Insurance Category Code ; Large Provider Entity Code ; Age Band Code ; Sex Code </v>
      </c>
      <c r="N5684" s="345" t="s">
        <v>207</v>
      </c>
      <c r="O5684" s="345" t="s">
        <v>208</v>
      </c>
      <c r="P5684" s="345" t="s">
        <v>209</v>
      </c>
      <c r="Q5684" s="345" t="s">
        <v>210</v>
      </c>
      <c r="R5684" s="345" t="s">
        <v>223</v>
      </c>
      <c r="S5684" s="345" t="s">
        <v>224</v>
      </c>
    </row>
    <row r="5685" spans="1:19" x14ac:dyDescent="0.25">
      <c r="A5685" s="311"/>
      <c r="B5685" s="312"/>
      <c r="C5685" s="312"/>
      <c r="D5685" s="312"/>
      <c r="E5685" s="312"/>
      <c r="F5685" s="312"/>
      <c r="G5685" s="328"/>
      <c r="H5685" s="453"/>
      <c r="I5685" s="334"/>
      <c r="J5685" s="314"/>
      <c r="K5685" s="454"/>
      <c r="M5685" s="349" t="str">
        <f>N5685&amp;AS[[#This Row],[Insurer Code]]&amp;"; "&amp;O5685&amp;AS[[#This Row],[Reporting Year]]&amp;"; "&amp;P5685&amp;AS[[#This Row],[Insurance Category Code]]&amp;"; "&amp;Q5685&amp;AS[[#This Row],[Large Provider Entity Code]]&amp;"; "&amp;R5685&amp;AS[[#This Row],[Age Band Code]]&amp;"; "&amp;S5685&amp;AS[[#This Row],[Sex Code]]</f>
        <v xml:space="preserve">Insurer Code ; Reporting Year ; Insurance Category Code ; Large Provider Entity Code ; Age Band Code ; Sex Code </v>
      </c>
      <c r="N5685" s="345" t="s">
        <v>207</v>
      </c>
      <c r="O5685" s="345" t="s">
        <v>208</v>
      </c>
      <c r="P5685" s="345" t="s">
        <v>209</v>
      </c>
      <c r="Q5685" s="345" t="s">
        <v>210</v>
      </c>
      <c r="R5685" s="345" t="s">
        <v>223</v>
      </c>
      <c r="S5685" s="345" t="s">
        <v>224</v>
      </c>
    </row>
    <row r="5686" spans="1:19" x14ac:dyDescent="0.25">
      <c r="A5686" s="311"/>
      <c r="B5686" s="312"/>
      <c r="C5686" s="312"/>
      <c r="D5686" s="312"/>
      <c r="E5686" s="312"/>
      <c r="F5686" s="312"/>
      <c r="G5686" s="328"/>
      <c r="H5686" s="453"/>
      <c r="I5686" s="334"/>
      <c r="J5686" s="314"/>
      <c r="K5686" s="454"/>
      <c r="M5686" s="349" t="str">
        <f>N5686&amp;AS[[#This Row],[Insurer Code]]&amp;"; "&amp;O5686&amp;AS[[#This Row],[Reporting Year]]&amp;"; "&amp;P5686&amp;AS[[#This Row],[Insurance Category Code]]&amp;"; "&amp;Q5686&amp;AS[[#This Row],[Large Provider Entity Code]]&amp;"; "&amp;R5686&amp;AS[[#This Row],[Age Band Code]]&amp;"; "&amp;S5686&amp;AS[[#This Row],[Sex Code]]</f>
        <v xml:space="preserve">Insurer Code ; Reporting Year ; Insurance Category Code ; Large Provider Entity Code ; Age Band Code ; Sex Code </v>
      </c>
      <c r="N5686" s="345" t="s">
        <v>207</v>
      </c>
      <c r="O5686" s="345" t="s">
        <v>208</v>
      </c>
      <c r="P5686" s="345" t="s">
        <v>209</v>
      </c>
      <c r="Q5686" s="345" t="s">
        <v>210</v>
      </c>
      <c r="R5686" s="345" t="s">
        <v>223</v>
      </c>
      <c r="S5686" s="345" t="s">
        <v>224</v>
      </c>
    </row>
    <row r="5687" spans="1:19" x14ac:dyDescent="0.25">
      <c r="A5687" s="311"/>
      <c r="B5687" s="312"/>
      <c r="C5687" s="312"/>
      <c r="D5687" s="312"/>
      <c r="E5687" s="312"/>
      <c r="F5687" s="312"/>
      <c r="G5687" s="328"/>
      <c r="H5687" s="453"/>
      <c r="I5687" s="334"/>
      <c r="J5687" s="314"/>
      <c r="K5687" s="454"/>
      <c r="M5687" s="349" t="str">
        <f>N5687&amp;AS[[#This Row],[Insurer Code]]&amp;"; "&amp;O5687&amp;AS[[#This Row],[Reporting Year]]&amp;"; "&amp;P5687&amp;AS[[#This Row],[Insurance Category Code]]&amp;"; "&amp;Q5687&amp;AS[[#This Row],[Large Provider Entity Code]]&amp;"; "&amp;R5687&amp;AS[[#This Row],[Age Band Code]]&amp;"; "&amp;S5687&amp;AS[[#This Row],[Sex Code]]</f>
        <v xml:space="preserve">Insurer Code ; Reporting Year ; Insurance Category Code ; Large Provider Entity Code ; Age Band Code ; Sex Code </v>
      </c>
      <c r="N5687" s="345" t="s">
        <v>207</v>
      </c>
      <c r="O5687" s="345" t="s">
        <v>208</v>
      </c>
      <c r="P5687" s="345" t="s">
        <v>209</v>
      </c>
      <c r="Q5687" s="345" t="s">
        <v>210</v>
      </c>
      <c r="R5687" s="345" t="s">
        <v>223</v>
      </c>
      <c r="S5687" s="345" t="s">
        <v>224</v>
      </c>
    </row>
    <row r="5688" spans="1:19" x14ac:dyDescent="0.25">
      <c r="A5688" s="311"/>
      <c r="B5688" s="312"/>
      <c r="C5688" s="312"/>
      <c r="D5688" s="312"/>
      <c r="E5688" s="312"/>
      <c r="F5688" s="312"/>
      <c r="G5688" s="328"/>
      <c r="H5688" s="453"/>
      <c r="I5688" s="334"/>
      <c r="J5688" s="314"/>
      <c r="K5688" s="454"/>
      <c r="M5688" s="349" t="str">
        <f>N5688&amp;AS[[#This Row],[Insurer Code]]&amp;"; "&amp;O5688&amp;AS[[#This Row],[Reporting Year]]&amp;"; "&amp;P5688&amp;AS[[#This Row],[Insurance Category Code]]&amp;"; "&amp;Q5688&amp;AS[[#This Row],[Large Provider Entity Code]]&amp;"; "&amp;R5688&amp;AS[[#This Row],[Age Band Code]]&amp;"; "&amp;S5688&amp;AS[[#This Row],[Sex Code]]</f>
        <v xml:space="preserve">Insurer Code ; Reporting Year ; Insurance Category Code ; Large Provider Entity Code ; Age Band Code ; Sex Code </v>
      </c>
      <c r="N5688" s="345" t="s">
        <v>207</v>
      </c>
      <c r="O5688" s="345" t="s">
        <v>208</v>
      </c>
      <c r="P5688" s="345" t="s">
        <v>209</v>
      </c>
      <c r="Q5688" s="345" t="s">
        <v>210</v>
      </c>
      <c r="R5688" s="345" t="s">
        <v>223</v>
      </c>
      <c r="S5688" s="345" t="s">
        <v>224</v>
      </c>
    </row>
    <row r="5689" spans="1:19" x14ac:dyDescent="0.25">
      <c r="A5689" s="311"/>
      <c r="B5689" s="312"/>
      <c r="C5689" s="312"/>
      <c r="D5689" s="312"/>
      <c r="E5689" s="312"/>
      <c r="F5689" s="312"/>
      <c r="G5689" s="328"/>
      <c r="H5689" s="453"/>
      <c r="I5689" s="334"/>
      <c r="J5689" s="314"/>
      <c r="K5689" s="454"/>
      <c r="M5689" s="349" t="str">
        <f>N5689&amp;AS[[#This Row],[Insurer Code]]&amp;"; "&amp;O5689&amp;AS[[#This Row],[Reporting Year]]&amp;"; "&amp;P5689&amp;AS[[#This Row],[Insurance Category Code]]&amp;"; "&amp;Q5689&amp;AS[[#This Row],[Large Provider Entity Code]]&amp;"; "&amp;R5689&amp;AS[[#This Row],[Age Band Code]]&amp;"; "&amp;S5689&amp;AS[[#This Row],[Sex Code]]</f>
        <v xml:space="preserve">Insurer Code ; Reporting Year ; Insurance Category Code ; Large Provider Entity Code ; Age Band Code ; Sex Code </v>
      </c>
      <c r="N5689" s="345" t="s">
        <v>207</v>
      </c>
      <c r="O5689" s="345" t="s">
        <v>208</v>
      </c>
      <c r="P5689" s="345" t="s">
        <v>209</v>
      </c>
      <c r="Q5689" s="345" t="s">
        <v>210</v>
      </c>
      <c r="R5689" s="345" t="s">
        <v>223</v>
      </c>
      <c r="S5689" s="345" t="s">
        <v>224</v>
      </c>
    </row>
    <row r="5690" spans="1:19" x14ac:dyDescent="0.25">
      <c r="A5690" s="311"/>
      <c r="B5690" s="312"/>
      <c r="C5690" s="312"/>
      <c r="D5690" s="312"/>
      <c r="E5690" s="312"/>
      <c r="F5690" s="312"/>
      <c r="G5690" s="328"/>
      <c r="H5690" s="453"/>
      <c r="I5690" s="334"/>
      <c r="J5690" s="314"/>
      <c r="K5690" s="454"/>
      <c r="M5690" s="349" t="str">
        <f>N5690&amp;AS[[#This Row],[Insurer Code]]&amp;"; "&amp;O5690&amp;AS[[#This Row],[Reporting Year]]&amp;"; "&amp;P5690&amp;AS[[#This Row],[Insurance Category Code]]&amp;"; "&amp;Q5690&amp;AS[[#This Row],[Large Provider Entity Code]]&amp;"; "&amp;R5690&amp;AS[[#This Row],[Age Band Code]]&amp;"; "&amp;S5690&amp;AS[[#This Row],[Sex Code]]</f>
        <v xml:space="preserve">Insurer Code ; Reporting Year ; Insurance Category Code ; Large Provider Entity Code ; Age Band Code ; Sex Code </v>
      </c>
      <c r="N5690" s="345" t="s">
        <v>207</v>
      </c>
      <c r="O5690" s="345" t="s">
        <v>208</v>
      </c>
      <c r="P5690" s="345" t="s">
        <v>209</v>
      </c>
      <c r="Q5690" s="345" t="s">
        <v>210</v>
      </c>
      <c r="R5690" s="345" t="s">
        <v>223</v>
      </c>
      <c r="S5690" s="345" t="s">
        <v>224</v>
      </c>
    </row>
    <row r="5691" spans="1:19" x14ac:dyDescent="0.25">
      <c r="A5691" s="311"/>
      <c r="B5691" s="312"/>
      <c r="C5691" s="312"/>
      <c r="D5691" s="312"/>
      <c r="E5691" s="312"/>
      <c r="F5691" s="312"/>
      <c r="G5691" s="328"/>
      <c r="H5691" s="453"/>
      <c r="I5691" s="334"/>
      <c r="J5691" s="314"/>
      <c r="K5691" s="454"/>
      <c r="M5691" s="349" t="str">
        <f>N5691&amp;AS[[#This Row],[Insurer Code]]&amp;"; "&amp;O5691&amp;AS[[#This Row],[Reporting Year]]&amp;"; "&amp;P5691&amp;AS[[#This Row],[Insurance Category Code]]&amp;"; "&amp;Q5691&amp;AS[[#This Row],[Large Provider Entity Code]]&amp;"; "&amp;R5691&amp;AS[[#This Row],[Age Band Code]]&amp;"; "&amp;S5691&amp;AS[[#This Row],[Sex Code]]</f>
        <v xml:space="preserve">Insurer Code ; Reporting Year ; Insurance Category Code ; Large Provider Entity Code ; Age Band Code ; Sex Code </v>
      </c>
      <c r="N5691" s="345" t="s">
        <v>207</v>
      </c>
      <c r="O5691" s="345" t="s">
        <v>208</v>
      </c>
      <c r="P5691" s="345" t="s">
        <v>209</v>
      </c>
      <c r="Q5691" s="345" t="s">
        <v>210</v>
      </c>
      <c r="R5691" s="345" t="s">
        <v>223</v>
      </c>
      <c r="S5691" s="345" t="s">
        <v>224</v>
      </c>
    </row>
    <row r="5692" spans="1:19" x14ac:dyDescent="0.25">
      <c r="A5692" s="311"/>
      <c r="B5692" s="312"/>
      <c r="C5692" s="312"/>
      <c r="D5692" s="312"/>
      <c r="E5692" s="312"/>
      <c r="F5692" s="312"/>
      <c r="G5692" s="328"/>
      <c r="H5692" s="453"/>
      <c r="I5692" s="334"/>
      <c r="J5692" s="314"/>
      <c r="K5692" s="454"/>
      <c r="M5692" s="349" t="str">
        <f>N5692&amp;AS[[#This Row],[Insurer Code]]&amp;"; "&amp;O5692&amp;AS[[#This Row],[Reporting Year]]&amp;"; "&amp;P5692&amp;AS[[#This Row],[Insurance Category Code]]&amp;"; "&amp;Q5692&amp;AS[[#This Row],[Large Provider Entity Code]]&amp;"; "&amp;R5692&amp;AS[[#This Row],[Age Band Code]]&amp;"; "&amp;S5692&amp;AS[[#This Row],[Sex Code]]</f>
        <v xml:space="preserve">Insurer Code ; Reporting Year ; Insurance Category Code ; Large Provider Entity Code ; Age Band Code ; Sex Code </v>
      </c>
      <c r="N5692" s="345" t="s">
        <v>207</v>
      </c>
      <c r="O5692" s="345" t="s">
        <v>208</v>
      </c>
      <c r="P5692" s="345" t="s">
        <v>209</v>
      </c>
      <c r="Q5692" s="345" t="s">
        <v>210</v>
      </c>
      <c r="R5692" s="345" t="s">
        <v>223</v>
      </c>
      <c r="S5692" s="345" t="s">
        <v>224</v>
      </c>
    </row>
    <row r="5693" spans="1:19" x14ac:dyDescent="0.25">
      <c r="A5693" s="311"/>
      <c r="B5693" s="312"/>
      <c r="C5693" s="312"/>
      <c r="D5693" s="312"/>
      <c r="E5693" s="312"/>
      <c r="F5693" s="312"/>
      <c r="G5693" s="328"/>
      <c r="H5693" s="453"/>
      <c r="I5693" s="334"/>
      <c r="J5693" s="314"/>
      <c r="K5693" s="454"/>
      <c r="M5693" s="349" t="str">
        <f>N5693&amp;AS[[#This Row],[Insurer Code]]&amp;"; "&amp;O5693&amp;AS[[#This Row],[Reporting Year]]&amp;"; "&amp;P5693&amp;AS[[#This Row],[Insurance Category Code]]&amp;"; "&amp;Q5693&amp;AS[[#This Row],[Large Provider Entity Code]]&amp;"; "&amp;R5693&amp;AS[[#This Row],[Age Band Code]]&amp;"; "&amp;S5693&amp;AS[[#This Row],[Sex Code]]</f>
        <v xml:space="preserve">Insurer Code ; Reporting Year ; Insurance Category Code ; Large Provider Entity Code ; Age Band Code ; Sex Code </v>
      </c>
      <c r="N5693" s="345" t="s">
        <v>207</v>
      </c>
      <c r="O5693" s="345" t="s">
        <v>208</v>
      </c>
      <c r="P5693" s="345" t="s">
        <v>209</v>
      </c>
      <c r="Q5693" s="345" t="s">
        <v>210</v>
      </c>
      <c r="R5693" s="345" t="s">
        <v>223</v>
      </c>
      <c r="S5693" s="345" t="s">
        <v>224</v>
      </c>
    </row>
    <row r="5694" spans="1:19" x14ac:dyDescent="0.25">
      <c r="A5694" s="311"/>
      <c r="B5694" s="312"/>
      <c r="C5694" s="312"/>
      <c r="D5694" s="312"/>
      <c r="E5694" s="312"/>
      <c r="F5694" s="312"/>
      <c r="G5694" s="328"/>
      <c r="H5694" s="453"/>
      <c r="I5694" s="334"/>
      <c r="J5694" s="314"/>
      <c r="K5694" s="454"/>
      <c r="M5694" s="349" t="str">
        <f>N5694&amp;AS[[#This Row],[Insurer Code]]&amp;"; "&amp;O5694&amp;AS[[#This Row],[Reporting Year]]&amp;"; "&amp;P5694&amp;AS[[#This Row],[Insurance Category Code]]&amp;"; "&amp;Q5694&amp;AS[[#This Row],[Large Provider Entity Code]]&amp;"; "&amp;R5694&amp;AS[[#This Row],[Age Band Code]]&amp;"; "&amp;S5694&amp;AS[[#This Row],[Sex Code]]</f>
        <v xml:space="preserve">Insurer Code ; Reporting Year ; Insurance Category Code ; Large Provider Entity Code ; Age Band Code ; Sex Code </v>
      </c>
      <c r="N5694" s="345" t="s">
        <v>207</v>
      </c>
      <c r="O5694" s="345" t="s">
        <v>208</v>
      </c>
      <c r="P5694" s="345" t="s">
        <v>209</v>
      </c>
      <c r="Q5694" s="345" t="s">
        <v>210</v>
      </c>
      <c r="R5694" s="345" t="s">
        <v>223</v>
      </c>
      <c r="S5694" s="345" t="s">
        <v>224</v>
      </c>
    </row>
    <row r="5695" spans="1:19" x14ac:dyDescent="0.25">
      <c r="A5695" s="311"/>
      <c r="B5695" s="312"/>
      <c r="C5695" s="312"/>
      <c r="D5695" s="312"/>
      <c r="E5695" s="312"/>
      <c r="F5695" s="312"/>
      <c r="G5695" s="328"/>
      <c r="H5695" s="453"/>
      <c r="I5695" s="334"/>
      <c r="J5695" s="314"/>
      <c r="K5695" s="454"/>
      <c r="M5695" s="349" t="str">
        <f>N5695&amp;AS[[#This Row],[Insurer Code]]&amp;"; "&amp;O5695&amp;AS[[#This Row],[Reporting Year]]&amp;"; "&amp;P5695&amp;AS[[#This Row],[Insurance Category Code]]&amp;"; "&amp;Q5695&amp;AS[[#This Row],[Large Provider Entity Code]]&amp;"; "&amp;R5695&amp;AS[[#This Row],[Age Band Code]]&amp;"; "&amp;S5695&amp;AS[[#This Row],[Sex Code]]</f>
        <v xml:space="preserve">Insurer Code ; Reporting Year ; Insurance Category Code ; Large Provider Entity Code ; Age Band Code ; Sex Code </v>
      </c>
      <c r="N5695" s="345" t="s">
        <v>207</v>
      </c>
      <c r="O5695" s="345" t="s">
        <v>208</v>
      </c>
      <c r="P5695" s="345" t="s">
        <v>209</v>
      </c>
      <c r="Q5695" s="345" t="s">
        <v>210</v>
      </c>
      <c r="R5695" s="345" t="s">
        <v>223</v>
      </c>
      <c r="S5695" s="345" t="s">
        <v>224</v>
      </c>
    </row>
    <row r="5696" spans="1:19" x14ac:dyDescent="0.25">
      <c r="A5696" s="311"/>
      <c r="B5696" s="312"/>
      <c r="C5696" s="312"/>
      <c r="D5696" s="312"/>
      <c r="E5696" s="312"/>
      <c r="F5696" s="312"/>
      <c r="G5696" s="328"/>
      <c r="H5696" s="453"/>
      <c r="I5696" s="334"/>
      <c r="J5696" s="314"/>
      <c r="K5696" s="454"/>
      <c r="M5696" s="349" t="str">
        <f>N5696&amp;AS[[#This Row],[Insurer Code]]&amp;"; "&amp;O5696&amp;AS[[#This Row],[Reporting Year]]&amp;"; "&amp;P5696&amp;AS[[#This Row],[Insurance Category Code]]&amp;"; "&amp;Q5696&amp;AS[[#This Row],[Large Provider Entity Code]]&amp;"; "&amp;R5696&amp;AS[[#This Row],[Age Band Code]]&amp;"; "&amp;S5696&amp;AS[[#This Row],[Sex Code]]</f>
        <v xml:space="preserve">Insurer Code ; Reporting Year ; Insurance Category Code ; Large Provider Entity Code ; Age Band Code ; Sex Code </v>
      </c>
      <c r="N5696" s="345" t="s">
        <v>207</v>
      </c>
      <c r="O5696" s="345" t="s">
        <v>208</v>
      </c>
      <c r="P5696" s="345" t="s">
        <v>209</v>
      </c>
      <c r="Q5696" s="345" t="s">
        <v>210</v>
      </c>
      <c r="R5696" s="345" t="s">
        <v>223</v>
      </c>
      <c r="S5696" s="345" t="s">
        <v>224</v>
      </c>
    </row>
    <row r="5697" spans="1:19" x14ac:dyDescent="0.25">
      <c r="A5697" s="311"/>
      <c r="B5697" s="312"/>
      <c r="C5697" s="312"/>
      <c r="D5697" s="312"/>
      <c r="E5697" s="312"/>
      <c r="F5697" s="312"/>
      <c r="G5697" s="328"/>
      <c r="H5697" s="453"/>
      <c r="I5697" s="334"/>
      <c r="J5697" s="314"/>
      <c r="K5697" s="454"/>
      <c r="M5697" s="349" t="str">
        <f>N5697&amp;AS[[#This Row],[Insurer Code]]&amp;"; "&amp;O5697&amp;AS[[#This Row],[Reporting Year]]&amp;"; "&amp;P5697&amp;AS[[#This Row],[Insurance Category Code]]&amp;"; "&amp;Q5697&amp;AS[[#This Row],[Large Provider Entity Code]]&amp;"; "&amp;R5697&amp;AS[[#This Row],[Age Band Code]]&amp;"; "&amp;S5697&amp;AS[[#This Row],[Sex Code]]</f>
        <v xml:space="preserve">Insurer Code ; Reporting Year ; Insurance Category Code ; Large Provider Entity Code ; Age Band Code ; Sex Code </v>
      </c>
      <c r="N5697" s="345" t="s">
        <v>207</v>
      </c>
      <c r="O5697" s="345" t="s">
        <v>208</v>
      </c>
      <c r="P5697" s="345" t="s">
        <v>209</v>
      </c>
      <c r="Q5697" s="345" t="s">
        <v>210</v>
      </c>
      <c r="R5697" s="345" t="s">
        <v>223</v>
      </c>
      <c r="S5697" s="345" t="s">
        <v>224</v>
      </c>
    </row>
    <row r="5698" spans="1:19" x14ac:dyDescent="0.25">
      <c r="A5698" s="311"/>
      <c r="B5698" s="312"/>
      <c r="C5698" s="312"/>
      <c r="D5698" s="312"/>
      <c r="E5698" s="312"/>
      <c r="F5698" s="312"/>
      <c r="G5698" s="328"/>
      <c r="H5698" s="453"/>
      <c r="I5698" s="334"/>
      <c r="J5698" s="314"/>
      <c r="K5698" s="454"/>
      <c r="M5698" s="349" t="str">
        <f>N5698&amp;AS[[#This Row],[Insurer Code]]&amp;"; "&amp;O5698&amp;AS[[#This Row],[Reporting Year]]&amp;"; "&amp;P5698&amp;AS[[#This Row],[Insurance Category Code]]&amp;"; "&amp;Q5698&amp;AS[[#This Row],[Large Provider Entity Code]]&amp;"; "&amp;R5698&amp;AS[[#This Row],[Age Band Code]]&amp;"; "&amp;S5698&amp;AS[[#This Row],[Sex Code]]</f>
        <v xml:space="preserve">Insurer Code ; Reporting Year ; Insurance Category Code ; Large Provider Entity Code ; Age Band Code ; Sex Code </v>
      </c>
      <c r="N5698" s="345" t="s">
        <v>207</v>
      </c>
      <c r="O5698" s="345" t="s">
        <v>208</v>
      </c>
      <c r="P5698" s="345" t="s">
        <v>209</v>
      </c>
      <c r="Q5698" s="345" t="s">
        <v>210</v>
      </c>
      <c r="R5698" s="345" t="s">
        <v>223</v>
      </c>
      <c r="S5698" s="345" t="s">
        <v>224</v>
      </c>
    </row>
    <row r="5699" spans="1:19" x14ac:dyDescent="0.25">
      <c r="A5699" s="311"/>
      <c r="B5699" s="312"/>
      <c r="C5699" s="312"/>
      <c r="D5699" s="312"/>
      <c r="E5699" s="312"/>
      <c r="F5699" s="312"/>
      <c r="G5699" s="328"/>
      <c r="H5699" s="453"/>
      <c r="I5699" s="334"/>
      <c r="J5699" s="314"/>
      <c r="K5699" s="454"/>
      <c r="M5699" s="349" t="str">
        <f>N5699&amp;AS[[#This Row],[Insurer Code]]&amp;"; "&amp;O5699&amp;AS[[#This Row],[Reporting Year]]&amp;"; "&amp;P5699&amp;AS[[#This Row],[Insurance Category Code]]&amp;"; "&amp;Q5699&amp;AS[[#This Row],[Large Provider Entity Code]]&amp;"; "&amp;R5699&amp;AS[[#This Row],[Age Band Code]]&amp;"; "&amp;S5699&amp;AS[[#This Row],[Sex Code]]</f>
        <v xml:space="preserve">Insurer Code ; Reporting Year ; Insurance Category Code ; Large Provider Entity Code ; Age Band Code ; Sex Code </v>
      </c>
      <c r="N5699" s="345" t="s">
        <v>207</v>
      </c>
      <c r="O5699" s="345" t="s">
        <v>208</v>
      </c>
      <c r="P5699" s="345" t="s">
        <v>209</v>
      </c>
      <c r="Q5699" s="345" t="s">
        <v>210</v>
      </c>
      <c r="R5699" s="345" t="s">
        <v>223</v>
      </c>
      <c r="S5699" s="345" t="s">
        <v>224</v>
      </c>
    </row>
    <row r="5700" spans="1:19" x14ac:dyDescent="0.25">
      <c r="A5700" s="311"/>
      <c r="B5700" s="312"/>
      <c r="C5700" s="312"/>
      <c r="D5700" s="312"/>
      <c r="E5700" s="312"/>
      <c r="F5700" s="312"/>
      <c r="G5700" s="328"/>
      <c r="H5700" s="453"/>
      <c r="I5700" s="334"/>
      <c r="J5700" s="314"/>
      <c r="K5700" s="454"/>
      <c r="M5700" s="349" t="str">
        <f>N5700&amp;AS[[#This Row],[Insurer Code]]&amp;"; "&amp;O5700&amp;AS[[#This Row],[Reporting Year]]&amp;"; "&amp;P5700&amp;AS[[#This Row],[Insurance Category Code]]&amp;"; "&amp;Q5700&amp;AS[[#This Row],[Large Provider Entity Code]]&amp;"; "&amp;R5700&amp;AS[[#This Row],[Age Band Code]]&amp;"; "&amp;S5700&amp;AS[[#This Row],[Sex Code]]</f>
        <v xml:space="preserve">Insurer Code ; Reporting Year ; Insurance Category Code ; Large Provider Entity Code ; Age Band Code ; Sex Code </v>
      </c>
      <c r="N5700" s="345" t="s">
        <v>207</v>
      </c>
      <c r="O5700" s="345" t="s">
        <v>208</v>
      </c>
      <c r="P5700" s="345" t="s">
        <v>209</v>
      </c>
      <c r="Q5700" s="345" t="s">
        <v>210</v>
      </c>
      <c r="R5700" s="345" t="s">
        <v>223</v>
      </c>
      <c r="S5700" s="345" t="s">
        <v>224</v>
      </c>
    </row>
    <row r="5701" spans="1:19" x14ac:dyDescent="0.25">
      <c r="A5701" s="311"/>
      <c r="B5701" s="312"/>
      <c r="C5701" s="312"/>
      <c r="D5701" s="312"/>
      <c r="E5701" s="312"/>
      <c r="F5701" s="312"/>
      <c r="G5701" s="328"/>
      <c r="H5701" s="453"/>
      <c r="I5701" s="334"/>
      <c r="J5701" s="314"/>
      <c r="K5701" s="454"/>
      <c r="M5701" s="349" t="str">
        <f>N5701&amp;AS[[#This Row],[Insurer Code]]&amp;"; "&amp;O5701&amp;AS[[#This Row],[Reporting Year]]&amp;"; "&amp;P5701&amp;AS[[#This Row],[Insurance Category Code]]&amp;"; "&amp;Q5701&amp;AS[[#This Row],[Large Provider Entity Code]]&amp;"; "&amp;R5701&amp;AS[[#This Row],[Age Band Code]]&amp;"; "&amp;S5701&amp;AS[[#This Row],[Sex Code]]</f>
        <v xml:space="preserve">Insurer Code ; Reporting Year ; Insurance Category Code ; Large Provider Entity Code ; Age Band Code ; Sex Code </v>
      </c>
      <c r="N5701" s="345" t="s">
        <v>207</v>
      </c>
      <c r="O5701" s="345" t="s">
        <v>208</v>
      </c>
      <c r="P5701" s="345" t="s">
        <v>209</v>
      </c>
      <c r="Q5701" s="345" t="s">
        <v>210</v>
      </c>
      <c r="R5701" s="345" t="s">
        <v>223</v>
      </c>
      <c r="S5701" s="345" t="s">
        <v>224</v>
      </c>
    </row>
    <row r="5702" spans="1:19" x14ac:dyDescent="0.25">
      <c r="A5702" s="311"/>
      <c r="B5702" s="312"/>
      <c r="C5702" s="312"/>
      <c r="D5702" s="312"/>
      <c r="E5702" s="312"/>
      <c r="F5702" s="312"/>
      <c r="G5702" s="328"/>
      <c r="H5702" s="453"/>
      <c r="I5702" s="334"/>
      <c r="J5702" s="314"/>
      <c r="K5702" s="454"/>
      <c r="M5702" s="349" t="str">
        <f>N5702&amp;AS[[#This Row],[Insurer Code]]&amp;"; "&amp;O5702&amp;AS[[#This Row],[Reporting Year]]&amp;"; "&amp;P5702&amp;AS[[#This Row],[Insurance Category Code]]&amp;"; "&amp;Q5702&amp;AS[[#This Row],[Large Provider Entity Code]]&amp;"; "&amp;R5702&amp;AS[[#This Row],[Age Band Code]]&amp;"; "&amp;S5702&amp;AS[[#This Row],[Sex Code]]</f>
        <v xml:space="preserve">Insurer Code ; Reporting Year ; Insurance Category Code ; Large Provider Entity Code ; Age Band Code ; Sex Code </v>
      </c>
      <c r="N5702" s="345" t="s">
        <v>207</v>
      </c>
      <c r="O5702" s="345" t="s">
        <v>208</v>
      </c>
      <c r="P5702" s="345" t="s">
        <v>209</v>
      </c>
      <c r="Q5702" s="345" t="s">
        <v>210</v>
      </c>
      <c r="R5702" s="345" t="s">
        <v>223</v>
      </c>
      <c r="S5702" s="345" t="s">
        <v>224</v>
      </c>
    </row>
    <row r="5703" spans="1:19" x14ac:dyDescent="0.25">
      <c r="A5703" s="311"/>
      <c r="B5703" s="312"/>
      <c r="C5703" s="312"/>
      <c r="D5703" s="312"/>
      <c r="E5703" s="312"/>
      <c r="F5703" s="312"/>
      <c r="G5703" s="328"/>
      <c r="H5703" s="453"/>
      <c r="I5703" s="334"/>
      <c r="J5703" s="314"/>
      <c r="K5703" s="454"/>
      <c r="M5703" s="349" t="str">
        <f>N5703&amp;AS[[#This Row],[Insurer Code]]&amp;"; "&amp;O5703&amp;AS[[#This Row],[Reporting Year]]&amp;"; "&amp;P5703&amp;AS[[#This Row],[Insurance Category Code]]&amp;"; "&amp;Q5703&amp;AS[[#This Row],[Large Provider Entity Code]]&amp;"; "&amp;R5703&amp;AS[[#This Row],[Age Band Code]]&amp;"; "&amp;S5703&amp;AS[[#This Row],[Sex Code]]</f>
        <v xml:space="preserve">Insurer Code ; Reporting Year ; Insurance Category Code ; Large Provider Entity Code ; Age Band Code ; Sex Code </v>
      </c>
      <c r="N5703" s="345" t="s">
        <v>207</v>
      </c>
      <c r="O5703" s="345" t="s">
        <v>208</v>
      </c>
      <c r="P5703" s="345" t="s">
        <v>209</v>
      </c>
      <c r="Q5703" s="345" t="s">
        <v>210</v>
      </c>
      <c r="R5703" s="345" t="s">
        <v>223</v>
      </c>
      <c r="S5703" s="345" t="s">
        <v>224</v>
      </c>
    </row>
    <row r="5704" spans="1:19" x14ac:dyDescent="0.25">
      <c r="A5704" s="311"/>
      <c r="B5704" s="312"/>
      <c r="C5704" s="312"/>
      <c r="D5704" s="312"/>
      <c r="E5704" s="312"/>
      <c r="F5704" s="312"/>
      <c r="G5704" s="328"/>
      <c r="H5704" s="453"/>
      <c r="I5704" s="334"/>
      <c r="J5704" s="314"/>
      <c r="K5704" s="454"/>
      <c r="M5704" s="349" t="str">
        <f>N5704&amp;AS[[#This Row],[Insurer Code]]&amp;"; "&amp;O5704&amp;AS[[#This Row],[Reporting Year]]&amp;"; "&amp;P5704&amp;AS[[#This Row],[Insurance Category Code]]&amp;"; "&amp;Q5704&amp;AS[[#This Row],[Large Provider Entity Code]]&amp;"; "&amp;R5704&amp;AS[[#This Row],[Age Band Code]]&amp;"; "&amp;S5704&amp;AS[[#This Row],[Sex Code]]</f>
        <v xml:space="preserve">Insurer Code ; Reporting Year ; Insurance Category Code ; Large Provider Entity Code ; Age Band Code ; Sex Code </v>
      </c>
      <c r="N5704" s="345" t="s">
        <v>207</v>
      </c>
      <c r="O5704" s="345" t="s">
        <v>208</v>
      </c>
      <c r="P5704" s="345" t="s">
        <v>209</v>
      </c>
      <c r="Q5704" s="345" t="s">
        <v>210</v>
      </c>
      <c r="R5704" s="345" t="s">
        <v>223</v>
      </c>
      <c r="S5704" s="345" t="s">
        <v>224</v>
      </c>
    </row>
    <row r="5705" spans="1:19" x14ac:dyDescent="0.25">
      <c r="A5705" s="311"/>
      <c r="B5705" s="312"/>
      <c r="C5705" s="312"/>
      <c r="D5705" s="312"/>
      <c r="E5705" s="312"/>
      <c r="F5705" s="312"/>
      <c r="G5705" s="328"/>
      <c r="H5705" s="453"/>
      <c r="I5705" s="334"/>
      <c r="J5705" s="314"/>
      <c r="K5705" s="454"/>
      <c r="M5705" s="349" t="str">
        <f>N5705&amp;AS[[#This Row],[Insurer Code]]&amp;"; "&amp;O5705&amp;AS[[#This Row],[Reporting Year]]&amp;"; "&amp;P5705&amp;AS[[#This Row],[Insurance Category Code]]&amp;"; "&amp;Q5705&amp;AS[[#This Row],[Large Provider Entity Code]]&amp;"; "&amp;R5705&amp;AS[[#This Row],[Age Band Code]]&amp;"; "&amp;S5705&amp;AS[[#This Row],[Sex Code]]</f>
        <v xml:space="preserve">Insurer Code ; Reporting Year ; Insurance Category Code ; Large Provider Entity Code ; Age Band Code ; Sex Code </v>
      </c>
      <c r="N5705" s="345" t="s">
        <v>207</v>
      </c>
      <c r="O5705" s="345" t="s">
        <v>208</v>
      </c>
      <c r="P5705" s="345" t="s">
        <v>209</v>
      </c>
      <c r="Q5705" s="345" t="s">
        <v>210</v>
      </c>
      <c r="R5705" s="345" t="s">
        <v>223</v>
      </c>
      <c r="S5705" s="345" t="s">
        <v>224</v>
      </c>
    </row>
    <row r="5706" spans="1:19" x14ac:dyDescent="0.25">
      <c r="A5706" s="311"/>
      <c r="B5706" s="312"/>
      <c r="C5706" s="312"/>
      <c r="D5706" s="312"/>
      <c r="E5706" s="312"/>
      <c r="F5706" s="312"/>
      <c r="G5706" s="328"/>
      <c r="H5706" s="453"/>
      <c r="I5706" s="334"/>
      <c r="J5706" s="314"/>
      <c r="K5706" s="454"/>
      <c r="M5706" s="349" t="str">
        <f>N5706&amp;AS[[#This Row],[Insurer Code]]&amp;"; "&amp;O5706&amp;AS[[#This Row],[Reporting Year]]&amp;"; "&amp;P5706&amp;AS[[#This Row],[Insurance Category Code]]&amp;"; "&amp;Q5706&amp;AS[[#This Row],[Large Provider Entity Code]]&amp;"; "&amp;R5706&amp;AS[[#This Row],[Age Band Code]]&amp;"; "&amp;S5706&amp;AS[[#This Row],[Sex Code]]</f>
        <v xml:space="preserve">Insurer Code ; Reporting Year ; Insurance Category Code ; Large Provider Entity Code ; Age Band Code ; Sex Code </v>
      </c>
      <c r="N5706" s="345" t="s">
        <v>207</v>
      </c>
      <c r="O5706" s="345" t="s">
        <v>208</v>
      </c>
      <c r="P5706" s="345" t="s">
        <v>209</v>
      </c>
      <c r="Q5706" s="345" t="s">
        <v>210</v>
      </c>
      <c r="R5706" s="345" t="s">
        <v>223</v>
      </c>
      <c r="S5706" s="345" t="s">
        <v>224</v>
      </c>
    </row>
    <row r="5707" spans="1:19" x14ac:dyDescent="0.25">
      <c r="A5707" s="311"/>
      <c r="B5707" s="312"/>
      <c r="C5707" s="312"/>
      <c r="D5707" s="312"/>
      <c r="E5707" s="312"/>
      <c r="F5707" s="312"/>
      <c r="G5707" s="328"/>
      <c r="H5707" s="453"/>
      <c r="I5707" s="334"/>
      <c r="J5707" s="314"/>
      <c r="K5707" s="454"/>
      <c r="M5707" s="349" t="str">
        <f>N5707&amp;AS[[#This Row],[Insurer Code]]&amp;"; "&amp;O5707&amp;AS[[#This Row],[Reporting Year]]&amp;"; "&amp;P5707&amp;AS[[#This Row],[Insurance Category Code]]&amp;"; "&amp;Q5707&amp;AS[[#This Row],[Large Provider Entity Code]]&amp;"; "&amp;R5707&amp;AS[[#This Row],[Age Band Code]]&amp;"; "&amp;S5707&amp;AS[[#This Row],[Sex Code]]</f>
        <v xml:space="preserve">Insurer Code ; Reporting Year ; Insurance Category Code ; Large Provider Entity Code ; Age Band Code ; Sex Code </v>
      </c>
      <c r="N5707" s="345" t="s">
        <v>207</v>
      </c>
      <c r="O5707" s="345" t="s">
        <v>208</v>
      </c>
      <c r="P5707" s="345" t="s">
        <v>209</v>
      </c>
      <c r="Q5707" s="345" t="s">
        <v>210</v>
      </c>
      <c r="R5707" s="345" t="s">
        <v>223</v>
      </c>
      <c r="S5707" s="345" t="s">
        <v>224</v>
      </c>
    </row>
    <row r="5708" spans="1:19" x14ac:dyDescent="0.25">
      <c r="A5708" s="311"/>
      <c r="B5708" s="312"/>
      <c r="C5708" s="312"/>
      <c r="D5708" s="312"/>
      <c r="E5708" s="312"/>
      <c r="F5708" s="312"/>
      <c r="G5708" s="328"/>
      <c r="H5708" s="453"/>
      <c r="I5708" s="334"/>
      <c r="J5708" s="314"/>
      <c r="K5708" s="454"/>
      <c r="M5708" s="349" t="str">
        <f>N5708&amp;AS[[#This Row],[Insurer Code]]&amp;"; "&amp;O5708&amp;AS[[#This Row],[Reporting Year]]&amp;"; "&amp;P5708&amp;AS[[#This Row],[Insurance Category Code]]&amp;"; "&amp;Q5708&amp;AS[[#This Row],[Large Provider Entity Code]]&amp;"; "&amp;R5708&amp;AS[[#This Row],[Age Band Code]]&amp;"; "&amp;S5708&amp;AS[[#This Row],[Sex Code]]</f>
        <v xml:space="preserve">Insurer Code ; Reporting Year ; Insurance Category Code ; Large Provider Entity Code ; Age Band Code ; Sex Code </v>
      </c>
      <c r="N5708" s="345" t="s">
        <v>207</v>
      </c>
      <c r="O5708" s="345" t="s">
        <v>208</v>
      </c>
      <c r="P5708" s="345" t="s">
        <v>209</v>
      </c>
      <c r="Q5708" s="345" t="s">
        <v>210</v>
      </c>
      <c r="R5708" s="345" t="s">
        <v>223</v>
      </c>
      <c r="S5708" s="345" t="s">
        <v>224</v>
      </c>
    </row>
    <row r="5709" spans="1:19" x14ac:dyDescent="0.25">
      <c r="A5709" s="311"/>
      <c r="B5709" s="312"/>
      <c r="C5709" s="312"/>
      <c r="D5709" s="312"/>
      <c r="E5709" s="312"/>
      <c r="F5709" s="312"/>
      <c r="G5709" s="328"/>
      <c r="H5709" s="453"/>
      <c r="I5709" s="334"/>
      <c r="J5709" s="314"/>
      <c r="K5709" s="454"/>
      <c r="M5709" s="349" t="str">
        <f>N5709&amp;AS[[#This Row],[Insurer Code]]&amp;"; "&amp;O5709&amp;AS[[#This Row],[Reporting Year]]&amp;"; "&amp;P5709&amp;AS[[#This Row],[Insurance Category Code]]&amp;"; "&amp;Q5709&amp;AS[[#This Row],[Large Provider Entity Code]]&amp;"; "&amp;R5709&amp;AS[[#This Row],[Age Band Code]]&amp;"; "&amp;S5709&amp;AS[[#This Row],[Sex Code]]</f>
        <v xml:space="preserve">Insurer Code ; Reporting Year ; Insurance Category Code ; Large Provider Entity Code ; Age Band Code ; Sex Code </v>
      </c>
      <c r="N5709" s="345" t="s">
        <v>207</v>
      </c>
      <c r="O5709" s="345" t="s">
        <v>208</v>
      </c>
      <c r="P5709" s="345" t="s">
        <v>209</v>
      </c>
      <c r="Q5709" s="345" t="s">
        <v>210</v>
      </c>
      <c r="R5709" s="345" t="s">
        <v>223</v>
      </c>
      <c r="S5709" s="345" t="s">
        <v>224</v>
      </c>
    </row>
    <row r="5710" spans="1:19" x14ac:dyDescent="0.25">
      <c r="A5710" s="311"/>
      <c r="B5710" s="312"/>
      <c r="C5710" s="312"/>
      <c r="D5710" s="312"/>
      <c r="E5710" s="312"/>
      <c r="F5710" s="312"/>
      <c r="G5710" s="328"/>
      <c r="H5710" s="453"/>
      <c r="I5710" s="334"/>
      <c r="J5710" s="314"/>
      <c r="K5710" s="454"/>
      <c r="M5710" s="349" t="str">
        <f>N5710&amp;AS[[#This Row],[Insurer Code]]&amp;"; "&amp;O5710&amp;AS[[#This Row],[Reporting Year]]&amp;"; "&amp;P5710&amp;AS[[#This Row],[Insurance Category Code]]&amp;"; "&amp;Q5710&amp;AS[[#This Row],[Large Provider Entity Code]]&amp;"; "&amp;R5710&amp;AS[[#This Row],[Age Band Code]]&amp;"; "&amp;S5710&amp;AS[[#This Row],[Sex Code]]</f>
        <v xml:space="preserve">Insurer Code ; Reporting Year ; Insurance Category Code ; Large Provider Entity Code ; Age Band Code ; Sex Code </v>
      </c>
      <c r="N5710" s="345" t="s">
        <v>207</v>
      </c>
      <c r="O5710" s="345" t="s">
        <v>208</v>
      </c>
      <c r="P5710" s="345" t="s">
        <v>209</v>
      </c>
      <c r="Q5710" s="345" t="s">
        <v>210</v>
      </c>
      <c r="R5710" s="345" t="s">
        <v>223</v>
      </c>
      <c r="S5710" s="345" t="s">
        <v>224</v>
      </c>
    </row>
    <row r="5711" spans="1:19" x14ac:dyDescent="0.25">
      <c r="A5711" s="311"/>
      <c r="B5711" s="312"/>
      <c r="C5711" s="312"/>
      <c r="D5711" s="312"/>
      <c r="E5711" s="312"/>
      <c r="F5711" s="312"/>
      <c r="G5711" s="328"/>
      <c r="H5711" s="453"/>
      <c r="I5711" s="334"/>
      <c r="J5711" s="314"/>
      <c r="K5711" s="454"/>
      <c r="M5711" s="349" t="str">
        <f>N5711&amp;AS[[#This Row],[Insurer Code]]&amp;"; "&amp;O5711&amp;AS[[#This Row],[Reporting Year]]&amp;"; "&amp;P5711&amp;AS[[#This Row],[Insurance Category Code]]&amp;"; "&amp;Q5711&amp;AS[[#This Row],[Large Provider Entity Code]]&amp;"; "&amp;R5711&amp;AS[[#This Row],[Age Band Code]]&amp;"; "&amp;S5711&amp;AS[[#This Row],[Sex Code]]</f>
        <v xml:space="preserve">Insurer Code ; Reporting Year ; Insurance Category Code ; Large Provider Entity Code ; Age Band Code ; Sex Code </v>
      </c>
      <c r="N5711" s="345" t="s">
        <v>207</v>
      </c>
      <c r="O5711" s="345" t="s">
        <v>208</v>
      </c>
      <c r="P5711" s="345" t="s">
        <v>209</v>
      </c>
      <c r="Q5711" s="345" t="s">
        <v>210</v>
      </c>
      <c r="R5711" s="345" t="s">
        <v>223</v>
      </c>
      <c r="S5711" s="345" t="s">
        <v>224</v>
      </c>
    </row>
    <row r="5712" spans="1:19" x14ac:dyDescent="0.25">
      <c r="A5712" s="311"/>
      <c r="B5712" s="312"/>
      <c r="C5712" s="312"/>
      <c r="D5712" s="312"/>
      <c r="E5712" s="312"/>
      <c r="F5712" s="312"/>
      <c r="G5712" s="328"/>
      <c r="H5712" s="453"/>
      <c r="I5712" s="334"/>
      <c r="J5712" s="314"/>
      <c r="K5712" s="454"/>
      <c r="M5712" s="349" t="str">
        <f>N5712&amp;AS[[#This Row],[Insurer Code]]&amp;"; "&amp;O5712&amp;AS[[#This Row],[Reporting Year]]&amp;"; "&amp;P5712&amp;AS[[#This Row],[Insurance Category Code]]&amp;"; "&amp;Q5712&amp;AS[[#This Row],[Large Provider Entity Code]]&amp;"; "&amp;R5712&amp;AS[[#This Row],[Age Band Code]]&amp;"; "&amp;S5712&amp;AS[[#This Row],[Sex Code]]</f>
        <v xml:space="preserve">Insurer Code ; Reporting Year ; Insurance Category Code ; Large Provider Entity Code ; Age Band Code ; Sex Code </v>
      </c>
      <c r="N5712" s="345" t="s">
        <v>207</v>
      </c>
      <c r="O5712" s="345" t="s">
        <v>208</v>
      </c>
      <c r="P5712" s="345" t="s">
        <v>209</v>
      </c>
      <c r="Q5712" s="345" t="s">
        <v>210</v>
      </c>
      <c r="R5712" s="345" t="s">
        <v>223</v>
      </c>
      <c r="S5712" s="345" t="s">
        <v>224</v>
      </c>
    </row>
    <row r="5713" spans="1:19" x14ac:dyDescent="0.25">
      <c r="A5713" s="311"/>
      <c r="B5713" s="312"/>
      <c r="C5713" s="312"/>
      <c r="D5713" s="312"/>
      <c r="E5713" s="312"/>
      <c r="F5713" s="312"/>
      <c r="G5713" s="328"/>
      <c r="H5713" s="453"/>
      <c r="I5713" s="334"/>
      <c r="J5713" s="314"/>
      <c r="K5713" s="454"/>
      <c r="M5713" s="349" t="str">
        <f>N5713&amp;AS[[#This Row],[Insurer Code]]&amp;"; "&amp;O5713&amp;AS[[#This Row],[Reporting Year]]&amp;"; "&amp;P5713&amp;AS[[#This Row],[Insurance Category Code]]&amp;"; "&amp;Q5713&amp;AS[[#This Row],[Large Provider Entity Code]]&amp;"; "&amp;R5713&amp;AS[[#This Row],[Age Band Code]]&amp;"; "&amp;S5713&amp;AS[[#This Row],[Sex Code]]</f>
        <v xml:space="preserve">Insurer Code ; Reporting Year ; Insurance Category Code ; Large Provider Entity Code ; Age Band Code ; Sex Code </v>
      </c>
      <c r="N5713" s="345" t="s">
        <v>207</v>
      </c>
      <c r="O5713" s="345" t="s">
        <v>208</v>
      </c>
      <c r="P5713" s="345" t="s">
        <v>209</v>
      </c>
      <c r="Q5713" s="345" t="s">
        <v>210</v>
      </c>
      <c r="R5713" s="345" t="s">
        <v>223</v>
      </c>
      <c r="S5713" s="345" t="s">
        <v>224</v>
      </c>
    </row>
    <row r="5714" spans="1:19" x14ac:dyDescent="0.25">
      <c r="A5714" s="311"/>
      <c r="B5714" s="312"/>
      <c r="C5714" s="312"/>
      <c r="D5714" s="312"/>
      <c r="E5714" s="312"/>
      <c r="F5714" s="312"/>
      <c r="G5714" s="328"/>
      <c r="H5714" s="453"/>
      <c r="I5714" s="334"/>
      <c r="J5714" s="314"/>
      <c r="K5714" s="454"/>
      <c r="M5714" s="349" t="str">
        <f>N5714&amp;AS[[#This Row],[Insurer Code]]&amp;"; "&amp;O5714&amp;AS[[#This Row],[Reporting Year]]&amp;"; "&amp;P5714&amp;AS[[#This Row],[Insurance Category Code]]&amp;"; "&amp;Q5714&amp;AS[[#This Row],[Large Provider Entity Code]]&amp;"; "&amp;R5714&amp;AS[[#This Row],[Age Band Code]]&amp;"; "&amp;S5714&amp;AS[[#This Row],[Sex Code]]</f>
        <v xml:space="preserve">Insurer Code ; Reporting Year ; Insurance Category Code ; Large Provider Entity Code ; Age Band Code ; Sex Code </v>
      </c>
      <c r="N5714" s="345" t="s">
        <v>207</v>
      </c>
      <c r="O5714" s="345" t="s">
        <v>208</v>
      </c>
      <c r="P5714" s="345" t="s">
        <v>209</v>
      </c>
      <c r="Q5714" s="345" t="s">
        <v>210</v>
      </c>
      <c r="R5714" s="345" t="s">
        <v>223</v>
      </c>
      <c r="S5714" s="345" t="s">
        <v>224</v>
      </c>
    </row>
    <row r="5715" spans="1:19" x14ac:dyDescent="0.25">
      <c r="A5715" s="311"/>
      <c r="B5715" s="312"/>
      <c r="C5715" s="312"/>
      <c r="D5715" s="312"/>
      <c r="E5715" s="312"/>
      <c r="F5715" s="312"/>
      <c r="G5715" s="328"/>
      <c r="H5715" s="453"/>
      <c r="I5715" s="334"/>
      <c r="J5715" s="314"/>
      <c r="K5715" s="454"/>
      <c r="M5715" s="349" t="str">
        <f>N5715&amp;AS[[#This Row],[Insurer Code]]&amp;"; "&amp;O5715&amp;AS[[#This Row],[Reporting Year]]&amp;"; "&amp;P5715&amp;AS[[#This Row],[Insurance Category Code]]&amp;"; "&amp;Q5715&amp;AS[[#This Row],[Large Provider Entity Code]]&amp;"; "&amp;R5715&amp;AS[[#This Row],[Age Band Code]]&amp;"; "&amp;S5715&amp;AS[[#This Row],[Sex Code]]</f>
        <v xml:space="preserve">Insurer Code ; Reporting Year ; Insurance Category Code ; Large Provider Entity Code ; Age Band Code ; Sex Code </v>
      </c>
      <c r="N5715" s="345" t="s">
        <v>207</v>
      </c>
      <c r="O5715" s="345" t="s">
        <v>208</v>
      </c>
      <c r="P5715" s="345" t="s">
        <v>209</v>
      </c>
      <c r="Q5715" s="345" t="s">
        <v>210</v>
      </c>
      <c r="R5715" s="345" t="s">
        <v>223</v>
      </c>
      <c r="S5715" s="345" t="s">
        <v>224</v>
      </c>
    </row>
    <row r="5716" spans="1:19" x14ac:dyDescent="0.25">
      <c r="A5716" s="311"/>
      <c r="B5716" s="312"/>
      <c r="C5716" s="312"/>
      <c r="D5716" s="312"/>
      <c r="E5716" s="312"/>
      <c r="F5716" s="312"/>
      <c r="G5716" s="328"/>
      <c r="H5716" s="453"/>
      <c r="I5716" s="334"/>
      <c r="J5716" s="314"/>
      <c r="K5716" s="454"/>
      <c r="M5716" s="349" t="str">
        <f>N5716&amp;AS[[#This Row],[Insurer Code]]&amp;"; "&amp;O5716&amp;AS[[#This Row],[Reporting Year]]&amp;"; "&amp;P5716&amp;AS[[#This Row],[Insurance Category Code]]&amp;"; "&amp;Q5716&amp;AS[[#This Row],[Large Provider Entity Code]]&amp;"; "&amp;R5716&amp;AS[[#This Row],[Age Band Code]]&amp;"; "&amp;S5716&amp;AS[[#This Row],[Sex Code]]</f>
        <v xml:space="preserve">Insurer Code ; Reporting Year ; Insurance Category Code ; Large Provider Entity Code ; Age Band Code ; Sex Code </v>
      </c>
      <c r="N5716" s="345" t="s">
        <v>207</v>
      </c>
      <c r="O5716" s="345" t="s">
        <v>208</v>
      </c>
      <c r="P5716" s="345" t="s">
        <v>209</v>
      </c>
      <c r="Q5716" s="345" t="s">
        <v>210</v>
      </c>
      <c r="R5716" s="345" t="s">
        <v>223</v>
      </c>
      <c r="S5716" s="345" t="s">
        <v>224</v>
      </c>
    </row>
    <row r="5717" spans="1:19" x14ac:dyDescent="0.25">
      <c r="A5717" s="311"/>
      <c r="B5717" s="312"/>
      <c r="C5717" s="312"/>
      <c r="D5717" s="312"/>
      <c r="E5717" s="312"/>
      <c r="F5717" s="312"/>
      <c r="G5717" s="328"/>
      <c r="H5717" s="453"/>
      <c r="I5717" s="334"/>
      <c r="J5717" s="314"/>
      <c r="K5717" s="454"/>
      <c r="M5717" s="349" t="str">
        <f>N5717&amp;AS[[#This Row],[Insurer Code]]&amp;"; "&amp;O5717&amp;AS[[#This Row],[Reporting Year]]&amp;"; "&amp;P5717&amp;AS[[#This Row],[Insurance Category Code]]&amp;"; "&amp;Q5717&amp;AS[[#This Row],[Large Provider Entity Code]]&amp;"; "&amp;R5717&amp;AS[[#This Row],[Age Band Code]]&amp;"; "&amp;S5717&amp;AS[[#This Row],[Sex Code]]</f>
        <v xml:space="preserve">Insurer Code ; Reporting Year ; Insurance Category Code ; Large Provider Entity Code ; Age Band Code ; Sex Code </v>
      </c>
      <c r="N5717" s="345" t="s">
        <v>207</v>
      </c>
      <c r="O5717" s="345" t="s">
        <v>208</v>
      </c>
      <c r="P5717" s="345" t="s">
        <v>209</v>
      </c>
      <c r="Q5717" s="345" t="s">
        <v>210</v>
      </c>
      <c r="R5717" s="345" t="s">
        <v>223</v>
      </c>
      <c r="S5717" s="345" t="s">
        <v>224</v>
      </c>
    </row>
    <row r="5718" spans="1:19" x14ac:dyDescent="0.25">
      <c r="A5718" s="311"/>
      <c r="B5718" s="312"/>
      <c r="C5718" s="312"/>
      <c r="D5718" s="312"/>
      <c r="E5718" s="312"/>
      <c r="F5718" s="312"/>
      <c r="G5718" s="328"/>
      <c r="H5718" s="453"/>
      <c r="I5718" s="334"/>
      <c r="J5718" s="314"/>
      <c r="K5718" s="454"/>
      <c r="M5718" s="349" t="str">
        <f>N5718&amp;AS[[#This Row],[Insurer Code]]&amp;"; "&amp;O5718&amp;AS[[#This Row],[Reporting Year]]&amp;"; "&amp;P5718&amp;AS[[#This Row],[Insurance Category Code]]&amp;"; "&amp;Q5718&amp;AS[[#This Row],[Large Provider Entity Code]]&amp;"; "&amp;R5718&amp;AS[[#This Row],[Age Band Code]]&amp;"; "&amp;S5718&amp;AS[[#This Row],[Sex Code]]</f>
        <v xml:space="preserve">Insurer Code ; Reporting Year ; Insurance Category Code ; Large Provider Entity Code ; Age Band Code ; Sex Code </v>
      </c>
      <c r="N5718" s="345" t="s">
        <v>207</v>
      </c>
      <c r="O5718" s="345" t="s">
        <v>208</v>
      </c>
      <c r="P5718" s="345" t="s">
        <v>209</v>
      </c>
      <c r="Q5718" s="345" t="s">
        <v>210</v>
      </c>
      <c r="R5718" s="345" t="s">
        <v>223</v>
      </c>
      <c r="S5718" s="345" t="s">
        <v>224</v>
      </c>
    </row>
    <row r="5719" spans="1:19" x14ac:dyDescent="0.25">
      <c r="A5719" s="311"/>
      <c r="B5719" s="312"/>
      <c r="C5719" s="312"/>
      <c r="D5719" s="312"/>
      <c r="E5719" s="312"/>
      <c r="F5719" s="312"/>
      <c r="G5719" s="328"/>
      <c r="H5719" s="453"/>
      <c r="I5719" s="334"/>
      <c r="J5719" s="314"/>
      <c r="K5719" s="454"/>
      <c r="M5719" s="349" t="str">
        <f>N5719&amp;AS[[#This Row],[Insurer Code]]&amp;"; "&amp;O5719&amp;AS[[#This Row],[Reporting Year]]&amp;"; "&amp;P5719&amp;AS[[#This Row],[Insurance Category Code]]&amp;"; "&amp;Q5719&amp;AS[[#This Row],[Large Provider Entity Code]]&amp;"; "&amp;R5719&amp;AS[[#This Row],[Age Band Code]]&amp;"; "&amp;S5719&amp;AS[[#This Row],[Sex Code]]</f>
        <v xml:space="preserve">Insurer Code ; Reporting Year ; Insurance Category Code ; Large Provider Entity Code ; Age Band Code ; Sex Code </v>
      </c>
      <c r="N5719" s="345" t="s">
        <v>207</v>
      </c>
      <c r="O5719" s="345" t="s">
        <v>208</v>
      </c>
      <c r="P5719" s="345" t="s">
        <v>209</v>
      </c>
      <c r="Q5719" s="345" t="s">
        <v>210</v>
      </c>
      <c r="R5719" s="345" t="s">
        <v>223</v>
      </c>
      <c r="S5719" s="345" t="s">
        <v>224</v>
      </c>
    </row>
    <row r="5720" spans="1:19" x14ac:dyDescent="0.25">
      <c r="A5720" s="311"/>
      <c r="B5720" s="312"/>
      <c r="C5720" s="312"/>
      <c r="D5720" s="312"/>
      <c r="E5720" s="312"/>
      <c r="F5720" s="312"/>
      <c r="G5720" s="328"/>
      <c r="H5720" s="453"/>
      <c r="I5720" s="334"/>
      <c r="J5720" s="314"/>
      <c r="K5720" s="454"/>
      <c r="M5720" s="349" t="str">
        <f>N5720&amp;AS[[#This Row],[Insurer Code]]&amp;"; "&amp;O5720&amp;AS[[#This Row],[Reporting Year]]&amp;"; "&amp;P5720&amp;AS[[#This Row],[Insurance Category Code]]&amp;"; "&amp;Q5720&amp;AS[[#This Row],[Large Provider Entity Code]]&amp;"; "&amp;R5720&amp;AS[[#This Row],[Age Band Code]]&amp;"; "&amp;S5720&amp;AS[[#This Row],[Sex Code]]</f>
        <v xml:space="preserve">Insurer Code ; Reporting Year ; Insurance Category Code ; Large Provider Entity Code ; Age Band Code ; Sex Code </v>
      </c>
      <c r="N5720" s="345" t="s">
        <v>207</v>
      </c>
      <c r="O5720" s="345" t="s">
        <v>208</v>
      </c>
      <c r="P5720" s="345" t="s">
        <v>209</v>
      </c>
      <c r="Q5720" s="345" t="s">
        <v>210</v>
      </c>
      <c r="R5720" s="345" t="s">
        <v>223</v>
      </c>
      <c r="S5720" s="345" t="s">
        <v>224</v>
      </c>
    </row>
    <row r="5721" spans="1:19" x14ac:dyDescent="0.25">
      <c r="A5721" s="311"/>
      <c r="B5721" s="312"/>
      <c r="C5721" s="312"/>
      <c r="D5721" s="312"/>
      <c r="E5721" s="312"/>
      <c r="F5721" s="312"/>
      <c r="G5721" s="328"/>
      <c r="H5721" s="453"/>
      <c r="I5721" s="334"/>
      <c r="J5721" s="314"/>
      <c r="K5721" s="454"/>
      <c r="M5721" s="349" t="str">
        <f>N5721&amp;AS[[#This Row],[Insurer Code]]&amp;"; "&amp;O5721&amp;AS[[#This Row],[Reporting Year]]&amp;"; "&amp;P5721&amp;AS[[#This Row],[Insurance Category Code]]&amp;"; "&amp;Q5721&amp;AS[[#This Row],[Large Provider Entity Code]]&amp;"; "&amp;R5721&amp;AS[[#This Row],[Age Band Code]]&amp;"; "&amp;S5721&amp;AS[[#This Row],[Sex Code]]</f>
        <v xml:space="preserve">Insurer Code ; Reporting Year ; Insurance Category Code ; Large Provider Entity Code ; Age Band Code ; Sex Code </v>
      </c>
      <c r="N5721" s="345" t="s">
        <v>207</v>
      </c>
      <c r="O5721" s="345" t="s">
        <v>208</v>
      </c>
      <c r="P5721" s="345" t="s">
        <v>209</v>
      </c>
      <c r="Q5721" s="345" t="s">
        <v>210</v>
      </c>
      <c r="R5721" s="345" t="s">
        <v>223</v>
      </c>
      <c r="S5721" s="345" t="s">
        <v>224</v>
      </c>
    </row>
    <row r="5722" spans="1:19" x14ac:dyDescent="0.25">
      <c r="A5722" s="311"/>
      <c r="B5722" s="312"/>
      <c r="C5722" s="312"/>
      <c r="D5722" s="312"/>
      <c r="E5722" s="312"/>
      <c r="F5722" s="312"/>
      <c r="G5722" s="328"/>
      <c r="H5722" s="453"/>
      <c r="I5722" s="334"/>
      <c r="J5722" s="314"/>
      <c r="K5722" s="454"/>
      <c r="M5722" s="349" t="str">
        <f>N5722&amp;AS[[#This Row],[Insurer Code]]&amp;"; "&amp;O5722&amp;AS[[#This Row],[Reporting Year]]&amp;"; "&amp;P5722&amp;AS[[#This Row],[Insurance Category Code]]&amp;"; "&amp;Q5722&amp;AS[[#This Row],[Large Provider Entity Code]]&amp;"; "&amp;R5722&amp;AS[[#This Row],[Age Band Code]]&amp;"; "&amp;S5722&amp;AS[[#This Row],[Sex Code]]</f>
        <v xml:space="preserve">Insurer Code ; Reporting Year ; Insurance Category Code ; Large Provider Entity Code ; Age Band Code ; Sex Code </v>
      </c>
      <c r="N5722" s="345" t="s">
        <v>207</v>
      </c>
      <c r="O5722" s="345" t="s">
        <v>208</v>
      </c>
      <c r="P5722" s="345" t="s">
        <v>209</v>
      </c>
      <c r="Q5722" s="345" t="s">
        <v>210</v>
      </c>
      <c r="R5722" s="345" t="s">
        <v>223</v>
      </c>
      <c r="S5722" s="345" t="s">
        <v>224</v>
      </c>
    </row>
    <row r="5723" spans="1:19" x14ac:dyDescent="0.25">
      <c r="A5723" s="311"/>
      <c r="B5723" s="312"/>
      <c r="C5723" s="312"/>
      <c r="D5723" s="312"/>
      <c r="E5723" s="312"/>
      <c r="F5723" s="312"/>
      <c r="G5723" s="328"/>
      <c r="H5723" s="453"/>
      <c r="I5723" s="334"/>
      <c r="J5723" s="314"/>
      <c r="K5723" s="454"/>
      <c r="M5723" s="349" t="str">
        <f>N5723&amp;AS[[#This Row],[Insurer Code]]&amp;"; "&amp;O5723&amp;AS[[#This Row],[Reporting Year]]&amp;"; "&amp;P5723&amp;AS[[#This Row],[Insurance Category Code]]&amp;"; "&amp;Q5723&amp;AS[[#This Row],[Large Provider Entity Code]]&amp;"; "&amp;R5723&amp;AS[[#This Row],[Age Band Code]]&amp;"; "&amp;S5723&amp;AS[[#This Row],[Sex Code]]</f>
        <v xml:space="preserve">Insurer Code ; Reporting Year ; Insurance Category Code ; Large Provider Entity Code ; Age Band Code ; Sex Code </v>
      </c>
      <c r="N5723" s="345" t="s">
        <v>207</v>
      </c>
      <c r="O5723" s="345" t="s">
        <v>208</v>
      </c>
      <c r="P5723" s="345" t="s">
        <v>209</v>
      </c>
      <c r="Q5723" s="345" t="s">
        <v>210</v>
      </c>
      <c r="R5723" s="345" t="s">
        <v>223</v>
      </c>
      <c r="S5723" s="345" t="s">
        <v>224</v>
      </c>
    </row>
    <row r="5724" spans="1:19" x14ac:dyDescent="0.25">
      <c r="A5724" s="311"/>
      <c r="B5724" s="312"/>
      <c r="C5724" s="312"/>
      <c r="D5724" s="312"/>
      <c r="E5724" s="312"/>
      <c r="F5724" s="312"/>
      <c r="G5724" s="328"/>
      <c r="H5724" s="453"/>
      <c r="I5724" s="334"/>
      <c r="J5724" s="314"/>
      <c r="K5724" s="454"/>
      <c r="M5724" s="349" t="str">
        <f>N5724&amp;AS[[#This Row],[Insurer Code]]&amp;"; "&amp;O5724&amp;AS[[#This Row],[Reporting Year]]&amp;"; "&amp;P5724&amp;AS[[#This Row],[Insurance Category Code]]&amp;"; "&amp;Q5724&amp;AS[[#This Row],[Large Provider Entity Code]]&amp;"; "&amp;R5724&amp;AS[[#This Row],[Age Band Code]]&amp;"; "&amp;S5724&amp;AS[[#This Row],[Sex Code]]</f>
        <v xml:space="preserve">Insurer Code ; Reporting Year ; Insurance Category Code ; Large Provider Entity Code ; Age Band Code ; Sex Code </v>
      </c>
      <c r="N5724" s="345" t="s">
        <v>207</v>
      </c>
      <c r="O5724" s="345" t="s">
        <v>208</v>
      </c>
      <c r="P5724" s="345" t="s">
        <v>209</v>
      </c>
      <c r="Q5724" s="345" t="s">
        <v>210</v>
      </c>
      <c r="R5724" s="345" t="s">
        <v>223</v>
      </c>
      <c r="S5724" s="345" t="s">
        <v>224</v>
      </c>
    </row>
    <row r="5725" spans="1:19" x14ac:dyDescent="0.25">
      <c r="A5725" s="311"/>
      <c r="B5725" s="312"/>
      <c r="C5725" s="312"/>
      <c r="D5725" s="312"/>
      <c r="E5725" s="312"/>
      <c r="F5725" s="312"/>
      <c r="G5725" s="328"/>
      <c r="H5725" s="453"/>
      <c r="I5725" s="334"/>
      <c r="J5725" s="314"/>
      <c r="K5725" s="454"/>
      <c r="M5725" s="349" t="str">
        <f>N5725&amp;AS[[#This Row],[Insurer Code]]&amp;"; "&amp;O5725&amp;AS[[#This Row],[Reporting Year]]&amp;"; "&amp;P5725&amp;AS[[#This Row],[Insurance Category Code]]&amp;"; "&amp;Q5725&amp;AS[[#This Row],[Large Provider Entity Code]]&amp;"; "&amp;R5725&amp;AS[[#This Row],[Age Band Code]]&amp;"; "&amp;S5725&amp;AS[[#This Row],[Sex Code]]</f>
        <v xml:space="preserve">Insurer Code ; Reporting Year ; Insurance Category Code ; Large Provider Entity Code ; Age Band Code ; Sex Code </v>
      </c>
      <c r="N5725" s="345" t="s">
        <v>207</v>
      </c>
      <c r="O5725" s="345" t="s">
        <v>208</v>
      </c>
      <c r="P5725" s="345" t="s">
        <v>209</v>
      </c>
      <c r="Q5725" s="345" t="s">
        <v>210</v>
      </c>
      <c r="R5725" s="345" t="s">
        <v>223</v>
      </c>
      <c r="S5725" s="345" t="s">
        <v>224</v>
      </c>
    </row>
    <row r="5726" spans="1:19" x14ac:dyDescent="0.25">
      <c r="A5726" s="311"/>
      <c r="B5726" s="312"/>
      <c r="C5726" s="312"/>
      <c r="D5726" s="312"/>
      <c r="E5726" s="312"/>
      <c r="F5726" s="312"/>
      <c r="G5726" s="328"/>
      <c r="H5726" s="453"/>
      <c r="I5726" s="334"/>
      <c r="J5726" s="314"/>
      <c r="K5726" s="454"/>
      <c r="M5726" s="349" t="str">
        <f>N5726&amp;AS[[#This Row],[Insurer Code]]&amp;"; "&amp;O5726&amp;AS[[#This Row],[Reporting Year]]&amp;"; "&amp;P5726&amp;AS[[#This Row],[Insurance Category Code]]&amp;"; "&amp;Q5726&amp;AS[[#This Row],[Large Provider Entity Code]]&amp;"; "&amp;R5726&amp;AS[[#This Row],[Age Band Code]]&amp;"; "&amp;S5726&amp;AS[[#This Row],[Sex Code]]</f>
        <v xml:space="preserve">Insurer Code ; Reporting Year ; Insurance Category Code ; Large Provider Entity Code ; Age Band Code ; Sex Code </v>
      </c>
      <c r="N5726" s="345" t="s">
        <v>207</v>
      </c>
      <c r="O5726" s="345" t="s">
        <v>208</v>
      </c>
      <c r="P5726" s="345" t="s">
        <v>209</v>
      </c>
      <c r="Q5726" s="345" t="s">
        <v>210</v>
      </c>
      <c r="R5726" s="345" t="s">
        <v>223</v>
      </c>
      <c r="S5726" s="345" t="s">
        <v>224</v>
      </c>
    </row>
    <row r="5727" spans="1:19" x14ac:dyDescent="0.25">
      <c r="A5727" s="311"/>
      <c r="B5727" s="312"/>
      <c r="C5727" s="312"/>
      <c r="D5727" s="312"/>
      <c r="E5727" s="312"/>
      <c r="F5727" s="312"/>
      <c r="G5727" s="328"/>
      <c r="H5727" s="453"/>
      <c r="I5727" s="334"/>
      <c r="J5727" s="314"/>
      <c r="K5727" s="454"/>
      <c r="M5727" s="349" t="str">
        <f>N5727&amp;AS[[#This Row],[Insurer Code]]&amp;"; "&amp;O5727&amp;AS[[#This Row],[Reporting Year]]&amp;"; "&amp;P5727&amp;AS[[#This Row],[Insurance Category Code]]&amp;"; "&amp;Q5727&amp;AS[[#This Row],[Large Provider Entity Code]]&amp;"; "&amp;R5727&amp;AS[[#This Row],[Age Band Code]]&amp;"; "&amp;S5727&amp;AS[[#This Row],[Sex Code]]</f>
        <v xml:space="preserve">Insurer Code ; Reporting Year ; Insurance Category Code ; Large Provider Entity Code ; Age Band Code ; Sex Code </v>
      </c>
      <c r="N5727" s="345" t="s">
        <v>207</v>
      </c>
      <c r="O5727" s="345" t="s">
        <v>208</v>
      </c>
      <c r="P5727" s="345" t="s">
        <v>209</v>
      </c>
      <c r="Q5727" s="345" t="s">
        <v>210</v>
      </c>
      <c r="R5727" s="345" t="s">
        <v>223</v>
      </c>
      <c r="S5727" s="345" t="s">
        <v>224</v>
      </c>
    </row>
    <row r="5728" spans="1:19" x14ac:dyDescent="0.25">
      <c r="A5728" s="311"/>
      <c r="B5728" s="312"/>
      <c r="C5728" s="312"/>
      <c r="D5728" s="312"/>
      <c r="E5728" s="312"/>
      <c r="F5728" s="312"/>
      <c r="G5728" s="328"/>
      <c r="H5728" s="453"/>
      <c r="I5728" s="334"/>
      <c r="J5728" s="314"/>
      <c r="K5728" s="454"/>
      <c r="M5728" s="349" t="str">
        <f>N5728&amp;AS[[#This Row],[Insurer Code]]&amp;"; "&amp;O5728&amp;AS[[#This Row],[Reporting Year]]&amp;"; "&amp;P5728&amp;AS[[#This Row],[Insurance Category Code]]&amp;"; "&amp;Q5728&amp;AS[[#This Row],[Large Provider Entity Code]]&amp;"; "&amp;R5728&amp;AS[[#This Row],[Age Band Code]]&amp;"; "&amp;S5728&amp;AS[[#This Row],[Sex Code]]</f>
        <v xml:space="preserve">Insurer Code ; Reporting Year ; Insurance Category Code ; Large Provider Entity Code ; Age Band Code ; Sex Code </v>
      </c>
      <c r="N5728" s="345" t="s">
        <v>207</v>
      </c>
      <c r="O5728" s="345" t="s">
        <v>208</v>
      </c>
      <c r="P5728" s="345" t="s">
        <v>209</v>
      </c>
      <c r="Q5728" s="345" t="s">
        <v>210</v>
      </c>
      <c r="R5728" s="345" t="s">
        <v>223</v>
      </c>
      <c r="S5728" s="345" t="s">
        <v>224</v>
      </c>
    </row>
    <row r="5729" spans="1:19" x14ac:dyDescent="0.25">
      <c r="A5729" s="311"/>
      <c r="B5729" s="312"/>
      <c r="C5729" s="312"/>
      <c r="D5729" s="312"/>
      <c r="E5729" s="312"/>
      <c r="F5729" s="312"/>
      <c r="G5729" s="328"/>
      <c r="H5729" s="453"/>
      <c r="I5729" s="334"/>
      <c r="J5729" s="314"/>
      <c r="K5729" s="454"/>
      <c r="M5729" s="349" t="str">
        <f>N5729&amp;AS[[#This Row],[Insurer Code]]&amp;"; "&amp;O5729&amp;AS[[#This Row],[Reporting Year]]&amp;"; "&amp;P5729&amp;AS[[#This Row],[Insurance Category Code]]&amp;"; "&amp;Q5729&amp;AS[[#This Row],[Large Provider Entity Code]]&amp;"; "&amp;R5729&amp;AS[[#This Row],[Age Band Code]]&amp;"; "&amp;S5729&amp;AS[[#This Row],[Sex Code]]</f>
        <v xml:space="preserve">Insurer Code ; Reporting Year ; Insurance Category Code ; Large Provider Entity Code ; Age Band Code ; Sex Code </v>
      </c>
      <c r="N5729" s="345" t="s">
        <v>207</v>
      </c>
      <c r="O5729" s="345" t="s">
        <v>208</v>
      </c>
      <c r="P5729" s="345" t="s">
        <v>209</v>
      </c>
      <c r="Q5729" s="345" t="s">
        <v>210</v>
      </c>
      <c r="R5729" s="345" t="s">
        <v>223</v>
      </c>
      <c r="S5729" s="345" t="s">
        <v>224</v>
      </c>
    </row>
    <row r="5730" spans="1:19" x14ac:dyDescent="0.25">
      <c r="A5730" s="311"/>
      <c r="B5730" s="312"/>
      <c r="C5730" s="312"/>
      <c r="D5730" s="312"/>
      <c r="E5730" s="312"/>
      <c r="F5730" s="312"/>
      <c r="G5730" s="328"/>
      <c r="H5730" s="453"/>
      <c r="I5730" s="334"/>
      <c r="J5730" s="314"/>
      <c r="K5730" s="454"/>
      <c r="M5730" s="349" t="str">
        <f>N5730&amp;AS[[#This Row],[Insurer Code]]&amp;"; "&amp;O5730&amp;AS[[#This Row],[Reporting Year]]&amp;"; "&amp;P5730&amp;AS[[#This Row],[Insurance Category Code]]&amp;"; "&amp;Q5730&amp;AS[[#This Row],[Large Provider Entity Code]]&amp;"; "&amp;R5730&amp;AS[[#This Row],[Age Band Code]]&amp;"; "&amp;S5730&amp;AS[[#This Row],[Sex Code]]</f>
        <v xml:space="preserve">Insurer Code ; Reporting Year ; Insurance Category Code ; Large Provider Entity Code ; Age Band Code ; Sex Code </v>
      </c>
      <c r="N5730" s="345" t="s">
        <v>207</v>
      </c>
      <c r="O5730" s="345" t="s">
        <v>208</v>
      </c>
      <c r="P5730" s="345" t="s">
        <v>209</v>
      </c>
      <c r="Q5730" s="345" t="s">
        <v>210</v>
      </c>
      <c r="R5730" s="345" t="s">
        <v>223</v>
      </c>
      <c r="S5730" s="345" t="s">
        <v>224</v>
      </c>
    </row>
    <row r="5731" spans="1:19" x14ac:dyDescent="0.25">
      <c r="A5731" s="311"/>
      <c r="B5731" s="312"/>
      <c r="C5731" s="312"/>
      <c r="D5731" s="312"/>
      <c r="E5731" s="312"/>
      <c r="F5731" s="312"/>
      <c r="G5731" s="328"/>
      <c r="H5731" s="453"/>
      <c r="I5731" s="334"/>
      <c r="J5731" s="314"/>
      <c r="K5731" s="454"/>
      <c r="M5731" s="349" t="str">
        <f>N5731&amp;AS[[#This Row],[Insurer Code]]&amp;"; "&amp;O5731&amp;AS[[#This Row],[Reporting Year]]&amp;"; "&amp;P5731&amp;AS[[#This Row],[Insurance Category Code]]&amp;"; "&amp;Q5731&amp;AS[[#This Row],[Large Provider Entity Code]]&amp;"; "&amp;R5731&amp;AS[[#This Row],[Age Band Code]]&amp;"; "&amp;S5731&amp;AS[[#This Row],[Sex Code]]</f>
        <v xml:space="preserve">Insurer Code ; Reporting Year ; Insurance Category Code ; Large Provider Entity Code ; Age Band Code ; Sex Code </v>
      </c>
      <c r="N5731" s="345" t="s">
        <v>207</v>
      </c>
      <c r="O5731" s="345" t="s">
        <v>208</v>
      </c>
      <c r="P5731" s="345" t="s">
        <v>209</v>
      </c>
      <c r="Q5731" s="345" t="s">
        <v>210</v>
      </c>
      <c r="R5731" s="345" t="s">
        <v>223</v>
      </c>
      <c r="S5731" s="345" t="s">
        <v>224</v>
      </c>
    </row>
    <row r="5732" spans="1:19" x14ac:dyDescent="0.25">
      <c r="A5732" s="311"/>
      <c r="B5732" s="312"/>
      <c r="C5732" s="312"/>
      <c r="D5732" s="312"/>
      <c r="E5732" s="312"/>
      <c r="F5732" s="312"/>
      <c r="G5732" s="328"/>
      <c r="H5732" s="453"/>
      <c r="I5732" s="334"/>
      <c r="J5732" s="314"/>
      <c r="K5732" s="454"/>
      <c r="M5732" s="349" t="str">
        <f>N5732&amp;AS[[#This Row],[Insurer Code]]&amp;"; "&amp;O5732&amp;AS[[#This Row],[Reporting Year]]&amp;"; "&amp;P5732&amp;AS[[#This Row],[Insurance Category Code]]&amp;"; "&amp;Q5732&amp;AS[[#This Row],[Large Provider Entity Code]]&amp;"; "&amp;R5732&amp;AS[[#This Row],[Age Band Code]]&amp;"; "&amp;S5732&amp;AS[[#This Row],[Sex Code]]</f>
        <v xml:space="preserve">Insurer Code ; Reporting Year ; Insurance Category Code ; Large Provider Entity Code ; Age Band Code ; Sex Code </v>
      </c>
      <c r="N5732" s="345" t="s">
        <v>207</v>
      </c>
      <c r="O5732" s="345" t="s">
        <v>208</v>
      </c>
      <c r="P5732" s="345" t="s">
        <v>209</v>
      </c>
      <c r="Q5732" s="345" t="s">
        <v>210</v>
      </c>
      <c r="R5732" s="345" t="s">
        <v>223</v>
      </c>
      <c r="S5732" s="345" t="s">
        <v>224</v>
      </c>
    </row>
    <row r="5733" spans="1:19" x14ac:dyDescent="0.25">
      <c r="A5733" s="311"/>
      <c r="B5733" s="312"/>
      <c r="C5733" s="312"/>
      <c r="D5733" s="312"/>
      <c r="E5733" s="312"/>
      <c r="F5733" s="312"/>
      <c r="G5733" s="328"/>
      <c r="H5733" s="453"/>
      <c r="I5733" s="334"/>
      <c r="J5733" s="314"/>
      <c r="K5733" s="454"/>
      <c r="M5733" s="349" t="str">
        <f>N5733&amp;AS[[#This Row],[Insurer Code]]&amp;"; "&amp;O5733&amp;AS[[#This Row],[Reporting Year]]&amp;"; "&amp;P5733&amp;AS[[#This Row],[Insurance Category Code]]&amp;"; "&amp;Q5733&amp;AS[[#This Row],[Large Provider Entity Code]]&amp;"; "&amp;R5733&amp;AS[[#This Row],[Age Band Code]]&amp;"; "&amp;S5733&amp;AS[[#This Row],[Sex Code]]</f>
        <v xml:space="preserve">Insurer Code ; Reporting Year ; Insurance Category Code ; Large Provider Entity Code ; Age Band Code ; Sex Code </v>
      </c>
      <c r="N5733" s="345" t="s">
        <v>207</v>
      </c>
      <c r="O5733" s="345" t="s">
        <v>208</v>
      </c>
      <c r="P5733" s="345" t="s">
        <v>209</v>
      </c>
      <c r="Q5733" s="345" t="s">
        <v>210</v>
      </c>
      <c r="R5733" s="345" t="s">
        <v>223</v>
      </c>
      <c r="S5733" s="345" t="s">
        <v>224</v>
      </c>
    </row>
    <row r="5734" spans="1:19" x14ac:dyDescent="0.25">
      <c r="A5734" s="311"/>
      <c r="B5734" s="312"/>
      <c r="C5734" s="312"/>
      <c r="D5734" s="312"/>
      <c r="E5734" s="312"/>
      <c r="F5734" s="312"/>
      <c r="G5734" s="328"/>
      <c r="H5734" s="453"/>
      <c r="I5734" s="334"/>
      <c r="J5734" s="314"/>
      <c r="K5734" s="454"/>
      <c r="M5734" s="349" t="str">
        <f>N5734&amp;AS[[#This Row],[Insurer Code]]&amp;"; "&amp;O5734&amp;AS[[#This Row],[Reporting Year]]&amp;"; "&amp;P5734&amp;AS[[#This Row],[Insurance Category Code]]&amp;"; "&amp;Q5734&amp;AS[[#This Row],[Large Provider Entity Code]]&amp;"; "&amp;R5734&amp;AS[[#This Row],[Age Band Code]]&amp;"; "&amp;S5734&amp;AS[[#This Row],[Sex Code]]</f>
        <v xml:space="preserve">Insurer Code ; Reporting Year ; Insurance Category Code ; Large Provider Entity Code ; Age Band Code ; Sex Code </v>
      </c>
      <c r="N5734" s="345" t="s">
        <v>207</v>
      </c>
      <c r="O5734" s="345" t="s">
        <v>208</v>
      </c>
      <c r="P5734" s="345" t="s">
        <v>209</v>
      </c>
      <c r="Q5734" s="345" t="s">
        <v>210</v>
      </c>
      <c r="R5734" s="345" t="s">
        <v>223</v>
      </c>
      <c r="S5734" s="345" t="s">
        <v>224</v>
      </c>
    </row>
    <row r="5735" spans="1:19" x14ac:dyDescent="0.25">
      <c r="A5735" s="311"/>
      <c r="B5735" s="312"/>
      <c r="C5735" s="312"/>
      <c r="D5735" s="312"/>
      <c r="E5735" s="312"/>
      <c r="F5735" s="312"/>
      <c r="G5735" s="328"/>
      <c r="H5735" s="453"/>
      <c r="I5735" s="334"/>
      <c r="J5735" s="314"/>
      <c r="K5735" s="454"/>
      <c r="M5735" s="349" t="str">
        <f>N5735&amp;AS[[#This Row],[Insurer Code]]&amp;"; "&amp;O5735&amp;AS[[#This Row],[Reporting Year]]&amp;"; "&amp;P5735&amp;AS[[#This Row],[Insurance Category Code]]&amp;"; "&amp;Q5735&amp;AS[[#This Row],[Large Provider Entity Code]]&amp;"; "&amp;R5735&amp;AS[[#This Row],[Age Band Code]]&amp;"; "&amp;S5735&amp;AS[[#This Row],[Sex Code]]</f>
        <v xml:space="preserve">Insurer Code ; Reporting Year ; Insurance Category Code ; Large Provider Entity Code ; Age Band Code ; Sex Code </v>
      </c>
      <c r="N5735" s="345" t="s">
        <v>207</v>
      </c>
      <c r="O5735" s="345" t="s">
        <v>208</v>
      </c>
      <c r="P5735" s="345" t="s">
        <v>209</v>
      </c>
      <c r="Q5735" s="345" t="s">
        <v>210</v>
      </c>
      <c r="R5735" s="345" t="s">
        <v>223</v>
      </c>
      <c r="S5735" s="345" t="s">
        <v>224</v>
      </c>
    </row>
    <row r="5736" spans="1:19" x14ac:dyDescent="0.25">
      <c r="A5736" s="311"/>
      <c r="B5736" s="312"/>
      <c r="C5736" s="312"/>
      <c r="D5736" s="312"/>
      <c r="E5736" s="312"/>
      <c r="F5736" s="312"/>
      <c r="G5736" s="328"/>
      <c r="H5736" s="453"/>
      <c r="I5736" s="334"/>
      <c r="J5736" s="314"/>
      <c r="K5736" s="454"/>
      <c r="M5736" s="349" t="str">
        <f>N5736&amp;AS[[#This Row],[Insurer Code]]&amp;"; "&amp;O5736&amp;AS[[#This Row],[Reporting Year]]&amp;"; "&amp;P5736&amp;AS[[#This Row],[Insurance Category Code]]&amp;"; "&amp;Q5736&amp;AS[[#This Row],[Large Provider Entity Code]]&amp;"; "&amp;R5736&amp;AS[[#This Row],[Age Band Code]]&amp;"; "&amp;S5736&amp;AS[[#This Row],[Sex Code]]</f>
        <v xml:space="preserve">Insurer Code ; Reporting Year ; Insurance Category Code ; Large Provider Entity Code ; Age Band Code ; Sex Code </v>
      </c>
      <c r="N5736" s="345" t="s">
        <v>207</v>
      </c>
      <c r="O5736" s="345" t="s">
        <v>208</v>
      </c>
      <c r="P5736" s="345" t="s">
        <v>209</v>
      </c>
      <c r="Q5736" s="345" t="s">
        <v>210</v>
      </c>
      <c r="R5736" s="345" t="s">
        <v>223</v>
      </c>
      <c r="S5736" s="345" t="s">
        <v>224</v>
      </c>
    </row>
    <row r="5737" spans="1:19" x14ac:dyDescent="0.25">
      <c r="A5737" s="311"/>
      <c r="B5737" s="312"/>
      <c r="C5737" s="312"/>
      <c r="D5737" s="312"/>
      <c r="E5737" s="312"/>
      <c r="F5737" s="312"/>
      <c r="G5737" s="328"/>
      <c r="H5737" s="453"/>
      <c r="I5737" s="334"/>
      <c r="J5737" s="314"/>
      <c r="K5737" s="454"/>
      <c r="M5737" s="349" t="str">
        <f>N5737&amp;AS[[#This Row],[Insurer Code]]&amp;"; "&amp;O5737&amp;AS[[#This Row],[Reporting Year]]&amp;"; "&amp;P5737&amp;AS[[#This Row],[Insurance Category Code]]&amp;"; "&amp;Q5737&amp;AS[[#This Row],[Large Provider Entity Code]]&amp;"; "&amp;R5737&amp;AS[[#This Row],[Age Band Code]]&amp;"; "&amp;S5737&amp;AS[[#This Row],[Sex Code]]</f>
        <v xml:space="preserve">Insurer Code ; Reporting Year ; Insurance Category Code ; Large Provider Entity Code ; Age Band Code ; Sex Code </v>
      </c>
      <c r="N5737" s="345" t="s">
        <v>207</v>
      </c>
      <c r="O5737" s="345" t="s">
        <v>208</v>
      </c>
      <c r="P5737" s="345" t="s">
        <v>209</v>
      </c>
      <c r="Q5737" s="345" t="s">
        <v>210</v>
      </c>
      <c r="R5737" s="345" t="s">
        <v>223</v>
      </c>
      <c r="S5737" s="345" t="s">
        <v>224</v>
      </c>
    </row>
    <row r="5738" spans="1:19" x14ac:dyDescent="0.25">
      <c r="A5738" s="311"/>
      <c r="B5738" s="312"/>
      <c r="C5738" s="312"/>
      <c r="D5738" s="312"/>
      <c r="E5738" s="312"/>
      <c r="F5738" s="312"/>
      <c r="G5738" s="328"/>
      <c r="H5738" s="453"/>
      <c r="I5738" s="334"/>
      <c r="J5738" s="314"/>
      <c r="K5738" s="454"/>
      <c r="M5738" s="349" t="str">
        <f>N5738&amp;AS[[#This Row],[Insurer Code]]&amp;"; "&amp;O5738&amp;AS[[#This Row],[Reporting Year]]&amp;"; "&amp;P5738&amp;AS[[#This Row],[Insurance Category Code]]&amp;"; "&amp;Q5738&amp;AS[[#This Row],[Large Provider Entity Code]]&amp;"; "&amp;R5738&amp;AS[[#This Row],[Age Band Code]]&amp;"; "&amp;S5738&amp;AS[[#This Row],[Sex Code]]</f>
        <v xml:space="preserve">Insurer Code ; Reporting Year ; Insurance Category Code ; Large Provider Entity Code ; Age Band Code ; Sex Code </v>
      </c>
      <c r="N5738" s="345" t="s">
        <v>207</v>
      </c>
      <c r="O5738" s="345" t="s">
        <v>208</v>
      </c>
      <c r="P5738" s="345" t="s">
        <v>209</v>
      </c>
      <c r="Q5738" s="345" t="s">
        <v>210</v>
      </c>
      <c r="R5738" s="345" t="s">
        <v>223</v>
      </c>
      <c r="S5738" s="345" t="s">
        <v>224</v>
      </c>
    </row>
    <row r="5739" spans="1:19" x14ac:dyDescent="0.25">
      <c r="A5739" s="311"/>
      <c r="B5739" s="312"/>
      <c r="C5739" s="312"/>
      <c r="D5739" s="312"/>
      <c r="E5739" s="312"/>
      <c r="F5739" s="312"/>
      <c r="G5739" s="328"/>
      <c r="H5739" s="453"/>
      <c r="I5739" s="334"/>
      <c r="J5739" s="314"/>
      <c r="K5739" s="454"/>
      <c r="M5739" s="349" t="str">
        <f>N5739&amp;AS[[#This Row],[Insurer Code]]&amp;"; "&amp;O5739&amp;AS[[#This Row],[Reporting Year]]&amp;"; "&amp;P5739&amp;AS[[#This Row],[Insurance Category Code]]&amp;"; "&amp;Q5739&amp;AS[[#This Row],[Large Provider Entity Code]]&amp;"; "&amp;R5739&amp;AS[[#This Row],[Age Band Code]]&amp;"; "&amp;S5739&amp;AS[[#This Row],[Sex Code]]</f>
        <v xml:space="preserve">Insurer Code ; Reporting Year ; Insurance Category Code ; Large Provider Entity Code ; Age Band Code ; Sex Code </v>
      </c>
      <c r="N5739" s="345" t="s">
        <v>207</v>
      </c>
      <c r="O5739" s="345" t="s">
        <v>208</v>
      </c>
      <c r="P5739" s="345" t="s">
        <v>209</v>
      </c>
      <c r="Q5739" s="345" t="s">
        <v>210</v>
      </c>
      <c r="R5739" s="345" t="s">
        <v>223</v>
      </c>
      <c r="S5739" s="345" t="s">
        <v>224</v>
      </c>
    </row>
    <row r="5740" spans="1:19" x14ac:dyDescent="0.25">
      <c r="A5740" s="311"/>
      <c r="B5740" s="312"/>
      <c r="C5740" s="312"/>
      <c r="D5740" s="312"/>
      <c r="E5740" s="312"/>
      <c r="F5740" s="312"/>
      <c r="G5740" s="328"/>
      <c r="H5740" s="453"/>
      <c r="I5740" s="334"/>
      <c r="J5740" s="314"/>
      <c r="K5740" s="454"/>
      <c r="M5740" s="349" t="str">
        <f>N5740&amp;AS[[#This Row],[Insurer Code]]&amp;"; "&amp;O5740&amp;AS[[#This Row],[Reporting Year]]&amp;"; "&amp;P5740&amp;AS[[#This Row],[Insurance Category Code]]&amp;"; "&amp;Q5740&amp;AS[[#This Row],[Large Provider Entity Code]]&amp;"; "&amp;R5740&amp;AS[[#This Row],[Age Band Code]]&amp;"; "&amp;S5740&amp;AS[[#This Row],[Sex Code]]</f>
        <v xml:space="preserve">Insurer Code ; Reporting Year ; Insurance Category Code ; Large Provider Entity Code ; Age Band Code ; Sex Code </v>
      </c>
      <c r="N5740" s="345" t="s">
        <v>207</v>
      </c>
      <c r="O5740" s="345" t="s">
        <v>208</v>
      </c>
      <c r="P5740" s="345" t="s">
        <v>209</v>
      </c>
      <c r="Q5740" s="345" t="s">
        <v>210</v>
      </c>
      <c r="R5740" s="345" t="s">
        <v>223</v>
      </c>
      <c r="S5740" s="345" t="s">
        <v>224</v>
      </c>
    </row>
    <row r="5741" spans="1:19" x14ac:dyDescent="0.25">
      <c r="A5741" s="311"/>
      <c r="B5741" s="312"/>
      <c r="C5741" s="312"/>
      <c r="D5741" s="312"/>
      <c r="E5741" s="312"/>
      <c r="F5741" s="312"/>
      <c r="G5741" s="328"/>
      <c r="H5741" s="453"/>
      <c r="I5741" s="334"/>
      <c r="J5741" s="314"/>
      <c r="K5741" s="454"/>
      <c r="M5741" s="349" t="str">
        <f>N5741&amp;AS[[#This Row],[Insurer Code]]&amp;"; "&amp;O5741&amp;AS[[#This Row],[Reporting Year]]&amp;"; "&amp;P5741&amp;AS[[#This Row],[Insurance Category Code]]&amp;"; "&amp;Q5741&amp;AS[[#This Row],[Large Provider Entity Code]]&amp;"; "&amp;R5741&amp;AS[[#This Row],[Age Band Code]]&amp;"; "&amp;S5741&amp;AS[[#This Row],[Sex Code]]</f>
        <v xml:space="preserve">Insurer Code ; Reporting Year ; Insurance Category Code ; Large Provider Entity Code ; Age Band Code ; Sex Code </v>
      </c>
      <c r="N5741" s="345" t="s">
        <v>207</v>
      </c>
      <c r="O5741" s="345" t="s">
        <v>208</v>
      </c>
      <c r="P5741" s="345" t="s">
        <v>209</v>
      </c>
      <c r="Q5741" s="345" t="s">
        <v>210</v>
      </c>
      <c r="R5741" s="345" t="s">
        <v>223</v>
      </c>
      <c r="S5741" s="345" t="s">
        <v>224</v>
      </c>
    </row>
    <row r="5742" spans="1:19" x14ac:dyDescent="0.25">
      <c r="A5742" s="311"/>
      <c r="B5742" s="312"/>
      <c r="C5742" s="312"/>
      <c r="D5742" s="312"/>
      <c r="E5742" s="312"/>
      <c r="F5742" s="312"/>
      <c r="G5742" s="328"/>
      <c r="H5742" s="453"/>
      <c r="I5742" s="334"/>
      <c r="J5742" s="314"/>
      <c r="K5742" s="454"/>
      <c r="M5742" s="349" t="str">
        <f>N5742&amp;AS[[#This Row],[Insurer Code]]&amp;"; "&amp;O5742&amp;AS[[#This Row],[Reporting Year]]&amp;"; "&amp;P5742&amp;AS[[#This Row],[Insurance Category Code]]&amp;"; "&amp;Q5742&amp;AS[[#This Row],[Large Provider Entity Code]]&amp;"; "&amp;R5742&amp;AS[[#This Row],[Age Band Code]]&amp;"; "&amp;S5742&amp;AS[[#This Row],[Sex Code]]</f>
        <v xml:space="preserve">Insurer Code ; Reporting Year ; Insurance Category Code ; Large Provider Entity Code ; Age Band Code ; Sex Code </v>
      </c>
      <c r="N5742" s="345" t="s">
        <v>207</v>
      </c>
      <c r="O5742" s="345" t="s">
        <v>208</v>
      </c>
      <c r="P5742" s="345" t="s">
        <v>209</v>
      </c>
      <c r="Q5742" s="345" t="s">
        <v>210</v>
      </c>
      <c r="R5742" s="345" t="s">
        <v>223</v>
      </c>
      <c r="S5742" s="345" t="s">
        <v>224</v>
      </c>
    </row>
    <row r="5743" spans="1:19" x14ac:dyDescent="0.25">
      <c r="A5743" s="311"/>
      <c r="B5743" s="312"/>
      <c r="C5743" s="312"/>
      <c r="D5743" s="312"/>
      <c r="E5743" s="312"/>
      <c r="F5743" s="312"/>
      <c r="G5743" s="328"/>
      <c r="H5743" s="453"/>
      <c r="I5743" s="334"/>
      <c r="J5743" s="314"/>
      <c r="K5743" s="454"/>
      <c r="M5743" s="349" t="str">
        <f>N5743&amp;AS[[#This Row],[Insurer Code]]&amp;"; "&amp;O5743&amp;AS[[#This Row],[Reporting Year]]&amp;"; "&amp;P5743&amp;AS[[#This Row],[Insurance Category Code]]&amp;"; "&amp;Q5743&amp;AS[[#This Row],[Large Provider Entity Code]]&amp;"; "&amp;R5743&amp;AS[[#This Row],[Age Band Code]]&amp;"; "&amp;S5743&amp;AS[[#This Row],[Sex Code]]</f>
        <v xml:space="preserve">Insurer Code ; Reporting Year ; Insurance Category Code ; Large Provider Entity Code ; Age Band Code ; Sex Code </v>
      </c>
      <c r="N5743" s="345" t="s">
        <v>207</v>
      </c>
      <c r="O5743" s="345" t="s">
        <v>208</v>
      </c>
      <c r="P5743" s="345" t="s">
        <v>209</v>
      </c>
      <c r="Q5743" s="345" t="s">
        <v>210</v>
      </c>
      <c r="R5743" s="345" t="s">
        <v>223</v>
      </c>
      <c r="S5743" s="345" t="s">
        <v>224</v>
      </c>
    </row>
    <row r="5744" spans="1:19" x14ac:dyDescent="0.25">
      <c r="A5744" s="311"/>
      <c r="B5744" s="312"/>
      <c r="C5744" s="312"/>
      <c r="D5744" s="312"/>
      <c r="E5744" s="312"/>
      <c r="F5744" s="312"/>
      <c r="G5744" s="328"/>
      <c r="H5744" s="453"/>
      <c r="I5744" s="334"/>
      <c r="J5744" s="314"/>
      <c r="K5744" s="454"/>
      <c r="M5744" s="349" t="str">
        <f>N5744&amp;AS[[#This Row],[Insurer Code]]&amp;"; "&amp;O5744&amp;AS[[#This Row],[Reporting Year]]&amp;"; "&amp;P5744&amp;AS[[#This Row],[Insurance Category Code]]&amp;"; "&amp;Q5744&amp;AS[[#This Row],[Large Provider Entity Code]]&amp;"; "&amp;R5744&amp;AS[[#This Row],[Age Band Code]]&amp;"; "&amp;S5744&amp;AS[[#This Row],[Sex Code]]</f>
        <v xml:space="preserve">Insurer Code ; Reporting Year ; Insurance Category Code ; Large Provider Entity Code ; Age Band Code ; Sex Code </v>
      </c>
      <c r="N5744" s="345" t="s">
        <v>207</v>
      </c>
      <c r="O5744" s="345" t="s">
        <v>208</v>
      </c>
      <c r="P5744" s="345" t="s">
        <v>209</v>
      </c>
      <c r="Q5744" s="345" t="s">
        <v>210</v>
      </c>
      <c r="R5744" s="345" t="s">
        <v>223</v>
      </c>
      <c r="S5744" s="345" t="s">
        <v>224</v>
      </c>
    </row>
    <row r="5745" spans="1:19" x14ac:dyDescent="0.25">
      <c r="A5745" s="311"/>
      <c r="B5745" s="312"/>
      <c r="C5745" s="312"/>
      <c r="D5745" s="312"/>
      <c r="E5745" s="312"/>
      <c r="F5745" s="312"/>
      <c r="G5745" s="328"/>
      <c r="H5745" s="453"/>
      <c r="I5745" s="334"/>
      <c r="J5745" s="314"/>
      <c r="K5745" s="454"/>
      <c r="M5745" s="349" t="str">
        <f>N5745&amp;AS[[#This Row],[Insurer Code]]&amp;"; "&amp;O5745&amp;AS[[#This Row],[Reporting Year]]&amp;"; "&amp;P5745&amp;AS[[#This Row],[Insurance Category Code]]&amp;"; "&amp;Q5745&amp;AS[[#This Row],[Large Provider Entity Code]]&amp;"; "&amp;R5745&amp;AS[[#This Row],[Age Band Code]]&amp;"; "&amp;S5745&amp;AS[[#This Row],[Sex Code]]</f>
        <v xml:space="preserve">Insurer Code ; Reporting Year ; Insurance Category Code ; Large Provider Entity Code ; Age Band Code ; Sex Code </v>
      </c>
      <c r="N5745" s="345" t="s">
        <v>207</v>
      </c>
      <c r="O5745" s="345" t="s">
        <v>208</v>
      </c>
      <c r="P5745" s="345" t="s">
        <v>209</v>
      </c>
      <c r="Q5745" s="345" t="s">
        <v>210</v>
      </c>
      <c r="R5745" s="345" t="s">
        <v>223</v>
      </c>
      <c r="S5745" s="345" t="s">
        <v>224</v>
      </c>
    </row>
    <row r="5746" spans="1:19" x14ac:dyDescent="0.25">
      <c r="A5746" s="311"/>
      <c r="B5746" s="312"/>
      <c r="C5746" s="312"/>
      <c r="D5746" s="312"/>
      <c r="E5746" s="312"/>
      <c r="F5746" s="312"/>
      <c r="G5746" s="328"/>
      <c r="H5746" s="453"/>
      <c r="I5746" s="334"/>
      <c r="J5746" s="314"/>
      <c r="K5746" s="454"/>
      <c r="M5746" s="349" t="str">
        <f>N5746&amp;AS[[#This Row],[Insurer Code]]&amp;"; "&amp;O5746&amp;AS[[#This Row],[Reporting Year]]&amp;"; "&amp;P5746&amp;AS[[#This Row],[Insurance Category Code]]&amp;"; "&amp;Q5746&amp;AS[[#This Row],[Large Provider Entity Code]]&amp;"; "&amp;R5746&amp;AS[[#This Row],[Age Band Code]]&amp;"; "&amp;S5746&amp;AS[[#This Row],[Sex Code]]</f>
        <v xml:space="preserve">Insurer Code ; Reporting Year ; Insurance Category Code ; Large Provider Entity Code ; Age Band Code ; Sex Code </v>
      </c>
      <c r="N5746" s="345" t="s">
        <v>207</v>
      </c>
      <c r="O5746" s="345" t="s">
        <v>208</v>
      </c>
      <c r="P5746" s="345" t="s">
        <v>209</v>
      </c>
      <c r="Q5746" s="345" t="s">
        <v>210</v>
      </c>
      <c r="R5746" s="345" t="s">
        <v>223</v>
      </c>
      <c r="S5746" s="345" t="s">
        <v>224</v>
      </c>
    </row>
    <row r="5747" spans="1:19" x14ac:dyDescent="0.25">
      <c r="A5747" s="311"/>
      <c r="B5747" s="312"/>
      <c r="C5747" s="312"/>
      <c r="D5747" s="312"/>
      <c r="E5747" s="312"/>
      <c r="F5747" s="312"/>
      <c r="G5747" s="328"/>
      <c r="H5747" s="453"/>
      <c r="I5747" s="334"/>
      <c r="J5747" s="314"/>
      <c r="K5747" s="454"/>
      <c r="M5747" s="349" t="str">
        <f>N5747&amp;AS[[#This Row],[Insurer Code]]&amp;"; "&amp;O5747&amp;AS[[#This Row],[Reporting Year]]&amp;"; "&amp;P5747&amp;AS[[#This Row],[Insurance Category Code]]&amp;"; "&amp;Q5747&amp;AS[[#This Row],[Large Provider Entity Code]]&amp;"; "&amp;R5747&amp;AS[[#This Row],[Age Band Code]]&amp;"; "&amp;S5747&amp;AS[[#This Row],[Sex Code]]</f>
        <v xml:space="preserve">Insurer Code ; Reporting Year ; Insurance Category Code ; Large Provider Entity Code ; Age Band Code ; Sex Code </v>
      </c>
      <c r="N5747" s="345" t="s">
        <v>207</v>
      </c>
      <c r="O5747" s="345" t="s">
        <v>208</v>
      </c>
      <c r="P5747" s="345" t="s">
        <v>209</v>
      </c>
      <c r="Q5747" s="345" t="s">
        <v>210</v>
      </c>
      <c r="R5747" s="345" t="s">
        <v>223</v>
      </c>
      <c r="S5747" s="345" t="s">
        <v>224</v>
      </c>
    </row>
    <row r="5748" spans="1:19" x14ac:dyDescent="0.25">
      <c r="A5748" s="311"/>
      <c r="B5748" s="312"/>
      <c r="C5748" s="312"/>
      <c r="D5748" s="312"/>
      <c r="E5748" s="312"/>
      <c r="F5748" s="312"/>
      <c r="G5748" s="328"/>
      <c r="H5748" s="453"/>
      <c r="I5748" s="334"/>
      <c r="J5748" s="314"/>
      <c r="K5748" s="454"/>
      <c r="M5748" s="349" t="str">
        <f>N5748&amp;AS[[#This Row],[Insurer Code]]&amp;"; "&amp;O5748&amp;AS[[#This Row],[Reporting Year]]&amp;"; "&amp;P5748&amp;AS[[#This Row],[Insurance Category Code]]&amp;"; "&amp;Q5748&amp;AS[[#This Row],[Large Provider Entity Code]]&amp;"; "&amp;R5748&amp;AS[[#This Row],[Age Band Code]]&amp;"; "&amp;S5748&amp;AS[[#This Row],[Sex Code]]</f>
        <v xml:space="preserve">Insurer Code ; Reporting Year ; Insurance Category Code ; Large Provider Entity Code ; Age Band Code ; Sex Code </v>
      </c>
      <c r="N5748" s="345" t="s">
        <v>207</v>
      </c>
      <c r="O5748" s="345" t="s">
        <v>208</v>
      </c>
      <c r="P5748" s="345" t="s">
        <v>209</v>
      </c>
      <c r="Q5748" s="345" t="s">
        <v>210</v>
      </c>
      <c r="R5748" s="345" t="s">
        <v>223</v>
      </c>
      <c r="S5748" s="345" t="s">
        <v>224</v>
      </c>
    </row>
    <row r="5749" spans="1:19" x14ac:dyDescent="0.25">
      <c r="A5749" s="311"/>
      <c r="B5749" s="312"/>
      <c r="C5749" s="312"/>
      <c r="D5749" s="312"/>
      <c r="E5749" s="312"/>
      <c r="F5749" s="312"/>
      <c r="G5749" s="328"/>
      <c r="H5749" s="453"/>
      <c r="I5749" s="334"/>
      <c r="J5749" s="314"/>
      <c r="K5749" s="454"/>
      <c r="M5749" s="349" t="str">
        <f>N5749&amp;AS[[#This Row],[Insurer Code]]&amp;"; "&amp;O5749&amp;AS[[#This Row],[Reporting Year]]&amp;"; "&amp;P5749&amp;AS[[#This Row],[Insurance Category Code]]&amp;"; "&amp;Q5749&amp;AS[[#This Row],[Large Provider Entity Code]]&amp;"; "&amp;R5749&amp;AS[[#This Row],[Age Band Code]]&amp;"; "&amp;S5749&amp;AS[[#This Row],[Sex Code]]</f>
        <v xml:space="preserve">Insurer Code ; Reporting Year ; Insurance Category Code ; Large Provider Entity Code ; Age Band Code ; Sex Code </v>
      </c>
      <c r="N5749" s="345" t="s">
        <v>207</v>
      </c>
      <c r="O5749" s="345" t="s">
        <v>208</v>
      </c>
      <c r="P5749" s="345" t="s">
        <v>209</v>
      </c>
      <c r="Q5749" s="345" t="s">
        <v>210</v>
      </c>
      <c r="R5749" s="345" t="s">
        <v>223</v>
      </c>
      <c r="S5749" s="345" t="s">
        <v>224</v>
      </c>
    </row>
    <row r="5750" spans="1:19" x14ac:dyDescent="0.25">
      <c r="A5750" s="311"/>
      <c r="B5750" s="312"/>
      <c r="C5750" s="312"/>
      <c r="D5750" s="312"/>
      <c r="E5750" s="312"/>
      <c r="F5750" s="312"/>
      <c r="G5750" s="328"/>
      <c r="H5750" s="453"/>
      <c r="I5750" s="334"/>
      <c r="J5750" s="314"/>
      <c r="K5750" s="454"/>
      <c r="M5750" s="349" t="str">
        <f>N5750&amp;AS[[#This Row],[Insurer Code]]&amp;"; "&amp;O5750&amp;AS[[#This Row],[Reporting Year]]&amp;"; "&amp;P5750&amp;AS[[#This Row],[Insurance Category Code]]&amp;"; "&amp;Q5750&amp;AS[[#This Row],[Large Provider Entity Code]]&amp;"; "&amp;R5750&amp;AS[[#This Row],[Age Band Code]]&amp;"; "&amp;S5750&amp;AS[[#This Row],[Sex Code]]</f>
        <v xml:space="preserve">Insurer Code ; Reporting Year ; Insurance Category Code ; Large Provider Entity Code ; Age Band Code ; Sex Code </v>
      </c>
      <c r="N5750" s="345" t="s">
        <v>207</v>
      </c>
      <c r="O5750" s="345" t="s">
        <v>208</v>
      </c>
      <c r="P5750" s="345" t="s">
        <v>209</v>
      </c>
      <c r="Q5750" s="345" t="s">
        <v>210</v>
      </c>
      <c r="R5750" s="345" t="s">
        <v>223</v>
      </c>
      <c r="S5750" s="345" t="s">
        <v>224</v>
      </c>
    </row>
    <row r="5751" spans="1:19" x14ac:dyDescent="0.25">
      <c r="A5751" s="311"/>
      <c r="B5751" s="312"/>
      <c r="C5751" s="312"/>
      <c r="D5751" s="312"/>
      <c r="E5751" s="312"/>
      <c r="F5751" s="312"/>
      <c r="G5751" s="328"/>
      <c r="H5751" s="453"/>
      <c r="I5751" s="334"/>
      <c r="J5751" s="314"/>
      <c r="K5751" s="454"/>
      <c r="M5751" s="349" t="str">
        <f>N5751&amp;AS[[#This Row],[Insurer Code]]&amp;"; "&amp;O5751&amp;AS[[#This Row],[Reporting Year]]&amp;"; "&amp;P5751&amp;AS[[#This Row],[Insurance Category Code]]&amp;"; "&amp;Q5751&amp;AS[[#This Row],[Large Provider Entity Code]]&amp;"; "&amp;R5751&amp;AS[[#This Row],[Age Band Code]]&amp;"; "&amp;S5751&amp;AS[[#This Row],[Sex Code]]</f>
        <v xml:space="preserve">Insurer Code ; Reporting Year ; Insurance Category Code ; Large Provider Entity Code ; Age Band Code ; Sex Code </v>
      </c>
      <c r="N5751" s="345" t="s">
        <v>207</v>
      </c>
      <c r="O5751" s="345" t="s">
        <v>208</v>
      </c>
      <c r="P5751" s="345" t="s">
        <v>209</v>
      </c>
      <c r="Q5751" s="345" t="s">
        <v>210</v>
      </c>
      <c r="R5751" s="345" t="s">
        <v>223</v>
      </c>
      <c r="S5751" s="345" t="s">
        <v>224</v>
      </c>
    </row>
    <row r="5752" spans="1:19" x14ac:dyDescent="0.25">
      <c r="A5752" s="311"/>
      <c r="B5752" s="312"/>
      <c r="C5752" s="312"/>
      <c r="D5752" s="312"/>
      <c r="E5752" s="312"/>
      <c r="F5752" s="312"/>
      <c r="G5752" s="328"/>
      <c r="H5752" s="453"/>
      <c r="I5752" s="334"/>
      <c r="J5752" s="314"/>
      <c r="K5752" s="454"/>
      <c r="M5752" s="349" t="str">
        <f>N5752&amp;AS[[#This Row],[Insurer Code]]&amp;"; "&amp;O5752&amp;AS[[#This Row],[Reporting Year]]&amp;"; "&amp;P5752&amp;AS[[#This Row],[Insurance Category Code]]&amp;"; "&amp;Q5752&amp;AS[[#This Row],[Large Provider Entity Code]]&amp;"; "&amp;R5752&amp;AS[[#This Row],[Age Band Code]]&amp;"; "&amp;S5752&amp;AS[[#This Row],[Sex Code]]</f>
        <v xml:space="preserve">Insurer Code ; Reporting Year ; Insurance Category Code ; Large Provider Entity Code ; Age Band Code ; Sex Code </v>
      </c>
      <c r="N5752" s="345" t="s">
        <v>207</v>
      </c>
      <c r="O5752" s="345" t="s">
        <v>208</v>
      </c>
      <c r="P5752" s="345" t="s">
        <v>209</v>
      </c>
      <c r="Q5752" s="345" t="s">
        <v>210</v>
      </c>
      <c r="R5752" s="345" t="s">
        <v>223</v>
      </c>
      <c r="S5752" s="345" t="s">
        <v>224</v>
      </c>
    </row>
    <row r="5753" spans="1:19" x14ac:dyDescent="0.25">
      <c r="A5753" s="311"/>
      <c r="B5753" s="312"/>
      <c r="C5753" s="312"/>
      <c r="D5753" s="312"/>
      <c r="E5753" s="312"/>
      <c r="F5753" s="312"/>
      <c r="G5753" s="328"/>
      <c r="H5753" s="453"/>
      <c r="I5753" s="334"/>
      <c r="J5753" s="314"/>
      <c r="K5753" s="454"/>
      <c r="M5753" s="349" t="str">
        <f>N5753&amp;AS[[#This Row],[Insurer Code]]&amp;"; "&amp;O5753&amp;AS[[#This Row],[Reporting Year]]&amp;"; "&amp;P5753&amp;AS[[#This Row],[Insurance Category Code]]&amp;"; "&amp;Q5753&amp;AS[[#This Row],[Large Provider Entity Code]]&amp;"; "&amp;R5753&amp;AS[[#This Row],[Age Band Code]]&amp;"; "&amp;S5753&amp;AS[[#This Row],[Sex Code]]</f>
        <v xml:space="preserve">Insurer Code ; Reporting Year ; Insurance Category Code ; Large Provider Entity Code ; Age Band Code ; Sex Code </v>
      </c>
      <c r="N5753" s="345" t="s">
        <v>207</v>
      </c>
      <c r="O5753" s="345" t="s">
        <v>208</v>
      </c>
      <c r="P5753" s="345" t="s">
        <v>209</v>
      </c>
      <c r="Q5753" s="345" t="s">
        <v>210</v>
      </c>
      <c r="R5753" s="345" t="s">
        <v>223</v>
      </c>
      <c r="S5753" s="345" t="s">
        <v>224</v>
      </c>
    </row>
    <row r="5754" spans="1:19" x14ac:dyDescent="0.25">
      <c r="A5754" s="311"/>
      <c r="B5754" s="312"/>
      <c r="C5754" s="312"/>
      <c r="D5754" s="312"/>
      <c r="E5754" s="312"/>
      <c r="F5754" s="312"/>
      <c r="G5754" s="328"/>
      <c r="H5754" s="453"/>
      <c r="I5754" s="334"/>
      <c r="J5754" s="314"/>
      <c r="K5754" s="454"/>
      <c r="M5754" s="349" t="str">
        <f>N5754&amp;AS[[#This Row],[Insurer Code]]&amp;"; "&amp;O5754&amp;AS[[#This Row],[Reporting Year]]&amp;"; "&amp;P5754&amp;AS[[#This Row],[Insurance Category Code]]&amp;"; "&amp;Q5754&amp;AS[[#This Row],[Large Provider Entity Code]]&amp;"; "&amp;R5754&amp;AS[[#This Row],[Age Band Code]]&amp;"; "&amp;S5754&amp;AS[[#This Row],[Sex Code]]</f>
        <v xml:space="preserve">Insurer Code ; Reporting Year ; Insurance Category Code ; Large Provider Entity Code ; Age Band Code ; Sex Code </v>
      </c>
      <c r="N5754" s="345" t="s">
        <v>207</v>
      </c>
      <c r="O5754" s="345" t="s">
        <v>208</v>
      </c>
      <c r="P5754" s="345" t="s">
        <v>209</v>
      </c>
      <c r="Q5754" s="345" t="s">
        <v>210</v>
      </c>
      <c r="R5754" s="345" t="s">
        <v>223</v>
      </c>
      <c r="S5754" s="345" t="s">
        <v>224</v>
      </c>
    </row>
    <row r="5755" spans="1:19" x14ac:dyDescent="0.25">
      <c r="A5755" s="311"/>
      <c r="B5755" s="312"/>
      <c r="C5755" s="312"/>
      <c r="D5755" s="312"/>
      <c r="E5755" s="312"/>
      <c r="F5755" s="312"/>
      <c r="G5755" s="328"/>
      <c r="H5755" s="453"/>
      <c r="I5755" s="334"/>
      <c r="J5755" s="314"/>
      <c r="K5755" s="454"/>
      <c r="M5755" s="349" t="str">
        <f>N5755&amp;AS[[#This Row],[Insurer Code]]&amp;"; "&amp;O5755&amp;AS[[#This Row],[Reporting Year]]&amp;"; "&amp;P5755&amp;AS[[#This Row],[Insurance Category Code]]&amp;"; "&amp;Q5755&amp;AS[[#This Row],[Large Provider Entity Code]]&amp;"; "&amp;R5755&amp;AS[[#This Row],[Age Band Code]]&amp;"; "&amp;S5755&amp;AS[[#This Row],[Sex Code]]</f>
        <v xml:space="preserve">Insurer Code ; Reporting Year ; Insurance Category Code ; Large Provider Entity Code ; Age Band Code ; Sex Code </v>
      </c>
      <c r="N5755" s="345" t="s">
        <v>207</v>
      </c>
      <c r="O5755" s="345" t="s">
        <v>208</v>
      </c>
      <c r="P5755" s="345" t="s">
        <v>209</v>
      </c>
      <c r="Q5755" s="345" t="s">
        <v>210</v>
      </c>
      <c r="R5755" s="345" t="s">
        <v>223</v>
      </c>
      <c r="S5755" s="345" t="s">
        <v>224</v>
      </c>
    </row>
    <row r="5756" spans="1:19" x14ac:dyDescent="0.25">
      <c r="A5756" s="311"/>
      <c r="B5756" s="312"/>
      <c r="C5756" s="312"/>
      <c r="D5756" s="312"/>
      <c r="E5756" s="312"/>
      <c r="F5756" s="312"/>
      <c r="G5756" s="328"/>
      <c r="H5756" s="453"/>
      <c r="I5756" s="334"/>
      <c r="J5756" s="314"/>
      <c r="K5756" s="454"/>
      <c r="M5756" s="349" t="str">
        <f>N5756&amp;AS[[#This Row],[Insurer Code]]&amp;"; "&amp;O5756&amp;AS[[#This Row],[Reporting Year]]&amp;"; "&amp;P5756&amp;AS[[#This Row],[Insurance Category Code]]&amp;"; "&amp;Q5756&amp;AS[[#This Row],[Large Provider Entity Code]]&amp;"; "&amp;R5756&amp;AS[[#This Row],[Age Band Code]]&amp;"; "&amp;S5756&amp;AS[[#This Row],[Sex Code]]</f>
        <v xml:space="preserve">Insurer Code ; Reporting Year ; Insurance Category Code ; Large Provider Entity Code ; Age Band Code ; Sex Code </v>
      </c>
      <c r="N5756" s="345" t="s">
        <v>207</v>
      </c>
      <c r="O5756" s="345" t="s">
        <v>208</v>
      </c>
      <c r="P5756" s="345" t="s">
        <v>209</v>
      </c>
      <c r="Q5756" s="345" t="s">
        <v>210</v>
      </c>
      <c r="R5756" s="345" t="s">
        <v>223</v>
      </c>
      <c r="S5756" s="345" t="s">
        <v>224</v>
      </c>
    </row>
    <row r="5757" spans="1:19" x14ac:dyDescent="0.25">
      <c r="A5757" s="311"/>
      <c r="B5757" s="312"/>
      <c r="C5757" s="312"/>
      <c r="D5757" s="312"/>
      <c r="E5757" s="312"/>
      <c r="F5757" s="312"/>
      <c r="G5757" s="328"/>
      <c r="H5757" s="453"/>
      <c r="I5757" s="334"/>
      <c r="J5757" s="314"/>
      <c r="K5757" s="454"/>
      <c r="M5757" s="349" t="str">
        <f>N5757&amp;AS[[#This Row],[Insurer Code]]&amp;"; "&amp;O5757&amp;AS[[#This Row],[Reporting Year]]&amp;"; "&amp;P5757&amp;AS[[#This Row],[Insurance Category Code]]&amp;"; "&amp;Q5757&amp;AS[[#This Row],[Large Provider Entity Code]]&amp;"; "&amp;R5757&amp;AS[[#This Row],[Age Band Code]]&amp;"; "&amp;S5757&amp;AS[[#This Row],[Sex Code]]</f>
        <v xml:space="preserve">Insurer Code ; Reporting Year ; Insurance Category Code ; Large Provider Entity Code ; Age Band Code ; Sex Code </v>
      </c>
      <c r="N5757" s="345" t="s">
        <v>207</v>
      </c>
      <c r="O5757" s="345" t="s">
        <v>208</v>
      </c>
      <c r="P5757" s="345" t="s">
        <v>209</v>
      </c>
      <c r="Q5757" s="345" t="s">
        <v>210</v>
      </c>
      <c r="R5757" s="345" t="s">
        <v>223</v>
      </c>
      <c r="S5757" s="345" t="s">
        <v>224</v>
      </c>
    </row>
    <row r="5758" spans="1:19" x14ac:dyDescent="0.25">
      <c r="A5758" s="311"/>
      <c r="B5758" s="312"/>
      <c r="C5758" s="312"/>
      <c r="D5758" s="312"/>
      <c r="E5758" s="312"/>
      <c r="F5758" s="312"/>
      <c r="G5758" s="328"/>
      <c r="H5758" s="453"/>
      <c r="I5758" s="334"/>
      <c r="J5758" s="314"/>
      <c r="K5758" s="454"/>
      <c r="M5758" s="349" t="str">
        <f>N5758&amp;AS[[#This Row],[Insurer Code]]&amp;"; "&amp;O5758&amp;AS[[#This Row],[Reporting Year]]&amp;"; "&amp;P5758&amp;AS[[#This Row],[Insurance Category Code]]&amp;"; "&amp;Q5758&amp;AS[[#This Row],[Large Provider Entity Code]]&amp;"; "&amp;R5758&amp;AS[[#This Row],[Age Band Code]]&amp;"; "&amp;S5758&amp;AS[[#This Row],[Sex Code]]</f>
        <v xml:space="preserve">Insurer Code ; Reporting Year ; Insurance Category Code ; Large Provider Entity Code ; Age Band Code ; Sex Code </v>
      </c>
      <c r="N5758" s="345" t="s">
        <v>207</v>
      </c>
      <c r="O5758" s="345" t="s">
        <v>208</v>
      </c>
      <c r="P5758" s="345" t="s">
        <v>209</v>
      </c>
      <c r="Q5758" s="345" t="s">
        <v>210</v>
      </c>
      <c r="R5758" s="345" t="s">
        <v>223</v>
      </c>
      <c r="S5758" s="345" t="s">
        <v>224</v>
      </c>
    </row>
    <row r="5759" spans="1:19" x14ac:dyDescent="0.25">
      <c r="A5759" s="311"/>
      <c r="B5759" s="312"/>
      <c r="C5759" s="312"/>
      <c r="D5759" s="312"/>
      <c r="E5759" s="312"/>
      <c r="F5759" s="312"/>
      <c r="G5759" s="328"/>
      <c r="H5759" s="453"/>
      <c r="I5759" s="334"/>
      <c r="J5759" s="314"/>
      <c r="K5759" s="454"/>
      <c r="M5759" s="349" t="str">
        <f>N5759&amp;AS[[#This Row],[Insurer Code]]&amp;"; "&amp;O5759&amp;AS[[#This Row],[Reporting Year]]&amp;"; "&amp;P5759&amp;AS[[#This Row],[Insurance Category Code]]&amp;"; "&amp;Q5759&amp;AS[[#This Row],[Large Provider Entity Code]]&amp;"; "&amp;R5759&amp;AS[[#This Row],[Age Band Code]]&amp;"; "&amp;S5759&amp;AS[[#This Row],[Sex Code]]</f>
        <v xml:space="preserve">Insurer Code ; Reporting Year ; Insurance Category Code ; Large Provider Entity Code ; Age Band Code ; Sex Code </v>
      </c>
      <c r="N5759" s="345" t="s">
        <v>207</v>
      </c>
      <c r="O5759" s="345" t="s">
        <v>208</v>
      </c>
      <c r="P5759" s="345" t="s">
        <v>209</v>
      </c>
      <c r="Q5759" s="345" t="s">
        <v>210</v>
      </c>
      <c r="R5759" s="345" t="s">
        <v>223</v>
      </c>
      <c r="S5759" s="345" t="s">
        <v>224</v>
      </c>
    </row>
    <row r="5760" spans="1:19" x14ac:dyDescent="0.25">
      <c r="A5760" s="311"/>
      <c r="B5760" s="312"/>
      <c r="C5760" s="312"/>
      <c r="D5760" s="312"/>
      <c r="E5760" s="312"/>
      <c r="F5760" s="312"/>
      <c r="G5760" s="328"/>
      <c r="H5760" s="453"/>
      <c r="I5760" s="334"/>
      <c r="J5760" s="314"/>
      <c r="K5760" s="454"/>
      <c r="M5760" s="349" t="str">
        <f>N5760&amp;AS[[#This Row],[Insurer Code]]&amp;"; "&amp;O5760&amp;AS[[#This Row],[Reporting Year]]&amp;"; "&amp;P5760&amp;AS[[#This Row],[Insurance Category Code]]&amp;"; "&amp;Q5760&amp;AS[[#This Row],[Large Provider Entity Code]]&amp;"; "&amp;R5760&amp;AS[[#This Row],[Age Band Code]]&amp;"; "&amp;S5760&amp;AS[[#This Row],[Sex Code]]</f>
        <v xml:space="preserve">Insurer Code ; Reporting Year ; Insurance Category Code ; Large Provider Entity Code ; Age Band Code ; Sex Code </v>
      </c>
      <c r="N5760" s="345" t="s">
        <v>207</v>
      </c>
      <c r="O5760" s="345" t="s">
        <v>208</v>
      </c>
      <c r="P5760" s="345" t="s">
        <v>209</v>
      </c>
      <c r="Q5760" s="345" t="s">
        <v>210</v>
      </c>
      <c r="R5760" s="345" t="s">
        <v>223</v>
      </c>
      <c r="S5760" s="345" t="s">
        <v>224</v>
      </c>
    </row>
    <row r="5761" spans="1:19" x14ac:dyDescent="0.25">
      <c r="A5761" s="311"/>
      <c r="B5761" s="312"/>
      <c r="C5761" s="312"/>
      <c r="D5761" s="312"/>
      <c r="E5761" s="312"/>
      <c r="F5761" s="312"/>
      <c r="G5761" s="328"/>
      <c r="H5761" s="453"/>
      <c r="I5761" s="334"/>
      <c r="J5761" s="314"/>
      <c r="K5761" s="454"/>
      <c r="M5761" s="349" t="str">
        <f>N5761&amp;AS[[#This Row],[Insurer Code]]&amp;"; "&amp;O5761&amp;AS[[#This Row],[Reporting Year]]&amp;"; "&amp;P5761&amp;AS[[#This Row],[Insurance Category Code]]&amp;"; "&amp;Q5761&amp;AS[[#This Row],[Large Provider Entity Code]]&amp;"; "&amp;R5761&amp;AS[[#This Row],[Age Band Code]]&amp;"; "&amp;S5761&amp;AS[[#This Row],[Sex Code]]</f>
        <v xml:space="preserve">Insurer Code ; Reporting Year ; Insurance Category Code ; Large Provider Entity Code ; Age Band Code ; Sex Code </v>
      </c>
      <c r="N5761" s="345" t="s">
        <v>207</v>
      </c>
      <c r="O5761" s="345" t="s">
        <v>208</v>
      </c>
      <c r="P5761" s="345" t="s">
        <v>209</v>
      </c>
      <c r="Q5761" s="345" t="s">
        <v>210</v>
      </c>
      <c r="R5761" s="345" t="s">
        <v>223</v>
      </c>
      <c r="S5761" s="345" t="s">
        <v>224</v>
      </c>
    </row>
    <row r="5762" spans="1:19" x14ac:dyDescent="0.25">
      <c r="A5762" s="311"/>
      <c r="B5762" s="312"/>
      <c r="C5762" s="312"/>
      <c r="D5762" s="312"/>
      <c r="E5762" s="312"/>
      <c r="F5762" s="312"/>
      <c r="G5762" s="328"/>
      <c r="H5762" s="453"/>
      <c r="I5762" s="334"/>
      <c r="J5762" s="314"/>
      <c r="K5762" s="454"/>
      <c r="M5762" s="349" t="str">
        <f>N5762&amp;AS[[#This Row],[Insurer Code]]&amp;"; "&amp;O5762&amp;AS[[#This Row],[Reporting Year]]&amp;"; "&amp;P5762&amp;AS[[#This Row],[Insurance Category Code]]&amp;"; "&amp;Q5762&amp;AS[[#This Row],[Large Provider Entity Code]]&amp;"; "&amp;R5762&amp;AS[[#This Row],[Age Band Code]]&amp;"; "&amp;S5762&amp;AS[[#This Row],[Sex Code]]</f>
        <v xml:space="preserve">Insurer Code ; Reporting Year ; Insurance Category Code ; Large Provider Entity Code ; Age Band Code ; Sex Code </v>
      </c>
      <c r="N5762" s="345" t="s">
        <v>207</v>
      </c>
      <c r="O5762" s="345" t="s">
        <v>208</v>
      </c>
      <c r="P5762" s="345" t="s">
        <v>209</v>
      </c>
      <c r="Q5762" s="345" t="s">
        <v>210</v>
      </c>
      <c r="R5762" s="345" t="s">
        <v>223</v>
      </c>
      <c r="S5762" s="345" t="s">
        <v>224</v>
      </c>
    </row>
    <row r="5763" spans="1:19" x14ac:dyDescent="0.25">
      <c r="A5763" s="311"/>
      <c r="B5763" s="312"/>
      <c r="C5763" s="312"/>
      <c r="D5763" s="312"/>
      <c r="E5763" s="312"/>
      <c r="F5763" s="312"/>
      <c r="G5763" s="328"/>
      <c r="H5763" s="453"/>
      <c r="I5763" s="334"/>
      <c r="J5763" s="314"/>
      <c r="K5763" s="454"/>
      <c r="M5763" s="349" t="str">
        <f>N5763&amp;AS[[#This Row],[Insurer Code]]&amp;"; "&amp;O5763&amp;AS[[#This Row],[Reporting Year]]&amp;"; "&amp;P5763&amp;AS[[#This Row],[Insurance Category Code]]&amp;"; "&amp;Q5763&amp;AS[[#This Row],[Large Provider Entity Code]]&amp;"; "&amp;R5763&amp;AS[[#This Row],[Age Band Code]]&amp;"; "&amp;S5763&amp;AS[[#This Row],[Sex Code]]</f>
        <v xml:space="preserve">Insurer Code ; Reporting Year ; Insurance Category Code ; Large Provider Entity Code ; Age Band Code ; Sex Code </v>
      </c>
      <c r="N5763" s="345" t="s">
        <v>207</v>
      </c>
      <c r="O5763" s="345" t="s">
        <v>208</v>
      </c>
      <c r="P5763" s="345" t="s">
        <v>209</v>
      </c>
      <c r="Q5763" s="345" t="s">
        <v>210</v>
      </c>
      <c r="R5763" s="345" t="s">
        <v>223</v>
      </c>
      <c r="S5763" s="345" t="s">
        <v>224</v>
      </c>
    </row>
    <row r="5764" spans="1:19" x14ac:dyDescent="0.25">
      <c r="A5764" s="311"/>
      <c r="B5764" s="312"/>
      <c r="C5764" s="312"/>
      <c r="D5764" s="312"/>
      <c r="E5764" s="312"/>
      <c r="F5764" s="312"/>
      <c r="G5764" s="328"/>
      <c r="H5764" s="453"/>
      <c r="I5764" s="334"/>
      <c r="J5764" s="314"/>
      <c r="K5764" s="454"/>
      <c r="M5764" s="349" t="str">
        <f>N5764&amp;AS[[#This Row],[Insurer Code]]&amp;"; "&amp;O5764&amp;AS[[#This Row],[Reporting Year]]&amp;"; "&amp;P5764&amp;AS[[#This Row],[Insurance Category Code]]&amp;"; "&amp;Q5764&amp;AS[[#This Row],[Large Provider Entity Code]]&amp;"; "&amp;R5764&amp;AS[[#This Row],[Age Band Code]]&amp;"; "&amp;S5764&amp;AS[[#This Row],[Sex Code]]</f>
        <v xml:space="preserve">Insurer Code ; Reporting Year ; Insurance Category Code ; Large Provider Entity Code ; Age Band Code ; Sex Code </v>
      </c>
      <c r="N5764" s="345" t="s">
        <v>207</v>
      </c>
      <c r="O5764" s="345" t="s">
        <v>208</v>
      </c>
      <c r="P5764" s="345" t="s">
        <v>209</v>
      </c>
      <c r="Q5764" s="345" t="s">
        <v>210</v>
      </c>
      <c r="R5764" s="345" t="s">
        <v>223</v>
      </c>
      <c r="S5764" s="345" t="s">
        <v>224</v>
      </c>
    </row>
    <row r="5765" spans="1:19" x14ac:dyDescent="0.25">
      <c r="A5765" s="311"/>
      <c r="B5765" s="312"/>
      <c r="C5765" s="312"/>
      <c r="D5765" s="312"/>
      <c r="E5765" s="312"/>
      <c r="F5765" s="312"/>
      <c r="G5765" s="328"/>
      <c r="H5765" s="453"/>
      <c r="I5765" s="334"/>
      <c r="J5765" s="314"/>
      <c r="K5765" s="454"/>
      <c r="M5765" s="349" t="str">
        <f>N5765&amp;AS[[#This Row],[Insurer Code]]&amp;"; "&amp;O5765&amp;AS[[#This Row],[Reporting Year]]&amp;"; "&amp;P5765&amp;AS[[#This Row],[Insurance Category Code]]&amp;"; "&amp;Q5765&amp;AS[[#This Row],[Large Provider Entity Code]]&amp;"; "&amp;R5765&amp;AS[[#This Row],[Age Band Code]]&amp;"; "&amp;S5765&amp;AS[[#This Row],[Sex Code]]</f>
        <v xml:space="preserve">Insurer Code ; Reporting Year ; Insurance Category Code ; Large Provider Entity Code ; Age Band Code ; Sex Code </v>
      </c>
      <c r="N5765" s="345" t="s">
        <v>207</v>
      </c>
      <c r="O5765" s="345" t="s">
        <v>208</v>
      </c>
      <c r="P5765" s="345" t="s">
        <v>209</v>
      </c>
      <c r="Q5765" s="345" t="s">
        <v>210</v>
      </c>
      <c r="R5765" s="345" t="s">
        <v>223</v>
      </c>
      <c r="S5765" s="345" t="s">
        <v>224</v>
      </c>
    </row>
    <row r="5766" spans="1:19" x14ac:dyDescent="0.25">
      <c r="A5766" s="311"/>
      <c r="B5766" s="312"/>
      <c r="C5766" s="312"/>
      <c r="D5766" s="312"/>
      <c r="E5766" s="312"/>
      <c r="F5766" s="312"/>
      <c r="G5766" s="328"/>
      <c r="H5766" s="453"/>
      <c r="I5766" s="334"/>
      <c r="J5766" s="314"/>
      <c r="K5766" s="454"/>
      <c r="M5766" s="349" t="str">
        <f>N5766&amp;AS[[#This Row],[Insurer Code]]&amp;"; "&amp;O5766&amp;AS[[#This Row],[Reporting Year]]&amp;"; "&amp;P5766&amp;AS[[#This Row],[Insurance Category Code]]&amp;"; "&amp;Q5766&amp;AS[[#This Row],[Large Provider Entity Code]]&amp;"; "&amp;R5766&amp;AS[[#This Row],[Age Band Code]]&amp;"; "&amp;S5766&amp;AS[[#This Row],[Sex Code]]</f>
        <v xml:space="preserve">Insurer Code ; Reporting Year ; Insurance Category Code ; Large Provider Entity Code ; Age Band Code ; Sex Code </v>
      </c>
      <c r="N5766" s="345" t="s">
        <v>207</v>
      </c>
      <c r="O5766" s="345" t="s">
        <v>208</v>
      </c>
      <c r="P5766" s="345" t="s">
        <v>209</v>
      </c>
      <c r="Q5766" s="345" t="s">
        <v>210</v>
      </c>
      <c r="R5766" s="345" t="s">
        <v>223</v>
      </c>
      <c r="S5766" s="345" t="s">
        <v>224</v>
      </c>
    </row>
    <row r="5767" spans="1:19" x14ac:dyDescent="0.25">
      <c r="A5767" s="311"/>
      <c r="B5767" s="312"/>
      <c r="C5767" s="312"/>
      <c r="D5767" s="312"/>
      <c r="E5767" s="312"/>
      <c r="F5767" s="312"/>
      <c r="G5767" s="328"/>
      <c r="H5767" s="453"/>
      <c r="I5767" s="334"/>
      <c r="J5767" s="314"/>
      <c r="K5767" s="454"/>
      <c r="M5767" s="349" t="str">
        <f>N5767&amp;AS[[#This Row],[Insurer Code]]&amp;"; "&amp;O5767&amp;AS[[#This Row],[Reporting Year]]&amp;"; "&amp;P5767&amp;AS[[#This Row],[Insurance Category Code]]&amp;"; "&amp;Q5767&amp;AS[[#This Row],[Large Provider Entity Code]]&amp;"; "&amp;R5767&amp;AS[[#This Row],[Age Band Code]]&amp;"; "&amp;S5767&amp;AS[[#This Row],[Sex Code]]</f>
        <v xml:space="preserve">Insurer Code ; Reporting Year ; Insurance Category Code ; Large Provider Entity Code ; Age Band Code ; Sex Code </v>
      </c>
      <c r="N5767" s="345" t="s">
        <v>207</v>
      </c>
      <c r="O5767" s="345" t="s">
        <v>208</v>
      </c>
      <c r="P5767" s="345" t="s">
        <v>209</v>
      </c>
      <c r="Q5767" s="345" t="s">
        <v>210</v>
      </c>
      <c r="R5767" s="345" t="s">
        <v>223</v>
      </c>
      <c r="S5767" s="345" t="s">
        <v>224</v>
      </c>
    </row>
    <row r="5768" spans="1:19" x14ac:dyDescent="0.25">
      <c r="A5768" s="311"/>
      <c r="B5768" s="312"/>
      <c r="C5768" s="312"/>
      <c r="D5768" s="312"/>
      <c r="E5768" s="312"/>
      <c r="F5768" s="312"/>
      <c r="G5768" s="328"/>
      <c r="H5768" s="453"/>
      <c r="I5768" s="334"/>
      <c r="J5768" s="314"/>
      <c r="K5768" s="454"/>
      <c r="M5768" s="349" t="str">
        <f>N5768&amp;AS[[#This Row],[Insurer Code]]&amp;"; "&amp;O5768&amp;AS[[#This Row],[Reporting Year]]&amp;"; "&amp;P5768&amp;AS[[#This Row],[Insurance Category Code]]&amp;"; "&amp;Q5768&amp;AS[[#This Row],[Large Provider Entity Code]]&amp;"; "&amp;R5768&amp;AS[[#This Row],[Age Band Code]]&amp;"; "&amp;S5768&amp;AS[[#This Row],[Sex Code]]</f>
        <v xml:space="preserve">Insurer Code ; Reporting Year ; Insurance Category Code ; Large Provider Entity Code ; Age Band Code ; Sex Code </v>
      </c>
      <c r="N5768" s="345" t="s">
        <v>207</v>
      </c>
      <c r="O5768" s="345" t="s">
        <v>208</v>
      </c>
      <c r="P5768" s="345" t="s">
        <v>209</v>
      </c>
      <c r="Q5768" s="345" t="s">
        <v>210</v>
      </c>
      <c r="R5768" s="345" t="s">
        <v>223</v>
      </c>
      <c r="S5768" s="345" t="s">
        <v>224</v>
      </c>
    </row>
    <row r="5769" spans="1:19" x14ac:dyDescent="0.25">
      <c r="A5769" s="311"/>
      <c r="B5769" s="312"/>
      <c r="C5769" s="312"/>
      <c r="D5769" s="312"/>
      <c r="E5769" s="312"/>
      <c r="F5769" s="312"/>
      <c r="G5769" s="328"/>
      <c r="H5769" s="453"/>
      <c r="I5769" s="334"/>
      <c r="J5769" s="314"/>
      <c r="K5769" s="454"/>
      <c r="M5769" s="349" t="str">
        <f>N5769&amp;AS[[#This Row],[Insurer Code]]&amp;"; "&amp;O5769&amp;AS[[#This Row],[Reporting Year]]&amp;"; "&amp;P5769&amp;AS[[#This Row],[Insurance Category Code]]&amp;"; "&amp;Q5769&amp;AS[[#This Row],[Large Provider Entity Code]]&amp;"; "&amp;R5769&amp;AS[[#This Row],[Age Band Code]]&amp;"; "&amp;S5769&amp;AS[[#This Row],[Sex Code]]</f>
        <v xml:space="preserve">Insurer Code ; Reporting Year ; Insurance Category Code ; Large Provider Entity Code ; Age Band Code ; Sex Code </v>
      </c>
      <c r="N5769" s="345" t="s">
        <v>207</v>
      </c>
      <c r="O5769" s="345" t="s">
        <v>208</v>
      </c>
      <c r="P5769" s="345" t="s">
        <v>209</v>
      </c>
      <c r="Q5769" s="345" t="s">
        <v>210</v>
      </c>
      <c r="R5769" s="345" t="s">
        <v>223</v>
      </c>
      <c r="S5769" s="345" t="s">
        <v>224</v>
      </c>
    </row>
    <row r="5770" spans="1:19" x14ac:dyDescent="0.25">
      <c r="A5770" s="311"/>
      <c r="B5770" s="312"/>
      <c r="C5770" s="312"/>
      <c r="D5770" s="312"/>
      <c r="E5770" s="312"/>
      <c r="F5770" s="312"/>
      <c r="G5770" s="328"/>
      <c r="H5770" s="453"/>
      <c r="I5770" s="334"/>
      <c r="J5770" s="314"/>
      <c r="K5770" s="454"/>
      <c r="M5770" s="349" t="str">
        <f>N5770&amp;AS[[#This Row],[Insurer Code]]&amp;"; "&amp;O5770&amp;AS[[#This Row],[Reporting Year]]&amp;"; "&amp;P5770&amp;AS[[#This Row],[Insurance Category Code]]&amp;"; "&amp;Q5770&amp;AS[[#This Row],[Large Provider Entity Code]]&amp;"; "&amp;R5770&amp;AS[[#This Row],[Age Band Code]]&amp;"; "&amp;S5770&amp;AS[[#This Row],[Sex Code]]</f>
        <v xml:space="preserve">Insurer Code ; Reporting Year ; Insurance Category Code ; Large Provider Entity Code ; Age Band Code ; Sex Code </v>
      </c>
      <c r="N5770" s="345" t="s">
        <v>207</v>
      </c>
      <c r="O5770" s="345" t="s">
        <v>208</v>
      </c>
      <c r="P5770" s="345" t="s">
        <v>209</v>
      </c>
      <c r="Q5770" s="345" t="s">
        <v>210</v>
      </c>
      <c r="R5770" s="345" t="s">
        <v>223</v>
      </c>
      <c r="S5770" s="345" t="s">
        <v>224</v>
      </c>
    </row>
    <row r="5771" spans="1:19" x14ac:dyDescent="0.25">
      <c r="A5771" s="311"/>
      <c r="B5771" s="312"/>
      <c r="C5771" s="312"/>
      <c r="D5771" s="312"/>
      <c r="E5771" s="312"/>
      <c r="F5771" s="312"/>
      <c r="G5771" s="328"/>
      <c r="H5771" s="453"/>
      <c r="I5771" s="334"/>
      <c r="J5771" s="314"/>
      <c r="K5771" s="454"/>
      <c r="M5771" s="349" t="str">
        <f>N5771&amp;AS[[#This Row],[Insurer Code]]&amp;"; "&amp;O5771&amp;AS[[#This Row],[Reporting Year]]&amp;"; "&amp;P5771&amp;AS[[#This Row],[Insurance Category Code]]&amp;"; "&amp;Q5771&amp;AS[[#This Row],[Large Provider Entity Code]]&amp;"; "&amp;R5771&amp;AS[[#This Row],[Age Band Code]]&amp;"; "&amp;S5771&amp;AS[[#This Row],[Sex Code]]</f>
        <v xml:space="preserve">Insurer Code ; Reporting Year ; Insurance Category Code ; Large Provider Entity Code ; Age Band Code ; Sex Code </v>
      </c>
      <c r="N5771" s="345" t="s">
        <v>207</v>
      </c>
      <c r="O5771" s="345" t="s">
        <v>208</v>
      </c>
      <c r="P5771" s="345" t="s">
        <v>209</v>
      </c>
      <c r="Q5771" s="345" t="s">
        <v>210</v>
      </c>
      <c r="R5771" s="345" t="s">
        <v>223</v>
      </c>
      <c r="S5771" s="345" t="s">
        <v>224</v>
      </c>
    </row>
    <row r="5772" spans="1:19" x14ac:dyDescent="0.25">
      <c r="A5772" s="311"/>
      <c r="B5772" s="312"/>
      <c r="C5772" s="312"/>
      <c r="D5772" s="312"/>
      <c r="E5772" s="312"/>
      <c r="F5772" s="312"/>
      <c r="G5772" s="328"/>
      <c r="H5772" s="453"/>
      <c r="I5772" s="334"/>
      <c r="J5772" s="314"/>
      <c r="K5772" s="454"/>
      <c r="M5772" s="349" t="str">
        <f>N5772&amp;AS[[#This Row],[Insurer Code]]&amp;"; "&amp;O5772&amp;AS[[#This Row],[Reporting Year]]&amp;"; "&amp;P5772&amp;AS[[#This Row],[Insurance Category Code]]&amp;"; "&amp;Q5772&amp;AS[[#This Row],[Large Provider Entity Code]]&amp;"; "&amp;R5772&amp;AS[[#This Row],[Age Band Code]]&amp;"; "&amp;S5772&amp;AS[[#This Row],[Sex Code]]</f>
        <v xml:space="preserve">Insurer Code ; Reporting Year ; Insurance Category Code ; Large Provider Entity Code ; Age Band Code ; Sex Code </v>
      </c>
      <c r="N5772" s="345" t="s">
        <v>207</v>
      </c>
      <c r="O5772" s="345" t="s">
        <v>208</v>
      </c>
      <c r="P5772" s="345" t="s">
        <v>209</v>
      </c>
      <c r="Q5772" s="345" t="s">
        <v>210</v>
      </c>
      <c r="R5772" s="345" t="s">
        <v>223</v>
      </c>
      <c r="S5772" s="345" t="s">
        <v>224</v>
      </c>
    </row>
    <row r="5773" spans="1:19" x14ac:dyDescent="0.25">
      <c r="A5773" s="311"/>
      <c r="B5773" s="312"/>
      <c r="C5773" s="312"/>
      <c r="D5773" s="312"/>
      <c r="E5773" s="312"/>
      <c r="F5773" s="312"/>
      <c r="G5773" s="328"/>
      <c r="H5773" s="453"/>
      <c r="I5773" s="334"/>
      <c r="J5773" s="314"/>
      <c r="K5773" s="454"/>
      <c r="M5773" s="349" t="str">
        <f>N5773&amp;AS[[#This Row],[Insurer Code]]&amp;"; "&amp;O5773&amp;AS[[#This Row],[Reporting Year]]&amp;"; "&amp;P5773&amp;AS[[#This Row],[Insurance Category Code]]&amp;"; "&amp;Q5773&amp;AS[[#This Row],[Large Provider Entity Code]]&amp;"; "&amp;R5773&amp;AS[[#This Row],[Age Band Code]]&amp;"; "&amp;S5773&amp;AS[[#This Row],[Sex Code]]</f>
        <v xml:space="preserve">Insurer Code ; Reporting Year ; Insurance Category Code ; Large Provider Entity Code ; Age Band Code ; Sex Code </v>
      </c>
      <c r="N5773" s="345" t="s">
        <v>207</v>
      </c>
      <c r="O5773" s="345" t="s">
        <v>208</v>
      </c>
      <c r="P5773" s="345" t="s">
        <v>209</v>
      </c>
      <c r="Q5773" s="345" t="s">
        <v>210</v>
      </c>
      <c r="R5773" s="345" t="s">
        <v>223</v>
      </c>
      <c r="S5773" s="345" t="s">
        <v>224</v>
      </c>
    </row>
    <row r="5774" spans="1:19" x14ac:dyDescent="0.25">
      <c r="A5774" s="311"/>
      <c r="B5774" s="312"/>
      <c r="C5774" s="312"/>
      <c r="D5774" s="312"/>
      <c r="E5774" s="312"/>
      <c r="F5774" s="312"/>
      <c r="G5774" s="328"/>
      <c r="H5774" s="453"/>
      <c r="I5774" s="334"/>
      <c r="J5774" s="314"/>
      <c r="K5774" s="454"/>
      <c r="M5774" s="349" t="str">
        <f>N5774&amp;AS[[#This Row],[Insurer Code]]&amp;"; "&amp;O5774&amp;AS[[#This Row],[Reporting Year]]&amp;"; "&amp;P5774&amp;AS[[#This Row],[Insurance Category Code]]&amp;"; "&amp;Q5774&amp;AS[[#This Row],[Large Provider Entity Code]]&amp;"; "&amp;R5774&amp;AS[[#This Row],[Age Band Code]]&amp;"; "&amp;S5774&amp;AS[[#This Row],[Sex Code]]</f>
        <v xml:space="preserve">Insurer Code ; Reporting Year ; Insurance Category Code ; Large Provider Entity Code ; Age Band Code ; Sex Code </v>
      </c>
      <c r="N5774" s="345" t="s">
        <v>207</v>
      </c>
      <c r="O5774" s="345" t="s">
        <v>208</v>
      </c>
      <c r="P5774" s="345" t="s">
        <v>209</v>
      </c>
      <c r="Q5774" s="345" t="s">
        <v>210</v>
      </c>
      <c r="R5774" s="345" t="s">
        <v>223</v>
      </c>
      <c r="S5774" s="345" t="s">
        <v>224</v>
      </c>
    </row>
    <row r="5775" spans="1:19" x14ac:dyDescent="0.25">
      <c r="A5775" s="311"/>
      <c r="B5775" s="312"/>
      <c r="C5775" s="312"/>
      <c r="D5775" s="312"/>
      <c r="E5775" s="312"/>
      <c r="F5775" s="312"/>
      <c r="G5775" s="328"/>
      <c r="H5775" s="453"/>
      <c r="I5775" s="334"/>
      <c r="J5775" s="314"/>
      <c r="K5775" s="454"/>
      <c r="M5775" s="349" t="str">
        <f>N5775&amp;AS[[#This Row],[Insurer Code]]&amp;"; "&amp;O5775&amp;AS[[#This Row],[Reporting Year]]&amp;"; "&amp;P5775&amp;AS[[#This Row],[Insurance Category Code]]&amp;"; "&amp;Q5775&amp;AS[[#This Row],[Large Provider Entity Code]]&amp;"; "&amp;R5775&amp;AS[[#This Row],[Age Band Code]]&amp;"; "&amp;S5775&amp;AS[[#This Row],[Sex Code]]</f>
        <v xml:space="preserve">Insurer Code ; Reporting Year ; Insurance Category Code ; Large Provider Entity Code ; Age Band Code ; Sex Code </v>
      </c>
      <c r="N5775" s="345" t="s">
        <v>207</v>
      </c>
      <c r="O5775" s="345" t="s">
        <v>208</v>
      </c>
      <c r="P5775" s="345" t="s">
        <v>209</v>
      </c>
      <c r="Q5775" s="345" t="s">
        <v>210</v>
      </c>
      <c r="R5775" s="345" t="s">
        <v>223</v>
      </c>
      <c r="S5775" s="345" t="s">
        <v>224</v>
      </c>
    </row>
    <row r="5776" spans="1:19" x14ac:dyDescent="0.25">
      <c r="A5776" s="311"/>
      <c r="B5776" s="312"/>
      <c r="C5776" s="312"/>
      <c r="D5776" s="312"/>
      <c r="E5776" s="312"/>
      <c r="F5776" s="312"/>
      <c r="G5776" s="328"/>
      <c r="H5776" s="453"/>
      <c r="I5776" s="334"/>
      <c r="J5776" s="314"/>
      <c r="K5776" s="454"/>
      <c r="M5776" s="349" t="str">
        <f>N5776&amp;AS[[#This Row],[Insurer Code]]&amp;"; "&amp;O5776&amp;AS[[#This Row],[Reporting Year]]&amp;"; "&amp;P5776&amp;AS[[#This Row],[Insurance Category Code]]&amp;"; "&amp;Q5776&amp;AS[[#This Row],[Large Provider Entity Code]]&amp;"; "&amp;R5776&amp;AS[[#This Row],[Age Band Code]]&amp;"; "&amp;S5776&amp;AS[[#This Row],[Sex Code]]</f>
        <v xml:space="preserve">Insurer Code ; Reporting Year ; Insurance Category Code ; Large Provider Entity Code ; Age Band Code ; Sex Code </v>
      </c>
      <c r="N5776" s="345" t="s">
        <v>207</v>
      </c>
      <c r="O5776" s="345" t="s">
        <v>208</v>
      </c>
      <c r="P5776" s="345" t="s">
        <v>209</v>
      </c>
      <c r="Q5776" s="345" t="s">
        <v>210</v>
      </c>
      <c r="R5776" s="345" t="s">
        <v>223</v>
      </c>
      <c r="S5776" s="345" t="s">
        <v>224</v>
      </c>
    </row>
    <row r="5777" spans="1:19" x14ac:dyDescent="0.25">
      <c r="A5777" s="311"/>
      <c r="B5777" s="312"/>
      <c r="C5777" s="312"/>
      <c r="D5777" s="312"/>
      <c r="E5777" s="312"/>
      <c r="F5777" s="312"/>
      <c r="G5777" s="328"/>
      <c r="H5777" s="453"/>
      <c r="I5777" s="334"/>
      <c r="J5777" s="314"/>
      <c r="K5777" s="454"/>
      <c r="M5777" s="349" t="str">
        <f>N5777&amp;AS[[#This Row],[Insurer Code]]&amp;"; "&amp;O5777&amp;AS[[#This Row],[Reporting Year]]&amp;"; "&amp;P5777&amp;AS[[#This Row],[Insurance Category Code]]&amp;"; "&amp;Q5777&amp;AS[[#This Row],[Large Provider Entity Code]]&amp;"; "&amp;R5777&amp;AS[[#This Row],[Age Band Code]]&amp;"; "&amp;S5777&amp;AS[[#This Row],[Sex Code]]</f>
        <v xml:space="preserve">Insurer Code ; Reporting Year ; Insurance Category Code ; Large Provider Entity Code ; Age Band Code ; Sex Code </v>
      </c>
      <c r="N5777" s="345" t="s">
        <v>207</v>
      </c>
      <c r="O5777" s="345" t="s">
        <v>208</v>
      </c>
      <c r="P5777" s="345" t="s">
        <v>209</v>
      </c>
      <c r="Q5777" s="345" t="s">
        <v>210</v>
      </c>
      <c r="R5777" s="345" t="s">
        <v>223</v>
      </c>
      <c r="S5777" s="345" t="s">
        <v>224</v>
      </c>
    </row>
    <row r="5778" spans="1:19" x14ac:dyDescent="0.25">
      <c r="A5778" s="311"/>
      <c r="B5778" s="312"/>
      <c r="C5778" s="312"/>
      <c r="D5778" s="312"/>
      <c r="E5778" s="312"/>
      <c r="F5778" s="312"/>
      <c r="G5778" s="328"/>
      <c r="H5778" s="453"/>
      <c r="I5778" s="334"/>
      <c r="J5778" s="314"/>
      <c r="K5778" s="454"/>
      <c r="M5778" s="349" t="str">
        <f>N5778&amp;AS[[#This Row],[Insurer Code]]&amp;"; "&amp;O5778&amp;AS[[#This Row],[Reporting Year]]&amp;"; "&amp;P5778&amp;AS[[#This Row],[Insurance Category Code]]&amp;"; "&amp;Q5778&amp;AS[[#This Row],[Large Provider Entity Code]]&amp;"; "&amp;R5778&amp;AS[[#This Row],[Age Band Code]]&amp;"; "&amp;S5778&amp;AS[[#This Row],[Sex Code]]</f>
        <v xml:space="preserve">Insurer Code ; Reporting Year ; Insurance Category Code ; Large Provider Entity Code ; Age Band Code ; Sex Code </v>
      </c>
      <c r="N5778" s="345" t="s">
        <v>207</v>
      </c>
      <c r="O5778" s="345" t="s">
        <v>208</v>
      </c>
      <c r="P5778" s="345" t="s">
        <v>209</v>
      </c>
      <c r="Q5778" s="345" t="s">
        <v>210</v>
      </c>
      <c r="R5778" s="345" t="s">
        <v>223</v>
      </c>
      <c r="S5778" s="345" t="s">
        <v>224</v>
      </c>
    </row>
    <row r="5779" spans="1:19" x14ac:dyDescent="0.25">
      <c r="A5779" s="311"/>
      <c r="B5779" s="312"/>
      <c r="C5779" s="312"/>
      <c r="D5779" s="312"/>
      <c r="E5779" s="312"/>
      <c r="F5779" s="312"/>
      <c r="G5779" s="328"/>
      <c r="H5779" s="453"/>
      <c r="I5779" s="334"/>
      <c r="J5779" s="314"/>
      <c r="K5779" s="454"/>
      <c r="M5779" s="349" t="str">
        <f>N5779&amp;AS[[#This Row],[Insurer Code]]&amp;"; "&amp;O5779&amp;AS[[#This Row],[Reporting Year]]&amp;"; "&amp;P5779&amp;AS[[#This Row],[Insurance Category Code]]&amp;"; "&amp;Q5779&amp;AS[[#This Row],[Large Provider Entity Code]]&amp;"; "&amp;R5779&amp;AS[[#This Row],[Age Band Code]]&amp;"; "&amp;S5779&amp;AS[[#This Row],[Sex Code]]</f>
        <v xml:space="preserve">Insurer Code ; Reporting Year ; Insurance Category Code ; Large Provider Entity Code ; Age Band Code ; Sex Code </v>
      </c>
      <c r="N5779" s="345" t="s">
        <v>207</v>
      </c>
      <c r="O5779" s="345" t="s">
        <v>208</v>
      </c>
      <c r="P5779" s="345" t="s">
        <v>209</v>
      </c>
      <c r="Q5779" s="345" t="s">
        <v>210</v>
      </c>
      <c r="R5779" s="345" t="s">
        <v>223</v>
      </c>
      <c r="S5779" s="345" t="s">
        <v>224</v>
      </c>
    </row>
    <row r="5780" spans="1:19" x14ac:dyDescent="0.25">
      <c r="A5780" s="311"/>
      <c r="B5780" s="312"/>
      <c r="C5780" s="312"/>
      <c r="D5780" s="312"/>
      <c r="E5780" s="312"/>
      <c r="F5780" s="312"/>
      <c r="G5780" s="328"/>
      <c r="H5780" s="453"/>
      <c r="I5780" s="334"/>
      <c r="J5780" s="314"/>
      <c r="K5780" s="454"/>
      <c r="M5780" s="349" t="str">
        <f>N5780&amp;AS[[#This Row],[Insurer Code]]&amp;"; "&amp;O5780&amp;AS[[#This Row],[Reporting Year]]&amp;"; "&amp;P5780&amp;AS[[#This Row],[Insurance Category Code]]&amp;"; "&amp;Q5780&amp;AS[[#This Row],[Large Provider Entity Code]]&amp;"; "&amp;R5780&amp;AS[[#This Row],[Age Band Code]]&amp;"; "&amp;S5780&amp;AS[[#This Row],[Sex Code]]</f>
        <v xml:space="preserve">Insurer Code ; Reporting Year ; Insurance Category Code ; Large Provider Entity Code ; Age Band Code ; Sex Code </v>
      </c>
      <c r="N5780" s="345" t="s">
        <v>207</v>
      </c>
      <c r="O5780" s="345" t="s">
        <v>208</v>
      </c>
      <c r="P5780" s="345" t="s">
        <v>209</v>
      </c>
      <c r="Q5780" s="345" t="s">
        <v>210</v>
      </c>
      <c r="R5780" s="345" t="s">
        <v>223</v>
      </c>
      <c r="S5780" s="345" t="s">
        <v>224</v>
      </c>
    </row>
    <row r="5781" spans="1:19" x14ac:dyDescent="0.25">
      <c r="A5781" s="311"/>
      <c r="B5781" s="312"/>
      <c r="C5781" s="312"/>
      <c r="D5781" s="312"/>
      <c r="E5781" s="312"/>
      <c r="F5781" s="312"/>
      <c r="G5781" s="328"/>
      <c r="H5781" s="453"/>
      <c r="I5781" s="334"/>
      <c r="J5781" s="314"/>
      <c r="K5781" s="454"/>
      <c r="M5781" s="349" t="str">
        <f>N5781&amp;AS[[#This Row],[Insurer Code]]&amp;"; "&amp;O5781&amp;AS[[#This Row],[Reporting Year]]&amp;"; "&amp;P5781&amp;AS[[#This Row],[Insurance Category Code]]&amp;"; "&amp;Q5781&amp;AS[[#This Row],[Large Provider Entity Code]]&amp;"; "&amp;R5781&amp;AS[[#This Row],[Age Band Code]]&amp;"; "&amp;S5781&amp;AS[[#This Row],[Sex Code]]</f>
        <v xml:space="preserve">Insurer Code ; Reporting Year ; Insurance Category Code ; Large Provider Entity Code ; Age Band Code ; Sex Code </v>
      </c>
      <c r="N5781" s="345" t="s">
        <v>207</v>
      </c>
      <c r="O5781" s="345" t="s">
        <v>208</v>
      </c>
      <c r="P5781" s="345" t="s">
        <v>209</v>
      </c>
      <c r="Q5781" s="345" t="s">
        <v>210</v>
      </c>
      <c r="R5781" s="345" t="s">
        <v>223</v>
      </c>
      <c r="S5781" s="345" t="s">
        <v>224</v>
      </c>
    </row>
    <row r="5782" spans="1:19" x14ac:dyDescent="0.25">
      <c r="A5782" s="311"/>
      <c r="B5782" s="312"/>
      <c r="C5782" s="312"/>
      <c r="D5782" s="312"/>
      <c r="E5782" s="312"/>
      <c r="F5782" s="312"/>
      <c r="G5782" s="328"/>
      <c r="H5782" s="453"/>
      <c r="I5782" s="334"/>
      <c r="J5782" s="314"/>
      <c r="K5782" s="454"/>
      <c r="M5782" s="349" t="str">
        <f>N5782&amp;AS[[#This Row],[Insurer Code]]&amp;"; "&amp;O5782&amp;AS[[#This Row],[Reporting Year]]&amp;"; "&amp;P5782&amp;AS[[#This Row],[Insurance Category Code]]&amp;"; "&amp;Q5782&amp;AS[[#This Row],[Large Provider Entity Code]]&amp;"; "&amp;R5782&amp;AS[[#This Row],[Age Band Code]]&amp;"; "&amp;S5782&amp;AS[[#This Row],[Sex Code]]</f>
        <v xml:space="preserve">Insurer Code ; Reporting Year ; Insurance Category Code ; Large Provider Entity Code ; Age Band Code ; Sex Code </v>
      </c>
      <c r="N5782" s="345" t="s">
        <v>207</v>
      </c>
      <c r="O5782" s="345" t="s">
        <v>208</v>
      </c>
      <c r="P5782" s="345" t="s">
        <v>209</v>
      </c>
      <c r="Q5782" s="345" t="s">
        <v>210</v>
      </c>
      <c r="R5782" s="345" t="s">
        <v>223</v>
      </c>
      <c r="S5782" s="345" t="s">
        <v>224</v>
      </c>
    </row>
    <row r="5783" spans="1:19" x14ac:dyDescent="0.25">
      <c r="A5783" s="311"/>
      <c r="B5783" s="312"/>
      <c r="C5783" s="312"/>
      <c r="D5783" s="312"/>
      <c r="E5783" s="312"/>
      <c r="F5783" s="312"/>
      <c r="G5783" s="328"/>
      <c r="H5783" s="453"/>
      <c r="I5783" s="334"/>
      <c r="J5783" s="314"/>
      <c r="K5783" s="454"/>
      <c r="M5783" s="349" t="str">
        <f>N5783&amp;AS[[#This Row],[Insurer Code]]&amp;"; "&amp;O5783&amp;AS[[#This Row],[Reporting Year]]&amp;"; "&amp;P5783&amp;AS[[#This Row],[Insurance Category Code]]&amp;"; "&amp;Q5783&amp;AS[[#This Row],[Large Provider Entity Code]]&amp;"; "&amp;R5783&amp;AS[[#This Row],[Age Band Code]]&amp;"; "&amp;S5783&amp;AS[[#This Row],[Sex Code]]</f>
        <v xml:space="preserve">Insurer Code ; Reporting Year ; Insurance Category Code ; Large Provider Entity Code ; Age Band Code ; Sex Code </v>
      </c>
      <c r="N5783" s="345" t="s">
        <v>207</v>
      </c>
      <c r="O5783" s="345" t="s">
        <v>208</v>
      </c>
      <c r="P5783" s="345" t="s">
        <v>209</v>
      </c>
      <c r="Q5783" s="345" t="s">
        <v>210</v>
      </c>
      <c r="R5783" s="345" t="s">
        <v>223</v>
      </c>
      <c r="S5783" s="345" t="s">
        <v>224</v>
      </c>
    </row>
    <row r="5784" spans="1:19" x14ac:dyDescent="0.25">
      <c r="A5784" s="311"/>
      <c r="B5784" s="312"/>
      <c r="C5784" s="312"/>
      <c r="D5784" s="312"/>
      <c r="E5784" s="312"/>
      <c r="F5784" s="312"/>
      <c r="G5784" s="328"/>
      <c r="H5784" s="453"/>
      <c r="I5784" s="334"/>
      <c r="J5784" s="314"/>
      <c r="K5784" s="454"/>
      <c r="M5784" s="349" t="str">
        <f>N5784&amp;AS[[#This Row],[Insurer Code]]&amp;"; "&amp;O5784&amp;AS[[#This Row],[Reporting Year]]&amp;"; "&amp;P5784&amp;AS[[#This Row],[Insurance Category Code]]&amp;"; "&amp;Q5784&amp;AS[[#This Row],[Large Provider Entity Code]]&amp;"; "&amp;R5784&amp;AS[[#This Row],[Age Band Code]]&amp;"; "&amp;S5784&amp;AS[[#This Row],[Sex Code]]</f>
        <v xml:space="preserve">Insurer Code ; Reporting Year ; Insurance Category Code ; Large Provider Entity Code ; Age Band Code ; Sex Code </v>
      </c>
      <c r="N5784" s="345" t="s">
        <v>207</v>
      </c>
      <c r="O5784" s="345" t="s">
        <v>208</v>
      </c>
      <c r="P5784" s="345" t="s">
        <v>209</v>
      </c>
      <c r="Q5784" s="345" t="s">
        <v>210</v>
      </c>
      <c r="R5784" s="345" t="s">
        <v>223</v>
      </c>
      <c r="S5784" s="345" t="s">
        <v>224</v>
      </c>
    </row>
    <row r="5785" spans="1:19" x14ac:dyDescent="0.25">
      <c r="A5785" s="311"/>
      <c r="B5785" s="312"/>
      <c r="C5785" s="312"/>
      <c r="D5785" s="312"/>
      <c r="E5785" s="312"/>
      <c r="F5785" s="312"/>
      <c r="G5785" s="328"/>
      <c r="H5785" s="453"/>
      <c r="I5785" s="334"/>
      <c r="J5785" s="314"/>
      <c r="K5785" s="454"/>
      <c r="M5785" s="349" t="str">
        <f>N5785&amp;AS[[#This Row],[Insurer Code]]&amp;"; "&amp;O5785&amp;AS[[#This Row],[Reporting Year]]&amp;"; "&amp;P5785&amp;AS[[#This Row],[Insurance Category Code]]&amp;"; "&amp;Q5785&amp;AS[[#This Row],[Large Provider Entity Code]]&amp;"; "&amp;R5785&amp;AS[[#This Row],[Age Band Code]]&amp;"; "&amp;S5785&amp;AS[[#This Row],[Sex Code]]</f>
        <v xml:space="preserve">Insurer Code ; Reporting Year ; Insurance Category Code ; Large Provider Entity Code ; Age Band Code ; Sex Code </v>
      </c>
      <c r="N5785" s="345" t="s">
        <v>207</v>
      </c>
      <c r="O5785" s="345" t="s">
        <v>208</v>
      </c>
      <c r="P5785" s="345" t="s">
        <v>209</v>
      </c>
      <c r="Q5785" s="345" t="s">
        <v>210</v>
      </c>
      <c r="R5785" s="345" t="s">
        <v>223</v>
      </c>
      <c r="S5785" s="345" t="s">
        <v>224</v>
      </c>
    </row>
    <row r="5786" spans="1:19" x14ac:dyDescent="0.25">
      <c r="A5786" s="311"/>
      <c r="B5786" s="312"/>
      <c r="C5786" s="312"/>
      <c r="D5786" s="312"/>
      <c r="E5786" s="312"/>
      <c r="F5786" s="312"/>
      <c r="G5786" s="328"/>
      <c r="H5786" s="453"/>
      <c r="I5786" s="334"/>
      <c r="J5786" s="314"/>
      <c r="K5786" s="454"/>
      <c r="M5786" s="349" t="str">
        <f>N5786&amp;AS[[#This Row],[Insurer Code]]&amp;"; "&amp;O5786&amp;AS[[#This Row],[Reporting Year]]&amp;"; "&amp;P5786&amp;AS[[#This Row],[Insurance Category Code]]&amp;"; "&amp;Q5786&amp;AS[[#This Row],[Large Provider Entity Code]]&amp;"; "&amp;R5786&amp;AS[[#This Row],[Age Band Code]]&amp;"; "&amp;S5786&amp;AS[[#This Row],[Sex Code]]</f>
        <v xml:space="preserve">Insurer Code ; Reporting Year ; Insurance Category Code ; Large Provider Entity Code ; Age Band Code ; Sex Code </v>
      </c>
      <c r="N5786" s="345" t="s">
        <v>207</v>
      </c>
      <c r="O5786" s="345" t="s">
        <v>208</v>
      </c>
      <c r="P5786" s="345" t="s">
        <v>209</v>
      </c>
      <c r="Q5786" s="345" t="s">
        <v>210</v>
      </c>
      <c r="R5786" s="345" t="s">
        <v>223</v>
      </c>
      <c r="S5786" s="345" t="s">
        <v>224</v>
      </c>
    </row>
    <row r="5787" spans="1:19" x14ac:dyDescent="0.25">
      <c r="A5787" s="311"/>
      <c r="B5787" s="312"/>
      <c r="C5787" s="312"/>
      <c r="D5787" s="312"/>
      <c r="E5787" s="312"/>
      <c r="F5787" s="312"/>
      <c r="G5787" s="328"/>
      <c r="H5787" s="453"/>
      <c r="I5787" s="334"/>
      <c r="J5787" s="314"/>
      <c r="K5787" s="454"/>
      <c r="M5787" s="349" t="str">
        <f>N5787&amp;AS[[#This Row],[Insurer Code]]&amp;"; "&amp;O5787&amp;AS[[#This Row],[Reporting Year]]&amp;"; "&amp;P5787&amp;AS[[#This Row],[Insurance Category Code]]&amp;"; "&amp;Q5787&amp;AS[[#This Row],[Large Provider Entity Code]]&amp;"; "&amp;R5787&amp;AS[[#This Row],[Age Band Code]]&amp;"; "&amp;S5787&amp;AS[[#This Row],[Sex Code]]</f>
        <v xml:space="preserve">Insurer Code ; Reporting Year ; Insurance Category Code ; Large Provider Entity Code ; Age Band Code ; Sex Code </v>
      </c>
      <c r="N5787" s="345" t="s">
        <v>207</v>
      </c>
      <c r="O5787" s="345" t="s">
        <v>208</v>
      </c>
      <c r="P5787" s="345" t="s">
        <v>209</v>
      </c>
      <c r="Q5787" s="345" t="s">
        <v>210</v>
      </c>
      <c r="R5787" s="345" t="s">
        <v>223</v>
      </c>
      <c r="S5787" s="345" t="s">
        <v>224</v>
      </c>
    </row>
    <row r="5788" spans="1:19" x14ac:dyDescent="0.25">
      <c r="A5788" s="311"/>
      <c r="B5788" s="312"/>
      <c r="C5788" s="312"/>
      <c r="D5788" s="312"/>
      <c r="E5788" s="312"/>
      <c r="F5788" s="312"/>
      <c r="G5788" s="328"/>
      <c r="H5788" s="453"/>
      <c r="I5788" s="334"/>
      <c r="J5788" s="314"/>
      <c r="K5788" s="454"/>
      <c r="M5788" s="349" t="str">
        <f>N5788&amp;AS[[#This Row],[Insurer Code]]&amp;"; "&amp;O5788&amp;AS[[#This Row],[Reporting Year]]&amp;"; "&amp;P5788&amp;AS[[#This Row],[Insurance Category Code]]&amp;"; "&amp;Q5788&amp;AS[[#This Row],[Large Provider Entity Code]]&amp;"; "&amp;R5788&amp;AS[[#This Row],[Age Band Code]]&amp;"; "&amp;S5788&amp;AS[[#This Row],[Sex Code]]</f>
        <v xml:space="preserve">Insurer Code ; Reporting Year ; Insurance Category Code ; Large Provider Entity Code ; Age Band Code ; Sex Code </v>
      </c>
      <c r="N5788" s="345" t="s">
        <v>207</v>
      </c>
      <c r="O5788" s="345" t="s">
        <v>208</v>
      </c>
      <c r="P5788" s="345" t="s">
        <v>209</v>
      </c>
      <c r="Q5788" s="345" t="s">
        <v>210</v>
      </c>
      <c r="R5788" s="345" t="s">
        <v>223</v>
      </c>
      <c r="S5788" s="345" t="s">
        <v>224</v>
      </c>
    </row>
    <row r="5789" spans="1:19" x14ac:dyDescent="0.25">
      <c r="A5789" s="311"/>
      <c r="B5789" s="312"/>
      <c r="C5789" s="312"/>
      <c r="D5789" s="312"/>
      <c r="E5789" s="312"/>
      <c r="F5789" s="312"/>
      <c r="G5789" s="328"/>
      <c r="H5789" s="453"/>
      <c r="I5789" s="334"/>
      <c r="J5789" s="314"/>
      <c r="K5789" s="454"/>
      <c r="M5789" s="349" t="str">
        <f>N5789&amp;AS[[#This Row],[Insurer Code]]&amp;"; "&amp;O5789&amp;AS[[#This Row],[Reporting Year]]&amp;"; "&amp;P5789&amp;AS[[#This Row],[Insurance Category Code]]&amp;"; "&amp;Q5789&amp;AS[[#This Row],[Large Provider Entity Code]]&amp;"; "&amp;R5789&amp;AS[[#This Row],[Age Band Code]]&amp;"; "&amp;S5789&amp;AS[[#This Row],[Sex Code]]</f>
        <v xml:space="preserve">Insurer Code ; Reporting Year ; Insurance Category Code ; Large Provider Entity Code ; Age Band Code ; Sex Code </v>
      </c>
      <c r="N5789" s="345" t="s">
        <v>207</v>
      </c>
      <c r="O5789" s="345" t="s">
        <v>208</v>
      </c>
      <c r="P5789" s="345" t="s">
        <v>209</v>
      </c>
      <c r="Q5789" s="345" t="s">
        <v>210</v>
      </c>
      <c r="R5789" s="345" t="s">
        <v>223</v>
      </c>
      <c r="S5789" s="345" t="s">
        <v>224</v>
      </c>
    </row>
    <row r="5790" spans="1:19" x14ac:dyDescent="0.25">
      <c r="A5790" s="311"/>
      <c r="B5790" s="312"/>
      <c r="C5790" s="312"/>
      <c r="D5790" s="312"/>
      <c r="E5790" s="312"/>
      <c r="F5790" s="312"/>
      <c r="G5790" s="328"/>
      <c r="H5790" s="453"/>
      <c r="I5790" s="334"/>
      <c r="J5790" s="314"/>
      <c r="K5790" s="454"/>
      <c r="M5790" s="349" t="str">
        <f>N5790&amp;AS[[#This Row],[Insurer Code]]&amp;"; "&amp;O5790&amp;AS[[#This Row],[Reporting Year]]&amp;"; "&amp;P5790&amp;AS[[#This Row],[Insurance Category Code]]&amp;"; "&amp;Q5790&amp;AS[[#This Row],[Large Provider Entity Code]]&amp;"; "&amp;R5790&amp;AS[[#This Row],[Age Band Code]]&amp;"; "&amp;S5790&amp;AS[[#This Row],[Sex Code]]</f>
        <v xml:space="preserve">Insurer Code ; Reporting Year ; Insurance Category Code ; Large Provider Entity Code ; Age Band Code ; Sex Code </v>
      </c>
      <c r="N5790" s="345" t="s">
        <v>207</v>
      </c>
      <c r="O5790" s="345" t="s">
        <v>208</v>
      </c>
      <c r="P5790" s="345" t="s">
        <v>209</v>
      </c>
      <c r="Q5790" s="345" t="s">
        <v>210</v>
      </c>
      <c r="R5790" s="345" t="s">
        <v>223</v>
      </c>
      <c r="S5790" s="345" t="s">
        <v>224</v>
      </c>
    </row>
    <row r="5791" spans="1:19" x14ac:dyDescent="0.25">
      <c r="A5791" s="311"/>
      <c r="B5791" s="312"/>
      <c r="C5791" s="312"/>
      <c r="D5791" s="312"/>
      <c r="E5791" s="312"/>
      <c r="F5791" s="312"/>
      <c r="G5791" s="328"/>
      <c r="H5791" s="453"/>
      <c r="I5791" s="334"/>
      <c r="J5791" s="314"/>
      <c r="K5791" s="454"/>
      <c r="M5791" s="349" t="str">
        <f>N5791&amp;AS[[#This Row],[Insurer Code]]&amp;"; "&amp;O5791&amp;AS[[#This Row],[Reporting Year]]&amp;"; "&amp;P5791&amp;AS[[#This Row],[Insurance Category Code]]&amp;"; "&amp;Q5791&amp;AS[[#This Row],[Large Provider Entity Code]]&amp;"; "&amp;R5791&amp;AS[[#This Row],[Age Band Code]]&amp;"; "&amp;S5791&amp;AS[[#This Row],[Sex Code]]</f>
        <v xml:space="preserve">Insurer Code ; Reporting Year ; Insurance Category Code ; Large Provider Entity Code ; Age Band Code ; Sex Code </v>
      </c>
      <c r="N5791" s="345" t="s">
        <v>207</v>
      </c>
      <c r="O5791" s="345" t="s">
        <v>208</v>
      </c>
      <c r="P5791" s="345" t="s">
        <v>209</v>
      </c>
      <c r="Q5791" s="345" t="s">
        <v>210</v>
      </c>
      <c r="R5791" s="345" t="s">
        <v>223</v>
      </c>
      <c r="S5791" s="345" t="s">
        <v>224</v>
      </c>
    </row>
    <row r="5792" spans="1:19" x14ac:dyDescent="0.25">
      <c r="A5792" s="311"/>
      <c r="B5792" s="312"/>
      <c r="C5792" s="312"/>
      <c r="D5792" s="312"/>
      <c r="E5792" s="312"/>
      <c r="F5792" s="312"/>
      <c r="G5792" s="328"/>
      <c r="H5792" s="453"/>
      <c r="I5792" s="334"/>
      <c r="J5792" s="314"/>
      <c r="K5792" s="454"/>
      <c r="M5792" s="349" t="str">
        <f>N5792&amp;AS[[#This Row],[Insurer Code]]&amp;"; "&amp;O5792&amp;AS[[#This Row],[Reporting Year]]&amp;"; "&amp;P5792&amp;AS[[#This Row],[Insurance Category Code]]&amp;"; "&amp;Q5792&amp;AS[[#This Row],[Large Provider Entity Code]]&amp;"; "&amp;R5792&amp;AS[[#This Row],[Age Band Code]]&amp;"; "&amp;S5792&amp;AS[[#This Row],[Sex Code]]</f>
        <v xml:space="preserve">Insurer Code ; Reporting Year ; Insurance Category Code ; Large Provider Entity Code ; Age Band Code ; Sex Code </v>
      </c>
      <c r="N5792" s="345" t="s">
        <v>207</v>
      </c>
      <c r="O5792" s="345" t="s">
        <v>208</v>
      </c>
      <c r="P5792" s="345" t="s">
        <v>209</v>
      </c>
      <c r="Q5792" s="345" t="s">
        <v>210</v>
      </c>
      <c r="R5792" s="345" t="s">
        <v>223</v>
      </c>
      <c r="S5792" s="345" t="s">
        <v>224</v>
      </c>
    </row>
    <row r="5793" spans="1:19" x14ac:dyDescent="0.25">
      <c r="A5793" s="311"/>
      <c r="B5793" s="312"/>
      <c r="C5793" s="312"/>
      <c r="D5793" s="312"/>
      <c r="E5793" s="312"/>
      <c r="F5793" s="312"/>
      <c r="G5793" s="328"/>
      <c r="H5793" s="453"/>
      <c r="I5793" s="334"/>
      <c r="J5793" s="314"/>
      <c r="K5793" s="454"/>
      <c r="M5793" s="349" t="str">
        <f>N5793&amp;AS[[#This Row],[Insurer Code]]&amp;"; "&amp;O5793&amp;AS[[#This Row],[Reporting Year]]&amp;"; "&amp;P5793&amp;AS[[#This Row],[Insurance Category Code]]&amp;"; "&amp;Q5793&amp;AS[[#This Row],[Large Provider Entity Code]]&amp;"; "&amp;R5793&amp;AS[[#This Row],[Age Band Code]]&amp;"; "&amp;S5793&amp;AS[[#This Row],[Sex Code]]</f>
        <v xml:space="preserve">Insurer Code ; Reporting Year ; Insurance Category Code ; Large Provider Entity Code ; Age Band Code ; Sex Code </v>
      </c>
      <c r="N5793" s="345" t="s">
        <v>207</v>
      </c>
      <c r="O5793" s="345" t="s">
        <v>208</v>
      </c>
      <c r="P5793" s="345" t="s">
        <v>209</v>
      </c>
      <c r="Q5793" s="345" t="s">
        <v>210</v>
      </c>
      <c r="R5793" s="345" t="s">
        <v>223</v>
      </c>
      <c r="S5793" s="345" t="s">
        <v>224</v>
      </c>
    </row>
    <row r="5794" spans="1:19" x14ac:dyDescent="0.25">
      <c r="A5794" s="311"/>
      <c r="B5794" s="312"/>
      <c r="C5794" s="312"/>
      <c r="D5794" s="312"/>
      <c r="E5794" s="312"/>
      <c r="F5794" s="312"/>
      <c r="G5794" s="328"/>
      <c r="H5794" s="453"/>
      <c r="I5794" s="334"/>
      <c r="J5794" s="314"/>
      <c r="K5794" s="454"/>
      <c r="M5794" s="349" t="str">
        <f>N5794&amp;AS[[#This Row],[Insurer Code]]&amp;"; "&amp;O5794&amp;AS[[#This Row],[Reporting Year]]&amp;"; "&amp;P5794&amp;AS[[#This Row],[Insurance Category Code]]&amp;"; "&amp;Q5794&amp;AS[[#This Row],[Large Provider Entity Code]]&amp;"; "&amp;R5794&amp;AS[[#This Row],[Age Band Code]]&amp;"; "&amp;S5794&amp;AS[[#This Row],[Sex Code]]</f>
        <v xml:space="preserve">Insurer Code ; Reporting Year ; Insurance Category Code ; Large Provider Entity Code ; Age Band Code ; Sex Code </v>
      </c>
      <c r="N5794" s="345" t="s">
        <v>207</v>
      </c>
      <c r="O5794" s="345" t="s">
        <v>208</v>
      </c>
      <c r="P5794" s="345" t="s">
        <v>209</v>
      </c>
      <c r="Q5794" s="345" t="s">
        <v>210</v>
      </c>
      <c r="R5794" s="345" t="s">
        <v>223</v>
      </c>
      <c r="S5794" s="345" t="s">
        <v>224</v>
      </c>
    </row>
    <row r="5795" spans="1:19" x14ac:dyDescent="0.25">
      <c r="A5795" s="311"/>
      <c r="B5795" s="312"/>
      <c r="C5795" s="312"/>
      <c r="D5795" s="312"/>
      <c r="E5795" s="312"/>
      <c r="F5795" s="312"/>
      <c r="G5795" s="328"/>
      <c r="H5795" s="453"/>
      <c r="I5795" s="334"/>
      <c r="J5795" s="314"/>
      <c r="K5795" s="454"/>
      <c r="M5795" s="349" t="str">
        <f>N5795&amp;AS[[#This Row],[Insurer Code]]&amp;"; "&amp;O5795&amp;AS[[#This Row],[Reporting Year]]&amp;"; "&amp;P5795&amp;AS[[#This Row],[Insurance Category Code]]&amp;"; "&amp;Q5795&amp;AS[[#This Row],[Large Provider Entity Code]]&amp;"; "&amp;R5795&amp;AS[[#This Row],[Age Band Code]]&amp;"; "&amp;S5795&amp;AS[[#This Row],[Sex Code]]</f>
        <v xml:space="preserve">Insurer Code ; Reporting Year ; Insurance Category Code ; Large Provider Entity Code ; Age Band Code ; Sex Code </v>
      </c>
      <c r="N5795" s="345" t="s">
        <v>207</v>
      </c>
      <c r="O5795" s="345" t="s">
        <v>208</v>
      </c>
      <c r="P5795" s="345" t="s">
        <v>209</v>
      </c>
      <c r="Q5795" s="345" t="s">
        <v>210</v>
      </c>
      <c r="R5795" s="345" t="s">
        <v>223</v>
      </c>
      <c r="S5795" s="345" t="s">
        <v>224</v>
      </c>
    </row>
    <row r="5796" spans="1:19" x14ac:dyDescent="0.25">
      <c r="A5796" s="311"/>
      <c r="B5796" s="312"/>
      <c r="C5796" s="312"/>
      <c r="D5796" s="312"/>
      <c r="E5796" s="312"/>
      <c r="F5796" s="312"/>
      <c r="G5796" s="328"/>
      <c r="H5796" s="453"/>
      <c r="I5796" s="334"/>
      <c r="J5796" s="314"/>
      <c r="K5796" s="454"/>
      <c r="M5796" s="349" t="str">
        <f>N5796&amp;AS[[#This Row],[Insurer Code]]&amp;"; "&amp;O5796&amp;AS[[#This Row],[Reporting Year]]&amp;"; "&amp;P5796&amp;AS[[#This Row],[Insurance Category Code]]&amp;"; "&amp;Q5796&amp;AS[[#This Row],[Large Provider Entity Code]]&amp;"; "&amp;R5796&amp;AS[[#This Row],[Age Band Code]]&amp;"; "&amp;S5796&amp;AS[[#This Row],[Sex Code]]</f>
        <v xml:space="preserve">Insurer Code ; Reporting Year ; Insurance Category Code ; Large Provider Entity Code ; Age Band Code ; Sex Code </v>
      </c>
      <c r="N5796" s="345" t="s">
        <v>207</v>
      </c>
      <c r="O5796" s="345" t="s">
        <v>208</v>
      </c>
      <c r="P5796" s="345" t="s">
        <v>209</v>
      </c>
      <c r="Q5796" s="345" t="s">
        <v>210</v>
      </c>
      <c r="R5796" s="345" t="s">
        <v>223</v>
      </c>
      <c r="S5796" s="345" t="s">
        <v>224</v>
      </c>
    </row>
    <row r="5797" spans="1:19" x14ac:dyDescent="0.25">
      <c r="A5797" s="311"/>
      <c r="B5797" s="312"/>
      <c r="C5797" s="312"/>
      <c r="D5797" s="312"/>
      <c r="E5797" s="312"/>
      <c r="F5797" s="312"/>
      <c r="G5797" s="328"/>
      <c r="H5797" s="453"/>
      <c r="I5797" s="334"/>
      <c r="J5797" s="314"/>
      <c r="K5797" s="454"/>
      <c r="M5797" s="349" t="str">
        <f>N5797&amp;AS[[#This Row],[Insurer Code]]&amp;"; "&amp;O5797&amp;AS[[#This Row],[Reporting Year]]&amp;"; "&amp;P5797&amp;AS[[#This Row],[Insurance Category Code]]&amp;"; "&amp;Q5797&amp;AS[[#This Row],[Large Provider Entity Code]]&amp;"; "&amp;R5797&amp;AS[[#This Row],[Age Band Code]]&amp;"; "&amp;S5797&amp;AS[[#This Row],[Sex Code]]</f>
        <v xml:space="preserve">Insurer Code ; Reporting Year ; Insurance Category Code ; Large Provider Entity Code ; Age Band Code ; Sex Code </v>
      </c>
      <c r="N5797" s="345" t="s">
        <v>207</v>
      </c>
      <c r="O5797" s="345" t="s">
        <v>208</v>
      </c>
      <c r="P5797" s="345" t="s">
        <v>209</v>
      </c>
      <c r="Q5797" s="345" t="s">
        <v>210</v>
      </c>
      <c r="R5797" s="345" t="s">
        <v>223</v>
      </c>
      <c r="S5797" s="345" t="s">
        <v>224</v>
      </c>
    </row>
    <row r="5798" spans="1:19" x14ac:dyDescent="0.25">
      <c r="A5798" s="311"/>
      <c r="B5798" s="312"/>
      <c r="C5798" s="312"/>
      <c r="D5798" s="312"/>
      <c r="E5798" s="312"/>
      <c r="F5798" s="312"/>
      <c r="G5798" s="328"/>
      <c r="H5798" s="453"/>
      <c r="I5798" s="334"/>
      <c r="J5798" s="314"/>
      <c r="K5798" s="454"/>
      <c r="M5798" s="349" t="str">
        <f>N5798&amp;AS[[#This Row],[Insurer Code]]&amp;"; "&amp;O5798&amp;AS[[#This Row],[Reporting Year]]&amp;"; "&amp;P5798&amp;AS[[#This Row],[Insurance Category Code]]&amp;"; "&amp;Q5798&amp;AS[[#This Row],[Large Provider Entity Code]]&amp;"; "&amp;R5798&amp;AS[[#This Row],[Age Band Code]]&amp;"; "&amp;S5798&amp;AS[[#This Row],[Sex Code]]</f>
        <v xml:space="preserve">Insurer Code ; Reporting Year ; Insurance Category Code ; Large Provider Entity Code ; Age Band Code ; Sex Code </v>
      </c>
      <c r="N5798" s="345" t="s">
        <v>207</v>
      </c>
      <c r="O5798" s="345" t="s">
        <v>208</v>
      </c>
      <c r="P5798" s="345" t="s">
        <v>209</v>
      </c>
      <c r="Q5798" s="345" t="s">
        <v>210</v>
      </c>
      <c r="R5798" s="345" t="s">
        <v>223</v>
      </c>
      <c r="S5798" s="345" t="s">
        <v>224</v>
      </c>
    </row>
    <row r="5799" spans="1:19" x14ac:dyDescent="0.25">
      <c r="A5799" s="311"/>
      <c r="B5799" s="312"/>
      <c r="C5799" s="312"/>
      <c r="D5799" s="312"/>
      <c r="E5799" s="312"/>
      <c r="F5799" s="312"/>
      <c r="G5799" s="328"/>
      <c r="H5799" s="453"/>
      <c r="I5799" s="334"/>
      <c r="J5799" s="314"/>
      <c r="K5799" s="454"/>
      <c r="M5799" s="349" t="str">
        <f>N5799&amp;AS[[#This Row],[Insurer Code]]&amp;"; "&amp;O5799&amp;AS[[#This Row],[Reporting Year]]&amp;"; "&amp;P5799&amp;AS[[#This Row],[Insurance Category Code]]&amp;"; "&amp;Q5799&amp;AS[[#This Row],[Large Provider Entity Code]]&amp;"; "&amp;R5799&amp;AS[[#This Row],[Age Band Code]]&amp;"; "&amp;S5799&amp;AS[[#This Row],[Sex Code]]</f>
        <v xml:space="preserve">Insurer Code ; Reporting Year ; Insurance Category Code ; Large Provider Entity Code ; Age Band Code ; Sex Code </v>
      </c>
      <c r="N5799" s="345" t="s">
        <v>207</v>
      </c>
      <c r="O5799" s="345" t="s">
        <v>208</v>
      </c>
      <c r="P5799" s="345" t="s">
        <v>209</v>
      </c>
      <c r="Q5799" s="345" t="s">
        <v>210</v>
      </c>
      <c r="R5799" s="345" t="s">
        <v>223</v>
      </c>
      <c r="S5799" s="345" t="s">
        <v>224</v>
      </c>
    </row>
    <row r="5800" spans="1:19" x14ac:dyDescent="0.25">
      <c r="A5800" s="311"/>
      <c r="B5800" s="312"/>
      <c r="C5800" s="312"/>
      <c r="D5800" s="312"/>
      <c r="E5800" s="312"/>
      <c r="F5800" s="312"/>
      <c r="G5800" s="328"/>
      <c r="H5800" s="453"/>
      <c r="I5800" s="334"/>
      <c r="J5800" s="314"/>
      <c r="K5800" s="454"/>
      <c r="M5800" s="349" t="str">
        <f>N5800&amp;AS[[#This Row],[Insurer Code]]&amp;"; "&amp;O5800&amp;AS[[#This Row],[Reporting Year]]&amp;"; "&amp;P5800&amp;AS[[#This Row],[Insurance Category Code]]&amp;"; "&amp;Q5800&amp;AS[[#This Row],[Large Provider Entity Code]]&amp;"; "&amp;R5800&amp;AS[[#This Row],[Age Band Code]]&amp;"; "&amp;S5800&amp;AS[[#This Row],[Sex Code]]</f>
        <v xml:space="preserve">Insurer Code ; Reporting Year ; Insurance Category Code ; Large Provider Entity Code ; Age Band Code ; Sex Code </v>
      </c>
      <c r="N5800" s="345" t="s">
        <v>207</v>
      </c>
      <c r="O5800" s="345" t="s">
        <v>208</v>
      </c>
      <c r="P5800" s="345" t="s">
        <v>209</v>
      </c>
      <c r="Q5800" s="345" t="s">
        <v>210</v>
      </c>
      <c r="R5800" s="345" t="s">
        <v>223</v>
      </c>
      <c r="S5800" s="345" t="s">
        <v>224</v>
      </c>
    </row>
    <row r="5801" spans="1:19" x14ac:dyDescent="0.25">
      <c r="A5801" s="311"/>
      <c r="B5801" s="312"/>
      <c r="C5801" s="312"/>
      <c r="D5801" s="312"/>
      <c r="E5801" s="312"/>
      <c r="F5801" s="312"/>
      <c r="G5801" s="328"/>
      <c r="H5801" s="453"/>
      <c r="I5801" s="334"/>
      <c r="J5801" s="314"/>
      <c r="K5801" s="454"/>
      <c r="M5801" s="349" t="str">
        <f>N5801&amp;AS[[#This Row],[Insurer Code]]&amp;"; "&amp;O5801&amp;AS[[#This Row],[Reporting Year]]&amp;"; "&amp;P5801&amp;AS[[#This Row],[Insurance Category Code]]&amp;"; "&amp;Q5801&amp;AS[[#This Row],[Large Provider Entity Code]]&amp;"; "&amp;R5801&amp;AS[[#This Row],[Age Band Code]]&amp;"; "&amp;S5801&amp;AS[[#This Row],[Sex Code]]</f>
        <v xml:space="preserve">Insurer Code ; Reporting Year ; Insurance Category Code ; Large Provider Entity Code ; Age Band Code ; Sex Code </v>
      </c>
      <c r="N5801" s="345" t="s">
        <v>207</v>
      </c>
      <c r="O5801" s="345" t="s">
        <v>208</v>
      </c>
      <c r="P5801" s="345" t="s">
        <v>209</v>
      </c>
      <c r="Q5801" s="345" t="s">
        <v>210</v>
      </c>
      <c r="R5801" s="345" t="s">
        <v>223</v>
      </c>
      <c r="S5801" s="345" t="s">
        <v>224</v>
      </c>
    </row>
    <row r="5802" spans="1:19" x14ac:dyDescent="0.25">
      <c r="A5802" s="311"/>
      <c r="B5802" s="312"/>
      <c r="C5802" s="312"/>
      <c r="D5802" s="312"/>
      <c r="E5802" s="312"/>
      <c r="F5802" s="312"/>
      <c r="G5802" s="328"/>
      <c r="H5802" s="453"/>
      <c r="I5802" s="334"/>
      <c r="J5802" s="314"/>
      <c r="K5802" s="454"/>
      <c r="M5802" s="349" t="str">
        <f>N5802&amp;AS[[#This Row],[Insurer Code]]&amp;"; "&amp;O5802&amp;AS[[#This Row],[Reporting Year]]&amp;"; "&amp;P5802&amp;AS[[#This Row],[Insurance Category Code]]&amp;"; "&amp;Q5802&amp;AS[[#This Row],[Large Provider Entity Code]]&amp;"; "&amp;R5802&amp;AS[[#This Row],[Age Band Code]]&amp;"; "&amp;S5802&amp;AS[[#This Row],[Sex Code]]</f>
        <v xml:space="preserve">Insurer Code ; Reporting Year ; Insurance Category Code ; Large Provider Entity Code ; Age Band Code ; Sex Code </v>
      </c>
      <c r="N5802" s="345" t="s">
        <v>207</v>
      </c>
      <c r="O5802" s="345" t="s">
        <v>208</v>
      </c>
      <c r="P5802" s="345" t="s">
        <v>209</v>
      </c>
      <c r="Q5802" s="345" t="s">
        <v>210</v>
      </c>
      <c r="R5802" s="345" t="s">
        <v>223</v>
      </c>
      <c r="S5802" s="345" t="s">
        <v>224</v>
      </c>
    </row>
    <row r="5803" spans="1:19" x14ac:dyDescent="0.25">
      <c r="A5803" s="311"/>
      <c r="B5803" s="312"/>
      <c r="C5803" s="312"/>
      <c r="D5803" s="312"/>
      <c r="E5803" s="312"/>
      <c r="F5803" s="312"/>
      <c r="G5803" s="328"/>
      <c r="H5803" s="453"/>
      <c r="I5803" s="334"/>
      <c r="J5803" s="314"/>
      <c r="K5803" s="454"/>
      <c r="M5803" s="349" t="str">
        <f>N5803&amp;AS[[#This Row],[Insurer Code]]&amp;"; "&amp;O5803&amp;AS[[#This Row],[Reporting Year]]&amp;"; "&amp;P5803&amp;AS[[#This Row],[Insurance Category Code]]&amp;"; "&amp;Q5803&amp;AS[[#This Row],[Large Provider Entity Code]]&amp;"; "&amp;R5803&amp;AS[[#This Row],[Age Band Code]]&amp;"; "&amp;S5803&amp;AS[[#This Row],[Sex Code]]</f>
        <v xml:space="preserve">Insurer Code ; Reporting Year ; Insurance Category Code ; Large Provider Entity Code ; Age Band Code ; Sex Code </v>
      </c>
      <c r="N5803" s="345" t="s">
        <v>207</v>
      </c>
      <c r="O5803" s="345" t="s">
        <v>208</v>
      </c>
      <c r="P5803" s="345" t="s">
        <v>209</v>
      </c>
      <c r="Q5803" s="345" t="s">
        <v>210</v>
      </c>
      <c r="R5803" s="345" t="s">
        <v>223</v>
      </c>
      <c r="S5803" s="345" t="s">
        <v>224</v>
      </c>
    </row>
    <row r="5804" spans="1:19" x14ac:dyDescent="0.25">
      <c r="A5804" s="311"/>
      <c r="B5804" s="312"/>
      <c r="C5804" s="312"/>
      <c r="D5804" s="312"/>
      <c r="E5804" s="312"/>
      <c r="F5804" s="312"/>
      <c r="G5804" s="328"/>
      <c r="H5804" s="453"/>
      <c r="I5804" s="334"/>
      <c r="J5804" s="314"/>
      <c r="K5804" s="454"/>
      <c r="M5804" s="349" t="str">
        <f>N5804&amp;AS[[#This Row],[Insurer Code]]&amp;"; "&amp;O5804&amp;AS[[#This Row],[Reporting Year]]&amp;"; "&amp;P5804&amp;AS[[#This Row],[Insurance Category Code]]&amp;"; "&amp;Q5804&amp;AS[[#This Row],[Large Provider Entity Code]]&amp;"; "&amp;R5804&amp;AS[[#This Row],[Age Band Code]]&amp;"; "&amp;S5804&amp;AS[[#This Row],[Sex Code]]</f>
        <v xml:space="preserve">Insurer Code ; Reporting Year ; Insurance Category Code ; Large Provider Entity Code ; Age Band Code ; Sex Code </v>
      </c>
      <c r="N5804" s="345" t="s">
        <v>207</v>
      </c>
      <c r="O5804" s="345" t="s">
        <v>208</v>
      </c>
      <c r="P5804" s="345" t="s">
        <v>209</v>
      </c>
      <c r="Q5804" s="345" t="s">
        <v>210</v>
      </c>
      <c r="R5804" s="345" t="s">
        <v>223</v>
      </c>
      <c r="S5804" s="345" t="s">
        <v>224</v>
      </c>
    </row>
    <row r="5805" spans="1:19" x14ac:dyDescent="0.25">
      <c r="A5805" s="311"/>
      <c r="B5805" s="312"/>
      <c r="C5805" s="312"/>
      <c r="D5805" s="312"/>
      <c r="E5805" s="312"/>
      <c r="F5805" s="312"/>
      <c r="G5805" s="328"/>
      <c r="H5805" s="453"/>
      <c r="I5805" s="334"/>
      <c r="J5805" s="314"/>
      <c r="K5805" s="454"/>
      <c r="M5805" s="349" t="str">
        <f>N5805&amp;AS[[#This Row],[Insurer Code]]&amp;"; "&amp;O5805&amp;AS[[#This Row],[Reporting Year]]&amp;"; "&amp;P5805&amp;AS[[#This Row],[Insurance Category Code]]&amp;"; "&amp;Q5805&amp;AS[[#This Row],[Large Provider Entity Code]]&amp;"; "&amp;R5805&amp;AS[[#This Row],[Age Band Code]]&amp;"; "&amp;S5805&amp;AS[[#This Row],[Sex Code]]</f>
        <v xml:space="preserve">Insurer Code ; Reporting Year ; Insurance Category Code ; Large Provider Entity Code ; Age Band Code ; Sex Code </v>
      </c>
      <c r="N5805" s="345" t="s">
        <v>207</v>
      </c>
      <c r="O5805" s="345" t="s">
        <v>208</v>
      </c>
      <c r="P5805" s="345" t="s">
        <v>209</v>
      </c>
      <c r="Q5805" s="345" t="s">
        <v>210</v>
      </c>
      <c r="R5805" s="345" t="s">
        <v>223</v>
      </c>
      <c r="S5805" s="345" t="s">
        <v>224</v>
      </c>
    </row>
    <row r="5806" spans="1:19" x14ac:dyDescent="0.25">
      <c r="A5806" s="311"/>
      <c r="B5806" s="312"/>
      <c r="C5806" s="312"/>
      <c r="D5806" s="312"/>
      <c r="E5806" s="312"/>
      <c r="F5806" s="312"/>
      <c r="G5806" s="328"/>
      <c r="H5806" s="453"/>
      <c r="I5806" s="334"/>
      <c r="J5806" s="314"/>
      <c r="K5806" s="454"/>
      <c r="M5806" s="349" t="str">
        <f>N5806&amp;AS[[#This Row],[Insurer Code]]&amp;"; "&amp;O5806&amp;AS[[#This Row],[Reporting Year]]&amp;"; "&amp;P5806&amp;AS[[#This Row],[Insurance Category Code]]&amp;"; "&amp;Q5806&amp;AS[[#This Row],[Large Provider Entity Code]]&amp;"; "&amp;R5806&amp;AS[[#This Row],[Age Band Code]]&amp;"; "&amp;S5806&amp;AS[[#This Row],[Sex Code]]</f>
        <v xml:space="preserve">Insurer Code ; Reporting Year ; Insurance Category Code ; Large Provider Entity Code ; Age Band Code ; Sex Code </v>
      </c>
      <c r="N5806" s="345" t="s">
        <v>207</v>
      </c>
      <c r="O5806" s="345" t="s">
        <v>208</v>
      </c>
      <c r="P5806" s="345" t="s">
        <v>209</v>
      </c>
      <c r="Q5806" s="345" t="s">
        <v>210</v>
      </c>
      <c r="R5806" s="345" t="s">
        <v>223</v>
      </c>
      <c r="S5806" s="345" t="s">
        <v>224</v>
      </c>
    </row>
    <row r="5807" spans="1:19" x14ac:dyDescent="0.25">
      <c r="A5807" s="311"/>
      <c r="B5807" s="312"/>
      <c r="C5807" s="312"/>
      <c r="D5807" s="312"/>
      <c r="E5807" s="312"/>
      <c r="F5807" s="312"/>
      <c r="G5807" s="328"/>
      <c r="H5807" s="453"/>
      <c r="I5807" s="334"/>
      <c r="J5807" s="314"/>
      <c r="K5807" s="454"/>
      <c r="M5807" s="349" t="str">
        <f>N5807&amp;AS[[#This Row],[Insurer Code]]&amp;"; "&amp;O5807&amp;AS[[#This Row],[Reporting Year]]&amp;"; "&amp;P5807&amp;AS[[#This Row],[Insurance Category Code]]&amp;"; "&amp;Q5807&amp;AS[[#This Row],[Large Provider Entity Code]]&amp;"; "&amp;R5807&amp;AS[[#This Row],[Age Band Code]]&amp;"; "&amp;S5807&amp;AS[[#This Row],[Sex Code]]</f>
        <v xml:space="preserve">Insurer Code ; Reporting Year ; Insurance Category Code ; Large Provider Entity Code ; Age Band Code ; Sex Code </v>
      </c>
      <c r="N5807" s="345" t="s">
        <v>207</v>
      </c>
      <c r="O5807" s="345" t="s">
        <v>208</v>
      </c>
      <c r="P5807" s="345" t="s">
        <v>209</v>
      </c>
      <c r="Q5807" s="345" t="s">
        <v>210</v>
      </c>
      <c r="R5807" s="345" t="s">
        <v>223</v>
      </c>
      <c r="S5807" s="345" t="s">
        <v>224</v>
      </c>
    </row>
    <row r="5808" spans="1:19" x14ac:dyDescent="0.25">
      <c r="A5808" s="311"/>
      <c r="B5808" s="312"/>
      <c r="C5808" s="312"/>
      <c r="D5808" s="312"/>
      <c r="E5808" s="312"/>
      <c r="F5808" s="312"/>
      <c r="G5808" s="328"/>
      <c r="H5808" s="453"/>
      <c r="I5808" s="334"/>
      <c r="J5808" s="314"/>
      <c r="K5808" s="454"/>
      <c r="M5808" s="349" t="str">
        <f>N5808&amp;AS[[#This Row],[Insurer Code]]&amp;"; "&amp;O5808&amp;AS[[#This Row],[Reporting Year]]&amp;"; "&amp;P5808&amp;AS[[#This Row],[Insurance Category Code]]&amp;"; "&amp;Q5808&amp;AS[[#This Row],[Large Provider Entity Code]]&amp;"; "&amp;R5808&amp;AS[[#This Row],[Age Band Code]]&amp;"; "&amp;S5808&amp;AS[[#This Row],[Sex Code]]</f>
        <v xml:space="preserve">Insurer Code ; Reporting Year ; Insurance Category Code ; Large Provider Entity Code ; Age Band Code ; Sex Code </v>
      </c>
      <c r="N5808" s="345" t="s">
        <v>207</v>
      </c>
      <c r="O5808" s="345" t="s">
        <v>208</v>
      </c>
      <c r="P5808" s="345" t="s">
        <v>209</v>
      </c>
      <c r="Q5808" s="345" t="s">
        <v>210</v>
      </c>
      <c r="R5808" s="345" t="s">
        <v>223</v>
      </c>
      <c r="S5808" s="345" t="s">
        <v>224</v>
      </c>
    </row>
    <row r="5809" spans="1:19" x14ac:dyDescent="0.25">
      <c r="A5809" s="311"/>
      <c r="B5809" s="312"/>
      <c r="C5809" s="312"/>
      <c r="D5809" s="312"/>
      <c r="E5809" s="312"/>
      <c r="F5809" s="312"/>
      <c r="G5809" s="328"/>
      <c r="H5809" s="453"/>
      <c r="I5809" s="334"/>
      <c r="J5809" s="314"/>
      <c r="K5809" s="454"/>
      <c r="M5809" s="349" t="str">
        <f>N5809&amp;AS[[#This Row],[Insurer Code]]&amp;"; "&amp;O5809&amp;AS[[#This Row],[Reporting Year]]&amp;"; "&amp;P5809&amp;AS[[#This Row],[Insurance Category Code]]&amp;"; "&amp;Q5809&amp;AS[[#This Row],[Large Provider Entity Code]]&amp;"; "&amp;R5809&amp;AS[[#This Row],[Age Band Code]]&amp;"; "&amp;S5809&amp;AS[[#This Row],[Sex Code]]</f>
        <v xml:space="preserve">Insurer Code ; Reporting Year ; Insurance Category Code ; Large Provider Entity Code ; Age Band Code ; Sex Code </v>
      </c>
      <c r="N5809" s="345" t="s">
        <v>207</v>
      </c>
      <c r="O5809" s="345" t="s">
        <v>208</v>
      </c>
      <c r="P5809" s="345" t="s">
        <v>209</v>
      </c>
      <c r="Q5809" s="345" t="s">
        <v>210</v>
      </c>
      <c r="R5809" s="345" t="s">
        <v>223</v>
      </c>
      <c r="S5809" s="345" t="s">
        <v>224</v>
      </c>
    </row>
    <row r="5810" spans="1:19" x14ac:dyDescent="0.25">
      <c r="A5810" s="311"/>
      <c r="B5810" s="312"/>
      <c r="C5810" s="312"/>
      <c r="D5810" s="312"/>
      <c r="E5810" s="312"/>
      <c r="F5810" s="312"/>
      <c r="G5810" s="328"/>
      <c r="H5810" s="453"/>
      <c r="I5810" s="334"/>
      <c r="J5810" s="314"/>
      <c r="K5810" s="454"/>
      <c r="M5810" s="349" t="str">
        <f>N5810&amp;AS[[#This Row],[Insurer Code]]&amp;"; "&amp;O5810&amp;AS[[#This Row],[Reporting Year]]&amp;"; "&amp;P5810&amp;AS[[#This Row],[Insurance Category Code]]&amp;"; "&amp;Q5810&amp;AS[[#This Row],[Large Provider Entity Code]]&amp;"; "&amp;R5810&amp;AS[[#This Row],[Age Band Code]]&amp;"; "&amp;S5810&amp;AS[[#This Row],[Sex Code]]</f>
        <v xml:space="preserve">Insurer Code ; Reporting Year ; Insurance Category Code ; Large Provider Entity Code ; Age Band Code ; Sex Code </v>
      </c>
      <c r="N5810" s="345" t="s">
        <v>207</v>
      </c>
      <c r="O5810" s="345" t="s">
        <v>208</v>
      </c>
      <c r="P5810" s="345" t="s">
        <v>209</v>
      </c>
      <c r="Q5810" s="345" t="s">
        <v>210</v>
      </c>
      <c r="R5810" s="345" t="s">
        <v>223</v>
      </c>
      <c r="S5810" s="345" t="s">
        <v>224</v>
      </c>
    </row>
    <row r="5811" spans="1:19" x14ac:dyDescent="0.25">
      <c r="A5811" s="311"/>
      <c r="B5811" s="312"/>
      <c r="C5811" s="312"/>
      <c r="D5811" s="312"/>
      <c r="E5811" s="312"/>
      <c r="F5811" s="312"/>
      <c r="G5811" s="328"/>
      <c r="H5811" s="453"/>
      <c r="I5811" s="334"/>
      <c r="J5811" s="314"/>
      <c r="K5811" s="454"/>
      <c r="M5811" s="349" t="str">
        <f>N5811&amp;AS[[#This Row],[Insurer Code]]&amp;"; "&amp;O5811&amp;AS[[#This Row],[Reporting Year]]&amp;"; "&amp;P5811&amp;AS[[#This Row],[Insurance Category Code]]&amp;"; "&amp;Q5811&amp;AS[[#This Row],[Large Provider Entity Code]]&amp;"; "&amp;R5811&amp;AS[[#This Row],[Age Band Code]]&amp;"; "&amp;S5811&amp;AS[[#This Row],[Sex Code]]</f>
        <v xml:space="preserve">Insurer Code ; Reporting Year ; Insurance Category Code ; Large Provider Entity Code ; Age Band Code ; Sex Code </v>
      </c>
      <c r="N5811" s="345" t="s">
        <v>207</v>
      </c>
      <c r="O5811" s="345" t="s">
        <v>208</v>
      </c>
      <c r="P5811" s="345" t="s">
        <v>209</v>
      </c>
      <c r="Q5811" s="345" t="s">
        <v>210</v>
      </c>
      <c r="R5811" s="345" t="s">
        <v>223</v>
      </c>
      <c r="S5811" s="345" t="s">
        <v>224</v>
      </c>
    </row>
    <row r="5812" spans="1:19" x14ac:dyDescent="0.25">
      <c r="A5812" s="311"/>
      <c r="B5812" s="312"/>
      <c r="C5812" s="312"/>
      <c r="D5812" s="312"/>
      <c r="E5812" s="312"/>
      <c r="F5812" s="312"/>
      <c r="G5812" s="328"/>
      <c r="H5812" s="453"/>
      <c r="I5812" s="334"/>
      <c r="J5812" s="314"/>
      <c r="K5812" s="454"/>
      <c r="M5812" s="349" t="str">
        <f>N5812&amp;AS[[#This Row],[Insurer Code]]&amp;"; "&amp;O5812&amp;AS[[#This Row],[Reporting Year]]&amp;"; "&amp;P5812&amp;AS[[#This Row],[Insurance Category Code]]&amp;"; "&amp;Q5812&amp;AS[[#This Row],[Large Provider Entity Code]]&amp;"; "&amp;R5812&amp;AS[[#This Row],[Age Band Code]]&amp;"; "&amp;S5812&amp;AS[[#This Row],[Sex Code]]</f>
        <v xml:space="preserve">Insurer Code ; Reporting Year ; Insurance Category Code ; Large Provider Entity Code ; Age Band Code ; Sex Code </v>
      </c>
      <c r="N5812" s="345" t="s">
        <v>207</v>
      </c>
      <c r="O5812" s="345" t="s">
        <v>208</v>
      </c>
      <c r="P5812" s="345" t="s">
        <v>209</v>
      </c>
      <c r="Q5812" s="345" t="s">
        <v>210</v>
      </c>
      <c r="R5812" s="345" t="s">
        <v>223</v>
      </c>
      <c r="S5812" s="345" t="s">
        <v>224</v>
      </c>
    </row>
    <row r="5813" spans="1:19" x14ac:dyDescent="0.25">
      <c r="A5813" s="311"/>
      <c r="B5813" s="312"/>
      <c r="C5813" s="312"/>
      <c r="D5813" s="312"/>
      <c r="E5813" s="312"/>
      <c r="F5813" s="312"/>
      <c r="G5813" s="328"/>
      <c r="H5813" s="453"/>
      <c r="I5813" s="334"/>
      <c r="J5813" s="314"/>
      <c r="K5813" s="454"/>
      <c r="M5813" s="349" t="str">
        <f>N5813&amp;AS[[#This Row],[Insurer Code]]&amp;"; "&amp;O5813&amp;AS[[#This Row],[Reporting Year]]&amp;"; "&amp;P5813&amp;AS[[#This Row],[Insurance Category Code]]&amp;"; "&amp;Q5813&amp;AS[[#This Row],[Large Provider Entity Code]]&amp;"; "&amp;R5813&amp;AS[[#This Row],[Age Band Code]]&amp;"; "&amp;S5813&amp;AS[[#This Row],[Sex Code]]</f>
        <v xml:space="preserve">Insurer Code ; Reporting Year ; Insurance Category Code ; Large Provider Entity Code ; Age Band Code ; Sex Code </v>
      </c>
      <c r="N5813" s="345" t="s">
        <v>207</v>
      </c>
      <c r="O5813" s="345" t="s">
        <v>208</v>
      </c>
      <c r="P5813" s="345" t="s">
        <v>209</v>
      </c>
      <c r="Q5813" s="345" t="s">
        <v>210</v>
      </c>
      <c r="R5813" s="345" t="s">
        <v>223</v>
      </c>
      <c r="S5813" s="345" t="s">
        <v>224</v>
      </c>
    </row>
    <row r="5814" spans="1:19" x14ac:dyDescent="0.25">
      <c r="A5814" s="311"/>
      <c r="B5814" s="312"/>
      <c r="C5814" s="312"/>
      <c r="D5814" s="312"/>
      <c r="E5814" s="312"/>
      <c r="F5814" s="312"/>
      <c r="G5814" s="328"/>
      <c r="H5814" s="453"/>
      <c r="I5814" s="334"/>
      <c r="J5814" s="314"/>
      <c r="K5814" s="454"/>
      <c r="M5814" s="349" t="str">
        <f>N5814&amp;AS[[#This Row],[Insurer Code]]&amp;"; "&amp;O5814&amp;AS[[#This Row],[Reporting Year]]&amp;"; "&amp;P5814&amp;AS[[#This Row],[Insurance Category Code]]&amp;"; "&amp;Q5814&amp;AS[[#This Row],[Large Provider Entity Code]]&amp;"; "&amp;R5814&amp;AS[[#This Row],[Age Band Code]]&amp;"; "&amp;S5814&amp;AS[[#This Row],[Sex Code]]</f>
        <v xml:space="preserve">Insurer Code ; Reporting Year ; Insurance Category Code ; Large Provider Entity Code ; Age Band Code ; Sex Code </v>
      </c>
      <c r="N5814" s="345" t="s">
        <v>207</v>
      </c>
      <c r="O5814" s="345" t="s">
        <v>208</v>
      </c>
      <c r="P5814" s="345" t="s">
        <v>209</v>
      </c>
      <c r="Q5814" s="345" t="s">
        <v>210</v>
      </c>
      <c r="R5814" s="345" t="s">
        <v>223</v>
      </c>
      <c r="S5814" s="345" t="s">
        <v>224</v>
      </c>
    </row>
    <row r="5815" spans="1:19" x14ac:dyDescent="0.25">
      <c r="A5815" s="311"/>
      <c r="B5815" s="312"/>
      <c r="C5815" s="312"/>
      <c r="D5815" s="312"/>
      <c r="E5815" s="312"/>
      <c r="F5815" s="312"/>
      <c r="G5815" s="328"/>
      <c r="H5815" s="453"/>
      <c r="I5815" s="334"/>
      <c r="J5815" s="314"/>
      <c r="K5815" s="454"/>
      <c r="M5815" s="349" t="str">
        <f>N5815&amp;AS[[#This Row],[Insurer Code]]&amp;"; "&amp;O5815&amp;AS[[#This Row],[Reporting Year]]&amp;"; "&amp;P5815&amp;AS[[#This Row],[Insurance Category Code]]&amp;"; "&amp;Q5815&amp;AS[[#This Row],[Large Provider Entity Code]]&amp;"; "&amp;R5815&amp;AS[[#This Row],[Age Band Code]]&amp;"; "&amp;S5815&amp;AS[[#This Row],[Sex Code]]</f>
        <v xml:space="preserve">Insurer Code ; Reporting Year ; Insurance Category Code ; Large Provider Entity Code ; Age Band Code ; Sex Code </v>
      </c>
      <c r="N5815" s="345" t="s">
        <v>207</v>
      </c>
      <c r="O5815" s="345" t="s">
        <v>208</v>
      </c>
      <c r="P5815" s="345" t="s">
        <v>209</v>
      </c>
      <c r="Q5815" s="345" t="s">
        <v>210</v>
      </c>
      <c r="R5815" s="345" t="s">
        <v>223</v>
      </c>
      <c r="S5815" s="345" t="s">
        <v>224</v>
      </c>
    </row>
    <row r="5816" spans="1:19" x14ac:dyDescent="0.25">
      <c r="A5816" s="311"/>
      <c r="B5816" s="312"/>
      <c r="C5816" s="312"/>
      <c r="D5816" s="312"/>
      <c r="E5816" s="312"/>
      <c r="F5816" s="312"/>
      <c r="G5816" s="328"/>
      <c r="H5816" s="453"/>
      <c r="I5816" s="334"/>
      <c r="J5816" s="314"/>
      <c r="K5816" s="454"/>
      <c r="M5816" s="349" t="str">
        <f>N5816&amp;AS[[#This Row],[Insurer Code]]&amp;"; "&amp;O5816&amp;AS[[#This Row],[Reporting Year]]&amp;"; "&amp;P5816&amp;AS[[#This Row],[Insurance Category Code]]&amp;"; "&amp;Q5816&amp;AS[[#This Row],[Large Provider Entity Code]]&amp;"; "&amp;R5816&amp;AS[[#This Row],[Age Band Code]]&amp;"; "&amp;S5816&amp;AS[[#This Row],[Sex Code]]</f>
        <v xml:space="preserve">Insurer Code ; Reporting Year ; Insurance Category Code ; Large Provider Entity Code ; Age Band Code ; Sex Code </v>
      </c>
      <c r="N5816" s="345" t="s">
        <v>207</v>
      </c>
      <c r="O5816" s="345" t="s">
        <v>208</v>
      </c>
      <c r="P5816" s="345" t="s">
        <v>209</v>
      </c>
      <c r="Q5816" s="345" t="s">
        <v>210</v>
      </c>
      <c r="R5816" s="345" t="s">
        <v>223</v>
      </c>
      <c r="S5816" s="345" t="s">
        <v>224</v>
      </c>
    </row>
    <row r="5817" spans="1:19" x14ac:dyDescent="0.25">
      <c r="A5817" s="311"/>
      <c r="B5817" s="312"/>
      <c r="C5817" s="312"/>
      <c r="D5817" s="312"/>
      <c r="E5817" s="312"/>
      <c r="F5817" s="312"/>
      <c r="G5817" s="328"/>
      <c r="H5817" s="453"/>
      <c r="I5817" s="334"/>
      <c r="J5817" s="314"/>
      <c r="K5817" s="454"/>
      <c r="M5817" s="349" t="str">
        <f>N5817&amp;AS[[#This Row],[Insurer Code]]&amp;"; "&amp;O5817&amp;AS[[#This Row],[Reporting Year]]&amp;"; "&amp;P5817&amp;AS[[#This Row],[Insurance Category Code]]&amp;"; "&amp;Q5817&amp;AS[[#This Row],[Large Provider Entity Code]]&amp;"; "&amp;R5817&amp;AS[[#This Row],[Age Band Code]]&amp;"; "&amp;S5817&amp;AS[[#This Row],[Sex Code]]</f>
        <v xml:space="preserve">Insurer Code ; Reporting Year ; Insurance Category Code ; Large Provider Entity Code ; Age Band Code ; Sex Code </v>
      </c>
      <c r="N5817" s="345" t="s">
        <v>207</v>
      </c>
      <c r="O5817" s="345" t="s">
        <v>208</v>
      </c>
      <c r="P5817" s="345" t="s">
        <v>209</v>
      </c>
      <c r="Q5817" s="345" t="s">
        <v>210</v>
      </c>
      <c r="R5817" s="345" t="s">
        <v>223</v>
      </c>
      <c r="S5817" s="345" t="s">
        <v>224</v>
      </c>
    </row>
    <row r="5818" spans="1:19" x14ac:dyDescent="0.25">
      <c r="A5818" s="311"/>
      <c r="B5818" s="312"/>
      <c r="C5818" s="312"/>
      <c r="D5818" s="312"/>
      <c r="E5818" s="312"/>
      <c r="F5818" s="312"/>
      <c r="G5818" s="328"/>
      <c r="H5818" s="453"/>
      <c r="I5818" s="334"/>
      <c r="J5818" s="314"/>
      <c r="K5818" s="454"/>
      <c r="M5818" s="349" t="str">
        <f>N5818&amp;AS[[#This Row],[Insurer Code]]&amp;"; "&amp;O5818&amp;AS[[#This Row],[Reporting Year]]&amp;"; "&amp;P5818&amp;AS[[#This Row],[Insurance Category Code]]&amp;"; "&amp;Q5818&amp;AS[[#This Row],[Large Provider Entity Code]]&amp;"; "&amp;R5818&amp;AS[[#This Row],[Age Band Code]]&amp;"; "&amp;S5818&amp;AS[[#This Row],[Sex Code]]</f>
        <v xml:space="preserve">Insurer Code ; Reporting Year ; Insurance Category Code ; Large Provider Entity Code ; Age Band Code ; Sex Code </v>
      </c>
      <c r="N5818" s="345" t="s">
        <v>207</v>
      </c>
      <c r="O5818" s="345" t="s">
        <v>208</v>
      </c>
      <c r="P5818" s="345" t="s">
        <v>209</v>
      </c>
      <c r="Q5818" s="345" t="s">
        <v>210</v>
      </c>
      <c r="R5818" s="345" t="s">
        <v>223</v>
      </c>
      <c r="S5818" s="345" t="s">
        <v>224</v>
      </c>
    </row>
    <row r="5819" spans="1:19" x14ac:dyDescent="0.25">
      <c r="A5819" s="311"/>
      <c r="B5819" s="312"/>
      <c r="C5819" s="312"/>
      <c r="D5819" s="312"/>
      <c r="E5819" s="312"/>
      <c r="F5819" s="312"/>
      <c r="G5819" s="328"/>
      <c r="H5819" s="453"/>
      <c r="I5819" s="334"/>
      <c r="J5819" s="314"/>
      <c r="K5819" s="454"/>
      <c r="M5819" s="349" t="str">
        <f>N5819&amp;AS[[#This Row],[Insurer Code]]&amp;"; "&amp;O5819&amp;AS[[#This Row],[Reporting Year]]&amp;"; "&amp;P5819&amp;AS[[#This Row],[Insurance Category Code]]&amp;"; "&amp;Q5819&amp;AS[[#This Row],[Large Provider Entity Code]]&amp;"; "&amp;R5819&amp;AS[[#This Row],[Age Band Code]]&amp;"; "&amp;S5819&amp;AS[[#This Row],[Sex Code]]</f>
        <v xml:space="preserve">Insurer Code ; Reporting Year ; Insurance Category Code ; Large Provider Entity Code ; Age Band Code ; Sex Code </v>
      </c>
      <c r="N5819" s="345" t="s">
        <v>207</v>
      </c>
      <c r="O5819" s="345" t="s">
        <v>208</v>
      </c>
      <c r="P5819" s="345" t="s">
        <v>209</v>
      </c>
      <c r="Q5819" s="345" t="s">
        <v>210</v>
      </c>
      <c r="R5819" s="345" t="s">
        <v>223</v>
      </c>
      <c r="S5819" s="345" t="s">
        <v>224</v>
      </c>
    </row>
    <row r="5820" spans="1:19" x14ac:dyDescent="0.25">
      <c r="A5820" s="311"/>
      <c r="B5820" s="312"/>
      <c r="C5820" s="312"/>
      <c r="D5820" s="312"/>
      <c r="E5820" s="312"/>
      <c r="F5820" s="312"/>
      <c r="G5820" s="328"/>
      <c r="H5820" s="453"/>
      <c r="I5820" s="334"/>
      <c r="J5820" s="314"/>
      <c r="K5820" s="454"/>
      <c r="M5820" s="349" t="str">
        <f>N5820&amp;AS[[#This Row],[Insurer Code]]&amp;"; "&amp;O5820&amp;AS[[#This Row],[Reporting Year]]&amp;"; "&amp;P5820&amp;AS[[#This Row],[Insurance Category Code]]&amp;"; "&amp;Q5820&amp;AS[[#This Row],[Large Provider Entity Code]]&amp;"; "&amp;R5820&amp;AS[[#This Row],[Age Band Code]]&amp;"; "&amp;S5820&amp;AS[[#This Row],[Sex Code]]</f>
        <v xml:space="preserve">Insurer Code ; Reporting Year ; Insurance Category Code ; Large Provider Entity Code ; Age Band Code ; Sex Code </v>
      </c>
      <c r="N5820" s="345" t="s">
        <v>207</v>
      </c>
      <c r="O5820" s="345" t="s">
        <v>208</v>
      </c>
      <c r="P5820" s="345" t="s">
        <v>209</v>
      </c>
      <c r="Q5820" s="345" t="s">
        <v>210</v>
      </c>
      <c r="R5820" s="345" t="s">
        <v>223</v>
      </c>
      <c r="S5820" s="345" t="s">
        <v>224</v>
      </c>
    </row>
    <row r="5821" spans="1:19" x14ac:dyDescent="0.25">
      <c r="A5821" s="311"/>
      <c r="B5821" s="312"/>
      <c r="C5821" s="312"/>
      <c r="D5821" s="312"/>
      <c r="E5821" s="312"/>
      <c r="F5821" s="312"/>
      <c r="G5821" s="328"/>
      <c r="H5821" s="453"/>
      <c r="I5821" s="334"/>
      <c r="J5821" s="314"/>
      <c r="K5821" s="454"/>
      <c r="M5821" s="349" t="str">
        <f>N5821&amp;AS[[#This Row],[Insurer Code]]&amp;"; "&amp;O5821&amp;AS[[#This Row],[Reporting Year]]&amp;"; "&amp;P5821&amp;AS[[#This Row],[Insurance Category Code]]&amp;"; "&amp;Q5821&amp;AS[[#This Row],[Large Provider Entity Code]]&amp;"; "&amp;R5821&amp;AS[[#This Row],[Age Band Code]]&amp;"; "&amp;S5821&amp;AS[[#This Row],[Sex Code]]</f>
        <v xml:space="preserve">Insurer Code ; Reporting Year ; Insurance Category Code ; Large Provider Entity Code ; Age Band Code ; Sex Code </v>
      </c>
      <c r="N5821" s="345" t="s">
        <v>207</v>
      </c>
      <c r="O5821" s="345" t="s">
        <v>208</v>
      </c>
      <c r="P5821" s="345" t="s">
        <v>209</v>
      </c>
      <c r="Q5821" s="345" t="s">
        <v>210</v>
      </c>
      <c r="R5821" s="345" t="s">
        <v>223</v>
      </c>
      <c r="S5821" s="345" t="s">
        <v>224</v>
      </c>
    </row>
    <row r="5822" spans="1:19" x14ac:dyDescent="0.25">
      <c r="A5822" s="311"/>
      <c r="B5822" s="312"/>
      <c r="C5822" s="312"/>
      <c r="D5822" s="312"/>
      <c r="E5822" s="312"/>
      <c r="F5822" s="312"/>
      <c r="G5822" s="328"/>
      <c r="H5822" s="453"/>
      <c r="I5822" s="334"/>
      <c r="J5822" s="314"/>
      <c r="K5822" s="454"/>
      <c r="M5822" s="349" t="str">
        <f>N5822&amp;AS[[#This Row],[Insurer Code]]&amp;"; "&amp;O5822&amp;AS[[#This Row],[Reporting Year]]&amp;"; "&amp;P5822&amp;AS[[#This Row],[Insurance Category Code]]&amp;"; "&amp;Q5822&amp;AS[[#This Row],[Large Provider Entity Code]]&amp;"; "&amp;R5822&amp;AS[[#This Row],[Age Band Code]]&amp;"; "&amp;S5822&amp;AS[[#This Row],[Sex Code]]</f>
        <v xml:space="preserve">Insurer Code ; Reporting Year ; Insurance Category Code ; Large Provider Entity Code ; Age Band Code ; Sex Code </v>
      </c>
      <c r="N5822" s="345" t="s">
        <v>207</v>
      </c>
      <c r="O5822" s="345" t="s">
        <v>208</v>
      </c>
      <c r="P5822" s="345" t="s">
        <v>209</v>
      </c>
      <c r="Q5822" s="345" t="s">
        <v>210</v>
      </c>
      <c r="R5822" s="345" t="s">
        <v>223</v>
      </c>
      <c r="S5822" s="345" t="s">
        <v>224</v>
      </c>
    </row>
    <row r="5823" spans="1:19" x14ac:dyDescent="0.25">
      <c r="A5823" s="311"/>
      <c r="B5823" s="312"/>
      <c r="C5823" s="312"/>
      <c r="D5823" s="312"/>
      <c r="E5823" s="312"/>
      <c r="F5823" s="312"/>
      <c r="G5823" s="328"/>
      <c r="H5823" s="453"/>
      <c r="I5823" s="334"/>
      <c r="J5823" s="314"/>
      <c r="K5823" s="454"/>
      <c r="M5823" s="349" t="str">
        <f>N5823&amp;AS[[#This Row],[Insurer Code]]&amp;"; "&amp;O5823&amp;AS[[#This Row],[Reporting Year]]&amp;"; "&amp;P5823&amp;AS[[#This Row],[Insurance Category Code]]&amp;"; "&amp;Q5823&amp;AS[[#This Row],[Large Provider Entity Code]]&amp;"; "&amp;R5823&amp;AS[[#This Row],[Age Band Code]]&amp;"; "&amp;S5823&amp;AS[[#This Row],[Sex Code]]</f>
        <v xml:space="preserve">Insurer Code ; Reporting Year ; Insurance Category Code ; Large Provider Entity Code ; Age Band Code ; Sex Code </v>
      </c>
      <c r="N5823" s="345" t="s">
        <v>207</v>
      </c>
      <c r="O5823" s="345" t="s">
        <v>208</v>
      </c>
      <c r="P5823" s="345" t="s">
        <v>209</v>
      </c>
      <c r="Q5823" s="345" t="s">
        <v>210</v>
      </c>
      <c r="R5823" s="345" t="s">
        <v>223</v>
      </c>
      <c r="S5823" s="345" t="s">
        <v>224</v>
      </c>
    </row>
    <row r="5824" spans="1:19" x14ac:dyDescent="0.25">
      <c r="A5824" s="311"/>
      <c r="B5824" s="312"/>
      <c r="C5824" s="312"/>
      <c r="D5824" s="312"/>
      <c r="E5824" s="312"/>
      <c r="F5824" s="312"/>
      <c r="G5824" s="328"/>
      <c r="H5824" s="453"/>
      <c r="I5824" s="334"/>
      <c r="J5824" s="314"/>
      <c r="K5824" s="454"/>
      <c r="M5824" s="349" t="str">
        <f>N5824&amp;AS[[#This Row],[Insurer Code]]&amp;"; "&amp;O5824&amp;AS[[#This Row],[Reporting Year]]&amp;"; "&amp;P5824&amp;AS[[#This Row],[Insurance Category Code]]&amp;"; "&amp;Q5824&amp;AS[[#This Row],[Large Provider Entity Code]]&amp;"; "&amp;R5824&amp;AS[[#This Row],[Age Band Code]]&amp;"; "&amp;S5824&amp;AS[[#This Row],[Sex Code]]</f>
        <v xml:space="preserve">Insurer Code ; Reporting Year ; Insurance Category Code ; Large Provider Entity Code ; Age Band Code ; Sex Code </v>
      </c>
      <c r="N5824" s="345" t="s">
        <v>207</v>
      </c>
      <c r="O5824" s="345" t="s">
        <v>208</v>
      </c>
      <c r="P5824" s="345" t="s">
        <v>209</v>
      </c>
      <c r="Q5824" s="345" t="s">
        <v>210</v>
      </c>
      <c r="R5824" s="345" t="s">
        <v>223</v>
      </c>
      <c r="S5824" s="345" t="s">
        <v>224</v>
      </c>
    </row>
    <row r="5825" spans="1:19" x14ac:dyDescent="0.25">
      <c r="A5825" s="311"/>
      <c r="B5825" s="312"/>
      <c r="C5825" s="312"/>
      <c r="D5825" s="312"/>
      <c r="E5825" s="312"/>
      <c r="F5825" s="312"/>
      <c r="G5825" s="328"/>
      <c r="H5825" s="453"/>
      <c r="I5825" s="334"/>
      <c r="J5825" s="314"/>
      <c r="K5825" s="454"/>
      <c r="M5825" s="349" t="str">
        <f>N5825&amp;AS[[#This Row],[Insurer Code]]&amp;"; "&amp;O5825&amp;AS[[#This Row],[Reporting Year]]&amp;"; "&amp;P5825&amp;AS[[#This Row],[Insurance Category Code]]&amp;"; "&amp;Q5825&amp;AS[[#This Row],[Large Provider Entity Code]]&amp;"; "&amp;R5825&amp;AS[[#This Row],[Age Band Code]]&amp;"; "&amp;S5825&amp;AS[[#This Row],[Sex Code]]</f>
        <v xml:space="preserve">Insurer Code ; Reporting Year ; Insurance Category Code ; Large Provider Entity Code ; Age Band Code ; Sex Code </v>
      </c>
      <c r="N5825" s="345" t="s">
        <v>207</v>
      </c>
      <c r="O5825" s="345" t="s">
        <v>208</v>
      </c>
      <c r="P5825" s="345" t="s">
        <v>209</v>
      </c>
      <c r="Q5825" s="345" t="s">
        <v>210</v>
      </c>
      <c r="R5825" s="345" t="s">
        <v>223</v>
      </c>
      <c r="S5825" s="345" t="s">
        <v>224</v>
      </c>
    </row>
    <row r="5826" spans="1:19" x14ac:dyDescent="0.25">
      <c r="A5826" s="311"/>
      <c r="B5826" s="312"/>
      <c r="C5826" s="312"/>
      <c r="D5826" s="312"/>
      <c r="E5826" s="312"/>
      <c r="F5826" s="312"/>
      <c r="G5826" s="328"/>
      <c r="H5826" s="453"/>
      <c r="I5826" s="334"/>
      <c r="J5826" s="314"/>
      <c r="K5826" s="454"/>
      <c r="M5826" s="349" t="str">
        <f>N5826&amp;AS[[#This Row],[Insurer Code]]&amp;"; "&amp;O5826&amp;AS[[#This Row],[Reporting Year]]&amp;"; "&amp;P5826&amp;AS[[#This Row],[Insurance Category Code]]&amp;"; "&amp;Q5826&amp;AS[[#This Row],[Large Provider Entity Code]]&amp;"; "&amp;R5826&amp;AS[[#This Row],[Age Band Code]]&amp;"; "&amp;S5826&amp;AS[[#This Row],[Sex Code]]</f>
        <v xml:space="preserve">Insurer Code ; Reporting Year ; Insurance Category Code ; Large Provider Entity Code ; Age Band Code ; Sex Code </v>
      </c>
      <c r="N5826" s="345" t="s">
        <v>207</v>
      </c>
      <c r="O5826" s="345" t="s">
        <v>208</v>
      </c>
      <c r="P5826" s="345" t="s">
        <v>209</v>
      </c>
      <c r="Q5826" s="345" t="s">
        <v>210</v>
      </c>
      <c r="R5826" s="345" t="s">
        <v>223</v>
      </c>
      <c r="S5826" s="345" t="s">
        <v>224</v>
      </c>
    </row>
    <row r="5827" spans="1:19" x14ac:dyDescent="0.25">
      <c r="A5827" s="311"/>
      <c r="B5827" s="312"/>
      <c r="C5827" s="312"/>
      <c r="D5827" s="312"/>
      <c r="E5827" s="312"/>
      <c r="F5827" s="312"/>
      <c r="G5827" s="328"/>
      <c r="H5827" s="453"/>
      <c r="I5827" s="334"/>
      <c r="J5827" s="314"/>
      <c r="K5827" s="454"/>
      <c r="M5827" s="349" t="str">
        <f>N5827&amp;AS[[#This Row],[Insurer Code]]&amp;"; "&amp;O5827&amp;AS[[#This Row],[Reporting Year]]&amp;"; "&amp;P5827&amp;AS[[#This Row],[Insurance Category Code]]&amp;"; "&amp;Q5827&amp;AS[[#This Row],[Large Provider Entity Code]]&amp;"; "&amp;R5827&amp;AS[[#This Row],[Age Band Code]]&amp;"; "&amp;S5827&amp;AS[[#This Row],[Sex Code]]</f>
        <v xml:space="preserve">Insurer Code ; Reporting Year ; Insurance Category Code ; Large Provider Entity Code ; Age Band Code ; Sex Code </v>
      </c>
      <c r="N5827" s="345" t="s">
        <v>207</v>
      </c>
      <c r="O5827" s="345" t="s">
        <v>208</v>
      </c>
      <c r="P5827" s="345" t="s">
        <v>209</v>
      </c>
      <c r="Q5827" s="345" t="s">
        <v>210</v>
      </c>
      <c r="R5827" s="345" t="s">
        <v>223</v>
      </c>
      <c r="S5827" s="345" t="s">
        <v>224</v>
      </c>
    </row>
    <row r="5828" spans="1:19" x14ac:dyDescent="0.25">
      <c r="A5828" s="311"/>
      <c r="B5828" s="312"/>
      <c r="C5828" s="312"/>
      <c r="D5828" s="312"/>
      <c r="E5828" s="312"/>
      <c r="F5828" s="312"/>
      <c r="G5828" s="328"/>
      <c r="H5828" s="453"/>
      <c r="I5828" s="334"/>
      <c r="J5828" s="314"/>
      <c r="K5828" s="454"/>
      <c r="M5828" s="349" t="str">
        <f>N5828&amp;AS[[#This Row],[Insurer Code]]&amp;"; "&amp;O5828&amp;AS[[#This Row],[Reporting Year]]&amp;"; "&amp;P5828&amp;AS[[#This Row],[Insurance Category Code]]&amp;"; "&amp;Q5828&amp;AS[[#This Row],[Large Provider Entity Code]]&amp;"; "&amp;R5828&amp;AS[[#This Row],[Age Band Code]]&amp;"; "&amp;S5828&amp;AS[[#This Row],[Sex Code]]</f>
        <v xml:space="preserve">Insurer Code ; Reporting Year ; Insurance Category Code ; Large Provider Entity Code ; Age Band Code ; Sex Code </v>
      </c>
      <c r="N5828" s="345" t="s">
        <v>207</v>
      </c>
      <c r="O5828" s="345" t="s">
        <v>208</v>
      </c>
      <c r="P5828" s="345" t="s">
        <v>209</v>
      </c>
      <c r="Q5828" s="345" t="s">
        <v>210</v>
      </c>
      <c r="R5828" s="345" t="s">
        <v>223</v>
      </c>
      <c r="S5828" s="345" t="s">
        <v>224</v>
      </c>
    </row>
    <row r="5829" spans="1:19" x14ac:dyDescent="0.25">
      <c r="A5829" s="311"/>
      <c r="B5829" s="312"/>
      <c r="C5829" s="312"/>
      <c r="D5829" s="312"/>
      <c r="E5829" s="312"/>
      <c r="F5829" s="312"/>
      <c r="G5829" s="328"/>
      <c r="H5829" s="453"/>
      <c r="I5829" s="334"/>
      <c r="J5829" s="314"/>
      <c r="K5829" s="454"/>
      <c r="M5829" s="349" t="str">
        <f>N5829&amp;AS[[#This Row],[Insurer Code]]&amp;"; "&amp;O5829&amp;AS[[#This Row],[Reporting Year]]&amp;"; "&amp;P5829&amp;AS[[#This Row],[Insurance Category Code]]&amp;"; "&amp;Q5829&amp;AS[[#This Row],[Large Provider Entity Code]]&amp;"; "&amp;R5829&amp;AS[[#This Row],[Age Band Code]]&amp;"; "&amp;S5829&amp;AS[[#This Row],[Sex Code]]</f>
        <v xml:space="preserve">Insurer Code ; Reporting Year ; Insurance Category Code ; Large Provider Entity Code ; Age Band Code ; Sex Code </v>
      </c>
      <c r="N5829" s="345" t="s">
        <v>207</v>
      </c>
      <c r="O5829" s="345" t="s">
        <v>208</v>
      </c>
      <c r="P5829" s="345" t="s">
        <v>209</v>
      </c>
      <c r="Q5829" s="345" t="s">
        <v>210</v>
      </c>
      <c r="R5829" s="345" t="s">
        <v>223</v>
      </c>
      <c r="S5829" s="345" t="s">
        <v>224</v>
      </c>
    </row>
    <row r="5830" spans="1:19" x14ac:dyDescent="0.25">
      <c r="A5830" s="311"/>
      <c r="B5830" s="312"/>
      <c r="C5830" s="312"/>
      <c r="D5830" s="312"/>
      <c r="E5830" s="312"/>
      <c r="F5830" s="312"/>
      <c r="G5830" s="328"/>
      <c r="H5830" s="453"/>
      <c r="I5830" s="334"/>
      <c r="J5830" s="314"/>
      <c r="K5830" s="454"/>
      <c r="M5830" s="349" t="str">
        <f>N5830&amp;AS[[#This Row],[Insurer Code]]&amp;"; "&amp;O5830&amp;AS[[#This Row],[Reporting Year]]&amp;"; "&amp;P5830&amp;AS[[#This Row],[Insurance Category Code]]&amp;"; "&amp;Q5830&amp;AS[[#This Row],[Large Provider Entity Code]]&amp;"; "&amp;R5830&amp;AS[[#This Row],[Age Band Code]]&amp;"; "&amp;S5830&amp;AS[[#This Row],[Sex Code]]</f>
        <v xml:space="preserve">Insurer Code ; Reporting Year ; Insurance Category Code ; Large Provider Entity Code ; Age Band Code ; Sex Code </v>
      </c>
      <c r="N5830" s="345" t="s">
        <v>207</v>
      </c>
      <c r="O5830" s="345" t="s">
        <v>208</v>
      </c>
      <c r="P5830" s="345" t="s">
        <v>209</v>
      </c>
      <c r="Q5830" s="345" t="s">
        <v>210</v>
      </c>
      <c r="R5830" s="345" t="s">
        <v>223</v>
      </c>
      <c r="S5830" s="345" t="s">
        <v>224</v>
      </c>
    </row>
    <row r="5831" spans="1:19" x14ac:dyDescent="0.25">
      <c r="A5831" s="311"/>
      <c r="B5831" s="312"/>
      <c r="C5831" s="312"/>
      <c r="D5831" s="312"/>
      <c r="E5831" s="312"/>
      <c r="F5831" s="312"/>
      <c r="G5831" s="328"/>
      <c r="H5831" s="453"/>
      <c r="I5831" s="334"/>
      <c r="J5831" s="314"/>
      <c r="K5831" s="454"/>
      <c r="M5831" s="349" t="str">
        <f>N5831&amp;AS[[#This Row],[Insurer Code]]&amp;"; "&amp;O5831&amp;AS[[#This Row],[Reporting Year]]&amp;"; "&amp;P5831&amp;AS[[#This Row],[Insurance Category Code]]&amp;"; "&amp;Q5831&amp;AS[[#This Row],[Large Provider Entity Code]]&amp;"; "&amp;R5831&amp;AS[[#This Row],[Age Band Code]]&amp;"; "&amp;S5831&amp;AS[[#This Row],[Sex Code]]</f>
        <v xml:space="preserve">Insurer Code ; Reporting Year ; Insurance Category Code ; Large Provider Entity Code ; Age Band Code ; Sex Code </v>
      </c>
      <c r="N5831" s="345" t="s">
        <v>207</v>
      </c>
      <c r="O5831" s="345" t="s">
        <v>208</v>
      </c>
      <c r="P5831" s="345" t="s">
        <v>209</v>
      </c>
      <c r="Q5831" s="345" t="s">
        <v>210</v>
      </c>
      <c r="R5831" s="345" t="s">
        <v>223</v>
      </c>
      <c r="S5831" s="345" t="s">
        <v>224</v>
      </c>
    </row>
    <row r="5832" spans="1:19" x14ac:dyDescent="0.25">
      <c r="A5832" s="311"/>
      <c r="B5832" s="312"/>
      <c r="C5832" s="312"/>
      <c r="D5832" s="312"/>
      <c r="E5832" s="312"/>
      <c r="F5832" s="312"/>
      <c r="G5832" s="328"/>
      <c r="H5832" s="453"/>
      <c r="I5832" s="334"/>
      <c r="J5832" s="314"/>
      <c r="K5832" s="454"/>
      <c r="M5832" s="349" t="str">
        <f>N5832&amp;AS[[#This Row],[Insurer Code]]&amp;"; "&amp;O5832&amp;AS[[#This Row],[Reporting Year]]&amp;"; "&amp;P5832&amp;AS[[#This Row],[Insurance Category Code]]&amp;"; "&amp;Q5832&amp;AS[[#This Row],[Large Provider Entity Code]]&amp;"; "&amp;R5832&amp;AS[[#This Row],[Age Band Code]]&amp;"; "&amp;S5832&amp;AS[[#This Row],[Sex Code]]</f>
        <v xml:space="preserve">Insurer Code ; Reporting Year ; Insurance Category Code ; Large Provider Entity Code ; Age Band Code ; Sex Code </v>
      </c>
      <c r="N5832" s="345" t="s">
        <v>207</v>
      </c>
      <c r="O5832" s="345" t="s">
        <v>208</v>
      </c>
      <c r="P5832" s="345" t="s">
        <v>209</v>
      </c>
      <c r="Q5832" s="345" t="s">
        <v>210</v>
      </c>
      <c r="R5832" s="345" t="s">
        <v>223</v>
      </c>
      <c r="S5832" s="345" t="s">
        <v>224</v>
      </c>
    </row>
    <row r="5833" spans="1:19" x14ac:dyDescent="0.25">
      <c r="A5833" s="311"/>
      <c r="B5833" s="312"/>
      <c r="C5833" s="312"/>
      <c r="D5833" s="312"/>
      <c r="E5833" s="312"/>
      <c r="F5833" s="312"/>
      <c r="G5833" s="328"/>
      <c r="H5833" s="453"/>
      <c r="I5833" s="334"/>
      <c r="J5833" s="314"/>
      <c r="K5833" s="454"/>
      <c r="M5833" s="349" t="str">
        <f>N5833&amp;AS[[#This Row],[Insurer Code]]&amp;"; "&amp;O5833&amp;AS[[#This Row],[Reporting Year]]&amp;"; "&amp;P5833&amp;AS[[#This Row],[Insurance Category Code]]&amp;"; "&amp;Q5833&amp;AS[[#This Row],[Large Provider Entity Code]]&amp;"; "&amp;R5833&amp;AS[[#This Row],[Age Band Code]]&amp;"; "&amp;S5833&amp;AS[[#This Row],[Sex Code]]</f>
        <v xml:space="preserve">Insurer Code ; Reporting Year ; Insurance Category Code ; Large Provider Entity Code ; Age Band Code ; Sex Code </v>
      </c>
      <c r="N5833" s="345" t="s">
        <v>207</v>
      </c>
      <c r="O5833" s="345" t="s">
        <v>208</v>
      </c>
      <c r="P5833" s="345" t="s">
        <v>209</v>
      </c>
      <c r="Q5833" s="345" t="s">
        <v>210</v>
      </c>
      <c r="R5833" s="345" t="s">
        <v>223</v>
      </c>
      <c r="S5833" s="345" t="s">
        <v>224</v>
      </c>
    </row>
    <row r="5834" spans="1:19" x14ac:dyDescent="0.25">
      <c r="A5834" s="311"/>
      <c r="B5834" s="312"/>
      <c r="C5834" s="312"/>
      <c r="D5834" s="312"/>
      <c r="E5834" s="312"/>
      <c r="F5834" s="312"/>
      <c r="G5834" s="328"/>
      <c r="H5834" s="453"/>
      <c r="I5834" s="334"/>
      <c r="J5834" s="314"/>
      <c r="K5834" s="454"/>
      <c r="M5834" s="349" t="str">
        <f>N5834&amp;AS[[#This Row],[Insurer Code]]&amp;"; "&amp;O5834&amp;AS[[#This Row],[Reporting Year]]&amp;"; "&amp;P5834&amp;AS[[#This Row],[Insurance Category Code]]&amp;"; "&amp;Q5834&amp;AS[[#This Row],[Large Provider Entity Code]]&amp;"; "&amp;R5834&amp;AS[[#This Row],[Age Band Code]]&amp;"; "&amp;S5834&amp;AS[[#This Row],[Sex Code]]</f>
        <v xml:space="preserve">Insurer Code ; Reporting Year ; Insurance Category Code ; Large Provider Entity Code ; Age Band Code ; Sex Code </v>
      </c>
      <c r="N5834" s="345" t="s">
        <v>207</v>
      </c>
      <c r="O5834" s="345" t="s">
        <v>208</v>
      </c>
      <c r="P5834" s="345" t="s">
        <v>209</v>
      </c>
      <c r="Q5834" s="345" t="s">
        <v>210</v>
      </c>
      <c r="R5834" s="345" t="s">
        <v>223</v>
      </c>
      <c r="S5834" s="345" t="s">
        <v>224</v>
      </c>
    </row>
    <row r="5835" spans="1:19" x14ac:dyDescent="0.25">
      <c r="A5835" s="311"/>
      <c r="B5835" s="312"/>
      <c r="C5835" s="312"/>
      <c r="D5835" s="312"/>
      <c r="E5835" s="312"/>
      <c r="F5835" s="312"/>
      <c r="G5835" s="328"/>
      <c r="H5835" s="453"/>
      <c r="I5835" s="334"/>
      <c r="J5835" s="314"/>
      <c r="K5835" s="454"/>
      <c r="M5835" s="349" t="str">
        <f>N5835&amp;AS[[#This Row],[Insurer Code]]&amp;"; "&amp;O5835&amp;AS[[#This Row],[Reporting Year]]&amp;"; "&amp;P5835&amp;AS[[#This Row],[Insurance Category Code]]&amp;"; "&amp;Q5835&amp;AS[[#This Row],[Large Provider Entity Code]]&amp;"; "&amp;R5835&amp;AS[[#This Row],[Age Band Code]]&amp;"; "&amp;S5835&amp;AS[[#This Row],[Sex Code]]</f>
        <v xml:space="preserve">Insurer Code ; Reporting Year ; Insurance Category Code ; Large Provider Entity Code ; Age Band Code ; Sex Code </v>
      </c>
      <c r="N5835" s="345" t="s">
        <v>207</v>
      </c>
      <c r="O5835" s="345" t="s">
        <v>208</v>
      </c>
      <c r="P5835" s="345" t="s">
        <v>209</v>
      </c>
      <c r="Q5835" s="345" t="s">
        <v>210</v>
      </c>
      <c r="R5835" s="345" t="s">
        <v>223</v>
      </c>
      <c r="S5835" s="345" t="s">
        <v>224</v>
      </c>
    </row>
    <row r="5836" spans="1:19" x14ac:dyDescent="0.25">
      <c r="A5836" s="311"/>
      <c r="B5836" s="312"/>
      <c r="C5836" s="312"/>
      <c r="D5836" s="312"/>
      <c r="E5836" s="312"/>
      <c r="F5836" s="312"/>
      <c r="G5836" s="328"/>
      <c r="H5836" s="453"/>
      <c r="I5836" s="334"/>
      <c r="J5836" s="314"/>
      <c r="K5836" s="454"/>
      <c r="M5836" s="349" t="str">
        <f>N5836&amp;AS[[#This Row],[Insurer Code]]&amp;"; "&amp;O5836&amp;AS[[#This Row],[Reporting Year]]&amp;"; "&amp;P5836&amp;AS[[#This Row],[Insurance Category Code]]&amp;"; "&amp;Q5836&amp;AS[[#This Row],[Large Provider Entity Code]]&amp;"; "&amp;R5836&amp;AS[[#This Row],[Age Band Code]]&amp;"; "&amp;S5836&amp;AS[[#This Row],[Sex Code]]</f>
        <v xml:space="preserve">Insurer Code ; Reporting Year ; Insurance Category Code ; Large Provider Entity Code ; Age Band Code ; Sex Code </v>
      </c>
      <c r="N5836" s="345" t="s">
        <v>207</v>
      </c>
      <c r="O5836" s="345" t="s">
        <v>208</v>
      </c>
      <c r="P5836" s="345" t="s">
        <v>209</v>
      </c>
      <c r="Q5836" s="345" t="s">
        <v>210</v>
      </c>
      <c r="R5836" s="345" t="s">
        <v>223</v>
      </c>
      <c r="S5836" s="345" t="s">
        <v>224</v>
      </c>
    </row>
    <row r="5837" spans="1:19" x14ac:dyDescent="0.25">
      <c r="A5837" s="311"/>
      <c r="B5837" s="312"/>
      <c r="C5837" s="312"/>
      <c r="D5837" s="312"/>
      <c r="E5837" s="312"/>
      <c r="F5837" s="312"/>
      <c r="G5837" s="328"/>
      <c r="H5837" s="453"/>
      <c r="I5837" s="334"/>
      <c r="J5837" s="314"/>
      <c r="K5837" s="454"/>
      <c r="M5837" s="349" t="str">
        <f>N5837&amp;AS[[#This Row],[Insurer Code]]&amp;"; "&amp;O5837&amp;AS[[#This Row],[Reporting Year]]&amp;"; "&amp;P5837&amp;AS[[#This Row],[Insurance Category Code]]&amp;"; "&amp;Q5837&amp;AS[[#This Row],[Large Provider Entity Code]]&amp;"; "&amp;R5837&amp;AS[[#This Row],[Age Band Code]]&amp;"; "&amp;S5837&amp;AS[[#This Row],[Sex Code]]</f>
        <v xml:space="preserve">Insurer Code ; Reporting Year ; Insurance Category Code ; Large Provider Entity Code ; Age Band Code ; Sex Code </v>
      </c>
      <c r="N5837" s="345" t="s">
        <v>207</v>
      </c>
      <c r="O5837" s="345" t="s">
        <v>208</v>
      </c>
      <c r="P5837" s="345" t="s">
        <v>209</v>
      </c>
      <c r="Q5837" s="345" t="s">
        <v>210</v>
      </c>
      <c r="R5837" s="345" t="s">
        <v>223</v>
      </c>
      <c r="S5837" s="345" t="s">
        <v>224</v>
      </c>
    </row>
    <row r="5838" spans="1:19" x14ac:dyDescent="0.25">
      <c r="A5838" s="311"/>
      <c r="B5838" s="312"/>
      <c r="C5838" s="312"/>
      <c r="D5838" s="312"/>
      <c r="E5838" s="312"/>
      <c r="F5838" s="312"/>
      <c r="G5838" s="328"/>
      <c r="H5838" s="453"/>
      <c r="I5838" s="334"/>
      <c r="J5838" s="314"/>
      <c r="K5838" s="454"/>
      <c r="M5838" s="349" t="str">
        <f>N5838&amp;AS[[#This Row],[Insurer Code]]&amp;"; "&amp;O5838&amp;AS[[#This Row],[Reporting Year]]&amp;"; "&amp;P5838&amp;AS[[#This Row],[Insurance Category Code]]&amp;"; "&amp;Q5838&amp;AS[[#This Row],[Large Provider Entity Code]]&amp;"; "&amp;R5838&amp;AS[[#This Row],[Age Band Code]]&amp;"; "&amp;S5838&amp;AS[[#This Row],[Sex Code]]</f>
        <v xml:space="preserve">Insurer Code ; Reporting Year ; Insurance Category Code ; Large Provider Entity Code ; Age Band Code ; Sex Code </v>
      </c>
      <c r="N5838" s="345" t="s">
        <v>207</v>
      </c>
      <c r="O5838" s="345" t="s">
        <v>208</v>
      </c>
      <c r="P5838" s="345" t="s">
        <v>209</v>
      </c>
      <c r="Q5838" s="345" t="s">
        <v>210</v>
      </c>
      <c r="R5838" s="345" t="s">
        <v>223</v>
      </c>
      <c r="S5838" s="345" t="s">
        <v>224</v>
      </c>
    </row>
    <row r="5839" spans="1:19" x14ac:dyDescent="0.25">
      <c r="A5839" s="311"/>
      <c r="B5839" s="312"/>
      <c r="C5839" s="312"/>
      <c r="D5839" s="312"/>
      <c r="E5839" s="312"/>
      <c r="F5839" s="312"/>
      <c r="G5839" s="328"/>
      <c r="H5839" s="453"/>
      <c r="I5839" s="334"/>
      <c r="J5839" s="314"/>
      <c r="K5839" s="454"/>
      <c r="M5839" s="349" t="str">
        <f>N5839&amp;AS[[#This Row],[Insurer Code]]&amp;"; "&amp;O5839&amp;AS[[#This Row],[Reporting Year]]&amp;"; "&amp;P5839&amp;AS[[#This Row],[Insurance Category Code]]&amp;"; "&amp;Q5839&amp;AS[[#This Row],[Large Provider Entity Code]]&amp;"; "&amp;R5839&amp;AS[[#This Row],[Age Band Code]]&amp;"; "&amp;S5839&amp;AS[[#This Row],[Sex Code]]</f>
        <v xml:space="preserve">Insurer Code ; Reporting Year ; Insurance Category Code ; Large Provider Entity Code ; Age Band Code ; Sex Code </v>
      </c>
      <c r="N5839" s="345" t="s">
        <v>207</v>
      </c>
      <c r="O5839" s="345" t="s">
        <v>208</v>
      </c>
      <c r="P5839" s="345" t="s">
        <v>209</v>
      </c>
      <c r="Q5839" s="345" t="s">
        <v>210</v>
      </c>
      <c r="R5839" s="345" t="s">
        <v>223</v>
      </c>
      <c r="S5839" s="345" t="s">
        <v>224</v>
      </c>
    </row>
    <row r="5840" spans="1:19" x14ac:dyDescent="0.25">
      <c r="A5840" s="311"/>
      <c r="B5840" s="312"/>
      <c r="C5840" s="312"/>
      <c r="D5840" s="312"/>
      <c r="E5840" s="312"/>
      <c r="F5840" s="312"/>
      <c r="G5840" s="328"/>
      <c r="H5840" s="453"/>
      <c r="I5840" s="334"/>
      <c r="J5840" s="314"/>
      <c r="K5840" s="454"/>
      <c r="M5840" s="349" t="str">
        <f>N5840&amp;AS[[#This Row],[Insurer Code]]&amp;"; "&amp;O5840&amp;AS[[#This Row],[Reporting Year]]&amp;"; "&amp;P5840&amp;AS[[#This Row],[Insurance Category Code]]&amp;"; "&amp;Q5840&amp;AS[[#This Row],[Large Provider Entity Code]]&amp;"; "&amp;R5840&amp;AS[[#This Row],[Age Band Code]]&amp;"; "&amp;S5840&amp;AS[[#This Row],[Sex Code]]</f>
        <v xml:space="preserve">Insurer Code ; Reporting Year ; Insurance Category Code ; Large Provider Entity Code ; Age Band Code ; Sex Code </v>
      </c>
      <c r="N5840" s="345" t="s">
        <v>207</v>
      </c>
      <c r="O5840" s="345" t="s">
        <v>208</v>
      </c>
      <c r="P5840" s="345" t="s">
        <v>209</v>
      </c>
      <c r="Q5840" s="345" t="s">
        <v>210</v>
      </c>
      <c r="R5840" s="345" t="s">
        <v>223</v>
      </c>
      <c r="S5840" s="345" t="s">
        <v>224</v>
      </c>
    </row>
    <row r="5841" spans="1:19" x14ac:dyDescent="0.25">
      <c r="A5841" s="311"/>
      <c r="B5841" s="312"/>
      <c r="C5841" s="312"/>
      <c r="D5841" s="312"/>
      <c r="E5841" s="312"/>
      <c r="F5841" s="312"/>
      <c r="G5841" s="328"/>
      <c r="H5841" s="453"/>
      <c r="I5841" s="334"/>
      <c r="J5841" s="314"/>
      <c r="K5841" s="454"/>
      <c r="M5841" s="349" t="str">
        <f>N5841&amp;AS[[#This Row],[Insurer Code]]&amp;"; "&amp;O5841&amp;AS[[#This Row],[Reporting Year]]&amp;"; "&amp;P5841&amp;AS[[#This Row],[Insurance Category Code]]&amp;"; "&amp;Q5841&amp;AS[[#This Row],[Large Provider Entity Code]]&amp;"; "&amp;R5841&amp;AS[[#This Row],[Age Band Code]]&amp;"; "&amp;S5841&amp;AS[[#This Row],[Sex Code]]</f>
        <v xml:space="preserve">Insurer Code ; Reporting Year ; Insurance Category Code ; Large Provider Entity Code ; Age Band Code ; Sex Code </v>
      </c>
      <c r="N5841" s="345" t="s">
        <v>207</v>
      </c>
      <c r="O5841" s="345" t="s">
        <v>208</v>
      </c>
      <c r="P5841" s="345" t="s">
        <v>209</v>
      </c>
      <c r="Q5841" s="345" t="s">
        <v>210</v>
      </c>
      <c r="R5841" s="345" t="s">
        <v>223</v>
      </c>
      <c r="S5841" s="345" t="s">
        <v>224</v>
      </c>
    </row>
    <row r="5842" spans="1:19" x14ac:dyDescent="0.25">
      <c r="A5842" s="311"/>
      <c r="B5842" s="312"/>
      <c r="C5842" s="312"/>
      <c r="D5842" s="312"/>
      <c r="E5842" s="312"/>
      <c r="F5842" s="312"/>
      <c r="G5842" s="328"/>
      <c r="H5842" s="453"/>
      <c r="I5842" s="334"/>
      <c r="J5842" s="314"/>
      <c r="K5842" s="454"/>
      <c r="M5842" s="349" t="str">
        <f>N5842&amp;AS[[#This Row],[Insurer Code]]&amp;"; "&amp;O5842&amp;AS[[#This Row],[Reporting Year]]&amp;"; "&amp;P5842&amp;AS[[#This Row],[Insurance Category Code]]&amp;"; "&amp;Q5842&amp;AS[[#This Row],[Large Provider Entity Code]]&amp;"; "&amp;R5842&amp;AS[[#This Row],[Age Band Code]]&amp;"; "&amp;S5842&amp;AS[[#This Row],[Sex Code]]</f>
        <v xml:space="preserve">Insurer Code ; Reporting Year ; Insurance Category Code ; Large Provider Entity Code ; Age Band Code ; Sex Code </v>
      </c>
      <c r="N5842" s="345" t="s">
        <v>207</v>
      </c>
      <c r="O5842" s="345" t="s">
        <v>208</v>
      </c>
      <c r="P5842" s="345" t="s">
        <v>209</v>
      </c>
      <c r="Q5842" s="345" t="s">
        <v>210</v>
      </c>
      <c r="R5842" s="345" t="s">
        <v>223</v>
      </c>
      <c r="S5842" s="345" t="s">
        <v>224</v>
      </c>
    </row>
    <row r="5843" spans="1:19" x14ac:dyDescent="0.25">
      <c r="A5843" s="311"/>
      <c r="B5843" s="312"/>
      <c r="C5843" s="312"/>
      <c r="D5843" s="312"/>
      <c r="E5843" s="312"/>
      <c r="F5843" s="312"/>
      <c r="G5843" s="328"/>
      <c r="H5843" s="453"/>
      <c r="I5843" s="334"/>
      <c r="J5843" s="314"/>
      <c r="K5843" s="454"/>
      <c r="M5843" s="349" t="str">
        <f>N5843&amp;AS[[#This Row],[Insurer Code]]&amp;"; "&amp;O5843&amp;AS[[#This Row],[Reporting Year]]&amp;"; "&amp;P5843&amp;AS[[#This Row],[Insurance Category Code]]&amp;"; "&amp;Q5843&amp;AS[[#This Row],[Large Provider Entity Code]]&amp;"; "&amp;R5843&amp;AS[[#This Row],[Age Band Code]]&amp;"; "&amp;S5843&amp;AS[[#This Row],[Sex Code]]</f>
        <v xml:space="preserve">Insurer Code ; Reporting Year ; Insurance Category Code ; Large Provider Entity Code ; Age Band Code ; Sex Code </v>
      </c>
      <c r="N5843" s="345" t="s">
        <v>207</v>
      </c>
      <c r="O5843" s="345" t="s">
        <v>208</v>
      </c>
      <c r="P5843" s="345" t="s">
        <v>209</v>
      </c>
      <c r="Q5843" s="345" t="s">
        <v>210</v>
      </c>
      <c r="R5843" s="345" t="s">
        <v>223</v>
      </c>
      <c r="S5843" s="345" t="s">
        <v>224</v>
      </c>
    </row>
    <row r="5844" spans="1:19" x14ac:dyDescent="0.25">
      <c r="A5844" s="311"/>
      <c r="B5844" s="312"/>
      <c r="C5844" s="312"/>
      <c r="D5844" s="312"/>
      <c r="E5844" s="312"/>
      <c r="F5844" s="312"/>
      <c r="G5844" s="328"/>
      <c r="H5844" s="453"/>
      <c r="I5844" s="334"/>
      <c r="J5844" s="314"/>
      <c r="K5844" s="454"/>
      <c r="M5844" s="349" t="str">
        <f>N5844&amp;AS[[#This Row],[Insurer Code]]&amp;"; "&amp;O5844&amp;AS[[#This Row],[Reporting Year]]&amp;"; "&amp;P5844&amp;AS[[#This Row],[Insurance Category Code]]&amp;"; "&amp;Q5844&amp;AS[[#This Row],[Large Provider Entity Code]]&amp;"; "&amp;R5844&amp;AS[[#This Row],[Age Band Code]]&amp;"; "&amp;S5844&amp;AS[[#This Row],[Sex Code]]</f>
        <v xml:space="preserve">Insurer Code ; Reporting Year ; Insurance Category Code ; Large Provider Entity Code ; Age Band Code ; Sex Code </v>
      </c>
      <c r="N5844" s="345" t="s">
        <v>207</v>
      </c>
      <c r="O5844" s="345" t="s">
        <v>208</v>
      </c>
      <c r="P5844" s="345" t="s">
        <v>209</v>
      </c>
      <c r="Q5844" s="345" t="s">
        <v>210</v>
      </c>
      <c r="R5844" s="345" t="s">
        <v>223</v>
      </c>
      <c r="S5844" s="345" t="s">
        <v>224</v>
      </c>
    </row>
    <row r="5845" spans="1:19" x14ac:dyDescent="0.25">
      <c r="A5845" s="311"/>
      <c r="B5845" s="312"/>
      <c r="C5845" s="312"/>
      <c r="D5845" s="312"/>
      <c r="E5845" s="312"/>
      <c r="F5845" s="312"/>
      <c r="G5845" s="328"/>
      <c r="H5845" s="453"/>
      <c r="I5845" s="334"/>
      <c r="J5845" s="314"/>
      <c r="K5845" s="454"/>
      <c r="M5845" s="349" t="str">
        <f>N5845&amp;AS[[#This Row],[Insurer Code]]&amp;"; "&amp;O5845&amp;AS[[#This Row],[Reporting Year]]&amp;"; "&amp;P5845&amp;AS[[#This Row],[Insurance Category Code]]&amp;"; "&amp;Q5845&amp;AS[[#This Row],[Large Provider Entity Code]]&amp;"; "&amp;R5845&amp;AS[[#This Row],[Age Band Code]]&amp;"; "&amp;S5845&amp;AS[[#This Row],[Sex Code]]</f>
        <v xml:space="preserve">Insurer Code ; Reporting Year ; Insurance Category Code ; Large Provider Entity Code ; Age Band Code ; Sex Code </v>
      </c>
      <c r="N5845" s="345" t="s">
        <v>207</v>
      </c>
      <c r="O5845" s="345" t="s">
        <v>208</v>
      </c>
      <c r="P5845" s="345" t="s">
        <v>209</v>
      </c>
      <c r="Q5845" s="345" t="s">
        <v>210</v>
      </c>
      <c r="R5845" s="345" t="s">
        <v>223</v>
      </c>
      <c r="S5845" s="345" t="s">
        <v>224</v>
      </c>
    </row>
    <row r="5846" spans="1:19" x14ac:dyDescent="0.25">
      <c r="A5846" s="311"/>
      <c r="B5846" s="312"/>
      <c r="C5846" s="312"/>
      <c r="D5846" s="312"/>
      <c r="E5846" s="312"/>
      <c r="F5846" s="312"/>
      <c r="G5846" s="328"/>
      <c r="H5846" s="453"/>
      <c r="I5846" s="334"/>
      <c r="J5846" s="314"/>
      <c r="K5846" s="454"/>
      <c r="M5846" s="349" t="str">
        <f>N5846&amp;AS[[#This Row],[Insurer Code]]&amp;"; "&amp;O5846&amp;AS[[#This Row],[Reporting Year]]&amp;"; "&amp;P5846&amp;AS[[#This Row],[Insurance Category Code]]&amp;"; "&amp;Q5846&amp;AS[[#This Row],[Large Provider Entity Code]]&amp;"; "&amp;R5846&amp;AS[[#This Row],[Age Band Code]]&amp;"; "&amp;S5846&amp;AS[[#This Row],[Sex Code]]</f>
        <v xml:space="preserve">Insurer Code ; Reporting Year ; Insurance Category Code ; Large Provider Entity Code ; Age Band Code ; Sex Code </v>
      </c>
      <c r="N5846" s="345" t="s">
        <v>207</v>
      </c>
      <c r="O5846" s="345" t="s">
        <v>208</v>
      </c>
      <c r="P5846" s="345" t="s">
        <v>209</v>
      </c>
      <c r="Q5846" s="345" t="s">
        <v>210</v>
      </c>
      <c r="R5846" s="345" t="s">
        <v>223</v>
      </c>
      <c r="S5846" s="345" t="s">
        <v>224</v>
      </c>
    </row>
    <row r="5847" spans="1:19" x14ac:dyDescent="0.25">
      <c r="A5847" s="311"/>
      <c r="B5847" s="312"/>
      <c r="C5847" s="312"/>
      <c r="D5847" s="312"/>
      <c r="E5847" s="312"/>
      <c r="F5847" s="312"/>
      <c r="G5847" s="328"/>
      <c r="H5847" s="453"/>
      <c r="I5847" s="334"/>
      <c r="J5847" s="314"/>
      <c r="K5847" s="454"/>
      <c r="M5847" s="349" t="str">
        <f>N5847&amp;AS[[#This Row],[Insurer Code]]&amp;"; "&amp;O5847&amp;AS[[#This Row],[Reporting Year]]&amp;"; "&amp;P5847&amp;AS[[#This Row],[Insurance Category Code]]&amp;"; "&amp;Q5847&amp;AS[[#This Row],[Large Provider Entity Code]]&amp;"; "&amp;R5847&amp;AS[[#This Row],[Age Band Code]]&amp;"; "&amp;S5847&amp;AS[[#This Row],[Sex Code]]</f>
        <v xml:space="preserve">Insurer Code ; Reporting Year ; Insurance Category Code ; Large Provider Entity Code ; Age Band Code ; Sex Code </v>
      </c>
      <c r="N5847" s="345" t="s">
        <v>207</v>
      </c>
      <c r="O5847" s="345" t="s">
        <v>208</v>
      </c>
      <c r="P5847" s="345" t="s">
        <v>209</v>
      </c>
      <c r="Q5847" s="345" t="s">
        <v>210</v>
      </c>
      <c r="R5847" s="345" t="s">
        <v>223</v>
      </c>
      <c r="S5847" s="345" t="s">
        <v>224</v>
      </c>
    </row>
    <row r="5848" spans="1:19" x14ac:dyDescent="0.25">
      <c r="A5848" s="311"/>
      <c r="B5848" s="312"/>
      <c r="C5848" s="312"/>
      <c r="D5848" s="312"/>
      <c r="E5848" s="312"/>
      <c r="F5848" s="312"/>
      <c r="G5848" s="328"/>
      <c r="H5848" s="453"/>
      <c r="I5848" s="334"/>
      <c r="J5848" s="314"/>
      <c r="K5848" s="454"/>
      <c r="M5848" s="349" t="str">
        <f>N5848&amp;AS[[#This Row],[Insurer Code]]&amp;"; "&amp;O5848&amp;AS[[#This Row],[Reporting Year]]&amp;"; "&amp;P5848&amp;AS[[#This Row],[Insurance Category Code]]&amp;"; "&amp;Q5848&amp;AS[[#This Row],[Large Provider Entity Code]]&amp;"; "&amp;R5848&amp;AS[[#This Row],[Age Band Code]]&amp;"; "&amp;S5848&amp;AS[[#This Row],[Sex Code]]</f>
        <v xml:space="preserve">Insurer Code ; Reporting Year ; Insurance Category Code ; Large Provider Entity Code ; Age Band Code ; Sex Code </v>
      </c>
      <c r="N5848" s="345" t="s">
        <v>207</v>
      </c>
      <c r="O5848" s="345" t="s">
        <v>208</v>
      </c>
      <c r="P5848" s="345" t="s">
        <v>209</v>
      </c>
      <c r="Q5848" s="345" t="s">
        <v>210</v>
      </c>
      <c r="R5848" s="345" t="s">
        <v>223</v>
      </c>
      <c r="S5848" s="345" t="s">
        <v>224</v>
      </c>
    </row>
    <row r="5849" spans="1:19" x14ac:dyDescent="0.25">
      <c r="A5849" s="311"/>
      <c r="B5849" s="312"/>
      <c r="C5849" s="312"/>
      <c r="D5849" s="312"/>
      <c r="E5849" s="312"/>
      <c r="F5849" s="312"/>
      <c r="G5849" s="328"/>
      <c r="H5849" s="453"/>
      <c r="I5849" s="334"/>
      <c r="J5849" s="314"/>
      <c r="K5849" s="454"/>
      <c r="M5849" s="349" t="str">
        <f>N5849&amp;AS[[#This Row],[Insurer Code]]&amp;"; "&amp;O5849&amp;AS[[#This Row],[Reporting Year]]&amp;"; "&amp;P5849&amp;AS[[#This Row],[Insurance Category Code]]&amp;"; "&amp;Q5849&amp;AS[[#This Row],[Large Provider Entity Code]]&amp;"; "&amp;R5849&amp;AS[[#This Row],[Age Band Code]]&amp;"; "&amp;S5849&amp;AS[[#This Row],[Sex Code]]</f>
        <v xml:space="preserve">Insurer Code ; Reporting Year ; Insurance Category Code ; Large Provider Entity Code ; Age Band Code ; Sex Code </v>
      </c>
      <c r="N5849" s="345" t="s">
        <v>207</v>
      </c>
      <c r="O5849" s="345" t="s">
        <v>208</v>
      </c>
      <c r="P5849" s="345" t="s">
        <v>209</v>
      </c>
      <c r="Q5849" s="345" t="s">
        <v>210</v>
      </c>
      <c r="R5849" s="345" t="s">
        <v>223</v>
      </c>
      <c r="S5849" s="345" t="s">
        <v>224</v>
      </c>
    </row>
    <row r="5850" spans="1:19" x14ac:dyDescent="0.25">
      <c r="A5850" s="311"/>
      <c r="B5850" s="312"/>
      <c r="C5850" s="312"/>
      <c r="D5850" s="312"/>
      <c r="E5850" s="312"/>
      <c r="F5850" s="312"/>
      <c r="G5850" s="328"/>
      <c r="H5850" s="453"/>
      <c r="I5850" s="334"/>
      <c r="J5850" s="314"/>
      <c r="K5850" s="454"/>
      <c r="M5850" s="349" t="str">
        <f>N5850&amp;AS[[#This Row],[Insurer Code]]&amp;"; "&amp;O5850&amp;AS[[#This Row],[Reporting Year]]&amp;"; "&amp;P5850&amp;AS[[#This Row],[Insurance Category Code]]&amp;"; "&amp;Q5850&amp;AS[[#This Row],[Large Provider Entity Code]]&amp;"; "&amp;R5850&amp;AS[[#This Row],[Age Band Code]]&amp;"; "&amp;S5850&amp;AS[[#This Row],[Sex Code]]</f>
        <v xml:space="preserve">Insurer Code ; Reporting Year ; Insurance Category Code ; Large Provider Entity Code ; Age Band Code ; Sex Code </v>
      </c>
      <c r="N5850" s="345" t="s">
        <v>207</v>
      </c>
      <c r="O5850" s="345" t="s">
        <v>208</v>
      </c>
      <c r="P5850" s="345" t="s">
        <v>209</v>
      </c>
      <c r="Q5850" s="345" t="s">
        <v>210</v>
      </c>
      <c r="R5850" s="345" t="s">
        <v>223</v>
      </c>
      <c r="S5850" s="345" t="s">
        <v>224</v>
      </c>
    </row>
    <row r="5851" spans="1:19" x14ac:dyDescent="0.25">
      <c r="A5851" s="311"/>
      <c r="B5851" s="312"/>
      <c r="C5851" s="312"/>
      <c r="D5851" s="312"/>
      <c r="E5851" s="312"/>
      <c r="F5851" s="312"/>
      <c r="G5851" s="328"/>
      <c r="H5851" s="453"/>
      <c r="I5851" s="334"/>
      <c r="J5851" s="314"/>
      <c r="K5851" s="454"/>
      <c r="M5851" s="349" t="str">
        <f>N5851&amp;AS[[#This Row],[Insurer Code]]&amp;"; "&amp;O5851&amp;AS[[#This Row],[Reporting Year]]&amp;"; "&amp;P5851&amp;AS[[#This Row],[Insurance Category Code]]&amp;"; "&amp;Q5851&amp;AS[[#This Row],[Large Provider Entity Code]]&amp;"; "&amp;R5851&amp;AS[[#This Row],[Age Band Code]]&amp;"; "&amp;S5851&amp;AS[[#This Row],[Sex Code]]</f>
        <v xml:space="preserve">Insurer Code ; Reporting Year ; Insurance Category Code ; Large Provider Entity Code ; Age Band Code ; Sex Code </v>
      </c>
      <c r="N5851" s="345" t="s">
        <v>207</v>
      </c>
      <c r="O5851" s="345" t="s">
        <v>208</v>
      </c>
      <c r="P5851" s="345" t="s">
        <v>209</v>
      </c>
      <c r="Q5851" s="345" t="s">
        <v>210</v>
      </c>
      <c r="R5851" s="345" t="s">
        <v>223</v>
      </c>
      <c r="S5851" s="345" t="s">
        <v>224</v>
      </c>
    </row>
    <row r="5852" spans="1:19" x14ac:dyDescent="0.25">
      <c r="A5852" s="311"/>
      <c r="B5852" s="312"/>
      <c r="C5852" s="312"/>
      <c r="D5852" s="312"/>
      <c r="E5852" s="312"/>
      <c r="F5852" s="312"/>
      <c r="G5852" s="328"/>
      <c r="H5852" s="453"/>
      <c r="I5852" s="334"/>
      <c r="J5852" s="314"/>
      <c r="K5852" s="454"/>
      <c r="M5852" s="349" t="str">
        <f>N5852&amp;AS[[#This Row],[Insurer Code]]&amp;"; "&amp;O5852&amp;AS[[#This Row],[Reporting Year]]&amp;"; "&amp;P5852&amp;AS[[#This Row],[Insurance Category Code]]&amp;"; "&amp;Q5852&amp;AS[[#This Row],[Large Provider Entity Code]]&amp;"; "&amp;R5852&amp;AS[[#This Row],[Age Band Code]]&amp;"; "&amp;S5852&amp;AS[[#This Row],[Sex Code]]</f>
        <v xml:space="preserve">Insurer Code ; Reporting Year ; Insurance Category Code ; Large Provider Entity Code ; Age Band Code ; Sex Code </v>
      </c>
      <c r="N5852" s="345" t="s">
        <v>207</v>
      </c>
      <c r="O5852" s="345" t="s">
        <v>208</v>
      </c>
      <c r="P5852" s="345" t="s">
        <v>209</v>
      </c>
      <c r="Q5852" s="345" t="s">
        <v>210</v>
      </c>
      <c r="R5852" s="345" t="s">
        <v>223</v>
      </c>
      <c r="S5852" s="345" t="s">
        <v>224</v>
      </c>
    </row>
    <row r="5853" spans="1:19" x14ac:dyDescent="0.25">
      <c r="A5853" s="311"/>
      <c r="B5853" s="312"/>
      <c r="C5853" s="312"/>
      <c r="D5853" s="312"/>
      <c r="E5853" s="312"/>
      <c r="F5853" s="312"/>
      <c r="G5853" s="328"/>
      <c r="H5853" s="453"/>
      <c r="I5853" s="334"/>
      <c r="J5853" s="314"/>
      <c r="K5853" s="454"/>
      <c r="M5853" s="349" t="str">
        <f>N5853&amp;AS[[#This Row],[Insurer Code]]&amp;"; "&amp;O5853&amp;AS[[#This Row],[Reporting Year]]&amp;"; "&amp;P5853&amp;AS[[#This Row],[Insurance Category Code]]&amp;"; "&amp;Q5853&amp;AS[[#This Row],[Large Provider Entity Code]]&amp;"; "&amp;R5853&amp;AS[[#This Row],[Age Band Code]]&amp;"; "&amp;S5853&amp;AS[[#This Row],[Sex Code]]</f>
        <v xml:space="preserve">Insurer Code ; Reporting Year ; Insurance Category Code ; Large Provider Entity Code ; Age Band Code ; Sex Code </v>
      </c>
      <c r="N5853" s="345" t="s">
        <v>207</v>
      </c>
      <c r="O5853" s="345" t="s">
        <v>208</v>
      </c>
      <c r="P5853" s="345" t="s">
        <v>209</v>
      </c>
      <c r="Q5853" s="345" t="s">
        <v>210</v>
      </c>
      <c r="R5853" s="345" t="s">
        <v>223</v>
      </c>
      <c r="S5853" s="345" t="s">
        <v>224</v>
      </c>
    </row>
    <row r="5854" spans="1:19" x14ac:dyDescent="0.25">
      <c r="A5854" s="311"/>
      <c r="B5854" s="312"/>
      <c r="C5854" s="312"/>
      <c r="D5854" s="312"/>
      <c r="E5854" s="312"/>
      <c r="F5854" s="312"/>
      <c r="G5854" s="328"/>
      <c r="H5854" s="453"/>
      <c r="I5854" s="334"/>
      <c r="J5854" s="314"/>
      <c r="K5854" s="454"/>
      <c r="M5854" s="349" t="str">
        <f>N5854&amp;AS[[#This Row],[Insurer Code]]&amp;"; "&amp;O5854&amp;AS[[#This Row],[Reporting Year]]&amp;"; "&amp;P5854&amp;AS[[#This Row],[Insurance Category Code]]&amp;"; "&amp;Q5854&amp;AS[[#This Row],[Large Provider Entity Code]]&amp;"; "&amp;R5854&amp;AS[[#This Row],[Age Band Code]]&amp;"; "&amp;S5854&amp;AS[[#This Row],[Sex Code]]</f>
        <v xml:space="preserve">Insurer Code ; Reporting Year ; Insurance Category Code ; Large Provider Entity Code ; Age Band Code ; Sex Code </v>
      </c>
      <c r="N5854" s="345" t="s">
        <v>207</v>
      </c>
      <c r="O5854" s="345" t="s">
        <v>208</v>
      </c>
      <c r="P5854" s="345" t="s">
        <v>209</v>
      </c>
      <c r="Q5854" s="345" t="s">
        <v>210</v>
      </c>
      <c r="R5854" s="345" t="s">
        <v>223</v>
      </c>
      <c r="S5854" s="345" t="s">
        <v>224</v>
      </c>
    </row>
    <row r="5855" spans="1:19" x14ac:dyDescent="0.25">
      <c r="A5855" s="311"/>
      <c r="B5855" s="312"/>
      <c r="C5855" s="312"/>
      <c r="D5855" s="312"/>
      <c r="E5855" s="312"/>
      <c r="F5855" s="312"/>
      <c r="G5855" s="328"/>
      <c r="H5855" s="453"/>
      <c r="I5855" s="334"/>
      <c r="J5855" s="314"/>
      <c r="K5855" s="454"/>
      <c r="M5855" s="349" t="str">
        <f>N5855&amp;AS[[#This Row],[Insurer Code]]&amp;"; "&amp;O5855&amp;AS[[#This Row],[Reporting Year]]&amp;"; "&amp;P5855&amp;AS[[#This Row],[Insurance Category Code]]&amp;"; "&amp;Q5855&amp;AS[[#This Row],[Large Provider Entity Code]]&amp;"; "&amp;R5855&amp;AS[[#This Row],[Age Band Code]]&amp;"; "&amp;S5855&amp;AS[[#This Row],[Sex Code]]</f>
        <v xml:space="preserve">Insurer Code ; Reporting Year ; Insurance Category Code ; Large Provider Entity Code ; Age Band Code ; Sex Code </v>
      </c>
      <c r="N5855" s="345" t="s">
        <v>207</v>
      </c>
      <c r="O5855" s="345" t="s">
        <v>208</v>
      </c>
      <c r="P5855" s="345" t="s">
        <v>209</v>
      </c>
      <c r="Q5855" s="345" t="s">
        <v>210</v>
      </c>
      <c r="R5855" s="345" t="s">
        <v>223</v>
      </c>
      <c r="S5855" s="345" t="s">
        <v>224</v>
      </c>
    </row>
    <row r="5856" spans="1:19" x14ac:dyDescent="0.25">
      <c r="A5856" s="311"/>
      <c r="B5856" s="312"/>
      <c r="C5856" s="312"/>
      <c r="D5856" s="312"/>
      <c r="E5856" s="312"/>
      <c r="F5856" s="312"/>
      <c r="G5856" s="328"/>
      <c r="H5856" s="453"/>
      <c r="I5856" s="334"/>
      <c r="J5856" s="314"/>
      <c r="K5856" s="454"/>
      <c r="M5856" s="349" t="str">
        <f>N5856&amp;AS[[#This Row],[Insurer Code]]&amp;"; "&amp;O5856&amp;AS[[#This Row],[Reporting Year]]&amp;"; "&amp;P5856&amp;AS[[#This Row],[Insurance Category Code]]&amp;"; "&amp;Q5856&amp;AS[[#This Row],[Large Provider Entity Code]]&amp;"; "&amp;R5856&amp;AS[[#This Row],[Age Band Code]]&amp;"; "&amp;S5856&amp;AS[[#This Row],[Sex Code]]</f>
        <v xml:space="preserve">Insurer Code ; Reporting Year ; Insurance Category Code ; Large Provider Entity Code ; Age Band Code ; Sex Code </v>
      </c>
      <c r="N5856" s="345" t="s">
        <v>207</v>
      </c>
      <c r="O5856" s="345" t="s">
        <v>208</v>
      </c>
      <c r="P5856" s="345" t="s">
        <v>209</v>
      </c>
      <c r="Q5856" s="345" t="s">
        <v>210</v>
      </c>
      <c r="R5856" s="345" t="s">
        <v>223</v>
      </c>
      <c r="S5856" s="345" t="s">
        <v>224</v>
      </c>
    </row>
    <row r="5857" spans="1:19" x14ac:dyDescent="0.25">
      <c r="A5857" s="311"/>
      <c r="B5857" s="312"/>
      <c r="C5857" s="312"/>
      <c r="D5857" s="312"/>
      <c r="E5857" s="312"/>
      <c r="F5857" s="312"/>
      <c r="G5857" s="328"/>
      <c r="H5857" s="453"/>
      <c r="I5857" s="334"/>
      <c r="J5857" s="314"/>
      <c r="K5857" s="454"/>
      <c r="M5857" s="349" t="str">
        <f>N5857&amp;AS[[#This Row],[Insurer Code]]&amp;"; "&amp;O5857&amp;AS[[#This Row],[Reporting Year]]&amp;"; "&amp;P5857&amp;AS[[#This Row],[Insurance Category Code]]&amp;"; "&amp;Q5857&amp;AS[[#This Row],[Large Provider Entity Code]]&amp;"; "&amp;R5857&amp;AS[[#This Row],[Age Band Code]]&amp;"; "&amp;S5857&amp;AS[[#This Row],[Sex Code]]</f>
        <v xml:space="preserve">Insurer Code ; Reporting Year ; Insurance Category Code ; Large Provider Entity Code ; Age Band Code ; Sex Code </v>
      </c>
      <c r="N5857" s="345" t="s">
        <v>207</v>
      </c>
      <c r="O5857" s="345" t="s">
        <v>208</v>
      </c>
      <c r="P5857" s="345" t="s">
        <v>209</v>
      </c>
      <c r="Q5857" s="345" t="s">
        <v>210</v>
      </c>
      <c r="R5857" s="345" t="s">
        <v>223</v>
      </c>
      <c r="S5857" s="345" t="s">
        <v>224</v>
      </c>
    </row>
    <row r="5858" spans="1:19" x14ac:dyDescent="0.25">
      <c r="A5858" s="311"/>
      <c r="B5858" s="312"/>
      <c r="C5858" s="312"/>
      <c r="D5858" s="312"/>
      <c r="E5858" s="312"/>
      <c r="F5858" s="312"/>
      <c r="G5858" s="328"/>
      <c r="H5858" s="453"/>
      <c r="I5858" s="334"/>
      <c r="J5858" s="314"/>
      <c r="K5858" s="454"/>
      <c r="M5858" s="349" t="str">
        <f>N5858&amp;AS[[#This Row],[Insurer Code]]&amp;"; "&amp;O5858&amp;AS[[#This Row],[Reporting Year]]&amp;"; "&amp;P5858&amp;AS[[#This Row],[Insurance Category Code]]&amp;"; "&amp;Q5858&amp;AS[[#This Row],[Large Provider Entity Code]]&amp;"; "&amp;R5858&amp;AS[[#This Row],[Age Band Code]]&amp;"; "&amp;S5858&amp;AS[[#This Row],[Sex Code]]</f>
        <v xml:space="preserve">Insurer Code ; Reporting Year ; Insurance Category Code ; Large Provider Entity Code ; Age Band Code ; Sex Code </v>
      </c>
      <c r="N5858" s="345" t="s">
        <v>207</v>
      </c>
      <c r="O5858" s="345" t="s">
        <v>208</v>
      </c>
      <c r="P5858" s="345" t="s">
        <v>209</v>
      </c>
      <c r="Q5858" s="345" t="s">
        <v>210</v>
      </c>
      <c r="R5858" s="345" t="s">
        <v>223</v>
      </c>
      <c r="S5858" s="345" t="s">
        <v>224</v>
      </c>
    </row>
    <row r="5859" spans="1:19" x14ac:dyDescent="0.25">
      <c r="A5859" s="311"/>
      <c r="B5859" s="312"/>
      <c r="C5859" s="312"/>
      <c r="D5859" s="312"/>
      <c r="E5859" s="312"/>
      <c r="F5859" s="312"/>
      <c r="G5859" s="328"/>
      <c r="H5859" s="453"/>
      <c r="I5859" s="334"/>
      <c r="J5859" s="314"/>
      <c r="K5859" s="454"/>
      <c r="M5859" s="349" t="str">
        <f>N5859&amp;AS[[#This Row],[Insurer Code]]&amp;"; "&amp;O5859&amp;AS[[#This Row],[Reporting Year]]&amp;"; "&amp;P5859&amp;AS[[#This Row],[Insurance Category Code]]&amp;"; "&amp;Q5859&amp;AS[[#This Row],[Large Provider Entity Code]]&amp;"; "&amp;R5859&amp;AS[[#This Row],[Age Band Code]]&amp;"; "&amp;S5859&amp;AS[[#This Row],[Sex Code]]</f>
        <v xml:space="preserve">Insurer Code ; Reporting Year ; Insurance Category Code ; Large Provider Entity Code ; Age Band Code ; Sex Code </v>
      </c>
      <c r="N5859" s="345" t="s">
        <v>207</v>
      </c>
      <c r="O5859" s="345" t="s">
        <v>208</v>
      </c>
      <c r="P5859" s="345" t="s">
        <v>209</v>
      </c>
      <c r="Q5859" s="345" t="s">
        <v>210</v>
      </c>
      <c r="R5859" s="345" t="s">
        <v>223</v>
      </c>
      <c r="S5859" s="345" t="s">
        <v>224</v>
      </c>
    </row>
    <row r="5860" spans="1:19" x14ac:dyDescent="0.25">
      <c r="A5860" s="311"/>
      <c r="B5860" s="312"/>
      <c r="C5860" s="312"/>
      <c r="D5860" s="312"/>
      <c r="E5860" s="312"/>
      <c r="F5860" s="312"/>
      <c r="G5860" s="328"/>
      <c r="H5860" s="453"/>
      <c r="I5860" s="334"/>
      <c r="J5860" s="314"/>
      <c r="K5860" s="454"/>
      <c r="M5860" s="349" t="str">
        <f>N5860&amp;AS[[#This Row],[Insurer Code]]&amp;"; "&amp;O5860&amp;AS[[#This Row],[Reporting Year]]&amp;"; "&amp;P5860&amp;AS[[#This Row],[Insurance Category Code]]&amp;"; "&amp;Q5860&amp;AS[[#This Row],[Large Provider Entity Code]]&amp;"; "&amp;R5860&amp;AS[[#This Row],[Age Band Code]]&amp;"; "&amp;S5860&amp;AS[[#This Row],[Sex Code]]</f>
        <v xml:space="preserve">Insurer Code ; Reporting Year ; Insurance Category Code ; Large Provider Entity Code ; Age Band Code ; Sex Code </v>
      </c>
      <c r="N5860" s="345" t="s">
        <v>207</v>
      </c>
      <c r="O5860" s="345" t="s">
        <v>208</v>
      </c>
      <c r="P5860" s="345" t="s">
        <v>209</v>
      </c>
      <c r="Q5860" s="345" t="s">
        <v>210</v>
      </c>
      <c r="R5860" s="345" t="s">
        <v>223</v>
      </c>
      <c r="S5860" s="345" t="s">
        <v>224</v>
      </c>
    </row>
    <row r="5861" spans="1:19" x14ac:dyDescent="0.25">
      <c r="A5861" s="311"/>
      <c r="B5861" s="312"/>
      <c r="C5861" s="312"/>
      <c r="D5861" s="312"/>
      <c r="E5861" s="312"/>
      <c r="F5861" s="312"/>
      <c r="G5861" s="328"/>
      <c r="H5861" s="453"/>
      <c r="I5861" s="334"/>
      <c r="J5861" s="314"/>
      <c r="K5861" s="454"/>
      <c r="M5861" s="349" t="str">
        <f>N5861&amp;AS[[#This Row],[Insurer Code]]&amp;"; "&amp;O5861&amp;AS[[#This Row],[Reporting Year]]&amp;"; "&amp;P5861&amp;AS[[#This Row],[Insurance Category Code]]&amp;"; "&amp;Q5861&amp;AS[[#This Row],[Large Provider Entity Code]]&amp;"; "&amp;R5861&amp;AS[[#This Row],[Age Band Code]]&amp;"; "&amp;S5861&amp;AS[[#This Row],[Sex Code]]</f>
        <v xml:space="preserve">Insurer Code ; Reporting Year ; Insurance Category Code ; Large Provider Entity Code ; Age Band Code ; Sex Code </v>
      </c>
      <c r="N5861" s="345" t="s">
        <v>207</v>
      </c>
      <c r="O5861" s="345" t="s">
        <v>208</v>
      </c>
      <c r="P5861" s="345" t="s">
        <v>209</v>
      </c>
      <c r="Q5861" s="345" t="s">
        <v>210</v>
      </c>
      <c r="R5861" s="345" t="s">
        <v>223</v>
      </c>
      <c r="S5861" s="345" t="s">
        <v>224</v>
      </c>
    </row>
    <row r="5862" spans="1:19" x14ac:dyDescent="0.25">
      <c r="A5862" s="311"/>
      <c r="B5862" s="312"/>
      <c r="C5862" s="312"/>
      <c r="D5862" s="312"/>
      <c r="E5862" s="312"/>
      <c r="F5862" s="312"/>
      <c r="G5862" s="328"/>
      <c r="H5862" s="453"/>
      <c r="I5862" s="334"/>
      <c r="J5862" s="314"/>
      <c r="K5862" s="454"/>
      <c r="M5862" s="349" t="str">
        <f>N5862&amp;AS[[#This Row],[Insurer Code]]&amp;"; "&amp;O5862&amp;AS[[#This Row],[Reporting Year]]&amp;"; "&amp;P5862&amp;AS[[#This Row],[Insurance Category Code]]&amp;"; "&amp;Q5862&amp;AS[[#This Row],[Large Provider Entity Code]]&amp;"; "&amp;R5862&amp;AS[[#This Row],[Age Band Code]]&amp;"; "&amp;S5862&amp;AS[[#This Row],[Sex Code]]</f>
        <v xml:space="preserve">Insurer Code ; Reporting Year ; Insurance Category Code ; Large Provider Entity Code ; Age Band Code ; Sex Code </v>
      </c>
      <c r="N5862" s="345" t="s">
        <v>207</v>
      </c>
      <c r="O5862" s="345" t="s">
        <v>208</v>
      </c>
      <c r="P5862" s="345" t="s">
        <v>209</v>
      </c>
      <c r="Q5862" s="345" t="s">
        <v>210</v>
      </c>
      <c r="R5862" s="345" t="s">
        <v>223</v>
      </c>
      <c r="S5862" s="345" t="s">
        <v>224</v>
      </c>
    </row>
    <row r="5863" spans="1:19" x14ac:dyDescent="0.25">
      <c r="A5863" s="311"/>
      <c r="B5863" s="312"/>
      <c r="C5863" s="312"/>
      <c r="D5863" s="312"/>
      <c r="E5863" s="312"/>
      <c r="F5863" s="312"/>
      <c r="G5863" s="328"/>
      <c r="H5863" s="453"/>
      <c r="I5863" s="334"/>
      <c r="J5863" s="314"/>
      <c r="K5863" s="454"/>
      <c r="M5863" s="349" t="str">
        <f>N5863&amp;AS[[#This Row],[Insurer Code]]&amp;"; "&amp;O5863&amp;AS[[#This Row],[Reporting Year]]&amp;"; "&amp;P5863&amp;AS[[#This Row],[Insurance Category Code]]&amp;"; "&amp;Q5863&amp;AS[[#This Row],[Large Provider Entity Code]]&amp;"; "&amp;R5863&amp;AS[[#This Row],[Age Band Code]]&amp;"; "&amp;S5863&amp;AS[[#This Row],[Sex Code]]</f>
        <v xml:space="preserve">Insurer Code ; Reporting Year ; Insurance Category Code ; Large Provider Entity Code ; Age Band Code ; Sex Code </v>
      </c>
      <c r="N5863" s="345" t="s">
        <v>207</v>
      </c>
      <c r="O5863" s="345" t="s">
        <v>208</v>
      </c>
      <c r="P5863" s="345" t="s">
        <v>209</v>
      </c>
      <c r="Q5863" s="345" t="s">
        <v>210</v>
      </c>
      <c r="R5863" s="345" t="s">
        <v>223</v>
      </c>
      <c r="S5863" s="345" t="s">
        <v>224</v>
      </c>
    </row>
    <row r="5864" spans="1:19" x14ac:dyDescent="0.25">
      <c r="A5864" s="311"/>
      <c r="B5864" s="312"/>
      <c r="C5864" s="312"/>
      <c r="D5864" s="312"/>
      <c r="E5864" s="312"/>
      <c r="F5864" s="312"/>
      <c r="G5864" s="328"/>
      <c r="H5864" s="453"/>
      <c r="I5864" s="334"/>
      <c r="J5864" s="314"/>
      <c r="K5864" s="454"/>
      <c r="M5864" s="349" t="str">
        <f>N5864&amp;AS[[#This Row],[Insurer Code]]&amp;"; "&amp;O5864&amp;AS[[#This Row],[Reporting Year]]&amp;"; "&amp;P5864&amp;AS[[#This Row],[Insurance Category Code]]&amp;"; "&amp;Q5864&amp;AS[[#This Row],[Large Provider Entity Code]]&amp;"; "&amp;R5864&amp;AS[[#This Row],[Age Band Code]]&amp;"; "&amp;S5864&amp;AS[[#This Row],[Sex Code]]</f>
        <v xml:space="preserve">Insurer Code ; Reporting Year ; Insurance Category Code ; Large Provider Entity Code ; Age Band Code ; Sex Code </v>
      </c>
      <c r="N5864" s="345" t="s">
        <v>207</v>
      </c>
      <c r="O5864" s="345" t="s">
        <v>208</v>
      </c>
      <c r="P5864" s="345" t="s">
        <v>209</v>
      </c>
      <c r="Q5864" s="345" t="s">
        <v>210</v>
      </c>
      <c r="R5864" s="345" t="s">
        <v>223</v>
      </c>
      <c r="S5864" s="345" t="s">
        <v>224</v>
      </c>
    </row>
    <row r="5865" spans="1:19" x14ac:dyDescent="0.25">
      <c r="A5865" s="311"/>
      <c r="B5865" s="312"/>
      <c r="C5865" s="312"/>
      <c r="D5865" s="312"/>
      <c r="E5865" s="312"/>
      <c r="F5865" s="312"/>
      <c r="G5865" s="328"/>
      <c r="H5865" s="453"/>
      <c r="I5865" s="334"/>
      <c r="J5865" s="314"/>
      <c r="K5865" s="454"/>
      <c r="M5865" s="349" t="str">
        <f>N5865&amp;AS[[#This Row],[Insurer Code]]&amp;"; "&amp;O5865&amp;AS[[#This Row],[Reporting Year]]&amp;"; "&amp;P5865&amp;AS[[#This Row],[Insurance Category Code]]&amp;"; "&amp;Q5865&amp;AS[[#This Row],[Large Provider Entity Code]]&amp;"; "&amp;R5865&amp;AS[[#This Row],[Age Band Code]]&amp;"; "&amp;S5865&amp;AS[[#This Row],[Sex Code]]</f>
        <v xml:space="preserve">Insurer Code ; Reporting Year ; Insurance Category Code ; Large Provider Entity Code ; Age Band Code ; Sex Code </v>
      </c>
      <c r="N5865" s="345" t="s">
        <v>207</v>
      </c>
      <c r="O5865" s="345" t="s">
        <v>208</v>
      </c>
      <c r="P5865" s="345" t="s">
        <v>209</v>
      </c>
      <c r="Q5865" s="345" t="s">
        <v>210</v>
      </c>
      <c r="R5865" s="345" t="s">
        <v>223</v>
      </c>
      <c r="S5865" s="345" t="s">
        <v>224</v>
      </c>
    </row>
    <row r="5866" spans="1:19" x14ac:dyDescent="0.25">
      <c r="A5866" s="311"/>
      <c r="B5866" s="312"/>
      <c r="C5866" s="312"/>
      <c r="D5866" s="312"/>
      <c r="E5866" s="312"/>
      <c r="F5866" s="312"/>
      <c r="G5866" s="328"/>
      <c r="H5866" s="453"/>
      <c r="I5866" s="334"/>
      <c r="J5866" s="314"/>
      <c r="K5866" s="454"/>
      <c r="M5866" s="349" t="str">
        <f>N5866&amp;AS[[#This Row],[Insurer Code]]&amp;"; "&amp;O5866&amp;AS[[#This Row],[Reporting Year]]&amp;"; "&amp;P5866&amp;AS[[#This Row],[Insurance Category Code]]&amp;"; "&amp;Q5866&amp;AS[[#This Row],[Large Provider Entity Code]]&amp;"; "&amp;R5866&amp;AS[[#This Row],[Age Band Code]]&amp;"; "&amp;S5866&amp;AS[[#This Row],[Sex Code]]</f>
        <v xml:space="preserve">Insurer Code ; Reporting Year ; Insurance Category Code ; Large Provider Entity Code ; Age Band Code ; Sex Code </v>
      </c>
      <c r="N5866" s="345" t="s">
        <v>207</v>
      </c>
      <c r="O5866" s="345" t="s">
        <v>208</v>
      </c>
      <c r="P5866" s="345" t="s">
        <v>209</v>
      </c>
      <c r="Q5866" s="345" t="s">
        <v>210</v>
      </c>
      <c r="R5866" s="345" t="s">
        <v>223</v>
      </c>
      <c r="S5866" s="345" t="s">
        <v>224</v>
      </c>
    </row>
    <row r="5867" spans="1:19" x14ac:dyDescent="0.25">
      <c r="A5867" s="311"/>
      <c r="B5867" s="312"/>
      <c r="C5867" s="312"/>
      <c r="D5867" s="312"/>
      <c r="E5867" s="312"/>
      <c r="F5867" s="312"/>
      <c r="G5867" s="328"/>
      <c r="H5867" s="453"/>
      <c r="I5867" s="334"/>
      <c r="J5867" s="314"/>
      <c r="K5867" s="454"/>
      <c r="M5867" s="349" t="str">
        <f>N5867&amp;AS[[#This Row],[Insurer Code]]&amp;"; "&amp;O5867&amp;AS[[#This Row],[Reporting Year]]&amp;"; "&amp;P5867&amp;AS[[#This Row],[Insurance Category Code]]&amp;"; "&amp;Q5867&amp;AS[[#This Row],[Large Provider Entity Code]]&amp;"; "&amp;R5867&amp;AS[[#This Row],[Age Band Code]]&amp;"; "&amp;S5867&amp;AS[[#This Row],[Sex Code]]</f>
        <v xml:space="preserve">Insurer Code ; Reporting Year ; Insurance Category Code ; Large Provider Entity Code ; Age Band Code ; Sex Code </v>
      </c>
      <c r="N5867" s="345" t="s">
        <v>207</v>
      </c>
      <c r="O5867" s="345" t="s">
        <v>208</v>
      </c>
      <c r="P5867" s="345" t="s">
        <v>209</v>
      </c>
      <c r="Q5867" s="345" t="s">
        <v>210</v>
      </c>
      <c r="R5867" s="345" t="s">
        <v>223</v>
      </c>
      <c r="S5867" s="345" t="s">
        <v>224</v>
      </c>
    </row>
    <row r="5868" spans="1:19" x14ac:dyDescent="0.25">
      <c r="A5868" s="311"/>
      <c r="B5868" s="312"/>
      <c r="C5868" s="312"/>
      <c r="D5868" s="312"/>
      <c r="E5868" s="312"/>
      <c r="F5868" s="312"/>
      <c r="G5868" s="328"/>
      <c r="H5868" s="453"/>
      <c r="I5868" s="334"/>
      <c r="J5868" s="314"/>
      <c r="K5868" s="454"/>
      <c r="M5868" s="349" t="str">
        <f>N5868&amp;AS[[#This Row],[Insurer Code]]&amp;"; "&amp;O5868&amp;AS[[#This Row],[Reporting Year]]&amp;"; "&amp;P5868&amp;AS[[#This Row],[Insurance Category Code]]&amp;"; "&amp;Q5868&amp;AS[[#This Row],[Large Provider Entity Code]]&amp;"; "&amp;R5868&amp;AS[[#This Row],[Age Band Code]]&amp;"; "&amp;S5868&amp;AS[[#This Row],[Sex Code]]</f>
        <v xml:space="preserve">Insurer Code ; Reporting Year ; Insurance Category Code ; Large Provider Entity Code ; Age Band Code ; Sex Code </v>
      </c>
      <c r="N5868" s="345" t="s">
        <v>207</v>
      </c>
      <c r="O5868" s="345" t="s">
        <v>208</v>
      </c>
      <c r="P5868" s="345" t="s">
        <v>209</v>
      </c>
      <c r="Q5868" s="345" t="s">
        <v>210</v>
      </c>
      <c r="R5868" s="345" t="s">
        <v>223</v>
      </c>
      <c r="S5868" s="345" t="s">
        <v>224</v>
      </c>
    </row>
    <row r="5869" spans="1:19" x14ac:dyDescent="0.25">
      <c r="A5869" s="311"/>
      <c r="B5869" s="312"/>
      <c r="C5869" s="312"/>
      <c r="D5869" s="312"/>
      <c r="E5869" s="312"/>
      <c r="F5869" s="312"/>
      <c r="G5869" s="328"/>
      <c r="H5869" s="453"/>
      <c r="I5869" s="334"/>
      <c r="J5869" s="314"/>
      <c r="K5869" s="454"/>
      <c r="M5869" s="349" t="str">
        <f>N5869&amp;AS[[#This Row],[Insurer Code]]&amp;"; "&amp;O5869&amp;AS[[#This Row],[Reporting Year]]&amp;"; "&amp;P5869&amp;AS[[#This Row],[Insurance Category Code]]&amp;"; "&amp;Q5869&amp;AS[[#This Row],[Large Provider Entity Code]]&amp;"; "&amp;R5869&amp;AS[[#This Row],[Age Band Code]]&amp;"; "&amp;S5869&amp;AS[[#This Row],[Sex Code]]</f>
        <v xml:space="preserve">Insurer Code ; Reporting Year ; Insurance Category Code ; Large Provider Entity Code ; Age Band Code ; Sex Code </v>
      </c>
      <c r="N5869" s="345" t="s">
        <v>207</v>
      </c>
      <c r="O5869" s="345" t="s">
        <v>208</v>
      </c>
      <c r="P5869" s="345" t="s">
        <v>209</v>
      </c>
      <c r="Q5869" s="345" t="s">
        <v>210</v>
      </c>
      <c r="R5869" s="345" t="s">
        <v>223</v>
      </c>
      <c r="S5869" s="345" t="s">
        <v>224</v>
      </c>
    </row>
    <row r="5870" spans="1:19" x14ac:dyDescent="0.25">
      <c r="A5870" s="311"/>
      <c r="B5870" s="312"/>
      <c r="C5870" s="312"/>
      <c r="D5870" s="312"/>
      <c r="E5870" s="312"/>
      <c r="F5870" s="312"/>
      <c r="G5870" s="328"/>
      <c r="H5870" s="453"/>
      <c r="I5870" s="334"/>
      <c r="J5870" s="314"/>
      <c r="K5870" s="454"/>
      <c r="M5870" s="349" t="str">
        <f>N5870&amp;AS[[#This Row],[Insurer Code]]&amp;"; "&amp;O5870&amp;AS[[#This Row],[Reporting Year]]&amp;"; "&amp;P5870&amp;AS[[#This Row],[Insurance Category Code]]&amp;"; "&amp;Q5870&amp;AS[[#This Row],[Large Provider Entity Code]]&amp;"; "&amp;R5870&amp;AS[[#This Row],[Age Band Code]]&amp;"; "&amp;S5870&amp;AS[[#This Row],[Sex Code]]</f>
        <v xml:space="preserve">Insurer Code ; Reporting Year ; Insurance Category Code ; Large Provider Entity Code ; Age Band Code ; Sex Code </v>
      </c>
      <c r="N5870" s="345" t="s">
        <v>207</v>
      </c>
      <c r="O5870" s="345" t="s">
        <v>208</v>
      </c>
      <c r="P5870" s="345" t="s">
        <v>209</v>
      </c>
      <c r="Q5870" s="345" t="s">
        <v>210</v>
      </c>
      <c r="R5870" s="345" t="s">
        <v>223</v>
      </c>
      <c r="S5870" s="345" t="s">
        <v>224</v>
      </c>
    </row>
    <row r="5871" spans="1:19" x14ac:dyDescent="0.25">
      <c r="A5871" s="311"/>
      <c r="B5871" s="312"/>
      <c r="C5871" s="312"/>
      <c r="D5871" s="312"/>
      <c r="E5871" s="312"/>
      <c r="F5871" s="312"/>
      <c r="G5871" s="328"/>
      <c r="H5871" s="453"/>
      <c r="I5871" s="334"/>
      <c r="J5871" s="314"/>
      <c r="K5871" s="454"/>
      <c r="M5871" s="349" t="str">
        <f>N5871&amp;AS[[#This Row],[Insurer Code]]&amp;"; "&amp;O5871&amp;AS[[#This Row],[Reporting Year]]&amp;"; "&amp;P5871&amp;AS[[#This Row],[Insurance Category Code]]&amp;"; "&amp;Q5871&amp;AS[[#This Row],[Large Provider Entity Code]]&amp;"; "&amp;R5871&amp;AS[[#This Row],[Age Band Code]]&amp;"; "&amp;S5871&amp;AS[[#This Row],[Sex Code]]</f>
        <v xml:space="preserve">Insurer Code ; Reporting Year ; Insurance Category Code ; Large Provider Entity Code ; Age Band Code ; Sex Code </v>
      </c>
      <c r="N5871" s="345" t="s">
        <v>207</v>
      </c>
      <c r="O5871" s="345" t="s">
        <v>208</v>
      </c>
      <c r="P5871" s="345" t="s">
        <v>209</v>
      </c>
      <c r="Q5871" s="345" t="s">
        <v>210</v>
      </c>
      <c r="R5871" s="345" t="s">
        <v>223</v>
      </c>
      <c r="S5871" s="345" t="s">
        <v>224</v>
      </c>
    </row>
    <row r="5872" spans="1:19" x14ac:dyDescent="0.25">
      <c r="A5872" s="311"/>
      <c r="B5872" s="312"/>
      <c r="C5872" s="312"/>
      <c r="D5872" s="312"/>
      <c r="E5872" s="312"/>
      <c r="F5872" s="312"/>
      <c r="G5872" s="328"/>
      <c r="H5872" s="453"/>
      <c r="I5872" s="334"/>
      <c r="J5872" s="314"/>
      <c r="K5872" s="454"/>
      <c r="M5872" s="349" t="str">
        <f>N5872&amp;AS[[#This Row],[Insurer Code]]&amp;"; "&amp;O5872&amp;AS[[#This Row],[Reporting Year]]&amp;"; "&amp;P5872&amp;AS[[#This Row],[Insurance Category Code]]&amp;"; "&amp;Q5872&amp;AS[[#This Row],[Large Provider Entity Code]]&amp;"; "&amp;R5872&amp;AS[[#This Row],[Age Band Code]]&amp;"; "&amp;S5872&amp;AS[[#This Row],[Sex Code]]</f>
        <v xml:space="preserve">Insurer Code ; Reporting Year ; Insurance Category Code ; Large Provider Entity Code ; Age Band Code ; Sex Code </v>
      </c>
      <c r="N5872" s="345" t="s">
        <v>207</v>
      </c>
      <c r="O5872" s="345" t="s">
        <v>208</v>
      </c>
      <c r="P5872" s="345" t="s">
        <v>209</v>
      </c>
      <c r="Q5872" s="345" t="s">
        <v>210</v>
      </c>
      <c r="R5872" s="345" t="s">
        <v>223</v>
      </c>
      <c r="S5872" s="345" t="s">
        <v>224</v>
      </c>
    </row>
    <row r="5873" spans="1:19" x14ac:dyDescent="0.25">
      <c r="A5873" s="311"/>
      <c r="B5873" s="312"/>
      <c r="C5873" s="312"/>
      <c r="D5873" s="312"/>
      <c r="E5873" s="312"/>
      <c r="F5873" s="312"/>
      <c r="G5873" s="328"/>
      <c r="H5873" s="453"/>
      <c r="I5873" s="334"/>
      <c r="J5873" s="314"/>
      <c r="K5873" s="454"/>
      <c r="M5873" s="349" t="str">
        <f>N5873&amp;AS[[#This Row],[Insurer Code]]&amp;"; "&amp;O5873&amp;AS[[#This Row],[Reporting Year]]&amp;"; "&amp;P5873&amp;AS[[#This Row],[Insurance Category Code]]&amp;"; "&amp;Q5873&amp;AS[[#This Row],[Large Provider Entity Code]]&amp;"; "&amp;R5873&amp;AS[[#This Row],[Age Band Code]]&amp;"; "&amp;S5873&amp;AS[[#This Row],[Sex Code]]</f>
        <v xml:space="preserve">Insurer Code ; Reporting Year ; Insurance Category Code ; Large Provider Entity Code ; Age Band Code ; Sex Code </v>
      </c>
      <c r="N5873" s="345" t="s">
        <v>207</v>
      </c>
      <c r="O5873" s="345" t="s">
        <v>208</v>
      </c>
      <c r="P5873" s="345" t="s">
        <v>209</v>
      </c>
      <c r="Q5873" s="345" t="s">
        <v>210</v>
      </c>
      <c r="R5873" s="345" t="s">
        <v>223</v>
      </c>
      <c r="S5873" s="345" t="s">
        <v>224</v>
      </c>
    </row>
    <row r="5874" spans="1:19" x14ac:dyDescent="0.25">
      <c r="A5874" s="311"/>
      <c r="B5874" s="312"/>
      <c r="C5874" s="312"/>
      <c r="D5874" s="312"/>
      <c r="E5874" s="312"/>
      <c r="F5874" s="312"/>
      <c r="G5874" s="328"/>
      <c r="H5874" s="453"/>
      <c r="I5874" s="334"/>
      <c r="J5874" s="314"/>
      <c r="K5874" s="454"/>
      <c r="M5874" s="349" t="str">
        <f>N5874&amp;AS[[#This Row],[Insurer Code]]&amp;"; "&amp;O5874&amp;AS[[#This Row],[Reporting Year]]&amp;"; "&amp;P5874&amp;AS[[#This Row],[Insurance Category Code]]&amp;"; "&amp;Q5874&amp;AS[[#This Row],[Large Provider Entity Code]]&amp;"; "&amp;R5874&amp;AS[[#This Row],[Age Band Code]]&amp;"; "&amp;S5874&amp;AS[[#This Row],[Sex Code]]</f>
        <v xml:space="preserve">Insurer Code ; Reporting Year ; Insurance Category Code ; Large Provider Entity Code ; Age Band Code ; Sex Code </v>
      </c>
      <c r="N5874" s="345" t="s">
        <v>207</v>
      </c>
      <c r="O5874" s="345" t="s">
        <v>208</v>
      </c>
      <c r="P5874" s="345" t="s">
        <v>209</v>
      </c>
      <c r="Q5874" s="345" t="s">
        <v>210</v>
      </c>
      <c r="R5874" s="345" t="s">
        <v>223</v>
      </c>
      <c r="S5874" s="345" t="s">
        <v>224</v>
      </c>
    </row>
    <row r="5875" spans="1:19" x14ac:dyDescent="0.25">
      <c r="A5875" s="311"/>
      <c r="B5875" s="312"/>
      <c r="C5875" s="312"/>
      <c r="D5875" s="312"/>
      <c r="E5875" s="312"/>
      <c r="F5875" s="312"/>
      <c r="G5875" s="328"/>
      <c r="H5875" s="453"/>
      <c r="I5875" s="334"/>
      <c r="J5875" s="314"/>
      <c r="K5875" s="454"/>
      <c r="M5875" s="349" t="str">
        <f>N5875&amp;AS[[#This Row],[Insurer Code]]&amp;"; "&amp;O5875&amp;AS[[#This Row],[Reporting Year]]&amp;"; "&amp;P5875&amp;AS[[#This Row],[Insurance Category Code]]&amp;"; "&amp;Q5875&amp;AS[[#This Row],[Large Provider Entity Code]]&amp;"; "&amp;R5875&amp;AS[[#This Row],[Age Band Code]]&amp;"; "&amp;S5875&amp;AS[[#This Row],[Sex Code]]</f>
        <v xml:space="preserve">Insurer Code ; Reporting Year ; Insurance Category Code ; Large Provider Entity Code ; Age Band Code ; Sex Code </v>
      </c>
      <c r="N5875" s="345" t="s">
        <v>207</v>
      </c>
      <c r="O5875" s="345" t="s">
        <v>208</v>
      </c>
      <c r="P5875" s="345" t="s">
        <v>209</v>
      </c>
      <c r="Q5875" s="345" t="s">
        <v>210</v>
      </c>
      <c r="R5875" s="345" t="s">
        <v>223</v>
      </c>
      <c r="S5875" s="345" t="s">
        <v>224</v>
      </c>
    </row>
    <row r="5876" spans="1:19" x14ac:dyDescent="0.25">
      <c r="A5876" s="311"/>
      <c r="B5876" s="312"/>
      <c r="C5876" s="312"/>
      <c r="D5876" s="312"/>
      <c r="E5876" s="312"/>
      <c r="F5876" s="312"/>
      <c r="G5876" s="328"/>
      <c r="H5876" s="453"/>
      <c r="I5876" s="334"/>
      <c r="J5876" s="314"/>
      <c r="K5876" s="454"/>
      <c r="M5876" s="349" t="str">
        <f>N5876&amp;AS[[#This Row],[Insurer Code]]&amp;"; "&amp;O5876&amp;AS[[#This Row],[Reporting Year]]&amp;"; "&amp;P5876&amp;AS[[#This Row],[Insurance Category Code]]&amp;"; "&amp;Q5876&amp;AS[[#This Row],[Large Provider Entity Code]]&amp;"; "&amp;R5876&amp;AS[[#This Row],[Age Band Code]]&amp;"; "&amp;S5876&amp;AS[[#This Row],[Sex Code]]</f>
        <v xml:space="preserve">Insurer Code ; Reporting Year ; Insurance Category Code ; Large Provider Entity Code ; Age Band Code ; Sex Code </v>
      </c>
      <c r="N5876" s="345" t="s">
        <v>207</v>
      </c>
      <c r="O5876" s="345" t="s">
        <v>208</v>
      </c>
      <c r="P5876" s="345" t="s">
        <v>209</v>
      </c>
      <c r="Q5876" s="345" t="s">
        <v>210</v>
      </c>
      <c r="R5876" s="345" t="s">
        <v>223</v>
      </c>
      <c r="S5876" s="345" t="s">
        <v>224</v>
      </c>
    </row>
    <row r="5877" spans="1:19" x14ac:dyDescent="0.25">
      <c r="A5877" s="311"/>
      <c r="B5877" s="312"/>
      <c r="C5877" s="312"/>
      <c r="D5877" s="312"/>
      <c r="E5877" s="312"/>
      <c r="F5877" s="312"/>
      <c r="G5877" s="328"/>
      <c r="H5877" s="453"/>
      <c r="I5877" s="334"/>
      <c r="J5877" s="314"/>
      <c r="K5877" s="454"/>
      <c r="M5877" s="349" t="str">
        <f>N5877&amp;AS[[#This Row],[Insurer Code]]&amp;"; "&amp;O5877&amp;AS[[#This Row],[Reporting Year]]&amp;"; "&amp;P5877&amp;AS[[#This Row],[Insurance Category Code]]&amp;"; "&amp;Q5877&amp;AS[[#This Row],[Large Provider Entity Code]]&amp;"; "&amp;R5877&amp;AS[[#This Row],[Age Band Code]]&amp;"; "&amp;S5877&amp;AS[[#This Row],[Sex Code]]</f>
        <v xml:space="preserve">Insurer Code ; Reporting Year ; Insurance Category Code ; Large Provider Entity Code ; Age Band Code ; Sex Code </v>
      </c>
      <c r="N5877" s="345" t="s">
        <v>207</v>
      </c>
      <c r="O5877" s="345" t="s">
        <v>208</v>
      </c>
      <c r="P5877" s="345" t="s">
        <v>209</v>
      </c>
      <c r="Q5877" s="345" t="s">
        <v>210</v>
      </c>
      <c r="R5877" s="345" t="s">
        <v>223</v>
      </c>
      <c r="S5877" s="345" t="s">
        <v>224</v>
      </c>
    </row>
    <row r="5878" spans="1:19" x14ac:dyDescent="0.25">
      <c r="A5878" s="311"/>
      <c r="B5878" s="312"/>
      <c r="C5878" s="312"/>
      <c r="D5878" s="312"/>
      <c r="E5878" s="312"/>
      <c r="F5878" s="312"/>
      <c r="G5878" s="328"/>
      <c r="H5878" s="453"/>
      <c r="I5878" s="334"/>
      <c r="J5878" s="314"/>
      <c r="K5878" s="454"/>
      <c r="M5878" s="349" t="str">
        <f>N5878&amp;AS[[#This Row],[Insurer Code]]&amp;"; "&amp;O5878&amp;AS[[#This Row],[Reporting Year]]&amp;"; "&amp;P5878&amp;AS[[#This Row],[Insurance Category Code]]&amp;"; "&amp;Q5878&amp;AS[[#This Row],[Large Provider Entity Code]]&amp;"; "&amp;R5878&amp;AS[[#This Row],[Age Band Code]]&amp;"; "&amp;S5878&amp;AS[[#This Row],[Sex Code]]</f>
        <v xml:space="preserve">Insurer Code ; Reporting Year ; Insurance Category Code ; Large Provider Entity Code ; Age Band Code ; Sex Code </v>
      </c>
      <c r="N5878" s="345" t="s">
        <v>207</v>
      </c>
      <c r="O5878" s="345" t="s">
        <v>208</v>
      </c>
      <c r="P5878" s="345" t="s">
        <v>209</v>
      </c>
      <c r="Q5878" s="345" t="s">
        <v>210</v>
      </c>
      <c r="R5878" s="345" t="s">
        <v>223</v>
      </c>
      <c r="S5878" s="345" t="s">
        <v>224</v>
      </c>
    </row>
    <row r="5879" spans="1:19" x14ac:dyDescent="0.25">
      <c r="A5879" s="311"/>
      <c r="B5879" s="312"/>
      <c r="C5879" s="312"/>
      <c r="D5879" s="312"/>
      <c r="E5879" s="312"/>
      <c r="F5879" s="312"/>
      <c r="G5879" s="328"/>
      <c r="H5879" s="453"/>
      <c r="I5879" s="334"/>
      <c r="J5879" s="314"/>
      <c r="K5879" s="454"/>
      <c r="M5879" s="349" t="str">
        <f>N5879&amp;AS[[#This Row],[Insurer Code]]&amp;"; "&amp;O5879&amp;AS[[#This Row],[Reporting Year]]&amp;"; "&amp;P5879&amp;AS[[#This Row],[Insurance Category Code]]&amp;"; "&amp;Q5879&amp;AS[[#This Row],[Large Provider Entity Code]]&amp;"; "&amp;R5879&amp;AS[[#This Row],[Age Band Code]]&amp;"; "&amp;S5879&amp;AS[[#This Row],[Sex Code]]</f>
        <v xml:space="preserve">Insurer Code ; Reporting Year ; Insurance Category Code ; Large Provider Entity Code ; Age Band Code ; Sex Code </v>
      </c>
      <c r="N5879" s="345" t="s">
        <v>207</v>
      </c>
      <c r="O5879" s="345" t="s">
        <v>208</v>
      </c>
      <c r="P5879" s="345" t="s">
        <v>209</v>
      </c>
      <c r="Q5879" s="345" t="s">
        <v>210</v>
      </c>
      <c r="R5879" s="345" t="s">
        <v>223</v>
      </c>
      <c r="S5879" s="345" t="s">
        <v>224</v>
      </c>
    </row>
    <row r="5880" spans="1:19" x14ac:dyDescent="0.25">
      <c r="A5880" s="311"/>
      <c r="B5880" s="312"/>
      <c r="C5880" s="312"/>
      <c r="D5880" s="312"/>
      <c r="E5880" s="312"/>
      <c r="F5880" s="312"/>
      <c r="G5880" s="328"/>
      <c r="H5880" s="453"/>
      <c r="I5880" s="334"/>
      <c r="J5880" s="314"/>
      <c r="K5880" s="454"/>
      <c r="M5880" s="349" t="str">
        <f>N5880&amp;AS[[#This Row],[Insurer Code]]&amp;"; "&amp;O5880&amp;AS[[#This Row],[Reporting Year]]&amp;"; "&amp;P5880&amp;AS[[#This Row],[Insurance Category Code]]&amp;"; "&amp;Q5880&amp;AS[[#This Row],[Large Provider Entity Code]]&amp;"; "&amp;R5880&amp;AS[[#This Row],[Age Band Code]]&amp;"; "&amp;S5880&amp;AS[[#This Row],[Sex Code]]</f>
        <v xml:space="preserve">Insurer Code ; Reporting Year ; Insurance Category Code ; Large Provider Entity Code ; Age Band Code ; Sex Code </v>
      </c>
      <c r="N5880" s="345" t="s">
        <v>207</v>
      </c>
      <c r="O5880" s="345" t="s">
        <v>208</v>
      </c>
      <c r="P5880" s="345" t="s">
        <v>209</v>
      </c>
      <c r="Q5880" s="345" t="s">
        <v>210</v>
      </c>
      <c r="R5880" s="345" t="s">
        <v>223</v>
      </c>
      <c r="S5880" s="345" t="s">
        <v>224</v>
      </c>
    </row>
    <row r="5881" spans="1:19" x14ac:dyDescent="0.25">
      <c r="A5881" s="311"/>
      <c r="B5881" s="312"/>
      <c r="C5881" s="312"/>
      <c r="D5881" s="312"/>
      <c r="E5881" s="312"/>
      <c r="F5881" s="312"/>
      <c r="G5881" s="328"/>
      <c r="H5881" s="453"/>
      <c r="I5881" s="334"/>
      <c r="J5881" s="314"/>
      <c r="K5881" s="454"/>
      <c r="M5881" s="349" t="str">
        <f>N5881&amp;AS[[#This Row],[Insurer Code]]&amp;"; "&amp;O5881&amp;AS[[#This Row],[Reporting Year]]&amp;"; "&amp;P5881&amp;AS[[#This Row],[Insurance Category Code]]&amp;"; "&amp;Q5881&amp;AS[[#This Row],[Large Provider Entity Code]]&amp;"; "&amp;R5881&amp;AS[[#This Row],[Age Band Code]]&amp;"; "&amp;S5881&amp;AS[[#This Row],[Sex Code]]</f>
        <v xml:space="preserve">Insurer Code ; Reporting Year ; Insurance Category Code ; Large Provider Entity Code ; Age Band Code ; Sex Code </v>
      </c>
      <c r="N5881" s="345" t="s">
        <v>207</v>
      </c>
      <c r="O5881" s="345" t="s">
        <v>208</v>
      </c>
      <c r="P5881" s="345" t="s">
        <v>209</v>
      </c>
      <c r="Q5881" s="345" t="s">
        <v>210</v>
      </c>
      <c r="R5881" s="345" t="s">
        <v>223</v>
      </c>
      <c r="S5881" s="345" t="s">
        <v>224</v>
      </c>
    </row>
    <row r="5882" spans="1:19" x14ac:dyDescent="0.25">
      <c r="A5882" s="311"/>
      <c r="B5882" s="312"/>
      <c r="C5882" s="312"/>
      <c r="D5882" s="312"/>
      <c r="E5882" s="312"/>
      <c r="F5882" s="312"/>
      <c r="G5882" s="328"/>
      <c r="H5882" s="453"/>
      <c r="I5882" s="334"/>
      <c r="J5882" s="314"/>
      <c r="K5882" s="454"/>
      <c r="M5882" s="349" t="str">
        <f>N5882&amp;AS[[#This Row],[Insurer Code]]&amp;"; "&amp;O5882&amp;AS[[#This Row],[Reporting Year]]&amp;"; "&amp;P5882&amp;AS[[#This Row],[Insurance Category Code]]&amp;"; "&amp;Q5882&amp;AS[[#This Row],[Large Provider Entity Code]]&amp;"; "&amp;R5882&amp;AS[[#This Row],[Age Band Code]]&amp;"; "&amp;S5882&amp;AS[[#This Row],[Sex Code]]</f>
        <v xml:space="preserve">Insurer Code ; Reporting Year ; Insurance Category Code ; Large Provider Entity Code ; Age Band Code ; Sex Code </v>
      </c>
      <c r="N5882" s="345" t="s">
        <v>207</v>
      </c>
      <c r="O5882" s="345" t="s">
        <v>208</v>
      </c>
      <c r="P5882" s="345" t="s">
        <v>209</v>
      </c>
      <c r="Q5882" s="345" t="s">
        <v>210</v>
      </c>
      <c r="R5882" s="345" t="s">
        <v>223</v>
      </c>
      <c r="S5882" s="345" t="s">
        <v>224</v>
      </c>
    </row>
    <row r="5883" spans="1:19" x14ac:dyDescent="0.25">
      <c r="A5883" s="311"/>
      <c r="B5883" s="312"/>
      <c r="C5883" s="312"/>
      <c r="D5883" s="312"/>
      <c r="E5883" s="312"/>
      <c r="F5883" s="312"/>
      <c r="G5883" s="328"/>
      <c r="H5883" s="453"/>
      <c r="I5883" s="334"/>
      <c r="J5883" s="314"/>
      <c r="K5883" s="454"/>
      <c r="M5883" s="349" t="str">
        <f>N5883&amp;AS[[#This Row],[Insurer Code]]&amp;"; "&amp;O5883&amp;AS[[#This Row],[Reporting Year]]&amp;"; "&amp;P5883&amp;AS[[#This Row],[Insurance Category Code]]&amp;"; "&amp;Q5883&amp;AS[[#This Row],[Large Provider Entity Code]]&amp;"; "&amp;R5883&amp;AS[[#This Row],[Age Band Code]]&amp;"; "&amp;S5883&amp;AS[[#This Row],[Sex Code]]</f>
        <v xml:space="preserve">Insurer Code ; Reporting Year ; Insurance Category Code ; Large Provider Entity Code ; Age Band Code ; Sex Code </v>
      </c>
      <c r="N5883" s="345" t="s">
        <v>207</v>
      </c>
      <c r="O5883" s="345" t="s">
        <v>208</v>
      </c>
      <c r="P5883" s="345" t="s">
        <v>209</v>
      </c>
      <c r="Q5883" s="345" t="s">
        <v>210</v>
      </c>
      <c r="R5883" s="345" t="s">
        <v>223</v>
      </c>
      <c r="S5883" s="345" t="s">
        <v>224</v>
      </c>
    </row>
    <row r="5884" spans="1:19" x14ac:dyDescent="0.25">
      <c r="A5884" s="311"/>
      <c r="B5884" s="312"/>
      <c r="C5884" s="312"/>
      <c r="D5884" s="312"/>
      <c r="E5884" s="312"/>
      <c r="F5884" s="312"/>
      <c r="G5884" s="328"/>
      <c r="H5884" s="453"/>
      <c r="I5884" s="334"/>
      <c r="J5884" s="314"/>
      <c r="K5884" s="454"/>
      <c r="M5884" s="349" t="str">
        <f>N5884&amp;AS[[#This Row],[Insurer Code]]&amp;"; "&amp;O5884&amp;AS[[#This Row],[Reporting Year]]&amp;"; "&amp;P5884&amp;AS[[#This Row],[Insurance Category Code]]&amp;"; "&amp;Q5884&amp;AS[[#This Row],[Large Provider Entity Code]]&amp;"; "&amp;R5884&amp;AS[[#This Row],[Age Band Code]]&amp;"; "&amp;S5884&amp;AS[[#This Row],[Sex Code]]</f>
        <v xml:space="preserve">Insurer Code ; Reporting Year ; Insurance Category Code ; Large Provider Entity Code ; Age Band Code ; Sex Code </v>
      </c>
      <c r="N5884" s="345" t="s">
        <v>207</v>
      </c>
      <c r="O5884" s="345" t="s">
        <v>208</v>
      </c>
      <c r="P5884" s="345" t="s">
        <v>209</v>
      </c>
      <c r="Q5884" s="345" t="s">
        <v>210</v>
      </c>
      <c r="R5884" s="345" t="s">
        <v>223</v>
      </c>
      <c r="S5884" s="345" t="s">
        <v>224</v>
      </c>
    </row>
    <row r="5885" spans="1:19" x14ac:dyDescent="0.25">
      <c r="A5885" s="311"/>
      <c r="B5885" s="312"/>
      <c r="C5885" s="312"/>
      <c r="D5885" s="312"/>
      <c r="E5885" s="312"/>
      <c r="F5885" s="312"/>
      <c r="G5885" s="328"/>
      <c r="H5885" s="453"/>
      <c r="I5885" s="334"/>
      <c r="J5885" s="314"/>
      <c r="K5885" s="454"/>
      <c r="M5885" s="349" t="str">
        <f>N5885&amp;AS[[#This Row],[Insurer Code]]&amp;"; "&amp;O5885&amp;AS[[#This Row],[Reporting Year]]&amp;"; "&amp;P5885&amp;AS[[#This Row],[Insurance Category Code]]&amp;"; "&amp;Q5885&amp;AS[[#This Row],[Large Provider Entity Code]]&amp;"; "&amp;R5885&amp;AS[[#This Row],[Age Band Code]]&amp;"; "&amp;S5885&amp;AS[[#This Row],[Sex Code]]</f>
        <v xml:space="preserve">Insurer Code ; Reporting Year ; Insurance Category Code ; Large Provider Entity Code ; Age Band Code ; Sex Code </v>
      </c>
      <c r="N5885" s="345" t="s">
        <v>207</v>
      </c>
      <c r="O5885" s="345" t="s">
        <v>208</v>
      </c>
      <c r="P5885" s="345" t="s">
        <v>209</v>
      </c>
      <c r="Q5885" s="345" t="s">
        <v>210</v>
      </c>
      <c r="R5885" s="345" t="s">
        <v>223</v>
      </c>
      <c r="S5885" s="345" t="s">
        <v>224</v>
      </c>
    </row>
    <row r="5886" spans="1:19" x14ac:dyDescent="0.25">
      <c r="A5886" s="311"/>
      <c r="B5886" s="312"/>
      <c r="C5886" s="312"/>
      <c r="D5886" s="312"/>
      <c r="E5886" s="312"/>
      <c r="F5886" s="312"/>
      <c r="G5886" s="328"/>
      <c r="H5886" s="453"/>
      <c r="I5886" s="334"/>
      <c r="J5886" s="314"/>
      <c r="K5886" s="454"/>
      <c r="M5886" s="349" t="str">
        <f>N5886&amp;AS[[#This Row],[Insurer Code]]&amp;"; "&amp;O5886&amp;AS[[#This Row],[Reporting Year]]&amp;"; "&amp;P5886&amp;AS[[#This Row],[Insurance Category Code]]&amp;"; "&amp;Q5886&amp;AS[[#This Row],[Large Provider Entity Code]]&amp;"; "&amp;R5886&amp;AS[[#This Row],[Age Band Code]]&amp;"; "&amp;S5886&amp;AS[[#This Row],[Sex Code]]</f>
        <v xml:space="preserve">Insurer Code ; Reporting Year ; Insurance Category Code ; Large Provider Entity Code ; Age Band Code ; Sex Code </v>
      </c>
      <c r="N5886" s="345" t="s">
        <v>207</v>
      </c>
      <c r="O5886" s="345" t="s">
        <v>208</v>
      </c>
      <c r="P5886" s="345" t="s">
        <v>209</v>
      </c>
      <c r="Q5886" s="345" t="s">
        <v>210</v>
      </c>
      <c r="R5886" s="345" t="s">
        <v>223</v>
      </c>
      <c r="S5886" s="345" t="s">
        <v>224</v>
      </c>
    </row>
    <row r="5887" spans="1:19" x14ac:dyDescent="0.25">
      <c r="A5887" s="311"/>
      <c r="B5887" s="312"/>
      <c r="C5887" s="312"/>
      <c r="D5887" s="312"/>
      <c r="E5887" s="312"/>
      <c r="F5887" s="312"/>
      <c r="G5887" s="328"/>
      <c r="H5887" s="453"/>
      <c r="I5887" s="334"/>
      <c r="J5887" s="314"/>
      <c r="K5887" s="454"/>
      <c r="M5887" s="349" t="str">
        <f>N5887&amp;AS[[#This Row],[Insurer Code]]&amp;"; "&amp;O5887&amp;AS[[#This Row],[Reporting Year]]&amp;"; "&amp;P5887&amp;AS[[#This Row],[Insurance Category Code]]&amp;"; "&amp;Q5887&amp;AS[[#This Row],[Large Provider Entity Code]]&amp;"; "&amp;R5887&amp;AS[[#This Row],[Age Band Code]]&amp;"; "&amp;S5887&amp;AS[[#This Row],[Sex Code]]</f>
        <v xml:space="preserve">Insurer Code ; Reporting Year ; Insurance Category Code ; Large Provider Entity Code ; Age Band Code ; Sex Code </v>
      </c>
      <c r="N5887" s="345" t="s">
        <v>207</v>
      </c>
      <c r="O5887" s="345" t="s">
        <v>208</v>
      </c>
      <c r="P5887" s="345" t="s">
        <v>209</v>
      </c>
      <c r="Q5887" s="345" t="s">
        <v>210</v>
      </c>
      <c r="R5887" s="345" t="s">
        <v>223</v>
      </c>
      <c r="S5887" s="345" t="s">
        <v>224</v>
      </c>
    </row>
    <row r="5888" spans="1:19" x14ac:dyDescent="0.25">
      <c r="A5888" s="311"/>
      <c r="B5888" s="312"/>
      <c r="C5888" s="312"/>
      <c r="D5888" s="312"/>
      <c r="E5888" s="312"/>
      <c r="F5888" s="312"/>
      <c r="G5888" s="328"/>
      <c r="H5888" s="453"/>
      <c r="I5888" s="334"/>
      <c r="J5888" s="314"/>
      <c r="K5888" s="454"/>
      <c r="M5888" s="349" t="str">
        <f>N5888&amp;AS[[#This Row],[Insurer Code]]&amp;"; "&amp;O5888&amp;AS[[#This Row],[Reporting Year]]&amp;"; "&amp;P5888&amp;AS[[#This Row],[Insurance Category Code]]&amp;"; "&amp;Q5888&amp;AS[[#This Row],[Large Provider Entity Code]]&amp;"; "&amp;R5888&amp;AS[[#This Row],[Age Band Code]]&amp;"; "&amp;S5888&amp;AS[[#This Row],[Sex Code]]</f>
        <v xml:space="preserve">Insurer Code ; Reporting Year ; Insurance Category Code ; Large Provider Entity Code ; Age Band Code ; Sex Code </v>
      </c>
      <c r="N5888" s="345" t="s">
        <v>207</v>
      </c>
      <c r="O5888" s="345" t="s">
        <v>208</v>
      </c>
      <c r="P5888" s="345" t="s">
        <v>209</v>
      </c>
      <c r="Q5888" s="345" t="s">
        <v>210</v>
      </c>
      <c r="R5888" s="345" t="s">
        <v>223</v>
      </c>
      <c r="S5888" s="345" t="s">
        <v>224</v>
      </c>
    </row>
    <row r="5889" spans="1:19" x14ac:dyDescent="0.25">
      <c r="A5889" s="311"/>
      <c r="B5889" s="312"/>
      <c r="C5889" s="312"/>
      <c r="D5889" s="312"/>
      <c r="E5889" s="312"/>
      <c r="F5889" s="312"/>
      <c r="G5889" s="328"/>
      <c r="H5889" s="453"/>
      <c r="I5889" s="334"/>
      <c r="J5889" s="314"/>
      <c r="K5889" s="454"/>
      <c r="M5889" s="349" t="str">
        <f>N5889&amp;AS[[#This Row],[Insurer Code]]&amp;"; "&amp;O5889&amp;AS[[#This Row],[Reporting Year]]&amp;"; "&amp;P5889&amp;AS[[#This Row],[Insurance Category Code]]&amp;"; "&amp;Q5889&amp;AS[[#This Row],[Large Provider Entity Code]]&amp;"; "&amp;R5889&amp;AS[[#This Row],[Age Band Code]]&amp;"; "&amp;S5889&amp;AS[[#This Row],[Sex Code]]</f>
        <v xml:space="preserve">Insurer Code ; Reporting Year ; Insurance Category Code ; Large Provider Entity Code ; Age Band Code ; Sex Code </v>
      </c>
      <c r="N5889" s="345" t="s">
        <v>207</v>
      </c>
      <c r="O5889" s="345" t="s">
        <v>208</v>
      </c>
      <c r="P5889" s="345" t="s">
        <v>209</v>
      </c>
      <c r="Q5889" s="345" t="s">
        <v>210</v>
      </c>
      <c r="R5889" s="345" t="s">
        <v>223</v>
      </c>
      <c r="S5889" s="345" t="s">
        <v>224</v>
      </c>
    </row>
    <row r="5890" spans="1:19" x14ac:dyDescent="0.25">
      <c r="A5890" s="311"/>
      <c r="B5890" s="312"/>
      <c r="C5890" s="312"/>
      <c r="D5890" s="312"/>
      <c r="E5890" s="312"/>
      <c r="F5890" s="312"/>
      <c r="G5890" s="328"/>
      <c r="H5890" s="453"/>
      <c r="I5890" s="334"/>
      <c r="J5890" s="314"/>
      <c r="K5890" s="454"/>
      <c r="M5890" s="349" t="str">
        <f>N5890&amp;AS[[#This Row],[Insurer Code]]&amp;"; "&amp;O5890&amp;AS[[#This Row],[Reporting Year]]&amp;"; "&amp;P5890&amp;AS[[#This Row],[Insurance Category Code]]&amp;"; "&amp;Q5890&amp;AS[[#This Row],[Large Provider Entity Code]]&amp;"; "&amp;R5890&amp;AS[[#This Row],[Age Band Code]]&amp;"; "&amp;S5890&amp;AS[[#This Row],[Sex Code]]</f>
        <v xml:space="preserve">Insurer Code ; Reporting Year ; Insurance Category Code ; Large Provider Entity Code ; Age Band Code ; Sex Code </v>
      </c>
      <c r="N5890" s="345" t="s">
        <v>207</v>
      </c>
      <c r="O5890" s="345" t="s">
        <v>208</v>
      </c>
      <c r="P5890" s="345" t="s">
        <v>209</v>
      </c>
      <c r="Q5890" s="345" t="s">
        <v>210</v>
      </c>
      <c r="R5890" s="345" t="s">
        <v>223</v>
      </c>
      <c r="S5890" s="345" t="s">
        <v>224</v>
      </c>
    </row>
    <row r="5891" spans="1:19" x14ac:dyDescent="0.25">
      <c r="A5891" s="311"/>
      <c r="B5891" s="312"/>
      <c r="C5891" s="312"/>
      <c r="D5891" s="312"/>
      <c r="E5891" s="312"/>
      <c r="F5891" s="312"/>
      <c r="G5891" s="328"/>
      <c r="H5891" s="453"/>
      <c r="I5891" s="334"/>
      <c r="J5891" s="314"/>
      <c r="K5891" s="454"/>
      <c r="M5891" s="349" t="str">
        <f>N5891&amp;AS[[#This Row],[Insurer Code]]&amp;"; "&amp;O5891&amp;AS[[#This Row],[Reporting Year]]&amp;"; "&amp;P5891&amp;AS[[#This Row],[Insurance Category Code]]&amp;"; "&amp;Q5891&amp;AS[[#This Row],[Large Provider Entity Code]]&amp;"; "&amp;R5891&amp;AS[[#This Row],[Age Band Code]]&amp;"; "&amp;S5891&amp;AS[[#This Row],[Sex Code]]</f>
        <v xml:space="preserve">Insurer Code ; Reporting Year ; Insurance Category Code ; Large Provider Entity Code ; Age Band Code ; Sex Code </v>
      </c>
      <c r="N5891" s="345" t="s">
        <v>207</v>
      </c>
      <c r="O5891" s="345" t="s">
        <v>208</v>
      </c>
      <c r="P5891" s="345" t="s">
        <v>209</v>
      </c>
      <c r="Q5891" s="345" t="s">
        <v>210</v>
      </c>
      <c r="R5891" s="345" t="s">
        <v>223</v>
      </c>
      <c r="S5891" s="345" t="s">
        <v>224</v>
      </c>
    </row>
    <row r="5892" spans="1:19" x14ac:dyDescent="0.25">
      <c r="A5892" s="311"/>
      <c r="B5892" s="312"/>
      <c r="C5892" s="312"/>
      <c r="D5892" s="312"/>
      <c r="E5892" s="312"/>
      <c r="F5892" s="312"/>
      <c r="G5892" s="328"/>
      <c r="H5892" s="453"/>
      <c r="I5892" s="334"/>
      <c r="J5892" s="314"/>
      <c r="K5892" s="454"/>
      <c r="M5892" s="349" t="str">
        <f>N5892&amp;AS[[#This Row],[Insurer Code]]&amp;"; "&amp;O5892&amp;AS[[#This Row],[Reporting Year]]&amp;"; "&amp;P5892&amp;AS[[#This Row],[Insurance Category Code]]&amp;"; "&amp;Q5892&amp;AS[[#This Row],[Large Provider Entity Code]]&amp;"; "&amp;R5892&amp;AS[[#This Row],[Age Band Code]]&amp;"; "&amp;S5892&amp;AS[[#This Row],[Sex Code]]</f>
        <v xml:space="preserve">Insurer Code ; Reporting Year ; Insurance Category Code ; Large Provider Entity Code ; Age Band Code ; Sex Code </v>
      </c>
      <c r="N5892" s="345" t="s">
        <v>207</v>
      </c>
      <c r="O5892" s="345" t="s">
        <v>208</v>
      </c>
      <c r="P5892" s="345" t="s">
        <v>209</v>
      </c>
      <c r="Q5892" s="345" t="s">
        <v>210</v>
      </c>
      <c r="R5892" s="345" t="s">
        <v>223</v>
      </c>
      <c r="S5892" s="345" t="s">
        <v>224</v>
      </c>
    </row>
    <row r="5893" spans="1:19" x14ac:dyDescent="0.25">
      <c r="A5893" s="311"/>
      <c r="B5893" s="312"/>
      <c r="C5893" s="312"/>
      <c r="D5893" s="312"/>
      <c r="E5893" s="312"/>
      <c r="F5893" s="312"/>
      <c r="G5893" s="328"/>
      <c r="H5893" s="453"/>
      <c r="I5893" s="334"/>
      <c r="J5893" s="314"/>
      <c r="K5893" s="454"/>
      <c r="M5893" s="349" t="str">
        <f>N5893&amp;AS[[#This Row],[Insurer Code]]&amp;"; "&amp;O5893&amp;AS[[#This Row],[Reporting Year]]&amp;"; "&amp;P5893&amp;AS[[#This Row],[Insurance Category Code]]&amp;"; "&amp;Q5893&amp;AS[[#This Row],[Large Provider Entity Code]]&amp;"; "&amp;R5893&amp;AS[[#This Row],[Age Band Code]]&amp;"; "&amp;S5893&amp;AS[[#This Row],[Sex Code]]</f>
        <v xml:space="preserve">Insurer Code ; Reporting Year ; Insurance Category Code ; Large Provider Entity Code ; Age Band Code ; Sex Code </v>
      </c>
      <c r="N5893" s="345" t="s">
        <v>207</v>
      </c>
      <c r="O5893" s="345" t="s">
        <v>208</v>
      </c>
      <c r="P5893" s="345" t="s">
        <v>209</v>
      </c>
      <c r="Q5893" s="345" t="s">
        <v>210</v>
      </c>
      <c r="R5893" s="345" t="s">
        <v>223</v>
      </c>
      <c r="S5893" s="345" t="s">
        <v>224</v>
      </c>
    </row>
    <row r="5894" spans="1:19" x14ac:dyDescent="0.25">
      <c r="A5894" s="311"/>
      <c r="B5894" s="312"/>
      <c r="C5894" s="312"/>
      <c r="D5894" s="312"/>
      <c r="E5894" s="312"/>
      <c r="F5894" s="312"/>
      <c r="G5894" s="328"/>
      <c r="H5894" s="453"/>
      <c r="I5894" s="334"/>
      <c r="J5894" s="314"/>
      <c r="K5894" s="454"/>
      <c r="M5894" s="349" t="str">
        <f>N5894&amp;AS[[#This Row],[Insurer Code]]&amp;"; "&amp;O5894&amp;AS[[#This Row],[Reporting Year]]&amp;"; "&amp;P5894&amp;AS[[#This Row],[Insurance Category Code]]&amp;"; "&amp;Q5894&amp;AS[[#This Row],[Large Provider Entity Code]]&amp;"; "&amp;R5894&amp;AS[[#This Row],[Age Band Code]]&amp;"; "&amp;S5894&amp;AS[[#This Row],[Sex Code]]</f>
        <v xml:space="preserve">Insurer Code ; Reporting Year ; Insurance Category Code ; Large Provider Entity Code ; Age Band Code ; Sex Code </v>
      </c>
      <c r="N5894" s="345" t="s">
        <v>207</v>
      </c>
      <c r="O5894" s="345" t="s">
        <v>208</v>
      </c>
      <c r="P5894" s="345" t="s">
        <v>209</v>
      </c>
      <c r="Q5894" s="345" t="s">
        <v>210</v>
      </c>
      <c r="R5894" s="345" t="s">
        <v>223</v>
      </c>
      <c r="S5894" s="345" t="s">
        <v>224</v>
      </c>
    </row>
    <row r="5895" spans="1:19" x14ac:dyDescent="0.25">
      <c r="A5895" s="311"/>
      <c r="B5895" s="312"/>
      <c r="C5895" s="312"/>
      <c r="D5895" s="312"/>
      <c r="E5895" s="312"/>
      <c r="F5895" s="312"/>
      <c r="G5895" s="328"/>
      <c r="H5895" s="453"/>
      <c r="I5895" s="334"/>
      <c r="J5895" s="314"/>
      <c r="K5895" s="454"/>
      <c r="M5895" s="349" t="str">
        <f>N5895&amp;AS[[#This Row],[Insurer Code]]&amp;"; "&amp;O5895&amp;AS[[#This Row],[Reporting Year]]&amp;"; "&amp;P5895&amp;AS[[#This Row],[Insurance Category Code]]&amp;"; "&amp;Q5895&amp;AS[[#This Row],[Large Provider Entity Code]]&amp;"; "&amp;R5895&amp;AS[[#This Row],[Age Band Code]]&amp;"; "&amp;S5895&amp;AS[[#This Row],[Sex Code]]</f>
        <v xml:space="preserve">Insurer Code ; Reporting Year ; Insurance Category Code ; Large Provider Entity Code ; Age Band Code ; Sex Code </v>
      </c>
      <c r="N5895" s="345" t="s">
        <v>207</v>
      </c>
      <c r="O5895" s="345" t="s">
        <v>208</v>
      </c>
      <c r="P5895" s="345" t="s">
        <v>209</v>
      </c>
      <c r="Q5895" s="345" t="s">
        <v>210</v>
      </c>
      <c r="R5895" s="345" t="s">
        <v>223</v>
      </c>
      <c r="S5895" s="345" t="s">
        <v>224</v>
      </c>
    </row>
    <row r="5896" spans="1:19" x14ac:dyDescent="0.25">
      <c r="A5896" s="311"/>
      <c r="B5896" s="312"/>
      <c r="C5896" s="312"/>
      <c r="D5896" s="312"/>
      <c r="E5896" s="312"/>
      <c r="F5896" s="312"/>
      <c r="G5896" s="328"/>
      <c r="H5896" s="453"/>
      <c r="I5896" s="334"/>
      <c r="J5896" s="314"/>
      <c r="K5896" s="454"/>
      <c r="M5896" s="349" t="str">
        <f>N5896&amp;AS[[#This Row],[Insurer Code]]&amp;"; "&amp;O5896&amp;AS[[#This Row],[Reporting Year]]&amp;"; "&amp;P5896&amp;AS[[#This Row],[Insurance Category Code]]&amp;"; "&amp;Q5896&amp;AS[[#This Row],[Large Provider Entity Code]]&amp;"; "&amp;R5896&amp;AS[[#This Row],[Age Band Code]]&amp;"; "&amp;S5896&amp;AS[[#This Row],[Sex Code]]</f>
        <v xml:space="preserve">Insurer Code ; Reporting Year ; Insurance Category Code ; Large Provider Entity Code ; Age Band Code ; Sex Code </v>
      </c>
      <c r="N5896" s="345" t="s">
        <v>207</v>
      </c>
      <c r="O5896" s="345" t="s">
        <v>208</v>
      </c>
      <c r="P5896" s="345" t="s">
        <v>209</v>
      </c>
      <c r="Q5896" s="345" t="s">
        <v>210</v>
      </c>
      <c r="R5896" s="345" t="s">
        <v>223</v>
      </c>
      <c r="S5896" s="345" t="s">
        <v>224</v>
      </c>
    </row>
    <row r="5897" spans="1:19" x14ac:dyDescent="0.25">
      <c r="A5897" s="311"/>
      <c r="B5897" s="312"/>
      <c r="C5897" s="312"/>
      <c r="D5897" s="312"/>
      <c r="E5897" s="312"/>
      <c r="F5897" s="312"/>
      <c r="G5897" s="328"/>
      <c r="H5897" s="453"/>
      <c r="I5897" s="334"/>
      <c r="J5897" s="314"/>
      <c r="K5897" s="454"/>
      <c r="M5897" s="349" t="str">
        <f>N5897&amp;AS[[#This Row],[Insurer Code]]&amp;"; "&amp;O5897&amp;AS[[#This Row],[Reporting Year]]&amp;"; "&amp;P5897&amp;AS[[#This Row],[Insurance Category Code]]&amp;"; "&amp;Q5897&amp;AS[[#This Row],[Large Provider Entity Code]]&amp;"; "&amp;R5897&amp;AS[[#This Row],[Age Band Code]]&amp;"; "&amp;S5897&amp;AS[[#This Row],[Sex Code]]</f>
        <v xml:space="preserve">Insurer Code ; Reporting Year ; Insurance Category Code ; Large Provider Entity Code ; Age Band Code ; Sex Code </v>
      </c>
      <c r="N5897" s="345" t="s">
        <v>207</v>
      </c>
      <c r="O5897" s="345" t="s">
        <v>208</v>
      </c>
      <c r="P5897" s="345" t="s">
        <v>209</v>
      </c>
      <c r="Q5897" s="345" t="s">
        <v>210</v>
      </c>
      <c r="R5897" s="345" t="s">
        <v>223</v>
      </c>
      <c r="S5897" s="345" t="s">
        <v>224</v>
      </c>
    </row>
    <row r="5898" spans="1:19" x14ac:dyDescent="0.25">
      <c r="A5898" s="311"/>
      <c r="B5898" s="312"/>
      <c r="C5898" s="312"/>
      <c r="D5898" s="312"/>
      <c r="E5898" s="312"/>
      <c r="F5898" s="312"/>
      <c r="G5898" s="328"/>
      <c r="H5898" s="453"/>
      <c r="I5898" s="334"/>
      <c r="J5898" s="314"/>
      <c r="K5898" s="454"/>
      <c r="M5898" s="349" t="str">
        <f>N5898&amp;AS[[#This Row],[Insurer Code]]&amp;"; "&amp;O5898&amp;AS[[#This Row],[Reporting Year]]&amp;"; "&amp;P5898&amp;AS[[#This Row],[Insurance Category Code]]&amp;"; "&amp;Q5898&amp;AS[[#This Row],[Large Provider Entity Code]]&amp;"; "&amp;R5898&amp;AS[[#This Row],[Age Band Code]]&amp;"; "&amp;S5898&amp;AS[[#This Row],[Sex Code]]</f>
        <v xml:space="preserve">Insurer Code ; Reporting Year ; Insurance Category Code ; Large Provider Entity Code ; Age Band Code ; Sex Code </v>
      </c>
      <c r="N5898" s="345" t="s">
        <v>207</v>
      </c>
      <c r="O5898" s="345" t="s">
        <v>208</v>
      </c>
      <c r="P5898" s="345" t="s">
        <v>209</v>
      </c>
      <c r="Q5898" s="345" t="s">
        <v>210</v>
      </c>
      <c r="R5898" s="345" t="s">
        <v>223</v>
      </c>
      <c r="S5898" s="345" t="s">
        <v>224</v>
      </c>
    </row>
    <row r="5899" spans="1:19" x14ac:dyDescent="0.25">
      <c r="A5899" s="311"/>
      <c r="B5899" s="312"/>
      <c r="C5899" s="312"/>
      <c r="D5899" s="312"/>
      <c r="E5899" s="312"/>
      <c r="F5899" s="312"/>
      <c r="G5899" s="328"/>
      <c r="H5899" s="453"/>
      <c r="I5899" s="334"/>
      <c r="J5899" s="314"/>
      <c r="K5899" s="454"/>
      <c r="M5899" s="349" t="str">
        <f>N5899&amp;AS[[#This Row],[Insurer Code]]&amp;"; "&amp;O5899&amp;AS[[#This Row],[Reporting Year]]&amp;"; "&amp;P5899&amp;AS[[#This Row],[Insurance Category Code]]&amp;"; "&amp;Q5899&amp;AS[[#This Row],[Large Provider Entity Code]]&amp;"; "&amp;R5899&amp;AS[[#This Row],[Age Band Code]]&amp;"; "&amp;S5899&amp;AS[[#This Row],[Sex Code]]</f>
        <v xml:space="preserve">Insurer Code ; Reporting Year ; Insurance Category Code ; Large Provider Entity Code ; Age Band Code ; Sex Code </v>
      </c>
      <c r="N5899" s="345" t="s">
        <v>207</v>
      </c>
      <c r="O5899" s="345" t="s">
        <v>208</v>
      </c>
      <c r="P5899" s="345" t="s">
        <v>209</v>
      </c>
      <c r="Q5899" s="345" t="s">
        <v>210</v>
      </c>
      <c r="R5899" s="345" t="s">
        <v>223</v>
      </c>
      <c r="S5899" s="345" t="s">
        <v>224</v>
      </c>
    </row>
    <row r="5900" spans="1:19" x14ac:dyDescent="0.25">
      <c r="A5900" s="311"/>
      <c r="B5900" s="312"/>
      <c r="C5900" s="312"/>
      <c r="D5900" s="312"/>
      <c r="E5900" s="312"/>
      <c r="F5900" s="312"/>
      <c r="G5900" s="328"/>
      <c r="H5900" s="453"/>
      <c r="I5900" s="334"/>
      <c r="J5900" s="314"/>
      <c r="K5900" s="454"/>
      <c r="M5900" s="349" t="str">
        <f>N5900&amp;AS[[#This Row],[Insurer Code]]&amp;"; "&amp;O5900&amp;AS[[#This Row],[Reporting Year]]&amp;"; "&amp;P5900&amp;AS[[#This Row],[Insurance Category Code]]&amp;"; "&amp;Q5900&amp;AS[[#This Row],[Large Provider Entity Code]]&amp;"; "&amp;R5900&amp;AS[[#This Row],[Age Band Code]]&amp;"; "&amp;S5900&amp;AS[[#This Row],[Sex Code]]</f>
        <v xml:space="preserve">Insurer Code ; Reporting Year ; Insurance Category Code ; Large Provider Entity Code ; Age Band Code ; Sex Code </v>
      </c>
      <c r="N5900" s="345" t="s">
        <v>207</v>
      </c>
      <c r="O5900" s="345" t="s">
        <v>208</v>
      </c>
      <c r="P5900" s="345" t="s">
        <v>209</v>
      </c>
      <c r="Q5900" s="345" t="s">
        <v>210</v>
      </c>
      <c r="R5900" s="345" t="s">
        <v>223</v>
      </c>
      <c r="S5900" s="345" t="s">
        <v>224</v>
      </c>
    </row>
    <row r="5901" spans="1:19" x14ac:dyDescent="0.25">
      <c r="A5901" s="311"/>
      <c r="B5901" s="312"/>
      <c r="C5901" s="312"/>
      <c r="D5901" s="312"/>
      <c r="E5901" s="312"/>
      <c r="F5901" s="312"/>
      <c r="G5901" s="328"/>
      <c r="H5901" s="453"/>
      <c r="I5901" s="334"/>
      <c r="J5901" s="314"/>
      <c r="K5901" s="454"/>
      <c r="M5901" s="349" t="str">
        <f>N5901&amp;AS[[#This Row],[Insurer Code]]&amp;"; "&amp;O5901&amp;AS[[#This Row],[Reporting Year]]&amp;"; "&amp;P5901&amp;AS[[#This Row],[Insurance Category Code]]&amp;"; "&amp;Q5901&amp;AS[[#This Row],[Large Provider Entity Code]]&amp;"; "&amp;R5901&amp;AS[[#This Row],[Age Band Code]]&amp;"; "&amp;S5901&amp;AS[[#This Row],[Sex Code]]</f>
        <v xml:space="preserve">Insurer Code ; Reporting Year ; Insurance Category Code ; Large Provider Entity Code ; Age Band Code ; Sex Code </v>
      </c>
      <c r="N5901" s="345" t="s">
        <v>207</v>
      </c>
      <c r="O5901" s="345" t="s">
        <v>208</v>
      </c>
      <c r="P5901" s="345" t="s">
        <v>209</v>
      </c>
      <c r="Q5901" s="345" t="s">
        <v>210</v>
      </c>
      <c r="R5901" s="345" t="s">
        <v>223</v>
      </c>
      <c r="S5901" s="345" t="s">
        <v>224</v>
      </c>
    </row>
    <row r="5902" spans="1:19" x14ac:dyDescent="0.25">
      <c r="A5902" s="311"/>
      <c r="B5902" s="312"/>
      <c r="C5902" s="312"/>
      <c r="D5902" s="312"/>
      <c r="E5902" s="312"/>
      <c r="F5902" s="312"/>
      <c r="G5902" s="328"/>
      <c r="H5902" s="453"/>
      <c r="I5902" s="334"/>
      <c r="J5902" s="314"/>
      <c r="K5902" s="454"/>
      <c r="M5902" s="349" t="str">
        <f>N5902&amp;AS[[#This Row],[Insurer Code]]&amp;"; "&amp;O5902&amp;AS[[#This Row],[Reporting Year]]&amp;"; "&amp;P5902&amp;AS[[#This Row],[Insurance Category Code]]&amp;"; "&amp;Q5902&amp;AS[[#This Row],[Large Provider Entity Code]]&amp;"; "&amp;R5902&amp;AS[[#This Row],[Age Band Code]]&amp;"; "&amp;S5902&amp;AS[[#This Row],[Sex Code]]</f>
        <v xml:space="preserve">Insurer Code ; Reporting Year ; Insurance Category Code ; Large Provider Entity Code ; Age Band Code ; Sex Code </v>
      </c>
      <c r="N5902" s="345" t="s">
        <v>207</v>
      </c>
      <c r="O5902" s="345" t="s">
        <v>208</v>
      </c>
      <c r="P5902" s="345" t="s">
        <v>209</v>
      </c>
      <c r="Q5902" s="345" t="s">
        <v>210</v>
      </c>
      <c r="R5902" s="345" t="s">
        <v>223</v>
      </c>
      <c r="S5902" s="345" t="s">
        <v>224</v>
      </c>
    </row>
    <row r="5903" spans="1:19" x14ac:dyDescent="0.25">
      <c r="A5903" s="311"/>
      <c r="B5903" s="312"/>
      <c r="C5903" s="312"/>
      <c r="D5903" s="312"/>
      <c r="E5903" s="312"/>
      <c r="F5903" s="312"/>
      <c r="G5903" s="328"/>
      <c r="H5903" s="453"/>
      <c r="I5903" s="334"/>
      <c r="J5903" s="314"/>
      <c r="K5903" s="454"/>
      <c r="M5903" s="349" t="str">
        <f>N5903&amp;AS[[#This Row],[Insurer Code]]&amp;"; "&amp;O5903&amp;AS[[#This Row],[Reporting Year]]&amp;"; "&amp;P5903&amp;AS[[#This Row],[Insurance Category Code]]&amp;"; "&amp;Q5903&amp;AS[[#This Row],[Large Provider Entity Code]]&amp;"; "&amp;R5903&amp;AS[[#This Row],[Age Band Code]]&amp;"; "&amp;S5903&amp;AS[[#This Row],[Sex Code]]</f>
        <v xml:space="preserve">Insurer Code ; Reporting Year ; Insurance Category Code ; Large Provider Entity Code ; Age Band Code ; Sex Code </v>
      </c>
      <c r="N5903" s="345" t="s">
        <v>207</v>
      </c>
      <c r="O5903" s="345" t="s">
        <v>208</v>
      </c>
      <c r="P5903" s="345" t="s">
        <v>209</v>
      </c>
      <c r="Q5903" s="345" t="s">
        <v>210</v>
      </c>
      <c r="R5903" s="345" t="s">
        <v>223</v>
      </c>
      <c r="S5903" s="345" t="s">
        <v>224</v>
      </c>
    </row>
    <row r="5904" spans="1:19" x14ac:dyDescent="0.25">
      <c r="A5904" s="311"/>
      <c r="B5904" s="312"/>
      <c r="C5904" s="312"/>
      <c r="D5904" s="312"/>
      <c r="E5904" s="312"/>
      <c r="F5904" s="312"/>
      <c r="G5904" s="328"/>
      <c r="H5904" s="453"/>
      <c r="I5904" s="334"/>
      <c r="J5904" s="314"/>
      <c r="K5904" s="454"/>
      <c r="M5904" s="349" t="str">
        <f>N5904&amp;AS[[#This Row],[Insurer Code]]&amp;"; "&amp;O5904&amp;AS[[#This Row],[Reporting Year]]&amp;"; "&amp;P5904&amp;AS[[#This Row],[Insurance Category Code]]&amp;"; "&amp;Q5904&amp;AS[[#This Row],[Large Provider Entity Code]]&amp;"; "&amp;R5904&amp;AS[[#This Row],[Age Band Code]]&amp;"; "&amp;S5904&amp;AS[[#This Row],[Sex Code]]</f>
        <v xml:space="preserve">Insurer Code ; Reporting Year ; Insurance Category Code ; Large Provider Entity Code ; Age Band Code ; Sex Code </v>
      </c>
      <c r="N5904" s="345" t="s">
        <v>207</v>
      </c>
      <c r="O5904" s="345" t="s">
        <v>208</v>
      </c>
      <c r="P5904" s="345" t="s">
        <v>209</v>
      </c>
      <c r="Q5904" s="345" t="s">
        <v>210</v>
      </c>
      <c r="R5904" s="345" t="s">
        <v>223</v>
      </c>
      <c r="S5904" s="345" t="s">
        <v>224</v>
      </c>
    </row>
    <row r="5905" spans="1:19" x14ac:dyDescent="0.25">
      <c r="A5905" s="311"/>
      <c r="B5905" s="312"/>
      <c r="C5905" s="312"/>
      <c r="D5905" s="312"/>
      <c r="E5905" s="312"/>
      <c r="F5905" s="312"/>
      <c r="G5905" s="328"/>
      <c r="H5905" s="453"/>
      <c r="I5905" s="334"/>
      <c r="J5905" s="314"/>
      <c r="K5905" s="454"/>
      <c r="M5905" s="349" t="str">
        <f>N5905&amp;AS[[#This Row],[Insurer Code]]&amp;"; "&amp;O5905&amp;AS[[#This Row],[Reporting Year]]&amp;"; "&amp;P5905&amp;AS[[#This Row],[Insurance Category Code]]&amp;"; "&amp;Q5905&amp;AS[[#This Row],[Large Provider Entity Code]]&amp;"; "&amp;R5905&amp;AS[[#This Row],[Age Band Code]]&amp;"; "&amp;S5905&amp;AS[[#This Row],[Sex Code]]</f>
        <v xml:space="preserve">Insurer Code ; Reporting Year ; Insurance Category Code ; Large Provider Entity Code ; Age Band Code ; Sex Code </v>
      </c>
      <c r="N5905" s="345" t="s">
        <v>207</v>
      </c>
      <c r="O5905" s="345" t="s">
        <v>208</v>
      </c>
      <c r="P5905" s="345" t="s">
        <v>209</v>
      </c>
      <c r="Q5905" s="345" t="s">
        <v>210</v>
      </c>
      <c r="R5905" s="345" t="s">
        <v>223</v>
      </c>
      <c r="S5905" s="345" t="s">
        <v>224</v>
      </c>
    </row>
    <row r="5906" spans="1:19" x14ac:dyDescent="0.25">
      <c r="A5906" s="311"/>
      <c r="B5906" s="312"/>
      <c r="C5906" s="312"/>
      <c r="D5906" s="312"/>
      <c r="E5906" s="312"/>
      <c r="F5906" s="312"/>
      <c r="G5906" s="328"/>
      <c r="H5906" s="453"/>
      <c r="I5906" s="334"/>
      <c r="J5906" s="314"/>
      <c r="K5906" s="454"/>
      <c r="M5906" s="349" t="str">
        <f>N5906&amp;AS[[#This Row],[Insurer Code]]&amp;"; "&amp;O5906&amp;AS[[#This Row],[Reporting Year]]&amp;"; "&amp;P5906&amp;AS[[#This Row],[Insurance Category Code]]&amp;"; "&amp;Q5906&amp;AS[[#This Row],[Large Provider Entity Code]]&amp;"; "&amp;R5906&amp;AS[[#This Row],[Age Band Code]]&amp;"; "&amp;S5906&amp;AS[[#This Row],[Sex Code]]</f>
        <v xml:space="preserve">Insurer Code ; Reporting Year ; Insurance Category Code ; Large Provider Entity Code ; Age Band Code ; Sex Code </v>
      </c>
      <c r="N5906" s="345" t="s">
        <v>207</v>
      </c>
      <c r="O5906" s="345" t="s">
        <v>208</v>
      </c>
      <c r="P5906" s="345" t="s">
        <v>209</v>
      </c>
      <c r="Q5906" s="345" t="s">
        <v>210</v>
      </c>
      <c r="R5906" s="345" t="s">
        <v>223</v>
      </c>
      <c r="S5906" s="345" t="s">
        <v>224</v>
      </c>
    </row>
    <row r="5907" spans="1:19" x14ac:dyDescent="0.25">
      <c r="A5907" s="311"/>
      <c r="B5907" s="312"/>
      <c r="C5907" s="312"/>
      <c r="D5907" s="312"/>
      <c r="E5907" s="312"/>
      <c r="F5907" s="312"/>
      <c r="G5907" s="328"/>
      <c r="H5907" s="453"/>
      <c r="I5907" s="334"/>
      <c r="J5907" s="314"/>
      <c r="K5907" s="454"/>
      <c r="M5907" s="349" t="str">
        <f>N5907&amp;AS[[#This Row],[Insurer Code]]&amp;"; "&amp;O5907&amp;AS[[#This Row],[Reporting Year]]&amp;"; "&amp;P5907&amp;AS[[#This Row],[Insurance Category Code]]&amp;"; "&amp;Q5907&amp;AS[[#This Row],[Large Provider Entity Code]]&amp;"; "&amp;R5907&amp;AS[[#This Row],[Age Band Code]]&amp;"; "&amp;S5907&amp;AS[[#This Row],[Sex Code]]</f>
        <v xml:space="preserve">Insurer Code ; Reporting Year ; Insurance Category Code ; Large Provider Entity Code ; Age Band Code ; Sex Code </v>
      </c>
      <c r="N5907" s="345" t="s">
        <v>207</v>
      </c>
      <c r="O5907" s="345" t="s">
        <v>208</v>
      </c>
      <c r="P5907" s="345" t="s">
        <v>209</v>
      </c>
      <c r="Q5907" s="345" t="s">
        <v>210</v>
      </c>
      <c r="R5907" s="345" t="s">
        <v>223</v>
      </c>
      <c r="S5907" s="345" t="s">
        <v>224</v>
      </c>
    </row>
    <row r="5908" spans="1:19" x14ac:dyDescent="0.25">
      <c r="A5908" s="311"/>
      <c r="B5908" s="312"/>
      <c r="C5908" s="312"/>
      <c r="D5908" s="312"/>
      <c r="E5908" s="312"/>
      <c r="F5908" s="312"/>
      <c r="G5908" s="328"/>
      <c r="H5908" s="453"/>
      <c r="I5908" s="334"/>
      <c r="J5908" s="314"/>
      <c r="K5908" s="454"/>
      <c r="M5908" s="349" t="str">
        <f>N5908&amp;AS[[#This Row],[Insurer Code]]&amp;"; "&amp;O5908&amp;AS[[#This Row],[Reporting Year]]&amp;"; "&amp;P5908&amp;AS[[#This Row],[Insurance Category Code]]&amp;"; "&amp;Q5908&amp;AS[[#This Row],[Large Provider Entity Code]]&amp;"; "&amp;R5908&amp;AS[[#This Row],[Age Band Code]]&amp;"; "&amp;S5908&amp;AS[[#This Row],[Sex Code]]</f>
        <v xml:space="preserve">Insurer Code ; Reporting Year ; Insurance Category Code ; Large Provider Entity Code ; Age Band Code ; Sex Code </v>
      </c>
      <c r="N5908" s="345" t="s">
        <v>207</v>
      </c>
      <c r="O5908" s="345" t="s">
        <v>208</v>
      </c>
      <c r="P5908" s="345" t="s">
        <v>209</v>
      </c>
      <c r="Q5908" s="345" t="s">
        <v>210</v>
      </c>
      <c r="R5908" s="345" t="s">
        <v>223</v>
      </c>
      <c r="S5908" s="345" t="s">
        <v>224</v>
      </c>
    </row>
    <row r="5909" spans="1:19" x14ac:dyDescent="0.25">
      <c r="A5909" s="311"/>
      <c r="B5909" s="312"/>
      <c r="C5909" s="312"/>
      <c r="D5909" s="312"/>
      <c r="E5909" s="312"/>
      <c r="F5909" s="312"/>
      <c r="G5909" s="328"/>
      <c r="H5909" s="453"/>
      <c r="I5909" s="334"/>
      <c r="J5909" s="314"/>
      <c r="K5909" s="454"/>
      <c r="M5909" s="349" t="str">
        <f>N5909&amp;AS[[#This Row],[Insurer Code]]&amp;"; "&amp;O5909&amp;AS[[#This Row],[Reporting Year]]&amp;"; "&amp;P5909&amp;AS[[#This Row],[Insurance Category Code]]&amp;"; "&amp;Q5909&amp;AS[[#This Row],[Large Provider Entity Code]]&amp;"; "&amp;R5909&amp;AS[[#This Row],[Age Band Code]]&amp;"; "&amp;S5909&amp;AS[[#This Row],[Sex Code]]</f>
        <v xml:space="preserve">Insurer Code ; Reporting Year ; Insurance Category Code ; Large Provider Entity Code ; Age Band Code ; Sex Code </v>
      </c>
      <c r="N5909" s="345" t="s">
        <v>207</v>
      </c>
      <c r="O5909" s="345" t="s">
        <v>208</v>
      </c>
      <c r="P5909" s="345" t="s">
        <v>209</v>
      </c>
      <c r="Q5909" s="345" t="s">
        <v>210</v>
      </c>
      <c r="R5909" s="345" t="s">
        <v>223</v>
      </c>
      <c r="S5909" s="345" t="s">
        <v>224</v>
      </c>
    </row>
    <row r="5910" spans="1:19" x14ac:dyDescent="0.25">
      <c r="A5910" s="311"/>
      <c r="B5910" s="312"/>
      <c r="C5910" s="312"/>
      <c r="D5910" s="312"/>
      <c r="E5910" s="312"/>
      <c r="F5910" s="312"/>
      <c r="G5910" s="328"/>
      <c r="H5910" s="453"/>
      <c r="I5910" s="334"/>
      <c r="J5910" s="314"/>
      <c r="K5910" s="454"/>
      <c r="M5910" s="349" t="str">
        <f>N5910&amp;AS[[#This Row],[Insurer Code]]&amp;"; "&amp;O5910&amp;AS[[#This Row],[Reporting Year]]&amp;"; "&amp;P5910&amp;AS[[#This Row],[Insurance Category Code]]&amp;"; "&amp;Q5910&amp;AS[[#This Row],[Large Provider Entity Code]]&amp;"; "&amp;R5910&amp;AS[[#This Row],[Age Band Code]]&amp;"; "&amp;S5910&amp;AS[[#This Row],[Sex Code]]</f>
        <v xml:space="preserve">Insurer Code ; Reporting Year ; Insurance Category Code ; Large Provider Entity Code ; Age Band Code ; Sex Code </v>
      </c>
      <c r="N5910" s="345" t="s">
        <v>207</v>
      </c>
      <c r="O5910" s="345" t="s">
        <v>208</v>
      </c>
      <c r="P5910" s="345" t="s">
        <v>209</v>
      </c>
      <c r="Q5910" s="345" t="s">
        <v>210</v>
      </c>
      <c r="R5910" s="345" t="s">
        <v>223</v>
      </c>
      <c r="S5910" s="345" t="s">
        <v>224</v>
      </c>
    </row>
    <row r="5911" spans="1:19" x14ac:dyDescent="0.25">
      <c r="A5911" s="311"/>
      <c r="B5911" s="312"/>
      <c r="C5911" s="312"/>
      <c r="D5911" s="312"/>
      <c r="E5911" s="312"/>
      <c r="F5911" s="312"/>
      <c r="G5911" s="328"/>
      <c r="H5911" s="453"/>
      <c r="I5911" s="334"/>
      <c r="J5911" s="314"/>
      <c r="K5911" s="454"/>
      <c r="M5911" s="349" t="str">
        <f>N5911&amp;AS[[#This Row],[Insurer Code]]&amp;"; "&amp;O5911&amp;AS[[#This Row],[Reporting Year]]&amp;"; "&amp;P5911&amp;AS[[#This Row],[Insurance Category Code]]&amp;"; "&amp;Q5911&amp;AS[[#This Row],[Large Provider Entity Code]]&amp;"; "&amp;R5911&amp;AS[[#This Row],[Age Band Code]]&amp;"; "&amp;S5911&amp;AS[[#This Row],[Sex Code]]</f>
        <v xml:space="preserve">Insurer Code ; Reporting Year ; Insurance Category Code ; Large Provider Entity Code ; Age Band Code ; Sex Code </v>
      </c>
      <c r="N5911" s="345" t="s">
        <v>207</v>
      </c>
      <c r="O5911" s="345" t="s">
        <v>208</v>
      </c>
      <c r="P5911" s="345" t="s">
        <v>209</v>
      </c>
      <c r="Q5911" s="345" t="s">
        <v>210</v>
      </c>
      <c r="R5911" s="345" t="s">
        <v>223</v>
      </c>
      <c r="S5911" s="345" t="s">
        <v>224</v>
      </c>
    </row>
    <row r="5912" spans="1:19" x14ac:dyDescent="0.25">
      <c r="A5912" s="311"/>
      <c r="B5912" s="312"/>
      <c r="C5912" s="312"/>
      <c r="D5912" s="312"/>
      <c r="E5912" s="312"/>
      <c r="F5912" s="312"/>
      <c r="G5912" s="328"/>
      <c r="H5912" s="453"/>
      <c r="I5912" s="334"/>
      <c r="J5912" s="314"/>
      <c r="K5912" s="454"/>
      <c r="M5912" s="349" t="str">
        <f>N5912&amp;AS[[#This Row],[Insurer Code]]&amp;"; "&amp;O5912&amp;AS[[#This Row],[Reporting Year]]&amp;"; "&amp;P5912&amp;AS[[#This Row],[Insurance Category Code]]&amp;"; "&amp;Q5912&amp;AS[[#This Row],[Large Provider Entity Code]]&amp;"; "&amp;R5912&amp;AS[[#This Row],[Age Band Code]]&amp;"; "&amp;S5912&amp;AS[[#This Row],[Sex Code]]</f>
        <v xml:space="preserve">Insurer Code ; Reporting Year ; Insurance Category Code ; Large Provider Entity Code ; Age Band Code ; Sex Code </v>
      </c>
      <c r="N5912" s="345" t="s">
        <v>207</v>
      </c>
      <c r="O5912" s="345" t="s">
        <v>208</v>
      </c>
      <c r="P5912" s="345" t="s">
        <v>209</v>
      </c>
      <c r="Q5912" s="345" t="s">
        <v>210</v>
      </c>
      <c r="R5912" s="345" t="s">
        <v>223</v>
      </c>
      <c r="S5912" s="345" t="s">
        <v>224</v>
      </c>
    </row>
    <row r="5913" spans="1:19" x14ac:dyDescent="0.25">
      <c r="A5913" s="311"/>
      <c r="B5913" s="312"/>
      <c r="C5913" s="312"/>
      <c r="D5913" s="312"/>
      <c r="E5913" s="312"/>
      <c r="F5913" s="312"/>
      <c r="G5913" s="328"/>
      <c r="H5913" s="453"/>
      <c r="I5913" s="334"/>
      <c r="J5913" s="314"/>
      <c r="K5913" s="454"/>
      <c r="M5913" s="349" t="str">
        <f>N5913&amp;AS[[#This Row],[Insurer Code]]&amp;"; "&amp;O5913&amp;AS[[#This Row],[Reporting Year]]&amp;"; "&amp;P5913&amp;AS[[#This Row],[Insurance Category Code]]&amp;"; "&amp;Q5913&amp;AS[[#This Row],[Large Provider Entity Code]]&amp;"; "&amp;R5913&amp;AS[[#This Row],[Age Band Code]]&amp;"; "&amp;S5913&amp;AS[[#This Row],[Sex Code]]</f>
        <v xml:space="preserve">Insurer Code ; Reporting Year ; Insurance Category Code ; Large Provider Entity Code ; Age Band Code ; Sex Code </v>
      </c>
      <c r="N5913" s="345" t="s">
        <v>207</v>
      </c>
      <c r="O5913" s="345" t="s">
        <v>208</v>
      </c>
      <c r="P5913" s="345" t="s">
        <v>209</v>
      </c>
      <c r="Q5913" s="345" t="s">
        <v>210</v>
      </c>
      <c r="R5913" s="345" t="s">
        <v>223</v>
      </c>
      <c r="S5913" s="345" t="s">
        <v>224</v>
      </c>
    </row>
    <row r="5914" spans="1:19" x14ac:dyDescent="0.25">
      <c r="A5914" s="311"/>
      <c r="B5914" s="312"/>
      <c r="C5914" s="312"/>
      <c r="D5914" s="312"/>
      <c r="E5914" s="312"/>
      <c r="F5914" s="312"/>
      <c r="G5914" s="328"/>
      <c r="H5914" s="453"/>
      <c r="I5914" s="334"/>
      <c r="J5914" s="314"/>
      <c r="K5914" s="454"/>
      <c r="M5914" s="349" t="str">
        <f>N5914&amp;AS[[#This Row],[Insurer Code]]&amp;"; "&amp;O5914&amp;AS[[#This Row],[Reporting Year]]&amp;"; "&amp;P5914&amp;AS[[#This Row],[Insurance Category Code]]&amp;"; "&amp;Q5914&amp;AS[[#This Row],[Large Provider Entity Code]]&amp;"; "&amp;R5914&amp;AS[[#This Row],[Age Band Code]]&amp;"; "&amp;S5914&amp;AS[[#This Row],[Sex Code]]</f>
        <v xml:space="preserve">Insurer Code ; Reporting Year ; Insurance Category Code ; Large Provider Entity Code ; Age Band Code ; Sex Code </v>
      </c>
      <c r="N5914" s="345" t="s">
        <v>207</v>
      </c>
      <c r="O5914" s="345" t="s">
        <v>208</v>
      </c>
      <c r="P5914" s="345" t="s">
        <v>209</v>
      </c>
      <c r="Q5914" s="345" t="s">
        <v>210</v>
      </c>
      <c r="R5914" s="345" t="s">
        <v>223</v>
      </c>
      <c r="S5914" s="345" t="s">
        <v>224</v>
      </c>
    </row>
    <row r="5915" spans="1:19" x14ac:dyDescent="0.25">
      <c r="A5915" s="311"/>
      <c r="B5915" s="312"/>
      <c r="C5915" s="312"/>
      <c r="D5915" s="312"/>
      <c r="E5915" s="312"/>
      <c r="F5915" s="312"/>
      <c r="G5915" s="328"/>
      <c r="H5915" s="453"/>
      <c r="I5915" s="334"/>
      <c r="J5915" s="314"/>
      <c r="K5915" s="454"/>
      <c r="M5915" s="349" t="str">
        <f>N5915&amp;AS[[#This Row],[Insurer Code]]&amp;"; "&amp;O5915&amp;AS[[#This Row],[Reporting Year]]&amp;"; "&amp;P5915&amp;AS[[#This Row],[Insurance Category Code]]&amp;"; "&amp;Q5915&amp;AS[[#This Row],[Large Provider Entity Code]]&amp;"; "&amp;R5915&amp;AS[[#This Row],[Age Band Code]]&amp;"; "&amp;S5915&amp;AS[[#This Row],[Sex Code]]</f>
        <v xml:space="preserve">Insurer Code ; Reporting Year ; Insurance Category Code ; Large Provider Entity Code ; Age Band Code ; Sex Code </v>
      </c>
      <c r="N5915" s="345" t="s">
        <v>207</v>
      </c>
      <c r="O5915" s="345" t="s">
        <v>208</v>
      </c>
      <c r="P5915" s="345" t="s">
        <v>209</v>
      </c>
      <c r="Q5915" s="345" t="s">
        <v>210</v>
      </c>
      <c r="R5915" s="345" t="s">
        <v>223</v>
      </c>
      <c r="S5915" s="345" t="s">
        <v>224</v>
      </c>
    </row>
    <row r="5916" spans="1:19" x14ac:dyDescent="0.25">
      <c r="A5916" s="311"/>
      <c r="B5916" s="312"/>
      <c r="C5916" s="312"/>
      <c r="D5916" s="312"/>
      <c r="E5916" s="312"/>
      <c r="F5916" s="312"/>
      <c r="G5916" s="328"/>
      <c r="H5916" s="453"/>
      <c r="I5916" s="334"/>
      <c r="J5916" s="314"/>
      <c r="K5916" s="454"/>
      <c r="M5916" s="349" t="str">
        <f>N5916&amp;AS[[#This Row],[Insurer Code]]&amp;"; "&amp;O5916&amp;AS[[#This Row],[Reporting Year]]&amp;"; "&amp;P5916&amp;AS[[#This Row],[Insurance Category Code]]&amp;"; "&amp;Q5916&amp;AS[[#This Row],[Large Provider Entity Code]]&amp;"; "&amp;R5916&amp;AS[[#This Row],[Age Band Code]]&amp;"; "&amp;S5916&amp;AS[[#This Row],[Sex Code]]</f>
        <v xml:space="preserve">Insurer Code ; Reporting Year ; Insurance Category Code ; Large Provider Entity Code ; Age Band Code ; Sex Code </v>
      </c>
      <c r="N5916" s="345" t="s">
        <v>207</v>
      </c>
      <c r="O5916" s="345" t="s">
        <v>208</v>
      </c>
      <c r="P5916" s="345" t="s">
        <v>209</v>
      </c>
      <c r="Q5916" s="345" t="s">
        <v>210</v>
      </c>
      <c r="R5916" s="345" t="s">
        <v>223</v>
      </c>
      <c r="S5916" s="345" t="s">
        <v>224</v>
      </c>
    </row>
    <row r="5917" spans="1:19" x14ac:dyDescent="0.25">
      <c r="A5917" s="311"/>
      <c r="B5917" s="312"/>
      <c r="C5917" s="312"/>
      <c r="D5917" s="312"/>
      <c r="E5917" s="312"/>
      <c r="F5917" s="312"/>
      <c r="G5917" s="328"/>
      <c r="H5917" s="453"/>
      <c r="I5917" s="334"/>
      <c r="J5917" s="314"/>
      <c r="K5917" s="454"/>
      <c r="M5917" s="349" t="str">
        <f>N5917&amp;AS[[#This Row],[Insurer Code]]&amp;"; "&amp;O5917&amp;AS[[#This Row],[Reporting Year]]&amp;"; "&amp;P5917&amp;AS[[#This Row],[Insurance Category Code]]&amp;"; "&amp;Q5917&amp;AS[[#This Row],[Large Provider Entity Code]]&amp;"; "&amp;R5917&amp;AS[[#This Row],[Age Band Code]]&amp;"; "&amp;S5917&amp;AS[[#This Row],[Sex Code]]</f>
        <v xml:space="preserve">Insurer Code ; Reporting Year ; Insurance Category Code ; Large Provider Entity Code ; Age Band Code ; Sex Code </v>
      </c>
      <c r="N5917" s="345" t="s">
        <v>207</v>
      </c>
      <c r="O5917" s="345" t="s">
        <v>208</v>
      </c>
      <c r="P5917" s="345" t="s">
        <v>209</v>
      </c>
      <c r="Q5917" s="345" t="s">
        <v>210</v>
      </c>
      <c r="R5917" s="345" t="s">
        <v>223</v>
      </c>
      <c r="S5917" s="345" t="s">
        <v>224</v>
      </c>
    </row>
    <row r="5918" spans="1:19" x14ac:dyDescent="0.25">
      <c r="A5918" s="311"/>
      <c r="B5918" s="312"/>
      <c r="C5918" s="312"/>
      <c r="D5918" s="312"/>
      <c r="E5918" s="312"/>
      <c r="F5918" s="312"/>
      <c r="G5918" s="328"/>
      <c r="H5918" s="453"/>
      <c r="I5918" s="334"/>
      <c r="J5918" s="314"/>
      <c r="K5918" s="454"/>
      <c r="M5918" s="349" t="str">
        <f>N5918&amp;AS[[#This Row],[Insurer Code]]&amp;"; "&amp;O5918&amp;AS[[#This Row],[Reporting Year]]&amp;"; "&amp;P5918&amp;AS[[#This Row],[Insurance Category Code]]&amp;"; "&amp;Q5918&amp;AS[[#This Row],[Large Provider Entity Code]]&amp;"; "&amp;R5918&amp;AS[[#This Row],[Age Band Code]]&amp;"; "&amp;S5918&amp;AS[[#This Row],[Sex Code]]</f>
        <v xml:space="preserve">Insurer Code ; Reporting Year ; Insurance Category Code ; Large Provider Entity Code ; Age Band Code ; Sex Code </v>
      </c>
      <c r="N5918" s="345" t="s">
        <v>207</v>
      </c>
      <c r="O5918" s="345" t="s">
        <v>208</v>
      </c>
      <c r="P5918" s="345" t="s">
        <v>209</v>
      </c>
      <c r="Q5918" s="345" t="s">
        <v>210</v>
      </c>
      <c r="R5918" s="345" t="s">
        <v>223</v>
      </c>
      <c r="S5918" s="345" t="s">
        <v>224</v>
      </c>
    </row>
    <row r="5919" spans="1:19" x14ac:dyDescent="0.25">
      <c r="A5919" s="311"/>
      <c r="B5919" s="312"/>
      <c r="C5919" s="312"/>
      <c r="D5919" s="312"/>
      <c r="E5919" s="312"/>
      <c r="F5919" s="312"/>
      <c r="G5919" s="328"/>
      <c r="H5919" s="453"/>
      <c r="I5919" s="334"/>
      <c r="J5919" s="314"/>
      <c r="K5919" s="454"/>
      <c r="M5919" s="349" t="str">
        <f>N5919&amp;AS[[#This Row],[Insurer Code]]&amp;"; "&amp;O5919&amp;AS[[#This Row],[Reporting Year]]&amp;"; "&amp;P5919&amp;AS[[#This Row],[Insurance Category Code]]&amp;"; "&amp;Q5919&amp;AS[[#This Row],[Large Provider Entity Code]]&amp;"; "&amp;R5919&amp;AS[[#This Row],[Age Band Code]]&amp;"; "&amp;S5919&amp;AS[[#This Row],[Sex Code]]</f>
        <v xml:space="preserve">Insurer Code ; Reporting Year ; Insurance Category Code ; Large Provider Entity Code ; Age Band Code ; Sex Code </v>
      </c>
      <c r="N5919" s="345" t="s">
        <v>207</v>
      </c>
      <c r="O5919" s="345" t="s">
        <v>208</v>
      </c>
      <c r="P5919" s="345" t="s">
        <v>209</v>
      </c>
      <c r="Q5919" s="345" t="s">
        <v>210</v>
      </c>
      <c r="R5919" s="345" t="s">
        <v>223</v>
      </c>
      <c r="S5919" s="345" t="s">
        <v>224</v>
      </c>
    </row>
    <row r="5920" spans="1:19" x14ac:dyDescent="0.25">
      <c r="A5920" s="311"/>
      <c r="B5920" s="312"/>
      <c r="C5920" s="312"/>
      <c r="D5920" s="312"/>
      <c r="E5920" s="312"/>
      <c r="F5920" s="312"/>
      <c r="G5920" s="328"/>
      <c r="H5920" s="453"/>
      <c r="I5920" s="334"/>
      <c r="J5920" s="314"/>
      <c r="K5920" s="454"/>
      <c r="M5920" s="349" t="str">
        <f>N5920&amp;AS[[#This Row],[Insurer Code]]&amp;"; "&amp;O5920&amp;AS[[#This Row],[Reporting Year]]&amp;"; "&amp;P5920&amp;AS[[#This Row],[Insurance Category Code]]&amp;"; "&amp;Q5920&amp;AS[[#This Row],[Large Provider Entity Code]]&amp;"; "&amp;R5920&amp;AS[[#This Row],[Age Band Code]]&amp;"; "&amp;S5920&amp;AS[[#This Row],[Sex Code]]</f>
        <v xml:space="preserve">Insurer Code ; Reporting Year ; Insurance Category Code ; Large Provider Entity Code ; Age Band Code ; Sex Code </v>
      </c>
      <c r="N5920" s="345" t="s">
        <v>207</v>
      </c>
      <c r="O5920" s="345" t="s">
        <v>208</v>
      </c>
      <c r="P5920" s="345" t="s">
        <v>209</v>
      </c>
      <c r="Q5920" s="345" t="s">
        <v>210</v>
      </c>
      <c r="R5920" s="345" t="s">
        <v>223</v>
      </c>
      <c r="S5920" s="345" t="s">
        <v>224</v>
      </c>
    </row>
    <row r="5921" spans="1:19" x14ac:dyDescent="0.25">
      <c r="A5921" s="311"/>
      <c r="B5921" s="312"/>
      <c r="C5921" s="312"/>
      <c r="D5921" s="312"/>
      <c r="E5921" s="312"/>
      <c r="F5921" s="312"/>
      <c r="G5921" s="328"/>
      <c r="H5921" s="453"/>
      <c r="I5921" s="334"/>
      <c r="J5921" s="314"/>
      <c r="K5921" s="454"/>
      <c r="M5921" s="349" t="str">
        <f>N5921&amp;AS[[#This Row],[Insurer Code]]&amp;"; "&amp;O5921&amp;AS[[#This Row],[Reporting Year]]&amp;"; "&amp;P5921&amp;AS[[#This Row],[Insurance Category Code]]&amp;"; "&amp;Q5921&amp;AS[[#This Row],[Large Provider Entity Code]]&amp;"; "&amp;R5921&amp;AS[[#This Row],[Age Band Code]]&amp;"; "&amp;S5921&amp;AS[[#This Row],[Sex Code]]</f>
        <v xml:space="preserve">Insurer Code ; Reporting Year ; Insurance Category Code ; Large Provider Entity Code ; Age Band Code ; Sex Code </v>
      </c>
      <c r="N5921" s="345" t="s">
        <v>207</v>
      </c>
      <c r="O5921" s="345" t="s">
        <v>208</v>
      </c>
      <c r="P5921" s="345" t="s">
        <v>209</v>
      </c>
      <c r="Q5921" s="345" t="s">
        <v>210</v>
      </c>
      <c r="R5921" s="345" t="s">
        <v>223</v>
      </c>
      <c r="S5921" s="345" t="s">
        <v>224</v>
      </c>
    </row>
    <row r="5922" spans="1:19" x14ac:dyDescent="0.25">
      <c r="A5922" s="311"/>
      <c r="B5922" s="312"/>
      <c r="C5922" s="312"/>
      <c r="D5922" s="312"/>
      <c r="E5922" s="312"/>
      <c r="F5922" s="312"/>
      <c r="G5922" s="328"/>
      <c r="H5922" s="453"/>
      <c r="I5922" s="334"/>
      <c r="J5922" s="314"/>
      <c r="K5922" s="454"/>
      <c r="M5922" s="349" t="str">
        <f>N5922&amp;AS[[#This Row],[Insurer Code]]&amp;"; "&amp;O5922&amp;AS[[#This Row],[Reporting Year]]&amp;"; "&amp;P5922&amp;AS[[#This Row],[Insurance Category Code]]&amp;"; "&amp;Q5922&amp;AS[[#This Row],[Large Provider Entity Code]]&amp;"; "&amp;R5922&amp;AS[[#This Row],[Age Band Code]]&amp;"; "&amp;S5922&amp;AS[[#This Row],[Sex Code]]</f>
        <v xml:space="preserve">Insurer Code ; Reporting Year ; Insurance Category Code ; Large Provider Entity Code ; Age Band Code ; Sex Code </v>
      </c>
      <c r="N5922" s="345" t="s">
        <v>207</v>
      </c>
      <c r="O5922" s="345" t="s">
        <v>208</v>
      </c>
      <c r="P5922" s="345" t="s">
        <v>209</v>
      </c>
      <c r="Q5922" s="345" t="s">
        <v>210</v>
      </c>
      <c r="R5922" s="345" t="s">
        <v>223</v>
      </c>
      <c r="S5922" s="345" t="s">
        <v>224</v>
      </c>
    </row>
    <row r="5923" spans="1:19" x14ac:dyDescent="0.25">
      <c r="A5923" s="311"/>
      <c r="B5923" s="312"/>
      <c r="C5923" s="312"/>
      <c r="D5923" s="312"/>
      <c r="E5923" s="312"/>
      <c r="F5923" s="312"/>
      <c r="G5923" s="328"/>
      <c r="H5923" s="453"/>
      <c r="I5923" s="334"/>
      <c r="J5923" s="314"/>
      <c r="K5923" s="454"/>
      <c r="M5923" s="349" t="str">
        <f>N5923&amp;AS[[#This Row],[Insurer Code]]&amp;"; "&amp;O5923&amp;AS[[#This Row],[Reporting Year]]&amp;"; "&amp;P5923&amp;AS[[#This Row],[Insurance Category Code]]&amp;"; "&amp;Q5923&amp;AS[[#This Row],[Large Provider Entity Code]]&amp;"; "&amp;R5923&amp;AS[[#This Row],[Age Band Code]]&amp;"; "&amp;S5923&amp;AS[[#This Row],[Sex Code]]</f>
        <v xml:space="preserve">Insurer Code ; Reporting Year ; Insurance Category Code ; Large Provider Entity Code ; Age Band Code ; Sex Code </v>
      </c>
      <c r="N5923" s="345" t="s">
        <v>207</v>
      </c>
      <c r="O5923" s="345" t="s">
        <v>208</v>
      </c>
      <c r="P5923" s="345" t="s">
        <v>209</v>
      </c>
      <c r="Q5923" s="345" t="s">
        <v>210</v>
      </c>
      <c r="R5923" s="345" t="s">
        <v>223</v>
      </c>
      <c r="S5923" s="345" t="s">
        <v>224</v>
      </c>
    </row>
    <row r="5924" spans="1:19" x14ac:dyDescent="0.25">
      <c r="A5924" s="311"/>
      <c r="B5924" s="312"/>
      <c r="C5924" s="312"/>
      <c r="D5924" s="312"/>
      <c r="E5924" s="312"/>
      <c r="F5924" s="312"/>
      <c r="G5924" s="328"/>
      <c r="H5924" s="453"/>
      <c r="I5924" s="334"/>
      <c r="J5924" s="314"/>
      <c r="K5924" s="454"/>
      <c r="M5924" s="349" t="str">
        <f>N5924&amp;AS[[#This Row],[Insurer Code]]&amp;"; "&amp;O5924&amp;AS[[#This Row],[Reporting Year]]&amp;"; "&amp;P5924&amp;AS[[#This Row],[Insurance Category Code]]&amp;"; "&amp;Q5924&amp;AS[[#This Row],[Large Provider Entity Code]]&amp;"; "&amp;R5924&amp;AS[[#This Row],[Age Band Code]]&amp;"; "&amp;S5924&amp;AS[[#This Row],[Sex Code]]</f>
        <v xml:space="preserve">Insurer Code ; Reporting Year ; Insurance Category Code ; Large Provider Entity Code ; Age Band Code ; Sex Code </v>
      </c>
      <c r="N5924" s="345" t="s">
        <v>207</v>
      </c>
      <c r="O5924" s="345" t="s">
        <v>208</v>
      </c>
      <c r="P5924" s="345" t="s">
        <v>209</v>
      </c>
      <c r="Q5924" s="345" t="s">
        <v>210</v>
      </c>
      <c r="R5924" s="345" t="s">
        <v>223</v>
      </c>
      <c r="S5924" s="345" t="s">
        <v>224</v>
      </c>
    </row>
    <row r="5925" spans="1:19" x14ac:dyDescent="0.25">
      <c r="A5925" s="311"/>
      <c r="B5925" s="312"/>
      <c r="C5925" s="312"/>
      <c r="D5925" s="312"/>
      <c r="E5925" s="312"/>
      <c r="F5925" s="312"/>
      <c r="G5925" s="328"/>
      <c r="H5925" s="453"/>
      <c r="I5925" s="334"/>
      <c r="J5925" s="314"/>
      <c r="K5925" s="454"/>
      <c r="M5925" s="349" t="str">
        <f>N5925&amp;AS[[#This Row],[Insurer Code]]&amp;"; "&amp;O5925&amp;AS[[#This Row],[Reporting Year]]&amp;"; "&amp;P5925&amp;AS[[#This Row],[Insurance Category Code]]&amp;"; "&amp;Q5925&amp;AS[[#This Row],[Large Provider Entity Code]]&amp;"; "&amp;R5925&amp;AS[[#This Row],[Age Band Code]]&amp;"; "&amp;S5925&amp;AS[[#This Row],[Sex Code]]</f>
        <v xml:space="preserve">Insurer Code ; Reporting Year ; Insurance Category Code ; Large Provider Entity Code ; Age Band Code ; Sex Code </v>
      </c>
      <c r="N5925" s="345" t="s">
        <v>207</v>
      </c>
      <c r="O5925" s="345" t="s">
        <v>208</v>
      </c>
      <c r="P5925" s="345" t="s">
        <v>209</v>
      </c>
      <c r="Q5925" s="345" t="s">
        <v>210</v>
      </c>
      <c r="R5925" s="345" t="s">
        <v>223</v>
      </c>
      <c r="S5925" s="345" t="s">
        <v>224</v>
      </c>
    </row>
    <row r="5926" spans="1:19" x14ac:dyDescent="0.25">
      <c r="A5926" s="311"/>
      <c r="B5926" s="312"/>
      <c r="C5926" s="312"/>
      <c r="D5926" s="312"/>
      <c r="E5926" s="312"/>
      <c r="F5926" s="312"/>
      <c r="G5926" s="328"/>
      <c r="H5926" s="453"/>
      <c r="I5926" s="334"/>
      <c r="J5926" s="314"/>
      <c r="K5926" s="454"/>
      <c r="M5926" s="349" t="str">
        <f>N5926&amp;AS[[#This Row],[Insurer Code]]&amp;"; "&amp;O5926&amp;AS[[#This Row],[Reporting Year]]&amp;"; "&amp;P5926&amp;AS[[#This Row],[Insurance Category Code]]&amp;"; "&amp;Q5926&amp;AS[[#This Row],[Large Provider Entity Code]]&amp;"; "&amp;R5926&amp;AS[[#This Row],[Age Band Code]]&amp;"; "&amp;S5926&amp;AS[[#This Row],[Sex Code]]</f>
        <v xml:space="preserve">Insurer Code ; Reporting Year ; Insurance Category Code ; Large Provider Entity Code ; Age Band Code ; Sex Code </v>
      </c>
      <c r="N5926" s="345" t="s">
        <v>207</v>
      </c>
      <c r="O5926" s="345" t="s">
        <v>208</v>
      </c>
      <c r="P5926" s="345" t="s">
        <v>209</v>
      </c>
      <c r="Q5926" s="345" t="s">
        <v>210</v>
      </c>
      <c r="R5926" s="345" t="s">
        <v>223</v>
      </c>
      <c r="S5926" s="345" t="s">
        <v>224</v>
      </c>
    </row>
    <row r="5927" spans="1:19" x14ac:dyDescent="0.25">
      <c r="A5927" s="311"/>
      <c r="B5927" s="312"/>
      <c r="C5927" s="312"/>
      <c r="D5927" s="312"/>
      <c r="E5927" s="312"/>
      <c r="F5927" s="312"/>
      <c r="G5927" s="328"/>
      <c r="H5927" s="453"/>
      <c r="I5927" s="334"/>
      <c r="J5927" s="314"/>
      <c r="K5927" s="454"/>
      <c r="M5927" s="349" t="str">
        <f>N5927&amp;AS[[#This Row],[Insurer Code]]&amp;"; "&amp;O5927&amp;AS[[#This Row],[Reporting Year]]&amp;"; "&amp;P5927&amp;AS[[#This Row],[Insurance Category Code]]&amp;"; "&amp;Q5927&amp;AS[[#This Row],[Large Provider Entity Code]]&amp;"; "&amp;R5927&amp;AS[[#This Row],[Age Band Code]]&amp;"; "&amp;S5927&amp;AS[[#This Row],[Sex Code]]</f>
        <v xml:space="preserve">Insurer Code ; Reporting Year ; Insurance Category Code ; Large Provider Entity Code ; Age Band Code ; Sex Code </v>
      </c>
      <c r="N5927" s="345" t="s">
        <v>207</v>
      </c>
      <c r="O5927" s="345" t="s">
        <v>208</v>
      </c>
      <c r="P5927" s="345" t="s">
        <v>209</v>
      </c>
      <c r="Q5927" s="345" t="s">
        <v>210</v>
      </c>
      <c r="R5927" s="345" t="s">
        <v>223</v>
      </c>
      <c r="S5927" s="345" t="s">
        <v>224</v>
      </c>
    </row>
    <row r="5928" spans="1:19" x14ac:dyDescent="0.25">
      <c r="A5928" s="311"/>
      <c r="B5928" s="312"/>
      <c r="C5928" s="312"/>
      <c r="D5928" s="312"/>
      <c r="E5928" s="312"/>
      <c r="F5928" s="312"/>
      <c r="G5928" s="328"/>
      <c r="H5928" s="453"/>
      <c r="I5928" s="334"/>
      <c r="J5928" s="314"/>
      <c r="K5928" s="454"/>
      <c r="M5928" s="349" t="str">
        <f>N5928&amp;AS[[#This Row],[Insurer Code]]&amp;"; "&amp;O5928&amp;AS[[#This Row],[Reporting Year]]&amp;"; "&amp;P5928&amp;AS[[#This Row],[Insurance Category Code]]&amp;"; "&amp;Q5928&amp;AS[[#This Row],[Large Provider Entity Code]]&amp;"; "&amp;R5928&amp;AS[[#This Row],[Age Band Code]]&amp;"; "&amp;S5928&amp;AS[[#This Row],[Sex Code]]</f>
        <v xml:space="preserve">Insurer Code ; Reporting Year ; Insurance Category Code ; Large Provider Entity Code ; Age Band Code ; Sex Code </v>
      </c>
      <c r="N5928" s="345" t="s">
        <v>207</v>
      </c>
      <c r="O5928" s="345" t="s">
        <v>208</v>
      </c>
      <c r="P5928" s="345" t="s">
        <v>209</v>
      </c>
      <c r="Q5928" s="345" t="s">
        <v>210</v>
      </c>
      <c r="R5928" s="345" t="s">
        <v>223</v>
      </c>
      <c r="S5928" s="345" t="s">
        <v>224</v>
      </c>
    </row>
    <row r="5929" spans="1:19" x14ac:dyDescent="0.25">
      <c r="A5929" s="311"/>
      <c r="B5929" s="312"/>
      <c r="C5929" s="312"/>
      <c r="D5929" s="312"/>
      <c r="E5929" s="312"/>
      <c r="F5929" s="312"/>
      <c r="G5929" s="328"/>
      <c r="H5929" s="453"/>
      <c r="I5929" s="334"/>
      <c r="J5929" s="314"/>
      <c r="K5929" s="454"/>
      <c r="M5929" s="349" t="str">
        <f>N5929&amp;AS[[#This Row],[Insurer Code]]&amp;"; "&amp;O5929&amp;AS[[#This Row],[Reporting Year]]&amp;"; "&amp;P5929&amp;AS[[#This Row],[Insurance Category Code]]&amp;"; "&amp;Q5929&amp;AS[[#This Row],[Large Provider Entity Code]]&amp;"; "&amp;R5929&amp;AS[[#This Row],[Age Band Code]]&amp;"; "&amp;S5929&amp;AS[[#This Row],[Sex Code]]</f>
        <v xml:space="preserve">Insurer Code ; Reporting Year ; Insurance Category Code ; Large Provider Entity Code ; Age Band Code ; Sex Code </v>
      </c>
      <c r="N5929" s="345" t="s">
        <v>207</v>
      </c>
      <c r="O5929" s="345" t="s">
        <v>208</v>
      </c>
      <c r="P5929" s="345" t="s">
        <v>209</v>
      </c>
      <c r="Q5929" s="345" t="s">
        <v>210</v>
      </c>
      <c r="R5929" s="345" t="s">
        <v>223</v>
      </c>
      <c r="S5929" s="345" t="s">
        <v>224</v>
      </c>
    </row>
    <row r="5930" spans="1:19" x14ac:dyDescent="0.25">
      <c r="A5930" s="311"/>
      <c r="B5930" s="312"/>
      <c r="C5930" s="312"/>
      <c r="D5930" s="312"/>
      <c r="E5930" s="312"/>
      <c r="F5930" s="312"/>
      <c r="G5930" s="328"/>
      <c r="H5930" s="453"/>
      <c r="I5930" s="334"/>
      <c r="J5930" s="314"/>
      <c r="K5930" s="454"/>
      <c r="M5930" s="349" t="str">
        <f>N5930&amp;AS[[#This Row],[Insurer Code]]&amp;"; "&amp;O5930&amp;AS[[#This Row],[Reporting Year]]&amp;"; "&amp;P5930&amp;AS[[#This Row],[Insurance Category Code]]&amp;"; "&amp;Q5930&amp;AS[[#This Row],[Large Provider Entity Code]]&amp;"; "&amp;R5930&amp;AS[[#This Row],[Age Band Code]]&amp;"; "&amp;S5930&amp;AS[[#This Row],[Sex Code]]</f>
        <v xml:space="preserve">Insurer Code ; Reporting Year ; Insurance Category Code ; Large Provider Entity Code ; Age Band Code ; Sex Code </v>
      </c>
      <c r="N5930" s="345" t="s">
        <v>207</v>
      </c>
      <c r="O5930" s="345" t="s">
        <v>208</v>
      </c>
      <c r="P5930" s="345" t="s">
        <v>209</v>
      </c>
      <c r="Q5930" s="345" t="s">
        <v>210</v>
      </c>
      <c r="R5930" s="345" t="s">
        <v>223</v>
      </c>
      <c r="S5930" s="345" t="s">
        <v>224</v>
      </c>
    </row>
    <row r="5931" spans="1:19" x14ac:dyDescent="0.25">
      <c r="A5931" s="311"/>
      <c r="B5931" s="312"/>
      <c r="C5931" s="312"/>
      <c r="D5931" s="312"/>
      <c r="E5931" s="312"/>
      <c r="F5931" s="312"/>
      <c r="G5931" s="328"/>
      <c r="H5931" s="453"/>
      <c r="I5931" s="334"/>
      <c r="J5931" s="314"/>
      <c r="K5931" s="454"/>
      <c r="M5931" s="349" t="str">
        <f>N5931&amp;AS[[#This Row],[Insurer Code]]&amp;"; "&amp;O5931&amp;AS[[#This Row],[Reporting Year]]&amp;"; "&amp;P5931&amp;AS[[#This Row],[Insurance Category Code]]&amp;"; "&amp;Q5931&amp;AS[[#This Row],[Large Provider Entity Code]]&amp;"; "&amp;R5931&amp;AS[[#This Row],[Age Band Code]]&amp;"; "&amp;S5931&amp;AS[[#This Row],[Sex Code]]</f>
        <v xml:space="preserve">Insurer Code ; Reporting Year ; Insurance Category Code ; Large Provider Entity Code ; Age Band Code ; Sex Code </v>
      </c>
      <c r="N5931" s="345" t="s">
        <v>207</v>
      </c>
      <c r="O5931" s="345" t="s">
        <v>208</v>
      </c>
      <c r="P5931" s="345" t="s">
        <v>209</v>
      </c>
      <c r="Q5931" s="345" t="s">
        <v>210</v>
      </c>
      <c r="R5931" s="345" t="s">
        <v>223</v>
      </c>
      <c r="S5931" s="345" t="s">
        <v>224</v>
      </c>
    </row>
    <row r="5932" spans="1:19" x14ac:dyDescent="0.25">
      <c r="A5932" s="311"/>
      <c r="B5932" s="312"/>
      <c r="C5932" s="312"/>
      <c r="D5932" s="312"/>
      <c r="E5932" s="312"/>
      <c r="F5932" s="312"/>
      <c r="G5932" s="328"/>
      <c r="H5932" s="453"/>
      <c r="I5932" s="334"/>
      <c r="J5932" s="314"/>
      <c r="K5932" s="454"/>
      <c r="M5932" s="349" t="str">
        <f>N5932&amp;AS[[#This Row],[Insurer Code]]&amp;"; "&amp;O5932&amp;AS[[#This Row],[Reporting Year]]&amp;"; "&amp;P5932&amp;AS[[#This Row],[Insurance Category Code]]&amp;"; "&amp;Q5932&amp;AS[[#This Row],[Large Provider Entity Code]]&amp;"; "&amp;R5932&amp;AS[[#This Row],[Age Band Code]]&amp;"; "&amp;S5932&amp;AS[[#This Row],[Sex Code]]</f>
        <v xml:space="preserve">Insurer Code ; Reporting Year ; Insurance Category Code ; Large Provider Entity Code ; Age Band Code ; Sex Code </v>
      </c>
      <c r="N5932" s="345" t="s">
        <v>207</v>
      </c>
      <c r="O5932" s="345" t="s">
        <v>208</v>
      </c>
      <c r="P5932" s="345" t="s">
        <v>209</v>
      </c>
      <c r="Q5932" s="345" t="s">
        <v>210</v>
      </c>
      <c r="R5932" s="345" t="s">
        <v>223</v>
      </c>
      <c r="S5932" s="345" t="s">
        <v>224</v>
      </c>
    </row>
    <row r="5933" spans="1:19" x14ac:dyDescent="0.25">
      <c r="A5933" s="311"/>
      <c r="B5933" s="312"/>
      <c r="C5933" s="312"/>
      <c r="D5933" s="312"/>
      <c r="E5933" s="312"/>
      <c r="F5933" s="312"/>
      <c r="G5933" s="328"/>
      <c r="H5933" s="453"/>
      <c r="I5933" s="334"/>
      <c r="J5933" s="314"/>
      <c r="K5933" s="454"/>
      <c r="M5933" s="349" t="str">
        <f>N5933&amp;AS[[#This Row],[Insurer Code]]&amp;"; "&amp;O5933&amp;AS[[#This Row],[Reporting Year]]&amp;"; "&amp;P5933&amp;AS[[#This Row],[Insurance Category Code]]&amp;"; "&amp;Q5933&amp;AS[[#This Row],[Large Provider Entity Code]]&amp;"; "&amp;R5933&amp;AS[[#This Row],[Age Band Code]]&amp;"; "&amp;S5933&amp;AS[[#This Row],[Sex Code]]</f>
        <v xml:space="preserve">Insurer Code ; Reporting Year ; Insurance Category Code ; Large Provider Entity Code ; Age Band Code ; Sex Code </v>
      </c>
      <c r="N5933" s="345" t="s">
        <v>207</v>
      </c>
      <c r="O5933" s="345" t="s">
        <v>208</v>
      </c>
      <c r="P5933" s="345" t="s">
        <v>209</v>
      </c>
      <c r="Q5933" s="345" t="s">
        <v>210</v>
      </c>
      <c r="R5933" s="345" t="s">
        <v>223</v>
      </c>
      <c r="S5933" s="345" t="s">
        <v>224</v>
      </c>
    </row>
    <row r="5934" spans="1:19" x14ac:dyDescent="0.25">
      <c r="A5934" s="311"/>
      <c r="B5934" s="312"/>
      <c r="C5934" s="312"/>
      <c r="D5934" s="312"/>
      <c r="E5934" s="312"/>
      <c r="F5934" s="312"/>
      <c r="G5934" s="328"/>
      <c r="H5934" s="453"/>
      <c r="I5934" s="334"/>
      <c r="J5934" s="314"/>
      <c r="K5934" s="454"/>
      <c r="M5934" s="349" t="str">
        <f>N5934&amp;AS[[#This Row],[Insurer Code]]&amp;"; "&amp;O5934&amp;AS[[#This Row],[Reporting Year]]&amp;"; "&amp;P5934&amp;AS[[#This Row],[Insurance Category Code]]&amp;"; "&amp;Q5934&amp;AS[[#This Row],[Large Provider Entity Code]]&amp;"; "&amp;R5934&amp;AS[[#This Row],[Age Band Code]]&amp;"; "&amp;S5934&amp;AS[[#This Row],[Sex Code]]</f>
        <v xml:space="preserve">Insurer Code ; Reporting Year ; Insurance Category Code ; Large Provider Entity Code ; Age Band Code ; Sex Code </v>
      </c>
      <c r="N5934" s="345" t="s">
        <v>207</v>
      </c>
      <c r="O5934" s="345" t="s">
        <v>208</v>
      </c>
      <c r="P5934" s="345" t="s">
        <v>209</v>
      </c>
      <c r="Q5934" s="345" t="s">
        <v>210</v>
      </c>
      <c r="R5934" s="345" t="s">
        <v>223</v>
      </c>
      <c r="S5934" s="345" t="s">
        <v>224</v>
      </c>
    </row>
    <row r="5935" spans="1:19" x14ac:dyDescent="0.25">
      <c r="A5935" s="311"/>
      <c r="B5935" s="312"/>
      <c r="C5935" s="312"/>
      <c r="D5935" s="312"/>
      <c r="E5935" s="312"/>
      <c r="F5935" s="312"/>
      <c r="G5935" s="328"/>
      <c r="H5935" s="453"/>
      <c r="I5935" s="334"/>
      <c r="J5935" s="314"/>
      <c r="K5935" s="454"/>
      <c r="M5935" s="349" t="str">
        <f>N5935&amp;AS[[#This Row],[Insurer Code]]&amp;"; "&amp;O5935&amp;AS[[#This Row],[Reporting Year]]&amp;"; "&amp;P5935&amp;AS[[#This Row],[Insurance Category Code]]&amp;"; "&amp;Q5935&amp;AS[[#This Row],[Large Provider Entity Code]]&amp;"; "&amp;R5935&amp;AS[[#This Row],[Age Band Code]]&amp;"; "&amp;S5935&amp;AS[[#This Row],[Sex Code]]</f>
        <v xml:space="preserve">Insurer Code ; Reporting Year ; Insurance Category Code ; Large Provider Entity Code ; Age Band Code ; Sex Code </v>
      </c>
      <c r="N5935" s="345" t="s">
        <v>207</v>
      </c>
      <c r="O5935" s="345" t="s">
        <v>208</v>
      </c>
      <c r="P5935" s="345" t="s">
        <v>209</v>
      </c>
      <c r="Q5935" s="345" t="s">
        <v>210</v>
      </c>
      <c r="R5935" s="345" t="s">
        <v>223</v>
      </c>
      <c r="S5935" s="345" t="s">
        <v>224</v>
      </c>
    </row>
    <row r="5936" spans="1:19" x14ac:dyDescent="0.25">
      <c r="A5936" s="311"/>
      <c r="B5936" s="312"/>
      <c r="C5936" s="312"/>
      <c r="D5936" s="312"/>
      <c r="E5936" s="312"/>
      <c r="F5936" s="312"/>
      <c r="G5936" s="328"/>
      <c r="H5936" s="453"/>
      <c r="I5936" s="334"/>
      <c r="J5936" s="314"/>
      <c r="K5936" s="454"/>
      <c r="M5936" s="349" t="str">
        <f>N5936&amp;AS[[#This Row],[Insurer Code]]&amp;"; "&amp;O5936&amp;AS[[#This Row],[Reporting Year]]&amp;"; "&amp;P5936&amp;AS[[#This Row],[Insurance Category Code]]&amp;"; "&amp;Q5936&amp;AS[[#This Row],[Large Provider Entity Code]]&amp;"; "&amp;R5936&amp;AS[[#This Row],[Age Band Code]]&amp;"; "&amp;S5936&amp;AS[[#This Row],[Sex Code]]</f>
        <v xml:space="preserve">Insurer Code ; Reporting Year ; Insurance Category Code ; Large Provider Entity Code ; Age Band Code ; Sex Code </v>
      </c>
      <c r="N5936" s="345" t="s">
        <v>207</v>
      </c>
      <c r="O5936" s="345" t="s">
        <v>208</v>
      </c>
      <c r="P5936" s="345" t="s">
        <v>209</v>
      </c>
      <c r="Q5936" s="345" t="s">
        <v>210</v>
      </c>
      <c r="R5936" s="345" t="s">
        <v>223</v>
      </c>
      <c r="S5936" s="345" t="s">
        <v>224</v>
      </c>
    </row>
    <row r="5937" spans="1:19" x14ac:dyDescent="0.25">
      <c r="A5937" s="311"/>
      <c r="B5937" s="312"/>
      <c r="C5937" s="312"/>
      <c r="D5937" s="312"/>
      <c r="E5937" s="312"/>
      <c r="F5937" s="312"/>
      <c r="G5937" s="328"/>
      <c r="H5937" s="453"/>
      <c r="I5937" s="334"/>
      <c r="J5937" s="314"/>
      <c r="K5937" s="454"/>
      <c r="M5937" s="349" t="str">
        <f>N5937&amp;AS[[#This Row],[Insurer Code]]&amp;"; "&amp;O5937&amp;AS[[#This Row],[Reporting Year]]&amp;"; "&amp;P5937&amp;AS[[#This Row],[Insurance Category Code]]&amp;"; "&amp;Q5937&amp;AS[[#This Row],[Large Provider Entity Code]]&amp;"; "&amp;R5937&amp;AS[[#This Row],[Age Band Code]]&amp;"; "&amp;S5937&amp;AS[[#This Row],[Sex Code]]</f>
        <v xml:space="preserve">Insurer Code ; Reporting Year ; Insurance Category Code ; Large Provider Entity Code ; Age Band Code ; Sex Code </v>
      </c>
      <c r="N5937" s="345" t="s">
        <v>207</v>
      </c>
      <c r="O5937" s="345" t="s">
        <v>208</v>
      </c>
      <c r="P5937" s="345" t="s">
        <v>209</v>
      </c>
      <c r="Q5937" s="345" t="s">
        <v>210</v>
      </c>
      <c r="R5937" s="345" t="s">
        <v>223</v>
      </c>
      <c r="S5937" s="345" t="s">
        <v>224</v>
      </c>
    </row>
    <row r="5938" spans="1:19" x14ac:dyDescent="0.25">
      <c r="A5938" s="311"/>
      <c r="B5938" s="312"/>
      <c r="C5938" s="312"/>
      <c r="D5938" s="312"/>
      <c r="E5938" s="312"/>
      <c r="F5938" s="312"/>
      <c r="G5938" s="328"/>
      <c r="H5938" s="453"/>
      <c r="I5938" s="334"/>
      <c r="J5938" s="314"/>
      <c r="K5938" s="454"/>
      <c r="M5938" s="349" t="str">
        <f>N5938&amp;AS[[#This Row],[Insurer Code]]&amp;"; "&amp;O5938&amp;AS[[#This Row],[Reporting Year]]&amp;"; "&amp;P5938&amp;AS[[#This Row],[Insurance Category Code]]&amp;"; "&amp;Q5938&amp;AS[[#This Row],[Large Provider Entity Code]]&amp;"; "&amp;R5938&amp;AS[[#This Row],[Age Band Code]]&amp;"; "&amp;S5938&amp;AS[[#This Row],[Sex Code]]</f>
        <v xml:space="preserve">Insurer Code ; Reporting Year ; Insurance Category Code ; Large Provider Entity Code ; Age Band Code ; Sex Code </v>
      </c>
      <c r="N5938" s="345" t="s">
        <v>207</v>
      </c>
      <c r="O5938" s="345" t="s">
        <v>208</v>
      </c>
      <c r="P5938" s="345" t="s">
        <v>209</v>
      </c>
      <c r="Q5938" s="345" t="s">
        <v>210</v>
      </c>
      <c r="R5938" s="345" t="s">
        <v>223</v>
      </c>
      <c r="S5938" s="345" t="s">
        <v>224</v>
      </c>
    </row>
    <row r="5939" spans="1:19" x14ac:dyDescent="0.25">
      <c r="A5939" s="311"/>
      <c r="B5939" s="312"/>
      <c r="C5939" s="312"/>
      <c r="D5939" s="312"/>
      <c r="E5939" s="312"/>
      <c r="F5939" s="312"/>
      <c r="G5939" s="328"/>
      <c r="H5939" s="453"/>
      <c r="I5939" s="334"/>
      <c r="J5939" s="314"/>
      <c r="K5939" s="454"/>
      <c r="M5939" s="349" t="str">
        <f>N5939&amp;AS[[#This Row],[Insurer Code]]&amp;"; "&amp;O5939&amp;AS[[#This Row],[Reporting Year]]&amp;"; "&amp;P5939&amp;AS[[#This Row],[Insurance Category Code]]&amp;"; "&amp;Q5939&amp;AS[[#This Row],[Large Provider Entity Code]]&amp;"; "&amp;R5939&amp;AS[[#This Row],[Age Band Code]]&amp;"; "&amp;S5939&amp;AS[[#This Row],[Sex Code]]</f>
        <v xml:space="preserve">Insurer Code ; Reporting Year ; Insurance Category Code ; Large Provider Entity Code ; Age Band Code ; Sex Code </v>
      </c>
      <c r="N5939" s="345" t="s">
        <v>207</v>
      </c>
      <c r="O5939" s="345" t="s">
        <v>208</v>
      </c>
      <c r="P5939" s="345" t="s">
        <v>209</v>
      </c>
      <c r="Q5939" s="345" t="s">
        <v>210</v>
      </c>
      <c r="R5939" s="345" t="s">
        <v>223</v>
      </c>
      <c r="S5939" s="345" t="s">
        <v>224</v>
      </c>
    </row>
    <row r="5940" spans="1:19" x14ac:dyDescent="0.25">
      <c r="A5940" s="311"/>
      <c r="B5940" s="312"/>
      <c r="C5940" s="312"/>
      <c r="D5940" s="312"/>
      <c r="E5940" s="312"/>
      <c r="F5940" s="312"/>
      <c r="G5940" s="328"/>
      <c r="H5940" s="453"/>
      <c r="I5940" s="334"/>
      <c r="J5940" s="314"/>
      <c r="K5940" s="454"/>
      <c r="M5940" s="349" t="str">
        <f>N5940&amp;AS[[#This Row],[Insurer Code]]&amp;"; "&amp;O5940&amp;AS[[#This Row],[Reporting Year]]&amp;"; "&amp;P5940&amp;AS[[#This Row],[Insurance Category Code]]&amp;"; "&amp;Q5940&amp;AS[[#This Row],[Large Provider Entity Code]]&amp;"; "&amp;R5940&amp;AS[[#This Row],[Age Band Code]]&amp;"; "&amp;S5940&amp;AS[[#This Row],[Sex Code]]</f>
        <v xml:space="preserve">Insurer Code ; Reporting Year ; Insurance Category Code ; Large Provider Entity Code ; Age Band Code ; Sex Code </v>
      </c>
      <c r="N5940" s="345" t="s">
        <v>207</v>
      </c>
      <c r="O5940" s="345" t="s">
        <v>208</v>
      </c>
      <c r="P5940" s="345" t="s">
        <v>209</v>
      </c>
      <c r="Q5940" s="345" t="s">
        <v>210</v>
      </c>
      <c r="R5940" s="345" t="s">
        <v>223</v>
      </c>
      <c r="S5940" s="345" t="s">
        <v>224</v>
      </c>
    </row>
    <row r="5941" spans="1:19" x14ac:dyDescent="0.25">
      <c r="A5941" s="311"/>
      <c r="B5941" s="312"/>
      <c r="C5941" s="312"/>
      <c r="D5941" s="312"/>
      <c r="E5941" s="312"/>
      <c r="F5941" s="312"/>
      <c r="G5941" s="328"/>
      <c r="H5941" s="453"/>
      <c r="I5941" s="334"/>
      <c r="J5941" s="314"/>
      <c r="K5941" s="454"/>
      <c r="M5941" s="349" t="str">
        <f>N5941&amp;AS[[#This Row],[Insurer Code]]&amp;"; "&amp;O5941&amp;AS[[#This Row],[Reporting Year]]&amp;"; "&amp;P5941&amp;AS[[#This Row],[Insurance Category Code]]&amp;"; "&amp;Q5941&amp;AS[[#This Row],[Large Provider Entity Code]]&amp;"; "&amp;R5941&amp;AS[[#This Row],[Age Band Code]]&amp;"; "&amp;S5941&amp;AS[[#This Row],[Sex Code]]</f>
        <v xml:space="preserve">Insurer Code ; Reporting Year ; Insurance Category Code ; Large Provider Entity Code ; Age Band Code ; Sex Code </v>
      </c>
      <c r="N5941" s="345" t="s">
        <v>207</v>
      </c>
      <c r="O5941" s="345" t="s">
        <v>208</v>
      </c>
      <c r="P5941" s="345" t="s">
        <v>209</v>
      </c>
      <c r="Q5941" s="345" t="s">
        <v>210</v>
      </c>
      <c r="R5941" s="345" t="s">
        <v>223</v>
      </c>
      <c r="S5941" s="345" t="s">
        <v>224</v>
      </c>
    </row>
    <row r="5942" spans="1:19" x14ac:dyDescent="0.25">
      <c r="A5942" s="311"/>
      <c r="B5942" s="312"/>
      <c r="C5942" s="312"/>
      <c r="D5942" s="312"/>
      <c r="E5942" s="312"/>
      <c r="F5942" s="312"/>
      <c r="G5942" s="328"/>
      <c r="H5942" s="453"/>
      <c r="I5942" s="334"/>
      <c r="J5942" s="314"/>
      <c r="K5942" s="454"/>
      <c r="M5942" s="349" t="str">
        <f>N5942&amp;AS[[#This Row],[Insurer Code]]&amp;"; "&amp;O5942&amp;AS[[#This Row],[Reporting Year]]&amp;"; "&amp;P5942&amp;AS[[#This Row],[Insurance Category Code]]&amp;"; "&amp;Q5942&amp;AS[[#This Row],[Large Provider Entity Code]]&amp;"; "&amp;R5942&amp;AS[[#This Row],[Age Band Code]]&amp;"; "&amp;S5942&amp;AS[[#This Row],[Sex Code]]</f>
        <v xml:space="preserve">Insurer Code ; Reporting Year ; Insurance Category Code ; Large Provider Entity Code ; Age Band Code ; Sex Code </v>
      </c>
      <c r="N5942" s="345" t="s">
        <v>207</v>
      </c>
      <c r="O5942" s="345" t="s">
        <v>208</v>
      </c>
      <c r="P5942" s="345" t="s">
        <v>209</v>
      </c>
      <c r="Q5942" s="345" t="s">
        <v>210</v>
      </c>
      <c r="R5942" s="345" t="s">
        <v>223</v>
      </c>
      <c r="S5942" s="345" t="s">
        <v>224</v>
      </c>
    </row>
    <row r="5943" spans="1:19" x14ac:dyDescent="0.25">
      <c r="A5943" s="311"/>
      <c r="B5943" s="312"/>
      <c r="C5943" s="312"/>
      <c r="D5943" s="312"/>
      <c r="E5943" s="312"/>
      <c r="F5943" s="312"/>
      <c r="G5943" s="328"/>
      <c r="H5943" s="453"/>
      <c r="I5943" s="334"/>
      <c r="J5943" s="314"/>
      <c r="K5943" s="454"/>
      <c r="M5943" s="349" t="str">
        <f>N5943&amp;AS[[#This Row],[Insurer Code]]&amp;"; "&amp;O5943&amp;AS[[#This Row],[Reporting Year]]&amp;"; "&amp;P5943&amp;AS[[#This Row],[Insurance Category Code]]&amp;"; "&amp;Q5943&amp;AS[[#This Row],[Large Provider Entity Code]]&amp;"; "&amp;R5943&amp;AS[[#This Row],[Age Band Code]]&amp;"; "&amp;S5943&amp;AS[[#This Row],[Sex Code]]</f>
        <v xml:space="preserve">Insurer Code ; Reporting Year ; Insurance Category Code ; Large Provider Entity Code ; Age Band Code ; Sex Code </v>
      </c>
      <c r="N5943" s="345" t="s">
        <v>207</v>
      </c>
      <c r="O5943" s="345" t="s">
        <v>208</v>
      </c>
      <c r="P5943" s="345" t="s">
        <v>209</v>
      </c>
      <c r="Q5943" s="345" t="s">
        <v>210</v>
      </c>
      <c r="R5943" s="345" t="s">
        <v>223</v>
      </c>
      <c r="S5943" s="345" t="s">
        <v>224</v>
      </c>
    </row>
    <row r="5944" spans="1:19" x14ac:dyDescent="0.25">
      <c r="A5944" s="311"/>
      <c r="B5944" s="312"/>
      <c r="C5944" s="312"/>
      <c r="D5944" s="312"/>
      <c r="E5944" s="312"/>
      <c r="F5944" s="312"/>
      <c r="G5944" s="328"/>
      <c r="H5944" s="453"/>
      <c r="I5944" s="334"/>
      <c r="J5944" s="314"/>
      <c r="K5944" s="454"/>
      <c r="M5944" s="349" t="str">
        <f>N5944&amp;AS[[#This Row],[Insurer Code]]&amp;"; "&amp;O5944&amp;AS[[#This Row],[Reporting Year]]&amp;"; "&amp;P5944&amp;AS[[#This Row],[Insurance Category Code]]&amp;"; "&amp;Q5944&amp;AS[[#This Row],[Large Provider Entity Code]]&amp;"; "&amp;R5944&amp;AS[[#This Row],[Age Band Code]]&amp;"; "&amp;S5944&amp;AS[[#This Row],[Sex Code]]</f>
        <v xml:space="preserve">Insurer Code ; Reporting Year ; Insurance Category Code ; Large Provider Entity Code ; Age Band Code ; Sex Code </v>
      </c>
      <c r="N5944" s="345" t="s">
        <v>207</v>
      </c>
      <c r="O5944" s="345" t="s">
        <v>208</v>
      </c>
      <c r="P5944" s="345" t="s">
        <v>209</v>
      </c>
      <c r="Q5944" s="345" t="s">
        <v>210</v>
      </c>
      <c r="R5944" s="345" t="s">
        <v>223</v>
      </c>
      <c r="S5944" s="345" t="s">
        <v>224</v>
      </c>
    </row>
    <row r="5945" spans="1:19" x14ac:dyDescent="0.25">
      <c r="A5945" s="311"/>
      <c r="B5945" s="312"/>
      <c r="C5945" s="312"/>
      <c r="D5945" s="312"/>
      <c r="E5945" s="312"/>
      <c r="F5945" s="312"/>
      <c r="G5945" s="328"/>
      <c r="H5945" s="453"/>
      <c r="I5945" s="334"/>
      <c r="J5945" s="314"/>
      <c r="K5945" s="454"/>
      <c r="M5945" s="349" t="str">
        <f>N5945&amp;AS[[#This Row],[Insurer Code]]&amp;"; "&amp;O5945&amp;AS[[#This Row],[Reporting Year]]&amp;"; "&amp;P5945&amp;AS[[#This Row],[Insurance Category Code]]&amp;"; "&amp;Q5945&amp;AS[[#This Row],[Large Provider Entity Code]]&amp;"; "&amp;R5945&amp;AS[[#This Row],[Age Band Code]]&amp;"; "&amp;S5945&amp;AS[[#This Row],[Sex Code]]</f>
        <v xml:space="preserve">Insurer Code ; Reporting Year ; Insurance Category Code ; Large Provider Entity Code ; Age Band Code ; Sex Code </v>
      </c>
      <c r="N5945" s="345" t="s">
        <v>207</v>
      </c>
      <c r="O5945" s="345" t="s">
        <v>208</v>
      </c>
      <c r="P5945" s="345" t="s">
        <v>209</v>
      </c>
      <c r="Q5945" s="345" t="s">
        <v>210</v>
      </c>
      <c r="R5945" s="345" t="s">
        <v>223</v>
      </c>
      <c r="S5945" s="345" t="s">
        <v>224</v>
      </c>
    </row>
    <row r="5946" spans="1:19" x14ac:dyDescent="0.25">
      <c r="A5946" s="311"/>
      <c r="B5946" s="312"/>
      <c r="C5946" s="312"/>
      <c r="D5946" s="312"/>
      <c r="E5946" s="312"/>
      <c r="F5946" s="312"/>
      <c r="G5946" s="328"/>
      <c r="H5946" s="453"/>
      <c r="I5946" s="334"/>
      <c r="J5946" s="314"/>
      <c r="K5946" s="454"/>
      <c r="M5946" s="349" t="str">
        <f>N5946&amp;AS[[#This Row],[Insurer Code]]&amp;"; "&amp;O5946&amp;AS[[#This Row],[Reporting Year]]&amp;"; "&amp;P5946&amp;AS[[#This Row],[Insurance Category Code]]&amp;"; "&amp;Q5946&amp;AS[[#This Row],[Large Provider Entity Code]]&amp;"; "&amp;R5946&amp;AS[[#This Row],[Age Band Code]]&amp;"; "&amp;S5946&amp;AS[[#This Row],[Sex Code]]</f>
        <v xml:space="preserve">Insurer Code ; Reporting Year ; Insurance Category Code ; Large Provider Entity Code ; Age Band Code ; Sex Code </v>
      </c>
      <c r="N5946" s="345" t="s">
        <v>207</v>
      </c>
      <c r="O5946" s="345" t="s">
        <v>208</v>
      </c>
      <c r="P5946" s="345" t="s">
        <v>209</v>
      </c>
      <c r="Q5946" s="345" t="s">
        <v>210</v>
      </c>
      <c r="R5946" s="345" t="s">
        <v>223</v>
      </c>
      <c r="S5946" s="345" t="s">
        <v>224</v>
      </c>
    </row>
    <row r="5947" spans="1:19" x14ac:dyDescent="0.25">
      <c r="A5947" s="311"/>
      <c r="B5947" s="312"/>
      <c r="C5947" s="312"/>
      <c r="D5947" s="312"/>
      <c r="E5947" s="312"/>
      <c r="F5947" s="312"/>
      <c r="G5947" s="328"/>
      <c r="H5947" s="453"/>
      <c r="I5947" s="334"/>
      <c r="J5947" s="314"/>
      <c r="K5947" s="454"/>
      <c r="M5947" s="349" t="str">
        <f>N5947&amp;AS[[#This Row],[Insurer Code]]&amp;"; "&amp;O5947&amp;AS[[#This Row],[Reporting Year]]&amp;"; "&amp;P5947&amp;AS[[#This Row],[Insurance Category Code]]&amp;"; "&amp;Q5947&amp;AS[[#This Row],[Large Provider Entity Code]]&amp;"; "&amp;R5947&amp;AS[[#This Row],[Age Band Code]]&amp;"; "&amp;S5947&amp;AS[[#This Row],[Sex Code]]</f>
        <v xml:space="preserve">Insurer Code ; Reporting Year ; Insurance Category Code ; Large Provider Entity Code ; Age Band Code ; Sex Code </v>
      </c>
      <c r="N5947" s="345" t="s">
        <v>207</v>
      </c>
      <c r="O5947" s="345" t="s">
        <v>208</v>
      </c>
      <c r="P5947" s="345" t="s">
        <v>209</v>
      </c>
      <c r="Q5947" s="345" t="s">
        <v>210</v>
      </c>
      <c r="R5947" s="345" t="s">
        <v>223</v>
      </c>
      <c r="S5947" s="345" t="s">
        <v>224</v>
      </c>
    </row>
    <row r="5948" spans="1:19" x14ac:dyDescent="0.25">
      <c r="A5948" s="311"/>
      <c r="B5948" s="312"/>
      <c r="C5948" s="312"/>
      <c r="D5948" s="312"/>
      <c r="E5948" s="312"/>
      <c r="F5948" s="312"/>
      <c r="G5948" s="328"/>
      <c r="H5948" s="453"/>
      <c r="I5948" s="334"/>
      <c r="J5948" s="314"/>
      <c r="K5948" s="454"/>
      <c r="M5948" s="349" t="str">
        <f>N5948&amp;AS[[#This Row],[Insurer Code]]&amp;"; "&amp;O5948&amp;AS[[#This Row],[Reporting Year]]&amp;"; "&amp;P5948&amp;AS[[#This Row],[Insurance Category Code]]&amp;"; "&amp;Q5948&amp;AS[[#This Row],[Large Provider Entity Code]]&amp;"; "&amp;R5948&amp;AS[[#This Row],[Age Band Code]]&amp;"; "&amp;S5948&amp;AS[[#This Row],[Sex Code]]</f>
        <v xml:space="preserve">Insurer Code ; Reporting Year ; Insurance Category Code ; Large Provider Entity Code ; Age Band Code ; Sex Code </v>
      </c>
      <c r="N5948" s="345" t="s">
        <v>207</v>
      </c>
      <c r="O5948" s="345" t="s">
        <v>208</v>
      </c>
      <c r="P5948" s="345" t="s">
        <v>209</v>
      </c>
      <c r="Q5948" s="345" t="s">
        <v>210</v>
      </c>
      <c r="R5948" s="345" t="s">
        <v>223</v>
      </c>
      <c r="S5948" s="345" t="s">
        <v>224</v>
      </c>
    </row>
    <row r="5949" spans="1:19" x14ac:dyDescent="0.25">
      <c r="A5949" s="311"/>
      <c r="B5949" s="312"/>
      <c r="C5949" s="312"/>
      <c r="D5949" s="312"/>
      <c r="E5949" s="312"/>
      <c r="F5949" s="312"/>
      <c r="G5949" s="328"/>
      <c r="H5949" s="453"/>
      <c r="I5949" s="334"/>
      <c r="J5949" s="314"/>
      <c r="K5949" s="454"/>
      <c r="M5949" s="349" t="str">
        <f>N5949&amp;AS[[#This Row],[Insurer Code]]&amp;"; "&amp;O5949&amp;AS[[#This Row],[Reporting Year]]&amp;"; "&amp;P5949&amp;AS[[#This Row],[Insurance Category Code]]&amp;"; "&amp;Q5949&amp;AS[[#This Row],[Large Provider Entity Code]]&amp;"; "&amp;R5949&amp;AS[[#This Row],[Age Band Code]]&amp;"; "&amp;S5949&amp;AS[[#This Row],[Sex Code]]</f>
        <v xml:space="preserve">Insurer Code ; Reporting Year ; Insurance Category Code ; Large Provider Entity Code ; Age Band Code ; Sex Code </v>
      </c>
      <c r="N5949" s="345" t="s">
        <v>207</v>
      </c>
      <c r="O5949" s="345" t="s">
        <v>208</v>
      </c>
      <c r="P5949" s="345" t="s">
        <v>209</v>
      </c>
      <c r="Q5949" s="345" t="s">
        <v>210</v>
      </c>
      <c r="R5949" s="345" t="s">
        <v>223</v>
      </c>
      <c r="S5949" s="345" t="s">
        <v>224</v>
      </c>
    </row>
    <row r="5950" spans="1:19" x14ac:dyDescent="0.25">
      <c r="A5950" s="311"/>
      <c r="B5950" s="312"/>
      <c r="C5950" s="312"/>
      <c r="D5950" s="312"/>
      <c r="E5950" s="312"/>
      <c r="F5950" s="312"/>
      <c r="G5950" s="328"/>
      <c r="H5950" s="453"/>
      <c r="I5950" s="334"/>
      <c r="J5950" s="314"/>
      <c r="K5950" s="454"/>
      <c r="M5950" s="349" t="str">
        <f>N5950&amp;AS[[#This Row],[Insurer Code]]&amp;"; "&amp;O5950&amp;AS[[#This Row],[Reporting Year]]&amp;"; "&amp;P5950&amp;AS[[#This Row],[Insurance Category Code]]&amp;"; "&amp;Q5950&amp;AS[[#This Row],[Large Provider Entity Code]]&amp;"; "&amp;R5950&amp;AS[[#This Row],[Age Band Code]]&amp;"; "&amp;S5950&amp;AS[[#This Row],[Sex Code]]</f>
        <v xml:space="preserve">Insurer Code ; Reporting Year ; Insurance Category Code ; Large Provider Entity Code ; Age Band Code ; Sex Code </v>
      </c>
      <c r="N5950" s="345" t="s">
        <v>207</v>
      </c>
      <c r="O5950" s="345" t="s">
        <v>208</v>
      </c>
      <c r="P5950" s="345" t="s">
        <v>209</v>
      </c>
      <c r="Q5950" s="345" t="s">
        <v>210</v>
      </c>
      <c r="R5950" s="345" t="s">
        <v>223</v>
      </c>
      <c r="S5950" s="345" t="s">
        <v>224</v>
      </c>
    </row>
    <row r="5951" spans="1:19" x14ac:dyDescent="0.25">
      <c r="A5951" s="311"/>
      <c r="B5951" s="312"/>
      <c r="C5951" s="312"/>
      <c r="D5951" s="312"/>
      <c r="E5951" s="312"/>
      <c r="F5951" s="312"/>
      <c r="G5951" s="328"/>
      <c r="H5951" s="453"/>
      <c r="I5951" s="334"/>
      <c r="J5951" s="314"/>
      <c r="K5951" s="454"/>
      <c r="M5951" s="349" t="str">
        <f>N5951&amp;AS[[#This Row],[Insurer Code]]&amp;"; "&amp;O5951&amp;AS[[#This Row],[Reporting Year]]&amp;"; "&amp;P5951&amp;AS[[#This Row],[Insurance Category Code]]&amp;"; "&amp;Q5951&amp;AS[[#This Row],[Large Provider Entity Code]]&amp;"; "&amp;R5951&amp;AS[[#This Row],[Age Band Code]]&amp;"; "&amp;S5951&amp;AS[[#This Row],[Sex Code]]</f>
        <v xml:space="preserve">Insurer Code ; Reporting Year ; Insurance Category Code ; Large Provider Entity Code ; Age Band Code ; Sex Code </v>
      </c>
      <c r="N5951" s="345" t="s">
        <v>207</v>
      </c>
      <c r="O5951" s="345" t="s">
        <v>208</v>
      </c>
      <c r="P5951" s="345" t="s">
        <v>209</v>
      </c>
      <c r="Q5951" s="345" t="s">
        <v>210</v>
      </c>
      <c r="R5951" s="345" t="s">
        <v>223</v>
      </c>
      <c r="S5951" s="345" t="s">
        <v>224</v>
      </c>
    </row>
    <row r="5952" spans="1:19" x14ac:dyDescent="0.25">
      <c r="A5952" s="311"/>
      <c r="B5952" s="312"/>
      <c r="C5952" s="312"/>
      <c r="D5952" s="312"/>
      <c r="E5952" s="312"/>
      <c r="F5952" s="312"/>
      <c r="G5952" s="328"/>
      <c r="H5952" s="453"/>
      <c r="I5952" s="334"/>
      <c r="J5952" s="314"/>
      <c r="K5952" s="454"/>
      <c r="M5952" s="349" t="str">
        <f>N5952&amp;AS[[#This Row],[Insurer Code]]&amp;"; "&amp;O5952&amp;AS[[#This Row],[Reporting Year]]&amp;"; "&amp;P5952&amp;AS[[#This Row],[Insurance Category Code]]&amp;"; "&amp;Q5952&amp;AS[[#This Row],[Large Provider Entity Code]]&amp;"; "&amp;R5952&amp;AS[[#This Row],[Age Band Code]]&amp;"; "&amp;S5952&amp;AS[[#This Row],[Sex Code]]</f>
        <v xml:space="preserve">Insurer Code ; Reporting Year ; Insurance Category Code ; Large Provider Entity Code ; Age Band Code ; Sex Code </v>
      </c>
      <c r="N5952" s="345" t="s">
        <v>207</v>
      </c>
      <c r="O5952" s="345" t="s">
        <v>208</v>
      </c>
      <c r="P5952" s="345" t="s">
        <v>209</v>
      </c>
      <c r="Q5952" s="345" t="s">
        <v>210</v>
      </c>
      <c r="R5952" s="345" t="s">
        <v>223</v>
      </c>
      <c r="S5952" s="345" t="s">
        <v>224</v>
      </c>
    </row>
    <row r="5953" spans="1:19" x14ac:dyDescent="0.25">
      <c r="A5953" s="311"/>
      <c r="B5953" s="312"/>
      <c r="C5953" s="312"/>
      <c r="D5953" s="312"/>
      <c r="E5953" s="312"/>
      <c r="F5953" s="312"/>
      <c r="G5953" s="328"/>
      <c r="H5953" s="453"/>
      <c r="I5953" s="334"/>
      <c r="J5953" s="314"/>
      <c r="K5953" s="454"/>
      <c r="M5953" s="349" t="str">
        <f>N5953&amp;AS[[#This Row],[Insurer Code]]&amp;"; "&amp;O5953&amp;AS[[#This Row],[Reporting Year]]&amp;"; "&amp;P5953&amp;AS[[#This Row],[Insurance Category Code]]&amp;"; "&amp;Q5953&amp;AS[[#This Row],[Large Provider Entity Code]]&amp;"; "&amp;R5953&amp;AS[[#This Row],[Age Band Code]]&amp;"; "&amp;S5953&amp;AS[[#This Row],[Sex Code]]</f>
        <v xml:space="preserve">Insurer Code ; Reporting Year ; Insurance Category Code ; Large Provider Entity Code ; Age Band Code ; Sex Code </v>
      </c>
      <c r="N5953" s="345" t="s">
        <v>207</v>
      </c>
      <c r="O5953" s="345" t="s">
        <v>208</v>
      </c>
      <c r="P5953" s="345" t="s">
        <v>209</v>
      </c>
      <c r="Q5953" s="345" t="s">
        <v>210</v>
      </c>
      <c r="R5953" s="345" t="s">
        <v>223</v>
      </c>
      <c r="S5953" s="345" t="s">
        <v>224</v>
      </c>
    </row>
    <row r="5954" spans="1:19" x14ac:dyDescent="0.25">
      <c r="A5954" s="311"/>
      <c r="B5954" s="312"/>
      <c r="C5954" s="312"/>
      <c r="D5954" s="312"/>
      <c r="E5954" s="312"/>
      <c r="F5954" s="312"/>
      <c r="G5954" s="328"/>
      <c r="H5954" s="453"/>
      <c r="I5954" s="334"/>
      <c r="J5954" s="314"/>
      <c r="K5954" s="454"/>
      <c r="M5954" s="349" t="str">
        <f>N5954&amp;AS[[#This Row],[Insurer Code]]&amp;"; "&amp;O5954&amp;AS[[#This Row],[Reporting Year]]&amp;"; "&amp;P5954&amp;AS[[#This Row],[Insurance Category Code]]&amp;"; "&amp;Q5954&amp;AS[[#This Row],[Large Provider Entity Code]]&amp;"; "&amp;R5954&amp;AS[[#This Row],[Age Band Code]]&amp;"; "&amp;S5954&amp;AS[[#This Row],[Sex Code]]</f>
        <v xml:space="preserve">Insurer Code ; Reporting Year ; Insurance Category Code ; Large Provider Entity Code ; Age Band Code ; Sex Code </v>
      </c>
      <c r="N5954" s="345" t="s">
        <v>207</v>
      </c>
      <c r="O5954" s="345" t="s">
        <v>208</v>
      </c>
      <c r="P5954" s="345" t="s">
        <v>209</v>
      </c>
      <c r="Q5954" s="345" t="s">
        <v>210</v>
      </c>
      <c r="R5954" s="345" t="s">
        <v>223</v>
      </c>
      <c r="S5954" s="345" t="s">
        <v>224</v>
      </c>
    </row>
    <row r="5955" spans="1:19" x14ac:dyDescent="0.25">
      <c r="A5955" s="311"/>
      <c r="B5955" s="312"/>
      <c r="C5955" s="312"/>
      <c r="D5955" s="312"/>
      <c r="E5955" s="312"/>
      <c r="F5955" s="312"/>
      <c r="G5955" s="328"/>
      <c r="H5955" s="453"/>
      <c r="I5955" s="334"/>
      <c r="J5955" s="314"/>
      <c r="K5955" s="454"/>
      <c r="M5955" s="349" t="str">
        <f>N5955&amp;AS[[#This Row],[Insurer Code]]&amp;"; "&amp;O5955&amp;AS[[#This Row],[Reporting Year]]&amp;"; "&amp;P5955&amp;AS[[#This Row],[Insurance Category Code]]&amp;"; "&amp;Q5955&amp;AS[[#This Row],[Large Provider Entity Code]]&amp;"; "&amp;R5955&amp;AS[[#This Row],[Age Band Code]]&amp;"; "&amp;S5955&amp;AS[[#This Row],[Sex Code]]</f>
        <v xml:space="preserve">Insurer Code ; Reporting Year ; Insurance Category Code ; Large Provider Entity Code ; Age Band Code ; Sex Code </v>
      </c>
      <c r="N5955" s="345" t="s">
        <v>207</v>
      </c>
      <c r="O5955" s="345" t="s">
        <v>208</v>
      </c>
      <c r="P5955" s="345" t="s">
        <v>209</v>
      </c>
      <c r="Q5955" s="345" t="s">
        <v>210</v>
      </c>
      <c r="R5955" s="345" t="s">
        <v>223</v>
      </c>
      <c r="S5955" s="345" t="s">
        <v>224</v>
      </c>
    </row>
    <row r="5956" spans="1:19" x14ac:dyDescent="0.25">
      <c r="A5956" s="311"/>
      <c r="B5956" s="312"/>
      <c r="C5956" s="312"/>
      <c r="D5956" s="312"/>
      <c r="E5956" s="312"/>
      <c r="F5956" s="312"/>
      <c r="G5956" s="328"/>
      <c r="H5956" s="453"/>
      <c r="I5956" s="334"/>
      <c r="J5956" s="314"/>
      <c r="K5956" s="454"/>
      <c r="M5956" s="349" t="str">
        <f>N5956&amp;AS[[#This Row],[Insurer Code]]&amp;"; "&amp;O5956&amp;AS[[#This Row],[Reporting Year]]&amp;"; "&amp;P5956&amp;AS[[#This Row],[Insurance Category Code]]&amp;"; "&amp;Q5956&amp;AS[[#This Row],[Large Provider Entity Code]]&amp;"; "&amp;R5956&amp;AS[[#This Row],[Age Band Code]]&amp;"; "&amp;S5956&amp;AS[[#This Row],[Sex Code]]</f>
        <v xml:space="preserve">Insurer Code ; Reporting Year ; Insurance Category Code ; Large Provider Entity Code ; Age Band Code ; Sex Code </v>
      </c>
      <c r="N5956" s="345" t="s">
        <v>207</v>
      </c>
      <c r="O5956" s="345" t="s">
        <v>208</v>
      </c>
      <c r="P5956" s="345" t="s">
        <v>209</v>
      </c>
      <c r="Q5956" s="345" t="s">
        <v>210</v>
      </c>
      <c r="R5956" s="345" t="s">
        <v>223</v>
      </c>
      <c r="S5956" s="345" t="s">
        <v>224</v>
      </c>
    </row>
    <row r="5957" spans="1:19" x14ac:dyDescent="0.25">
      <c r="A5957" s="311"/>
      <c r="B5957" s="312"/>
      <c r="C5957" s="312"/>
      <c r="D5957" s="312"/>
      <c r="E5957" s="312"/>
      <c r="F5957" s="312"/>
      <c r="G5957" s="328"/>
      <c r="H5957" s="453"/>
      <c r="I5957" s="334"/>
      <c r="J5957" s="314"/>
      <c r="K5957" s="454"/>
      <c r="M5957" s="349" t="str">
        <f>N5957&amp;AS[[#This Row],[Insurer Code]]&amp;"; "&amp;O5957&amp;AS[[#This Row],[Reporting Year]]&amp;"; "&amp;P5957&amp;AS[[#This Row],[Insurance Category Code]]&amp;"; "&amp;Q5957&amp;AS[[#This Row],[Large Provider Entity Code]]&amp;"; "&amp;R5957&amp;AS[[#This Row],[Age Band Code]]&amp;"; "&amp;S5957&amp;AS[[#This Row],[Sex Code]]</f>
        <v xml:space="preserve">Insurer Code ; Reporting Year ; Insurance Category Code ; Large Provider Entity Code ; Age Band Code ; Sex Code </v>
      </c>
      <c r="N5957" s="345" t="s">
        <v>207</v>
      </c>
      <c r="O5957" s="345" t="s">
        <v>208</v>
      </c>
      <c r="P5957" s="345" t="s">
        <v>209</v>
      </c>
      <c r="Q5957" s="345" t="s">
        <v>210</v>
      </c>
      <c r="R5957" s="345" t="s">
        <v>223</v>
      </c>
      <c r="S5957" s="345" t="s">
        <v>224</v>
      </c>
    </row>
    <row r="5958" spans="1:19" x14ac:dyDescent="0.25">
      <c r="A5958" s="311"/>
      <c r="B5958" s="312"/>
      <c r="C5958" s="312"/>
      <c r="D5958" s="312"/>
      <c r="E5958" s="312"/>
      <c r="F5958" s="312"/>
      <c r="G5958" s="328"/>
      <c r="H5958" s="453"/>
      <c r="I5958" s="334"/>
      <c r="J5958" s="314"/>
      <c r="K5958" s="454"/>
      <c r="M5958" s="349" t="str">
        <f>N5958&amp;AS[[#This Row],[Insurer Code]]&amp;"; "&amp;O5958&amp;AS[[#This Row],[Reporting Year]]&amp;"; "&amp;P5958&amp;AS[[#This Row],[Insurance Category Code]]&amp;"; "&amp;Q5958&amp;AS[[#This Row],[Large Provider Entity Code]]&amp;"; "&amp;R5958&amp;AS[[#This Row],[Age Band Code]]&amp;"; "&amp;S5958&amp;AS[[#This Row],[Sex Code]]</f>
        <v xml:space="preserve">Insurer Code ; Reporting Year ; Insurance Category Code ; Large Provider Entity Code ; Age Band Code ; Sex Code </v>
      </c>
      <c r="N5958" s="345" t="s">
        <v>207</v>
      </c>
      <c r="O5958" s="345" t="s">
        <v>208</v>
      </c>
      <c r="P5958" s="345" t="s">
        <v>209</v>
      </c>
      <c r="Q5958" s="345" t="s">
        <v>210</v>
      </c>
      <c r="R5958" s="345" t="s">
        <v>223</v>
      </c>
      <c r="S5958" s="345" t="s">
        <v>224</v>
      </c>
    </row>
    <row r="5959" spans="1:19" x14ac:dyDescent="0.25">
      <c r="A5959" s="311"/>
      <c r="B5959" s="312"/>
      <c r="C5959" s="312"/>
      <c r="D5959" s="312"/>
      <c r="E5959" s="312"/>
      <c r="F5959" s="312"/>
      <c r="G5959" s="328"/>
      <c r="H5959" s="453"/>
      <c r="I5959" s="334"/>
      <c r="J5959" s="314"/>
      <c r="K5959" s="454"/>
      <c r="M5959" s="349" t="str">
        <f>N5959&amp;AS[[#This Row],[Insurer Code]]&amp;"; "&amp;O5959&amp;AS[[#This Row],[Reporting Year]]&amp;"; "&amp;P5959&amp;AS[[#This Row],[Insurance Category Code]]&amp;"; "&amp;Q5959&amp;AS[[#This Row],[Large Provider Entity Code]]&amp;"; "&amp;R5959&amp;AS[[#This Row],[Age Band Code]]&amp;"; "&amp;S5959&amp;AS[[#This Row],[Sex Code]]</f>
        <v xml:space="preserve">Insurer Code ; Reporting Year ; Insurance Category Code ; Large Provider Entity Code ; Age Band Code ; Sex Code </v>
      </c>
      <c r="N5959" s="345" t="s">
        <v>207</v>
      </c>
      <c r="O5959" s="345" t="s">
        <v>208</v>
      </c>
      <c r="P5959" s="345" t="s">
        <v>209</v>
      </c>
      <c r="Q5959" s="345" t="s">
        <v>210</v>
      </c>
      <c r="R5959" s="345" t="s">
        <v>223</v>
      </c>
      <c r="S5959" s="345" t="s">
        <v>224</v>
      </c>
    </row>
    <row r="5960" spans="1:19" x14ac:dyDescent="0.25">
      <c r="A5960" s="311"/>
      <c r="B5960" s="312"/>
      <c r="C5960" s="312"/>
      <c r="D5960" s="312"/>
      <c r="E5960" s="312"/>
      <c r="F5960" s="312"/>
      <c r="G5960" s="328"/>
      <c r="H5960" s="453"/>
      <c r="I5960" s="334"/>
      <c r="J5960" s="314"/>
      <c r="K5960" s="454"/>
      <c r="M5960" s="349" t="str">
        <f>N5960&amp;AS[[#This Row],[Insurer Code]]&amp;"; "&amp;O5960&amp;AS[[#This Row],[Reporting Year]]&amp;"; "&amp;P5960&amp;AS[[#This Row],[Insurance Category Code]]&amp;"; "&amp;Q5960&amp;AS[[#This Row],[Large Provider Entity Code]]&amp;"; "&amp;R5960&amp;AS[[#This Row],[Age Band Code]]&amp;"; "&amp;S5960&amp;AS[[#This Row],[Sex Code]]</f>
        <v xml:space="preserve">Insurer Code ; Reporting Year ; Insurance Category Code ; Large Provider Entity Code ; Age Band Code ; Sex Code </v>
      </c>
      <c r="N5960" s="345" t="s">
        <v>207</v>
      </c>
      <c r="O5960" s="345" t="s">
        <v>208</v>
      </c>
      <c r="P5960" s="345" t="s">
        <v>209</v>
      </c>
      <c r="Q5960" s="345" t="s">
        <v>210</v>
      </c>
      <c r="R5960" s="345" t="s">
        <v>223</v>
      </c>
      <c r="S5960" s="345" t="s">
        <v>224</v>
      </c>
    </row>
    <row r="5961" spans="1:19" x14ac:dyDescent="0.25">
      <c r="A5961" s="311"/>
      <c r="B5961" s="312"/>
      <c r="C5961" s="312"/>
      <c r="D5961" s="312"/>
      <c r="E5961" s="312"/>
      <c r="F5961" s="312"/>
      <c r="G5961" s="328"/>
      <c r="H5961" s="453"/>
      <c r="I5961" s="334"/>
      <c r="J5961" s="314"/>
      <c r="K5961" s="454"/>
      <c r="M5961" s="349" t="str">
        <f>N5961&amp;AS[[#This Row],[Insurer Code]]&amp;"; "&amp;O5961&amp;AS[[#This Row],[Reporting Year]]&amp;"; "&amp;P5961&amp;AS[[#This Row],[Insurance Category Code]]&amp;"; "&amp;Q5961&amp;AS[[#This Row],[Large Provider Entity Code]]&amp;"; "&amp;R5961&amp;AS[[#This Row],[Age Band Code]]&amp;"; "&amp;S5961&amp;AS[[#This Row],[Sex Code]]</f>
        <v xml:space="preserve">Insurer Code ; Reporting Year ; Insurance Category Code ; Large Provider Entity Code ; Age Band Code ; Sex Code </v>
      </c>
      <c r="N5961" s="345" t="s">
        <v>207</v>
      </c>
      <c r="O5961" s="345" t="s">
        <v>208</v>
      </c>
      <c r="P5961" s="345" t="s">
        <v>209</v>
      </c>
      <c r="Q5961" s="345" t="s">
        <v>210</v>
      </c>
      <c r="R5961" s="345" t="s">
        <v>223</v>
      </c>
      <c r="S5961" s="345" t="s">
        <v>224</v>
      </c>
    </row>
    <row r="5962" spans="1:19" x14ac:dyDescent="0.25">
      <c r="A5962" s="311"/>
      <c r="B5962" s="312"/>
      <c r="C5962" s="312"/>
      <c r="D5962" s="312"/>
      <c r="E5962" s="312"/>
      <c r="F5962" s="312"/>
      <c r="G5962" s="328"/>
      <c r="H5962" s="453"/>
      <c r="I5962" s="334"/>
      <c r="J5962" s="314"/>
      <c r="K5962" s="454"/>
      <c r="M5962" s="349" t="str">
        <f>N5962&amp;AS[[#This Row],[Insurer Code]]&amp;"; "&amp;O5962&amp;AS[[#This Row],[Reporting Year]]&amp;"; "&amp;P5962&amp;AS[[#This Row],[Insurance Category Code]]&amp;"; "&amp;Q5962&amp;AS[[#This Row],[Large Provider Entity Code]]&amp;"; "&amp;R5962&amp;AS[[#This Row],[Age Band Code]]&amp;"; "&amp;S5962&amp;AS[[#This Row],[Sex Code]]</f>
        <v xml:space="preserve">Insurer Code ; Reporting Year ; Insurance Category Code ; Large Provider Entity Code ; Age Band Code ; Sex Code </v>
      </c>
      <c r="N5962" s="345" t="s">
        <v>207</v>
      </c>
      <c r="O5962" s="345" t="s">
        <v>208</v>
      </c>
      <c r="P5962" s="345" t="s">
        <v>209</v>
      </c>
      <c r="Q5962" s="345" t="s">
        <v>210</v>
      </c>
      <c r="R5962" s="345" t="s">
        <v>223</v>
      </c>
      <c r="S5962" s="345" t="s">
        <v>224</v>
      </c>
    </row>
    <row r="5963" spans="1:19" x14ac:dyDescent="0.25">
      <c r="A5963" s="311"/>
      <c r="B5963" s="312"/>
      <c r="C5963" s="312"/>
      <c r="D5963" s="312"/>
      <c r="E5963" s="312"/>
      <c r="F5963" s="312"/>
      <c r="G5963" s="328"/>
      <c r="H5963" s="453"/>
      <c r="I5963" s="334"/>
      <c r="J5963" s="314"/>
      <c r="K5963" s="454"/>
      <c r="M5963" s="349" t="str">
        <f>N5963&amp;AS[[#This Row],[Insurer Code]]&amp;"; "&amp;O5963&amp;AS[[#This Row],[Reporting Year]]&amp;"; "&amp;P5963&amp;AS[[#This Row],[Insurance Category Code]]&amp;"; "&amp;Q5963&amp;AS[[#This Row],[Large Provider Entity Code]]&amp;"; "&amp;R5963&amp;AS[[#This Row],[Age Band Code]]&amp;"; "&amp;S5963&amp;AS[[#This Row],[Sex Code]]</f>
        <v xml:space="preserve">Insurer Code ; Reporting Year ; Insurance Category Code ; Large Provider Entity Code ; Age Band Code ; Sex Code </v>
      </c>
      <c r="N5963" s="345" t="s">
        <v>207</v>
      </c>
      <c r="O5963" s="345" t="s">
        <v>208</v>
      </c>
      <c r="P5963" s="345" t="s">
        <v>209</v>
      </c>
      <c r="Q5963" s="345" t="s">
        <v>210</v>
      </c>
      <c r="R5963" s="345" t="s">
        <v>223</v>
      </c>
      <c r="S5963" s="345" t="s">
        <v>224</v>
      </c>
    </row>
    <row r="5964" spans="1:19" x14ac:dyDescent="0.25">
      <c r="A5964" s="311"/>
      <c r="B5964" s="312"/>
      <c r="C5964" s="312"/>
      <c r="D5964" s="312"/>
      <c r="E5964" s="312"/>
      <c r="F5964" s="312"/>
      <c r="G5964" s="328"/>
      <c r="H5964" s="453"/>
      <c r="I5964" s="334"/>
      <c r="J5964" s="314"/>
      <c r="K5964" s="454"/>
      <c r="M5964" s="349" t="str">
        <f>N5964&amp;AS[[#This Row],[Insurer Code]]&amp;"; "&amp;O5964&amp;AS[[#This Row],[Reporting Year]]&amp;"; "&amp;P5964&amp;AS[[#This Row],[Insurance Category Code]]&amp;"; "&amp;Q5964&amp;AS[[#This Row],[Large Provider Entity Code]]&amp;"; "&amp;R5964&amp;AS[[#This Row],[Age Band Code]]&amp;"; "&amp;S5964&amp;AS[[#This Row],[Sex Code]]</f>
        <v xml:space="preserve">Insurer Code ; Reporting Year ; Insurance Category Code ; Large Provider Entity Code ; Age Band Code ; Sex Code </v>
      </c>
      <c r="N5964" s="345" t="s">
        <v>207</v>
      </c>
      <c r="O5964" s="345" t="s">
        <v>208</v>
      </c>
      <c r="P5964" s="345" t="s">
        <v>209</v>
      </c>
      <c r="Q5964" s="345" t="s">
        <v>210</v>
      </c>
      <c r="R5964" s="345" t="s">
        <v>223</v>
      </c>
      <c r="S5964" s="345" t="s">
        <v>224</v>
      </c>
    </row>
    <row r="5965" spans="1:19" x14ac:dyDescent="0.25">
      <c r="A5965" s="311"/>
      <c r="B5965" s="312"/>
      <c r="C5965" s="312"/>
      <c r="D5965" s="312"/>
      <c r="E5965" s="312"/>
      <c r="F5965" s="312"/>
      <c r="G5965" s="328"/>
      <c r="H5965" s="453"/>
      <c r="I5965" s="334"/>
      <c r="J5965" s="314"/>
      <c r="K5965" s="454"/>
      <c r="M5965" s="349" t="str">
        <f>N5965&amp;AS[[#This Row],[Insurer Code]]&amp;"; "&amp;O5965&amp;AS[[#This Row],[Reporting Year]]&amp;"; "&amp;P5965&amp;AS[[#This Row],[Insurance Category Code]]&amp;"; "&amp;Q5965&amp;AS[[#This Row],[Large Provider Entity Code]]&amp;"; "&amp;R5965&amp;AS[[#This Row],[Age Band Code]]&amp;"; "&amp;S5965&amp;AS[[#This Row],[Sex Code]]</f>
        <v xml:space="preserve">Insurer Code ; Reporting Year ; Insurance Category Code ; Large Provider Entity Code ; Age Band Code ; Sex Code </v>
      </c>
      <c r="N5965" s="345" t="s">
        <v>207</v>
      </c>
      <c r="O5965" s="345" t="s">
        <v>208</v>
      </c>
      <c r="P5965" s="345" t="s">
        <v>209</v>
      </c>
      <c r="Q5965" s="345" t="s">
        <v>210</v>
      </c>
      <c r="R5965" s="345" t="s">
        <v>223</v>
      </c>
      <c r="S5965" s="345" t="s">
        <v>224</v>
      </c>
    </row>
    <row r="5966" spans="1:19" x14ac:dyDescent="0.25">
      <c r="A5966" s="311"/>
      <c r="B5966" s="312"/>
      <c r="C5966" s="312"/>
      <c r="D5966" s="312"/>
      <c r="E5966" s="312"/>
      <c r="F5966" s="312"/>
      <c r="G5966" s="328"/>
      <c r="H5966" s="453"/>
      <c r="I5966" s="334"/>
      <c r="J5966" s="314"/>
      <c r="K5966" s="454"/>
      <c r="M5966" s="349" t="str">
        <f>N5966&amp;AS[[#This Row],[Insurer Code]]&amp;"; "&amp;O5966&amp;AS[[#This Row],[Reporting Year]]&amp;"; "&amp;P5966&amp;AS[[#This Row],[Insurance Category Code]]&amp;"; "&amp;Q5966&amp;AS[[#This Row],[Large Provider Entity Code]]&amp;"; "&amp;R5966&amp;AS[[#This Row],[Age Band Code]]&amp;"; "&amp;S5966&amp;AS[[#This Row],[Sex Code]]</f>
        <v xml:space="preserve">Insurer Code ; Reporting Year ; Insurance Category Code ; Large Provider Entity Code ; Age Band Code ; Sex Code </v>
      </c>
      <c r="N5966" s="345" t="s">
        <v>207</v>
      </c>
      <c r="O5966" s="345" t="s">
        <v>208</v>
      </c>
      <c r="P5966" s="345" t="s">
        <v>209</v>
      </c>
      <c r="Q5966" s="345" t="s">
        <v>210</v>
      </c>
      <c r="R5966" s="345" t="s">
        <v>223</v>
      </c>
      <c r="S5966" s="345" t="s">
        <v>224</v>
      </c>
    </row>
    <row r="5967" spans="1:19" x14ac:dyDescent="0.25">
      <c r="A5967" s="311"/>
      <c r="B5967" s="312"/>
      <c r="C5967" s="312"/>
      <c r="D5967" s="312"/>
      <c r="E5967" s="312"/>
      <c r="F5967" s="312"/>
      <c r="G5967" s="328"/>
      <c r="H5967" s="453"/>
      <c r="I5967" s="334"/>
      <c r="J5967" s="314"/>
      <c r="K5967" s="454"/>
      <c r="M5967" s="349" t="str">
        <f>N5967&amp;AS[[#This Row],[Insurer Code]]&amp;"; "&amp;O5967&amp;AS[[#This Row],[Reporting Year]]&amp;"; "&amp;P5967&amp;AS[[#This Row],[Insurance Category Code]]&amp;"; "&amp;Q5967&amp;AS[[#This Row],[Large Provider Entity Code]]&amp;"; "&amp;R5967&amp;AS[[#This Row],[Age Band Code]]&amp;"; "&amp;S5967&amp;AS[[#This Row],[Sex Code]]</f>
        <v xml:space="preserve">Insurer Code ; Reporting Year ; Insurance Category Code ; Large Provider Entity Code ; Age Band Code ; Sex Code </v>
      </c>
      <c r="N5967" s="345" t="s">
        <v>207</v>
      </c>
      <c r="O5967" s="345" t="s">
        <v>208</v>
      </c>
      <c r="P5967" s="345" t="s">
        <v>209</v>
      </c>
      <c r="Q5967" s="345" t="s">
        <v>210</v>
      </c>
      <c r="R5967" s="345" t="s">
        <v>223</v>
      </c>
      <c r="S5967" s="345" t="s">
        <v>224</v>
      </c>
    </row>
    <row r="5968" spans="1:19" x14ac:dyDescent="0.25">
      <c r="A5968" s="311"/>
      <c r="B5968" s="312"/>
      <c r="C5968" s="312"/>
      <c r="D5968" s="312"/>
      <c r="E5968" s="312"/>
      <c r="F5968" s="312"/>
      <c r="G5968" s="328"/>
      <c r="H5968" s="453"/>
      <c r="I5968" s="334"/>
      <c r="J5968" s="314"/>
      <c r="K5968" s="454"/>
      <c r="M5968" s="349" t="str">
        <f>N5968&amp;AS[[#This Row],[Insurer Code]]&amp;"; "&amp;O5968&amp;AS[[#This Row],[Reporting Year]]&amp;"; "&amp;P5968&amp;AS[[#This Row],[Insurance Category Code]]&amp;"; "&amp;Q5968&amp;AS[[#This Row],[Large Provider Entity Code]]&amp;"; "&amp;R5968&amp;AS[[#This Row],[Age Band Code]]&amp;"; "&amp;S5968&amp;AS[[#This Row],[Sex Code]]</f>
        <v xml:space="preserve">Insurer Code ; Reporting Year ; Insurance Category Code ; Large Provider Entity Code ; Age Band Code ; Sex Code </v>
      </c>
      <c r="N5968" s="345" t="s">
        <v>207</v>
      </c>
      <c r="O5968" s="345" t="s">
        <v>208</v>
      </c>
      <c r="P5968" s="345" t="s">
        <v>209</v>
      </c>
      <c r="Q5968" s="345" t="s">
        <v>210</v>
      </c>
      <c r="R5968" s="345" t="s">
        <v>223</v>
      </c>
      <c r="S5968" s="345" t="s">
        <v>224</v>
      </c>
    </row>
    <row r="5969" spans="1:19" x14ac:dyDescent="0.25">
      <c r="A5969" s="311"/>
      <c r="B5969" s="312"/>
      <c r="C5969" s="312"/>
      <c r="D5969" s="312"/>
      <c r="E5969" s="312"/>
      <c r="F5969" s="312"/>
      <c r="G5969" s="328"/>
      <c r="H5969" s="453"/>
      <c r="I5969" s="334"/>
      <c r="J5969" s="314"/>
      <c r="K5969" s="454"/>
      <c r="M5969" s="349" t="str">
        <f>N5969&amp;AS[[#This Row],[Insurer Code]]&amp;"; "&amp;O5969&amp;AS[[#This Row],[Reporting Year]]&amp;"; "&amp;P5969&amp;AS[[#This Row],[Insurance Category Code]]&amp;"; "&amp;Q5969&amp;AS[[#This Row],[Large Provider Entity Code]]&amp;"; "&amp;R5969&amp;AS[[#This Row],[Age Band Code]]&amp;"; "&amp;S5969&amp;AS[[#This Row],[Sex Code]]</f>
        <v xml:space="preserve">Insurer Code ; Reporting Year ; Insurance Category Code ; Large Provider Entity Code ; Age Band Code ; Sex Code </v>
      </c>
      <c r="N5969" s="345" t="s">
        <v>207</v>
      </c>
      <c r="O5969" s="345" t="s">
        <v>208</v>
      </c>
      <c r="P5969" s="345" t="s">
        <v>209</v>
      </c>
      <c r="Q5969" s="345" t="s">
        <v>210</v>
      </c>
      <c r="R5969" s="345" t="s">
        <v>223</v>
      </c>
      <c r="S5969" s="345" t="s">
        <v>224</v>
      </c>
    </row>
    <row r="5970" spans="1:19" x14ac:dyDescent="0.25">
      <c r="A5970" s="311"/>
      <c r="B5970" s="312"/>
      <c r="C5970" s="312"/>
      <c r="D5970" s="312"/>
      <c r="E5970" s="312"/>
      <c r="F5970" s="312"/>
      <c r="G5970" s="328"/>
      <c r="H5970" s="453"/>
      <c r="I5970" s="334"/>
      <c r="J5970" s="314"/>
      <c r="K5970" s="454"/>
      <c r="M5970" s="349" t="str">
        <f>N5970&amp;AS[[#This Row],[Insurer Code]]&amp;"; "&amp;O5970&amp;AS[[#This Row],[Reporting Year]]&amp;"; "&amp;P5970&amp;AS[[#This Row],[Insurance Category Code]]&amp;"; "&amp;Q5970&amp;AS[[#This Row],[Large Provider Entity Code]]&amp;"; "&amp;R5970&amp;AS[[#This Row],[Age Band Code]]&amp;"; "&amp;S5970&amp;AS[[#This Row],[Sex Code]]</f>
        <v xml:space="preserve">Insurer Code ; Reporting Year ; Insurance Category Code ; Large Provider Entity Code ; Age Band Code ; Sex Code </v>
      </c>
      <c r="N5970" s="345" t="s">
        <v>207</v>
      </c>
      <c r="O5970" s="345" t="s">
        <v>208</v>
      </c>
      <c r="P5970" s="345" t="s">
        <v>209</v>
      </c>
      <c r="Q5970" s="345" t="s">
        <v>210</v>
      </c>
      <c r="R5970" s="345" t="s">
        <v>223</v>
      </c>
      <c r="S5970" s="345" t="s">
        <v>224</v>
      </c>
    </row>
    <row r="5971" spans="1:19" x14ac:dyDescent="0.25">
      <c r="A5971" s="311"/>
      <c r="B5971" s="312"/>
      <c r="C5971" s="312"/>
      <c r="D5971" s="312"/>
      <c r="E5971" s="312"/>
      <c r="F5971" s="312"/>
      <c r="G5971" s="328"/>
      <c r="H5971" s="453"/>
      <c r="I5971" s="334"/>
      <c r="J5971" s="314"/>
      <c r="K5971" s="454"/>
      <c r="M5971" s="349" t="str">
        <f>N5971&amp;AS[[#This Row],[Insurer Code]]&amp;"; "&amp;O5971&amp;AS[[#This Row],[Reporting Year]]&amp;"; "&amp;P5971&amp;AS[[#This Row],[Insurance Category Code]]&amp;"; "&amp;Q5971&amp;AS[[#This Row],[Large Provider Entity Code]]&amp;"; "&amp;R5971&amp;AS[[#This Row],[Age Band Code]]&amp;"; "&amp;S5971&amp;AS[[#This Row],[Sex Code]]</f>
        <v xml:space="preserve">Insurer Code ; Reporting Year ; Insurance Category Code ; Large Provider Entity Code ; Age Band Code ; Sex Code </v>
      </c>
      <c r="N5971" s="345" t="s">
        <v>207</v>
      </c>
      <c r="O5971" s="345" t="s">
        <v>208</v>
      </c>
      <c r="P5971" s="345" t="s">
        <v>209</v>
      </c>
      <c r="Q5971" s="345" t="s">
        <v>210</v>
      </c>
      <c r="R5971" s="345" t="s">
        <v>223</v>
      </c>
      <c r="S5971" s="345" t="s">
        <v>224</v>
      </c>
    </row>
    <row r="5972" spans="1:19" x14ac:dyDescent="0.25">
      <c r="A5972" s="311"/>
      <c r="B5972" s="312"/>
      <c r="C5972" s="312"/>
      <c r="D5972" s="312"/>
      <c r="E5972" s="312"/>
      <c r="F5972" s="312"/>
      <c r="G5972" s="328"/>
      <c r="H5972" s="453"/>
      <c r="I5972" s="334"/>
      <c r="J5972" s="314"/>
      <c r="K5972" s="454"/>
      <c r="M5972" s="349" t="str">
        <f>N5972&amp;AS[[#This Row],[Insurer Code]]&amp;"; "&amp;O5972&amp;AS[[#This Row],[Reporting Year]]&amp;"; "&amp;P5972&amp;AS[[#This Row],[Insurance Category Code]]&amp;"; "&amp;Q5972&amp;AS[[#This Row],[Large Provider Entity Code]]&amp;"; "&amp;R5972&amp;AS[[#This Row],[Age Band Code]]&amp;"; "&amp;S5972&amp;AS[[#This Row],[Sex Code]]</f>
        <v xml:space="preserve">Insurer Code ; Reporting Year ; Insurance Category Code ; Large Provider Entity Code ; Age Band Code ; Sex Code </v>
      </c>
      <c r="N5972" s="345" t="s">
        <v>207</v>
      </c>
      <c r="O5972" s="345" t="s">
        <v>208</v>
      </c>
      <c r="P5972" s="345" t="s">
        <v>209</v>
      </c>
      <c r="Q5972" s="345" t="s">
        <v>210</v>
      </c>
      <c r="R5972" s="345" t="s">
        <v>223</v>
      </c>
      <c r="S5972" s="345" t="s">
        <v>224</v>
      </c>
    </row>
    <row r="5973" spans="1:19" x14ac:dyDescent="0.25">
      <c r="A5973" s="311"/>
      <c r="B5973" s="312"/>
      <c r="C5973" s="312"/>
      <c r="D5973" s="312"/>
      <c r="E5973" s="312"/>
      <c r="F5973" s="312"/>
      <c r="G5973" s="328"/>
      <c r="H5973" s="453"/>
      <c r="I5973" s="334"/>
      <c r="J5973" s="314"/>
      <c r="K5973" s="454"/>
      <c r="M5973" s="349" t="str">
        <f>N5973&amp;AS[[#This Row],[Insurer Code]]&amp;"; "&amp;O5973&amp;AS[[#This Row],[Reporting Year]]&amp;"; "&amp;P5973&amp;AS[[#This Row],[Insurance Category Code]]&amp;"; "&amp;Q5973&amp;AS[[#This Row],[Large Provider Entity Code]]&amp;"; "&amp;R5973&amp;AS[[#This Row],[Age Band Code]]&amp;"; "&amp;S5973&amp;AS[[#This Row],[Sex Code]]</f>
        <v xml:space="preserve">Insurer Code ; Reporting Year ; Insurance Category Code ; Large Provider Entity Code ; Age Band Code ; Sex Code </v>
      </c>
      <c r="N5973" s="345" t="s">
        <v>207</v>
      </c>
      <c r="O5973" s="345" t="s">
        <v>208</v>
      </c>
      <c r="P5973" s="345" t="s">
        <v>209</v>
      </c>
      <c r="Q5973" s="345" t="s">
        <v>210</v>
      </c>
      <c r="R5973" s="345" t="s">
        <v>223</v>
      </c>
      <c r="S5973" s="345" t="s">
        <v>224</v>
      </c>
    </row>
    <row r="5974" spans="1:19" x14ac:dyDescent="0.25">
      <c r="A5974" s="311"/>
      <c r="B5974" s="312"/>
      <c r="C5974" s="312"/>
      <c r="D5974" s="312"/>
      <c r="E5974" s="312"/>
      <c r="F5974" s="312"/>
      <c r="G5974" s="328"/>
      <c r="H5974" s="453"/>
      <c r="I5974" s="334"/>
      <c r="J5974" s="314"/>
      <c r="K5974" s="454"/>
      <c r="M5974" s="349" t="str">
        <f>N5974&amp;AS[[#This Row],[Insurer Code]]&amp;"; "&amp;O5974&amp;AS[[#This Row],[Reporting Year]]&amp;"; "&amp;P5974&amp;AS[[#This Row],[Insurance Category Code]]&amp;"; "&amp;Q5974&amp;AS[[#This Row],[Large Provider Entity Code]]&amp;"; "&amp;R5974&amp;AS[[#This Row],[Age Band Code]]&amp;"; "&amp;S5974&amp;AS[[#This Row],[Sex Code]]</f>
        <v xml:space="preserve">Insurer Code ; Reporting Year ; Insurance Category Code ; Large Provider Entity Code ; Age Band Code ; Sex Code </v>
      </c>
      <c r="N5974" s="345" t="s">
        <v>207</v>
      </c>
      <c r="O5974" s="345" t="s">
        <v>208</v>
      </c>
      <c r="P5974" s="345" t="s">
        <v>209</v>
      </c>
      <c r="Q5974" s="345" t="s">
        <v>210</v>
      </c>
      <c r="R5974" s="345" t="s">
        <v>223</v>
      </c>
      <c r="S5974" s="345" t="s">
        <v>224</v>
      </c>
    </row>
    <row r="5975" spans="1:19" x14ac:dyDescent="0.25">
      <c r="A5975" s="311"/>
      <c r="B5975" s="312"/>
      <c r="C5975" s="312"/>
      <c r="D5975" s="312"/>
      <c r="E5975" s="312"/>
      <c r="F5975" s="312"/>
      <c r="G5975" s="328"/>
      <c r="H5975" s="453"/>
      <c r="I5975" s="334"/>
      <c r="J5975" s="314"/>
      <c r="K5975" s="454"/>
      <c r="M5975" s="349" t="str">
        <f>N5975&amp;AS[[#This Row],[Insurer Code]]&amp;"; "&amp;O5975&amp;AS[[#This Row],[Reporting Year]]&amp;"; "&amp;P5975&amp;AS[[#This Row],[Insurance Category Code]]&amp;"; "&amp;Q5975&amp;AS[[#This Row],[Large Provider Entity Code]]&amp;"; "&amp;R5975&amp;AS[[#This Row],[Age Band Code]]&amp;"; "&amp;S5975&amp;AS[[#This Row],[Sex Code]]</f>
        <v xml:space="preserve">Insurer Code ; Reporting Year ; Insurance Category Code ; Large Provider Entity Code ; Age Band Code ; Sex Code </v>
      </c>
      <c r="N5975" s="345" t="s">
        <v>207</v>
      </c>
      <c r="O5975" s="345" t="s">
        <v>208</v>
      </c>
      <c r="P5975" s="345" t="s">
        <v>209</v>
      </c>
      <c r="Q5975" s="345" t="s">
        <v>210</v>
      </c>
      <c r="R5975" s="345" t="s">
        <v>223</v>
      </c>
      <c r="S5975" s="345" t="s">
        <v>224</v>
      </c>
    </row>
    <row r="5976" spans="1:19" x14ac:dyDescent="0.25">
      <c r="A5976" s="311"/>
      <c r="B5976" s="312"/>
      <c r="C5976" s="312"/>
      <c r="D5976" s="312"/>
      <c r="E5976" s="312"/>
      <c r="F5976" s="312"/>
      <c r="G5976" s="328"/>
      <c r="H5976" s="453"/>
      <c r="I5976" s="334"/>
      <c r="J5976" s="314"/>
      <c r="K5976" s="454"/>
      <c r="M5976" s="349" t="str">
        <f>N5976&amp;AS[[#This Row],[Insurer Code]]&amp;"; "&amp;O5976&amp;AS[[#This Row],[Reporting Year]]&amp;"; "&amp;P5976&amp;AS[[#This Row],[Insurance Category Code]]&amp;"; "&amp;Q5976&amp;AS[[#This Row],[Large Provider Entity Code]]&amp;"; "&amp;R5976&amp;AS[[#This Row],[Age Band Code]]&amp;"; "&amp;S5976&amp;AS[[#This Row],[Sex Code]]</f>
        <v xml:space="preserve">Insurer Code ; Reporting Year ; Insurance Category Code ; Large Provider Entity Code ; Age Band Code ; Sex Code </v>
      </c>
      <c r="N5976" s="345" t="s">
        <v>207</v>
      </c>
      <c r="O5976" s="345" t="s">
        <v>208</v>
      </c>
      <c r="P5976" s="345" t="s">
        <v>209</v>
      </c>
      <c r="Q5976" s="345" t="s">
        <v>210</v>
      </c>
      <c r="R5976" s="345" t="s">
        <v>223</v>
      </c>
      <c r="S5976" s="345" t="s">
        <v>224</v>
      </c>
    </row>
    <row r="5977" spans="1:19" x14ac:dyDescent="0.25">
      <c r="A5977" s="311"/>
      <c r="B5977" s="312"/>
      <c r="C5977" s="312"/>
      <c r="D5977" s="312"/>
      <c r="E5977" s="312"/>
      <c r="F5977" s="312"/>
      <c r="G5977" s="328"/>
      <c r="H5977" s="453"/>
      <c r="I5977" s="334"/>
      <c r="J5977" s="314"/>
      <c r="K5977" s="454"/>
      <c r="M5977" s="349" t="str">
        <f>N5977&amp;AS[[#This Row],[Insurer Code]]&amp;"; "&amp;O5977&amp;AS[[#This Row],[Reporting Year]]&amp;"; "&amp;P5977&amp;AS[[#This Row],[Insurance Category Code]]&amp;"; "&amp;Q5977&amp;AS[[#This Row],[Large Provider Entity Code]]&amp;"; "&amp;R5977&amp;AS[[#This Row],[Age Band Code]]&amp;"; "&amp;S5977&amp;AS[[#This Row],[Sex Code]]</f>
        <v xml:space="preserve">Insurer Code ; Reporting Year ; Insurance Category Code ; Large Provider Entity Code ; Age Band Code ; Sex Code </v>
      </c>
      <c r="N5977" s="345" t="s">
        <v>207</v>
      </c>
      <c r="O5977" s="345" t="s">
        <v>208</v>
      </c>
      <c r="P5977" s="345" t="s">
        <v>209</v>
      </c>
      <c r="Q5977" s="345" t="s">
        <v>210</v>
      </c>
      <c r="R5977" s="345" t="s">
        <v>223</v>
      </c>
      <c r="S5977" s="345" t="s">
        <v>224</v>
      </c>
    </row>
    <row r="5978" spans="1:19" x14ac:dyDescent="0.25">
      <c r="A5978" s="311"/>
      <c r="B5978" s="312"/>
      <c r="C5978" s="312"/>
      <c r="D5978" s="312"/>
      <c r="E5978" s="312"/>
      <c r="F5978" s="312"/>
      <c r="G5978" s="328"/>
      <c r="H5978" s="453"/>
      <c r="I5978" s="334"/>
      <c r="J5978" s="314"/>
      <c r="K5978" s="454"/>
      <c r="M5978" s="349" t="str">
        <f>N5978&amp;AS[[#This Row],[Insurer Code]]&amp;"; "&amp;O5978&amp;AS[[#This Row],[Reporting Year]]&amp;"; "&amp;P5978&amp;AS[[#This Row],[Insurance Category Code]]&amp;"; "&amp;Q5978&amp;AS[[#This Row],[Large Provider Entity Code]]&amp;"; "&amp;R5978&amp;AS[[#This Row],[Age Band Code]]&amp;"; "&amp;S5978&amp;AS[[#This Row],[Sex Code]]</f>
        <v xml:space="preserve">Insurer Code ; Reporting Year ; Insurance Category Code ; Large Provider Entity Code ; Age Band Code ; Sex Code </v>
      </c>
      <c r="N5978" s="345" t="s">
        <v>207</v>
      </c>
      <c r="O5978" s="345" t="s">
        <v>208</v>
      </c>
      <c r="P5978" s="345" t="s">
        <v>209</v>
      </c>
      <c r="Q5978" s="345" t="s">
        <v>210</v>
      </c>
      <c r="R5978" s="345" t="s">
        <v>223</v>
      </c>
      <c r="S5978" s="345" t="s">
        <v>224</v>
      </c>
    </row>
    <row r="5979" spans="1:19" x14ac:dyDescent="0.25">
      <c r="A5979" s="311"/>
      <c r="B5979" s="312"/>
      <c r="C5979" s="312"/>
      <c r="D5979" s="312"/>
      <c r="E5979" s="312"/>
      <c r="F5979" s="312"/>
      <c r="G5979" s="328"/>
      <c r="H5979" s="453"/>
      <c r="I5979" s="334"/>
      <c r="J5979" s="314"/>
      <c r="K5979" s="454"/>
      <c r="M5979" s="349" t="str">
        <f>N5979&amp;AS[[#This Row],[Insurer Code]]&amp;"; "&amp;O5979&amp;AS[[#This Row],[Reporting Year]]&amp;"; "&amp;P5979&amp;AS[[#This Row],[Insurance Category Code]]&amp;"; "&amp;Q5979&amp;AS[[#This Row],[Large Provider Entity Code]]&amp;"; "&amp;R5979&amp;AS[[#This Row],[Age Band Code]]&amp;"; "&amp;S5979&amp;AS[[#This Row],[Sex Code]]</f>
        <v xml:space="preserve">Insurer Code ; Reporting Year ; Insurance Category Code ; Large Provider Entity Code ; Age Band Code ; Sex Code </v>
      </c>
      <c r="N5979" s="345" t="s">
        <v>207</v>
      </c>
      <c r="O5979" s="345" t="s">
        <v>208</v>
      </c>
      <c r="P5979" s="345" t="s">
        <v>209</v>
      </c>
      <c r="Q5979" s="345" t="s">
        <v>210</v>
      </c>
      <c r="R5979" s="345" t="s">
        <v>223</v>
      </c>
      <c r="S5979" s="345" t="s">
        <v>224</v>
      </c>
    </row>
    <row r="5980" spans="1:19" x14ac:dyDescent="0.25">
      <c r="A5980" s="311"/>
      <c r="B5980" s="312"/>
      <c r="C5980" s="312"/>
      <c r="D5980" s="312"/>
      <c r="E5980" s="312"/>
      <c r="F5980" s="312"/>
      <c r="G5980" s="328"/>
      <c r="H5980" s="453"/>
      <c r="I5980" s="334"/>
      <c r="J5980" s="314"/>
      <c r="K5980" s="454"/>
      <c r="M5980" s="349" t="str">
        <f>N5980&amp;AS[[#This Row],[Insurer Code]]&amp;"; "&amp;O5980&amp;AS[[#This Row],[Reporting Year]]&amp;"; "&amp;P5980&amp;AS[[#This Row],[Insurance Category Code]]&amp;"; "&amp;Q5980&amp;AS[[#This Row],[Large Provider Entity Code]]&amp;"; "&amp;R5980&amp;AS[[#This Row],[Age Band Code]]&amp;"; "&amp;S5980&amp;AS[[#This Row],[Sex Code]]</f>
        <v xml:space="preserve">Insurer Code ; Reporting Year ; Insurance Category Code ; Large Provider Entity Code ; Age Band Code ; Sex Code </v>
      </c>
      <c r="N5980" s="345" t="s">
        <v>207</v>
      </c>
      <c r="O5980" s="345" t="s">
        <v>208</v>
      </c>
      <c r="P5980" s="345" t="s">
        <v>209</v>
      </c>
      <c r="Q5980" s="345" t="s">
        <v>210</v>
      </c>
      <c r="R5980" s="345" t="s">
        <v>223</v>
      </c>
      <c r="S5980" s="345" t="s">
        <v>224</v>
      </c>
    </row>
    <row r="5981" spans="1:19" x14ac:dyDescent="0.25">
      <c r="A5981" s="311"/>
      <c r="B5981" s="312"/>
      <c r="C5981" s="312"/>
      <c r="D5981" s="312"/>
      <c r="E5981" s="312"/>
      <c r="F5981" s="312"/>
      <c r="G5981" s="328"/>
      <c r="H5981" s="453"/>
      <c r="I5981" s="334"/>
      <c r="J5981" s="314"/>
      <c r="K5981" s="454"/>
      <c r="M5981" s="349" t="str">
        <f>N5981&amp;AS[[#This Row],[Insurer Code]]&amp;"; "&amp;O5981&amp;AS[[#This Row],[Reporting Year]]&amp;"; "&amp;P5981&amp;AS[[#This Row],[Insurance Category Code]]&amp;"; "&amp;Q5981&amp;AS[[#This Row],[Large Provider Entity Code]]&amp;"; "&amp;R5981&amp;AS[[#This Row],[Age Band Code]]&amp;"; "&amp;S5981&amp;AS[[#This Row],[Sex Code]]</f>
        <v xml:space="preserve">Insurer Code ; Reporting Year ; Insurance Category Code ; Large Provider Entity Code ; Age Band Code ; Sex Code </v>
      </c>
      <c r="N5981" s="345" t="s">
        <v>207</v>
      </c>
      <c r="O5981" s="345" t="s">
        <v>208</v>
      </c>
      <c r="P5981" s="345" t="s">
        <v>209</v>
      </c>
      <c r="Q5981" s="345" t="s">
        <v>210</v>
      </c>
      <c r="R5981" s="345" t="s">
        <v>223</v>
      </c>
      <c r="S5981" s="345" t="s">
        <v>224</v>
      </c>
    </row>
    <row r="5982" spans="1:19" x14ac:dyDescent="0.25">
      <c r="A5982" s="311"/>
      <c r="B5982" s="312"/>
      <c r="C5982" s="312"/>
      <c r="D5982" s="312"/>
      <c r="E5982" s="312"/>
      <c r="F5982" s="312"/>
      <c r="G5982" s="328"/>
      <c r="H5982" s="453"/>
      <c r="I5982" s="334"/>
      <c r="J5982" s="314"/>
      <c r="K5982" s="454"/>
      <c r="M5982" s="349" t="str">
        <f>N5982&amp;AS[[#This Row],[Insurer Code]]&amp;"; "&amp;O5982&amp;AS[[#This Row],[Reporting Year]]&amp;"; "&amp;P5982&amp;AS[[#This Row],[Insurance Category Code]]&amp;"; "&amp;Q5982&amp;AS[[#This Row],[Large Provider Entity Code]]&amp;"; "&amp;R5982&amp;AS[[#This Row],[Age Band Code]]&amp;"; "&amp;S5982&amp;AS[[#This Row],[Sex Code]]</f>
        <v xml:space="preserve">Insurer Code ; Reporting Year ; Insurance Category Code ; Large Provider Entity Code ; Age Band Code ; Sex Code </v>
      </c>
      <c r="N5982" s="345" t="s">
        <v>207</v>
      </c>
      <c r="O5982" s="345" t="s">
        <v>208</v>
      </c>
      <c r="P5982" s="345" t="s">
        <v>209</v>
      </c>
      <c r="Q5982" s="345" t="s">
        <v>210</v>
      </c>
      <c r="R5982" s="345" t="s">
        <v>223</v>
      </c>
      <c r="S5982" s="345" t="s">
        <v>224</v>
      </c>
    </row>
    <row r="5983" spans="1:19" x14ac:dyDescent="0.25">
      <c r="A5983" s="311"/>
      <c r="B5983" s="312"/>
      <c r="C5983" s="312"/>
      <c r="D5983" s="312"/>
      <c r="E5983" s="312"/>
      <c r="F5983" s="312"/>
      <c r="G5983" s="328"/>
      <c r="H5983" s="453"/>
      <c r="I5983" s="334"/>
      <c r="J5983" s="314"/>
      <c r="K5983" s="454"/>
      <c r="M5983" s="349" t="str">
        <f>N5983&amp;AS[[#This Row],[Insurer Code]]&amp;"; "&amp;O5983&amp;AS[[#This Row],[Reporting Year]]&amp;"; "&amp;P5983&amp;AS[[#This Row],[Insurance Category Code]]&amp;"; "&amp;Q5983&amp;AS[[#This Row],[Large Provider Entity Code]]&amp;"; "&amp;R5983&amp;AS[[#This Row],[Age Band Code]]&amp;"; "&amp;S5983&amp;AS[[#This Row],[Sex Code]]</f>
        <v xml:space="preserve">Insurer Code ; Reporting Year ; Insurance Category Code ; Large Provider Entity Code ; Age Band Code ; Sex Code </v>
      </c>
      <c r="N5983" s="345" t="s">
        <v>207</v>
      </c>
      <c r="O5983" s="345" t="s">
        <v>208</v>
      </c>
      <c r="P5983" s="345" t="s">
        <v>209</v>
      </c>
      <c r="Q5983" s="345" t="s">
        <v>210</v>
      </c>
      <c r="R5983" s="345" t="s">
        <v>223</v>
      </c>
      <c r="S5983" s="345" t="s">
        <v>224</v>
      </c>
    </row>
    <row r="5984" spans="1:19" x14ac:dyDescent="0.25">
      <c r="A5984" s="311"/>
      <c r="B5984" s="312"/>
      <c r="C5984" s="312"/>
      <c r="D5984" s="312"/>
      <c r="E5984" s="312"/>
      <c r="F5984" s="312"/>
      <c r="G5984" s="328"/>
      <c r="H5984" s="453"/>
      <c r="I5984" s="334"/>
      <c r="J5984" s="314"/>
      <c r="K5984" s="454"/>
      <c r="M5984" s="349" t="str">
        <f>N5984&amp;AS[[#This Row],[Insurer Code]]&amp;"; "&amp;O5984&amp;AS[[#This Row],[Reporting Year]]&amp;"; "&amp;P5984&amp;AS[[#This Row],[Insurance Category Code]]&amp;"; "&amp;Q5984&amp;AS[[#This Row],[Large Provider Entity Code]]&amp;"; "&amp;R5984&amp;AS[[#This Row],[Age Band Code]]&amp;"; "&amp;S5984&amp;AS[[#This Row],[Sex Code]]</f>
        <v xml:space="preserve">Insurer Code ; Reporting Year ; Insurance Category Code ; Large Provider Entity Code ; Age Band Code ; Sex Code </v>
      </c>
      <c r="N5984" s="345" t="s">
        <v>207</v>
      </c>
      <c r="O5984" s="345" t="s">
        <v>208</v>
      </c>
      <c r="P5984" s="345" t="s">
        <v>209</v>
      </c>
      <c r="Q5984" s="345" t="s">
        <v>210</v>
      </c>
      <c r="R5984" s="345" t="s">
        <v>223</v>
      </c>
      <c r="S5984" s="345" t="s">
        <v>224</v>
      </c>
    </row>
    <row r="5985" spans="1:19" x14ac:dyDescent="0.25">
      <c r="A5985" s="311"/>
      <c r="B5985" s="312"/>
      <c r="C5985" s="312"/>
      <c r="D5985" s="312"/>
      <c r="E5985" s="312"/>
      <c r="F5985" s="312"/>
      <c r="G5985" s="328"/>
      <c r="H5985" s="453"/>
      <c r="I5985" s="334"/>
      <c r="J5985" s="314"/>
      <c r="K5985" s="454"/>
      <c r="M5985" s="349" t="str">
        <f>N5985&amp;AS[[#This Row],[Insurer Code]]&amp;"; "&amp;O5985&amp;AS[[#This Row],[Reporting Year]]&amp;"; "&amp;P5985&amp;AS[[#This Row],[Insurance Category Code]]&amp;"; "&amp;Q5985&amp;AS[[#This Row],[Large Provider Entity Code]]&amp;"; "&amp;R5985&amp;AS[[#This Row],[Age Band Code]]&amp;"; "&amp;S5985&amp;AS[[#This Row],[Sex Code]]</f>
        <v xml:space="preserve">Insurer Code ; Reporting Year ; Insurance Category Code ; Large Provider Entity Code ; Age Band Code ; Sex Code </v>
      </c>
      <c r="N5985" s="345" t="s">
        <v>207</v>
      </c>
      <c r="O5985" s="345" t="s">
        <v>208</v>
      </c>
      <c r="P5985" s="345" t="s">
        <v>209</v>
      </c>
      <c r="Q5985" s="345" t="s">
        <v>210</v>
      </c>
      <c r="R5985" s="345" t="s">
        <v>223</v>
      </c>
      <c r="S5985" s="345" t="s">
        <v>224</v>
      </c>
    </row>
    <row r="5986" spans="1:19" x14ac:dyDescent="0.25">
      <c r="A5986" s="311"/>
      <c r="B5986" s="312"/>
      <c r="C5986" s="312"/>
      <c r="D5986" s="312"/>
      <c r="E5986" s="312"/>
      <c r="F5986" s="312"/>
      <c r="G5986" s="328"/>
      <c r="H5986" s="453"/>
      <c r="I5986" s="334"/>
      <c r="J5986" s="314"/>
      <c r="K5986" s="454"/>
      <c r="M5986" s="349" t="str">
        <f>N5986&amp;AS[[#This Row],[Insurer Code]]&amp;"; "&amp;O5986&amp;AS[[#This Row],[Reporting Year]]&amp;"; "&amp;P5986&amp;AS[[#This Row],[Insurance Category Code]]&amp;"; "&amp;Q5986&amp;AS[[#This Row],[Large Provider Entity Code]]&amp;"; "&amp;R5986&amp;AS[[#This Row],[Age Band Code]]&amp;"; "&amp;S5986&amp;AS[[#This Row],[Sex Code]]</f>
        <v xml:space="preserve">Insurer Code ; Reporting Year ; Insurance Category Code ; Large Provider Entity Code ; Age Band Code ; Sex Code </v>
      </c>
      <c r="N5986" s="345" t="s">
        <v>207</v>
      </c>
      <c r="O5986" s="345" t="s">
        <v>208</v>
      </c>
      <c r="P5986" s="345" t="s">
        <v>209</v>
      </c>
      <c r="Q5986" s="345" t="s">
        <v>210</v>
      </c>
      <c r="R5986" s="345" t="s">
        <v>223</v>
      </c>
      <c r="S5986" s="345" t="s">
        <v>224</v>
      </c>
    </row>
    <row r="5987" spans="1:19" x14ac:dyDescent="0.25">
      <c r="A5987" s="311"/>
      <c r="B5987" s="312"/>
      <c r="C5987" s="312"/>
      <c r="D5987" s="312"/>
      <c r="E5987" s="312"/>
      <c r="F5987" s="312"/>
      <c r="G5987" s="328"/>
      <c r="H5987" s="453"/>
      <c r="I5987" s="334"/>
      <c r="J5987" s="314"/>
      <c r="K5987" s="454"/>
      <c r="M5987" s="349" t="str">
        <f>N5987&amp;AS[[#This Row],[Insurer Code]]&amp;"; "&amp;O5987&amp;AS[[#This Row],[Reporting Year]]&amp;"; "&amp;P5987&amp;AS[[#This Row],[Insurance Category Code]]&amp;"; "&amp;Q5987&amp;AS[[#This Row],[Large Provider Entity Code]]&amp;"; "&amp;R5987&amp;AS[[#This Row],[Age Band Code]]&amp;"; "&amp;S5987&amp;AS[[#This Row],[Sex Code]]</f>
        <v xml:space="preserve">Insurer Code ; Reporting Year ; Insurance Category Code ; Large Provider Entity Code ; Age Band Code ; Sex Code </v>
      </c>
      <c r="N5987" s="345" t="s">
        <v>207</v>
      </c>
      <c r="O5987" s="345" t="s">
        <v>208</v>
      </c>
      <c r="P5987" s="345" t="s">
        <v>209</v>
      </c>
      <c r="Q5987" s="345" t="s">
        <v>210</v>
      </c>
      <c r="R5987" s="345" t="s">
        <v>223</v>
      </c>
      <c r="S5987" s="345" t="s">
        <v>224</v>
      </c>
    </row>
    <row r="5988" spans="1:19" x14ac:dyDescent="0.25">
      <c r="A5988" s="311"/>
      <c r="B5988" s="312"/>
      <c r="C5988" s="312"/>
      <c r="D5988" s="312"/>
      <c r="E5988" s="312"/>
      <c r="F5988" s="312"/>
      <c r="G5988" s="328"/>
      <c r="H5988" s="453"/>
      <c r="I5988" s="334"/>
      <c r="J5988" s="314"/>
      <c r="K5988" s="454"/>
      <c r="M5988" s="349" t="str">
        <f>N5988&amp;AS[[#This Row],[Insurer Code]]&amp;"; "&amp;O5988&amp;AS[[#This Row],[Reporting Year]]&amp;"; "&amp;P5988&amp;AS[[#This Row],[Insurance Category Code]]&amp;"; "&amp;Q5988&amp;AS[[#This Row],[Large Provider Entity Code]]&amp;"; "&amp;R5988&amp;AS[[#This Row],[Age Band Code]]&amp;"; "&amp;S5988&amp;AS[[#This Row],[Sex Code]]</f>
        <v xml:space="preserve">Insurer Code ; Reporting Year ; Insurance Category Code ; Large Provider Entity Code ; Age Band Code ; Sex Code </v>
      </c>
      <c r="N5988" s="345" t="s">
        <v>207</v>
      </c>
      <c r="O5988" s="345" t="s">
        <v>208</v>
      </c>
      <c r="P5988" s="345" t="s">
        <v>209</v>
      </c>
      <c r="Q5988" s="345" t="s">
        <v>210</v>
      </c>
      <c r="R5988" s="345" t="s">
        <v>223</v>
      </c>
      <c r="S5988" s="345" t="s">
        <v>224</v>
      </c>
    </row>
    <row r="5989" spans="1:19" x14ac:dyDescent="0.25">
      <c r="A5989" s="311"/>
      <c r="B5989" s="312"/>
      <c r="C5989" s="312"/>
      <c r="D5989" s="312"/>
      <c r="E5989" s="312"/>
      <c r="F5989" s="312"/>
      <c r="G5989" s="328"/>
      <c r="H5989" s="453"/>
      <c r="I5989" s="334"/>
      <c r="J5989" s="314"/>
      <c r="K5989" s="454"/>
      <c r="M5989" s="349" t="str">
        <f>N5989&amp;AS[[#This Row],[Insurer Code]]&amp;"; "&amp;O5989&amp;AS[[#This Row],[Reporting Year]]&amp;"; "&amp;P5989&amp;AS[[#This Row],[Insurance Category Code]]&amp;"; "&amp;Q5989&amp;AS[[#This Row],[Large Provider Entity Code]]&amp;"; "&amp;R5989&amp;AS[[#This Row],[Age Band Code]]&amp;"; "&amp;S5989&amp;AS[[#This Row],[Sex Code]]</f>
        <v xml:space="preserve">Insurer Code ; Reporting Year ; Insurance Category Code ; Large Provider Entity Code ; Age Band Code ; Sex Code </v>
      </c>
      <c r="N5989" s="345" t="s">
        <v>207</v>
      </c>
      <c r="O5989" s="345" t="s">
        <v>208</v>
      </c>
      <c r="P5989" s="345" t="s">
        <v>209</v>
      </c>
      <c r="Q5989" s="345" t="s">
        <v>210</v>
      </c>
      <c r="R5989" s="345" t="s">
        <v>223</v>
      </c>
      <c r="S5989" s="345" t="s">
        <v>224</v>
      </c>
    </row>
    <row r="5990" spans="1:19" x14ac:dyDescent="0.25">
      <c r="A5990" s="311"/>
      <c r="B5990" s="312"/>
      <c r="C5990" s="312"/>
      <c r="D5990" s="312"/>
      <c r="E5990" s="312"/>
      <c r="F5990" s="312"/>
      <c r="G5990" s="328"/>
      <c r="H5990" s="453"/>
      <c r="I5990" s="334"/>
      <c r="J5990" s="314"/>
      <c r="K5990" s="454"/>
      <c r="M5990" s="349" t="str">
        <f>N5990&amp;AS[[#This Row],[Insurer Code]]&amp;"; "&amp;O5990&amp;AS[[#This Row],[Reporting Year]]&amp;"; "&amp;P5990&amp;AS[[#This Row],[Insurance Category Code]]&amp;"; "&amp;Q5990&amp;AS[[#This Row],[Large Provider Entity Code]]&amp;"; "&amp;R5990&amp;AS[[#This Row],[Age Band Code]]&amp;"; "&amp;S5990&amp;AS[[#This Row],[Sex Code]]</f>
        <v xml:space="preserve">Insurer Code ; Reporting Year ; Insurance Category Code ; Large Provider Entity Code ; Age Band Code ; Sex Code </v>
      </c>
      <c r="N5990" s="345" t="s">
        <v>207</v>
      </c>
      <c r="O5990" s="345" t="s">
        <v>208</v>
      </c>
      <c r="P5990" s="345" t="s">
        <v>209</v>
      </c>
      <c r="Q5990" s="345" t="s">
        <v>210</v>
      </c>
      <c r="R5990" s="345" t="s">
        <v>223</v>
      </c>
      <c r="S5990" s="345" t="s">
        <v>224</v>
      </c>
    </row>
    <row r="5991" spans="1:19" x14ac:dyDescent="0.25">
      <c r="A5991" s="311"/>
      <c r="B5991" s="312"/>
      <c r="C5991" s="312"/>
      <c r="D5991" s="312"/>
      <c r="E5991" s="312"/>
      <c r="F5991" s="312"/>
      <c r="G5991" s="328"/>
      <c r="H5991" s="453"/>
      <c r="I5991" s="334"/>
      <c r="J5991" s="314"/>
      <c r="K5991" s="454"/>
      <c r="M5991" s="349" t="str">
        <f>N5991&amp;AS[[#This Row],[Insurer Code]]&amp;"; "&amp;O5991&amp;AS[[#This Row],[Reporting Year]]&amp;"; "&amp;P5991&amp;AS[[#This Row],[Insurance Category Code]]&amp;"; "&amp;Q5991&amp;AS[[#This Row],[Large Provider Entity Code]]&amp;"; "&amp;R5991&amp;AS[[#This Row],[Age Band Code]]&amp;"; "&amp;S5991&amp;AS[[#This Row],[Sex Code]]</f>
        <v xml:space="preserve">Insurer Code ; Reporting Year ; Insurance Category Code ; Large Provider Entity Code ; Age Band Code ; Sex Code </v>
      </c>
      <c r="N5991" s="345" t="s">
        <v>207</v>
      </c>
      <c r="O5991" s="345" t="s">
        <v>208</v>
      </c>
      <c r="P5991" s="345" t="s">
        <v>209</v>
      </c>
      <c r="Q5991" s="345" t="s">
        <v>210</v>
      </c>
      <c r="R5991" s="345" t="s">
        <v>223</v>
      </c>
      <c r="S5991" s="345" t="s">
        <v>224</v>
      </c>
    </row>
    <row r="5992" spans="1:19" x14ac:dyDescent="0.25">
      <c r="A5992" s="311"/>
      <c r="B5992" s="312"/>
      <c r="C5992" s="312"/>
      <c r="D5992" s="312"/>
      <c r="E5992" s="312"/>
      <c r="F5992" s="312"/>
      <c r="G5992" s="328"/>
      <c r="H5992" s="453"/>
      <c r="I5992" s="334"/>
      <c r="J5992" s="314"/>
      <c r="K5992" s="454"/>
      <c r="M5992" s="349" t="str">
        <f>N5992&amp;AS[[#This Row],[Insurer Code]]&amp;"; "&amp;O5992&amp;AS[[#This Row],[Reporting Year]]&amp;"; "&amp;P5992&amp;AS[[#This Row],[Insurance Category Code]]&amp;"; "&amp;Q5992&amp;AS[[#This Row],[Large Provider Entity Code]]&amp;"; "&amp;R5992&amp;AS[[#This Row],[Age Band Code]]&amp;"; "&amp;S5992&amp;AS[[#This Row],[Sex Code]]</f>
        <v xml:space="preserve">Insurer Code ; Reporting Year ; Insurance Category Code ; Large Provider Entity Code ; Age Band Code ; Sex Code </v>
      </c>
      <c r="N5992" s="345" t="s">
        <v>207</v>
      </c>
      <c r="O5992" s="345" t="s">
        <v>208</v>
      </c>
      <c r="P5992" s="345" t="s">
        <v>209</v>
      </c>
      <c r="Q5992" s="345" t="s">
        <v>210</v>
      </c>
      <c r="R5992" s="345" t="s">
        <v>223</v>
      </c>
      <c r="S5992" s="345" t="s">
        <v>224</v>
      </c>
    </row>
    <row r="5993" spans="1:19" x14ac:dyDescent="0.25">
      <c r="A5993" s="311"/>
      <c r="B5993" s="312"/>
      <c r="C5993" s="312"/>
      <c r="D5993" s="312"/>
      <c r="E5993" s="312"/>
      <c r="F5993" s="312"/>
      <c r="G5993" s="328"/>
      <c r="H5993" s="453"/>
      <c r="I5993" s="334"/>
      <c r="J5993" s="314"/>
      <c r="K5993" s="454"/>
      <c r="M5993" s="349" t="str">
        <f>N5993&amp;AS[[#This Row],[Insurer Code]]&amp;"; "&amp;O5993&amp;AS[[#This Row],[Reporting Year]]&amp;"; "&amp;P5993&amp;AS[[#This Row],[Insurance Category Code]]&amp;"; "&amp;Q5993&amp;AS[[#This Row],[Large Provider Entity Code]]&amp;"; "&amp;R5993&amp;AS[[#This Row],[Age Band Code]]&amp;"; "&amp;S5993&amp;AS[[#This Row],[Sex Code]]</f>
        <v xml:space="preserve">Insurer Code ; Reporting Year ; Insurance Category Code ; Large Provider Entity Code ; Age Band Code ; Sex Code </v>
      </c>
      <c r="N5993" s="345" t="s">
        <v>207</v>
      </c>
      <c r="O5993" s="345" t="s">
        <v>208</v>
      </c>
      <c r="P5993" s="345" t="s">
        <v>209</v>
      </c>
      <c r="Q5993" s="345" t="s">
        <v>210</v>
      </c>
      <c r="R5993" s="345" t="s">
        <v>223</v>
      </c>
      <c r="S5993" s="345" t="s">
        <v>224</v>
      </c>
    </row>
    <row r="5994" spans="1:19" x14ac:dyDescent="0.25">
      <c r="A5994" s="311"/>
      <c r="B5994" s="312"/>
      <c r="C5994" s="312"/>
      <c r="D5994" s="312"/>
      <c r="E5994" s="312"/>
      <c r="F5994" s="312"/>
      <c r="G5994" s="328"/>
      <c r="H5994" s="453"/>
      <c r="I5994" s="334"/>
      <c r="J5994" s="314"/>
      <c r="K5994" s="454"/>
      <c r="M5994" s="349" t="str">
        <f>N5994&amp;AS[[#This Row],[Insurer Code]]&amp;"; "&amp;O5994&amp;AS[[#This Row],[Reporting Year]]&amp;"; "&amp;P5994&amp;AS[[#This Row],[Insurance Category Code]]&amp;"; "&amp;Q5994&amp;AS[[#This Row],[Large Provider Entity Code]]&amp;"; "&amp;R5994&amp;AS[[#This Row],[Age Band Code]]&amp;"; "&amp;S5994&amp;AS[[#This Row],[Sex Code]]</f>
        <v xml:space="preserve">Insurer Code ; Reporting Year ; Insurance Category Code ; Large Provider Entity Code ; Age Band Code ; Sex Code </v>
      </c>
      <c r="N5994" s="345" t="s">
        <v>207</v>
      </c>
      <c r="O5994" s="345" t="s">
        <v>208</v>
      </c>
      <c r="P5994" s="345" t="s">
        <v>209</v>
      </c>
      <c r="Q5994" s="345" t="s">
        <v>210</v>
      </c>
      <c r="R5994" s="345" t="s">
        <v>223</v>
      </c>
      <c r="S5994" s="345" t="s">
        <v>224</v>
      </c>
    </row>
    <row r="5995" spans="1:19" x14ac:dyDescent="0.25">
      <c r="A5995" s="311"/>
      <c r="B5995" s="312"/>
      <c r="C5995" s="312"/>
      <c r="D5995" s="312"/>
      <c r="E5995" s="312"/>
      <c r="F5995" s="312"/>
      <c r="G5995" s="328"/>
      <c r="H5995" s="453"/>
      <c r="I5995" s="334"/>
      <c r="J5995" s="314"/>
      <c r="K5995" s="454"/>
      <c r="M5995" s="349" t="str">
        <f>N5995&amp;AS[[#This Row],[Insurer Code]]&amp;"; "&amp;O5995&amp;AS[[#This Row],[Reporting Year]]&amp;"; "&amp;P5995&amp;AS[[#This Row],[Insurance Category Code]]&amp;"; "&amp;Q5995&amp;AS[[#This Row],[Large Provider Entity Code]]&amp;"; "&amp;R5995&amp;AS[[#This Row],[Age Band Code]]&amp;"; "&amp;S5995&amp;AS[[#This Row],[Sex Code]]</f>
        <v xml:space="preserve">Insurer Code ; Reporting Year ; Insurance Category Code ; Large Provider Entity Code ; Age Band Code ; Sex Code </v>
      </c>
      <c r="N5995" s="345" t="s">
        <v>207</v>
      </c>
      <c r="O5995" s="345" t="s">
        <v>208</v>
      </c>
      <c r="P5995" s="345" t="s">
        <v>209</v>
      </c>
      <c r="Q5995" s="345" t="s">
        <v>210</v>
      </c>
      <c r="R5995" s="345" t="s">
        <v>223</v>
      </c>
      <c r="S5995" s="345" t="s">
        <v>224</v>
      </c>
    </row>
    <row r="5996" spans="1:19" x14ac:dyDescent="0.25">
      <c r="A5996" s="311"/>
      <c r="B5996" s="312"/>
      <c r="C5996" s="312"/>
      <c r="D5996" s="312"/>
      <c r="E5996" s="312"/>
      <c r="F5996" s="312"/>
      <c r="G5996" s="328"/>
      <c r="H5996" s="453"/>
      <c r="I5996" s="334"/>
      <c r="J5996" s="314"/>
      <c r="K5996" s="454"/>
      <c r="M5996" s="349" t="str">
        <f>N5996&amp;AS[[#This Row],[Insurer Code]]&amp;"; "&amp;O5996&amp;AS[[#This Row],[Reporting Year]]&amp;"; "&amp;P5996&amp;AS[[#This Row],[Insurance Category Code]]&amp;"; "&amp;Q5996&amp;AS[[#This Row],[Large Provider Entity Code]]&amp;"; "&amp;R5996&amp;AS[[#This Row],[Age Band Code]]&amp;"; "&amp;S5996&amp;AS[[#This Row],[Sex Code]]</f>
        <v xml:space="preserve">Insurer Code ; Reporting Year ; Insurance Category Code ; Large Provider Entity Code ; Age Band Code ; Sex Code </v>
      </c>
      <c r="N5996" s="345" t="s">
        <v>207</v>
      </c>
      <c r="O5996" s="345" t="s">
        <v>208</v>
      </c>
      <c r="P5996" s="345" t="s">
        <v>209</v>
      </c>
      <c r="Q5996" s="345" t="s">
        <v>210</v>
      </c>
      <c r="R5996" s="345" t="s">
        <v>223</v>
      </c>
      <c r="S5996" s="345" t="s">
        <v>224</v>
      </c>
    </row>
    <row r="5997" spans="1:19" x14ac:dyDescent="0.25">
      <c r="A5997" s="311"/>
      <c r="B5997" s="312"/>
      <c r="C5997" s="312"/>
      <c r="D5997" s="312"/>
      <c r="E5997" s="312"/>
      <c r="F5997" s="312"/>
      <c r="G5997" s="328"/>
      <c r="H5997" s="453"/>
      <c r="I5997" s="334"/>
      <c r="J5997" s="314"/>
      <c r="K5997" s="454"/>
      <c r="M5997" s="349" t="str">
        <f>N5997&amp;AS[[#This Row],[Insurer Code]]&amp;"; "&amp;O5997&amp;AS[[#This Row],[Reporting Year]]&amp;"; "&amp;P5997&amp;AS[[#This Row],[Insurance Category Code]]&amp;"; "&amp;Q5997&amp;AS[[#This Row],[Large Provider Entity Code]]&amp;"; "&amp;R5997&amp;AS[[#This Row],[Age Band Code]]&amp;"; "&amp;S5997&amp;AS[[#This Row],[Sex Code]]</f>
        <v xml:space="preserve">Insurer Code ; Reporting Year ; Insurance Category Code ; Large Provider Entity Code ; Age Band Code ; Sex Code </v>
      </c>
      <c r="N5997" s="345" t="s">
        <v>207</v>
      </c>
      <c r="O5997" s="345" t="s">
        <v>208</v>
      </c>
      <c r="P5997" s="345" t="s">
        <v>209</v>
      </c>
      <c r="Q5997" s="345" t="s">
        <v>210</v>
      </c>
      <c r="R5997" s="345" t="s">
        <v>223</v>
      </c>
      <c r="S5997" s="345" t="s">
        <v>224</v>
      </c>
    </row>
    <row r="5998" spans="1:19" x14ac:dyDescent="0.25">
      <c r="A5998" s="311"/>
      <c r="B5998" s="312"/>
      <c r="C5998" s="312"/>
      <c r="D5998" s="312"/>
      <c r="E5998" s="312"/>
      <c r="F5998" s="312"/>
      <c r="G5998" s="328"/>
      <c r="H5998" s="453"/>
      <c r="I5998" s="334"/>
      <c r="J5998" s="314"/>
      <c r="K5998" s="454"/>
      <c r="M5998" s="349" t="str">
        <f>N5998&amp;AS[[#This Row],[Insurer Code]]&amp;"; "&amp;O5998&amp;AS[[#This Row],[Reporting Year]]&amp;"; "&amp;P5998&amp;AS[[#This Row],[Insurance Category Code]]&amp;"; "&amp;Q5998&amp;AS[[#This Row],[Large Provider Entity Code]]&amp;"; "&amp;R5998&amp;AS[[#This Row],[Age Band Code]]&amp;"; "&amp;S5998&amp;AS[[#This Row],[Sex Code]]</f>
        <v xml:space="preserve">Insurer Code ; Reporting Year ; Insurance Category Code ; Large Provider Entity Code ; Age Band Code ; Sex Code </v>
      </c>
      <c r="N5998" s="345" t="s">
        <v>207</v>
      </c>
      <c r="O5998" s="345" t="s">
        <v>208</v>
      </c>
      <c r="P5998" s="345" t="s">
        <v>209</v>
      </c>
      <c r="Q5998" s="345" t="s">
        <v>210</v>
      </c>
      <c r="R5998" s="345" t="s">
        <v>223</v>
      </c>
      <c r="S5998" s="345" t="s">
        <v>224</v>
      </c>
    </row>
    <row r="5999" spans="1:19" x14ac:dyDescent="0.25">
      <c r="A5999" s="311"/>
      <c r="B5999" s="312"/>
      <c r="C5999" s="312"/>
      <c r="D5999" s="312"/>
      <c r="E5999" s="312"/>
      <c r="F5999" s="312"/>
      <c r="G5999" s="328"/>
      <c r="H5999" s="453"/>
      <c r="I5999" s="334"/>
      <c r="J5999" s="314"/>
      <c r="K5999" s="454"/>
      <c r="M5999" s="349" t="str">
        <f>N5999&amp;AS[[#This Row],[Insurer Code]]&amp;"; "&amp;O5999&amp;AS[[#This Row],[Reporting Year]]&amp;"; "&amp;P5999&amp;AS[[#This Row],[Insurance Category Code]]&amp;"; "&amp;Q5999&amp;AS[[#This Row],[Large Provider Entity Code]]&amp;"; "&amp;R5999&amp;AS[[#This Row],[Age Band Code]]&amp;"; "&amp;S5999&amp;AS[[#This Row],[Sex Code]]</f>
        <v xml:space="preserve">Insurer Code ; Reporting Year ; Insurance Category Code ; Large Provider Entity Code ; Age Band Code ; Sex Code </v>
      </c>
      <c r="N5999" s="345" t="s">
        <v>207</v>
      </c>
      <c r="O5999" s="345" t="s">
        <v>208</v>
      </c>
      <c r="P5999" s="345" t="s">
        <v>209</v>
      </c>
      <c r="Q5999" s="345" t="s">
        <v>210</v>
      </c>
      <c r="R5999" s="345" t="s">
        <v>223</v>
      </c>
      <c r="S5999" s="345" t="s">
        <v>224</v>
      </c>
    </row>
    <row r="6000" spans="1:19" x14ac:dyDescent="0.25">
      <c r="A6000" s="311"/>
      <c r="B6000" s="312"/>
      <c r="C6000" s="312"/>
      <c r="D6000" s="312"/>
      <c r="E6000" s="312"/>
      <c r="F6000" s="312"/>
      <c r="G6000" s="328"/>
      <c r="H6000" s="453"/>
      <c r="I6000" s="334"/>
      <c r="J6000" s="314"/>
      <c r="K6000" s="454"/>
      <c r="M6000" s="349" t="str">
        <f>N6000&amp;AS[[#This Row],[Insurer Code]]&amp;"; "&amp;O6000&amp;AS[[#This Row],[Reporting Year]]&amp;"; "&amp;P6000&amp;AS[[#This Row],[Insurance Category Code]]&amp;"; "&amp;Q6000&amp;AS[[#This Row],[Large Provider Entity Code]]&amp;"; "&amp;R6000&amp;AS[[#This Row],[Age Band Code]]&amp;"; "&amp;S6000&amp;AS[[#This Row],[Sex Code]]</f>
        <v xml:space="preserve">Insurer Code ; Reporting Year ; Insurance Category Code ; Large Provider Entity Code ; Age Band Code ; Sex Code </v>
      </c>
      <c r="N6000" s="345" t="s">
        <v>207</v>
      </c>
      <c r="O6000" s="345" t="s">
        <v>208</v>
      </c>
      <c r="P6000" s="345" t="s">
        <v>209</v>
      </c>
      <c r="Q6000" s="345" t="s">
        <v>210</v>
      </c>
      <c r="R6000" s="345" t="s">
        <v>223</v>
      </c>
      <c r="S6000" s="345" t="s">
        <v>224</v>
      </c>
    </row>
    <row r="6001" spans="1:19" x14ac:dyDescent="0.25">
      <c r="A6001" s="311"/>
      <c r="B6001" s="312"/>
      <c r="C6001" s="312"/>
      <c r="D6001" s="312"/>
      <c r="E6001" s="312"/>
      <c r="F6001" s="312"/>
      <c r="G6001" s="328"/>
      <c r="H6001" s="453"/>
      <c r="I6001" s="334"/>
      <c r="J6001" s="314"/>
      <c r="K6001" s="454"/>
      <c r="M6001" s="349" t="str">
        <f>N6001&amp;AS[[#This Row],[Insurer Code]]&amp;"; "&amp;O6001&amp;AS[[#This Row],[Reporting Year]]&amp;"; "&amp;P6001&amp;AS[[#This Row],[Insurance Category Code]]&amp;"; "&amp;Q6001&amp;AS[[#This Row],[Large Provider Entity Code]]&amp;"; "&amp;R6001&amp;AS[[#This Row],[Age Band Code]]&amp;"; "&amp;S6001&amp;AS[[#This Row],[Sex Code]]</f>
        <v xml:space="preserve">Insurer Code ; Reporting Year ; Insurance Category Code ; Large Provider Entity Code ; Age Band Code ; Sex Code </v>
      </c>
      <c r="N6001" s="345" t="s">
        <v>207</v>
      </c>
      <c r="O6001" s="345" t="s">
        <v>208</v>
      </c>
      <c r="P6001" s="345" t="s">
        <v>209</v>
      </c>
      <c r="Q6001" s="345" t="s">
        <v>210</v>
      </c>
      <c r="R6001" s="345" t="s">
        <v>223</v>
      </c>
      <c r="S6001" s="345" t="s">
        <v>224</v>
      </c>
    </row>
    <row r="6002" spans="1:19" x14ac:dyDescent="0.25">
      <c r="A6002" s="311"/>
      <c r="B6002" s="312"/>
      <c r="C6002" s="312"/>
      <c r="D6002" s="312"/>
      <c r="E6002" s="312"/>
      <c r="F6002" s="312"/>
      <c r="G6002" s="328"/>
      <c r="H6002" s="453"/>
      <c r="I6002" s="334"/>
      <c r="J6002" s="314"/>
      <c r="K6002" s="454"/>
      <c r="M6002" s="349" t="str">
        <f>N6002&amp;AS[[#This Row],[Insurer Code]]&amp;"; "&amp;O6002&amp;AS[[#This Row],[Reporting Year]]&amp;"; "&amp;P6002&amp;AS[[#This Row],[Insurance Category Code]]&amp;"; "&amp;Q6002&amp;AS[[#This Row],[Large Provider Entity Code]]&amp;"; "&amp;R6002&amp;AS[[#This Row],[Age Band Code]]&amp;"; "&amp;S6002&amp;AS[[#This Row],[Sex Code]]</f>
        <v xml:space="preserve">Insurer Code ; Reporting Year ; Insurance Category Code ; Large Provider Entity Code ; Age Band Code ; Sex Code </v>
      </c>
      <c r="N6002" s="345" t="s">
        <v>207</v>
      </c>
      <c r="O6002" s="345" t="s">
        <v>208</v>
      </c>
      <c r="P6002" s="345" t="s">
        <v>209</v>
      </c>
      <c r="Q6002" s="345" t="s">
        <v>210</v>
      </c>
      <c r="R6002" s="345" t="s">
        <v>223</v>
      </c>
      <c r="S6002" s="345" t="s">
        <v>224</v>
      </c>
    </row>
    <row r="6003" spans="1:19" x14ac:dyDescent="0.25">
      <c r="A6003" s="311"/>
      <c r="B6003" s="312"/>
      <c r="C6003" s="312"/>
      <c r="D6003" s="312"/>
      <c r="E6003" s="312"/>
      <c r="F6003" s="312"/>
      <c r="G6003" s="328"/>
      <c r="H6003" s="453"/>
      <c r="I6003" s="334"/>
      <c r="J6003" s="314"/>
      <c r="K6003" s="454"/>
      <c r="M6003" s="349" t="str">
        <f>N6003&amp;AS[[#This Row],[Insurer Code]]&amp;"; "&amp;O6003&amp;AS[[#This Row],[Reporting Year]]&amp;"; "&amp;P6003&amp;AS[[#This Row],[Insurance Category Code]]&amp;"; "&amp;Q6003&amp;AS[[#This Row],[Large Provider Entity Code]]&amp;"; "&amp;R6003&amp;AS[[#This Row],[Age Band Code]]&amp;"; "&amp;S6003&amp;AS[[#This Row],[Sex Code]]</f>
        <v xml:space="preserve">Insurer Code ; Reporting Year ; Insurance Category Code ; Large Provider Entity Code ; Age Band Code ; Sex Code </v>
      </c>
      <c r="N6003" s="345" t="s">
        <v>207</v>
      </c>
      <c r="O6003" s="345" t="s">
        <v>208</v>
      </c>
      <c r="P6003" s="345" t="s">
        <v>209</v>
      </c>
      <c r="Q6003" s="345" t="s">
        <v>210</v>
      </c>
      <c r="R6003" s="345" t="s">
        <v>223</v>
      </c>
      <c r="S6003" s="345" t="s">
        <v>224</v>
      </c>
    </row>
    <row r="6004" spans="1:19" x14ac:dyDescent="0.25">
      <c r="A6004" s="311"/>
      <c r="B6004" s="312"/>
      <c r="C6004" s="312"/>
      <c r="D6004" s="312"/>
      <c r="E6004" s="312"/>
      <c r="F6004" s="312"/>
      <c r="G6004" s="328"/>
      <c r="H6004" s="453"/>
      <c r="I6004" s="334"/>
      <c r="J6004" s="314"/>
      <c r="K6004" s="454"/>
      <c r="M6004" s="349" t="str">
        <f>N6004&amp;AS[[#This Row],[Insurer Code]]&amp;"; "&amp;O6004&amp;AS[[#This Row],[Reporting Year]]&amp;"; "&amp;P6004&amp;AS[[#This Row],[Insurance Category Code]]&amp;"; "&amp;Q6004&amp;AS[[#This Row],[Large Provider Entity Code]]&amp;"; "&amp;R6004&amp;AS[[#This Row],[Age Band Code]]&amp;"; "&amp;S6004&amp;AS[[#This Row],[Sex Code]]</f>
        <v xml:space="preserve">Insurer Code ; Reporting Year ; Insurance Category Code ; Large Provider Entity Code ; Age Band Code ; Sex Code </v>
      </c>
      <c r="N6004" s="345" t="s">
        <v>207</v>
      </c>
      <c r="O6004" s="345" t="s">
        <v>208</v>
      </c>
      <c r="P6004" s="345" t="s">
        <v>209</v>
      </c>
      <c r="Q6004" s="345" t="s">
        <v>210</v>
      </c>
      <c r="R6004" s="345" t="s">
        <v>223</v>
      </c>
      <c r="S6004" s="345" t="s">
        <v>224</v>
      </c>
    </row>
    <row r="6005" spans="1:19" x14ac:dyDescent="0.25">
      <c r="A6005" s="311"/>
      <c r="B6005" s="312"/>
      <c r="C6005" s="312"/>
      <c r="D6005" s="312"/>
      <c r="E6005" s="312"/>
      <c r="F6005" s="312"/>
      <c r="G6005" s="328"/>
      <c r="H6005" s="453"/>
      <c r="I6005" s="334"/>
      <c r="J6005" s="314"/>
      <c r="K6005" s="454"/>
      <c r="M6005" s="349" t="str">
        <f>N6005&amp;AS[[#This Row],[Insurer Code]]&amp;"; "&amp;O6005&amp;AS[[#This Row],[Reporting Year]]&amp;"; "&amp;P6005&amp;AS[[#This Row],[Insurance Category Code]]&amp;"; "&amp;Q6005&amp;AS[[#This Row],[Large Provider Entity Code]]&amp;"; "&amp;R6005&amp;AS[[#This Row],[Age Band Code]]&amp;"; "&amp;S6005&amp;AS[[#This Row],[Sex Code]]</f>
        <v xml:space="preserve">Insurer Code ; Reporting Year ; Insurance Category Code ; Large Provider Entity Code ; Age Band Code ; Sex Code </v>
      </c>
      <c r="N6005" s="345" t="s">
        <v>207</v>
      </c>
      <c r="O6005" s="345" t="s">
        <v>208</v>
      </c>
      <c r="P6005" s="345" t="s">
        <v>209</v>
      </c>
      <c r="Q6005" s="345" t="s">
        <v>210</v>
      </c>
      <c r="R6005" s="345" t="s">
        <v>223</v>
      </c>
      <c r="S6005" s="345" t="s">
        <v>224</v>
      </c>
    </row>
    <row r="6006" spans="1:19" x14ac:dyDescent="0.25">
      <c r="A6006" s="311"/>
      <c r="B6006" s="312"/>
      <c r="C6006" s="312"/>
      <c r="D6006" s="312"/>
      <c r="E6006" s="312"/>
      <c r="F6006" s="312"/>
      <c r="G6006" s="328"/>
      <c r="H6006" s="453"/>
      <c r="I6006" s="334"/>
      <c r="J6006" s="314"/>
      <c r="K6006" s="454"/>
      <c r="M6006" s="349" t="str">
        <f>N6006&amp;AS[[#This Row],[Insurer Code]]&amp;"; "&amp;O6006&amp;AS[[#This Row],[Reporting Year]]&amp;"; "&amp;P6006&amp;AS[[#This Row],[Insurance Category Code]]&amp;"; "&amp;Q6006&amp;AS[[#This Row],[Large Provider Entity Code]]&amp;"; "&amp;R6006&amp;AS[[#This Row],[Age Band Code]]&amp;"; "&amp;S6006&amp;AS[[#This Row],[Sex Code]]</f>
        <v xml:space="preserve">Insurer Code ; Reporting Year ; Insurance Category Code ; Large Provider Entity Code ; Age Band Code ; Sex Code </v>
      </c>
      <c r="N6006" s="345" t="s">
        <v>207</v>
      </c>
      <c r="O6006" s="345" t="s">
        <v>208</v>
      </c>
      <c r="P6006" s="345" t="s">
        <v>209</v>
      </c>
      <c r="Q6006" s="345" t="s">
        <v>210</v>
      </c>
      <c r="R6006" s="345" t="s">
        <v>223</v>
      </c>
      <c r="S6006" s="345" t="s">
        <v>224</v>
      </c>
    </row>
    <row r="6007" spans="1:19" x14ac:dyDescent="0.25">
      <c r="A6007" s="311"/>
      <c r="B6007" s="312"/>
      <c r="C6007" s="312"/>
      <c r="D6007" s="312"/>
      <c r="E6007" s="312"/>
      <c r="F6007" s="312"/>
      <c r="G6007" s="328"/>
      <c r="H6007" s="453"/>
      <c r="I6007" s="334"/>
      <c r="J6007" s="314"/>
      <c r="K6007" s="454"/>
      <c r="M6007" s="349" t="str">
        <f>N6007&amp;AS[[#This Row],[Insurer Code]]&amp;"; "&amp;O6007&amp;AS[[#This Row],[Reporting Year]]&amp;"; "&amp;P6007&amp;AS[[#This Row],[Insurance Category Code]]&amp;"; "&amp;Q6007&amp;AS[[#This Row],[Large Provider Entity Code]]&amp;"; "&amp;R6007&amp;AS[[#This Row],[Age Band Code]]&amp;"; "&amp;S6007&amp;AS[[#This Row],[Sex Code]]</f>
        <v xml:space="preserve">Insurer Code ; Reporting Year ; Insurance Category Code ; Large Provider Entity Code ; Age Band Code ; Sex Code </v>
      </c>
      <c r="N6007" s="345" t="s">
        <v>207</v>
      </c>
      <c r="O6007" s="345" t="s">
        <v>208</v>
      </c>
      <c r="P6007" s="345" t="s">
        <v>209</v>
      </c>
      <c r="Q6007" s="345" t="s">
        <v>210</v>
      </c>
      <c r="R6007" s="345" t="s">
        <v>223</v>
      </c>
      <c r="S6007" s="345" t="s">
        <v>224</v>
      </c>
    </row>
    <row r="6008" spans="1:19" x14ac:dyDescent="0.25">
      <c r="A6008" s="311"/>
      <c r="B6008" s="312"/>
      <c r="C6008" s="312"/>
      <c r="D6008" s="312"/>
      <c r="E6008" s="312"/>
      <c r="F6008" s="312"/>
      <c r="G6008" s="328"/>
      <c r="H6008" s="453"/>
      <c r="I6008" s="334"/>
      <c r="J6008" s="314"/>
      <c r="K6008" s="454"/>
      <c r="M6008" s="349" t="str">
        <f>N6008&amp;AS[[#This Row],[Insurer Code]]&amp;"; "&amp;O6008&amp;AS[[#This Row],[Reporting Year]]&amp;"; "&amp;P6008&amp;AS[[#This Row],[Insurance Category Code]]&amp;"; "&amp;Q6008&amp;AS[[#This Row],[Large Provider Entity Code]]&amp;"; "&amp;R6008&amp;AS[[#This Row],[Age Band Code]]&amp;"; "&amp;S6008&amp;AS[[#This Row],[Sex Code]]</f>
        <v xml:space="preserve">Insurer Code ; Reporting Year ; Insurance Category Code ; Large Provider Entity Code ; Age Band Code ; Sex Code </v>
      </c>
      <c r="N6008" s="345" t="s">
        <v>207</v>
      </c>
      <c r="O6008" s="345" t="s">
        <v>208</v>
      </c>
      <c r="P6008" s="345" t="s">
        <v>209</v>
      </c>
      <c r="Q6008" s="345" t="s">
        <v>210</v>
      </c>
      <c r="R6008" s="345" t="s">
        <v>223</v>
      </c>
      <c r="S6008" s="345" t="s">
        <v>224</v>
      </c>
    </row>
    <row r="6009" spans="1:19" x14ac:dyDescent="0.25">
      <c r="A6009" s="311"/>
      <c r="B6009" s="312"/>
      <c r="C6009" s="312"/>
      <c r="D6009" s="312"/>
      <c r="E6009" s="312"/>
      <c r="F6009" s="312"/>
      <c r="G6009" s="328"/>
      <c r="H6009" s="453"/>
      <c r="I6009" s="334"/>
      <c r="J6009" s="314"/>
      <c r="K6009" s="454"/>
      <c r="M6009" s="349" t="str">
        <f>N6009&amp;AS[[#This Row],[Insurer Code]]&amp;"; "&amp;O6009&amp;AS[[#This Row],[Reporting Year]]&amp;"; "&amp;P6009&amp;AS[[#This Row],[Insurance Category Code]]&amp;"; "&amp;Q6009&amp;AS[[#This Row],[Large Provider Entity Code]]&amp;"; "&amp;R6009&amp;AS[[#This Row],[Age Band Code]]&amp;"; "&amp;S6009&amp;AS[[#This Row],[Sex Code]]</f>
        <v xml:space="preserve">Insurer Code ; Reporting Year ; Insurance Category Code ; Large Provider Entity Code ; Age Band Code ; Sex Code </v>
      </c>
      <c r="N6009" s="345" t="s">
        <v>207</v>
      </c>
      <c r="O6009" s="345" t="s">
        <v>208</v>
      </c>
      <c r="P6009" s="345" t="s">
        <v>209</v>
      </c>
      <c r="Q6009" s="345" t="s">
        <v>210</v>
      </c>
      <c r="R6009" s="345" t="s">
        <v>223</v>
      </c>
      <c r="S6009" s="345" t="s">
        <v>224</v>
      </c>
    </row>
    <row r="6010" spans="1:19" x14ac:dyDescent="0.25">
      <c r="A6010" s="311"/>
      <c r="B6010" s="312"/>
      <c r="C6010" s="312"/>
      <c r="D6010" s="312"/>
      <c r="E6010" s="312"/>
      <c r="F6010" s="312"/>
      <c r="G6010" s="328"/>
      <c r="H6010" s="453"/>
      <c r="I6010" s="334"/>
      <c r="J6010" s="314"/>
      <c r="K6010" s="454"/>
      <c r="M6010" s="349" t="str">
        <f>N6010&amp;AS[[#This Row],[Insurer Code]]&amp;"; "&amp;O6010&amp;AS[[#This Row],[Reporting Year]]&amp;"; "&amp;P6010&amp;AS[[#This Row],[Insurance Category Code]]&amp;"; "&amp;Q6010&amp;AS[[#This Row],[Large Provider Entity Code]]&amp;"; "&amp;R6010&amp;AS[[#This Row],[Age Band Code]]&amp;"; "&amp;S6010&amp;AS[[#This Row],[Sex Code]]</f>
        <v xml:space="preserve">Insurer Code ; Reporting Year ; Insurance Category Code ; Large Provider Entity Code ; Age Band Code ; Sex Code </v>
      </c>
      <c r="N6010" s="345" t="s">
        <v>207</v>
      </c>
      <c r="O6010" s="345" t="s">
        <v>208</v>
      </c>
      <c r="P6010" s="345" t="s">
        <v>209</v>
      </c>
      <c r="Q6010" s="345" t="s">
        <v>210</v>
      </c>
      <c r="R6010" s="345" t="s">
        <v>223</v>
      </c>
      <c r="S6010" s="345" t="s">
        <v>224</v>
      </c>
    </row>
    <row r="6011" spans="1:19" x14ac:dyDescent="0.25">
      <c r="A6011" s="311"/>
      <c r="B6011" s="312"/>
      <c r="C6011" s="312"/>
      <c r="D6011" s="312"/>
      <c r="E6011" s="312"/>
      <c r="F6011" s="312"/>
      <c r="G6011" s="328"/>
      <c r="H6011" s="453"/>
      <c r="I6011" s="334"/>
      <c r="J6011" s="314"/>
      <c r="K6011" s="454"/>
      <c r="M6011" s="349" t="str">
        <f>N6011&amp;AS[[#This Row],[Insurer Code]]&amp;"; "&amp;O6011&amp;AS[[#This Row],[Reporting Year]]&amp;"; "&amp;P6011&amp;AS[[#This Row],[Insurance Category Code]]&amp;"; "&amp;Q6011&amp;AS[[#This Row],[Large Provider Entity Code]]&amp;"; "&amp;R6011&amp;AS[[#This Row],[Age Band Code]]&amp;"; "&amp;S6011&amp;AS[[#This Row],[Sex Code]]</f>
        <v xml:space="preserve">Insurer Code ; Reporting Year ; Insurance Category Code ; Large Provider Entity Code ; Age Band Code ; Sex Code </v>
      </c>
      <c r="N6011" s="345" t="s">
        <v>207</v>
      </c>
      <c r="O6011" s="345" t="s">
        <v>208</v>
      </c>
      <c r="P6011" s="345" t="s">
        <v>209</v>
      </c>
      <c r="Q6011" s="345" t="s">
        <v>210</v>
      </c>
      <c r="R6011" s="345" t="s">
        <v>223</v>
      </c>
      <c r="S6011" s="345" t="s">
        <v>224</v>
      </c>
    </row>
    <row r="6012" spans="1:19" x14ac:dyDescent="0.25">
      <c r="A6012" s="311"/>
      <c r="B6012" s="312"/>
      <c r="C6012" s="312"/>
      <c r="D6012" s="312"/>
      <c r="E6012" s="312"/>
      <c r="F6012" s="312"/>
      <c r="G6012" s="328"/>
      <c r="H6012" s="453"/>
      <c r="I6012" s="334"/>
      <c r="J6012" s="314"/>
      <c r="K6012" s="454"/>
      <c r="M6012" s="349" t="str">
        <f>N6012&amp;AS[[#This Row],[Insurer Code]]&amp;"; "&amp;O6012&amp;AS[[#This Row],[Reporting Year]]&amp;"; "&amp;P6012&amp;AS[[#This Row],[Insurance Category Code]]&amp;"; "&amp;Q6012&amp;AS[[#This Row],[Large Provider Entity Code]]&amp;"; "&amp;R6012&amp;AS[[#This Row],[Age Band Code]]&amp;"; "&amp;S6012&amp;AS[[#This Row],[Sex Code]]</f>
        <v xml:space="preserve">Insurer Code ; Reporting Year ; Insurance Category Code ; Large Provider Entity Code ; Age Band Code ; Sex Code </v>
      </c>
      <c r="N6012" s="345" t="s">
        <v>207</v>
      </c>
      <c r="O6012" s="345" t="s">
        <v>208</v>
      </c>
      <c r="P6012" s="345" t="s">
        <v>209</v>
      </c>
      <c r="Q6012" s="345" t="s">
        <v>210</v>
      </c>
      <c r="R6012" s="345" t="s">
        <v>223</v>
      </c>
      <c r="S6012" s="345" t="s">
        <v>224</v>
      </c>
    </row>
    <row r="6013" spans="1:19" x14ac:dyDescent="0.25">
      <c r="A6013" s="311"/>
      <c r="B6013" s="312"/>
      <c r="C6013" s="312"/>
      <c r="D6013" s="312"/>
      <c r="E6013" s="312"/>
      <c r="F6013" s="312"/>
      <c r="G6013" s="328"/>
      <c r="H6013" s="453"/>
      <c r="I6013" s="334"/>
      <c r="J6013" s="314"/>
      <c r="K6013" s="454"/>
      <c r="M6013" s="349" t="str">
        <f>N6013&amp;AS[[#This Row],[Insurer Code]]&amp;"; "&amp;O6013&amp;AS[[#This Row],[Reporting Year]]&amp;"; "&amp;P6013&amp;AS[[#This Row],[Insurance Category Code]]&amp;"; "&amp;Q6013&amp;AS[[#This Row],[Large Provider Entity Code]]&amp;"; "&amp;R6013&amp;AS[[#This Row],[Age Band Code]]&amp;"; "&amp;S6013&amp;AS[[#This Row],[Sex Code]]</f>
        <v xml:space="preserve">Insurer Code ; Reporting Year ; Insurance Category Code ; Large Provider Entity Code ; Age Band Code ; Sex Code </v>
      </c>
      <c r="N6013" s="345" t="s">
        <v>207</v>
      </c>
      <c r="O6013" s="345" t="s">
        <v>208</v>
      </c>
      <c r="P6013" s="345" t="s">
        <v>209</v>
      </c>
      <c r="Q6013" s="345" t="s">
        <v>210</v>
      </c>
      <c r="R6013" s="345" t="s">
        <v>223</v>
      </c>
      <c r="S6013" s="345" t="s">
        <v>224</v>
      </c>
    </row>
    <row r="6014" spans="1:19" x14ac:dyDescent="0.25">
      <c r="A6014" s="311"/>
      <c r="B6014" s="312"/>
      <c r="C6014" s="312"/>
      <c r="D6014" s="312"/>
      <c r="E6014" s="312"/>
      <c r="F6014" s="312"/>
      <c r="G6014" s="328"/>
      <c r="H6014" s="453"/>
      <c r="I6014" s="334"/>
      <c r="J6014" s="314"/>
      <c r="K6014" s="454"/>
      <c r="M6014" s="349" t="str">
        <f>N6014&amp;AS[[#This Row],[Insurer Code]]&amp;"; "&amp;O6014&amp;AS[[#This Row],[Reporting Year]]&amp;"; "&amp;P6014&amp;AS[[#This Row],[Insurance Category Code]]&amp;"; "&amp;Q6014&amp;AS[[#This Row],[Large Provider Entity Code]]&amp;"; "&amp;R6014&amp;AS[[#This Row],[Age Band Code]]&amp;"; "&amp;S6014&amp;AS[[#This Row],[Sex Code]]</f>
        <v xml:space="preserve">Insurer Code ; Reporting Year ; Insurance Category Code ; Large Provider Entity Code ; Age Band Code ; Sex Code </v>
      </c>
      <c r="N6014" s="345" t="s">
        <v>207</v>
      </c>
      <c r="O6014" s="345" t="s">
        <v>208</v>
      </c>
      <c r="P6014" s="345" t="s">
        <v>209</v>
      </c>
      <c r="Q6014" s="345" t="s">
        <v>210</v>
      </c>
      <c r="R6014" s="345" t="s">
        <v>223</v>
      </c>
      <c r="S6014" s="345" t="s">
        <v>224</v>
      </c>
    </row>
    <row r="6015" spans="1:19" x14ac:dyDescent="0.25">
      <c r="A6015" s="311"/>
      <c r="B6015" s="312"/>
      <c r="C6015" s="312"/>
      <c r="D6015" s="312"/>
      <c r="E6015" s="312"/>
      <c r="F6015" s="312"/>
      <c r="G6015" s="328"/>
      <c r="H6015" s="453"/>
      <c r="I6015" s="334"/>
      <c r="J6015" s="314"/>
      <c r="K6015" s="454"/>
      <c r="M6015" s="349" t="str">
        <f>N6015&amp;AS[[#This Row],[Insurer Code]]&amp;"; "&amp;O6015&amp;AS[[#This Row],[Reporting Year]]&amp;"; "&amp;P6015&amp;AS[[#This Row],[Insurance Category Code]]&amp;"; "&amp;Q6015&amp;AS[[#This Row],[Large Provider Entity Code]]&amp;"; "&amp;R6015&amp;AS[[#This Row],[Age Band Code]]&amp;"; "&amp;S6015&amp;AS[[#This Row],[Sex Code]]</f>
        <v xml:space="preserve">Insurer Code ; Reporting Year ; Insurance Category Code ; Large Provider Entity Code ; Age Band Code ; Sex Code </v>
      </c>
      <c r="N6015" s="345" t="s">
        <v>207</v>
      </c>
      <c r="O6015" s="345" t="s">
        <v>208</v>
      </c>
      <c r="P6015" s="345" t="s">
        <v>209</v>
      </c>
      <c r="Q6015" s="345" t="s">
        <v>210</v>
      </c>
      <c r="R6015" s="345" t="s">
        <v>223</v>
      </c>
      <c r="S6015" s="345" t="s">
        <v>224</v>
      </c>
    </row>
    <row r="6016" spans="1:19" x14ac:dyDescent="0.25">
      <c r="A6016" s="311"/>
      <c r="B6016" s="312"/>
      <c r="C6016" s="312"/>
      <c r="D6016" s="312"/>
      <c r="E6016" s="312"/>
      <c r="F6016" s="312"/>
      <c r="G6016" s="328"/>
      <c r="H6016" s="453"/>
      <c r="I6016" s="334"/>
      <c r="J6016" s="314"/>
      <c r="K6016" s="454"/>
      <c r="M6016" s="349" t="str">
        <f>N6016&amp;AS[[#This Row],[Insurer Code]]&amp;"; "&amp;O6016&amp;AS[[#This Row],[Reporting Year]]&amp;"; "&amp;P6016&amp;AS[[#This Row],[Insurance Category Code]]&amp;"; "&amp;Q6016&amp;AS[[#This Row],[Large Provider Entity Code]]&amp;"; "&amp;R6016&amp;AS[[#This Row],[Age Band Code]]&amp;"; "&amp;S6016&amp;AS[[#This Row],[Sex Code]]</f>
        <v xml:space="preserve">Insurer Code ; Reporting Year ; Insurance Category Code ; Large Provider Entity Code ; Age Band Code ; Sex Code </v>
      </c>
      <c r="N6016" s="345" t="s">
        <v>207</v>
      </c>
      <c r="O6016" s="345" t="s">
        <v>208</v>
      </c>
      <c r="P6016" s="345" t="s">
        <v>209</v>
      </c>
      <c r="Q6016" s="345" t="s">
        <v>210</v>
      </c>
      <c r="R6016" s="345" t="s">
        <v>223</v>
      </c>
      <c r="S6016" s="345" t="s">
        <v>224</v>
      </c>
    </row>
    <row r="6017" spans="1:19" x14ac:dyDescent="0.25">
      <c r="A6017" s="311"/>
      <c r="B6017" s="312"/>
      <c r="C6017" s="312"/>
      <c r="D6017" s="312"/>
      <c r="E6017" s="312"/>
      <c r="F6017" s="312"/>
      <c r="G6017" s="328"/>
      <c r="H6017" s="453"/>
      <c r="I6017" s="334"/>
      <c r="J6017" s="314"/>
      <c r="K6017" s="454"/>
      <c r="M6017" s="349" t="str">
        <f>N6017&amp;AS[[#This Row],[Insurer Code]]&amp;"; "&amp;O6017&amp;AS[[#This Row],[Reporting Year]]&amp;"; "&amp;P6017&amp;AS[[#This Row],[Insurance Category Code]]&amp;"; "&amp;Q6017&amp;AS[[#This Row],[Large Provider Entity Code]]&amp;"; "&amp;R6017&amp;AS[[#This Row],[Age Band Code]]&amp;"; "&amp;S6017&amp;AS[[#This Row],[Sex Code]]</f>
        <v xml:space="preserve">Insurer Code ; Reporting Year ; Insurance Category Code ; Large Provider Entity Code ; Age Band Code ; Sex Code </v>
      </c>
      <c r="N6017" s="345" t="s">
        <v>207</v>
      </c>
      <c r="O6017" s="345" t="s">
        <v>208</v>
      </c>
      <c r="P6017" s="345" t="s">
        <v>209</v>
      </c>
      <c r="Q6017" s="345" t="s">
        <v>210</v>
      </c>
      <c r="R6017" s="345" t="s">
        <v>223</v>
      </c>
      <c r="S6017" s="345" t="s">
        <v>224</v>
      </c>
    </row>
    <row r="6018" spans="1:19" x14ac:dyDescent="0.25">
      <c r="A6018" s="311"/>
      <c r="B6018" s="312"/>
      <c r="C6018" s="312"/>
      <c r="D6018" s="312"/>
      <c r="E6018" s="312"/>
      <c r="F6018" s="312"/>
      <c r="G6018" s="328"/>
      <c r="H6018" s="453"/>
      <c r="I6018" s="334"/>
      <c r="J6018" s="314"/>
      <c r="K6018" s="454"/>
      <c r="M6018" s="349" t="str">
        <f>N6018&amp;AS[[#This Row],[Insurer Code]]&amp;"; "&amp;O6018&amp;AS[[#This Row],[Reporting Year]]&amp;"; "&amp;P6018&amp;AS[[#This Row],[Insurance Category Code]]&amp;"; "&amp;Q6018&amp;AS[[#This Row],[Large Provider Entity Code]]&amp;"; "&amp;R6018&amp;AS[[#This Row],[Age Band Code]]&amp;"; "&amp;S6018&amp;AS[[#This Row],[Sex Code]]</f>
        <v xml:space="preserve">Insurer Code ; Reporting Year ; Insurance Category Code ; Large Provider Entity Code ; Age Band Code ; Sex Code </v>
      </c>
      <c r="N6018" s="345" t="s">
        <v>207</v>
      </c>
      <c r="O6018" s="345" t="s">
        <v>208</v>
      </c>
      <c r="P6018" s="345" t="s">
        <v>209</v>
      </c>
      <c r="Q6018" s="345" t="s">
        <v>210</v>
      </c>
      <c r="R6018" s="345" t="s">
        <v>223</v>
      </c>
      <c r="S6018" s="345" t="s">
        <v>224</v>
      </c>
    </row>
    <row r="6019" spans="1:19" x14ac:dyDescent="0.25">
      <c r="A6019" s="311"/>
      <c r="B6019" s="312"/>
      <c r="C6019" s="312"/>
      <c r="D6019" s="312"/>
      <c r="E6019" s="312"/>
      <c r="F6019" s="312"/>
      <c r="G6019" s="328"/>
      <c r="H6019" s="453"/>
      <c r="I6019" s="334"/>
      <c r="J6019" s="314"/>
      <c r="K6019" s="454"/>
      <c r="M6019" s="349" t="str">
        <f>N6019&amp;AS[[#This Row],[Insurer Code]]&amp;"; "&amp;O6019&amp;AS[[#This Row],[Reporting Year]]&amp;"; "&amp;P6019&amp;AS[[#This Row],[Insurance Category Code]]&amp;"; "&amp;Q6019&amp;AS[[#This Row],[Large Provider Entity Code]]&amp;"; "&amp;R6019&amp;AS[[#This Row],[Age Band Code]]&amp;"; "&amp;S6019&amp;AS[[#This Row],[Sex Code]]</f>
        <v xml:space="preserve">Insurer Code ; Reporting Year ; Insurance Category Code ; Large Provider Entity Code ; Age Band Code ; Sex Code </v>
      </c>
      <c r="N6019" s="345" t="s">
        <v>207</v>
      </c>
      <c r="O6019" s="345" t="s">
        <v>208</v>
      </c>
      <c r="P6019" s="345" t="s">
        <v>209</v>
      </c>
      <c r="Q6019" s="345" t="s">
        <v>210</v>
      </c>
      <c r="R6019" s="345" t="s">
        <v>223</v>
      </c>
      <c r="S6019" s="345" t="s">
        <v>224</v>
      </c>
    </row>
    <row r="6020" spans="1:19" x14ac:dyDescent="0.25">
      <c r="A6020" s="311"/>
      <c r="B6020" s="312"/>
      <c r="C6020" s="312"/>
      <c r="D6020" s="312"/>
      <c r="E6020" s="312"/>
      <c r="F6020" s="312"/>
      <c r="G6020" s="328"/>
      <c r="H6020" s="453"/>
      <c r="I6020" s="334"/>
      <c r="J6020" s="314"/>
      <c r="K6020" s="454"/>
      <c r="M6020" s="349" t="str">
        <f>N6020&amp;AS[[#This Row],[Insurer Code]]&amp;"; "&amp;O6020&amp;AS[[#This Row],[Reporting Year]]&amp;"; "&amp;P6020&amp;AS[[#This Row],[Insurance Category Code]]&amp;"; "&amp;Q6020&amp;AS[[#This Row],[Large Provider Entity Code]]&amp;"; "&amp;R6020&amp;AS[[#This Row],[Age Band Code]]&amp;"; "&amp;S6020&amp;AS[[#This Row],[Sex Code]]</f>
        <v xml:space="preserve">Insurer Code ; Reporting Year ; Insurance Category Code ; Large Provider Entity Code ; Age Band Code ; Sex Code </v>
      </c>
      <c r="N6020" s="345" t="s">
        <v>207</v>
      </c>
      <c r="O6020" s="345" t="s">
        <v>208</v>
      </c>
      <c r="P6020" s="345" t="s">
        <v>209</v>
      </c>
      <c r="Q6020" s="345" t="s">
        <v>210</v>
      </c>
      <c r="R6020" s="345" t="s">
        <v>223</v>
      </c>
      <c r="S6020" s="345" t="s">
        <v>224</v>
      </c>
    </row>
    <row r="6021" spans="1:19" x14ac:dyDescent="0.25">
      <c r="A6021" s="311"/>
      <c r="B6021" s="312"/>
      <c r="C6021" s="312"/>
      <c r="D6021" s="312"/>
      <c r="E6021" s="312"/>
      <c r="F6021" s="312"/>
      <c r="G6021" s="328"/>
      <c r="H6021" s="453"/>
      <c r="I6021" s="334"/>
      <c r="J6021" s="314"/>
      <c r="K6021" s="454"/>
      <c r="M6021" s="349" t="str">
        <f>N6021&amp;AS[[#This Row],[Insurer Code]]&amp;"; "&amp;O6021&amp;AS[[#This Row],[Reporting Year]]&amp;"; "&amp;P6021&amp;AS[[#This Row],[Insurance Category Code]]&amp;"; "&amp;Q6021&amp;AS[[#This Row],[Large Provider Entity Code]]&amp;"; "&amp;R6021&amp;AS[[#This Row],[Age Band Code]]&amp;"; "&amp;S6021&amp;AS[[#This Row],[Sex Code]]</f>
        <v xml:space="preserve">Insurer Code ; Reporting Year ; Insurance Category Code ; Large Provider Entity Code ; Age Band Code ; Sex Code </v>
      </c>
      <c r="N6021" s="345" t="s">
        <v>207</v>
      </c>
      <c r="O6021" s="345" t="s">
        <v>208</v>
      </c>
      <c r="P6021" s="345" t="s">
        <v>209</v>
      </c>
      <c r="Q6021" s="345" t="s">
        <v>210</v>
      </c>
      <c r="R6021" s="345" t="s">
        <v>223</v>
      </c>
      <c r="S6021" s="345" t="s">
        <v>224</v>
      </c>
    </row>
    <row r="6022" spans="1:19" x14ac:dyDescent="0.25">
      <c r="A6022" s="311"/>
      <c r="B6022" s="312"/>
      <c r="C6022" s="312"/>
      <c r="D6022" s="312"/>
      <c r="E6022" s="312"/>
      <c r="F6022" s="312"/>
      <c r="G6022" s="328"/>
      <c r="H6022" s="453"/>
      <c r="I6022" s="334"/>
      <c r="J6022" s="314"/>
      <c r="K6022" s="454"/>
      <c r="M6022" s="349" t="str">
        <f>N6022&amp;AS[[#This Row],[Insurer Code]]&amp;"; "&amp;O6022&amp;AS[[#This Row],[Reporting Year]]&amp;"; "&amp;P6022&amp;AS[[#This Row],[Insurance Category Code]]&amp;"; "&amp;Q6022&amp;AS[[#This Row],[Large Provider Entity Code]]&amp;"; "&amp;R6022&amp;AS[[#This Row],[Age Band Code]]&amp;"; "&amp;S6022&amp;AS[[#This Row],[Sex Code]]</f>
        <v xml:space="preserve">Insurer Code ; Reporting Year ; Insurance Category Code ; Large Provider Entity Code ; Age Band Code ; Sex Code </v>
      </c>
      <c r="N6022" s="345" t="s">
        <v>207</v>
      </c>
      <c r="O6022" s="345" t="s">
        <v>208</v>
      </c>
      <c r="P6022" s="345" t="s">
        <v>209</v>
      </c>
      <c r="Q6022" s="345" t="s">
        <v>210</v>
      </c>
      <c r="R6022" s="345" t="s">
        <v>223</v>
      </c>
      <c r="S6022" s="345" t="s">
        <v>224</v>
      </c>
    </row>
    <row r="6023" spans="1:19" x14ac:dyDescent="0.25">
      <c r="A6023" s="311"/>
      <c r="B6023" s="312"/>
      <c r="C6023" s="312"/>
      <c r="D6023" s="312"/>
      <c r="E6023" s="312"/>
      <c r="F6023" s="312"/>
      <c r="G6023" s="328"/>
      <c r="H6023" s="453"/>
      <c r="I6023" s="334"/>
      <c r="J6023" s="314"/>
      <c r="K6023" s="454"/>
      <c r="M6023" s="349" t="str">
        <f>N6023&amp;AS[[#This Row],[Insurer Code]]&amp;"; "&amp;O6023&amp;AS[[#This Row],[Reporting Year]]&amp;"; "&amp;P6023&amp;AS[[#This Row],[Insurance Category Code]]&amp;"; "&amp;Q6023&amp;AS[[#This Row],[Large Provider Entity Code]]&amp;"; "&amp;R6023&amp;AS[[#This Row],[Age Band Code]]&amp;"; "&amp;S6023&amp;AS[[#This Row],[Sex Code]]</f>
        <v xml:space="preserve">Insurer Code ; Reporting Year ; Insurance Category Code ; Large Provider Entity Code ; Age Band Code ; Sex Code </v>
      </c>
      <c r="N6023" s="345" t="s">
        <v>207</v>
      </c>
      <c r="O6023" s="345" t="s">
        <v>208</v>
      </c>
      <c r="P6023" s="345" t="s">
        <v>209</v>
      </c>
      <c r="Q6023" s="345" t="s">
        <v>210</v>
      </c>
      <c r="R6023" s="345" t="s">
        <v>223</v>
      </c>
      <c r="S6023" s="345" t="s">
        <v>224</v>
      </c>
    </row>
    <row r="6024" spans="1:19" x14ac:dyDescent="0.25">
      <c r="A6024" s="311"/>
      <c r="B6024" s="312"/>
      <c r="C6024" s="312"/>
      <c r="D6024" s="312"/>
      <c r="E6024" s="312"/>
      <c r="F6024" s="312"/>
      <c r="G6024" s="328"/>
      <c r="H6024" s="453"/>
      <c r="I6024" s="334"/>
      <c r="J6024" s="314"/>
      <c r="K6024" s="454"/>
      <c r="M6024" s="349" t="str">
        <f>N6024&amp;AS[[#This Row],[Insurer Code]]&amp;"; "&amp;O6024&amp;AS[[#This Row],[Reporting Year]]&amp;"; "&amp;P6024&amp;AS[[#This Row],[Insurance Category Code]]&amp;"; "&amp;Q6024&amp;AS[[#This Row],[Large Provider Entity Code]]&amp;"; "&amp;R6024&amp;AS[[#This Row],[Age Band Code]]&amp;"; "&amp;S6024&amp;AS[[#This Row],[Sex Code]]</f>
        <v xml:space="preserve">Insurer Code ; Reporting Year ; Insurance Category Code ; Large Provider Entity Code ; Age Band Code ; Sex Code </v>
      </c>
      <c r="N6024" s="345" t="s">
        <v>207</v>
      </c>
      <c r="O6024" s="345" t="s">
        <v>208</v>
      </c>
      <c r="P6024" s="345" t="s">
        <v>209</v>
      </c>
      <c r="Q6024" s="345" t="s">
        <v>210</v>
      </c>
      <c r="R6024" s="345" t="s">
        <v>223</v>
      </c>
      <c r="S6024" s="345" t="s">
        <v>224</v>
      </c>
    </row>
    <row r="6025" spans="1:19" x14ac:dyDescent="0.25">
      <c r="A6025" s="311"/>
      <c r="B6025" s="312"/>
      <c r="C6025" s="312"/>
      <c r="D6025" s="312"/>
      <c r="E6025" s="312"/>
      <c r="F6025" s="312"/>
      <c r="G6025" s="328"/>
      <c r="H6025" s="453"/>
      <c r="I6025" s="334"/>
      <c r="J6025" s="314"/>
      <c r="K6025" s="454"/>
      <c r="M6025" s="349" t="str">
        <f>N6025&amp;AS[[#This Row],[Insurer Code]]&amp;"; "&amp;O6025&amp;AS[[#This Row],[Reporting Year]]&amp;"; "&amp;P6025&amp;AS[[#This Row],[Insurance Category Code]]&amp;"; "&amp;Q6025&amp;AS[[#This Row],[Large Provider Entity Code]]&amp;"; "&amp;R6025&amp;AS[[#This Row],[Age Band Code]]&amp;"; "&amp;S6025&amp;AS[[#This Row],[Sex Code]]</f>
        <v xml:space="preserve">Insurer Code ; Reporting Year ; Insurance Category Code ; Large Provider Entity Code ; Age Band Code ; Sex Code </v>
      </c>
      <c r="N6025" s="345" t="s">
        <v>207</v>
      </c>
      <c r="O6025" s="345" t="s">
        <v>208</v>
      </c>
      <c r="P6025" s="345" t="s">
        <v>209</v>
      </c>
      <c r="Q6025" s="345" t="s">
        <v>210</v>
      </c>
      <c r="R6025" s="345" t="s">
        <v>223</v>
      </c>
      <c r="S6025" s="345" t="s">
        <v>224</v>
      </c>
    </row>
    <row r="6026" spans="1:19" x14ac:dyDescent="0.25">
      <c r="A6026" s="311"/>
      <c r="B6026" s="312"/>
      <c r="C6026" s="312"/>
      <c r="D6026" s="312"/>
      <c r="E6026" s="312"/>
      <c r="F6026" s="312"/>
      <c r="G6026" s="328"/>
      <c r="H6026" s="453"/>
      <c r="I6026" s="334"/>
      <c r="J6026" s="314"/>
      <c r="K6026" s="454"/>
      <c r="M6026" s="349" t="str">
        <f>N6026&amp;AS[[#This Row],[Insurer Code]]&amp;"; "&amp;O6026&amp;AS[[#This Row],[Reporting Year]]&amp;"; "&amp;P6026&amp;AS[[#This Row],[Insurance Category Code]]&amp;"; "&amp;Q6026&amp;AS[[#This Row],[Large Provider Entity Code]]&amp;"; "&amp;R6026&amp;AS[[#This Row],[Age Band Code]]&amp;"; "&amp;S6026&amp;AS[[#This Row],[Sex Code]]</f>
        <v xml:space="preserve">Insurer Code ; Reporting Year ; Insurance Category Code ; Large Provider Entity Code ; Age Band Code ; Sex Code </v>
      </c>
      <c r="N6026" s="345" t="s">
        <v>207</v>
      </c>
      <c r="O6026" s="345" t="s">
        <v>208</v>
      </c>
      <c r="P6026" s="345" t="s">
        <v>209</v>
      </c>
      <c r="Q6026" s="345" t="s">
        <v>210</v>
      </c>
      <c r="R6026" s="345" t="s">
        <v>223</v>
      </c>
      <c r="S6026" s="345" t="s">
        <v>224</v>
      </c>
    </row>
    <row r="6027" spans="1:19" x14ac:dyDescent="0.25">
      <c r="A6027" s="311"/>
      <c r="B6027" s="312"/>
      <c r="C6027" s="312"/>
      <c r="D6027" s="312"/>
      <c r="E6027" s="312"/>
      <c r="F6027" s="312"/>
      <c r="G6027" s="328"/>
      <c r="H6027" s="453"/>
      <c r="I6027" s="334"/>
      <c r="J6027" s="314"/>
      <c r="K6027" s="454"/>
      <c r="M6027" s="349" t="str">
        <f>N6027&amp;AS[[#This Row],[Insurer Code]]&amp;"; "&amp;O6027&amp;AS[[#This Row],[Reporting Year]]&amp;"; "&amp;P6027&amp;AS[[#This Row],[Insurance Category Code]]&amp;"; "&amp;Q6027&amp;AS[[#This Row],[Large Provider Entity Code]]&amp;"; "&amp;R6027&amp;AS[[#This Row],[Age Band Code]]&amp;"; "&amp;S6027&amp;AS[[#This Row],[Sex Code]]</f>
        <v xml:space="preserve">Insurer Code ; Reporting Year ; Insurance Category Code ; Large Provider Entity Code ; Age Band Code ; Sex Code </v>
      </c>
      <c r="N6027" s="345" t="s">
        <v>207</v>
      </c>
      <c r="O6027" s="345" t="s">
        <v>208</v>
      </c>
      <c r="P6027" s="345" t="s">
        <v>209</v>
      </c>
      <c r="Q6027" s="345" t="s">
        <v>210</v>
      </c>
      <c r="R6027" s="345" t="s">
        <v>223</v>
      </c>
      <c r="S6027" s="345" t="s">
        <v>224</v>
      </c>
    </row>
    <row r="6028" spans="1:19" x14ac:dyDescent="0.25">
      <c r="A6028" s="311"/>
      <c r="B6028" s="312"/>
      <c r="C6028" s="312"/>
      <c r="D6028" s="312"/>
      <c r="E6028" s="312"/>
      <c r="F6028" s="312"/>
      <c r="G6028" s="328"/>
      <c r="H6028" s="453"/>
      <c r="I6028" s="334"/>
      <c r="J6028" s="314"/>
      <c r="K6028" s="454"/>
      <c r="M6028" s="349" t="str">
        <f>N6028&amp;AS[[#This Row],[Insurer Code]]&amp;"; "&amp;O6028&amp;AS[[#This Row],[Reporting Year]]&amp;"; "&amp;P6028&amp;AS[[#This Row],[Insurance Category Code]]&amp;"; "&amp;Q6028&amp;AS[[#This Row],[Large Provider Entity Code]]&amp;"; "&amp;R6028&amp;AS[[#This Row],[Age Band Code]]&amp;"; "&amp;S6028&amp;AS[[#This Row],[Sex Code]]</f>
        <v xml:space="preserve">Insurer Code ; Reporting Year ; Insurance Category Code ; Large Provider Entity Code ; Age Band Code ; Sex Code </v>
      </c>
      <c r="N6028" s="345" t="s">
        <v>207</v>
      </c>
      <c r="O6028" s="345" t="s">
        <v>208</v>
      </c>
      <c r="P6028" s="345" t="s">
        <v>209</v>
      </c>
      <c r="Q6028" s="345" t="s">
        <v>210</v>
      </c>
      <c r="R6028" s="345" t="s">
        <v>223</v>
      </c>
      <c r="S6028" s="345" t="s">
        <v>224</v>
      </c>
    </row>
    <row r="6029" spans="1:19" x14ac:dyDescent="0.25">
      <c r="A6029" s="311"/>
      <c r="B6029" s="312"/>
      <c r="C6029" s="312"/>
      <c r="D6029" s="312"/>
      <c r="E6029" s="312"/>
      <c r="F6029" s="312"/>
      <c r="G6029" s="328"/>
      <c r="H6029" s="453"/>
      <c r="I6029" s="334"/>
      <c r="J6029" s="314"/>
      <c r="K6029" s="454"/>
      <c r="M6029" s="349" t="str">
        <f>N6029&amp;AS[[#This Row],[Insurer Code]]&amp;"; "&amp;O6029&amp;AS[[#This Row],[Reporting Year]]&amp;"; "&amp;P6029&amp;AS[[#This Row],[Insurance Category Code]]&amp;"; "&amp;Q6029&amp;AS[[#This Row],[Large Provider Entity Code]]&amp;"; "&amp;R6029&amp;AS[[#This Row],[Age Band Code]]&amp;"; "&amp;S6029&amp;AS[[#This Row],[Sex Code]]</f>
        <v xml:space="preserve">Insurer Code ; Reporting Year ; Insurance Category Code ; Large Provider Entity Code ; Age Band Code ; Sex Code </v>
      </c>
      <c r="N6029" s="345" t="s">
        <v>207</v>
      </c>
      <c r="O6029" s="345" t="s">
        <v>208</v>
      </c>
      <c r="P6029" s="345" t="s">
        <v>209</v>
      </c>
      <c r="Q6029" s="345" t="s">
        <v>210</v>
      </c>
      <c r="R6029" s="345" t="s">
        <v>223</v>
      </c>
      <c r="S6029" s="345" t="s">
        <v>224</v>
      </c>
    </row>
    <row r="6030" spans="1:19" x14ac:dyDescent="0.25">
      <c r="A6030" s="311"/>
      <c r="B6030" s="312"/>
      <c r="C6030" s="312"/>
      <c r="D6030" s="312"/>
      <c r="E6030" s="312"/>
      <c r="F6030" s="312"/>
      <c r="G6030" s="328"/>
      <c r="H6030" s="453"/>
      <c r="I6030" s="334"/>
      <c r="J6030" s="314"/>
      <c r="K6030" s="454"/>
      <c r="M6030" s="349" t="str">
        <f>N6030&amp;AS[[#This Row],[Insurer Code]]&amp;"; "&amp;O6030&amp;AS[[#This Row],[Reporting Year]]&amp;"; "&amp;P6030&amp;AS[[#This Row],[Insurance Category Code]]&amp;"; "&amp;Q6030&amp;AS[[#This Row],[Large Provider Entity Code]]&amp;"; "&amp;R6030&amp;AS[[#This Row],[Age Band Code]]&amp;"; "&amp;S6030&amp;AS[[#This Row],[Sex Code]]</f>
        <v xml:space="preserve">Insurer Code ; Reporting Year ; Insurance Category Code ; Large Provider Entity Code ; Age Band Code ; Sex Code </v>
      </c>
      <c r="N6030" s="345" t="s">
        <v>207</v>
      </c>
      <c r="O6030" s="345" t="s">
        <v>208</v>
      </c>
      <c r="P6030" s="345" t="s">
        <v>209</v>
      </c>
      <c r="Q6030" s="345" t="s">
        <v>210</v>
      </c>
      <c r="R6030" s="345" t="s">
        <v>223</v>
      </c>
      <c r="S6030" s="345" t="s">
        <v>224</v>
      </c>
    </row>
    <row r="6031" spans="1:19" x14ac:dyDescent="0.25">
      <c r="A6031" s="311"/>
      <c r="B6031" s="312"/>
      <c r="C6031" s="312"/>
      <c r="D6031" s="312"/>
      <c r="E6031" s="312"/>
      <c r="F6031" s="312"/>
      <c r="G6031" s="328"/>
      <c r="H6031" s="453"/>
      <c r="I6031" s="334"/>
      <c r="J6031" s="314"/>
      <c r="K6031" s="454"/>
      <c r="M6031" s="349" t="str">
        <f>N6031&amp;AS[[#This Row],[Insurer Code]]&amp;"; "&amp;O6031&amp;AS[[#This Row],[Reporting Year]]&amp;"; "&amp;P6031&amp;AS[[#This Row],[Insurance Category Code]]&amp;"; "&amp;Q6031&amp;AS[[#This Row],[Large Provider Entity Code]]&amp;"; "&amp;R6031&amp;AS[[#This Row],[Age Band Code]]&amp;"; "&amp;S6031&amp;AS[[#This Row],[Sex Code]]</f>
        <v xml:space="preserve">Insurer Code ; Reporting Year ; Insurance Category Code ; Large Provider Entity Code ; Age Band Code ; Sex Code </v>
      </c>
      <c r="N6031" s="345" t="s">
        <v>207</v>
      </c>
      <c r="O6031" s="345" t="s">
        <v>208</v>
      </c>
      <c r="P6031" s="345" t="s">
        <v>209</v>
      </c>
      <c r="Q6031" s="345" t="s">
        <v>210</v>
      </c>
      <c r="R6031" s="345" t="s">
        <v>223</v>
      </c>
      <c r="S6031" s="345" t="s">
        <v>224</v>
      </c>
    </row>
    <row r="6032" spans="1:19" x14ac:dyDescent="0.25">
      <c r="A6032" s="311"/>
      <c r="B6032" s="312"/>
      <c r="C6032" s="312"/>
      <c r="D6032" s="312"/>
      <c r="E6032" s="312"/>
      <c r="F6032" s="312"/>
      <c r="G6032" s="328"/>
      <c r="H6032" s="453"/>
      <c r="I6032" s="334"/>
      <c r="J6032" s="314"/>
      <c r="K6032" s="454"/>
      <c r="M6032" s="349" t="str">
        <f>N6032&amp;AS[[#This Row],[Insurer Code]]&amp;"; "&amp;O6032&amp;AS[[#This Row],[Reporting Year]]&amp;"; "&amp;P6032&amp;AS[[#This Row],[Insurance Category Code]]&amp;"; "&amp;Q6032&amp;AS[[#This Row],[Large Provider Entity Code]]&amp;"; "&amp;R6032&amp;AS[[#This Row],[Age Band Code]]&amp;"; "&amp;S6032&amp;AS[[#This Row],[Sex Code]]</f>
        <v xml:space="preserve">Insurer Code ; Reporting Year ; Insurance Category Code ; Large Provider Entity Code ; Age Band Code ; Sex Code </v>
      </c>
      <c r="N6032" s="345" t="s">
        <v>207</v>
      </c>
      <c r="O6032" s="345" t="s">
        <v>208</v>
      </c>
      <c r="P6032" s="345" t="s">
        <v>209</v>
      </c>
      <c r="Q6032" s="345" t="s">
        <v>210</v>
      </c>
      <c r="R6032" s="345" t="s">
        <v>223</v>
      </c>
      <c r="S6032" s="345" t="s">
        <v>224</v>
      </c>
    </row>
    <row r="6033" spans="1:19" x14ac:dyDescent="0.25">
      <c r="A6033" s="311"/>
      <c r="B6033" s="312"/>
      <c r="C6033" s="312"/>
      <c r="D6033" s="312"/>
      <c r="E6033" s="312"/>
      <c r="F6033" s="312"/>
      <c r="G6033" s="328"/>
      <c r="H6033" s="453"/>
      <c r="I6033" s="334"/>
      <c r="J6033" s="314"/>
      <c r="K6033" s="454"/>
      <c r="M6033" s="349" t="str">
        <f>N6033&amp;AS[[#This Row],[Insurer Code]]&amp;"; "&amp;O6033&amp;AS[[#This Row],[Reporting Year]]&amp;"; "&amp;P6033&amp;AS[[#This Row],[Insurance Category Code]]&amp;"; "&amp;Q6033&amp;AS[[#This Row],[Large Provider Entity Code]]&amp;"; "&amp;R6033&amp;AS[[#This Row],[Age Band Code]]&amp;"; "&amp;S6033&amp;AS[[#This Row],[Sex Code]]</f>
        <v xml:space="preserve">Insurer Code ; Reporting Year ; Insurance Category Code ; Large Provider Entity Code ; Age Band Code ; Sex Code </v>
      </c>
      <c r="N6033" s="345" t="s">
        <v>207</v>
      </c>
      <c r="O6033" s="345" t="s">
        <v>208</v>
      </c>
      <c r="P6033" s="345" t="s">
        <v>209</v>
      </c>
      <c r="Q6033" s="345" t="s">
        <v>210</v>
      </c>
      <c r="R6033" s="345" t="s">
        <v>223</v>
      </c>
      <c r="S6033" s="345" t="s">
        <v>224</v>
      </c>
    </row>
    <row r="6034" spans="1:19" x14ac:dyDescent="0.25">
      <c r="A6034" s="311"/>
      <c r="B6034" s="312"/>
      <c r="C6034" s="312"/>
      <c r="D6034" s="312"/>
      <c r="E6034" s="312"/>
      <c r="F6034" s="312"/>
      <c r="G6034" s="328"/>
      <c r="H6034" s="453"/>
      <c r="I6034" s="334"/>
      <c r="J6034" s="314"/>
      <c r="K6034" s="454"/>
      <c r="M6034" s="349" t="str">
        <f>N6034&amp;AS[[#This Row],[Insurer Code]]&amp;"; "&amp;O6034&amp;AS[[#This Row],[Reporting Year]]&amp;"; "&amp;P6034&amp;AS[[#This Row],[Insurance Category Code]]&amp;"; "&amp;Q6034&amp;AS[[#This Row],[Large Provider Entity Code]]&amp;"; "&amp;R6034&amp;AS[[#This Row],[Age Band Code]]&amp;"; "&amp;S6034&amp;AS[[#This Row],[Sex Code]]</f>
        <v xml:space="preserve">Insurer Code ; Reporting Year ; Insurance Category Code ; Large Provider Entity Code ; Age Band Code ; Sex Code </v>
      </c>
      <c r="N6034" s="345" t="s">
        <v>207</v>
      </c>
      <c r="O6034" s="345" t="s">
        <v>208</v>
      </c>
      <c r="P6034" s="345" t="s">
        <v>209</v>
      </c>
      <c r="Q6034" s="345" t="s">
        <v>210</v>
      </c>
      <c r="R6034" s="345" t="s">
        <v>223</v>
      </c>
      <c r="S6034" s="345" t="s">
        <v>224</v>
      </c>
    </row>
    <row r="6035" spans="1:19" x14ac:dyDescent="0.25">
      <c r="A6035" s="311"/>
      <c r="B6035" s="312"/>
      <c r="C6035" s="312"/>
      <c r="D6035" s="312"/>
      <c r="E6035" s="312"/>
      <c r="F6035" s="312"/>
      <c r="G6035" s="328"/>
      <c r="H6035" s="453"/>
      <c r="I6035" s="334"/>
      <c r="J6035" s="314"/>
      <c r="K6035" s="454"/>
      <c r="M6035" s="349" t="str">
        <f>N6035&amp;AS[[#This Row],[Insurer Code]]&amp;"; "&amp;O6035&amp;AS[[#This Row],[Reporting Year]]&amp;"; "&amp;P6035&amp;AS[[#This Row],[Insurance Category Code]]&amp;"; "&amp;Q6035&amp;AS[[#This Row],[Large Provider Entity Code]]&amp;"; "&amp;R6035&amp;AS[[#This Row],[Age Band Code]]&amp;"; "&amp;S6035&amp;AS[[#This Row],[Sex Code]]</f>
        <v xml:space="preserve">Insurer Code ; Reporting Year ; Insurance Category Code ; Large Provider Entity Code ; Age Band Code ; Sex Code </v>
      </c>
      <c r="N6035" s="345" t="s">
        <v>207</v>
      </c>
      <c r="O6035" s="345" t="s">
        <v>208</v>
      </c>
      <c r="P6035" s="345" t="s">
        <v>209</v>
      </c>
      <c r="Q6035" s="345" t="s">
        <v>210</v>
      </c>
      <c r="R6035" s="345" t="s">
        <v>223</v>
      </c>
      <c r="S6035" s="345" t="s">
        <v>224</v>
      </c>
    </row>
    <row r="6036" spans="1:19" x14ac:dyDescent="0.25">
      <c r="A6036" s="311"/>
      <c r="B6036" s="312"/>
      <c r="C6036" s="312"/>
      <c r="D6036" s="312"/>
      <c r="E6036" s="312"/>
      <c r="F6036" s="312"/>
      <c r="G6036" s="328"/>
      <c r="H6036" s="453"/>
      <c r="I6036" s="334"/>
      <c r="J6036" s="314"/>
      <c r="K6036" s="454"/>
      <c r="M6036" s="349" t="str">
        <f>N6036&amp;AS[[#This Row],[Insurer Code]]&amp;"; "&amp;O6036&amp;AS[[#This Row],[Reporting Year]]&amp;"; "&amp;P6036&amp;AS[[#This Row],[Insurance Category Code]]&amp;"; "&amp;Q6036&amp;AS[[#This Row],[Large Provider Entity Code]]&amp;"; "&amp;R6036&amp;AS[[#This Row],[Age Band Code]]&amp;"; "&amp;S6036&amp;AS[[#This Row],[Sex Code]]</f>
        <v xml:space="preserve">Insurer Code ; Reporting Year ; Insurance Category Code ; Large Provider Entity Code ; Age Band Code ; Sex Code </v>
      </c>
      <c r="N6036" s="345" t="s">
        <v>207</v>
      </c>
      <c r="O6036" s="345" t="s">
        <v>208</v>
      </c>
      <c r="P6036" s="345" t="s">
        <v>209</v>
      </c>
      <c r="Q6036" s="345" t="s">
        <v>210</v>
      </c>
      <c r="R6036" s="345" t="s">
        <v>223</v>
      </c>
      <c r="S6036" s="345" t="s">
        <v>224</v>
      </c>
    </row>
    <row r="6037" spans="1:19" x14ac:dyDescent="0.25">
      <c r="A6037" s="311"/>
      <c r="B6037" s="312"/>
      <c r="C6037" s="312"/>
      <c r="D6037" s="312"/>
      <c r="E6037" s="312"/>
      <c r="F6037" s="312"/>
      <c r="G6037" s="328"/>
      <c r="H6037" s="453"/>
      <c r="I6037" s="334"/>
      <c r="J6037" s="314"/>
      <c r="K6037" s="454"/>
      <c r="M6037" s="349" t="str">
        <f>N6037&amp;AS[[#This Row],[Insurer Code]]&amp;"; "&amp;O6037&amp;AS[[#This Row],[Reporting Year]]&amp;"; "&amp;P6037&amp;AS[[#This Row],[Insurance Category Code]]&amp;"; "&amp;Q6037&amp;AS[[#This Row],[Large Provider Entity Code]]&amp;"; "&amp;R6037&amp;AS[[#This Row],[Age Band Code]]&amp;"; "&amp;S6037&amp;AS[[#This Row],[Sex Code]]</f>
        <v xml:space="preserve">Insurer Code ; Reporting Year ; Insurance Category Code ; Large Provider Entity Code ; Age Band Code ; Sex Code </v>
      </c>
      <c r="N6037" s="345" t="s">
        <v>207</v>
      </c>
      <c r="O6037" s="345" t="s">
        <v>208</v>
      </c>
      <c r="P6037" s="345" t="s">
        <v>209</v>
      </c>
      <c r="Q6037" s="345" t="s">
        <v>210</v>
      </c>
      <c r="R6037" s="345" t="s">
        <v>223</v>
      </c>
      <c r="S6037" s="345" t="s">
        <v>224</v>
      </c>
    </row>
    <row r="6038" spans="1:19" x14ac:dyDescent="0.25">
      <c r="A6038" s="311"/>
      <c r="B6038" s="312"/>
      <c r="C6038" s="312"/>
      <c r="D6038" s="312"/>
      <c r="E6038" s="312"/>
      <c r="F6038" s="312"/>
      <c r="G6038" s="328"/>
      <c r="H6038" s="453"/>
      <c r="I6038" s="334"/>
      <c r="J6038" s="314"/>
      <c r="K6038" s="454"/>
      <c r="M6038" s="349" t="str">
        <f>N6038&amp;AS[[#This Row],[Insurer Code]]&amp;"; "&amp;O6038&amp;AS[[#This Row],[Reporting Year]]&amp;"; "&amp;P6038&amp;AS[[#This Row],[Insurance Category Code]]&amp;"; "&amp;Q6038&amp;AS[[#This Row],[Large Provider Entity Code]]&amp;"; "&amp;R6038&amp;AS[[#This Row],[Age Band Code]]&amp;"; "&amp;S6038&amp;AS[[#This Row],[Sex Code]]</f>
        <v xml:space="preserve">Insurer Code ; Reporting Year ; Insurance Category Code ; Large Provider Entity Code ; Age Band Code ; Sex Code </v>
      </c>
      <c r="N6038" s="345" t="s">
        <v>207</v>
      </c>
      <c r="O6038" s="345" t="s">
        <v>208</v>
      </c>
      <c r="P6038" s="345" t="s">
        <v>209</v>
      </c>
      <c r="Q6038" s="345" t="s">
        <v>210</v>
      </c>
      <c r="R6038" s="345" t="s">
        <v>223</v>
      </c>
      <c r="S6038" s="345" t="s">
        <v>224</v>
      </c>
    </row>
    <row r="6039" spans="1:19" x14ac:dyDescent="0.25">
      <c r="A6039" s="311"/>
      <c r="B6039" s="312"/>
      <c r="C6039" s="312"/>
      <c r="D6039" s="312"/>
      <c r="E6039" s="312"/>
      <c r="F6039" s="312"/>
      <c r="G6039" s="328"/>
      <c r="H6039" s="453"/>
      <c r="I6039" s="334"/>
      <c r="J6039" s="314"/>
      <c r="K6039" s="454"/>
      <c r="M6039" s="349" t="str">
        <f>N6039&amp;AS[[#This Row],[Insurer Code]]&amp;"; "&amp;O6039&amp;AS[[#This Row],[Reporting Year]]&amp;"; "&amp;P6039&amp;AS[[#This Row],[Insurance Category Code]]&amp;"; "&amp;Q6039&amp;AS[[#This Row],[Large Provider Entity Code]]&amp;"; "&amp;R6039&amp;AS[[#This Row],[Age Band Code]]&amp;"; "&amp;S6039&amp;AS[[#This Row],[Sex Code]]</f>
        <v xml:space="preserve">Insurer Code ; Reporting Year ; Insurance Category Code ; Large Provider Entity Code ; Age Band Code ; Sex Code </v>
      </c>
      <c r="N6039" s="345" t="s">
        <v>207</v>
      </c>
      <c r="O6039" s="345" t="s">
        <v>208</v>
      </c>
      <c r="P6039" s="345" t="s">
        <v>209</v>
      </c>
      <c r="Q6039" s="345" t="s">
        <v>210</v>
      </c>
      <c r="R6039" s="345" t="s">
        <v>223</v>
      </c>
      <c r="S6039" s="345" t="s">
        <v>224</v>
      </c>
    </row>
    <row r="6040" spans="1:19" x14ac:dyDescent="0.25">
      <c r="A6040" s="311"/>
      <c r="B6040" s="312"/>
      <c r="C6040" s="312"/>
      <c r="D6040" s="312"/>
      <c r="E6040" s="312"/>
      <c r="F6040" s="312"/>
      <c r="G6040" s="328"/>
      <c r="H6040" s="453"/>
      <c r="I6040" s="334"/>
      <c r="J6040" s="314"/>
      <c r="K6040" s="454"/>
      <c r="M6040" s="349" t="str">
        <f>N6040&amp;AS[[#This Row],[Insurer Code]]&amp;"; "&amp;O6040&amp;AS[[#This Row],[Reporting Year]]&amp;"; "&amp;P6040&amp;AS[[#This Row],[Insurance Category Code]]&amp;"; "&amp;Q6040&amp;AS[[#This Row],[Large Provider Entity Code]]&amp;"; "&amp;R6040&amp;AS[[#This Row],[Age Band Code]]&amp;"; "&amp;S6040&amp;AS[[#This Row],[Sex Code]]</f>
        <v xml:space="preserve">Insurer Code ; Reporting Year ; Insurance Category Code ; Large Provider Entity Code ; Age Band Code ; Sex Code </v>
      </c>
      <c r="N6040" s="345" t="s">
        <v>207</v>
      </c>
      <c r="O6040" s="345" t="s">
        <v>208</v>
      </c>
      <c r="P6040" s="345" t="s">
        <v>209</v>
      </c>
      <c r="Q6040" s="345" t="s">
        <v>210</v>
      </c>
      <c r="R6040" s="345" t="s">
        <v>223</v>
      </c>
      <c r="S6040" s="345" t="s">
        <v>224</v>
      </c>
    </row>
    <row r="6041" spans="1:19" x14ac:dyDescent="0.25">
      <c r="A6041" s="311"/>
      <c r="B6041" s="312"/>
      <c r="C6041" s="312"/>
      <c r="D6041" s="312"/>
      <c r="E6041" s="312"/>
      <c r="F6041" s="312"/>
      <c r="G6041" s="328"/>
      <c r="H6041" s="453"/>
      <c r="I6041" s="334"/>
      <c r="J6041" s="314"/>
      <c r="K6041" s="454"/>
      <c r="M6041" s="349" t="str">
        <f>N6041&amp;AS[[#This Row],[Insurer Code]]&amp;"; "&amp;O6041&amp;AS[[#This Row],[Reporting Year]]&amp;"; "&amp;P6041&amp;AS[[#This Row],[Insurance Category Code]]&amp;"; "&amp;Q6041&amp;AS[[#This Row],[Large Provider Entity Code]]&amp;"; "&amp;R6041&amp;AS[[#This Row],[Age Band Code]]&amp;"; "&amp;S6041&amp;AS[[#This Row],[Sex Code]]</f>
        <v xml:space="preserve">Insurer Code ; Reporting Year ; Insurance Category Code ; Large Provider Entity Code ; Age Band Code ; Sex Code </v>
      </c>
      <c r="N6041" s="345" t="s">
        <v>207</v>
      </c>
      <c r="O6041" s="345" t="s">
        <v>208</v>
      </c>
      <c r="P6041" s="345" t="s">
        <v>209</v>
      </c>
      <c r="Q6041" s="345" t="s">
        <v>210</v>
      </c>
      <c r="R6041" s="345" t="s">
        <v>223</v>
      </c>
      <c r="S6041" s="345" t="s">
        <v>224</v>
      </c>
    </row>
    <row r="6042" spans="1:19" x14ac:dyDescent="0.25">
      <c r="A6042" s="311"/>
      <c r="B6042" s="312"/>
      <c r="C6042" s="312"/>
      <c r="D6042" s="312"/>
      <c r="E6042" s="312"/>
      <c r="F6042" s="312"/>
      <c r="G6042" s="328"/>
      <c r="H6042" s="453"/>
      <c r="I6042" s="334"/>
      <c r="J6042" s="314"/>
      <c r="K6042" s="454"/>
      <c r="M6042" s="349" t="str">
        <f>N6042&amp;AS[[#This Row],[Insurer Code]]&amp;"; "&amp;O6042&amp;AS[[#This Row],[Reporting Year]]&amp;"; "&amp;P6042&amp;AS[[#This Row],[Insurance Category Code]]&amp;"; "&amp;Q6042&amp;AS[[#This Row],[Large Provider Entity Code]]&amp;"; "&amp;R6042&amp;AS[[#This Row],[Age Band Code]]&amp;"; "&amp;S6042&amp;AS[[#This Row],[Sex Code]]</f>
        <v xml:space="preserve">Insurer Code ; Reporting Year ; Insurance Category Code ; Large Provider Entity Code ; Age Band Code ; Sex Code </v>
      </c>
      <c r="N6042" s="345" t="s">
        <v>207</v>
      </c>
      <c r="O6042" s="345" t="s">
        <v>208</v>
      </c>
      <c r="P6042" s="345" t="s">
        <v>209</v>
      </c>
      <c r="Q6042" s="345" t="s">
        <v>210</v>
      </c>
      <c r="R6042" s="345" t="s">
        <v>223</v>
      </c>
      <c r="S6042" s="345" t="s">
        <v>224</v>
      </c>
    </row>
    <row r="6043" spans="1:19" x14ac:dyDescent="0.25">
      <c r="A6043" s="311"/>
      <c r="B6043" s="312"/>
      <c r="C6043" s="312"/>
      <c r="D6043" s="312"/>
      <c r="E6043" s="312"/>
      <c r="F6043" s="312"/>
      <c r="G6043" s="328"/>
      <c r="H6043" s="453"/>
      <c r="I6043" s="334"/>
      <c r="J6043" s="314"/>
      <c r="K6043" s="454"/>
      <c r="M6043" s="349" t="str">
        <f>N6043&amp;AS[[#This Row],[Insurer Code]]&amp;"; "&amp;O6043&amp;AS[[#This Row],[Reporting Year]]&amp;"; "&amp;P6043&amp;AS[[#This Row],[Insurance Category Code]]&amp;"; "&amp;Q6043&amp;AS[[#This Row],[Large Provider Entity Code]]&amp;"; "&amp;R6043&amp;AS[[#This Row],[Age Band Code]]&amp;"; "&amp;S6043&amp;AS[[#This Row],[Sex Code]]</f>
        <v xml:space="preserve">Insurer Code ; Reporting Year ; Insurance Category Code ; Large Provider Entity Code ; Age Band Code ; Sex Code </v>
      </c>
      <c r="N6043" s="345" t="s">
        <v>207</v>
      </c>
      <c r="O6043" s="345" t="s">
        <v>208</v>
      </c>
      <c r="P6043" s="345" t="s">
        <v>209</v>
      </c>
      <c r="Q6043" s="345" t="s">
        <v>210</v>
      </c>
      <c r="R6043" s="345" t="s">
        <v>223</v>
      </c>
      <c r="S6043" s="345" t="s">
        <v>224</v>
      </c>
    </row>
    <row r="6044" spans="1:19" x14ac:dyDescent="0.25">
      <c r="A6044" s="311"/>
      <c r="B6044" s="312"/>
      <c r="C6044" s="312"/>
      <c r="D6044" s="312"/>
      <c r="E6044" s="312"/>
      <c r="F6044" s="312"/>
      <c r="G6044" s="328"/>
      <c r="H6044" s="453"/>
      <c r="I6044" s="334"/>
      <c r="J6044" s="314"/>
      <c r="K6044" s="454"/>
      <c r="M6044" s="349" t="str">
        <f>N6044&amp;AS[[#This Row],[Insurer Code]]&amp;"; "&amp;O6044&amp;AS[[#This Row],[Reporting Year]]&amp;"; "&amp;P6044&amp;AS[[#This Row],[Insurance Category Code]]&amp;"; "&amp;Q6044&amp;AS[[#This Row],[Large Provider Entity Code]]&amp;"; "&amp;R6044&amp;AS[[#This Row],[Age Band Code]]&amp;"; "&amp;S6044&amp;AS[[#This Row],[Sex Code]]</f>
        <v xml:space="preserve">Insurer Code ; Reporting Year ; Insurance Category Code ; Large Provider Entity Code ; Age Band Code ; Sex Code </v>
      </c>
      <c r="N6044" s="345" t="s">
        <v>207</v>
      </c>
      <c r="O6044" s="345" t="s">
        <v>208</v>
      </c>
      <c r="P6044" s="345" t="s">
        <v>209</v>
      </c>
      <c r="Q6044" s="345" t="s">
        <v>210</v>
      </c>
      <c r="R6044" s="345" t="s">
        <v>223</v>
      </c>
      <c r="S6044" s="345" t="s">
        <v>224</v>
      </c>
    </row>
    <row r="6045" spans="1:19" x14ac:dyDescent="0.25">
      <c r="A6045" s="311"/>
      <c r="B6045" s="312"/>
      <c r="C6045" s="312"/>
      <c r="D6045" s="312"/>
      <c r="E6045" s="312"/>
      <c r="F6045" s="312"/>
      <c r="G6045" s="328"/>
      <c r="H6045" s="453"/>
      <c r="I6045" s="334"/>
      <c r="J6045" s="314"/>
      <c r="K6045" s="454"/>
      <c r="M6045" s="349" t="str">
        <f>N6045&amp;AS[[#This Row],[Insurer Code]]&amp;"; "&amp;O6045&amp;AS[[#This Row],[Reporting Year]]&amp;"; "&amp;P6045&amp;AS[[#This Row],[Insurance Category Code]]&amp;"; "&amp;Q6045&amp;AS[[#This Row],[Large Provider Entity Code]]&amp;"; "&amp;R6045&amp;AS[[#This Row],[Age Band Code]]&amp;"; "&amp;S6045&amp;AS[[#This Row],[Sex Code]]</f>
        <v xml:space="preserve">Insurer Code ; Reporting Year ; Insurance Category Code ; Large Provider Entity Code ; Age Band Code ; Sex Code </v>
      </c>
      <c r="N6045" s="345" t="s">
        <v>207</v>
      </c>
      <c r="O6045" s="345" t="s">
        <v>208</v>
      </c>
      <c r="P6045" s="345" t="s">
        <v>209</v>
      </c>
      <c r="Q6045" s="345" t="s">
        <v>210</v>
      </c>
      <c r="R6045" s="345" t="s">
        <v>223</v>
      </c>
      <c r="S6045" s="345" t="s">
        <v>224</v>
      </c>
    </row>
    <row r="6046" spans="1:19" x14ac:dyDescent="0.25">
      <c r="A6046" s="311"/>
      <c r="B6046" s="312"/>
      <c r="C6046" s="312"/>
      <c r="D6046" s="312"/>
      <c r="E6046" s="312"/>
      <c r="F6046" s="312"/>
      <c r="G6046" s="328"/>
      <c r="H6046" s="453"/>
      <c r="I6046" s="334"/>
      <c r="J6046" s="314"/>
      <c r="K6046" s="454"/>
      <c r="M6046" s="349" t="str">
        <f>N6046&amp;AS[[#This Row],[Insurer Code]]&amp;"; "&amp;O6046&amp;AS[[#This Row],[Reporting Year]]&amp;"; "&amp;P6046&amp;AS[[#This Row],[Insurance Category Code]]&amp;"; "&amp;Q6046&amp;AS[[#This Row],[Large Provider Entity Code]]&amp;"; "&amp;R6046&amp;AS[[#This Row],[Age Band Code]]&amp;"; "&amp;S6046&amp;AS[[#This Row],[Sex Code]]</f>
        <v xml:space="preserve">Insurer Code ; Reporting Year ; Insurance Category Code ; Large Provider Entity Code ; Age Band Code ; Sex Code </v>
      </c>
      <c r="N6046" s="345" t="s">
        <v>207</v>
      </c>
      <c r="O6046" s="345" t="s">
        <v>208</v>
      </c>
      <c r="P6046" s="345" t="s">
        <v>209</v>
      </c>
      <c r="Q6046" s="345" t="s">
        <v>210</v>
      </c>
      <c r="R6046" s="345" t="s">
        <v>223</v>
      </c>
      <c r="S6046" s="345" t="s">
        <v>224</v>
      </c>
    </row>
    <row r="6047" spans="1:19" x14ac:dyDescent="0.25">
      <c r="A6047" s="311"/>
      <c r="B6047" s="312"/>
      <c r="C6047" s="312"/>
      <c r="D6047" s="312"/>
      <c r="E6047" s="312"/>
      <c r="F6047" s="312"/>
      <c r="G6047" s="328"/>
      <c r="H6047" s="453"/>
      <c r="I6047" s="334"/>
      <c r="J6047" s="314"/>
      <c r="K6047" s="454"/>
      <c r="M6047" s="349" t="str">
        <f>N6047&amp;AS[[#This Row],[Insurer Code]]&amp;"; "&amp;O6047&amp;AS[[#This Row],[Reporting Year]]&amp;"; "&amp;P6047&amp;AS[[#This Row],[Insurance Category Code]]&amp;"; "&amp;Q6047&amp;AS[[#This Row],[Large Provider Entity Code]]&amp;"; "&amp;R6047&amp;AS[[#This Row],[Age Band Code]]&amp;"; "&amp;S6047&amp;AS[[#This Row],[Sex Code]]</f>
        <v xml:space="preserve">Insurer Code ; Reporting Year ; Insurance Category Code ; Large Provider Entity Code ; Age Band Code ; Sex Code </v>
      </c>
      <c r="N6047" s="345" t="s">
        <v>207</v>
      </c>
      <c r="O6047" s="345" t="s">
        <v>208</v>
      </c>
      <c r="P6047" s="345" t="s">
        <v>209</v>
      </c>
      <c r="Q6047" s="345" t="s">
        <v>210</v>
      </c>
      <c r="R6047" s="345" t="s">
        <v>223</v>
      </c>
      <c r="S6047" s="345" t="s">
        <v>224</v>
      </c>
    </row>
    <row r="6048" spans="1:19" x14ac:dyDescent="0.25">
      <c r="A6048" s="311"/>
      <c r="B6048" s="312"/>
      <c r="C6048" s="312"/>
      <c r="D6048" s="312"/>
      <c r="E6048" s="312"/>
      <c r="F6048" s="312"/>
      <c r="G6048" s="328"/>
      <c r="H6048" s="453"/>
      <c r="I6048" s="334"/>
      <c r="J6048" s="314"/>
      <c r="K6048" s="454"/>
      <c r="M6048" s="349" t="str">
        <f>N6048&amp;AS[[#This Row],[Insurer Code]]&amp;"; "&amp;O6048&amp;AS[[#This Row],[Reporting Year]]&amp;"; "&amp;P6048&amp;AS[[#This Row],[Insurance Category Code]]&amp;"; "&amp;Q6048&amp;AS[[#This Row],[Large Provider Entity Code]]&amp;"; "&amp;R6048&amp;AS[[#This Row],[Age Band Code]]&amp;"; "&amp;S6048&amp;AS[[#This Row],[Sex Code]]</f>
        <v xml:space="preserve">Insurer Code ; Reporting Year ; Insurance Category Code ; Large Provider Entity Code ; Age Band Code ; Sex Code </v>
      </c>
      <c r="N6048" s="345" t="s">
        <v>207</v>
      </c>
      <c r="O6048" s="345" t="s">
        <v>208</v>
      </c>
      <c r="P6048" s="345" t="s">
        <v>209</v>
      </c>
      <c r="Q6048" s="345" t="s">
        <v>210</v>
      </c>
      <c r="R6048" s="345" t="s">
        <v>223</v>
      </c>
      <c r="S6048" s="345" t="s">
        <v>224</v>
      </c>
    </row>
    <row r="6049" spans="1:19" x14ac:dyDescent="0.25">
      <c r="A6049" s="311"/>
      <c r="B6049" s="312"/>
      <c r="C6049" s="312"/>
      <c r="D6049" s="312"/>
      <c r="E6049" s="312"/>
      <c r="F6049" s="312"/>
      <c r="G6049" s="328"/>
      <c r="H6049" s="453"/>
      <c r="I6049" s="334"/>
      <c r="J6049" s="314"/>
      <c r="K6049" s="454"/>
      <c r="M6049" s="349" t="str">
        <f>N6049&amp;AS[[#This Row],[Insurer Code]]&amp;"; "&amp;O6049&amp;AS[[#This Row],[Reporting Year]]&amp;"; "&amp;P6049&amp;AS[[#This Row],[Insurance Category Code]]&amp;"; "&amp;Q6049&amp;AS[[#This Row],[Large Provider Entity Code]]&amp;"; "&amp;R6049&amp;AS[[#This Row],[Age Band Code]]&amp;"; "&amp;S6049&amp;AS[[#This Row],[Sex Code]]</f>
        <v xml:space="preserve">Insurer Code ; Reporting Year ; Insurance Category Code ; Large Provider Entity Code ; Age Band Code ; Sex Code </v>
      </c>
      <c r="N6049" s="345" t="s">
        <v>207</v>
      </c>
      <c r="O6049" s="345" t="s">
        <v>208</v>
      </c>
      <c r="P6049" s="345" t="s">
        <v>209</v>
      </c>
      <c r="Q6049" s="345" t="s">
        <v>210</v>
      </c>
      <c r="R6049" s="345" t="s">
        <v>223</v>
      </c>
      <c r="S6049" s="345" t="s">
        <v>224</v>
      </c>
    </row>
    <row r="6050" spans="1:19" x14ac:dyDescent="0.25">
      <c r="A6050" s="311"/>
      <c r="B6050" s="312"/>
      <c r="C6050" s="312"/>
      <c r="D6050" s="312"/>
      <c r="E6050" s="312"/>
      <c r="F6050" s="312"/>
      <c r="G6050" s="328"/>
      <c r="H6050" s="453"/>
      <c r="I6050" s="334"/>
      <c r="J6050" s="314"/>
      <c r="K6050" s="454"/>
      <c r="M6050" s="349" t="str">
        <f>N6050&amp;AS[[#This Row],[Insurer Code]]&amp;"; "&amp;O6050&amp;AS[[#This Row],[Reporting Year]]&amp;"; "&amp;P6050&amp;AS[[#This Row],[Insurance Category Code]]&amp;"; "&amp;Q6050&amp;AS[[#This Row],[Large Provider Entity Code]]&amp;"; "&amp;R6050&amp;AS[[#This Row],[Age Band Code]]&amp;"; "&amp;S6050&amp;AS[[#This Row],[Sex Code]]</f>
        <v xml:space="preserve">Insurer Code ; Reporting Year ; Insurance Category Code ; Large Provider Entity Code ; Age Band Code ; Sex Code </v>
      </c>
      <c r="N6050" s="345" t="s">
        <v>207</v>
      </c>
      <c r="O6050" s="345" t="s">
        <v>208</v>
      </c>
      <c r="P6050" s="345" t="s">
        <v>209</v>
      </c>
      <c r="Q6050" s="345" t="s">
        <v>210</v>
      </c>
      <c r="R6050" s="345" t="s">
        <v>223</v>
      </c>
      <c r="S6050" s="345" t="s">
        <v>224</v>
      </c>
    </row>
    <row r="6051" spans="1:19" x14ac:dyDescent="0.25">
      <c r="A6051" s="311"/>
      <c r="B6051" s="312"/>
      <c r="C6051" s="312"/>
      <c r="D6051" s="312"/>
      <c r="E6051" s="312"/>
      <c r="F6051" s="312"/>
      <c r="G6051" s="328"/>
      <c r="H6051" s="453"/>
      <c r="I6051" s="334"/>
      <c r="J6051" s="314"/>
      <c r="K6051" s="454"/>
      <c r="M6051" s="349" t="str">
        <f>N6051&amp;AS[[#This Row],[Insurer Code]]&amp;"; "&amp;O6051&amp;AS[[#This Row],[Reporting Year]]&amp;"; "&amp;P6051&amp;AS[[#This Row],[Insurance Category Code]]&amp;"; "&amp;Q6051&amp;AS[[#This Row],[Large Provider Entity Code]]&amp;"; "&amp;R6051&amp;AS[[#This Row],[Age Band Code]]&amp;"; "&amp;S6051&amp;AS[[#This Row],[Sex Code]]</f>
        <v xml:space="preserve">Insurer Code ; Reporting Year ; Insurance Category Code ; Large Provider Entity Code ; Age Band Code ; Sex Code </v>
      </c>
      <c r="N6051" s="345" t="s">
        <v>207</v>
      </c>
      <c r="O6051" s="345" t="s">
        <v>208</v>
      </c>
      <c r="P6051" s="345" t="s">
        <v>209</v>
      </c>
      <c r="Q6051" s="345" t="s">
        <v>210</v>
      </c>
      <c r="R6051" s="345" t="s">
        <v>223</v>
      </c>
      <c r="S6051" s="345" t="s">
        <v>224</v>
      </c>
    </row>
    <row r="6052" spans="1:19" x14ac:dyDescent="0.25">
      <c r="A6052" s="311"/>
      <c r="B6052" s="312"/>
      <c r="C6052" s="312"/>
      <c r="D6052" s="312"/>
      <c r="E6052" s="312"/>
      <c r="F6052" s="312"/>
      <c r="G6052" s="328"/>
      <c r="H6052" s="453"/>
      <c r="I6052" s="334"/>
      <c r="J6052" s="314"/>
      <c r="K6052" s="454"/>
      <c r="M6052" s="349" t="str">
        <f>N6052&amp;AS[[#This Row],[Insurer Code]]&amp;"; "&amp;O6052&amp;AS[[#This Row],[Reporting Year]]&amp;"; "&amp;P6052&amp;AS[[#This Row],[Insurance Category Code]]&amp;"; "&amp;Q6052&amp;AS[[#This Row],[Large Provider Entity Code]]&amp;"; "&amp;R6052&amp;AS[[#This Row],[Age Band Code]]&amp;"; "&amp;S6052&amp;AS[[#This Row],[Sex Code]]</f>
        <v xml:space="preserve">Insurer Code ; Reporting Year ; Insurance Category Code ; Large Provider Entity Code ; Age Band Code ; Sex Code </v>
      </c>
      <c r="N6052" s="345" t="s">
        <v>207</v>
      </c>
      <c r="O6052" s="345" t="s">
        <v>208</v>
      </c>
      <c r="P6052" s="345" t="s">
        <v>209</v>
      </c>
      <c r="Q6052" s="345" t="s">
        <v>210</v>
      </c>
      <c r="R6052" s="345" t="s">
        <v>223</v>
      </c>
      <c r="S6052" s="345" t="s">
        <v>224</v>
      </c>
    </row>
    <row r="6053" spans="1:19" x14ac:dyDescent="0.25">
      <c r="A6053" s="311"/>
      <c r="B6053" s="312"/>
      <c r="C6053" s="312"/>
      <c r="D6053" s="312"/>
      <c r="E6053" s="312"/>
      <c r="F6053" s="312"/>
      <c r="G6053" s="328"/>
      <c r="H6053" s="453"/>
      <c r="I6053" s="334"/>
      <c r="J6053" s="314"/>
      <c r="K6053" s="454"/>
      <c r="M6053" s="349" t="str">
        <f>N6053&amp;AS[[#This Row],[Insurer Code]]&amp;"; "&amp;O6053&amp;AS[[#This Row],[Reporting Year]]&amp;"; "&amp;P6053&amp;AS[[#This Row],[Insurance Category Code]]&amp;"; "&amp;Q6053&amp;AS[[#This Row],[Large Provider Entity Code]]&amp;"; "&amp;R6053&amp;AS[[#This Row],[Age Band Code]]&amp;"; "&amp;S6053&amp;AS[[#This Row],[Sex Code]]</f>
        <v xml:space="preserve">Insurer Code ; Reporting Year ; Insurance Category Code ; Large Provider Entity Code ; Age Band Code ; Sex Code </v>
      </c>
      <c r="N6053" s="345" t="s">
        <v>207</v>
      </c>
      <c r="O6053" s="345" t="s">
        <v>208</v>
      </c>
      <c r="P6053" s="345" t="s">
        <v>209</v>
      </c>
      <c r="Q6053" s="345" t="s">
        <v>210</v>
      </c>
      <c r="R6053" s="345" t="s">
        <v>223</v>
      </c>
      <c r="S6053" s="345" t="s">
        <v>224</v>
      </c>
    </row>
    <row r="6054" spans="1:19" x14ac:dyDescent="0.25">
      <c r="A6054" s="311"/>
      <c r="B6054" s="312"/>
      <c r="C6054" s="312"/>
      <c r="D6054" s="312"/>
      <c r="E6054" s="312"/>
      <c r="F6054" s="312"/>
      <c r="G6054" s="328"/>
      <c r="H6054" s="453"/>
      <c r="I6054" s="334"/>
      <c r="J6054" s="314"/>
      <c r="K6054" s="454"/>
      <c r="M6054" s="349" t="str">
        <f>N6054&amp;AS[[#This Row],[Insurer Code]]&amp;"; "&amp;O6054&amp;AS[[#This Row],[Reporting Year]]&amp;"; "&amp;P6054&amp;AS[[#This Row],[Insurance Category Code]]&amp;"; "&amp;Q6054&amp;AS[[#This Row],[Large Provider Entity Code]]&amp;"; "&amp;R6054&amp;AS[[#This Row],[Age Band Code]]&amp;"; "&amp;S6054&amp;AS[[#This Row],[Sex Code]]</f>
        <v xml:space="preserve">Insurer Code ; Reporting Year ; Insurance Category Code ; Large Provider Entity Code ; Age Band Code ; Sex Code </v>
      </c>
      <c r="N6054" s="345" t="s">
        <v>207</v>
      </c>
      <c r="O6054" s="345" t="s">
        <v>208</v>
      </c>
      <c r="P6054" s="345" t="s">
        <v>209</v>
      </c>
      <c r="Q6054" s="345" t="s">
        <v>210</v>
      </c>
      <c r="R6054" s="345" t="s">
        <v>223</v>
      </c>
      <c r="S6054" s="345" t="s">
        <v>224</v>
      </c>
    </row>
    <row r="6055" spans="1:19" x14ac:dyDescent="0.25">
      <c r="A6055" s="311"/>
      <c r="B6055" s="312"/>
      <c r="C6055" s="312"/>
      <c r="D6055" s="312"/>
      <c r="E6055" s="312"/>
      <c r="F6055" s="312"/>
      <c r="G6055" s="328"/>
      <c r="H6055" s="453"/>
      <c r="I6055" s="334"/>
      <c r="J6055" s="314"/>
      <c r="K6055" s="454"/>
      <c r="M6055" s="349" t="str">
        <f>N6055&amp;AS[[#This Row],[Insurer Code]]&amp;"; "&amp;O6055&amp;AS[[#This Row],[Reporting Year]]&amp;"; "&amp;P6055&amp;AS[[#This Row],[Insurance Category Code]]&amp;"; "&amp;Q6055&amp;AS[[#This Row],[Large Provider Entity Code]]&amp;"; "&amp;R6055&amp;AS[[#This Row],[Age Band Code]]&amp;"; "&amp;S6055&amp;AS[[#This Row],[Sex Code]]</f>
        <v xml:space="preserve">Insurer Code ; Reporting Year ; Insurance Category Code ; Large Provider Entity Code ; Age Band Code ; Sex Code </v>
      </c>
      <c r="N6055" s="345" t="s">
        <v>207</v>
      </c>
      <c r="O6055" s="345" t="s">
        <v>208</v>
      </c>
      <c r="P6055" s="345" t="s">
        <v>209</v>
      </c>
      <c r="Q6055" s="345" t="s">
        <v>210</v>
      </c>
      <c r="R6055" s="345" t="s">
        <v>223</v>
      </c>
      <c r="S6055" s="345" t="s">
        <v>224</v>
      </c>
    </row>
    <row r="6056" spans="1:19" x14ac:dyDescent="0.25">
      <c r="A6056" s="311"/>
      <c r="B6056" s="312"/>
      <c r="C6056" s="312"/>
      <c r="D6056" s="312"/>
      <c r="E6056" s="312"/>
      <c r="F6056" s="312"/>
      <c r="G6056" s="328"/>
      <c r="H6056" s="453"/>
      <c r="I6056" s="334"/>
      <c r="J6056" s="314"/>
      <c r="K6056" s="454"/>
      <c r="M6056" s="349" t="str">
        <f>N6056&amp;AS[[#This Row],[Insurer Code]]&amp;"; "&amp;O6056&amp;AS[[#This Row],[Reporting Year]]&amp;"; "&amp;P6056&amp;AS[[#This Row],[Insurance Category Code]]&amp;"; "&amp;Q6056&amp;AS[[#This Row],[Large Provider Entity Code]]&amp;"; "&amp;R6056&amp;AS[[#This Row],[Age Band Code]]&amp;"; "&amp;S6056&amp;AS[[#This Row],[Sex Code]]</f>
        <v xml:space="preserve">Insurer Code ; Reporting Year ; Insurance Category Code ; Large Provider Entity Code ; Age Band Code ; Sex Code </v>
      </c>
      <c r="N6056" s="345" t="s">
        <v>207</v>
      </c>
      <c r="O6056" s="345" t="s">
        <v>208</v>
      </c>
      <c r="P6056" s="345" t="s">
        <v>209</v>
      </c>
      <c r="Q6056" s="345" t="s">
        <v>210</v>
      </c>
      <c r="R6056" s="345" t="s">
        <v>223</v>
      </c>
      <c r="S6056" s="345" t="s">
        <v>224</v>
      </c>
    </row>
    <row r="6057" spans="1:19" x14ac:dyDescent="0.25">
      <c r="A6057" s="311"/>
      <c r="B6057" s="312"/>
      <c r="C6057" s="312"/>
      <c r="D6057" s="312"/>
      <c r="E6057" s="312"/>
      <c r="F6057" s="312"/>
      <c r="G6057" s="328"/>
      <c r="H6057" s="453"/>
      <c r="I6057" s="334"/>
      <c r="J6057" s="314"/>
      <c r="K6057" s="454"/>
      <c r="M6057" s="349" t="str">
        <f>N6057&amp;AS[[#This Row],[Insurer Code]]&amp;"; "&amp;O6057&amp;AS[[#This Row],[Reporting Year]]&amp;"; "&amp;P6057&amp;AS[[#This Row],[Insurance Category Code]]&amp;"; "&amp;Q6057&amp;AS[[#This Row],[Large Provider Entity Code]]&amp;"; "&amp;R6057&amp;AS[[#This Row],[Age Band Code]]&amp;"; "&amp;S6057&amp;AS[[#This Row],[Sex Code]]</f>
        <v xml:space="preserve">Insurer Code ; Reporting Year ; Insurance Category Code ; Large Provider Entity Code ; Age Band Code ; Sex Code </v>
      </c>
      <c r="N6057" s="345" t="s">
        <v>207</v>
      </c>
      <c r="O6057" s="345" t="s">
        <v>208</v>
      </c>
      <c r="P6057" s="345" t="s">
        <v>209</v>
      </c>
      <c r="Q6057" s="345" t="s">
        <v>210</v>
      </c>
      <c r="R6057" s="345" t="s">
        <v>223</v>
      </c>
      <c r="S6057" s="345" t="s">
        <v>224</v>
      </c>
    </row>
    <row r="6058" spans="1:19" x14ac:dyDescent="0.25">
      <c r="A6058" s="311"/>
      <c r="B6058" s="312"/>
      <c r="C6058" s="312"/>
      <c r="D6058" s="312"/>
      <c r="E6058" s="312"/>
      <c r="F6058" s="312"/>
      <c r="G6058" s="328"/>
      <c r="H6058" s="453"/>
      <c r="I6058" s="334"/>
      <c r="J6058" s="314"/>
      <c r="K6058" s="454"/>
      <c r="M6058" s="349" t="str">
        <f>N6058&amp;AS[[#This Row],[Insurer Code]]&amp;"; "&amp;O6058&amp;AS[[#This Row],[Reporting Year]]&amp;"; "&amp;P6058&amp;AS[[#This Row],[Insurance Category Code]]&amp;"; "&amp;Q6058&amp;AS[[#This Row],[Large Provider Entity Code]]&amp;"; "&amp;R6058&amp;AS[[#This Row],[Age Band Code]]&amp;"; "&amp;S6058&amp;AS[[#This Row],[Sex Code]]</f>
        <v xml:space="preserve">Insurer Code ; Reporting Year ; Insurance Category Code ; Large Provider Entity Code ; Age Band Code ; Sex Code </v>
      </c>
      <c r="N6058" s="345" t="s">
        <v>207</v>
      </c>
      <c r="O6058" s="345" t="s">
        <v>208</v>
      </c>
      <c r="P6058" s="345" t="s">
        <v>209</v>
      </c>
      <c r="Q6058" s="345" t="s">
        <v>210</v>
      </c>
      <c r="R6058" s="345" t="s">
        <v>223</v>
      </c>
      <c r="S6058" s="345" t="s">
        <v>224</v>
      </c>
    </row>
    <row r="6059" spans="1:19" x14ac:dyDescent="0.25">
      <c r="A6059" s="311"/>
      <c r="B6059" s="312"/>
      <c r="C6059" s="312"/>
      <c r="D6059" s="312"/>
      <c r="E6059" s="312"/>
      <c r="F6059" s="312"/>
      <c r="G6059" s="328"/>
      <c r="H6059" s="453"/>
      <c r="I6059" s="334"/>
      <c r="J6059" s="314"/>
      <c r="K6059" s="454"/>
      <c r="M6059" s="349" t="str">
        <f>N6059&amp;AS[[#This Row],[Insurer Code]]&amp;"; "&amp;O6059&amp;AS[[#This Row],[Reporting Year]]&amp;"; "&amp;P6059&amp;AS[[#This Row],[Insurance Category Code]]&amp;"; "&amp;Q6059&amp;AS[[#This Row],[Large Provider Entity Code]]&amp;"; "&amp;R6059&amp;AS[[#This Row],[Age Band Code]]&amp;"; "&amp;S6059&amp;AS[[#This Row],[Sex Code]]</f>
        <v xml:space="preserve">Insurer Code ; Reporting Year ; Insurance Category Code ; Large Provider Entity Code ; Age Band Code ; Sex Code </v>
      </c>
      <c r="N6059" s="345" t="s">
        <v>207</v>
      </c>
      <c r="O6059" s="345" t="s">
        <v>208</v>
      </c>
      <c r="P6059" s="345" t="s">
        <v>209</v>
      </c>
      <c r="Q6059" s="345" t="s">
        <v>210</v>
      </c>
      <c r="R6059" s="345" t="s">
        <v>223</v>
      </c>
      <c r="S6059" s="345" t="s">
        <v>224</v>
      </c>
    </row>
    <row r="6060" spans="1:19" x14ac:dyDescent="0.25">
      <c r="A6060" s="311"/>
      <c r="B6060" s="312"/>
      <c r="C6060" s="312"/>
      <c r="D6060" s="312"/>
      <c r="E6060" s="312"/>
      <c r="F6060" s="312"/>
      <c r="G6060" s="328"/>
      <c r="H6060" s="453"/>
      <c r="I6060" s="334"/>
      <c r="J6060" s="314"/>
      <c r="K6060" s="454"/>
      <c r="M6060" s="349" t="str">
        <f>N6060&amp;AS[[#This Row],[Insurer Code]]&amp;"; "&amp;O6060&amp;AS[[#This Row],[Reporting Year]]&amp;"; "&amp;P6060&amp;AS[[#This Row],[Insurance Category Code]]&amp;"; "&amp;Q6060&amp;AS[[#This Row],[Large Provider Entity Code]]&amp;"; "&amp;R6060&amp;AS[[#This Row],[Age Band Code]]&amp;"; "&amp;S6060&amp;AS[[#This Row],[Sex Code]]</f>
        <v xml:space="preserve">Insurer Code ; Reporting Year ; Insurance Category Code ; Large Provider Entity Code ; Age Band Code ; Sex Code </v>
      </c>
      <c r="N6060" s="345" t="s">
        <v>207</v>
      </c>
      <c r="O6060" s="345" t="s">
        <v>208</v>
      </c>
      <c r="P6060" s="345" t="s">
        <v>209</v>
      </c>
      <c r="Q6060" s="345" t="s">
        <v>210</v>
      </c>
      <c r="R6060" s="345" t="s">
        <v>223</v>
      </c>
      <c r="S6060" s="345" t="s">
        <v>224</v>
      </c>
    </row>
    <row r="6061" spans="1:19" x14ac:dyDescent="0.25">
      <c r="A6061" s="311"/>
      <c r="B6061" s="312"/>
      <c r="C6061" s="312"/>
      <c r="D6061" s="312"/>
      <c r="E6061" s="312"/>
      <c r="F6061" s="312"/>
      <c r="G6061" s="328"/>
      <c r="H6061" s="453"/>
      <c r="I6061" s="334"/>
      <c r="J6061" s="314"/>
      <c r="K6061" s="454"/>
      <c r="M6061" s="349" t="str">
        <f>N6061&amp;AS[[#This Row],[Insurer Code]]&amp;"; "&amp;O6061&amp;AS[[#This Row],[Reporting Year]]&amp;"; "&amp;P6061&amp;AS[[#This Row],[Insurance Category Code]]&amp;"; "&amp;Q6061&amp;AS[[#This Row],[Large Provider Entity Code]]&amp;"; "&amp;R6061&amp;AS[[#This Row],[Age Band Code]]&amp;"; "&amp;S6061&amp;AS[[#This Row],[Sex Code]]</f>
        <v xml:space="preserve">Insurer Code ; Reporting Year ; Insurance Category Code ; Large Provider Entity Code ; Age Band Code ; Sex Code </v>
      </c>
      <c r="N6061" s="345" t="s">
        <v>207</v>
      </c>
      <c r="O6061" s="345" t="s">
        <v>208</v>
      </c>
      <c r="P6061" s="345" t="s">
        <v>209</v>
      </c>
      <c r="Q6061" s="345" t="s">
        <v>210</v>
      </c>
      <c r="R6061" s="345" t="s">
        <v>223</v>
      </c>
      <c r="S6061" s="345" t="s">
        <v>224</v>
      </c>
    </row>
    <row r="6062" spans="1:19" x14ac:dyDescent="0.25">
      <c r="A6062" s="311"/>
      <c r="B6062" s="312"/>
      <c r="C6062" s="312"/>
      <c r="D6062" s="312"/>
      <c r="E6062" s="312"/>
      <c r="F6062" s="312"/>
      <c r="G6062" s="328"/>
      <c r="H6062" s="453"/>
      <c r="I6062" s="334"/>
      <c r="J6062" s="314"/>
      <c r="K6062" s="454"/>
      <c r="M6062" s="349" t="str">
        <f>N6062&amp;AS[[#This Row],[Insurer Code]]&amp;"; "&amp;O6062&amp;AS[[#This Row],[Reporting Year]]&amp;"; "&amp;P6062&amp;AS[[#This Row],[Insurance Category Code]]&amp;"; "&amp;Q6062&amp;AS[[#This Row],[Large Provider Entity Code]]&amp;"; "&amp;R6062&amp;AS[[#This Row],[Age Band Code]]&amp;"; "&amp;S6062&amp;AS[[#This Row],[Sex Code]]</f>
        <v xml:space="preserve">Insurer Code ; Reporting Year ; Insurance Category Code ; Large Provider Entity Code ; Age Band Code ; Sex Code </v>
      </c>
      <c r="N6062" s="345" t="s">
        <v>207</v>
      </c>
      <c r="O6062" s="345" t="s">
        <v>208</v>
      </c>
      <c r="P6062" s="345" t="s">
        <v>209</v>
      </c>
      <c r="Q6062" s="345" t="s">
        <v>210</v>
      </c>
      <c r="R6062" s="345" t="s">
        <v>223</v>
      </c>
      <c r="S6062" s="345" t="s">
        <v>224</v>
      </c>
    </row>
    <row r="6063" spans="1:19" x14ac:dyDescent="0.25">
      <c r="A6063" s="311"/>
      <c r="B6063" s="312"/>
      <c r="C6063" s="312"/>
      <c r="D6063" s="312"/>
      <c r="E6063" s="312"/>
      <c r="F6063" s="312"/>
      <c r="G6063" s="328"/>
      <c r="H6063" s="453"/>
      <c r="I6063" s="334"/>
      <c r="J6063" s="314"/>
      <c r="K6063" s="454"/>
      <c r="M6063" s="349" t="str">
        <f>N6063&amp;AS[[#This Row],[Insurer Code]]&amp;"; "&amp;O6063&amp;AS[[#This Row],[Reporting Year]]&amp;"; "&amp;P6063&amp;AS[[#This Row],[Insurance Category Code]]&amp;"; "&amp;Q6063&amp;AS[[#This Row],[Large Provider Entity Code]]&amp;"; "&amp;R6063&amp;AS[[#This Row],[Age Band Code]]&amp;"; "&amp;S6063&amp;AS[[#This Row],[Sex Code]]</f>
        <v xml:space="preserve">Insurer Code ; Reporting Year ; Insurance Category Code ; Large Provider Entity Code ; Age Band Code ; Sex Code </v>
      </c>
      <c r="N6063" s="345" t="s">
        <v>207</v>
      </c>
      <c r="O6063" s="345" t="s">
        <v>208</v>
      </c>
      <c r="P6063" s="345" t="s">
        <v>209</v>
      </c>
      <c r="Q6063" s="345" t="s">
        <v>210</v>
      </c>
      <c r="R6063" s="345" t="s">
        <v>223</v>
      </c>
      <c r="S6063" s="345" t="s">
        <v>224</v>
      </c>
    </row>
    <row r="6064" spans="1:19" x14ac:dyDescent="0.25">
      <c r="A6064" s="311"/>
      <c r="B6064" s="312"/>
      <c r="C6064" s="312"/>
      <c r="D6064" s="312"/>
      <c r="E6064" s="312"/>
      <c r="F6064" s="312"/>
      <c r="G6064" s="328"/>
      <c r="H6064" s="453"/>
      <c r="I6064" s="334"/>
      <c r="J6064" s="314"/>
      <c r="K6064" s="454"/>
      <c r="M6064" s="349" t="str">
        <f>N6064&amp;AS[[#This Row],[Insurer Code]]&amp;"; "&amp;O6064&amp;AS[[#This Row],[Reporting Year]]&amp;"; "&amp;P6064&amp;AS[[#This Row],[Insurance Category Code]]&amp;"; "&amp;Q6064&amp;AS[[#This Row],[Large Provider Entity Code]]&amp;"; "&amp;R6064&amp;AS[[#This Row],[Age Band Code]]&amp;"; "&amp;S6064&amp;AS[[#This Row],[Sex Code]]</f>
        <v xml:space="preserve">Insurer Code ; Reporting Year ; Insurance Category Code ; Large Provider Entity Code ; Age Band Code ; Sex Code </v>
      </c>
      <c r="N6064" s="345" t="s">
        <v>207</v>
      </c>
      <c r="O6064" s="345" t="s">
        <v>208</v>
      </c>
      <c r="P6064" s="345" t="s">
        <v>209</v>
      </c>
      <c r="Q6064" s="345" t="s">
        <v>210</v>
      </c>
      <c r="R6064" s="345" t="s">
        <v>223</v>
      </c>
      <c r="S6064" s="345" t="s">
        <v>224</v>
      </c>
    </row>
    <row r="6065" spans="1:19" x14ac:dyDescent="0.25">
      <c r="A6065" s="311"/>
      <c r="B6065" s="312"/>
      <c r="C6065" s="312"/>
      <c r="D6065" s="312"/>
      <c r="E6065" s="312"/>
      <c r="F6065" s="312"/>
      <c r="G6065" s="328"/>
      <c r="H6065" s="453"/>
      <c r="I6065" s="334"/>
      <c r="J6065" s="314"/>
      <c r="K6065" s="454"/>
      <c r="M6065" s="349" t="str">
        <f>N6065&amp;AS[[#This Row],[Insurer Code]]&amp;"; "&amp;O6065&amp;AS[[#This Row],[Reporting Year]]&amp;"; "&amp;P6065&amp;AS[[#This Row],[Insurance Category Code]]&amp;"; "&amp;Q6065&amp;AS[[#This Row],[Large Provider Entity Code]]&amp;"; "&amp;R6065&amp;AS[[#This Row],[Age Band Code]]&amp;"; "&amp;S6065&amp;AS[[#This Row],[Sex Code]]</f>
        <v xml:space="preserve">Insurer Code ; Reporting Year ; Insurance Category Code ; Large Provider Entity Code ; Age Band Code ; Sex Code </v>
      </c>
      <c r="N6065" s="345" t="s">
        <v>207</v>
      </c>
      <c r="O6065" s="345" t="s">
        <v>208</v>
      </c>
      <c r="P6065" s="345" t="s">
        <v>209</v>
      </c>
      <c r="Q6065" s="345" t="s">
        <v>210</v>
      </c>
      <c r="R6065" s="345" t="s">
        <v>223</v>
      </c>
      <c r="S6065" s="345" t="s">
        <v>224</v>
      </c>
    </row>
    <row r="6066" spans="1:19" x14ac:dyDescent="0.25">
      <c r="A6066" s="311"/>
      <c r="B6066" s="312"/>
      <c r="C6066" s="312"/>
      <c r="D6066" s="312"/>
      <c r="E6066" s="312"/>
      <c r="F6066" s="312"/>
      <c r="G6066" s="328"/>
      <c r="H6066" s="453"/>
      <c r="I6066" s="334"/>
      <c r="J6066" s="314"/>
      <c r="K6066" s="454"/>
      <c r="M6066" s="349" t="str">
        <f>N6066&amp;AS[[#This Row],[Insurer Code]]&amp;"; "&amp;O6066&amp;AS[[#This Row],[Reporting Year]]&amp;"; "&amp;P6066&amp;AS[[#This Row],[Insurance Category Code]]&amp;"; "&amp;Q6066&amp;AS[[#This Row],[Large Provider Entity Code]]&amp;"; "&amp;R6066&amp;AS[[#This Row],[Age Band Code]]&amp;"; "&amp;S6066&amp;AS[[#This Row],[Sex Code]]</f>
        <v xml:space="preserve">Insurer Code ; Reporting Year ; Insurance Category Code ; Large Provider Entity Code ; Age Band Code ; Sex Code </v>
      </c>
      <c r="N6066" s="345" t="s">
        <v>207</v>
      </c>
      <c r="O6066" s="345" t="s">
        <v>208</v>
      </c>
      <c r="P6066" s="345" t="s">
        <v>209</v>
      </c>
      <c r="Q6066" s="345" t="s">
        <v>210</v>
      </c>
      <c r="R6066" s="345" t="s">
        <v>223</v>
      </c>
      <c r="S6066" s="345" t="s">
        <v>224</v>
      </c>
    </row>
    <row r="6067" spans="1:19" x14ac:dyDescent="0.25">
      <c r="A6067" s="311"/>
      <c r="B6067" s="312"/>
      <c r="C6067" s="312"/>
      <c r="D6067" s="312"/>
      <c r="E6067" s="312"/>
      <c r="F6067" s="312"/>
      <c r="G6067" s="328"/>
      <c r="H6067" s="453"/>
      <c r="I6067" s="334"/>
      <c r="J6067" s="314"/>
      <c r="K6067" s="454"/>
      <c r="M6067" s="349" t="str">
        <f>N6067&amp;AS[[#This Row],[Insurer Code]]&amp;"; "&amp;O6067&amp;AS[[#This Row],[Reporting Year]]&amp;"; "&amp;P6067&amp;AS[[#This Row],[Insurance Category Code]]&amp;"; "&amp;Q6067&amp;AS[[#This Row],[Large Provider Entity Code]]&amp;"; "&amp;R6067&amp;AS[[#This Row],[Age Band Code]]&amp;"; "&amp;S6067&amp;AS[[#This Row],[Sex Code]]</f>
        <v xml:space="preserve">Insurer Code ; Reporting Year ; Insurance Category Code ; Large Provider Entity Code ; Age Band Code ; Sex Code </v>
      </c>
      <c r="N6067" s="345" t="s">
        <v>207</v>
      </c>
      <c r="O6067" s="345" t="s">
        <v>208</v>
      </c>
      <c r="P6067" s="345" t="s">
        <v>209</v>
      </c>
      <c r="Q6067" s="345" t="s">
        <v>210</v>
      </c>
      <c r="R6067" s="345" t="s">
        <v>223</v>
      </c>
      <c r="S6067" s="345" t="s">
        <v>224</v>
      </c>
    </row>
    <row r="6068" spans="1:19" x14ac:dyDescent="0.25">
      <c r="A6068" s="311"/>
      <c r="B6068" s="312"/>
      <c r="C6068" s="312"/>
      <c r="D6068" s="312"/>
      <c r="E6068" s="312"/>
      <c r="F6068" s="312"/>
      <c r="G6068" s="328"/>
      <c r="H6068" s="453"/>
      <c r="I6068" s="334"/>
      <c r="J6068" s="314"/>
      <c r="K6068" s="454"/>
      <c r="M6068" s="349" t="str">
        <f>N6068&amp;AS[[#This Row],[Insurer Code]]&amp;"; "&amp;O6068&amp;AS[[#This Row],[Reporting Year]]&amp;"; "&amp;P6068&amp;AS[[#This Row],[Insurance Category Code]]&amp;"; "&amp;Q6068&amp;AS[[#This Row],[Large Provider Entity Code]]&amp;"; "&amp;R6068&amp;AS[[#This Row],[Age Band Code]]&amp;"; "&amp;S6068&amp;AS[[#This Row],[Sex Code]]</f>
        <v xml:space="preserve">Insurer Code ; Reporting Year ; Insurance Category Code ; Large Provider Entity Code ; Age Band Code ; Sex Code </v>
      </c>
      <c r="N6068" s="345" t="s">
        <v>207</v>
      </c>
      <c r="O6068" s="345" t="s">
        <v>208</v>
      </c>
      <c r="P6068" s="345" t="s">
        <v>209</v>
      </c>
      <c r="Q6068" s="345" t="s">
        <v>210</v>
      </c>
      <c r="R6068" s="345" t="s">
        <v>223</v>
      </c>
      <c r="S6068" s="345" t="s">
        <v>224</v>
      </c>
    </row>
    <row r="6069" spans="1:19" x14ac:dyDescent="0.25">
      <c r="A6069" s="311"/>
      <c r="B6069" s="312"/>
      <c r="C6069" s="312"/>
      <c r="D6069" s="312"/>
      <c r="E6069" s="312"/>
      <c r="F6069" s="312"/>
      <c r="G6069" s="328"/>
      <c r="H6069" s="453"/>
      <c r="I6069" s="334"/>
      <c r="J6069" s="314"/>
      <c r="K6069" s="454"/>
      <c r="M6069" s="349" t="str">
        <f>N6069&amp;AS[[#This Row],[Insurer Code]]&amp;"; "&amp;O6069&amp;AS[[#This Row],[Reporting Year]]&amp;"; "&amp;P6069&amp;AS[[#This Row],[Insurance Category Code]]&amp;"; "&amp;Q6069&amp;AS[[#This Row],[Large Provider Entity Code]]&amp;"; "&amp;R6069&amp;AS[[#This Row],[Age Band Code]]&amp;"; "&amp;S6069&amp;AS[[#This Row],[Sex Code]]</f>
        <v xml:space="preserve">Insurer Code ; Reporting Year ; Insurance Category Code ; Large Provider Entity Code ; Age Band Code ; Sex Code </v>
      </c>
      <c r="N6069" s="345" t="s">
        <v>207</v>
      </c>
      <c r="O6069" s="345" t="s">
        <v>208</v>
      </c>
      <c r="P6069" s="345" t="s">
        <v>209</v>
      </c>
      <c r="Q6069" s="345" t="s">
        <v>210</v>
      </c>
      <c r="R6069" s="345" t="s">
        <v>223</v>
      </c>
      <c r="S6069" s="345" t="s">
        <v>224</v>
      </c>
    </row>
    <row r="6070" spans="1:19" x14ac:dyDescent="0.25">
      <c r="A6070" s="311"/>
      <c r="B6070" s="312"/>
      <c r="C6070" s="312"/>
      <c r="D6070" s="312"/>
      <c r="E6070" s="312"/>
      <c r="F6070" s="312"/>
      <c r="G6070" s="328"/>
      <c r="H6070" s="453"/>
      <c r="I6070" s="334"/>
      <c r="J6070" s="314"/>
      <c r="K6070" s="454"/>
      <c r="M6070" s="349" t="str">
        <f>N6070&amp;AS[[#This Row],[Insurer Code]]&amp;"; "&amp;O6070&amp;AS[[#This Row],[Reporting Year]]&amp;"; "&amp;P6070&amp;AS[[#This Row],[Insurance Category Code]]&amp;"; "&amp;Q6070&amp;AS[[#This Row],[Large Provider Entity Code]]&amp;"; "&amp;R6070&amp;AS[[#This Row],[Age Band Code]]&amp;"; "&amp;S6070&amp;AS[[#This Row],[Sex Code]]</f>
        <v xml:space="preserve">Insurer Code ; Reporting Year ; Insurance Category Code ; Large Provider Entity Code ; Age Band Code ; Sex Code </v>
      </c>
      <c r="N6070" s="345" t="s">
        <v>207</v>
      </c>
      <c r="O6070" s="345" t="s">
        <v>208</v>
      </c>
      <c r="P6070" s="345" t="s">
        <v>209</v>
      </c>
      <c r="Q6070" s="345" t="s">
        <v>210</v>
      </c>
      <c r="R6070" s="345" t="s">
        <v>223</v>
      </c>
      <c r="S6070" s="345" t="s">
        <v>224</v>
      </c>
    </row>
    <row r="6071" spans="1:19" x14ac:dyDescent="0.25">
      <c r="A6071" s="311"/>
      <c r="B6071" s="312"/>
      <c r="C6071" s="312"/>
      <c r="D6071" s="312"/>
      <c r="E6071" s="312"/>
      <c r="F6071" s="312"/>
      <c r="G6071" s="328"/>
      <c r="H6071" s="453"/>
      <c r="I6071" s="334"/>
      <c r="J6071" s="314"/>
      <c r="K6071" s="454"/>
      <c r="M6071" s="349" t="str">
        <f>N6071&amp;AS[[#This Row],[Insurer Code]]&amp;"; "&amp;O6071&amp;AS[[#This Row],[Reporting Year]]&amp;"; "&amp;P6071&amp;AS[[#This Row],[Insurance Category Code]]&amp;"; "&amp;Q6071&amp;AS[[#This Row],[Large Provider Entity Code]]&amp;"; "&amp;R6071&amp;AS[[#This Row],[Age Band Code]]&amp;"; "&amp;S6071&amp;AS[[#This Row],[Sex Code]]</f>
        <v xml:space="preserve">Insurer Code ; Reporting Year ; Insurance Category Code ; Large Provider Entity Code ; Age Band Code ; Sex Code </v>
      </c>
      <c r="N6071" s="345" t="s">
        <v>207</v>
      </c>
      <c r="O6071" s="345" t="s">
        <v>208</v>
      </c>
      <c r="P6071" s="345" t="s">
        <v>209</v>
      </c>
      <c r="Q6071" s="345" t="s">
        <v>210</v>
      </c>
      <c r="R6071" s="345" t="s">
        <v>223</v>
      </c>
      <c r="S6071" s="345" t="s">
        <v>224</v>
      </c>
    </row>
    <row r="6072" spans="1:19" x14ac:dyDescent="0.25">
      <c r="A6072" s="311"/>
      <c r="B6072" s="312"/>
      <c r="C6072" s="312"/>
      <c r="D6072" s="312"/>
      <c r="E6072" s="312"/>
      <c r="F6072" s="312"/>
      <c r="G6072" s="328"/>
      <c r="H6072" s="453"/>
      <c r="I6072" s="334"/>
      <c r="J6072" s="314"/>
      <c r="K6072" s="454"/>
      <c r="M6072" s="349" t="str">
        <f>N6072&amp;AS[[#This Row],[Insurer Code]]&amp;"; "&amp;O6072&amp;AS[[#This Row],[Reporting Year]]&amp;"; "&amp;P6072&amp;AS[[#This Row],[Insurance Category Code]]&amp;"; "&amp;Q6072&amp;AS[[#This Row],[Large Provider Entity Code]]&amp;"; "&amp;R6072&amp;AS[[#This Row],[Age Band Code]]&amp;"; "&amp;S6072&amp;AS[[#This Row],[Sex Code]]</f>
        <v xml:space="preserve">Insurer Code ; Reporting Year ; Insurance Category Code ; Large Provider Entity Code ; Age Band Code ; Sex Code </v>
      </c>
      <c r="N6072" s="345" t="s">
        <v>207</v>
      </c>
      <c r="O6072" s="345" t="s">
        <v>208</v>
      </c>
      <c r="P6072" s="345" t="s">
        <v>209</v>
      </c>
      <c r="Q6072" s="345" t="s">
        <v>210</v>
      </c>
      <c r="R6072" s="345" t="s">
        <v>223</v>
      </c>
      <c r="S6072" s="345" t="s">
        <v>224</v>
      </c>
    </row>
    <row r="6073" spans="1:19" x14ac:dyDescent="0.25">
      <c r="A6073" s="311"/>
      <c r="B6073" s="312"/>
      <c r="C6073" s="312"/>
      <c r="D6073" s="312"/>
      <c r="E6073" s="312"/>
      <c r="F6073" s="312"/>
      <c r="G6073" s="328"/>
      <c r="H6073" s="453"/>
      <c r="I6073" s="334"/>
      <c r="J6073" s="314"/>
      <c r="K6073" s="454"/>
      <c r="M6073" s="349" t="str">
        <f>N6073&amp;AS[[#This Row],[Insurer Code]]&amp;"; "&amp;O6073&amp;AS[[#This Row],[Reporting Year]]&amp;"; "&amp;P6073&amp;AS[[#This Row],[Insurance Category Code]]&amp;"; "&amp;Q6073&amp;AS[[#This Row],[Large Provider Entity Code]]&amp;"; "&amp;R6073&amp;AS[[#This Row],[Age Band Code]]&amp;"; "&amp;S6073&amp;AS[[#This Row],[Sex Code]]</f>
        <v xml:space="preserve">Insurer Code ; Reporting Year ; Insurance Category Code ; Large Provider Entity Code ; Age Band Code ; Sex Code </v>
      </c>
      <c r="N6073" s="345" t="s">
        <v>207</v>
      </c>
      <c r="O6073" s="345" t="s">
        <v>208</v>
      </c>
      <c r="P6073" s="345" t="s">
        <v>209</v>
      </c>
      <c r="Q6073" s="345" t="s">
        <v>210</v>
      </c>
      <c r="R6073" s="345" t="s">
        <v>223</v>
      </c>
      <c r="S6073" s="345" t="s">
        <v>224</v>
      </c>
    </row>
    <row r="6074" spans="1:19" x14ac:dyDescent="0.25">
      <c r="A6074" s="311"/>
      <c r="B6074" s="312"/>
      <c r="C6074" s="312"/>
      <c r="D6074" s="312"/>
      <c r="E6074" s="312"/>
      <c r="F6074" s="312"/>
      <c r="G6074" s="328"/>
      <c r="H6074" s="453"/>
      <c r="I6074" s="334"/>
      <c r="J6074" s="314"/>
      <c r="K6074" s="454"/>
      <c r="M6074" s="349" t="str">
        <f>N6074&amp;AS[[#This Row],[Insurer Code]]&amp;"; "&amp;O6074&amp;AS[[#This Row],[Reporting Year]]&amp;"; "&amp;P6074&amp;AS[[#This Row],[Insurance Category Code]]&amp;"; "&amp;Q6074&amp;AS[[#This Row],[Large Provider Entity Code]]&amp;"; "&amp;R6074&amp;AS[[#This Row],[Age Band Code]]&amp;"; "&amp;S6074&amp;AS[[#This Row],[Sex Code]]</f>
        <v xml:space="preserve">Insurer Code ; Reporting Year ; Insurance Category Code ; Large Provider Entity Code ; Age Band Code ; Sex Code </v>
      </c>
      <c r="N6074" s="345" t="s">
        <v>207</v>
      </c>
      <c r="O6074" s="345" t="s">
        <v>208</v>
      </c>
      <c r="P6074" s="345" t="s">
        <v>209</v>
      </c>
      <c r="Q6074" s="345" t="s">
        <v>210</v>
      </c>
      <c r="R6074" s="345" t="s">
        <v>223</v>
      </c>
      <c r="S6074" s="345" t="s">
        <v>224</v>
      </c>
    </row>
    <row r="6075" spans="1:19" x14ac:dyDescent="0.25">
      <c r="A6075" s="311"/>
      <c r="B6075" s="312"/>
      <c r="C6075" s="312"/>
      <c r="D6075" s="312"/>
      <c r="E6075" s="312"/>
      <c r="F6075" s="312"/>
      <c r="G6075" s="328"/>
      <c r="H6075" s="453"/>
      <c r="I6075" s="334"/>
      <c r="J6075" s="314"/>
      <c r="K6075" s="454"/>
      <c r="M6075" s="349" t="str">
        <f>N6075&amp;AS[[#This Row],[Insurer Code]]&amp;"; "&amp;O6075&amp;AS[[#This Row],[Reporting Year]]&amp;"; "&amp;P6075&amp;AS[[#This Row],[Insurance Category Code]]&amp;"; "&amp;Q6075&amp;AS[[#This Row],[Large Provider Entity Code]]&amp;"; "&amp;R6075&amp;AS[[#This Row],[Age Band Code]]&amp;"; "&amp;S6075&amp;AS[[#This Row],[Sex Code]]</f>
        <v xml:space="preserve">Insurer Code ; Reporting Year ; Insurance Category Code ; Large Provider Entity Code ; Age Band Code ; Sex Code </v>
      </c>
      <c r="N6075" s="345" t="s">
        <v>207</v>
      </c>
      <c r="O6075" s="345" t="s">
        <v>208</v>
      </c>
      <c r="P6075" s="345" t="s">
        <v>209</v>
      </c>
      <c r="Q6075" s="345" t="s">
        <v>210</v>
      </c>
      <c r="R6075" s="345" t="s">
        <v>223</v>
      </c>
      <c r="S6075" s="345" t="s">
        <v>224</v>
      </c>
    </row>
    <row r="6076" spans="1:19" x14ac:dyDescent="0.25">
      <c r="A6076" s="311"/>
      <c r="B6076" s="312"/>
      <c r="C6076" s="312"/>
      <c r="D6076" s="312"/>
      <c r="E6076" s="312"/>
      <c r="F6076" s="312"/>
      <c r="G6076" s="328"/>
      <c r="H6076" s="453"/>
      <c r="I6076" s="334"/>
      <c r="J6076" s="314"/>
      <c r="K6076" s="454"/>
      <c r="M6076" s="349" t="str">
        <f>N6076&amp;AS[[#This Row],[Insurer Code]]&amp;"; "&amp;O6076&amp;AS[[#This Row],[Reporting Year]]&amp;"; "&amp;P6076&amp;AS[[#This Row],[Insurance Category Code]]&amp;"; "&amp;Q6076&amp;AS[[#This Row],[Large Provider Entity Code]]&amp;"; "&amp;R6076&amp;AS[[#This Row],[Age Band Code]]&amp;"; "&amp;S6076&amp;AS[[#This Row],[Sex Code]]</f>
        <v xml:space="preserve">Insurer Code ; Reporting Year ; Insurance Category Code ; Large Provider Entity Code ; Age Band Code ; Sex Code </v>
      </c>
      <c r="N6076" s="345" t="s">
        <v>207</v>
      </c>
      <c r="O6076" s="345" t="s">
        <v>208</v>
      </c>
      <c r="P6076" s="345" t="s">
        <v>209</v>
      </c>
      <c r="Q6076" s="345" t="s">
        <v>210</v>
      </c>
      <c r="R6076" s="345" t="s">
        <v>223</v>
      </c>
      <c r="S6076" s="345" t="s">
        <v>224</v>
      </c>
    </row>
    <row r="6077" spans="1:19" x14ac:dyDescent="0.25">
      <c r="A6077" s="311"/>
      <c r="B6077" s="312"/>
      <c r="C6077" s="312"/>
      <c r="D6077" s="312"/>
      <c r="E6077" s="312"/>
      <c r="F6077" s="312"/>
      <c r="G6077" s="328"/>
      <c r="H6077" s="453"/>
      <c r="I6077" s="334"/>
      <c r="J6077" s="314"/>
      <c r="K6077" s="454"/>
      <c r="M6077" s="349" t="str">
        <f>N6077&amp;AS[[#This Row],[Insurer Code]]&amp;"; "&amp;O6077&amp;AS[[#This Row],[Reporting Year]]&amp;"; "&amp;P6077&amp;AS[[#This Row],[Insurance Category Code]]&amp;"; "&amp;Q6077&amp;AS[[#This Row],[Large Provider Entity Code]]&amp;"; "&amp;R6077&amp;AS[[#This Row],[Age Band Code]]&amp;"; "&amp;S6077&amp;AS[[#This Row],[Sex Code]]</f>
        <v xml:space="preserve">Insurer Code ; Reporting Year ; Insurance Category Code ; Large Provider Entity Code ; Age Band Code ; Sex Code </v>
      </c>
      <c r="N6077" s="345" t="s">
        <v>207</v>
      </c>
      <c r="O6077" s="345" t="s">
        <v>208</v>
      </c>
      <c r="P6077" s="345" t="s">
        <v>209</v>
      </c>
      <c r="Q6077" s="345" t="s">
        <v>210</v>
      </c>
      <c r="R6077" s="345" t="s">
        <v>223</v>
      </c>
      <c r="S6077" s="345" t="s">
        <v>224</v>
      </c>
    </row>
    <row r="6078" spans="1:19" x14ac:dyDescent="0.25">
      <c r="A6078" s="311"/>
      <c r="B6078" s="312"/>
      <c r="C6078" s="312"/>
      <c r="D6078" s="312"/>
      <c r="E6078" s="312"/>
      <c r="F6078" s="312"/>
      <c r="G6078" s="328"/>
      <c r="H6078" s="453"/>
      <c r="I6078" s="334"/>
      <c r="J6078" s="314"/>
      <c r="K6078" s="454"/>
      <c r="M6078" s="349" t="str">
        <f>N6078&amp;AS[[#This Row],[Insurer Code]]&amp;"; "&amp;O6078&amp;AS[[#This Row],[Reporting Year]]&amp;"; "&amp;P6078&amp;AS[[#This Row],[Insurance Category Code]]&amp;"; "&amp;Q6078&amp;AS[[#This Row],[Large Provider Entity Code]]&amp;"; "&amp;R6078&amp;AS[[#This Row],[Age Band Code]]&amp;"; "&amp;S6078&amp;AS[[#This Row],[Sex Code]]</f>
        <v xml:space="preserve">Insurer Code ; Reporting Year ; Insurance Category Code ; Large Provider Entity Code ; Age Band Code ; Sex Code </v>
      </c>
      <c r="N6078" s="345" t="s">
        <v>207</v>
      </c>
      <c r="O6078" s="345" t="s">
        <v>208</v>
      </c>
      <c r="P6078" s="345" t="s">
        <v>209</v>
      </c>
      <c r="Q6078" s="345" t="s">
        <v>210</v>
      </c>
      <c r="R6078" s="345" t="s">
        <v>223</v>
      </c>
      <c r="S6078" s="345" t="s">
        <v>224</v>
      </c>
    </row>
    <row r="6079" spans="1:19" x14ac:dyDescent="0.25">
      <c r="A6079" s="311"/>
      <c r="B6079" s="312"/>
      <c r="C6079" s="312"/>
      <c r="D6079" s="312"/>
      <c r="E6079" s="312"/>
      <c r="F6079" s="312"/>
      <c r="G6079" s="328"/>
      <c r="H6079" s="453"/>
      <c r="I6079" s="334"/>
      <c r="J6079" s="314"/>
      <c r="K6079" s="454"/>
      <c r="M6079" s="349" t="str">
        <f>N6079&amp;AS[[#This Row],[Insurer Code]]&amp;"; "&amp;O6079&amp;AS[[#This Row],[Reporting Year]]&amp;"; "&amp;P6079&amp;AS[[#This Row],[Insurance Category Code]]&amp;"; "&amp;Q6079&amp;AS[[#This Row],[Large Provider Entity Code]]&amp;"; "&amp;R6079&amp;AS[[#This Row],[Age Band Code]]&amp;"; "&amp;S6079&amp;AS[[#This Row],[Sex Code]]</f>
        <v xml:space="preserve">Insurer Code ; Reporting Year ; Insurance Category Code ; Large Provider Entity Code ; Age Band Code ; Sex Code </v>
      </c>
      <c r="N6079" s="345" t="s">
        <v>207</v>
      </c>
      <c r="O6079" s="345" t="s">
        <v>208</v>
      </c>
      <c r="P6079" s="345" t="s">
        <v>209</v>
      </c>
      <c r="Q6079" s="345" t="s">
        <v>210</v>
      </c>
      <c r="R6079" s="345" t="s">
        <v>223</v>
      </c>
      <c r="S6079" s="345" t="s">
        <v>224</v>
      </c>
    </row>
    <row r="6080" spans="1:19" x14ac:dyDescent="0.25">
      <c r="A6080" s="311"/>
      <c r="B6080" s="312"/>
      <c r="C6080" s="312"/>
      <c r="D6080" s="312"/>
      <c r="E6080" s="312"/>
      <c r="F6080" s="312"/>
      <c r="G6080" s="328"/>
      <c r="H6080" s="453"/>
      <c r="I6080" s="334"/>
      <c r="J6080" s="314"/>
      <c r="K6080" s="454"/>
      <c r="M6080" s="349" t="str">
        <f>N6080&amp;AS[[#This Row],[Insurer Code]]&amp;"; "&amp;O6080&amp;AS[[#This Row],[Reporting Year]]&amp;"; "&amp;P6080&amp;AS[[#This Row],[Insurance Category Code]]&amp;"; "&amp;Q6080&amp;AS[[#This Row],[Large Provider Entity Code]]&amp;"; "&amp;R6080&amp;AS[[#This Row],[Age Band Code]]&amp;"; "&amp;S6080&amp;AS[[#This Row],[Sex Code]]</f>
        <v xml:space="preserve">Insurer Code ; Reporting Year ; Insurance Category Code ; Large Provider Entity Code ; Age Band Code ; Sex Code </v>
      </c>
      <c r="N6080" s="345" t="s">
        <v>207</v>
      </c>
      <c r="O6080" s="345" t="s">
        <v>208</v>
      </c>
      <c r="P6080" s="345" t="s">
        <v>209</v>
      </c>
      <c r="Q6080" s="345" t="s">
        <v>210</v>
      </c>
      <c r="R6080" s="345" t="s">
        <v>223</v>
      </c>
      <c r="S6080" s="345" t="s">
        <v>224</v>
      </c>
    </row>
    <row r="6081" spans="1:19" x14ac:dyDescent="0.25">
      <c r="A6081" s="311"/>
      <c r="B6081" s="312"/>
      <c r="C6081" s="312"/>
      <c r="D6081" s="312"/>
      <c r="E6081" s="312"/>
      <c r="F6081" s="312"/>
      <c r="G6081" s="328"/>
      <c r="H6081" s="453"/>
      <c r="I6081" s="334"/>
      <c r="J6081" s="314"/>
      <c r="K6081" s="454"/>
      <c r="M6081" s="349" t="str">
        <f>N6081&amp;AS[[#This Row],[Insurer Code]]&amp;"; "&amp;O6081&amp;AS[[#This Row],[Reporting Year]]&amp;"; "&amp;P6081&amp;AS[[#This Row],[Insurance Category Code]]&amp;"; "&amp;Q6081&amp;AS[[#This Row],[Large Provider Entity Code]]&amp;"; "&amp;R6081&amp;AS[[#This Row],[Age Band Code]]&amp;"; "&amp;S6081&amp;AS[[#This Row],[Sex Code]]</f>
        <v xml:space="preserve">Insurer Code ; Reporting Year ; Insurance Category Code ; Large Provider Entity Code ; Age Band Code ; Sex Code </v>
      </c>
      <c r="N6081" s="345" t="s">
        <v>207</v>
      </c>
      <c r="O6081" s="345" t="s">
        <v>208</v>
      </c>
      <c r="P6081" s="345" t="s">
        <v>209</v>
      </c>
      <c r="Q6081" s="345" t="s">
        <v>210</v>
      </c>
      <c r="R6081" s="345" t="s">
        <v>223</v>
      </c>
      <c r="S6081" s="345" t="s">
        <v>224</v>
      </c>
    </row>
    <row r="6082" spans="1:19" x14ac:dyDescent="0.25">
      <c r="A6082" s="311"/>
      <c r="B6082" s="312"/>
      <c r="C6082" s="312"/>
      <c r="D6082" s="312"/>
      <c r="E6082" s="312"/>
      <c r="F6082" s="312"/>
      <c r="G6082" s="328"/>
      <c r="H6082" s="453"/>
      <c r="I6082" s="334"/>
      <c r="J6082" s="314"/>
      <c r="K6082" s="454"/>
      <c r="M6082" s="349" t="str">
        <f>N6082&amp;AS[[#This Row],[Insurer Code]]&amp;"; "&amp;O6082&amp;AS[[#This Row],[Reporting Year]]&amp;"; "&amp;P6082&amp;AS[[#This Row],[Insurance Category Code]]&amp;"; "&amp;Q6082&amp;AS[[#This Row],[Large Provider Entity Code]]&amp;"; "&amp;R6082&amp;AS[[#This Row],[Age Band Code]]&amp;"; "&amp;S6082&amp;AS[[#This Row],[Sex Code]]</f>
        <v xml:space="preserve">Insurer Code ; Reporting Year ; Insurance Category Code ; Large Provider Entity Code ; Age Band Code ; Sex Code </v>
      </c>
      <c r="N6082" s="345" t="s">
        <v>207</v>
      </c>
      <c r="O6082" s="345" t="s">
        <v>208</v>
      </c>
      <c r="P6082" s="345" t="s">
        <v>209</v>
      </c>
      <c r="Q6082" s="345" t="s">
        <v>210</v>
      </c>
      <c r="R6082" s="345" t="s">
        <v>223</v>
      </c>
      <c r="S6082" s="345" t="s">
        <v>224</v>
      </c>
    </row>
    <row r="6083" spans="1:19" x14ac:dyDescent="0.25">
      <c r="A6083" s="311"/>
      <c r="B6083" s="312"/>
      <c r="C6083" s="312"/>
      <c r="D6083" s="312"/>
      <c r="E6083" s="312"/>
      <c r="F6083" s="312"/>
      <c r="G6083" s="328"/>
      <c r="H6083" s="453"/>
      <c r="I6083" s="334"/>
      <c r="J6083" s="314"/>
      <c r="K6083" s="454"/>
      <c r="M6083" s="349" t="str">
        <f>N6083&amp;AS[[#This Row],[Insurer Code]]&amp;"; "&amp;O6083&amp;AS[[#This Row],[Reporting Year]]&amp;"; "&amp;P6083&amp;AS[[#This Row],[Insurance Category Code]]&amp;"; "&amp;Q6083&amp;AS[[#This Row],[Large Provider Entity Code]]&amp;"; "&amp;R6083&amp;AS[[#This Row],[Age Band Code]]&amp;"; "&amp;S6083&amp;AS[[#This Row],[Sex Code]]</f>
        <v xml:space="preserve">Insurer Code ; Reporting Year ; Insurance Category Code ; Large Provider Entity Code ; Age Band Code ; Sex Code </v>
      </c>
      <c r="N6083" s="345" t="s">
        <v>207</v>
      </c>
      <c r="O6083" s="345" t="s">
        <v>208</v>
      </c>
      <c r="P6083" s="345" t="s">
        <v>209</v>
      </c>
      <c r="Q6083" s="345" t="s">
        <v>210</v>
      </c>
      <c r="R6083" s="345" t="s">
        <v>223</v>
      </c>
      <c r="S6083" s="345" t="s">
        <v>224</v>
      </c>
    </row>
    <row r="6084" spans="1:19" x14ac:dyDescent="0.25">
      <c r="A6084" s="311"/>
      <c r="B6084" s="312"/>
      <c r="C6084" s="312"/>
      <c r="D6084" s="312"/>
      <c r="E6084" s="312"/>
      <c r="F6084" s="312"/>
      <c r="G6084" s="328"/>
      <c r="H6084" s="453"/>
      <c r="I6084" s="334"/>
      <c r="J6084" s="314"/>
      <c r="K6084" s="454"/>
      <c r="M6084" s="349" t="str">
        <f>N6084&amp;AS[[#This Row],[Insurer Code]]&amp;"; "&amp;O6084&amp;AS[[#This Row],[Reporting Year]]&amp;"; "&amp;P6084&amp;AS[[#This Row],[Insurance Category Code]]&amp;"; "&amp;Q6084&amp;AS[[#This Row],[Large Provider Entity Code]]&amp;"; "&amp;R6084&amp;AS[[#This Row],[Age Band Code]]&amp;"; "&amp;S6084&amp;AS[[#This Row],[Sex Code]]</f>
        <v xml:space="preserve">Insurer Code ; Reporting Year ; Insurance Category Code ; Large Provider Entity Code ; Age Band Code ; Sex Code </v>
      </c>
      <c r="N6084" s="345" t="s">
        <v>207</v>
      </c>
      <c r="O6084" s="345" t="s">
        <v>208</v>
      </c>
      <c r="P6084" s="345" t="s">
        <v>209</v>
      </c>
      <c r="Q6084" s="345" t="s">
        <v>210</v>
      </c>
      <c r="R6084" s="345" t="s">
        <v>223</v>
      </c>
      <c r="S6084" s="345" t="s">
        <v>224</v>
      </c>
    </row>
    <row r="6085" spans="1:19" x14ac:dyDescent="0.25">
      <c r="A6085" s="311"/>
      <c r="B6085" s="312"/>
      <c r="C6085" s="312"/>
      <c r="D6085" s="312"/>
      <c r="E6085" s="312"/>
      <c r="F6085" s="312"/>
      <c r="G6085" s="328"/>
      <c r="H6085" s="453"/>
      <c r="I6085" s="334"/>
      <c r="J6085" s="314"/>
      <c r="K6085" s="454"/>
      <c r="M6085" s="349" t="str">
        <f>N6085&amp;AS[[#This Row],[Insurer Code]]&amp;"; "&amp;O6085&amp;AS[[#This Row],[Reporting Year]]&amp;"; "&amp;P6085&amp;AS[[#This Row],[Insurance Category Code]]&amp;"; "&amp;Q6085&amp;AS[[#This Row],[Large Provider Entity Code]]&amp;"; "&amp;R6085&amp;AS[[#This Row],[Age Band Code]]&amp;"; "&amp;S6085&amp;AS[[#This Row],[Sex Code]]</f>
        <v xml:space="preserve">Insurer Code ; Reporting Year ; Insurance Category Code ; Large Provider Entity Code ; Age Band Code ; Sex Code </v>
      </c>
      <c r="N6085" s="345" t="s">
        <v>207</v>
      </c>
      <c r="O6085" s="345" t="s">
        <v>208</v>
      </c>
      <c r="P6085" s="345" t="s">
        <v>209</v>
      </c>
      <c r="Q6085" s="345" t="s">
        <v>210</v>
      </c>
      <c r="R6085" s="345" t="s">
        <v>223</v>
      </c>
      <c r="S6085" s="345" t="s">
        <v>224</v>
      </c>
    </row>
    <row r="6086" spans="1:19" x14ac:dyDescent="0.25">
      <c r="A6086" s="311"/>
      <c r="B6086" s="312"/>
      <c r="C6086" s="312"/>
      <c r="D6086" s="312"/>
      <c r="E6086" s="312"/>
      <c r="F6086" s="312"/>
      <c r="G6086" s="328"/>
      <c r="H6086" s="453"/>
      <c r="I6086" s="334"/>
      <c r="J6086" s="314"/>
      <c r="K6086" s="454"/>
      <c r="M6086" s="349" t="str">
        <f>N6086&amp;AS[[#This Row],[Insurer Code]]&amp;"; "&amp;O6086&amp;AS[[#This Row],[Reporting Year]]&amp;"; "&amp;P6086&amp;AS[[#This Row],[Insurance Category Code]]&amp;"; "&amp;Q6086&amp;AS[[#This Row],[Large Provider Entity Code]]&amp;"; "&amp;R6086&amp;AS[[#This Row],[Age Band Code]]&amp;"; "&amp;S6086&amp;AS[[#This Row],[Sex Code]]</f>
        <v xml:space="preserve">Insurer Code ; Reporting Year ; Insurance Category Code ; Large Provider Entity Code ; Age Band Code ; Sex Code </v>
      </c>
      <c r="N6086" s="345" t="s">
        <v>207</v>
      </c>
      <c r="O6086" s="345" t="s">
        <v>208</v>
      </c>
      <c r="P6086" s="345" t="s">
        <v>209</v>
      </c>
      <c r="Q6086" s="345" t="s">
        <v>210</v>
      </c>
      <c r="R6086" s="345" t="s">
        <v>223</v>
      </c>
      <c r="S6086" s="345" t="s">
        <v>224</v>
      </c>
    </row>
    <row r="6087" spans="1:19" x14ac:dyDescent="0.25">
      <c r="A6087" s="311"/>
      <c r="B6087" s="312"/>
      <c r="C6087" s="312"/>
      <c r="D6087" s="312"/>
      <c r="E6087" s="312"/>
      <c r="F6087" s="312"/>
      <c r="G6087" s="328"/>
      <c r="H6087" s="453"/>
      <c r="I6087" s="334"/>
      <c r="J6087" s="314"/>
      <c r="K6087" s="454"/>
      <c r="M6087" s="349" t="str">
        <f>N6087&amp;AS[[#This Row],[Insurer Code]]&amp;"; "&amp;O6087&amp;AS[[#This Row],[Reporting Year]]&amp;"; "&amp;P6087&amp;AS[[#This Row],[Insurance Category Code]]&amp;"; "&amp;Q6087&amp;AS[[#This Row],[Large Provider Entity Code]]&amp;"; "&amp;R6087&amp;AS[[#This Row],[Age Band Code]]&amp;"; "&amp;S6087&amp;AS[[#This Row],[Sex Code]]</f>
        <v xml:space="preserve">Insurer Code ; Reporting Year ; Insurance Category Code ; Large Provider Entity Code ; Age Band Code ; Sex Code </v>
      </c>
      <c r="N6087" s="345" t="s">
        <v>207</v>
      </c>
      <c r="O6087" s="345" t="s">
        <v>208</v>
      </c>
      <c r="P6087" s="345" t="s">
        <v>209</v>
      </c>
      <c r="Q6087" s="345" t="s">
        <v>210</v>
      </c>
      <c r="R6087" s="345" t="s">
        <v>223</v>
      </c>
      <c r="S6087" s="345" t="s">
        <v>224</v>
      </c>
    </row>
    <row r="6088" spans="1:19" x14ac:dyDescent="0.25">
      <c r="A6088" s="311"/>
      <c r="B6088" s="312"/>
      <c r="C6088" s="312"/>
      <c r="D6088" s="312"/>
      <c r="E6088" s="312"/>
      <c r="F6088" s="312"/>
      <c r="G6088" s="328"/>
      <c r="H6088" s="453"/>
      <c r="I6088" s="334"/>
      <c r="J6088" s="314"/>
      <c r="K6088" s="454"/>
      <c r="M6088" s="349" t="str">
        <f>N6088&amp;AS[[#This Row],[Insurer Code]]&amp;"; "&amp;O6088&amp;AS[[#This Row],[Reporting Year]]&amp;"; "&amp;P6088&amp;AS[[#This Row],[Insurance Category Code]]&amp;"; "&amp;Q6088&amp;AS[[#This Row],[Large Provider Entity Code]]&amp;"; "&amp;R6088&amp;AS[[#This Row],[Age Band Code]]&amp;"; "&amp;S6088&amp;AS[[#This Row],[Sex Code]]</f>
        <v xml:space="preserve">Insurer Code ; Reporting Year ; Insurance Category Code ; Large Provider Entity Code ; Age Band Code ; Sex Code </v>
      </c>
      <c r="N6088" s="345" t="s">
        <v>207</v>
      </c>
      <c r="O6088" s="345" t="s">
        <v>208</v>
      </c>
      <c r="P6088" s="345" t="s">
        <v>209</v>
      </c>
      <c r="Q6088" s="345" t="s">
        <v>210</v>
      </c>
      <c r="R6088" s="345" t="s">
        <v>223</v>
      </c>
      <c r="S6088" s="345" t="s">
        <v>224</v>
      </c>
    </row>
    <row r="6089" spans="1:19" x14ac:dyDescent="0.25">
      <c r="A6089" s="311"/>
      <c r="B6089" s="312"/>
      <c r="C6089" s="312"/>
      <c r="D6089" s="312"/>
      <c r="E6089" s="312"/>
      <c r="F6089" s="312"/>
      <c r="G6089" s="328"/>
      <c r="H6089" s="453"/>
      <c r="I6089" s="334"/>
      <c r="J6089" s="314"/>
      <c r="K6089" s="454"/>
      <c r="M6089" s="349" t="str">
        <f>N6089&amp;AS[[#This Row],[Insurer Code]]&amp;"; "&amp;O6089&amp;AS[[#This Row],[Reporting Year]]&amp;"; "&amp;P6089&amp;AS[[#This Row],[Insurance Category Code]]&amp;"; "&amp;Q6089&amp;AS[[#This Row],[Large Provider Entity Code]]&amp;"; "&amp;R6089&amp;AS[[#This Row],[Age Band Code]]&amp;"; "&amp;S6089&amp;AS[[#This Row],[Sex Code]]</f>
        <v xml:space="preserve">Insurer Code ; Reporting Year ; Insurance Category Code ; Large Provider Entity Code ; Age Band Code ; Sex Code </v>
      </c>
      <c r="N6089" s="345" t="s">
        <v>207</v>
      </c>
      <c r="O6089" s="345" t="s">
        <v>208</v>
      </c>
      <c r="P6089" s="345" t="s">
        <v>209</v>
      </c>
      <c r="Q6089" s="345" t="s">
        <v>210</v>
      </c>
      <c r="R6089" s="345" t="s">
        <v>223</v>
      </c>
      <c r="S6089" s="345" t="s">
        <v>224</v>
      </c>
    </row>
    <row r="6090" spans="1:19" x14ac:dyDescent="0.25">
      <c r="A6090" s="311"/>
      <c r="B6090" s="312"/>
      <c r="C6090" s="312"/>
      <c r="D6090" s="312"/>
      <c r="E6090" s="312"/>
      <c r="F6090" s="312"/>
      <c r="G6090" s="328"/>
      <c r="H6090" s="453"/>
      <c r="I6090" s="334"/>
      <c r="J6090" s="314"/>
      <c r="K6090" s="454"/>
      <c r="M6090" s="349" t="str">
        <f>N6090&amp;AS[[#This Row],[Insurer Code]]&amp;"; "&amp;O6090&amp;AS[[#This Row],[Reporting Year]]&amp;"; "&amp;P6090&amp;AS[[#This Row],[Insurance Category Code]]&amp;"; "&amp;Q6090&amp;AS[[#This Row],[Large Provider Entity Code]]&amp;"; "&amp;R6090&amp;AS[[#This Row],[Age Band Code]]&amp;"; "&amp;S6090&amp;AS[[#This Row],[Sex Code]]</f>
        <v xml:space="preserve">Insurer Code ; Reporting Year ; Insurance Category Code ; Large Provider Entity Code ; Age Band Code ; Sex Code </v>
      </c>
      <c r="N6090" s="345" t="s">
        <v>207</v>
      </c>
      <c r="O6090" s="345" t="s">
        <v>208</v>
      </c>
      <c r="P6090" s="345" t="s">
        <v>209</v>
      </c>
      <c r="Q6090" s="345" t="s">
        <v>210</v>
      </c>
      <c r="R6090" s="345" t="s">
        <v>223</v>
      </c>
      <c r="S6090" s="345" t="s">
        <v>224</v>
      </c>
    </row>
    <row r="6091" spans="1:19" x14ac:dyDescent="0.25">
      <c r="A6091" s="311"/>
      <c r="B6091" s="312"/>
      <c r="C6091" s="312"/>
      <c r="D6091" s="312"/>
      <c r="E6091" s="312"/>
      <c r="F6091" s="312"/>
      <c r="G6091" s="328"/>
      <c r="H6091" s="453"/>
      <c r="I6091" s="334"/>
      <c r="J6091" s="314"/>
      <c r="K6091" s="454"/>
      <c r="M6091" s="349" t="str">
        <f>N6091&amp;AS[[#This Row],[Insurer Code]]&amp;"; "&amp;O6091&amp;AS[[#This Row],[Reporting Year]]&amp;"; "&amp;P6091&amp;AS[[#This Row],[Insurance Category Code]]&amp;"; "&amp;Q6091&amp;AS[[#This Row],[Large Provider Entity Code]]&amp;"; "&amp;R6091&amp;AS[[#This Row],[Age Band Code]]&amp;"; "&amp;S6091&amp;AS[[#This Row],[Sex Code]]</f>
        <v xml:space="preserve">Insurer Code ; Reporting Year ; Insurance Category Code ; Large Provider Entity Code ; Age Band Code ; Sex Code </v>
      </c>
      <c r="N6091" s="345" t="s">
        <v>207</v>
      </c>
      <c r="O6091" s="345" t="s">
        <v>208</v>
      </c>
      <c r="P6091" s="345" t="s">
        <v>209</v>
      </c>
      <c r="Q6091" s="345" t="s">
        <v>210</v>
      </c>
      <c r="R6091" s="345" t="s">
        <v>223</v>
      </c>
      <c r="S6091" s="345" t="s">
        <v>224</v>
      </c>
    </row>
    <row r="6092" spans="1:19" x14ac:dyDescent="0.25">
      <c r="A6092" s="311"/>
      <c r="B6092" s="312"/>
      <c r="C6092" s="312"/>
      <c r="D6092" s="312"/>
      <c r="E6092" s="312"/>
      <c r="F6092" s="312"/>
      <c r="G6092" s="328"/>
      <c r="H6092" s="453"/>
      <c r="I6092" s="334"/>
      <c r="J6092" s="314"/>
      <c r="K6092" s="454"/>
      <c r="M6092" s="349" t="str">
        <f>N6092&amp;AS[[#This Row],[Insurer Code]]&amp;"; "&amp;O6092&amp;AS[[#This Row],[Reporting Year]]&amp;"; "&amp;P6092&amp;AS[[#This Row],[Insurance Category Code]]&amp;"; "&amp;Q6092&amp;AS[[#This Row],[Large Provider Entity Code]]&amp;"; "&amp;R6092&amp;AS[[#This Row],[Age Band Code]]&amp;"; "&amp;S6092&amp;AS[[#This Row],[Sex Code]]</f>
        <v xml:space="preserve">Insurer Code ; Reporting Year ; Insurance Category Code ; Large Provider Entity Code ; Age Band Code ; Sex Code </v>
      </c>
      <c r="N6092" s="345" t="s">
        <v>207</v>
      </c>
      <c r="O6092" s="345" t="s">
        <v>208</v>
      </c>
      <c r="P6092" s="345" t="s">
        <v>209</v>
      </c>
      <c r="Q6092" s="345" t="s">
        <v>210</v>
      </c>
      <c r="R6092" s="345" t="s">
        <v>223</v>
      </c>
      <c r="S6092" s="345" t="s">
        <v>224</v>
      </c>
    </row>
    <row r="6093" spans="1:19" x14ac:dyDescent="0.25">
      <c r="A6093" s="311"/>
      <c r="B6093" s="312"/>
      <c r="C6093" s="312"/>
      <c r="D6093" s="312"/>
      <c r="E6093" s="312"/>
      <c r="F6093" s="312"/>
      <c r="G6093" s="328"/>
      <c r="H6093" s="453"/>
      <c r="I6093" s="334"/>
      <c r="J6093" s="314"/>
      <c r="K6093" s="454"/>
      <c r="M6093" s="349" t="str">
        <f>N6093&amp;AS[[#This Row],[Insurer Code]]&amp;"; "&amp;O6093&amp;AS[[#This Row],[Reporting Year]]&amp;"; "&amp;P6093&amp;AS[[#This Row],[Insurance Category Code]]&amp;"; "&amp;Q6093&amp;AS[[#This Row],[Large Provider Entity Code]]&amp;"; "&amp;R6093&amp;AS[[#This Row],[Age Band Code]]&amp;"; "&amp;S6093&amp;AS[[#This Row],[Sex Code]]</f>
        <v xml:space="preserve">Insurer Code ; Reporting Year ; Insurance Category Code ; Large Provider Entity Code ; Age Band Code ; Sex Code </v>
      </c>
      <c r="N6093" s="345" t="s">
        <v>207</v>
      </c>
      <c r="O6093" s="345" t="s">
        <v>208</v>
      </c>
      <c r="P6093" s="345" t="s">
        <v>209</v>
      </c>
      <c r="Q6093" s="345" t="s">
        <v>210</v>
      </c>
      <c r="R6093" s="345" t="s">
        <v>223</v>
      </c>
      <c r="S6093" s="345" t="s">
        <v>224</v>
      </c>
    </row>
    <row r="6094" spans="1:19" x14ac:dyDescent="0.25">
      <c r="A6094" s="311"/>
      <c r="B6094" s="312"/>
      <c r="C6094" s="312"/>
      <c r="D6094" s="312"/>
      <c r="E6094" s="312"/>
      <c r="F6094" s="312"/>
      <c r="G6094" s="328"/>
      <c r="H6094" s="453"/>
      <c r="I6094" s="334"/>
      <c r="J6094" s="314"/>
      <c r="K6094" s="454"/>
      <c r="M6094" s="349" t="str">
        <f>N6094&amp;AS[[#This Row],[Insurer Code]]&amp;"; "&amp;O6094&amp;AS[[#This Row],[Reporting Year]]&amp;"; "&amp;P6094&amp;AS[[#This Row],[Insurance Category Code]]&amp;"; "&amp;Q6094&amp;AS[[#This Row],[Large Provider Entity Code]]&amp;"; "&amp;R6094&amp;AS[[#This Row],[Age Band Code]]&amp;"; "&amp;S6094&amp;AS[[#This Row],[Sex Code]]</f>
        <v xml:space="preserve">Insurer Code ; Reporting Year ; Insurance Category Code ; Large Provider Entity Code ; Age Band Code ; Sex Code </v>
      </c>
      <c r="N6094" s="345" t="s">
        <v>207</v>
      </c>
      <c r="O6094" s="345" t="s">
        <v>208</v>
      </c>
      <c r="P6094" s="345" t="s">
        <v>209</v>
      </c>
      <c r="Q6094" s="345" t="s">
        <v>210</v>
      </c>
      <c r="R6094" s="345" t="s">
        <v>223</v>
      </c>
      <c r="S6094" s="345" t="s">
        <v>224</v>
      </c>
    </row>
    <row r="6095" spans="1:19" x14ac:dyDescent="0.25">
      <c r="A6095" s="311"/>
      <c r="B6095" s="312"/>
      <c r="C6095" s="312"/>
      <c r="D6095" s="312"/>
      <c r="E6095" s="312"/>
      <c r="F6095" s="312"/>
      <c r="G6095" s="328"/>
      <c r="H6095" s="453"/>
      <c r="I6095" s="334"/>
      <c r="J6095" s="314"/>
      <c r="K6095" s="454"/>
      <c r="M6095" s="349" t="str">
        <f>N6095&amp;AS[[#This Row],[Insurer Code]]&amp;"; "&amp;O6095&amp;AS[[#This Row],[Reporting Year]]&amp;"; "&amp;P6095&amp;AS[[#This Row],[Insurance Category Code]]&amp;"; "&amp;Q6095&amp;AS[[#This Row],[Large Provider Entity Code]]&amp;"; "&amp;R6095&amp;AS[[#This Row],[Age Band Code]]&amp;"; "&amp;S6095&amp;AS[[#This Row],[Sex Code]]</f>
        <v xml:space="preserve">Insurer Code ; Reporting Year ; Insurance Category Code ; Large Provider Entity Code ; Age Band Code ; Sex Code </v>
      </c>
      <c r="N6095" s="345" t="s">
        <v>207</v>
      </c>
      <c r="O6095" s="345" t="s">
        <v>208</v>
      </c>
      <c r="P6095" s="345" t="s">
        <v>209</v>
      </c>
      <c r="Q6095" s="345" t="s">
        <v>210</v>
      </c>
      <c r="R6095" s="345" t="s">
        <v>223</v>
      </c>
      <c r="S6095" s="345" t="s">
        <v>224</v>
      </c>
    </row>
    <row r="6096" spans="1:19" x14ac:dyDescent="0.25">
      <c r="A6096" s="311"/>
      <c r="B6096" s="312"/>
      <c r="C6096" s="312"/>
      <c r="D6096" s="312"/>
      <c r="E6096" s="312"/>
      <c r="F6096" s="312"/>
      <c r="G6096" s="328"/>
      <c r="H6096" s="453"/>
      <c r="I6096" s="334"/>
      <c r="J6096" s="314"/>
      <c r="K6096" s="454"/>
      <c r="M6096" s="349" t="str">
        <f>N6096&amp;AS[[#This Row],[Insurer Code]]&amp;"; "&amp;O6096&amp;AS[[#This Row],[Reporting Year]]&amp;"; "&amp;P6096&amp;AS[[#This Row],[Insurance Category Code]]&amp;"; "&amp;Q6096&amp;AS[[#This Row],[Large Provider Entity Code]]&amp;"; "&amp;R6096&amp;AS[[#This Row],[Age Band Code]]&amp;"; "&amp;S6096&amp;AS[[#This Row],[Sex Code]]</f>
        <v xml:space="preserve">Insurer Code ; Reporting Year ; Insurance Category Code ; Large Provider Entity Code ; Age Band Code ; Sex Code </v>
      </c>
      <c r="N6096" s="345" t="s">
        <v>207</v>
      </c>
      <c r="O6096" s="345" t="s">
        <v>208</v>
      </c>
      <c r="P6096" s="345" t="s">
        <v>209</v>
      </c>
      <c r="Q6096" s="345" t="s">
        <v>210</v>
      </c>
      <c r="R6096" s="345" t="s">
        <v>223</v>
      </c>
      <c r="S6096" s="345" t="s">
        <v>224</v>
      </c>
    </row>
    <row r="6097" spans="1:19" x14ac:dyDescent="0.25">
      <c r="A6097" s="311"/>
      <c r="B6097" s="312"/>
      <c r="C6097" s="312"/>
      <c r="D6097" s="312"/>
      <c r="E6097" s="312"/>
      <c r="F6097" s="312"/>
      <c r="G6097" s="328"/>
      <c r="H6097" s="453"/>
      <c r="I6097" s="334"/>
      <c r="J6097" s="314"/>
      <c r="K6097" s="454"/>
      <c r="M6097" s="349" t="str">
        <f>N6097&amp;AS[[#This Row],[Insurer Code]]&amp;"; "&amp;O6097&amp;AS[[#This Row],[Reporting Year]]&amp;"; "&amp;P6097&amp;AS[[#This Row],[Insurance Category Code]]&amp;"; "&amp;Q6097&amp;AS[[#This Row],[Large Provider Entity Code]]&amp;"; "&amp;R6097&amp;AS[[#This Row],[Age Band Code]]&amp;"; "&amp;S6097&amp;AS[[#This Row],[Sex Code]]</f>
        <v xml:space="preserve">Insurer Code ; Reporting Year ; Insurance Category Code ; Large Provider Entity Code ; Age Band Code ; Sex Code </v>
      </c>
      <c r="N6097" s="345" t="s">
        <v>207</v>
      </c>
      <c r="O6097" s="345" t="s">
        <v>208</v>
      </c>
      <c r="P6097" s="345" t="s">
        <v>209</v>
      </c>
      <c r="Q6097" s="345" t="s">
        <v>210</v>
      </c>
      <c r="R6097" s="345" t="s">
        <v>223</v>
      </c>
      <c r="S6097" s="345" t="s">
        <v>224</v>
      </c>
    </row>
    <row r="6098" spans="1:19" x14ac:dyDescent="0.25">
      <c r="A6098" s="311"/>
      <c r="B6098" s="312"/>
      <c r="C6098" s="312"/>
      <c r="D6098" s="312"/>
      <c r="E6098" s="312"/>
      <c r="F6098" s="312"/>
      <c r="G6098" s="328"/>
      <c r="H6098" s="453"/>
      <c r="I6098" s="334"/>
      <c r="J6098" s="314"/>
      <c r="K6098" s="454"/>
      <c r="M6098" s="349" t="str">
        <f>N6098&amp;AS[[#This Row],[Insurer Code]]&amp;"; "&amp;O6098&amp;AS[[#This Row],[Reporting Year]]&amp;"; "&amp;P6098&amp;AS[[#This Row],[Insurance Category Code]]&amp;"; "&amp;Q6098&amp;AS[[#This Row],[Large Provider Entity Code]]&amp;"; "&amp;R6098&amp;AS[[#This Row],[Age Band Code]]&amp;"; "&amp;S6098&amp;AS[[#This Row],[Sex Code]]</f>
        <v xml:space="preserve">Insurer Code ; Reporting Year ; Insurance Category Code ; Large Provider Entity Code ; Age Band Code ; Sex Code </v>
      </c>
      <c r="N6098" s="345" t="s">
        <v>207</v>
      </c>
      <c r="O6098" s="345" t="s">
        <v>208</v>
      </c>
      <c r="P6098" s="345" t="s">
        <v>209</v>
      </c>
      <c r="Q6098" s="345" t="s">
        <v>210</v>
      </c>
      <c r="R6098" s="345" t="s">
        <v>223</v>
      </c>
      <c r="S6098" s="345" t="s">
        <v>224</v>
      </c>
    </row>
    <row r="6099" spans="1:19" x14ac:dyDescent="0.25">
      <c r="A6099" s="311"/>
      <c r="B6099" s="312"/>
      <c r="C6099" s="312"/>
      <c r="D6099" s="312"/>
      <c r="E6099" s="312"/>
      <c r="F6099" s="312"/>
      <c r="G6099" s="328"/>
      <c r="H6099" s="453"/>
      <c r="I6099" s="334"/>
      <c r="J6099" s="314"/>
      <c r="K6099" s="454"/>
      <c r="M6099" s="349" t="str">
        <f>N6099&amp;AS[[#This Row],[Insurer Code]]&amp;"; "&amp;O6099&amp;AS[[#This Row],[Reporting Year]]&amp;"; "&amp;P6099&amp;AS[[#This Row],[Insurance Category Code]]&amp;"; "&amp;Q6099&amp;AS[[#This Row],[Large Provider Entity Code]]&amp;"; "&amp;R6099&amp;AS[[#This Row],[Age Band Code]]&amp;"; "&amp;S6099&amp;AS[[#This Row],[Sex Code]]</f>
        <v xml:space="preserve">Insurer Code ; Reporting Year ; Insurance Category Code ; Large Provider Entity Code ; Age Band Code ; Sex Code </v>
      </c>
      <c r="N6099" s="345" t="s">
        <v>207</v>
      </c>
      <c r="O6099" s="345" t="s">
        <v>208</v>
      </c>
      <c r="P6099" s="345" t="s">
        <v>209</v>
      </c>
      <c r="Q6099" s="345" t="s">
        <v>210</v>
      </c>
      <c r="R6099" s="345" t="s">
        <v>223</v>
      </c>
      <c r="S6099" s="345" t="s">
        <v>224</v>
      </c>
    </row>
    <row r="6100" spans="1:19" x14ac:dyDescent="0.25">
      <c r="A6100" s="311"/>
      <c r="B6100" s="312"/>
      <c r="C6100" s="312"/>
      <c r="D6100" s="312"/>
      <c r="E6100" s="312"/>
      <c r="F6100" s="312"/>
      <c r="G6100" s="328"/>
      <c r="H6100" s="453"/>
      <c r="I6100" s="334"/>
      <c r="J6100" s="314"/>
      <c r="K6100" s="454"/>
      <c r="M6100" s="349" t="str">
        <f>N6100&amp;AS[[#This Row],[Insurer Code]]&amp;"; "&amp;O6100&amp;AS[[#This Row],[Reporting Year]]&amp;"; "&amp;P6100&amp;AS[[#This Row],[Insurance Category Code]]&amp;"; "&amp;Q6100&amp;AS[[#This Row],[Large Provider Entity Code]]&amp;"; "&amp;R6100&amp;AS[[#This Row],[Age Band Code]]&amp;"; "&amp;S6100&amp;AS[[#This Row],[Sex Code]]</f>
        <v xml:space="preserve">Insurer Code ; Reporting Year ; Insurance Category Code ; Large Provider Entity Code ; Age Band Code ; Sex Code </v>
      </c>
      <c r="N6100" s="345" t="s">
        <v>207</v>
      </c>
      <c r="O6100" s="345" t="s">
        <v>208</v>
      </c>
      <c r="P6100" s="345" t="s">
        <v>209</v>
      </c>
      <c r="Q6100" s="345" t="s">
        <v>210</v>
      </c>
      <c r="R6100" s="345" t="s">
        <v>223</v>
      </c>
      <c r="S6100" s="345" t="s">
        <v>224</v>
      </c>
    </row>
    <row r="6101" spans="1:19" x14ac:dyDescent="0.25">
      <c r="A6101" s="311"/>
      <c r="B6101" s="312"/>
      <c r="C6101" s="312"/>
      <c r="D6101" s="312"/>
      <c r="E6101" s="312"/>
      <c r="F6101" s="312"/>
      <c r="G6101" s="328"/>
      <c r="H6101" s="453"/>
      <c r="I6101" s="334"/>
      <c r="J6101" s="314"/>
      <c r="K6101" s="454"/>
      <c r="M6101" s="349" t="str">
        <f>N6101&amp;AS[[#This Row],[Insurer Code]]&amp;"; "&amp;O6101&amp;AS[[#This Row],[Reporting Year]]&amp;"; "&amp;P6101&amp;AS[[#This Row],[Insurance Category Code]]&amp;"; "&amp;Q6101&amp;AS[[#This Row],[Large Provider Entity Code]]&amp;"; "&amp;R6101&amp;AS[[#This Row],[Age Band Code]]&amp;"; "&amp;S6101&amp;AS[[#This Row],[Sex Code]]</f>
        <v xml:space="preserve">Insurer Code ; Reporting Year ; Insurance Category Code ; Large Provider Entity Code ; Age Band Code ; Sex Code </v>
      </c>
      <c r="N6101" s="345" t="s">
        <v>207</v>
      </c>
      <c r="O6101" s="345" t="s">
        <v>208</v>
      </c>
      <c r="P6101" s="345" t="s">
        <v>209</v>
      </c>
      <c r="Q6101" s="345" t="s">
        <v>210</v>
      </c>
      <c r="R6101" s="345" t="s">
        <v>223</v>
      </c>
      <c r="S6101" s="345" t="s">
        <v>224</v>
      </c>
    </row>
    <row r="6102" spans="1:19" x14ac:dyDescent="0.25">
      <c r="A6102" s="311"/>
      <c r="B6102" s="312"/>
      <c r="C6102" s="312"/>
      <c r="D6102" s="312"/>
      <c r="E6102" s="312"/>
      <c r="F6102" s="312"/>
      <c r="G6102" s="328"/>
      <c r="H6102" s="453"/>
      <c r="I6102" s="334"/>
      <c r="J6102" s="314"/>
      <c r="K6102" s="454"/>
      <c r="M6102" s="349" t="str">
        <f>N6102&amp;AS[[#This Row],[Insurer Code]]&amp;"; "&amp;O6102&amp;AS[[#This Row],[Reporting Year]]&amp;"; "&amp;P6102&amp;AS[[#This Row],[Insurance Category Code]]&amp;"; "&amp;Q6102&amp;AS[[#This Row],[Large Provider Entity Code]]&amp;"; "&amp;R6102&amp;AS[[#This Row],[Age Band Code]]&amp;"; "&amp;S6102&amp;AS[[#This Row],[Sex Code]]</f>
        <v xml:space="preserve">Insurer Code ; Reporting Year ; Insurance Category Code ; Large Provider Entity Code ; Age Band Code ; Sex Code </v>
      </c>
      <c r="N6102" s="345" t="s">
        <v>207</v>
      </c>
      <c r="O6102" s="345" t="s">
        <v>208</v>
      </c>
      <c r="P6102" s="345" t="s">
        <v>209</v>
      </c>
      <c r="Q6102" s="345" t="s">
        <v>210</v>
      </c>
      <c r="R6102" s="345" t="s">
        <v>223</v>
      </c>
      <c r="S6102" s="345" t="s">
        <v>224</v>
      </c>
    </row>
    <row r="6103" spans="1:19" x14ac:dyDescent="0.25">
      <c r="A6103" s="311"/>
      <c r="B6103" s="312"/>
      <c r="C6103" s="312"/>
      <c r="D6103" s="312"/>
      <c r="E6103" s="312"/>
      <c r="F6103" s="312"/>
      <c r="G6103" s="328"/>
      <c r="H6103" s="453"/>
      <c r="I6103" s="334"/>
      <c r="J6103" s="314"/>
      <c r="K6103" s="454"/>
      <c r="M6103" s="349" t="str">
        <f>N6103&amp;AS[[#This Row],[Insurer Code]]&amp;"; "&amp;O6103&amp;AS[[#This Row],[Reporting Year]]&amp;"; "&amp;P6103&amp;AS[[#This Row],[Insurance Category Code]]&amp;"; "&amp;Q6103&amp;AS[[#This Row],[Large Provider Entity Code]]&amp;"; "&amp;R6103&amp;AS[[#This Row],[Age Band Code]]&amp;"; "&amp;S6103&amp;AS[[#This Row],[Sex Code]]</f>
        <v xml:space="preserve">Insurer Code ; Reporting Year ; Insurance Category Code ; Large Provider Entity Code ; Age Band Code ; Sex Code </v>
      </c>
      <c r="N6103" s="345" t="s">
        <v>207</v>
      </c>
      <c r="O6103" s="345" t="s">
        <v>208</v>
      </c>
      <c r="P6103" s="345" t="s">
        <v>209</v>
      </c>
      <c r="Q6103" s="345" t="s">
        <v>210</v>
      </c>
      <c r="R6103" s="345" t="s">
        <v>223</v>
      </c>
      <c r="S6103" s="345" t="s">
        <v>224</v>
      </c>
    </row>
    <row r="6104" spans="1:19" x14ac:dyDescent="0.25">
      <c r="A6104" s="311"/>
      <c r="B6104" s="312"/>
      <c r="C6104" s="312"/>
      <c r="D6104" s="312"/>
      <c r="E6104" s="312"/>
      <c r="F6104" s="312"/>
      <c r="G6104" s="328"/>
      <c r="H6104" s="453"/>
      <c r="I6104" s="334"/>
      <c r="J6104" s="314"/>
      <c r="K6104" s="454"/>
      <c r="M6104" s="349" t="str">
        <f>N6104&amp;AS[[#This Row],[Insurer Code]]&amp;"; "&amp;O6104&amp;AS[[#This Row],[Reporting Year]]&amp;"; "&amp;P6104&amp;AS[[#This Row],[Insurance Category Code]]&amp;"; "&amp;Q6104&amp;AS[[#This Row],[Large Provider Entity Code]]&amp;"; "&amp;R6104&amp;AS[[#This Row],[Age Band Code]]&amp;"; "&amp;S6104&amp;AS[[#This Row],[Sex Code]]</f>
        <v xml:space="preserve">Insurer Code ; Reporting Year ; Insurance Category Code ; Large Provider Entity Code ; Age Band Code ; Sex Code </v>
      </c>
      <c r="N6104" s="345" t="s">
        <v>207</v>
      </c>
      <c r="O6104" s="345" t="s">
        <v>208</v>
      </c>
      <c r="P6104" s="345" t="s">
        <v>209</v>
      </c>
      <c r="Q6104" s="345" t="s">
        <v>210</v>
      </c>
      <c r="R6104" s="345" t="s">
        <v>223</v>
      </c>
      <c r="S6104" s="345" t="s">
        <v>224</v>
      </c>
    </row>
    <row r="6105" spans="1:19" x14ac:dyDescent="0.25">
      <c r="A6105" s="311"/>
      <c r="B6105" s="312"/>
      <c r="C6105" s="312"/>
      <c r="D6105" s="312"/>
      <c r="E6105" s="312"/>
      <c r="F6105" s="312"/>
      <c r="G6105" s="328"/>
      <c r="H6105" s="453"/>
      <c r="I6105" s="334"/>
      <c r="J6105" s="314"/>
      <c r="K6105" s="454"/>
      <c r="M6105" s="349" t="str">
        <f>N6105&amp;AS[[#This Row],[Insurer Code]]&amp;"; "&amp;O6105&amp;AS[[#This Row],[Reporting Year]]&amp;"; "&amp;P6105&amp;AS[[#This Row],[Insurance Category Code]]&amp;"; "&amp;Q6105&amp;AS[[#This Row],[Large Provider Entity Code]]&amp;"; "&amp;R6105&amp;AS[[#This Row],[Age Band Code]]&amp;"; "&amp;S6105&amp;AS[[#This Row],[Sex Code]]</f>
        <v xml:space="preserve">Insurer Code ; Reporting Year ; Insurance Category Code ; Large Provider Entity Code ; Age Band Code ; Sex Code </v>
      </c>
      <c r="N6105" s="345" t="s">
        <v>207</v>
      </c>
      <c r="O6105" s="345" t="s">
        <v>208</v>
      </c>
      <c r="P6105" s="345" t="s">
        <v>209</v>
      </c>
      <c r="Q6105" s="345" t="s">
        <v>210</v>
      </c>
      <c r="R6105" s="345" t="s">
        <v>223</v>
      </c>
      <c r="S6105" s="345" t="s">
        <v>224</v>
      </c>
    </row>
    <row r="6106" spans="1:19" x14ac:dyDescent="0.25">
      <c r="A6106" s="311"/>
      <c r="B6106" s="312"/>
      <c r="C6106" s="312"/>
      <c r="D6106" s="312"/>
      <c r="E6106" s="312"/>
      <c r="F6106" s="312"/>
      <c r="G6106" s="328"/>
      <c r="H6106" s="453"/>
      <c r="I6106" s="334"/>
      <c r="J6106" s="314"/>
      <c r="K6106" s="454"/>
      <c r="M6106" s="349" t="str">
        <f>N6106&amp;AS[[#This Row],[Insurer Code]]&amp;"; "&amp;O6106&amp;AS[[#This Row],[Reporting Year]]&amp;"; "&amp;P6106&amp;AS[[#This Row],[Insurance Category Code]]&amp;"; "&amp;Q6106&amp;AS[[#This Row],[Large Provider Entity Code]]&amp;"; "&amp;R6106&amp;AS[[#This Row],[Age Band Code]]&amp;"; "&amp;S6106&amp;AS[[#This Row],[Sex Code]]</f>
        <v xml:space="preserve">Insurer Code ; Reporting Year ; Insurance Category Code ; Large Provider Entity Code ; Age Band Code ; Sex Code </v>
      </c>
      <c r="N6106" s="345" t="s">
        <v>207</v>
      </c>
      <c r="O6106" s="345" t="s">
        <v>208</v>
      </c>
      <c r="P6106" s="345" t="s">
        <v>209</v>
      </c>
      <c r="Q6106" s="345" t="s">
        <v>210</v>
      </c>
      <c r="R6106" s="345" t="s">
        <v>223</v>
      </c>
      <c r="S6106" s="345" t="s">
        <v>224</v>
      </c>
    </row>
    <row r="6107" spans="1:19" x14ac:dyDescent="0.25">
      <c r="A6107" s="311"/>
      <c r="B6107" s="312"/>
      <c r="C6107" s="312"/>
      <c r="D6107" s="312"/>
      <c r="E6107" s="312"/>
      <c r="F6107" s="312"/>
      <c r="G6107" s="328"/>
      <c r="H6107" s="453"/>
      <c r="I6107" s="334"/>
      <c r="J6107" s="314"/>
      <c r="K6107" s="454"/>
      <c r="M6107" s="349" t="str">
        <f>N6107&amp;AS[[#This Row],[Insurer Code]]&amp;"; "&amp;O6107&amp;AS[[#This Row],[Reporting Year]]&amp;"; "&amp;P6107&amp;AS[[#This Row],[Insurance Category Code]]&amp;"; "&amp;Q6107&amp;AS[[#This Row],[Large Provider Entity Code]]&amp;"; "&amp;R6107&amp;AS[[#This Row],[Age Band Code]]&amp;"; "&amp;S6107&amp;AS[[#This Row],[Sex Code]]</f>
        <v xml:space="preserve">Insurer Code ; Reporting Year ; Insurance Category Code ; Large Provider Entity Code ; Age Band Code ; Sex Code </v>
      </c>
      <c r="N6107" s="345" t="s">
        <v>207</v>
      </c>
      <c r="O6107" s="345" t="s">
        <v>208</v>
      </c>
      <c r="P6107" s="345" t="s">
        <v>209</v>
      </c>
      <c r="Q6107" s="345" t="s">
        <v>210</v>
      </c>
      <c r="R6107" s="345" t="s">
        <v>223</v>
      </c>
      <c r="S6107" s="345" t="s">
        <v>224</v>
      </c>
    </row>
    <row r="6108" spans="1:19" x14ac:dyDescent="0.25">
      <c r="A6108" s="311"/>
      <c r="B6108" s="312"/>
      <c r="C6108" s="312"/>
      <c r="D6108" s="312"/>
      <c r="E6108" s="312"/>
      <c r="F6108" s="312"/>
      <c r="G6108" s="328"/>
      <c r="H6108" s="453"/>
      <c r="I6108" s="334"/>
      <c r="J6108" s="314"/>
      <c r="K6108" s="454"/>
      <c r="M6108" s="349" t="str">
        <f>N6108&amp;AS[[#This Row],[Insurer Code]]&amp;"; "&amp;O6108&amp;AS[[#This Row],[Reporting Year]]&amp;"; "&amp;P6108&amp;AS[[#This Row],[Insurance Category Code]]&amp;"; "&amp;Q6108&amp;AS[[#This Row],[Large Provider Entity Code]]&amp;"; "&amp;R6108&amp;AS[[#This Row],[Age Band Code]]&amp;"; "&amp;S6108&amp;AS[[#This Row],[Sex Code]]</f>
        <v xml:space="preserve">Insurer Code ; Reporting Year ; Insurance Category Code ; Large Provider Entity Code ; Age Band Code ; Sex Code </v>
      </c>
      <c r="N6108" s="345" t="s">
        <v>207</v>
      </c>
      <c r="O6108" s="345" t="s">
        <v>208</v>
      </c>
      <c r="P6108" s="345" t="s">
        <v>209</v>
      </c>
      <c r="Q6108" s="345" t="s">
        <v>210</v>
      </c>
      <c r="R6108" s="345" t="s">
        <v>223</v>
      </c>
      <c r="S6108" s="345" t="s">
        <v>224</v>
      </c>
    </row>
    <row r="6109" spans="1:19" x14ac:dyDescent="0.25">
      <c r="A6109" s="311"/>
      <c r="B6109" s="312"/>
      <c r="C6109" s="312"/>
      <c r="D6109" s="312"/>
      <c r="E6109" s="312"/>
      <c r="F6109" s="312"/>
      <c r="G6109" s="328"/>
      <c r="H6109" s="453"/>
      <c r="I6109" s="334"/>
      <c r="J6109" s="314"/>
      <c r="K6109" s="454"/>
      <c r="M6109" s="349" t="str">
        <f>N6109&amp;AS[[#This Row],[Insurer Code]]&amp;"; "&amp;O6109&amp;AS[[#This Row],[Reporting Year]]&amp;"; "&amp;P6109&amp;AS[[#This Row],[Insurance Category Code]]&amp;"; "&amp;Q6109&amp;AS[[#This Row],[Large Provider Entity Code]]&amp;"; "&amp;R6109&amp;AS[[#This Row],[Age Band Code]]&amp;"; "&amp;S6109&amp;AS[[#This Row],[Sex Code]]</f>
        <v xml:space="preserve">Insurer Code ; Reporting Year ; Insurance Category Code ; Large Provider Entity Code ; Age Band Code ; Sex Code </v>
      </c>
      <c r="N6109" s="345" t="s">
        <v>207</v>
      </c>
      <c r="O6109" s="345" t="s">
        <v>208</v>
      </c>
      <c r="P6109" s="345" t="s">
        <v>209</v>
      </c>
      <c r="Q6109" s="345" t="s">
        <v>210</v>
      </c>
      <c r="R6109" s="345" t="s">
        <v>223</v>
      </c>
      <c r="S6109" s="345" t="s">
        <v>224</v>
      </c>
    </row>
    <row r="6110" spans="1:19" x14ac:dyDescent="0.25">
      <c r="A6110" s="311"/>
      <c r="B6110" s="312"/>
      <c r="C6110" s="312"/>
      <c r="D6110" s="312"/>
      <c r="E6110" s="312"/>
      <c r="F6110" s="312"/>
      <c r="G6110" s="328"/>
      <c r="H6110" s="453"/>
      <c r="I6110" s="334"/>
      <c r="J6110" s="314"/>
      <c r="K6110" s="454"/>
      <c r="M6110" s="349" t="str">
        <f>N6110&amp;AS[[#This Row],[Insurer Code]]&amp;"; "&amp;O6110&amp;AS[[#This Row],[Reporting Year]]&amp;"; "&amp;P6110&amp;AS[[#This Row],[Insurance Category Code]]&amp;"; "&amp;Q6110&amp;AS[[#This Row],[Large Provider Entity Code]]&amp;"; "&amp;R6110&amp;AS[[#This Row],[Age Band Code]]&amp;"; "&amp;S6110&amp;AS[[#This Row],[Sex Code]]</f>
        <v xml:space="preserve">Insurer Code ; Reporting Year ; Insurance Category Code ; Large Provider Entity Code ; Age Band Code ; Sex Code </v>
      </c>
      <c r="N6110" s="345" t="s">
        <v>207</v>
      </c>
      <c r="O6110" s="345" t="s">
        <v>208</v>
      </c>
      <c r="P6110" s="345" t="s">
        <v>209</v>
      </c>
      <c r="Q6110" s="345" t="s">
        <v>210</v>
      </c>
      <c r="R6110" s="345" t="s">
        <v>223</v>
      </c>
      <c r="S6110" s="345" t="s">
        <v>224</v>
      </c>
    </row>
    <row r="6111" spans="1:19" x14ac:dyDescent="0.25">
      <c r="A6111" s="311"/>
      <c r="B6111" s="312"/>
      <c r="C6111" s="312"/>
      <c r="D6111" s="312"/>
      <c r="E6111" s="312"/>
      <c r="F6111" s="312"/>
      <c r="G6111" s="328"/>
      <c r="H6111" s="453"/>
      <c r="I6111" s="334"/>
      <c r="J6111" s="314"/>
      <c r="K6111" s="454"/>
      <c r="M6111" s="349" t="str">
        <f>N6111&amp;AS[[#This Row],[Insurer Code]]&amp;"; "&amp;O6111&amp;AS[[#This Row],[Reporting Year]]&amp;"; "&amp;P6111&amp;AS[[#This Row],[Insurance Category Code]]&amp;"; "&amp;Q6111&amp;AS[[#This Row],[Large Provider Entity Code]]&amp;"; "&amp;R6111&amp;AS[[#This Row],[Age Band Code]]&amp;"; "&amp;S6111&amp;AS[[#This Row],[Sex Code]]</f>
        <v xml:space="preserve">Insurer Code ; Reporting Year ; Insurance Category Code ; Large Provider Entity Code ; Age Band Code ; Sex Code </v>
      </c>
      <c r="N6111" s="345" t="s">
        <v>207</v>
      </c>
      <c r="O6111" s="345" t="s">
        <v>208</v>
      </c>
      <c r="P6111" s="345" t="s">
        <v>209</v>
      </c>
      <c r="Q6111" s="345" t="s">
        <v>210</v>
      </c>
      <c r="R6111" s="345" t="s">
        <v>223</v>
      </c>
      <c r="S6111" s="345" t="s">
        <v>224</v>
      </c>
    </row>
    <row r="6112" spans="1:19" x14ac:dyDescent="0.25">
      <c r="A6112" s="311"/>
      <c r="B6112" s="312"/>
      <c r="C6112" s="312"/>
      <c r="D6112" s="312"/>
      <c r="E6112" s="312"/>
      <c r="F6112" s="312"/>
      <c r="G6112" s="328"/>
      <c r="H6112" s="453"/>
      <c r="I6112" s="334"/>
      <c r="J6112" s="314"/>
      <c r="K6112" s="454"/>
      <c r="M6112" s="349" t="str">
        <f>N6112&amp;AS[[#This Row],[Insurer Code]]&amp;"; "&amp;O6112&amp;AS[[#This Row],[Reporting Year]]&amp;"; "&amp;P6112&amp;AS[[#This Row],[Insurance Category Code]]&amp;"; "&amp;Q6112&amp;AS[[#This Row],[Large Provider Entity Code]]&amp;"; "&amp;R6112&amp;AS[[#This Row],[Age Band Code]]&amp;"; "&amp;S6112&amp;AS[[#This Row],[Sex Code]]</f>
        <v xml:space="preserve">Insurer Code ; Reporting Year ; Insurance Category Code ; Large Provider Entity Code ; Age Band Code ; Sex Code </v>
      </c>
      <c r="N6112" s="345" t="s">
        <v>207</v>
      </c>
      <c r="O6112" s="345" t="s">
        <v>208</v>
      </c>
      <c r="P6112" s="345" t="s">
        <v>209</v>
      </c>
      <c r="Q6112" s="345" t="s">
        <v>210</v>
      </c>
      <c r="R6112" s="345" t="s">
        <v>223</v>
      </c>
      <c r="S6112" s="345" t="s">
        <v>224</v>
      </c>
    </row>
    <row r="6113" spans="1:19" x14ac:dyDescent="0.25">
      <c r="A6113" s="311"/>
      <c r="B6113" s="312"/>
      <c r="C6113" s="312"/>
      <c r="D6113" s="312"/>
      <c r="E6113" s="312"/>
      <c r="F6113" s="312"/>
      <c r="G6113" s="328"/>
      <c r="H6113" s="453"/>
      <c r="I6113" s="334"/>
      <c r="J6113" s="314"/>
      <c r="K6113" s="454"/>
      <c r="M6113" s="349" t="str">
        <f>N6113&amp;AS[[#This Row],[Insurer Code]]&amp;"; "&amp;O6113&amp;AS[[#This Row],[Reporting Year]]&amp;"; "&amp;P6113&amp;AS[[#This Row],[Insurance Category Code]]&amp;"; "&amp;Q6113&amp;AS[[#This Row],[Large Provider Entity Code]]&amp;"; "&amp;R6113&amp;AS[[#This Row],[Age Band Code]]&amp;"; "&amp;S6113&amp;AS[[#This Row],[Sex Code]]</f>
        <v xml:space="preserve">Insurer Code ; Reporting Year ; Insurance Category Code ; Large Provider Entity Code ; Age Band Code ; Sex Code </v>
      </c>
      <c r="N6113" s="345" t="s">
        <v>207</v>
      </c>
      <c r="O6113" s="345" t="s">
        <v>208</v>
      </c>
      <c r="P6113" s="345" t="s">
        <v>209</v>
      </c>
      <c r="Q6113" s="345" t="s">
        <v>210</v>
      </c>
      <c r="R6113" s="345" t="s">
        <v>223</v>
      </c>
      <c r="S6113" s="345" t="s">
        <v>224</v>
      </c>
    </row>
    <row r="6114" spans="1:19" x14ac:dyDescent="0.25">
      <c r="A6114" s="311"/>
      <c r="B6114" s="312"/>
      <c r="C6114" s="312"/>
      <c r="D6114" s="312"/>
      <c r="E6114" s="312"/>
      <c r="F6114" s="312"/>
      <c r="G6114" s="328"/>
      <c r="H6114" s="453"/>
      <c r="I6114" s="334"/>
      <c r="J6114" s="314"/>
      <c r="K6114" s="454"/>
      <c r="M6114" s="349" t="str">
        <f>N6114&amp;AS[[#This Row],[Insurer Code]]&amp;"; "&amp;O6114&amp;AS[[#This Row],[Reporting Year]]&amp;"; "&amp;P6114&amp;AS[[#This Row],[Insurance Category Code]]&amp;"; "&amp;Q6114&amp;AS[[#This Row],[Large Provider Entity Code]]&amp;"; "&amp;R6114&amp;AS[[#This Row],[Age Band Code]]&amp;"; "&amp;S6114&amp;AS[[#This Row],[Sex Code]]</f>
        <v xml:space="preserve">Insurer Code ; Reporting Year ; Insurance Category Code ; Large Provider Entity Code ; Age Band Code ; Sex Code </v>
      </c>
      <c r="N6114" s="345" t="s">
        <v>207</v>
      </c>
      <c r="O6114" s="345" t="s">
        <v>208</v>
      </c>
      <c r="P6114" s="345" t="s">
        <v>209</v>
      </c>
      <c r="Q6114" s="345" t="s">
        <v>210</v>
      </c>
      <c r="R6114" s="345" t="s">
        <v>223</v>
      </c>
      <c r="S6114" s="345" t="s">
        <v>224</v>
      </c>
    </row>
    <row r="6115" spans="1:19" x14ac:dyDescent="0.25">
      <c r="A6115" s="311"/>
      <c r="B6115" s="312"/>
      <c r="C6115" s="312"/>
      <c r="D6115" s="312"/>
      <c r="E6115" s="312"/>
      <c r="F6115" s="312"/>
      <c r="G6115" s="328"/>
      <c r="H6115" s="453"/>
      <c r="I6115" s="334"/>
      <c r="J6115" s="314"/>
      <c r="K6115" s="454"/>
      <c r="M6115" s="349" t="str">
        <f>N6115&amp;AS[[#This Row],[Insurer Code]]&amp;"; "&amp;O6115&amp;AS[[#This Row],[Reporting Year]]&amp;"; "&amp;P6115&amp;AS[[#This Row],[Insurance Category Code]]&amp;"; "&amp;Q6115&amp;AS[[#This Row],[Large Provider Entity Code]]&amp;"; "&amp;R6115&amp;AS[[#This Row],[Age Band Code]]&amp;"; "&amp;S6115&amp;AS[[#This Row],[Sex Code]]</f>
        <v xml:space="preserve">Insurer Code ; Reporting Year ; Insurance Category Code ; Large Provider Entity Code ; Age Band Code ; Sex Code </v>
      </c>
      <c r="N6115" s="345" t="s">
        <v>207</v>
      </c>
      <c r="O6115" s="345" t="s">
        <v>208</v>
      </c>
      <c r="P6115" s="345" t="s">
        <v>209</v>
      </c>
      <c r="Q6115" s="345" t="s">
        <v>210</v>
      </c>
      <c r="R6115" s="345" t="s">
        <v>223</v>
      </c>
      <c r="S6115" s="345" t="s">
        <v>224</v>
      </c>
    </row>
    <row r="6116" spans="1:19" x14ac:dyDescent="0.25">
      <c r="A6116" s="311"/>
      <c r="B6116" s="312"/>
      <c r="C6116" s="312"/>
      <c r="D6116" s="312"/>
      <c r="E6116" s="312"/>
      <c r="F6116" s="312"/>
      <c r="G6116" s="328"/>
      <c r="H6116" s="453"/>
      <c r="I6116" s="334"/>
      <c r="J6116" s="314"/>
      <c r="K6116" s="454"/>
      <c r="M6116" s="349" t="str">
        <f>N6116&amp;AS[[#This Row],[Insurer Code]]&amp;"; "&amp;O6116&amp;AS[[#This Row],[Reporting Year]]&amp;"; "&amp;P6116&amp;AS[[#This Row],[Insurance Category Code]]&amp;"; "&amp;Q6116&amp;AS[[#This Row],[Large Provider Entity Code]]&amp;"; "&amp;R6116&amp;AS[[#This Row],[Age Band Code]]&amp;"; "&amp;S6116&amp;AS[[#This Row],[Sex Code]]</f>
        <v xml:space="preserve">Insurer Code ; Reporting Year ; Insurance Category Code ; Large Provider Entity Code ; Age Band Code ; Sex Code </v>
      </c>
      <c r="N6116" s="345" t="s">
        <v>207</v>
      </c>
      <c r="O6116" s="345" t="s">
        <v>208</v>
      </c>
      <c r="P6116" s="345" t="s">
        <v>209</v>
      </c>
      <c r="Q6116" s="345" t="s">
        <v>210</v>
      </c>
      <c r="R6116" s="345" t="s">
        <v>223</v>
      </c>
      <c r="S6116" s="345" t="s">
        <v>224</v>
      </c>
    </row>
    <row r="6117" spans="1:19" x14ac:dyDescent="0.25">
      <c r="A6117" s="311"/>
      <c r="B6117" s="312"/>
      <c r="C6117" s="312"/>
      <c r="D6117" s="312"/>
      <c r="E6117" s="312"/>
      <c r="F6117" s="312"/>
      <c r="G6117" s="328"/>
      <c r="H6117" s="453"/>
      <c r="I6117" s="334"/>
      <c r="J6117" s="314"/>
      <c r="K6117" s="454"/>
      <c r="M6117" s="349" t="str">
        <f>N6117&amp;AS[[#This Row],[Insurer Code]]&amp;"; "&amp;O6117&amp;AS[[#This Row],[Reporting Year]]&amp;"; "&amp;P6117&amp;AS[[#This Row],[Insurance Category Code]]&amp;"; "&amp;Q6117&amp;AS[[#This Row],[Large Provider Entity Code]]&amp;"; "&amp;R6117&amp;AS[[#This Row],[Age Band Code]]&amp;"; "&amp;S6117&amp;AS[[#This Row],[Sex Code]]</f>
        <v xml:space="preserve">Insurer Code ; Reporting Year ; Insurance Category Code ; Large Provider Entity Code ; Age Band Code ; Sex Code </v>
      </c>
      <c r="N6117" s="345" t="s">
        <v>207</v>
      </c>
      <c r="O6117" s="345" t="s">
        <v>208</v>
      </c>
      <c r="P6117" s="345" t="s">
        <v>209</v>
      </c>
      <c r="Q6117" s="345" t="s">
        <v>210</v>
      </c>
      <c r="R6117" s="345" t="s">
        <v>223</v>
      </c>
      <c r="S6117" s="345" t="s">
        <v>224</v>
      </c>
    </row>
    <row r="6118" spans="1:19" x14ac:dyDescent="0.25">
      <c r="A6118" s="311"/>
      <c r="B6118" s="312"/>
      <c r="C6118" s="312"/>
      <c r="D6118" s="312"/>
      <c r="E6118" s="312"/>
      <c r="F6118" s="312"/>
      <c r="G6118" s="328"/>
      <c r="H6118" s="453"/>
      <c r="I6118" s="334"/>
      <c r="J6118" s="314"/>
      <c r="K6118" s="454"/>
      <c r="M6118" s="349" t="str">
        <f>N6118&amp;AS[[#This Row],[Insurer Code]]&amp;"; "&amp;O6118&amp;AS[[#This Row],[Reporting Year]]&amp;"; "&amp;P6118&amp;AS[[#This Row],[Insurance Category Code]]&amp;"; "&amp;Q6118&amp;AS[[#This Row],[Large Provider Entity Code]]&amp;"; "&amp;R6118&amp;AS[[#This Row],[Age Band Code]]&amp;"; "&amp;S6118&amp;AS[[#This Row],[Sex Code]]</f>
        <v xml:space="preserve">Insurer Code ; Reporting Year ; Insurance Category Code ; Large Provider Entity Code ; Age Band Code ; Sex Code </v>
      </c>
      <c r="N6118" s="345" t="s">
        <v>207</v>
      </c>
      <c r="O6118" s="345" t="s">
        <v>208</v>
      </c>
      <c r="P6118" s="345" t="s">
        <v>209</v>
      </c>
      <c r="Q6118" s="345" t="s">
        <v>210</v>
      </c>
      <c r="R6118" s="345" t="s">
        <v>223</v>
      </c>
      <c r="S6118" s="345" t="s">
        <v>224</v>
      </c>
    </row>
    <row r="6119" spans="1:19" x14ac:dyDescent="0.25">
      <c r="A6119" s="311"/>
      <c r="B6119" s="312"/>
      <c r="C6119" s="312"/>
      <c r="D6119" s="312"/>
      <c r="E6119" s="312"/>
      <c r="F6119" s="312"/>
      <c r="G6119" s="328"/>
      <c r="H6119" s="453"/>
      <c r="I6119" s="334"/>
      <c r="J6119" s="314"/>
      <c r="K6119" s="454"/>
      <c r="M6119" s="349" t="str">
        <f>N6119&amp;AS[[#This Row],[Insurer Code]]&amp;"; "&amp;O6119&amp;AS[[#This Row],[Reporting Year]]&amp;"; "&amp;P6119&amp;AS[[#This Row],[Insurance Category Code]]&amp;"; "&amp;Q6119&amp;AS[[#This Row],[Large Provider Entity Code]]&amp;"; "&amp;R6119&amp;AS[[#This Row],[Age Band Code]]&amp;"; "&amp;S6119&amp;AS[[#This Row],[Sex Code]]</f>
        <v xml:space="preserve">Insurer Code ; Reporting Year ; Insurance Category Code ; Large Provider Entity Code ; Age Band Code ; Sex Code </v>
      </c>
      <c r="N6119" s="345" t="s">
        <v>207</v>
      </c>
      <c r="O6119" s="345" t="s">
        <v>208</v>
      </c>
      <c r="P6119" s="345" t="s">
        <v>209</v>
      </c>
      <c r="Q6119" s="345" t="s">
        <v>210</v>
      </c>
      <c r="R6119" s="345" t="s">
        <v>223</v>
      </c>
      <c r="S6119" s="345" t="s">
        <v>224</v>
      </c>
    </row>
    <row r="6120" spans="1:19" x14ac:dyDescent="0.25">
      <c r="A6120" s="311"/>
      <c r="B6120" s="312"/>
      <c r="C6120" s="312"/>
      <c r="D6120" s="312"/>
      <c r="E6120" s="312"/>
      <c r="F6120" s="312"/>
      <c r="G6120" s="328"/>
      <c r="H6120" s="453"/>
      <c r="I6120" s="334"/>
      <c r="J6120" s="314"/>
      <c r="K6120" s="454"/>
      <c r="M6120" s="349" t="str">
        <f>N6120&amp;AS[[#This Row],[Insurer Code]]&amp;"; "&amp;O6120&amp;AS[[#This Row],[Reporting Year]]&amp;"; "&amp;P6120&amp;AS[[#This Row],[Insurance Category Code]]&amp;"; "&amp;Q6120&amp;AS[[#This Row],[Large Provider Entity Code]]&amp;"; "&amp;R6120&amp;AS[[#This Row],[Age Band Code]]&amp;"; "&amp;S6120&amp;AS[[#This Row],[Sex Code]]</f>
        <v xml:space="preserve">Insurer Code ; Reporting Year ; Insurance Category Code ; Large Provider Entity Code ; Age Band Code ; Sex Code </v>
      </c>
      <c r="N6120" s="345" t="s">
        <v>207</v>
      </c>
      <c r="O6120" s="345" t="s">
        <v>208</v>
      </c>
      <c r="P6120" s="345" t="s">
        <v>209</v>
      </c>
      <c r="Q6120" s="345" t="s">
        <v>210</v>
      </c>
      <c r="R6120" s="345" t="s">
        <v>223</v>
      </c>
      <c r="S6120" s="345" t="s">
        <v>224</v>
      </c>
    </row>
    <row r="6121" spans="1:19" x14ac:dyDescent="0.25">
      <c r="A6121" s="311"/>
      <c r="B6121" s="312"/>
      <c r="C6121" s="312"/>
      <c r="D6121" s="312"/>
      <c r="E6121" s="312"/>
      <c r="F6121" s="312"/>
      <c r="G6121" s="328"/>
      <c r="H6121" s="453"/>
      <c r="I6121" s="334"/>
      <c r="J6121" s="314"/>
      <c r="K6121" s="454"/>
      <c r="M6121" s="349" t="str">
        <f>N6121&amp;AS[[#This Row],[Insurer Code]]&amp;"; "&amp;O6121&amp;AS[[#This Row],[Reporting Year]]&amp;"; "&amp;P6121&amp;AS[[#This Row],[Insurance Category Code]]&amp;"; "&amp;Q6121&amp;AS[[#This Row],[Large Provider Entity Code]]&amp;"; "&amp;R6121&amp;AS[[#This Row],[Age Band Code]]&amp;"; "&amp;S6121&amp;AS[[#This Row],[Sex Code]]</f>
        <v xml:space="preserve">Insurer Code ; Reporting Year ; Insurance Category Code ; Large Provider Entity Code ; Age Band Code ; Sex Code </v>
      </c>
      <c r="N6121" s="345" t="s">
        <v>207</v>
      </c>
      <c r="O6121" s="345" t="s">
        <v>208</v>
      </c>
      <c r="P6121" s="345" t="s">
        <v>209</v>
      </c>
      <c r="Q6121" s="345" t="s">
        <v>210</v>
      </c>
      <c r="R6121" s="345" t="s">
        <v>223</v>
      </c>
      <c r="S6121" s="345" t="s">
        <v>224</v>
      </c>
    </row>
    <row r="6122" spans="1:19" x14ac:dyDescent="0.25">
      <c r="A6122" s="311"/>
      <c r="B6122" s="312"/>
      <c r="C6122" s="312"/>
      <c r="D6122" s="312"/>
      <c r="E6122" s="312"/>
      <c r="F6122" s="312"/>
      <c r="G6122" s="328"/>
      <c r="H6122" s="453"/>
      <c r="I6122" s="334"/>
      <c r="J6122" s="314"/>
      <c r="K6122" s="454"/>
      <c r="M6122" s="349" t="str">
        <f>N6122&amp;AS[[#This Row],[Insurer Code]]&amp;"; "&amp;O6122&amp;AS[[#This Row],[Reporting Year]]&amp;"; "&amp;P6122&amp;AS[[#This Row],[Insurance Category Code]]&amp;"; "&amp;Q6122&amp;AS[[#This Row],[Large Provider Entity Code]]&amp;"; "&amp;R6122&amp;AS[[#This Row],[Age Band Code]]&amp;"; "&amp;S6122&amp;AS[[#This Row],[Sex Code]]</f>
        <v xml:space="preserve">Insurer Code ; Reporting Year ; Insurance Category Code ; Large Provider Entity Code ; Age Band Code ; Sex Code </v>
      </c>
      <c r="N6122" s="345" t="s">
        <v>207</v>
      </c>
      <c r="O6122" s="345" t="s">
        <v>208</v>
      </c>
      <c r="P6122" s="345" t="s">
        <v>209</v>
      </c>
      <c r="Q6122" s="345" t="s">
        <v>210</v>
      </c>
      <c r="R6122" s="345" t="s">
        <v>223</v>
      </c>
      <c r="S6122" s="345" t="s">
        <v>224</v>
      </c>
    </row>
    <row r="6123" spans="1:19" x14ac:dyDescent="0.25">
      <c r="A6123" s="311"/>
      <c r="B6123" s="312"/>
      <c r="C6123" s="312"/>
      <c r="D6123" s="312"/>
      <c r="E6123" s="312"/>
      <c r="F6123" s="312"/>
      <c r="G6123" s="328"/>
      <c r="H6123" s="453"/>
      <c r="I6123" s="334"/>
      <c r="J6123" s="314"/>
      <c r="K6123" s="454"/>
      <c r="M6123" s="349" t="str">
        <f>N6123&amp;AS[[#This Row],[Insurer Code]]&amp;"; "&amp;O6123&amp;AS[[#This Row],[Reporting Year]]&amp;"; "&amp;P6123&amp;AS[[#This Row],[Insurance Category Code]]&amp;"; "&amp;Q6123&amp;AS[[#This Row],[Large Provider Entity Code]]&amp;"; "&amp;R6123&amp;AS[[#This Row],[Age Band Code]]&amp;"; "&amp;S6123&amp;AS[[#This Row],[Sex Code]]</f>
        <v xml:space="preserve">Insurer Code ; Reporting Year ; Insurance Category Code ; Large Provider Entity Code ; Age Band Code ; Sex Code </v>
      </c>
      <c r="N6123" s="345" t="s">
        <v>207</v>
      </c>
      <c r="O6123" s="345" t="s">
        <v>208</v>
      </c>
      <c r="P6123" s="345" t="s">
        <v>209</v>
      </c>
      <c r="Q6123" s="345" t="s">
        <v>210</v>
      </c>
      <c r="R6123" s="345" t="s">
        <v>223</v>
      </c>
      <c r="S6123" s="345" t="s">
        <v>224</v>
      </c>
    </row>
    <row r="6124" spans="1:19" x14ac:dyDescent="0.25">
      <c r="A6124" s="311"/>
      <c r="B6124" s="312"/>
      <c r="C6124" s="312"/>
      <c r="D6124" s="312"/>
      <c r="E6124" s="312"/>
      <c r="F6124" s="312"/>
      <c r="G6124" s="328"/>
      <c r="H6124" s="453"/>
      <c r="I6124" s="334"/>
      <c r="J6124" s="314"/>
      <c r="K6124" s="454"/>
      <c r="M6124" s="349" t="str">
        <f>N6124&amp;AS[[#This Row],[Insurer Code]]&amp;"; "&amp;O6124&amp;AS[[#This Row],[Reporting Year]]&amp;"; "&amp;P6124&amp;AS[[#This Row],[Insurance Category Code]]&amp;"; "&amp;Q6124&amp;AS[[#This Row],[Large Provider Entity Code]]&amp;"; "&amp;R6124&amp;AS[[#This Row],[Age Band Code]]&amp;"; "&amp;S6124&amp;AS[[#This Row],[Sex Code]]</f>
        <v xml:space="preserve">Insurer Code ; Reporting Year ; Insurance Category Code ; Large Provider Entity Code ; Age Band Code ; Sex Code </v>
      </c>
      <c r="N6124" s="345" t="s">
        <v>207</v>
      </c>
      <c r="O6124" s="345" t="s">
        <v>208</v>
      </c>
      <c r="P6124" s="345" t="s">
        <v>209</v>
      </c>
      <c r="Q6124" s="345" t="s">
        <v>210</v>
      </c>
      <c r="R6124" s="345" t="s">
        <v>223</v>
      </c>
      <c r="S6124" s="345" t="s">
        <v>224</v>
      </c>
    </row>
    <row r="6125" spans="1:19" x14ac:dyDescent="0.25">
      <c r="A6125" s="311"/>
      <c r="B6125" s="312"/>
      <c r="C6125" s="312"/>
      <c r="D6125" s="312"/>
      <c r="E6125" s="312"/>
      <c r="F6125" s="312"/>
      <c r="G6125" s="328"/>
      <c r="H6125" s="453"/>
      <c r="I6125" s="334"/>
      <c r="J6125" s="314"/>
      <c r="K6125" s="454"/>
      <c r="M6125" s="349" t="str">
        <f>N6125&amp;AS[[#This Row],[Insurer Code]]&amp;"; "&amp;O6125&amp;AS[[#This Row],[Reporting Year]]&amp;"; "&amp;P6125&amp;AS[[#This Row],[Insurance Category Code]]&amp;"; "&amp;Q6125&amp;AS[[#This Row],[Large Provider Entity Code]]&amp;"; "&amp;R6125&amp;AS[[#This Row],[Age Band Code]]&amp;"; "&amp;S6125&amp;AS[[#This Row],[Sex Code]]</f>
        <v xml:space="preserve">Insurer Code ; Reporting Year ; Insurance Category Code ; Large Provider Entity Code ; Age Band Code ; Sex Code </v>
      </c>
      <c r="N6125" s="345" t="s">
        <v>207</v>
      </c>
      <c r="O6125" s="345" t="s">
        <v>208</v>
      </c>
      <c r="P6125" s="345" t="s">
        <v>209</v>
      </c>
      <c r="Q6125" s="345" t="s">
        <v>210</v>
      </c>
      <c r="R6125" s="345" t="s">
        <v>223</v>
      </c>
      <c r="S6125" s="345" t="s">
        <v>224</v>
      </c>
    </row>
    <row r="6126" spans="1:19" x14ac:dyDescent="0.25">
      <c r="A6126" s="311"/>
      <c r="B6126" s="312"/>
      <c r="C6126" s="312"/>
      <c r="D6126" s="312"/>
      <c r="E6126" s="312"/>
      <c r="F6126" s="312"/>
      <c r="G6126" s="328"/>
      <c r="H6126" s="453"/>
      <c r="I6126" s="334"/>
      <c r="J6126" s="314"/>
      <c r="K6126" s="454"/>
      <c r="M6126" s="349" t="str">
        <f>N6126&amp;AS[[#This Row],[Insurer Code]]&amp;"; "&amp;O6126&amp;AS[[#This Row],[Reporting Year]]&amp;"; "&amp;P6126&amp;AS[[#This Row],[Insurance Category Code]]&amp;"; "&amp;Q6126&amp;AS[[#This Row],[Large Provider Entity Code]]&amp;"; "&amp;R6126&amp;AS[[#This Row],[Age Band Code]]&amp;"; "&amp;S6126&amp;AS[[#This Row],[Sex Code]]</f>
        <v xml:space="preserve">Insurer Code ; Reporting Year ; Insurance Category Code ; Large Provider Entity Code ; Age Band Code ; Sex Code </v>
      </c>
      <c r="N6126" s="345" t="s">
        <v>207</v>
      </c>
      <c r="O6126" s="345" t="s">
        <v>208</v>
      </c>
      <c r="P6126" s="345" t="s">
        <v>209</v>
      </c>
      <c r="Q6126" s="345" t="s">
        <v>210</v>
      </c>
      <c r="R6126" s="345" t="s">
        <v>223</v>
      </c>
      <c r="S6126" s="345" t="s">
        <v>224</v>
      </c>
    </row>
    <row r="6127" spans="1:19" x14ac:dyDescent="0.25">
      <c r="A6127" s="311"/>
      <c r="B6127" s="312"/>
      <c r="C6127" s="312"/>
      <c r="D6127" s="312"/>
      <c r="E6127" s="312"/>
      <c r="F6127" s="312"/>
      <c r="G6127" s="328"/>
      <c r="H6127" s="453"/>
      <c r="I6127" s="334"/>
      <c r="J6127" s="314"/>
      <c r="K6127" s="454"/>
      <c r="M6127" s="349" t="str">
        <f>N6127&amp;AS[[#This Row],[Insurer Code]]&amp;"; "&amp;O6127&amp;AS[[#This Row],[Reporting Year]]&amp;"; "&amp;P6127&amp;AS[[#This Row],[Insurance Category Code]]&amp;"; "&amp;Q6127&amp;AS[[#This Row],[Large Provider Entity Code]]&amp;"; "&amp;R6127&amp;AS[[#This Row],[Age Band Code]]&amp;"; "&amp;S6127&amp;AS[[#This Row],[Sex Code]]</f>
        <v xml:space="preserve">Insurer Code ; Reporting Year ; Insurance Category Code ; Large Provider Entity Code ; Age Band Code ; Sex Code </v>
      </c>
      <c r="N6127" s="345" t="s">
        <v>207</v>
      </c>
      <c r="O6127" s="345" t="s">
        <v>208</v>
      </c>
      <c r="P6127" s="345" t="s">
        <v>209</v>
      </c>
      <c r="Q6127" s="345" t="s">
        <v>210</v>
      </c>
      <c r="R6127" s="345" t="s">
        <v>223</v>
      </c>
      <c r="S6127" s="345" t="s">
        <v>224</v>
      </c>
    </row>
    <row r="6128" spans="1:19" x14ac:dyDescent="0.25">
      <c r="A6128" s="311"/>
      <c r="B6128" s="312"/>
      <c r="C6128" s="312"/>
      <c r="D6128" s="312"/>
      <c r="E6128" s="312"/>
      <c r="F6128" s="312"/>
      <c r="G6128" s="328"/>
      <c r="H6128" s="453"/>
      <c r="I6128" s="334"/>
      <c r="J6128" s="314"/>
      <c r="K6128" s="454"/>
      <c r="M6128" s="349" t="str">
        <f>N6128&amp;AS[[#This Row],[Insurer Code]]&amp;"; "&amp;O6128&amp;AS[[#This Row],[Reporting Year]]&amp;"; "&amp;P6128&amp;AS[[#This Row],[Insurance Category Code]]&amp;"; "&amp;Q6128&amp;AS[[#This Row],[Large Provider Entity Code]]&amp;"; "&amp;R6128&amp;AS[[#This Row],[Age Band Code]]&amp;"; "&amp;S6128&amp;AS[[#This Row],[Sex Code]]</f>
        <v xml:space="preserve">Insurer Code ; Reporting Year ; Insurance Category Code ; Large Provider Entity Code ; Age Band Code ; Sex Code </v>
      </c>
      <c r="N6128" s="345" t="s">
        <v>207</v>
      </c>
      <c r="O6128" s="345" t="s">
        <v>208</v>
      </c>
      <c r="P6128" s="345" t="s">
        <v>209</v>
      </c>
      <c r="Q6128" s="345" t="s">
        <v>210</v>
      </c>
      <c r="R6128" s="345" t="s">
        <v>223</v>
      </c>
      <c r="S6128" s="345" t="s">
        <v>224</v>
      </c>
    </row>
    <row r="6129" spans="1:19" x14ac:dyDescent="0.25">
      <c r="A6129" s="311"/>
      <c r="B6129" s="312"/>
      <c r="C6129" s="312"/>
      <c r="D6129" s="312"/>
      <c r="E6129" s="312"/>
      <c r="F6129" s="312"/>
      <c r="G6129" s="328"/>
      <c r="H6129" s="453"/>
      <c r="I6129" s="334"/>
      <c r="J6129" s="314"/>
      <c r="K6129" s="454"/>
      <c r="M6129" s="349" t="str">
        <f>N6129&amp;AS[[#This Row],[Insurer Code]]&amp;"; "&amp;O6129&amp;AS[[#This Row],[Reporting Year]]&amp;"; "&amp;P6129&amp;AS[[#This Row],[Insurance Category Code]]&amp;"; "&amp;Q6129&amp;AS[[#This Row],[Large Provider Entity Code]]&amp;"; "&amp;R6129&amp;AS[[#This Row],[Age Band Code]]&amp;"; "&amp;S6129&amp;AS[[#This Row],[Sex Code]]</f>
        <v xml:space="preserve">Insurer Code ; Reporting Year ; Insurance Category Code ; Large Provider Entity Code ; Age Band Code ; Sex Code </v>
      </c>
      <c r="N6129" s="345" t="s">
        <v>207</v>
      </c>
      <c r="O6129" s="345" t="s">
        <v>208</v>
      </c>
      <c r="P6129" s="345" t="s">
        <v>209</v>
      </c>
      <c r="Q6129" s="345" t="s">
        <v>210</v>
      </c>
      <c r="R6129" s="345" t="s">
        <v>223</v>
      </c>
      <c r="S6129" s="345" t="s">
        <v>224</v>
      </c>
    </row>
    <row r="6130" spans="1:19" x14ac:dyDescent="0.25">
      <c r="A6130" s="311"/>
      <c r="B6130" s="312"/>
      <c r="C6130" s="312"/>
      <c r="D6130" s="312"/>
      <c r="E6130" s="312"/>
      <c r="F6130" s="312"/>
      <c r="G6130" s="328"/>
      <c r="H6130" s="453"/>
      <c r="I6130" s="334"/>
      <c r="J6130" s="314"/>
      <c r="K6130" s="454"/>
      <c r="M6130" s="349" t="str">
        <f>N6130&amp;AS[[#This Row],[Insurer Code]]&amp;"; "&amp;O6130&amp;AS[[#This Row],[Reporting Year]]&amp;"; "&amp;P6130&amp;AS[[#This Row],[Insurance Category Code]]&amp;"; "&amp;Q6130&amp;AS[[#This Row],[Large Provider Entity Code]]&amp;"; "&amp;R6130&amp;AS[[#This Row],[Age Band Code]]&amp;"; "&amp;S6130&amp;AS[[#This Row],[Sex Code]]</f>
        <v xml:space="preserve">Insurer Code ; Reporting Year ; Insurance Category Code ; Large Provider Entity Code ; Age Band Code ; Sex Code </v>
      </c>
      <c r="N6130" s="345" t="s">
        <v>207</v>
      </c>
      <c r="O6130" s="345" t="s">
        <v>208</v>
      </c>
      <c r="P6130" s="345" t="s">
        <v>209</v>
      </c>
      <c r="Q6130" s="345" t="s">
        <v>210</v>
      </c>
      <c r="R6130" s="345" t="s">
        <v>223</v>
      </c>
      <c r="S6130" s="345" t="s">
        <v>224</v>
      </c>
    </row>
    <row r="6131" spans="1:19" x14ac:dyDescent="0.25">
      <c r="A6131" s="311"/>
      <c r="B6131" s="312"/>
      <c r="C6131" s="312"/>
      <c r="D6131" s="312"/>
      <c r="E6131" s="312"/>
      <c r="F6131" s="312"/>
      <c r="G6131" s="328"/>
      <c r="H6131" s="453"/>
      <c r="I6131" s="334"/>
      <c r="J6131" s="314"/>
      <c r="K6131" s="454"/>
      <c r="M6131" s="349" t="str">
        <f>N6131&amp;AS[[#This Row],[Insurer Code]]&amp;"; "&amp;O6131&amp;AS[[#This Row],[Reporting Year]]&amp;"; "&amp;P6131&amp;AS[[#This Row],[Insurance Category Code]]&amp;"; "&amp;Q6131&amp;AS[[#This Row],[Large Provider Entity Code]]&amp;"; "&amp;R6131&amp;AS[[#This Row],[Age Band Code]]&amp;"; "&amp;S6131&amp;AS[[#This Row],[Sex Code]]</f>
        <v xml:space="preserve">Insurer Code ; Reporting Year ; Insurance Category Code ; Large Provider Entity Code ; Age Band Code ; Sex Code </v>
      </c>
      <c r="N6131" s="345" t="s">
        <v>207</v>
      </c>
      <c r="O6131" s="345" t="s">
        <v>208</v>
      </c>
      <c r="P6131" s="345" t="s">
        <v>209</v>
      </c>
      <c r="Q6131" s="345" t="s">
        <v>210</v>
      </c>
      <c r="R6131" s="345" t="s">
        <v>223</v>
      </c>
      <c r="S6131" s="345" t="s">
        <v>224</v>
      </c>
    </row>
    <row r="6132" spans="1:19" x14ac:dyDescent="0.25">
      <c r="A6132" s="311"/>
      <c r="B6132" s="312"/>
      <c r="C6132" s="312"/>
      <c r="D6132" s="312"/>
      <c r="E6132" s="312"/>
      <c r="F6132" s="312"/>
      <c r="G6132" s="328"/>
      <c r="H6132" s="453"/>
      <c r="I6132" s="334"/>
      <c r="J6132" s="314"/>
      <c r="K6132" s="454"/>
      <c r="M6132" s="349" t="str">
        <f>N6132&amp;AS[[#This Row],[Insurer Code]]&amp;"; "&amp;O6132&amp;AS[[#This Row],[Reporting Year]]&amp;"; "&amp;P6132&amp;AS[[#This Row],[Insurance Category Code]]&amp;"; "&amp;Q6132&amp;AS[[#This Row],[Large Provider Entity Code]]&amp;"; "&amp;R6132&amp;AS[[#This Row],[Age Band Code]]&amp;"; "&amp;S6132&amp;AS[[#This Row],[Sex Code]]</f>
        <v xml:space="preserve">Insurer Code ; Reporting Year ; Insurance Category Code ; Large Provider Entity Code ; Age Band Code ; Sex Code </v>
      </c>
      <c r="N6132" s="345" t="s">
        <v>207</v>
      </c>
      <c r="O6132" s="345" t="s">
        <v>208</v>
      </c>
      <c r="P6132" s="345" t="s">
        <v>209</v>
      </c>
      <c r="Q6132" s="345" t="s">
        <v>210</v>
      </c>
      <c r="R6132" s="345" t="s">
        <v>223</v>
      </c>
      <c r="S6132" s="345" t="s">
        <v>224</v>
      </c>
    </row>
    <row r="6133" spans="1:19" x14ac:dyDescent="0.25">
      <c r="A6133" s="311"/>
      <c r="B6133" s="312"/>
      <c r="C6133" s="312"/>
      <c r="D6133" s="312"/>
      <c r="E6133" s="312"/>
      <c r="F6133" s="312"/>
      <c r="G6133" s="328"/>
      <c r="H6133" s="453"/>
      <c r="I6133" s="334"/>
      <c r="J6133" s="314"/>
      <c r="K6133" s="454"/>
      <c r="M6133" s="349" t="str">
        <f>N6133&amp;AS[[#This Row],[Insurer Code]]&amp;"; "&amp;O6133&amp;AS[[#This Row],[Reporting Year]]&amp;"; "&amp;P6133&amp;AS[[#This Row],[Insurance Category Code]]&amp;"; "&amp;Q6133&amp;AS[[#This Row],[Large Provider Entity Code]]&amp;"; "&amp;R6133&amp;AS[[#This Row],[Age Band Code]]&amp;"; "&amp;S6133&amp;AS[[#This Row],[Sex Code]]</f>
        <v xml:space="preserve">Insurer Code ; Reporting Year ; Insurance Category Code ; Large Provider Entity Code ; Age Band Code ; Sex Code </v>
      </c>
      <c r="N6133" s="345" t="s">
        <v>207</v>
      </c>
      <c r="O6133" s="345" t="s">
        <v>208</v>
      </c>
      <c r="P6133" s="345" t="s">
        <v>209</v>
      </c>
      <c r="Q6133" s="345" t="s">
        <v>210</v>
      </c>
      <c r="R6133" s="345" t="s">
        <v>223</v>
      </c>
      <c r="S6133" s="345" t="s">
        <v>224</v>
      </c>
    </row>
    <row r="6134" spans="1:19" x14ac:dyDescent="0.25">
      <c r="A6134" s="311"/>
      <c r="B6134" s="312"/>
      <c r="C6134" s="312"/>
      <c r="D6134" s="312"/>
      <c r="E6134" s="312"/>
      <c r="F6134" s="312"/>
      <c r="G6134" s="328"/>
      <c r="H6134" s="453"/>
      <c r="I6134" s="334"/>
      <c r="J6134" s="314"/>
      <c r="K6134" s="454"/>
      <c r="M6134" s="349" t="str">
        <f>N6134&amp;AS[[#This Row],[Insurer Code]]&amp;"; "&amp;O6134&amp;AS[[#This Row],[Reporting Year]]&amp;"; "&amp;P6134&amp;AS[[#This Row],[Insurance Category Code]]&amp;"; "&amp;Q6134&amp;AS[[#This Row],[Large Provider Entity Code]]&amp;"; "&amp;R6134&amp;AS[[#This Row],[Age Band Code]]&amp;"; "&amp;S6134&amp;AS[[#This Row],[Sex Code]]</f>
        <v xml:space="preserve">Insurer Code ; Reporting Year ; Insurance Category Code ; Large Provider Entity Code ; Age Band Code ; Sex Code </v>
      </c>
      <c r="N6134" s="345" t="s">
        <v>207</v>
      </c>
      <c r="O6134" s="345" t="s">
        <v>208</v>
      </c>
      <c r="P6134" s="345" t="s">
        <v>209</v>
      </c>
      <c r="Q6134" s="345" t="s">
        <v>210</v>
      </c>
      <c r="R6134" s="345" t="s">
        <v>223</v>
      </c>
      <c r="S6134" s="345" t="s">
        <v>224</v>
      </c>
    </row>
    <row r="6135" spans="1:19" x14ac:dyDescent="0.25">
      <c r="A6135" s="311"/>
      <c r="B6135" s="312"/>
      <c r="C6135" s="312"/>
      <c r="D6135" s="312"/>
      <c r="E6135" s="312"/>
      <c r="F6135" s="312"/>
      <c r="G6135" s="328"/>
      <c r="H6135" s="453"/>
      <c r="I6135" s="334"/>
      <c r="J6135" s="314"/>
      <c r="K6135" s="454"/>
      <c r="M6135" s="349" t="str">
        <f>N6135&amp;AS[[#This Row],[Insurer Code]]&amp;"; "&amp;O6135&amp;AS[[#This Row],[Reporting Year]]&amp;"; "&amp;P6135&amp;AS[[#This Row],[Insurance Category Code]]&amp;"; "&amp;Q6135&amp;AS[[#This Row],[Large Provider Entity Code]]&amp;"; "&amp;R6135&amp;AS[[#This Row],[Age Band Code]]&amp;"; "&amp;S6135&amp;AS[[#This Row],[Sex Code]]</f>
        <v xml:space="preserve">Insurer Code ; Reporting Year ; Insurance Category Code ; Large Provider Entity Code ; Age Band Code ; Sex Code </v>
      </c>
      <c r="N6135" s="345" t="s">
        <v>207</v>
      </c>
      <c r="O6135" s="345" t="s">
        <v>208</v>
      </c>
      <c r="P6135" s="345" t="s">
        <v>209</v>
      </c>
      <c r="Q6135" s="345" t="s">
        <v>210</v>
      </c>
      <c r="R6135" s="345" t="s">
        <v>223</v>
      </c>
      <c r="S6135" s="345" t="s">
        <v>224</v>
      </c>
    </row>
    <row r="6136" spans="1:19" x14ac:dyDescent="0.25">
      <c r="A6136" s="311"/>
      <c r="B6136" s="312"/>
      <c r="C6136" s="312"/>
      <c r="D6136" s="312"/>
      <c r="E6136" s="312"/>
      <c r="F6136" s="312"/>
      <c r="G6136" s="328"/>
      <c r="H6136" s="453"/>
      <c r="I6136" s="334"/>
      <c r="J6136" s="314"/>
      <c r="K6136" s="454"/>
      <c r="M6136" s="349" t="str">
        <f>N6136&amp;AS[[#This Row],[Insurer Code]]&amp;"; "&amp;O6136&amp;AS[[#This Row],[Reporting Year]]&amp;"; "&amp;P6136&amp;AS[[#This Row],[Insurance Category Code]]&amp;"; "&amp;Q6136&amp;AS[[#This Row],[Large Provider Entity Code]]&amp;"; "&amp;R6136&amp;AS[[#This Row],[Age Band Code]]&amp;"; "&amp;S6136&amp;AS[[#This Row],[Sex Code]]</f>
        <v xml:space="preserve">Insurer Code ; Reporting Year ; Insurance Category Code ; Large Provider Entity Code ; Age Band Code ; Sex Code </v>
      </c>
      <c r="N6136" s="345" t="s">
        <v>207</v>
      </c>
      <c r="O6136" s="345" t="s">
        <v>208</v>
      </c>
      <c r="P6136" s="345" t="s">
        <v>209</v>
      </c>
      <c r="Q6136" s="345" t="s">
        <v>210</v>
      </c>
      <c r="R6136" s="345" t="s">
        <v>223</v>
      </c>
      <c r="S6136" s="345" t="s">
        <v>224</v>
      </c>
    </row>
    <row r="6137" spans="1:19" x14ac:dyDescent="0.25">
      <c r="A6137" s="311"/>
      <c r="B6137" s="312"/>
      <c r="C6137" s="312"/>
      <c r="D6137" s="312"/>
      <c r="E6137" s="312"/>
      <c r="F6137" s="312"/>
      <c r="G6137" s="328"/>
      <c r="H6137" s="453"/>
      <c r="I6137" s="334"/>
      <c r="J6137" s="314"/>
      <c r="K6137" s="454"/>
      <c r="M6137" s="349" t="str">
        <f>N6137&amp;AS[[#This Row],[Insurer Code]]&amp;"; "&amp;O6137&amp;AS[[#This Row],[Reporting Year]]&amp;"; "&amp;P6137&amp;AS[[#This Row],[Insurance Category Code]]&amp;"; "&amp;Q6137&amp;AS[[#This Row],[Large Provider Entity Code]]&amp;"; "&amp;R6137&amp;AS[[#This Row],[Age Band Code]]&amp;"; "&amp;S6137&amp;AS[[#This Row],[Sex Code]]</f>
        <v xml:space="preserve">Insurer Code ; Reporting Year ; Insurance Category Code ; Large Provider Entity Code ; Age Band Code ; Sex Code </v>
      </c>
      <c r="N6137" s="345" t="s">
        <v>207</v>
      </c>
      <c r="O6137" s="345" t="s">
        <v>208</v>
      </c>
      <c r="P6137" s="345" t="s">
        <v>209</v>
      </c>
      <c r="Q6137" s="345" t="s">
        <v>210</v>
      </c>
      <c r="R6137" s="345" t="s">
        <v>223</v>
      </c>
      <c r="S6137" s="345" t="s">
        <v>224</v>
      </c>
    </row>
    <row r="6138" spans="1:19" x14ac:dyDescent="0.25">
      <c r="A6138" s="311"/>
      <c r="B6138" s="312"/>
      <c r="C6138" s="312"/>
      <c r="D6138" s="312"/>
      <c r="E6138" s="312"/>
      <c r="F6138" s="312"/>
      <c r="G6138" s="328"/>
      <c r="H6138" s="453"/>
      <c r="I6138" s="334"/>
      <c r="J6138" s="314"/>
      <c r="K6138" s="454"/>
      <c r="M6138" s="349" t="str">
        <f>N6138&amp;AS[[#This Row],[Insurer Code]]&amp;"; "&amp;O6138&amp;AS[[#This Row],[Reporting Year]]&amp;"; "&amp;P6138&amp;AS[[#This Row],[Insurance Category Code]]&amp;"; "&amp;Q6138&amp;AS[[#This Row],[Large Provider Entity Code]]&amp;"; "&amp;R6138&amp;AS[[#This Row],[Age Band Code]]&amp;"; "&amp;S6138&amp;AS[[#This Row],[Sex Code]]</f>
        <v xml:space="preserve">Insurer Code ; Reporting Year ; Insurance Category Code ; Large Provider Entity Code ; Age Band Code ; Sex Code </v>
      </c>
      <c r="N6138" s="345" t="s">
        <v>207</v>
      </c>
      <c r="O6138" s="345" t="s">
        <v>208</v>
      </c>
      <c r="P6138" s="345" t="s">
        <v>209</v>
      </c>
      <c r="Q6138" s="345" t="s">
        <v>210</v>
      </c>
      <c r="R6138" s="345" t="s">
        <v>223</v>
      </c>
      <c r="S6138" s="345" t="s">
        <v>224</v>
      </c>
    </row>
    <row r="6139" spans="1:19" x14ac:dyDescent="0.25">
      <c r="A6139" s="311"/>
      <c r="B6139" s="312"/>
      <c r="C6139" s="312"/>
      <c r="D6139" s="312"/>
      <c r="E6139" s="312"/>
      <c r="F6139" s="312"/>
      <c r="G6139" s="328"/>
      <c r="H6139" s="453"/>
      <c r="I6139" s="334"/>
      <c r="J6139" s="314"/>
      <c r="K6139" s="454"/>
      <c r="M6139" s="349" t="str">
        <f>N6139&amp;AS[[#This Row],[Insurer Code]]&amp;"; "&amp;O6139&amp;AS[[#This Row],[Reporting Year]]&amp;"; "&amp;P6139&amp;AS[[#This Row],[Insurance Category Code]]&amp;"; "&amp;Q6139&amp;AS[[#This Row],[Large Provider Entity Code]]&amp;"; "&amp;R6139&amp;AS[[#This Row],[Age Band Code]]&amp;"; "&amp;S6139&amp;AS[[#This Row],[Sex Code]]</f>
        <v xml:space="preserve">Insurer Code ; Reporting Year ; Insurance Category Code ; Large Provider Entity Code ; Age Band Code ; Sex Code </v>
      </c>
      <c r="N6139" s="345" t="s">
        <v>207</v>
      </c>
      <c r="O6139" s="345" t="s">
        <v>208</v>
      </c>
      <c r="P6139" s="345" t="s">
        <v>209</v>
      </c>
      <c r="Q6139" s="345" t="s">
        <v>210</v>
      </c>
      <c r="R6139" s="345" t="s">
        <v>223</v>
      </c>
      <c r="S6139" s="345" t="s">
        <v>224</v>
      </c>
    </row>
    <row r="6140" spans="1:19" x14ac:dyDescent="0.25">
      <c r="A6140" s="311"/>
      <c r="B6140" s="312"/>
      <c r="C6140" s="312"/>
      <c r="D6140" s="312"/>
      <c r="E6140" s="312"/>
      <c r="F6140" s="312"/>
      <c r="G6140" s="328"/>
      <c r="H6140" s="453"/>
      <c r="I6140" s="334"/>
      <c r="J6140" s="314"/>
      <c r="K6140" s="454"/>
      <c r="M6140" s="349" t="str">
        <f>N6140&amp;AS[[#This Row],[Insurer Code]]&amp;"; "&amp;O6140&amp;AS[[#This Row],[Reporting Year]]&amp;"; "&amp;P6140&amp;AS[[#This Row],[Insurance Category Code]]&amp;"; "&amp;Q6140&amp;AS[[#This Row],[Large Provider Entity Code]]&amp;"; "&amp;R6140&amp;AS[[#This Row],[Age Band Code]]&amp;"; "&amp;S6140&amp;AS[[#This Row],[Sex Code]]</f>
        <v xml:space="preserve">Insurer Code ; Reporting Year ; Insurance Category Code ; Large Provider Entity Code ; Age Band Code ; Sex Code </v>
      </c>
      <c r="N6140" s="345" t="s">
        <v>207</v>
      </c>
      <c r="O6140" s="345" t="s">
        <v>208</v>
      </c>
      <c r="P6140" s="345" t="s">
        <v>209</v>
      </c>
      <c r="Q6140" s="345" t="s">
        <v>210</v>
      </c>
      <c r="R6140" s="345" t="s">
        <v>223</v>
      </c>
      <c r="S6140" s="345" t="s">
        <v>224</v>
      </c>
    </row>
    <row r="6141" spans="1:19" x14ac:dyDescent="0.25">
      <c r="A6141" s="311"/>
      <c r="B6141" s="312"/>
      <c r="C6141" s="312"/>
      <c r="D6141" s="312"/>
      <c r="E6141" s="312"/>
      <c r="F6141" s="312"/>
      <c r="G6141" s="328"/>
      <c r="H6141" s="453"/>
      <c r="I6141" s="334"/>
      <c r="J6141" s="314"/>
      <c r="K6141" s="454"/>
      <c r="M6141" s="349" t="str">
        <f>N6141&amp;AS[[#This Row],[Insurer Code]]&amp;"; "&amp;O6141&amp;AS[[#This Row],[Reporting Year]]&amp;"; "&amp;P6141&amp;AS[[#This Row],[Insurance Category Code]]&amp;"; "&amp;Q6141&amp;AS[[#This Row],[Large Provider Entity Code]]&amp;"; "&amp;R6141&amp;AS[[#This Row],[Age Band Code]]&amp;"; "&amp;S6141&amp;AS[[#This Row],[Sex Code]]</f>
        <v xml:space="preserve">Insurer Code ; Reporting Year ; Insurance Category Code ; Large Provider Entity Code ; Age Band Code ; Sex Code </v>
      </c>
      <c r="N6141" s="345" t="s">
        <v>207</v>
      </c>
      <c r="O6141" s="345" t="s">
        <v>208</v>
      </c>
      <c r="P6141" s="345" t="s">
        <v>209</v>
      </c>
      <c r="Q6141" s="345" t="s">
        <v>210</v>
      </c>
      <c r="R6141" s="345" t="s">
        <v>223</v>
      </c>
      <c r="S6141" s="345" t="s">
        <v>224</v>
      </c>
    </row>
    <row r="6142" spans="1:19" x14ac:dyDescent="0.25">
      <c r="A6142" s="311"/>
      <c r="B6142" s="312"/>
      <c r="C6142" s="312"/>
      <c r="D6142" s="312"/>
      <c r="E6142" s="312"/>
      <c r="F6142" s="312"/>
      <c r="G6142" s="328"/>
      <c r="H6142" s="453"/>
      <c r="I6142" s="334"/>
      <c r="J6142" s="314"/>
      <c r="K6142" s="454"/>
      <c r="M6142" s="349" t="str">
        <f>N6142&amp;AS[[#This Row],[Insurer Code]]&amp;"; "&amp;O6142&amp;AS[[#This Row],[Reporting Year]]&amp;"; "&amp;P6142&amp;AS[[#This Row],[Insurance Category Code]]&amp;"; "&amp;Q6142&amp;AS[[#This Row],[Large Provider Entity Code]]&amp;"; "&amp;R6142&amp;AS[[#This Row],[Age Band Code]]&amp;"; "&amp;S6142&amp;AS[[#This Row],[Sex Code]]</f>
        <v xml:space="preserve">Insurer Code ; Reporting Year ; Insurance Category Code ; Large Provider Entity Code ; Age Band Code ; Sex Code </v>
      </c>
      <c r="N6142" s="345" t="s">
        <v>207</v>
      </c>
      <c r="O6142" s="345" t="s">
        <v>208</v>
      </c>
      <c r="P6142" s="345" t="s">
        <v>209</v>
      </c>
      <c r="Q6142" s="345" t="s">
        <v>210</v>
      </c>
      <c r="R6142" s="345" t="s">
        <v>223</v>
      </c>
      <c r="S6142" s="345" t="s">
        <v>224</v>
      </c>
    </row>
    <row r="6143" spans="1:19" x14ac:dyDescent="0.25">
      <c r="A6143" s="311"/>
      <c r="B6143" s="312"/>
      <c r="C6143" s="312"/>
      <c r="D6143" s="312"/>
      <c r="E6143" s="312"/>
      <c r="F6143" s="312"/>
      <c r="G6143" s="328"/>
      <c r="H6143" s="453"/>
      <c r="I6143" s="334"/>
      <c r="J6143" s="314"/>
      <c r="K6143" s="454"/>
      <c r="M6143" s="349" t="str">
        <f>N6143&amp;AS[[#This Row],[Insurer Code]]&amp;"; "&amp;O6143&amp;AS[[#This Row],[Reporting Year]]&amp;"; "&amp;P6143&amp;AS[[#This Row],[Insurance Category Code]]&amp;"; "&amp;Q6143&amp;AS[[#This Row],[Large Provider Entity Code]]&amp;"; "&amp;R6143&amp;AS[[#This Row],[Age Band Code]]&amp;"; "&amp;S6143&amp;AS[[#This Row],[Sex Code]]</f>
        <v xml:space="preserve">Insurer Code ; Reporting Year ; Insurance Category Code ; Large Provider Entity Code ; Age Band Code ; Sex Code </v>
      </c>
      <c r="N6143" s="345" t="s">
        <v>207</v>
      </c>
      <c r="O6143" s="345" t="s">
        <v>208</v>
      </c>
      <c r="P6143" s="345" t="s">
        <v>209</v>
      </c>
      <c r="Q6143" s="345" t="s">
        <v>210</v>
      </c>
      <c r="R6143" s="345" t="s">
        <v>223</v>
      </c>
      <c r="S6143" s="345" t="s">
        <v>224</v>
      </c>
    </row>
    <row r="6144" spans="1:19" x14ac:dyDescent="0.25">
      <c r="A6144" s="311"/>
      <c r="B6144" s="312"/>
      <c r="C6144" s="312"/>
      <c r="D6144" s="312"/>
      <c r="E6144" s="312"/>
      <c r="F6144" s="312"/>
      <c r="G6144" s="328"/>
      <c r="H6144" s="453"/>
      <c r="I6144" s="334"/>
      <c r="J6144" s="314"/>
      <c r="K6144" s="454"/>
      <c r="M6144" s="349" t="str">
        <f>N6144&amp;AS[[#This Row],[Insurer Code]]&amp;"; "&amp;O6144&amp;AS[[#This Row],[Reporting Year]]&amp;"; "&amp;P6144&amp;AS[[#This Row],[Insurance Category Code]]&amp;"; "&amp;Q6144&amp;AS[[#This Row],[Large Provider Entity Code]]&amp;"; "&amp;R6144&amp;AS[[#This Row],[Age Band Code]]&amp;"; "&amp;S6144&amp;AS[[#This Row],[Sex Code]]</f>
        <v xml:space="preserve">Insurer Code ; Reporting Year ; Insurance Category Code ; Large Provider Entity Code ; Age Band Code ; Sex Code </v>
      </c>
      <c r="N6144" s="345" t="s">
        <v>207</v>
      </c>
      <c r="O6144" s="345" t="s">
        <v>208</v>
      </c>
      <c r="P6144" s="345" t="s">
        <v>209</v>
      </c>
      <c r="Q6144" s="345" t="s">
        <v>210</v>
      </c>
      <c r="R6144" s="345" t="s">
        <v>223</v>
      </c>
      <c r="S6144" s="345" t="s">
        <v>224</v>
      </c>
    </row>
    <row r="6145" spans="1:19" x14ac:dyDescent="0.25">
      <c r="A6145" s="311"/>
      <c r="B6145" s="312"/>
      <c r="C6145" s="312"/>
      <c r="D6145" s="312"/>
      <c r="E6145" s="312"/>
      <c r="F6145" s="312"/>
      <c r="G6145" s="328"/>
      <c r="H6145" s="453"/>
      <c r="I6145" s="334"/>
      <c r="J6145" s="314"/>
      <c r="K6145" s="454"/>
      <c r="M6145" s="349" t="str">
        <f>N6145&amp;AS[[#This Row],[Insurer Code]]&amp;"; "&amp;O6145&amp;AS[[#This Row],[Reporting Year]]&amp;"; "&amp;P6145&amp;AS[[#This Row],[Insurance Category Code]]&amp;"; "&amp;Q6145&amp;AS[[#This Row],[Large Provider Entity Code]]&amp;"; "&amp;R6145&amp;AS[[#This Row],[Age Band Code]]&amp;"; "&amp;S6145&amp;AS[[#This Row],[Sex Code]]</f>
        <v xml:space="preserve">Insurer Code ; Reporting Year ; Insurance Category Code ; Large Provider Entity Code ; Age Band Code ; Sex Code </v>
      </c>
      <c r="N6145" s="345" t="s">
        <v>207</v>
      </c>
      <c r="O6145" s="345" t="s">
        <v>208</v>
      </c>
      <c r="P6145" s="345" t="s">
        <v>209</v>
      </c>
      <c r="Q6145" s="345" t="s">
        <v>210</v>
      </c>
      <c r="R6145" s="345" t="s">
        <v>223</v>
      </c>
      <c r="S6145" s="345" t="s">
        <v>224</v>
      </c>
    </row>
    <row r="6146" spans="1:19" x14ac:dyDescent="0.25">
      <c r="A6146" s="311"/>
      <c r="B6146" s="312"/>
      <c r="C6146" s="312"/>
      <c r="D6146" s="312"/>
      <c r="E6146" s="312"/>
      <c r="F6146" s="312"/>
      <c r="G6146" s="328"/>
      <c r="H6146" s="453"/>
      <c r="I6146" s="334"/>
      <c r="J6146" s="314"/>
      <c r="K6146" s="454"/>
      <c r="M6146" s="349" t="str">
        <f>N6146&amp;AS[[#This Row],[Insurer Code]]&amp;"; "&amp;O6146&amp;AS[[#This Row],[Reporting Year]]&amp;"; "&amp;P6146&amp;AS[[#This Row],[Insurance Category Code]]&amp;"; "&amp;Q6146&amp;AS[[#This Row],[Large Provider Entity Code]]&amp;"; "&amp;R6146&amp;AS[[#This Row],[Age Band Code]]&amp;"; "&amp;S6146&amp;AS[[#This Row],[Sex Code]]</f>
        <v xml:space="preserve">Insurer Code ; Reporting Year ; Insurance Category Code ; Large Provider Entity Code ; Age Band Code ; Sex Code </v>
      </c>
      <c r="N6146" s="345" t="s">
        <v>207</v>
      </c>
      <c r="O6146" s="345" t="s">
        <v>208</v>
      </c>
      <c r="P6146" s="345" t="s">
        <v>209</v>
      </c>
      <c r="Q6146" s="345" t="s">
        <v>210</v>
      </c>
      <c r="R6146" s="345" t="s">
        <v>223</v>
      </c>
      <c r="S6146" s="345" t="s">
        <v>224</v>
      </c>
    </row>
    <row r="6147" spans="1:19" x14ac:dyDescent="0.25">
      <c r="A6147" s="311"/>
      <c r="B6147" s="312"/>
      <c r="C6147" s="312"/>
      <c r="D6147" s="312"/>
      <c r="E6147" s="312"/>
      <c r="F6147" s="312"/>
      <c r="G6147" s="328"/>
      <c r="H6147" s="453"/>
      <c r="I6147" s="334"/>
      <c r="J6147" s="314"/>
      <c r="K6147" s="454"/>
      <c r="M6147" s="349" t="str">
        <f>N6147&amp;AS[[#This Row],[Insurer Code]]&amp;"; "&amp;O6147&amp;AS[[#This Row],[Reporting Year]]&amp;"; "&amp;P6147&amp;AS[[#This Row],[Insurance Category Code]]&amp;"; "&amp;Q6147&amp;AS[[#This Row],[Large Provider Entity Code]]&amp;"; "&amp;R6147&amp;AS[[#This Row],[Age Band Code]]&amp;"; "&amp;S6147&amp;AS[[#This Row],[Sex Code]]</f>
        <v xml:space="preserve">Insurer Code ; Reporting Year ; Insurance Category Code ; Large Provider Entity Code ; Age Band Code ; Sex Code </v>
      </c>
      <c r="N6147" s="345" t="s">
        <v>207</v>
      </c>
      <c r="O6147" s="345" t="s">
        <v>208</v>
      </c>
      <c r="P6147" s="345" t="s">
        <v>209</v>
      </c>
      <c r="Q6147" s="345" t="s">
        <v>210</v>
      </c>
      <c r="R6147" s="345" t="s">
        <v>223</v>
      </c>
      <c r="S6147" s="345" t="s">
        <v>224</v>
      </c>
    </row>
    <row r="6148" spans="1:19" x14ac:dyDescent="0.25">
      <c r="A6148" s="311"/>
      <c r="B6148" s="312"/>
      <c r="C6148" s="312"/>
      <c r="D6148" s="312"/>
      <c r="E6148" s="312"/>
      <c r="F6148" s="312"/>
      <c r="G6148" s="328"/>
      <c r="H6148" s="453"/>
      <c r="I6148" s="334"/>
      <c r="J6148" s="314"/>
      <c r="K6148" s="454"/>
      <c r="M6148" s="349" t="str">
        <f>N6148&amp;AS[[#This Row],[Insurer Code]]&amp;"; "&amp;O6148&amp;AS[[#This Row],[Reporting Year]]&amp;"; "&amp;P6148&amp;AS[[#This Row],[Insurance Category Code]]&amp;"; "&amp;Q6148&amp;AS[[#This Row],[Large Provider Entity Code]]&amp;"; "&amp;R6148&amp;AS[[#This Row],[Age Band Code]]&amp;"; "&amp;S6148&amp;AS[[#This Row],[Sex Code]]</f>
        <v xml:space="preserve">Insurer Code ; Reporting Year ; Insurance Category Code ; Large Provider Entity Code ; Age Band Code ; Sex Code </v>
      </c>
      <c r="N6148" s="345" t="s">
        <v>207</v>
      </c>
      <c r="O6148" s="345" t="s">
        <v>208</v>
      </c>
      <c r="P6148" s="345" t="s">
        <v>209</v>
      </c>
      <c r="Q6148" s="345" t="s">
        <v>210</v>
      </c>
      <c r="R6148" s="345" t="s">
        <v>223</v>
      </c>
      <c r="S6148" s="345" t="s">
        <v>224</v>
      </c>
    </row>
    <row r="6149" spans="1:19" x14ac:dyDescent="0.25">
      <c r="A6149" s="311"/>
      <c r="B6149" s="312"/>
      <c r="C6149" s="312"/>
      <c r="D6149" s="312"/>
      <c r="E6149" s="312"/>
      <c r="F6149" s="312"/>
      <c r="G6149" s="328"/>
      <c r="H6149" s="453"/>
      <c r="I6149" s="334"/>
      <c r="J6149" s="314"/>
      <c r="K6149" s="454"/>
      <c r="M6149" s="349" t="str">
        <f>N6149&amp;AS[[#This Row],[Insurer Code]]&amp;"; "&amp;O6149&amp;AS[[#This Row],[Reporting Year]]&amp;"; "&amp;P6149&amp;AS[[#This Row],[Insurance Category Code]]&amp;"; "&amp;Q6149&amp;AS[[#This Row],[Large Provider Entity Code]]&amp;"; "&amp;R6149&amp;AS[[#This Row],[Age Band Code]]&amp;"; "&amp;S6149&amp;AS[[#This Row],[Sex Code]]</f>
        <v xml:space="preserve">Insurer Code ; Reporting Year ; Insurance Category Code ; Large Provider Entity Code ; Age Band Code ; Sex Code </v>
      </c>
      <c r="N6149" s="345" t="s">
        <v>207</v>
      </c>
      <c r="O6149" s="345" t="s">
        <v>208</v>
      </c>
      <c r="P6149" s="345" t="s">
        <v>209</v>
      </c>
      <c r="Q6149" s="345" t="s">
        <v>210</v>
      </c>
      <c r="R6149" s="345" t="s">
        <v>223</v>
      </c>
      <c r="S6149" s="345" t="s">
        <v>224</v>
      </c>
    </row>
    <row r="6150" spans="1:19" x14ac:dyDescent="0.25">
      <c r="A6150" s="311"/>
      <c r="B6150" s="312"/>
      <c r="C6150" s="312"/>
      <c r="D6150" s="312"/>
      <c r="E6150" s="312"/>
      <c r="F6150" s="312"/>
      <c r="G6150" s="328"/>
      <c r="H6150" s="453"/>
      <c r="I6150" s="334"/>
      <c r="J6150" s="314"/>
      <c r="K6150" s="454"/>
      <c r="M6150" s="349" t="str">
        <f>N6150&amp;AS[[#This Row],[Insurer Code]]&amp;"; "&amp;O6150&amp;AS[[#This Row],[Reporting Year]]&amp;"; "&amp;P6150&amp;AS[[#This Row],[Insurance Category Code]]&amp;"; "&amp;Q6150&amp;AS[[#This Row],[Large Provider Entity Code]]&amp;"; "&amp;R6150&amp;AS[[#This Row],[Age Band Code]]&amp;"; "&amp;S6150&amp;AS[[#This Row],[Sex Code]]</f>
        <v xml:space="preserve">Insurer Code ; Reporting Year ; Insurance Category Code ; Large Provider Entity Code ; Age Band Code ; Sex Code </v>
      </c>
      <c r="N6150" s="345" t="s">
        <v>207</v>
      </c>
      <c r="O6150" s="345" t="s">
        <v>208</v>
      </c>
      <c r="P6150" s="345" t="s">
        <v>209</v>
      </c>
      <c r="Q6150" s="345" t="s">
        <v>210</v>
      </c>
      <c r="R6150" s="345" t="s">
        <v>223</v>
      </c>
      <c r="S6150" s="345" t="s">
        <v>224</v>
      </c>
    </row>
    <row r="6151" spans="1:19" x14ac:dyDescent="0.25">
      <c r="A6151" s="311"/>
      <c r="B6151" s="312"/>
      <c r="C6151" s="312"/>
      <c r="D6151" s="312"/>
      <c r="E6151" s="312"/>
      <c r="F6151" s="312"/>
      <c r="G6151" s="328"/>
      <c r="H6151" s="453"/>
      <c r="I6151" s="334"/>
      <c r="J6151" s="314"/>
      <c r="K6151" s="454"/>
      <c r="M6151" s="349" t="str">
        <f>N6151&amp;AS[[#This Row],[Insurer Code]]&amp;"; "&amp;O6151&amp;AS[[#This Row],[Reporting Year]]&amp;"; "&amp;P6151&amp;AS[[#This Row],[Insurance Category Code]]&amp;"; "&amp;Q6151&amp;AS[[#This Row],[Large Provider Entity Code]]&amp;"; "&amp;R6151&amp;AS[[#This Row],[Age Band Code]]&amp;"; "&amp;S6151&amp;AS[[#This Row],[Sex Code]]</f>
        <v xml:space="preserve">Insurer Code ; Reporting Year ; Insurance Category Code ; Large Provider Entity Code ; Age Band Code ; Sex Code </v>
      </c>
      <c r="N6151" s="345" t="s">
        <v>207</v>
      </c>
      <c r="O6151" s="345" t="s">
        <v>208</v>
      </c>
      <c r="P6151" s="345" t="s">
        <v>209</v>
      </c>
      <c r="Q6151" s="345" t="s">
        <v>210</v>
      </c>
      <c r="R6151" s="345" t="s">
        <v>223</v>
      </c>
      <c r="S6151" s="345" t="s">
        <v>224</v>
      </c>
    </row>
    <row r="6152" spans="1:19" x14ac:dyDescent="0.25">
      <c r="A6152" s="311"/>
      <c r="B6152" s="312"/>
      <c r="C6152" s="312"/>
      <c r="D6152" s="312"/>
      <c r="E6152" s="312"/>
      <c r="F6152" s="312"/>
      <c r="G6152" s="328"/>
      <c r="H6152" s="453"/>
      <c r="I6152" s="334"/>
      <c r="J6152" s="314"/>
      <c r="K6152" s="454"/>
      <c r="M6152" s="349" t="str">
        <f>N6152&amp;AS[[#This Row],[Insurer Code]]&amp;"; "&amp;O6152&amp;AS[[#This Row],[Reporting Year]]&amp;"; "&amp;P6152&amp;AS[[#This Row],[Insurance Category Code]]&amp;"; "&amp;Q6152&amp;AS[[#This Row],[Large Provider Entity Code]]&amp;"; "&amp;R6152&amp;AS[[#This Row],[Age Band Code]]&amp;"; "&amp;S6152&amp;AS[[#This Row],[Sex Code]]</f>
        <v xml:space="preserve">Insurer Code ; Reporting Year ; Insurance Category Code ; Large Provider Entity Code ; Age Band Code ; Sex Code </v>
      </c>
      <c r="N6152" s="345" t="s">
        <v>207</v>
      </c>
      <c r="O6152" s="345" t="s">
        <v>208</v>
      </c>
      <c r="P6152" s="345" t="s">
        <v>209</v>
      </c>
      <c r="Q6152" s="345" t="s">
        <v>210</v>
      </c>
      <c r="R6152" s="345" t="s">
        <v>223</v>
      </c>
      <c r="S6152" s="345" t="s">
        <v>224</v>
      </c>
    </row>
    <row r="6153" spans="1:19" x14ac:dyDescent="0.25">
      <c r="A6153" s="311"/>
      <c r="B6153" s="312"/>
      <c r="C6153" s="312"/>
      <c r="D6153" s="312"/>
      <c r="E6153" s="312"/>
      <c r="F6153" s="312"/>
      <c r="G6153" s="328"/>
      <c r="H6153" s="453"/>
      <c r="I6153" s="334"/>
      <c r="J6153" s="314"/>
      <c r="K6153" s="454"/>
      <c r="M6153" s="349" t="str">
        <f>N6153&amp;AS[[#This Row],[Insurer Code]]&amp;"; "&amp;O6153&amp;AS[[#This Row],[Reporting Year]]&amp;"; "&amp;P6153&amp;AS[[#This Row],[Insurance Category Code]]&amp;"; "&amp;Q6153&amp;AS[[#This Row],[Large Provider Entity Code]]&amp;"; "&amp;R6153&amp;AS[[#This Row],[Age Band Code]]&amp;"; "&amp;S6153&amp;AS[[#This Row],[Sex Code]]</f>
        <v xml:space="preserve">Insurer Code ; Reporting Year ; Insurance Category Code ; Large Provider Entity Code ; Age Band Code ; Sex Code </v>
      </c>
      <c r="N6153" s="345" t="s">
        <v>207</v>
      </c>
      <c r="O6153" s="345" t="s">
        <v>208</v>
      </c>
      <c r="P6153" s="345" t="s">
        <v>209</v>
      </c>
      <c r="Q6153" s="345" t="s">
        <v>210</v>
      </c>
      <c r="R6153" s="345" t="s">
        <v>223</v>
      </c>
      <c r="S6153" s="345" t="s">
        <v>224</v>
      </c>
    </row>
    <row r="6154" spans="1:19" x14ac:dyDescent="0.25">
      <c r="A6154" s="311"/>
      <c r="B6154" s="312"/>
      <c r="C6154" s="312"/>
      <c r="D6154" s="312"/>
      <c r="E6154" s="312"/>
      <c r="F6154" s="312"/>
      <c r="G6154" s="328"/>
      <c r="H6154" s="453"/>
      <c r="I6154" s="334"/>
      <c r="J6154" s="314"/>
      <c r="K6154" s="454"/>
      <c r="M6154" s="349" t="str">
        <f>N6154&amp;AS[[#This Row],[Insurer Code]]&amp;"; "&amp;O6154&amp;AS[[#This Row],[Reporting Year]]&amp;"; "&amp;P6154&amp;AS[[#This Row],[Insurance Category Code]]&amp;"; "&amp;Q6154&amp;AS[[#This Row],[Large Provider Entity Code]]&amp;"; "&amp;R6154&amp;AS[[#This Row],[Age Band Code]]&amp;"; "&amp;S6154&amp;AS[[#This Row],[Sex Code]]</f>
        <v xml:space="preserve">Insurer Code ; Reporting Year ; Insurance Category Code ; Large Provider Entity Code ; Age Band Code ; Sex Code </v>
      </c>
      <c r="N6154" s="345" t="s">
        <v>207</v>
      </c>
      <c r="O6154" s="345" t="s">
        <v>208</v>
      </c>
      <c r="P6154" s="345" t="s">
        <v>209</v>
      </c>
      <c r="Q6154" s="345" t="s">
        <v>210</v>
      </c>
      <c r="R6154" s="345" t="s">
        <v>223</v>
      </c>
      <c r="S6154" s="345" t="s">
        <v>224</v>
      </c>
    </row>
    <row r="6155" spans="1:19" x14ac:dyDescent="0.25">
      <c r="A6155" s="311"/>
      <c r="B6155" s="312"/>
      <c r="C6155" s="312"/>
      <c r="D6155" s="312"/>
      <c r="E6155" s="312"/>
      <c r="F6155" s="312"/>
      <c r="G6155" s="328"/>
      <c r="H6155" s="453"/>
      <c r="I6155" s="334"/>
      <c r="J6155" s="314"/>
      <c r="K6155" s="454"/>
      <c r="M6155" s="349" t="str">
        <f>N6155&amp;AS[[#This Row],[Insurer Code]]&amp;"; "&amp;O6155&amp;AS[[#This Row],[Reporting Year]]&amp;"; "&amp;P6155&amp;AS[[#This Row],[Insurance Category Code]]&amp;"; "&amp;Q6155&amp;AS[[#This Row],[Large Provider Entity Code]]&amp;"; "&amp;R6155&amp;AS[[#This Row],[Age Band Code]]&amp;"; "&amp;S6155&amp;AS[[#This Row],[Sex Code]]</f>
        <v xml:space="preserve">Insurer Code ; Reporting Year ; Insurance Category Code ; Large Provider Entity Code ; Age Band Code ; Sex Code </v>
      </c>
      <c r="N6155" s="345" t="s">
        <v>207</v>
      </c>
      <c r="O6155" s="345" t="s">
        <v>208</v>
      </c>
      <c r="P6155" s="345" t="s">
        <v>209</v>
      </c>
      <c r="Q6155" s="345" t="s">
        <v>210</v>
      </c>
      <c r="R6155" s="345" t="s">
        <v>223</v>
      </c>
      <c r="S6155" s="345" t="s">
        <v>224</v>
      </c>
    </row>
    <row r="6156" spans="1:19" x14ac:dyDescent="0.25">
      <c r="A6156" s="311"/>
      <c r="B6156" s="312"/>
      <c r="C6156" s="312"/>
      <c r="D6156" s="312"/>
      <c r="E6156" s="312"/>
      <c r="F6156" s="312"/>
      <c r="G6156" s="328"/>
      <c r="H6156" s="453"/>
      <c r="I6156" s="334"/>
      <c r="J6156" s="314"/>
      <c r="K6156" s="454"/>
      <c r="M6156" s="349" t="str">
        <f>N6156&amp;AS[[#This Row],[Insurer Code]]&amp;"; "&amp;O6156&amp;AS[[#This Row],[Reporting Year]]&amp;"; "&amp;P6156&amp;AS[[#This Row],[Insurance Category Code]]&amp;"; "&amp;Q6156&amp;AS[[#This Row],[Large Provider Entity Code]]&amp;"; "&amp;R6156&amp;AS[[#This Row],[Age Band Code]]&amp;"; "&amp;S6156&amp;AS[[#This Row],[Sex Code]]</f>
        <v xml:space="preserve">Insurer Code ; Reporting Year ; Insurance Category Code ; Large Provider Entity Code ; Age Band Code ; Sex Code </v>
      </c>
      <c r="N6156" s="345" t="s">
        <v>207</v>
      </c>
      <c r="O6156" s="345" t="s">
        <v>208</v>
      </c>
      <c r="P6156" s="345" t="s">
        <v>209</v>
      </c>
      <c r="Q6156" s="345" t="s">
        <v>210</v>
      </c>
      <c r="R6156" s="345" t="s">
        <v>223</v>
      </c>
      <c r="S6156" s="345" t="s">
        <v>224</v>
      </c>
    </row>
    <row r="6157" spans="1:19" x14ac:dyDescent="0.25">
      <c r="A6157" s="311"/>
      <c r="B6157" s="312"/>
      <c r="C6157" s="312"/>
      <c r="D6157" s="312"/>
      <c r="E6157" s="312"/>
      <c r="F6157" s="312"/>
      <c r="G6157" s="328"/>
      <c r="H6157" s="453"/>
      <c r="I6157" s="334"/>
      <c r="J6157" s="314"/>
      <c r="K6157" s="454"/>
      <c r="M6157" s="349" t="str">
        <f>N6157&amp;AS[[#This Row],[Insurer Code]]&amp;"; "&amp;O6157&amp;AS[[#This Row],[Reporting Year]]&amp;"; "&amp;P6157&amp;AS[[#This Row],[Insurance Category Code]]&amp;"; "&amp;Q6157&amp;AS[[#This Row],[Large Provider Entity Code]]&amp;"; "&amp;R6157&amp;AS[[#This Row],[Age Band Code]]&amp;"; "&amp;S6157&amp;AS[[#This Row],[Sex Code]]</f>
        <v xml:space="preserve">Insurer Code ; Reporting Year ; Insurance Category Code ; Large Provider Entity Code ; Age Band Code ; Sex Code </v>
      </c>
      <c r="N6157" s="345" t="s">
        <v>207</v>
      </c>
      <c r="O6157" s="345" t="s">
        <v>208</v>
      </c>
      <c r="P6157" s="345" t="s">
        <v>209</v>
      </c>
      <c r="Q6157" s="345" t="s">
        <v>210</v>
      </c>
      <c r="R6157" s="345" t="s">
        <v>223</v>
      </c>
      <c r="S6157" s="345" t="s">
        <v>224</v>
      </c>
    </row>
    <row r="6158" spans="1:19" x14ac:dyDescent="0.25">
      <c r="A6158" s="311"/>
      <c r="B6158" s="312"/>
      <c r="C6158" s="312"/>
      <c r="D6158" s="312"/>
      <c r="E6158" s="312"/>
      <c r="F6158" s="312"/>
      <c r="G6158" s="328"/>
      <c r="H6158" s="453"/>
      <c r="I6158" s="334"/>
      <c r="J6158" s="314"/>
      <c r="K6158" s="454"/>
      <c r="M6158" s="349" t="str">
        <f>N6158&amp;AS[[#This Row],[Insurer Code]]&amp;"; "&amp;O6158&amp;AS[[#This Row],[Reporting Year]]&amp;"; "&amp;P6158&amp;AS[[#This Row],[Insurance Category Code]]&amp;"; "&amp;Q6158&amp;AS[[#This Row],[Large Provider Entity Code]]&amp;"; "&amp;R6158&amp;AS[[#This Row],[Age Band Code]]&amp;"; "&amp;S6158&amp;AS[[#This Row],[Sex Code]]</f>
        <v xml:space="preserve">Insurer Code ; Reporting Year ; Insurance Category Code ; Large Provider Entity Code ; Age Band Code ; Sex Code </v>
      </c>
      <c r="N6158" s="345" t="s">
        <v>207</v>
      </c>
      <c r="O6158" s="345" t="s">
        <v>208</v>
      </c>
      <c r="P6158" s="345" t="s">
        <v>209</v>
      </c>
      <c r="Q6158" s="345" t="s">
        <v>210</v>
      </c>
      <c r="R6158" s="345" t="s">
        <v>223</v>
      </c>
      <c r="S6158" s="345" t="s">
        <v>224</v>
      </c>
    </row>
    <row r="6159" spans="1:19" x14ac:dyDescent="0.25">
      <c r="A6159" s="311"/>
      <c r="B6159" s="312"/>
      <c r="C6159" s="312"/>
      <c r="D6159" s="312"/>
      <c r="E6159" s="312"/>
      <c r="F6159" s="312"/>
      <c r="G6159" s="328"/>
      <c r="H6159" s="453"/>
      <c r="I6159" s="334"/>
      <c r="J6159" s="314"/>
      <c r="K6159" s="454"/>
      <c r="M6159" s="349" t="str">
        <f>N6159&amp;AS[[#This Row],[Insurer Code]]&amp;"; "&amp;O6159&amp;AS[[#This Row],[Reporting Year]]&amp;"; "&amp;P6159&amp;AS[[#This Row],[Insurance Category Code]]&amp;"; "&amp;Q6159&amp;AS[[#This Row],[Large Provider Entity Code]]&amp;"; "&amp;R6159&amp;AS[[#This Row],[Age Band Code]]&amp;"; "&amp;S6159&amp;AS[[#This Row],[Sex Code]]</f>
        <v xml:space="preserve">Insurer Code ; Reporting Year ; Insurance Category Code ; Large Provider Entity Code ; Age Band Code ; Sex Code </v>
      </c>
      <c r="N6159" s="345" t="s">
        <v>207</v>
      </c>
      <c r="O6159" s="345" t="s">
        <v>208</v>
      </c>
      <c r="P6159" s="345" t="s">
        <v>209</v>
      </c>
      <c r="Q6159" s="345" t="s">
        <v>210</v>
      </c>
      <c r="R6159" s="345" t="s">
        <v>223</v>
      </c>
      <c r="S6159" s="345" t="s">
        <v>224</v>
      </c>
    </row>
    <row r="6160" spans="1:19" x14ac:dyDescent="0.25">
      <c r="A6160" s="311"/>
      <c r="B6160" s="312"/>
      <c r="C6160" s="312"/>
      <c r="D6160" s="312"/>
      <c r="E6160" s="312"/>
      <c r="F6160" s="312"/>
      <c r="G6160" s="328"/>
      <c r="H6160" s="453"/>
      <c r="I6160" s="334"/>
      <c r="J6160" s="314"/>
      <c r="K6160" s="454"/>
      <c r="M6160" s="349" t="str">
        <f>N6160&amp;AS[[#This Row],[Insurer Code]]&amp;"; "&amp;O6160&amp;AS[[#This Row],[Reporting Year]]&amp;"; "&amp;P6160&amp;AS[[#This Row],[Insurance Category Code]]&amp;"; "&amp;Q6160&amp;AS[[#This Row],[Large Provider Entity Code]]&amp;"; "&amp;R6160&amp;AS[[#This Row],[Age Band Code]]&amp;"; "&amp;S6160&amp;AS[[#This Row],[Sex Code]]</f>
        <v xml:space="preserve">Insurer Code ; Reporting Year ; Insurance Category Code ; Large Provider Entity Code ; Age Band Code ; Sex Code </v>
      </c>
      <c r="N6160" s="345" t="s">
        <v>207</v>
      </c>
      <c r="O6160" s="345" t="s">
        <v>208</v>
      </c>
      <c r="P6160" s="345" t="s">
        <v>209</v>
      </c>
      <c r="Q6160" s="345" t="s">
        <v>210</v>
      </c>
      <c r="R6160" s="345" t="s">
        <v>223</v>
      </c>
      <c r="S6160" s="345" t="s">
        <v>224</v>
      </c>
    </row>
    <row r="6161" spans="1:19" x14ac:dyDescent="0.25">
      <c r="A6161" s="311"/>
      <c r="B6161" s="312"/>
      <c r="C6161" s="312"/>
      <c r="D6161" s="312"/>
      <c r="E6161" s="312"/>
      <c r="F6161" s="312"/>
      <c r="G6161" s="328"/>
      <c r="H6161" s="453"/>
      <c r="I6161" s="334"/>
      <c r="J6161" s="314"/>
      <c r="K6161" s="454"/>
      <c r="M6161" s="349" t="str">
        <f>N6161&amp;AS[[#This Row],[Insurer Code]]&amp;"; "&amp;O6161&amp;AS[[#This Row],[Reporting Year]]&amp;"; "&amp;P6161&amp;AS[[#This Row],[Insurance Category Code]]&amp;"; "&amp;Q6161&amp;AS[[#This Row],[Large Provider Entity Code]]&amp;"; "&amp;R6161&amp;AS[[#This Row],[Age Band Code]]&amp;"; "&amp;S6161&amp;AS[[#This Row],[Sex Code]]</f>
        <v xml:space="preserve">Insurer Code ; Reporting Year ; Insurance Category Code ; Large Provider Entity Code ; Age Band Code ; Sex Code </v>
      </c>
      <c r="N6161" s="345" t="s">
        <v>207</v>
      </c>
      <c r="O6161" s="345" t="s">
        <v>208</v>
      </c>
      <c r="P6161" s="345" t="s">
        <v>209</v>
      </c>
      <c r="Q6161" s="345" t="s">
        <v>210</v>
      </c>
      <c r="R6161" s="345" t="s">
        <v>223</v>
      </c>
      <c r="S6161" s="345" t="s">
        <v>224</v>
      </c>
    </row>
    <row r="6162" spans="1:19" x14ac:dyDescent="0.25">
      <c r="A6162" s="311"/>
      <c r="B6162" s="312"/>
      <c r="C6162" s="312"/>
      <c r="D6162" s="312"/>
      <c r="E6162" s="312"/>
      <c r="F6162" s="312"/>
      <c r="G6162" s="328"/>
      <c r="H6162" s="453"/>
      <c r="I6162" s="334"/>
      <c r="J6162" s="314"/>
      <c r="K6162" s="454"/>
      <c r="M6162" s="349" t="str">
        <f>N6162&amp;AS[[#This Row],[Insurer Code]]&amp;"; "&amp;O6162&amp;AS[[#This Row],[Reporting Year]]&amp;"; "&amp;P6162&amp;AS[[#This Row],[Insurance Category Code]]&amp;"; "&amp;Q6162&amp;AS[[#This Row],[Large Provider Entity Code]]&amp;"; "&amp;R6162&amp;AS[[#This Row],[Age Band Code]]&amp;"; "&amp;S6162&amp;AS[[#This Row],[Sex Code]]</f>
        <v xml:space="preserve">Insurer Code ; Reporting Year ; Insurance Category Code ; Large Provider Entity Code ; Age Band Code ; Sex Code </v>
      </c>
      <c r="N6162" s="345" t="s">
        <v>207</v>
      </c>
      <c r="O6162" s="345" t="s">
        <v>208</v>
      </c>
      <c r="P6162" s="345" t="s">
        <v>209</v>
      </c>
      <c r="Q6162" s="345" t="s">
        <v>210</v>
      </c>
      <c r="R6162" s="345" t="s">
        <v>223</v>
      </c>
      <c r="S6162" s="345" t="s">
        <v>224</v>
      </c>
    </row>
    <row r="6163" spans="1:19" x14ac:dyDescent="0.25">
      <c r="A6163" s="311"/>
      <c r="B6163" s="312"/>
      <c r="C6163" s="312"/>
      <c r="D6163" s="312"/>
      <c r="E6163" s="312"/>
      <c r="F6163" s="312"/>
      <c r="G6163" s="328"/>
      <c r="H6163" s="453"/>
      <c r="I6163" s="334"/>
      <c r="J6163" s="314"/>
      <c r="K6163" s="454"/>
      <c r="M6163" s="349" t="str">
        <f>N6163&amp;AS[[#This Row],[Insurer Code]]&amp;"; "&amp;O6163&amp;AS[[#This Row],[Reporting Year]]&amp;"; "&amp;P6163&amp;AS[[#This Row],[Insurance Category Code]]&amp;"; "&amp;Q6163&amp;AS[[#This Row],[Large Provider Entity Code]]&amp;"; "&amp;R6163&amp;AS[[#This Row],[Age Band Code]]&amp;"; "&amp;S6163&amp;AS[[#This Row],[Sex Code]]</f>
        <v xml:space="preserve">Insurer Code ; Reporting Year ; Insurance Category Code ; Large Provider Entity Code ; Age Band Code ; Sex Code </v>
      </c>
      <c r="N6163" s="345" t="s">
        <v>207</v>
      </c>
      <c r="O6163" s="345" t="s">
        <v>208</v>
      </c>
      <c r="P6163" s="345" t="s">
        <v>209</v>
      </c>
      <c r="Q6163" s="345" t="s">
        <v>210</v>
      </c>
      <c r="R6163" s="345" t="s">
        <v>223</v>
      </c>
      <c r="S6163" s="345" t="s">
        <v>224</v>
      </c>
    </row>
    <row r="6164" spans="1:19" x14ac:dyDescent="0.25">
      <c r="A6164" s="311"/>
      <c r="B6164" s="312"/>
      <c r="C6164" s="312"/>
      <c r="D6164" s="312"/>
      <c r="E6164" s="312"/>
      <c r="F6164" s="312"/>
      <c r="G6164" s="328"/>
      <c r="H6164" s="453"/>
      <c r="I6164" s="334"/>
      <c r="J6164" s="314"/>
      <c r="K6164" s="454"/>
      <c r="M6164" s="349" t="str">
        <f>N6164&amp;AS[[#This Row],[Insurer Code]]&amp;"; "&amp;O6164&amp;AS[[#This Row],[Reporting Year]]&amp;"; "&amp;P6164&amp;AS[[#This Row],[Insurance Category Code]]&amp;"; "&amp;Q6164&amp;AS[[#This Row],[Large Provider Entity Code]]&amp;"; "&amp;R6164&amp;AS[[#This Row],[Age Band Code]]&amp;"; "&amp;S6164&amp;AS[[#This Row],[Sex Code]]</f>
        <v xml:space="preserve">Insurer Code ; Reporting Year ; Insurance Category Code ; Large Provider Entity Code ; Age Band Code ; Sex Code </v>
      </c>
      <c r="N6164" s="345" t="s">
        <v>207</v>
      </c>
      <c r="O6164" s="345" t="s">
        <v>208</v>
      </c>
      <c r="P6164" s="345" t="s">
        <v>209</v>
      </c>
      <c r="Q6164" s="345" t="s">
        <v>210</v>
      </c>
      <c r="R6164" s="345" t="s">
        <v>223</v>
      </c>
      <c r="S6164" s="345" t="s">
        <v>224</v>
      </c>
    </row>
    <row r="6165" spans="1:19" x14ac:dyDescent="0.25">
      <c r="A6165" s="311"/>
      <c r="B6165" s="312"/>
      <c r="C6165" s="312"/>
      <c r="D6165" s="312"/>
      <c r="E6165" s="312"/>
      <c r="F6165" s="312"/>
      <c r="G6165" s="328"/>
      <c r="H6165" s="453"/>
      <c r="I6165" s="334"/>
      <c r="J6165" s="314"/>
      <c r="K6165" s="454"/>
      <c r="M6165" s="349" t="str">
        <f>N6165&amp;AS[[#This Row],[Insurer Code]]&amp;"; "&amp;O6165&amp;AS[[#This Row],[Reporting Year]]&amp;"; "&amp;P6165&amp;AS[[#This Row],[Insurance Category Code]]&amp;"; "&amp;Q6165&amp;AS[[#This Row],[Large Provider Entity Code]]&amp;"; "&amp;R6165&amp;AS[[#This Row],[Age Band Code]]&amp;"; "&amp;S6165&amp;AS[[#This Row],[Sex Code]]</f>
        <v xml:space="preserve">Insurer Code ; Reporting Year ; Insurance Category Code ; Large Provider Entity Code ; Age Band Code ; Sex Code </v>
      </c>
      <c r="N6165" s="345" t="s">
        <v>207</v>
      </c>
      <c r="O6165" s="345" t="s">
        <v>208</v>
      </c>
      <c r="P6165" s="345" t="s">
        <v>209</v>
      </c>
      <c r="Q6165" s="345" t="s">
        <v>210</v>
      </c>
      <c r="R6165" s="345" t="s">
        <v>223</v>
      </c>
      <c r="S6165" s="345" t="s">
        <v>224</v>
      </c>
    </row>
    <row r="6166" spans="1:19" x14ac:dyDescent="0.25">
      <c r="A6166" s="311"/>
      <c r="B6166" s="312"/>
      <c r="C6166" s="312"/>
      <c r="D6166" s="312"/>
      <c r="E6166" s="312"/>
      <c r="F6166" s="312"/>
      <c r="G6166" s="328"/>
      <c r="H6166" s="453"/>
      <c r="I6166" s="334"/>
      <c r="J6166" s="314"/>
      <c r="K6166" s="454"/>
      <c r="M6166" s="349" t="str">
        <f>N6166&amp;AS[[#This Row],[Insurer Code]]&amp;"; "&amp;O6166&amp;AS[[#This Row],[Reporting Year]]&amp;"; "&amp;P6166&amp;AS[[#This Row],[Insurance Category Code]]&amp;"; "&amp;Q6166&amp;AS[[#This Row],[Large Provider Entity Code]]&amp;"; "&amp;R6166&amp;AS[[#This Row],[Age Band Code]]&amp;"; "&amp;S6166&amp;AS[[#This Row],[Sex Code]]</f>
        <v xml:space="preserve">Insurer Code ; Reporting Year ; Insurance Category Code ; Large Provider Entity Code ; Age Band Code ; Sex Code </v>
      </c>
      <c r="N6166" s="345" t="s">
        <v>207</v>
      </c>
      <c r="O6166" s="345" t="s">
        <v>208</v>
      </c>
      <c r="P6166" s="345" t="s">
        <v>209</v>
      </c>
      <c r="Q6166" s="345" t="s">
        <v>210</v>
      </c>
      <c r="R6166" s="345" t="s">
        <v>223</v>
      </c>
      <c r="S6166" s="345" t="s">
        <v>224</v>
      </c>
    </row>
    <row r="6167" spans="1:19" x14ac:dyDescent="0.25">
      <c r="A6167" s="311"/>
      <c r="B6167" s="312"/>
      <c r="C6167" s="312"/>
      <c r="D6167" s="312"/>
      <c r="E6167" s="312"/>
      <c r="F6167" s="312"/>
      <c r="G6167" s="328"/>
      <c r="H6167" s="453"/>
      <c r="I6167" s="334"/>
      <c r="J6167" s="314"/>
      <c r="K6167" s="454"/>
      <c r="M6167" s="349" t="str">
        <f>N6167&amp;AS[[#This Row],[Insurer Code]]&amp;"; "&amp;O6167&amp;AS[[#This Row],[Reporting Year]]&amp;"; "&amp;P6167&amp;AS[[#This Row],[Insurance Category Code]]&amp;"; "&amp;Q6167&amp;AS[[#This Row],[Large Provider Entity Code]]&amp;"; "&amp;R6167&amp;AS[[#This Row],[Age Band Code]]&amp;"; "&amp;S6167&amp;AS[[#This Row],[Sex Code]]</f>
        <v xml:space="preserve">Insurer Code ; Reporting Year ; Insurance Category Code ; Large Provider Entity Code ; Age Band Code ; Sex Code </v>
      </c>
      <c r="N6167" s="345" t="s">
        <v>207</v>
      </c>
      <c r="O6167" s="345" t="s">
        <v>208</v>
      </c>
      <c r="P6167" s="345" t="s">
        <v>209</v>
      </c>
      <c r="Q6167" s="345" t="s">
        <v>210</v>
      </c>
      <c r="R6167" s="345" t="s">
        <v>223</v>
      </c>
      <c r="S6167" s="345" t="s">
        <v>224</v>
      </c>
    </row>
    <row r="6168" spans="1:19" x14ac:dyDescent="0.25">
      <c r="A6168" s="311"/>
      <c r="B6168" s="312"/>
      <c r="C6168" s="312"/>
      <c r="D6168" s="312"/>
      <c r="E6168" s="312"/>
      <c r="F6168" s="312"/>
      <c r="G6168" s="328"/>
      <c r="H6168" s="453"/>
      <c r="I6168" s="334"/>
      <c r="J6168" s="314"/>
      <c r="K6168" s="454"/>
      <c r="M6168" s="349" t="str">
        <f>N6168&amp;AS[[#This Row],[Insurer Code]]&amp;"; "&amp;O6168&amp;AS[[#This Row],[Reporting Year]]&amp;"; "&amp;P6168&amp;AS[[#This Row],[Insurance Category Code]]&amp;"; "&amp;Q6168&amp;AS[[#This Row],[Large Provider Entity Code]]&amp;"; "&amp;R6168&amp;AS[[#This Row],[Age Band Code]]&amp;"; "&amp;S6168&amp;AS[[#This Row],[Sex Code]]</f>
        <v xml:space="preserve">Insurer Code ; Reporting Year ; Insurance Category Code ; Large Provider Entity Code ; Age Band Code ; Sex Code </v>
      </c>
      <c r="N6168" s="345" t="s">
        <v>207</v>
      </c>
      <c r="O6168" s="345" t="s">
        <v>208</v>
      </c>
      <c r="P6168" s="345" t="s">
        <v>209</v>
      </c>
      <c r="Q6168" s="345" t="s">
        <v>210</v>
      </c>
      <c r="R6168" s="345" t="s">
        <v>223</v>
      </c>
      <c r="S6168" s="345" t="s">
        <v>224</v>
      </c>
    </row>
    <row r="6169" spans="1:19" x14ac:dyDescent="0.25">
      <c r="A6169" s="311"/>
      <c r="B6169" s="312"/>
      <c r="C6169" s="312"/>
      <c r="D6169" s="312"/>
      <c r="E6169" s="312"/>
      <c r="F6169" s="312"/>
      <c r="G6169" s="328"/>
      <c r="H6169" s="453"/>
      <c r="I6169" s="334"/>
      <c r="J6169" s="314"/>
      <c r="K6169" s="454"/>
      <c r="M6169" s="349" t="str">
        <f>N6169&amp;AS[[#This Row],[Insurer Code]]&amp;"; "&amp;O6169&amp;AS[[#This Row],[Reporting Year]]&amp;"; "&amp;P6169&amp;AS[[#This Row],[Insurance Category Code]]&amp;"; "&amp;Q6169&amp;AS[[#This Row],[Large Provider Entity Code]]&amp;"; "&amp;R6169&amp;AS[[#This Row],[Age Band Code]]&amp;"; "&amp;S6169&amp;AS[[#This Row],[Sex Code]]</f>
        <v xml:space="preserve">Insurer Code ; Reporting Year ; Insurance Category Code ; Large Provider Entity Code ; Age Band Code ; Sex Code </v>
      </c>
      <c r="N6169" s="345" t="s">
        <v>207</v>
      </c>
      <c r="O6169" s="345" t="s">
        <v>208</v>
      </c>
      <c r="P6169" s="345" t="s">
        <v>209</v>
      </c>
      <c r="Q6169" s="345" t="s">
        <v>210</v>
      </c>
      <c r="R6169" s="345" t="s">
        <v>223</v>
      </c>
      <c r="S6169" s="345" t="s">
        <v>224</v>
      </c>
    </row>
    <row r="6170" spans="1:19" x14ac:dyDescent="0.25">
      <c r="A6170" s="311"/>
      <c r="B6170" s="312"/>
      <c r="C6170" s="312"/>
      <c r="D6170" s="312"/>
      <c r="E6170" s="312"/>
      <c r="F6170" s="312"/>
      <c r="G6170" s="328"/>
      <c r="H6170" s="453"/>
      <c r="I6170" s="334"/>
      <c r="J6170" s="314"/>
      <c r="K6170" s="454"/>
      <c r="M6170" s="349" t="str">
        <f>N6170&amp;AS[[#This Row],[Insurer Code]]&amp;"; "&amp;O6170&amp;AS[[#This Row],[Reporting Year]]&amp;"; "&amp;P6170&amp;AS[[#This Row],[Insurance Category Code]]&amp;"; "&amp;Q6170&amp;AS[[#This Row],[Large Provider Entity Code]]&amp;"; "&amp;R6170&amp;AS[[#This Row],[Age Band Code]]&amp;"; "&amp;S6170&amp;AS[[#This Row],[Sex Code]]</f>
        <v xml:space="preserve">Insurer Code ; Reporting Year ; Insurance Category Code ; Large Provider Entity Code ; Age Band Code ; Sex Code </v>
      </c>
      <c r="N6170" s="345" t="s">
        <v>207</v>
      </c>
      <c r="O6170" s="345" t="s">
        <v>208</v>
      </c>
      <c r="P6170" s="345" t="s">
        <v>209</v>
      </c>
      <c r="Q6170" s="345" t="s">
        <v>210</v>
      </c>
      <c r="R6170" s="345" t="s">
        <v>223</v>
      </c>
      <c r="S6170" s="345" t="s">
        <v>224</v>
      </c>
    </row>
    <row r="6171" spans="1:19" x14ac:dyDescent="0.25">
      <c r="A6171" s="311"/>
      <c r="B6171" s="312"/>
      <c r="C6171" s="312"/>
      <c r="D6171" s="312"/>
      <c r="E6171" s="312"/>
      <c r="F6171" s="312"/>
      <c r="G6171" s="328"/>
      <c r="H6171" s="453"/>
      <c r="I6171" s="334"/>
      <c r="J6171" s="314"/>
      <c r="K6171" s="454"/>
      <c r="M6171" s="349" t="str">
        <f>N6171&amp;AS[[#This Row],[Insurer Code]]&amp;"; "&amp;O6171&amp;AS[[#This Row],[Reporting Year]]&amp;"; "&amp;P6171&amp;AS[[#This Row],[Insurance Category Code]]&amp;"; "&amp;Q6171&amp;AS[[#This Row],[Large Provider Entity Code]]&amp;"; "&amp;R6171&amp;AS[[#This Row],[Age Band Code]]&amp;"; "&amp;S6171&amp;AS[[#This Row],[Sex Code]]</f>
        <v xml:space="preserve">Insurer Code ; Reporting Year ; Insurance Category Code ; Large Provider Entity Code ; Age Band Code ; Sex Code </v>
      </c>
      <c r="N6171" s="345" t="s">
        <v>207</v>
      </c>
      <c r="O6171" s="345" t="s">
        <v>208</v>
      </c>
      <c r="P6171" s="345" t="s">
        <v>209</v>
      </c>
      <c r="Q6171" s="345" t="s">
        <v>210</v>
      </c>
      <c r="R6171" s="345" t="s">
        <v>223</v>
      </c>
      <c r="S6171" s="345" t="s">
        <v>224</v>
      </c>
    </row>
    <row r="6172" spans="1:19" x14ac:dyDescent="0.25">
      <c r="A6172" s="311"/>
      <c r="B6172" s="312"/>
      <c r="C6172" s="312"/>
      <c r="D6172" s="312"/>
      <c r="E6172" s="312"/>
      <c r="F6172" s="312"/>
      <c r="G6172" s="328"/>
      <c r="H6172" s="453"/>
      <c r="I6172" s="334"/>
      <c r="J6172" s="314"/>
      <c r="K6172" s="454"/>
      <c r="M6172" s="349" t="str">
        <f>N6172&amp;AS[[#This Row],[Insurer Code]]&amp;"; "&amp;O6172&amp;AS[[#This Row],[Reporting Year]]&amp;"; "&amp;P6172&amp;AS[[#This Row],[Insurance Category Code]]&amp;"; "&amp;Q6172&amp;AS[[#This Row],[Large Provider Entity Code]]&amp;"; "&amp;R6172&amp;AS[[#This Row],[Age Band Code]]&amp;"; "&amp;S6172&amp;AS[[#This Row],[Sex Code]]</f>
        <v xml:space="preserve">Insurer Code ; Reporting Year ; Insurance Category Code ; Large Provider Entity Code ; Age Band Code ; Sex Code </v>
      </c>
      <c r="N6172" s="345" t="s">
        <v>207</v>
      </c>
      <c r="O6172" s="345" t="s">
        <v>208</v>
      </c>
      <c r="P6172" s="345" t="s">
        <v>209</v>
      </c>
      <c r="Q6172" s="345" t="s">
        <v>210</v>
      </c>
      <c r="R6172" s="345" t="s">
        <v>223</v>
      </c>
      <c r="S6172" s="345" t="s">
        <v>224</v>
      </c>
    </row>
    <row r="6173" spans="1:19" x14ac:dyDescent="0.25">
      <c r="A6173" s="311"/>
      <c r="B6173" s="312"/>
      <c r="C6173" s="312"/>
      <c r="D6173" s="312"/>
      <c r="E6173" s="312"/>
      <c r="F6173" s="312"/>
      <c r="G6173" s="328"/>
      <c r="H6173" s="453"/>
      <c r="I6173" s="334"/>
      <c r="J6173" s="314"/>
      <c r="K6173" s="454"/>
      <c r="M6173" s="349" t="str">
        <f>N6173&amp;AS[[#This Row],[Insurer Code]]&amp;"; "&amp;O6173&amp;AS[[#This Row],[Reporting Year]]&amp;"; "&amp;P6173&amp;AS[[#This Row],[Insurance Category Code]]&amp;"; "&amp;Q6173&amp;AS[[#This Row],[Large Provider Entity Code]]&amp;"; "&amp;R6173&amp;AS[[#This Row],[Age Band Code]]&amp;"; "&amp;S6173&amp;AS[[#This Row],[Sex Code]]</f>
        <v xml:space="preserve">Insurer Code ; Reporting Year ; Insurance Category Code ; Large Provider Entity Code ; Age Band Code ; Sex Code </v>
      </c>
      <c r="N6173" s="345" t="s">
        <v>207</v>
      </c>
      <c r="O6173" s="345" t="s">
        <v>208</v>
      </c>
      <c r="P6173" s="345" t="s">
        <v>209</v>
      </c>
      <c r="Q6173" s="345" t="s">
        <v>210</v>
      </c>
      <c r="R6173" s="345" t="s">
        <v>223</v>
      </c>
      <c r="S6173" s="345" t="s">
        <v>224</v>
      </c>
    </row>
    <row r="6174" spans="1:19" x14ac:dyDescent="0.25">
      <c r="A6174" s="311"/>
      <c r="B6174" s="312"/>
      <c r="C6174" s="312"/>
      <c r="D6174" s="312"/>
      <c r="E6174" s="312"/>
      <c r="F6174" s="312"/>
      <c r="G6174" s="328"/>
      <c r="H6174" s="453"/>
      <c r="I6174" s="334"/>
      <c r="J6174" s="314"/>
      <c r="K6174" s="454"/>
      <c r="M6174" s="349" t="str">
        <f>N6174&amp;AS[[#This Row],[Insurer Code]]&amp;"; "&amp;O6174&amp;AS[[#This Row],[Reporting Year]]&amp;"; "&amp;P6174&amp;AS[[#This Row],[Insurance Category Code]]&amp;"; "&amp;Q6174&amp;AS[[#This Row],[Large Provider Entity Code]]&amp;"; "&amp;R6174&amp;AS[[#This Row],[Age Band Code]]&amp;"; "&amp;S6174&amp;AS[[#This Row],[Sex Code]]</f>
        <v xml:space="preserve">Insurer Code ; Reporting Year ; Insurance Category Code ; Large Provider Entity Code ; Age Band Code ; Sex Code </v>
      </c>
      <c r="N6174" s="345" t="s">
        <v>207</v>
      </c>
      <c r="O6174" s="345" t="s">
        <v>208</v>
      </c>
      <c r="P6174" s="345" t="s">
        <v>209</v>
      </c>
      <c r="Q6174" s="345" t="s">
        <v>210</v>
      </c>
      <c r="R6174" s="345" t="s">
        <v>223</v>
      </c>
      <c r="S6174" s="345" t="s">
        <v>224</v>
      </c>
    </row>
    <row r="6175" spans="1:19" x14ac:dyDescent="0.25">
      <c r="A6175" s="311"/>
      <c r="B6175" s="312"/>
      <c r="C6175" s="312"/>
      <c r="D6175" s="312"/>
      <c r="E6175" s="312"/>
      <c r="F6175" s="312"/>
      <c r="G6175" s="328"/>
      <c r="H6175" s="453"/>
      <c r="I6175" s="334"/>
      <c r="J6175" s="314"/>
      <c r="K6175" s="454"/>
      <c r="M6175" s="349" t="str">
        <f>N6175&amp;AS[[#This Row],[Insurer Code]]&amp;"; "&amp;O6175&amp;AS[[#This Row],[Reporting Year]]&amp;"; "&amp;P6175&amp;AS[[#This Row],[Insurance Category Code]]&amp;"; "&amp;Q6175&amp;AS[[#This Row],[Large Provider Entity Code]]&amp;"; "&amp;R6175&amp;AS[[#This Row],[Age Band Code]]&amp;"; "&amp;S6175&amp;AS[[#This Row],[Sex Code]]</f>
        <v xml:space="preserve">Insurer Code ; Reporting Year ; Insurance Category Code ; Large Provider Entity Code ; Age Band Code ; Sex Code </v>
      </c>
      <c r="N6175" s="345" t="s">
        <v>207</v>
      </c>
      <c r="O6175" s="345" t="s">
        <v>208</v>
      </c>
      <c r="P6175" s="345" t="s">
        <v>209</v>
      </c>
      <c r="Q6175" s="345" t="s">
        <v>210</v>
      </c>
      <c r="R6175" s="345" t="s">
        <v>223</v>
      </c>
      <c r="S6175" s="345" t="s">
        <v>224</v>
      </c>
    </row>
    <row r="6176" spans="1:19" x14ac:dyDescent="0.25">
      <c r="A6176" s="311"/>
      <c r="B6176" s="312"/>
      <c r="C6176" s="312"/>
      <c r="D6176" s="312"/>
      <c r="E6176" s="312"/>
      <c r="F6176" s="312"/>
      <c r="G6176" s="328"/>
      <c r="H6176" s="453"/>
      <c r="I6176" s="334"/>
      <c r="J6176" s="314"/>
      <c r="K6176" s="454"/>
      <c r="M6176" s="349" t="str">
        <f>N6176&amp;AS[[#This Row],[Insurer Code]]&amp;"; "&amp;O6176&amp;AS[[#This Row],[Reporting Year]]&amp;"; "&amp;P6176&amp;AS[[#This Row],[Insurance Category Code]]&amp;"; "&amp;Q6176&amp;AS[[#This Row],[Large Provider Entity Code]]&amp;"; "&amp;R6176&amp;AS[[#This Row],[Age Band Code]]&amp;"; "&amp;S6176&amp;AS[[#This Row],[Sex Code]]</f>
        <v xml:space="preserve">Insurer Code ; Reporting Year ; Insurance Category Code ; Large Provider Entity Code ; Age Band Code ; Sex Code </v>
      </c>
      <c r="N6176" s="345" t="s">
        <v>207</v>
      </c>
      <c r="O6176" s="345" t="s">
        <v>208</v>
      </c>
      <c r="P6176" s="345" t="s">
        <v>209</v>
      </c>
      <c r="Q6176" s="345" t="s">
        <v>210</v>
      </c>
      <c r="R6176" s="345" t="s">
        <v>223</v>
      </c>
      <c r="S6176" s="345" t="s">
        <v>224</v>
      </c>
    </row>
    <row r="6177" spans="1:19" x14ac:dyDescent="0.25">
      <c r="A6177" s="311"/>
      <c r="B6177" s="312"/>
      <c r="C6177" s="312"/>
      <c r="D6177" s="312"/>
      <c r="E6177" s="312"/>
      <c r="F6177" s="312"/>
      <c r="G6177" s="328"/>
      <c r="H6177" s="453"/>
      <c r="I6177" s="334"/>
      <c r="J6177" s="314"/>
      <c r="K6177" s="454"/>
      <c r="M6177" s="349" t="str">
        <f>N6177&amp;AS[[#This Row],[Insurer Code]]&amp;"; "&amp;O6177&amp;AS[[#This Row],[Reporting Year]]&amp;"; "&amp;P6177&amp;AS[[#This Row],[Insurance Category Code]]&amp;"; "&amp;Q6177&amp;AS[[#This Row],[Large Provider Entity Code]]&amp;"; "&amp;R6177&amp;AS[[#This Row],[Age Band Code]]&amp;"; "&amp;S6177&amp;AS[[#This Row],[Sex Code]]</f>
        <v xml:space="preserve">Insurer Code ; Reporting Year ; Insurance Category Code ; Large Provider Entity Code ; Age Band Code ; Sex Code </v>
      </c>
      <c r="N6177" s="345" t="s">
        <v>207</v>
      </c>
      <c r="O6177" s="345" t="s">
        <v>208</v>
      </c>
      <c r="P6177" s="345" t="s">
        <v>209</v>
      </c>
      <c r="Q6177" s="345" t="s">
        <v>210</v>
      </c>
      <c r="R6177" s="345" t="s">
        <v>223</v>
      </c>
      <c r="S6177" s="345" t="s">
        <v>224</v>
      </c>
    </row>
    <row r="6178" spans="1:19" x14ac:dyDescent="0.25">
      <c r="A6178" s="311"/>
      <c r="B6178" s="312"/>
      <c r="C6178" s="312"/>
      <c r="D6178" s="312"/>
      <c r="E6178" s="312"/>
      <c r="F6178" s="312"/>
      <c r="G6178" s="328"/>
      <c r="H6178" s="453"/>
      <c r="I6178" s="334"/>
      <c r="J6178" s="314"/>
      <c r="K6178" s="454"/>
      <c r="M6178" s="349" t="str">
        <f>N6178&amp;AS[[#This Row],[Insurer Code]]&amp;"; "&amp;O6178&amp;AS[[#This Row],[Reporting Year]]&amp;"; "&amp;P6178&amp;AS[[#This Row],[Insurance Category Code]]&amp;"; "&amp;Q6178&amp;AS[[#This Row],[Large Provider Entity Code]]&amp;"; "&amp;R6178&amp;AS[[#This Row],[Age Band Code]]&amp;"; "&amp;S6178&amp;AS[[#This Row],[Sex Code]]</f>
        <v xml:space="preserve">Insurer Code ; Reporting Year ; Insurance Category Code ; Large Provider Entity Code ; Age Band Code ; Sex Code </v>
      </c>
      <c r="N6178" s="345" t="s">
        <v>207</v>
      </c>
      <c r="O6178" s="345" t="s">
        <v>208</v>
      </c>
      <c r="P6178" s="345" t="s">
        <v>209</v>
      </c>
      <c r="Q6178" s="345" t="s">
        <v>210</v>
      </c>
      <c r="R6178" s="345" t="s">
        <v>223</v>
      </c>
      <c r="S6178" s="345" t="s">
        <v>224</v>
      </c>
    </row>
    <row r="6179" spans="1:19" x14ac:dyDescent="0.25">
      <c r="A6179" s="311"/>
      <c r="B6179" s="312"/>
      <c r="C6179" s="312"/>
      <c r="D6179" s="312"/>
      <c r="E6179" s="312"/>
      <c r="F6179" s="312"/>
      <c r="G6179" s="328"/>
      <c r="H6179" s="453"/>
      <c r="I6179" s="334"/>
      <c r="J6179" s="314"/>
      <c r="K6179" s="454"/>
      <c r="M6179" s="349" t="str">
        <f>N6179&amp;AS[[#This Row],[Insurer Code]]&amp;"; "&amp;O6179&amp;AS[[#This Row],[Reporting Year]]&amp;"; "&amp;P6179&amp;AS[[#This Row],[Insurance Category Code]]&amp;"; "&amp;Q6179&amp;AS[[#This Row],[Large Provider Entity Code]]&amp;"; "&amp;R6179&amp;AS[[#This Row],[Age Band Code]]&amp;"; "&amp;S6179&amp;AS[[#This Row],[Sex Code]]</f>
        <v xml:space="preserve">Insurer Code ; Reporting Year ; Insurance Category Code ; Large Provider Entity Code ; Age Band Code ; Sex Code </v>
      </c>
      <c r="N6179" s="345" t="s">
        <v>207</v>
      </c>
      <c r="O6179" s="345" t="s">
        <v>208</v>
      </c>
      <c r="P6179" s="345" t="s">
        <v>209</v>
      </c>
      <c r="Q6179" s="345" t="s">
        <v>210</v>
      </c>
      <c r="R6179" s="345" t="s">
        <v>223</v>
      </c>
      <c r="S6179" s="345" t="s">
        <v>224</v>
      </c>
    </row>
    <row r="6180" spans="1:19" x14ac:dyDescent="0.25">
      <c r="A6180" s="311"/>
      <c r="B6180" s="312"/>
      <c r="C6180" s="312"/>
      <c r="D6180" s="312"/>
      <c r="E6180" s="312"/>
      <c r="F6180" s="312"/>
      <c r="G6180" s="328"/>
      <c r="H6180" s="453"/>
      <c r="I6180" s="334"/>
      <c r="J6180" s="314"/>
      <c r="K6180" s="454"/>
      <c r="M6180" s="349" t="str">
        <f>N6180&amp;AS[[#This Row],[Insurer Code]]&amp;"; "&amp;O6180&amp;AS[[#This Row],[Reporting Year]]&amp;"; "&amp;P6180&amp;AS[[#This Row],[Insurance Category Code]]&amp;"; "&amp;Q6180&amp;AS[[#This Row],[Large Provider Entity Code]]&amp;"; "&amp;R6180&amp;AS[[#This Row],[Age Band Code]]&amp;"; "&amp;S6180&amp;AS[[#This Row],[Sex Code]]</f>
        <v xml:space="preserve">Insurer Code ; Reporting Year ; Insurance Category Code ; Large Provider Entity Code ; Age Band Code ; Sex Code </v>
      </c>
      <c r="N6180" s="345" t="s">
        <v>207</v>
      </c>
      <c r="O6180" s="345" t="s">
        <v>208</v>
      </c>
      <c r="P6180" s="345" t="s">
        <v>209</v>
      </c>
      <c r="Q6180" s="345" t="s">
        <v>210</v>
      </c>
      <c r="R6180" s="345" t="s">
        <v>223</v>
      </c>
      <c r="S6180" s="345" t="s">
        <v>224</v>
      </c>
    </row>
    <row r="6181" spans="1:19" x14ac:dyDescent="0.25">
      <c r="A6181" s="311"/>
      <c r="B6181" s="312"/>
      <c r="C6181" s="312"/>
      <c r="D6181" s="312"/>
      <c r="E6181" s="312"/>
      <c r="F6181" s="312"/>
      <c r="G6181" s="328"/>
      <c r="H6181" s="453"/>
      <c r="I6181" s="334"/>
      <c r="J6181" s="314"/>
      <c r="K6181" s="454"/>
      <c r="M6181" s="349" t="str">
        <f>N6181&amp;AS[[#This Row],[Insurer Code]]&amp;"; "&amp;O6181&amp;AS[[#This Row],[Reporting Year]]&amp;"; "&amp;P6181&amp;AS[[#This Row],[Insurance Category Code]]&amp;"; "&amp;Q6181&amp;AS[[#This Row],[Large Provider Entity Code]]&amp;"; "&amp;R6181&amp;AS[[#This Row],[Age Band Code]]&amp;"; "&amp;S6181&amp;AS[[#This Row],[Sex Code]]</f>
        <v xml:space="preserve">Insurer Code ; Reporting Year ; Insurance Category Code ; Large Provider Entity Code ; Age Band Code ; Sex Code </v>
      </c>
      <c r="N6181" s="345" t="s">
        <v>207</v>
      </c>
      <c r="O6181" s="345" t="s">
        <v>208</v>
      </c>
      <c r="P6181" s="345" t="s">
        <v>209</v>
      </c>
      <c r="Q6181" s="345" t="s">
        <v>210</v>
      </c>
      <c r="R6181" s="345" t="s">
        <v>223</v>
      </c>
      <c r="S6181" s="345" t="s">
        <v>224</v>
      </c>
    </row>
    <row r="6182" spans="1:19" x14ac:dyDescent="0.25">
      <c r="A6182" s="311"/>
      <c r="B6182" s="312"/>
      <c r="C6182" s="312"/>
      <c r="D6182" s="312"/>
      <c r="E6182" s="312"/>
      <c r="F6182" s="312"/>
      <c r="G6182" s="328"/>
      <c r="H6182" s="453"/>
      <c r="I6182" s="334"/>
      <c r="J6182" s="314"/>
      <c r="K6182" s="454"/>
      <c r="M6182" s="349" t="str">
        <f>N6182&amp;AS[[#This Row],[Insurer Code]]&amp;"; "&amp;O6182&amp;AS[[#This Row],[Reporting Year]]&amp;"; "&amp;P6182&amp;AS[[#This Row],[Insurance Category Code]]&amp;"; "&amp;Q6182&amp;AS[[#This Row],[Large Provider Entity Code]]&amp;"; "&amp;R6182&amp;AS[[#This Row],[Age Band Code]]&amp;"; "&amp;S6182&amp;AS[[#This Row],[Sex Code]]</f>
        <v xml:space="preserve">Insurer Code ; Reporting Year ; Insurance Category Code ; Large Provider Entity Code ; Age Band Code ; Sex Code </v>
      </c>
      <c r="N6182" s="345" t="s">
        <v>207</v>
      </c>
      <c r="O6182" s="345" t="s">
        <v>208</v>
      </c>
      <c r="P6182" s="345" t="s">
        <v>209</v>
      </c>
      <c r="Q6182" s="345" t="s">
        <v>210</v>
      </c>
      <c r="R6182" s="345" t="s">
        <v>223</v>
      </c>
      <c r="S6182" s="345" t="s">
        <v>224</v>
      </c>
    </row>
    <row r="6183" spans="1:19" x14ac:dyDescent="0.25">
      <c r="A6183" s="311"/>
      <c r="B6183" s="312"/>
      <c r="C6183" s="312"/>
      <c r="D6183" s="312"/>
      <c r="E6183" s="312"/>
      <c r="F6183" s="312"/>
      <c r="G6183" s="328"/>
      <c r="H6183" s="453"/>
      <c r="I6183" s="334"/>
      <c r="J6183" s="314"/>
      <c r="K6183" s="454"/>
      <c r="M6183" s="349" t="str">
        <f>N6183&amp;AS[[#This Row],[Insurer Code]]&amp;"; "&amp;O6183&amp;AS[[#This Row],[Reporting Year]]&amp;"; "&amp;P6183&amp;AS[[#This Row],[Insurance Category Code]]&amp;"; "&amp;Q6183&amp;AS[[#This Row],[Large Provider Entity Code]]&amp;"; "&amp;R6183&amp;AS[[#This Row],[Age Band Code]]&amp;"; "&amp;S6183&amp;AS[[#This Row],[Sex Code]]</f>
        <v xml:space="preserve">Insurer Code ; Reporting Year ; Insurance Category Code ; Large Provider Entity Code ; Age Band Code ; Sex Code </v>
      </c>
      <c r="N6183" s="345" t="s">
        <v>207</v>
      </c>
      <c r="O6183" s="345" t="s">
        <v>208</v>
      </c>
      <c r="P6183" s="345" t="s">
        <v>209</v>
      </c>
      <c r="Q6183" s="345" t="s">
        <v>210</v>
      </c>
      <c r="R6183" s="345" t="s">
        <v>223</v>
      </c>
      <c r="S6183" s="345" t="s">
        <v>224</v>
      </c>
    </row>
    <row r="6184" spans="1:19" x14ac:dyDescent="0.25">
      <c r="A6184" s="311"/>
      <c r="B6184" s="312"/>
      <c r="C6184" s="312"/>
      <c r="D6184" s="312"/>
      <c r="E6184" s="312"/>
      <c r="F6184" s="312"/>
      <c r="G6184" s="328"/>
      <c r="H6184" s="453"/>
      <c r="I6184" s="334"/>
      <c r="J6184" s="314"/>
      <c r="K6184" s="454"/>
      <c r="M6184" s="349" t="str">
        <f>N6184&amp;AS[[#This Row],[Insurer Code]]&amp;"; "&amp;O6184&amp;AS[[#This Row],[Reporting Year]]&amp;"; "&amp;P6184&amp;AS[[#This Row],[Insurance Category Code]]&amp;"; "&amp;Q6184&amp;AS[[#This Row],[Large Provider Entity Code]]&amp;"; "&amp;R6184&amp;AS[[#This Row],[Age Band Code]]&amp;"; "&amp;S6184&amp;AS[[#This Row],[Sex Code]]</f>
        <v xml:space="preserve">Insurer Code ; Reporting Year ; Insurance Category Code ; Large Provider Entity Code ; Age Band Code ; Sex Code </v>
      </c>
      <c r="N6184" s="345" t="s">
        <v>207</v>
      </c>
      <c r="O6184" s="345" t="s">
        <v>208</v>
      </c>
      <c r="P6184" s="345" t="s">
        <v>209</v>
      </c>
      <c r="Q6184" s="345" t="s">
        <v>210</v>
      </c>
      <c r="R6184" s="345" t="s">
        <v>223</v>
      </c>
      <c r="S6184" s="345" t="s">
        <v>224</v>
      </c>
    </row>
    <row r="6185" spans="1:19" x14ac:dyDescent="0.25">
      <c r="A6185" s="311"/>
      <c r="B6185" s="312"/>
      <c r="C6185" s="312"/>
      <c r="D6185" s="312"/>
      <c r="E6185" s="312"/>
      <c r="F6185" s="312"/>
      <c r="G6185" s="328"/>
      <c r="H6185" s="453"/>
      <c r="I6185" s="334"/>
      <c r="J6185" s="314"/>
      <c r="K6185" s="454"/>
      <c r="M6185" s="349" t="str">
        <f>N6185&amp;AS[[#This Row],[Insurer Code]]&amp;"; "&amp;O6185&amp;AS[[#This Row],[Reporting Year]]&amp;"; "&amp;P6185&amp;AS[[#This Row],[Insurance Category Code]]&amp;"; "&amp;Q6185&amp;AS[[#This Row],[Large Provider Entity Code]]&amp;"; "&amp;R6185&amp;AS[[#This Row],[Age Band Code]]&amp;"; "&amp;S6185&amp;AS[[#This Row],[Sex Code]]</f>
        <v xml:space="preserve">Insurer Code ; Reporting Year ; Insurance Category Code ; Large Provider Entity Code ; Age Band Code ; Sex Code </v>
      </c>
      <c r="N6185" s="345" t="s">
        <v>207</v>
      </c>
      <c r="O6185" s="345" t="s">
        <v>208</v>
      </c>
      <c r="P6185" s="345" t="s">
        <v>209</v>
      </c>
      <c r="Q6185" s="345" t="s">
        <v>210</v>
      </c>
      <c r="R6185" s="345" t="s">
        <v>223</v>
      </c>
      <c r="S6185" s="345" t="s">
        <v>224</v>
      </c>
    </row>
    <row r="6186" spans="1:19" x14ac:dyDescent="0.25">
      <c r="A6186" s="311"/>
      <c r="B6186" s="312"/>
      <c r="C6186" s="312"/>
      <c r="D6186" s="312"/>
      <c r="E6186" s="312"/>
      <c r="F6186" s="312"/>
      <c r="G6186" s="328"/>
      <c r="H6186" s="453"/>
      <c r="I6186" s="334"/>
      <c r="J6186" s="314"/>
      <c r="K6186" s="454"/>
      <c r="M6186" s="349" t="str">
        <f>N6186&amp;AS[[#This Row],[Insurer Code]]&amp;"; "&amp;O6186&amp;AS[[#This Row],[Reporting Year]]&amp;"; "&amp;P6186&amp;AS[[#This Row],[Insurance Category Code]]&amp;"; "&amp;Q6186&amp;AS[[#This Row],[Large Provider Entity Code]]&amp;"; "&amp;R6186&amp;AS[[#This Row],[Age Band Code]]&amp;"; "&amp;S6186&amp;AS[[#This Row],[Sex Code]]</f>
        <v xml:space="preserve">Insurer Code ; Reporting Year ; Insurance Category Code ; Large Provider Entity Code ; Age Band Code ; Sex Code </v>
      </c>
      <c r="N6186" s="345" t="s">
        <v>207</v>
      </c>
      <c r="O6186" s="345" t="s">
        <v>208</v>
      </c>
      <c r="P6186" s="345" t="s">
        <v>209</v>
      </c>
      <c r="Q6186" s="345" t="s">
        <v>210</v>
      </c>
      <c r="R6186" s="345" t="s">
        <v>223</v>
      </c>
      <c r="S6186" s="345" t="s">
        <v>224</v>
      </c>
    </row>
    <row r="6187" spans="1:19" x14ac:dyDescent="0.25">
      <c r="A6187" s="311"/>
      <c r="B6187" s="312"/>
      <c r="C6187" s="312"/>
      <c r="D6187" s="312"/>
      <c r="E6187" s="312"/>
      <c r="F6187" s="312"/>
      <c r="G6187" s="328"/>
      <c r="H6187" s="453"/>
      <c r="I6187" s="334"/>
      <c r="J6187" s="314"/>
      <c r="K6187" s="454"/>
      <c r="M6187" s="349" t="str">
        <f>N6187&amp;AS[[#This Row],[Insurer Code]]&amp;"; "&amp;O6187&amp;AS[[#This Row],[Reporting Year]]&amp;"; "&amp;P6187&amp;AS[[#This Row],[Insurance Category Code]]&amp;"; "&amp;Q6187&amp;AS[[#This Row],[Large Provider Entity Code]]&amp;"; "&amp;R6187&amp;AS[[#This Row],[Age Band Code]]&amp;"; "&amp;S6187&amp;AS[[#This Row],[Sex Code]]</f>
        <v xml:space="preserve">Insurer Code ; Reporting Year ; Insurance Category Code ; Large Provider Entity Code ; Age Band Code ; Sex Code </v>
      </c>
      <c r="N6187" s="345" t="s">
        <v>207</v>
      </c>
      <c r="O6187" s="345" t="s">
        <v>208</v>
      </c>
      <c r="P6187" s="345" t="s">
        <v>209</v>
      </c>
      <c r="Q6187" s="345" t="s">
        <v>210</v>
      </c>
      <c r="R6187" s="345" t="s">
        <v>223</v>
      </c>
      <c r="S6187" s="345" t="s">
        <v>224</v>
      </c>
    </row>
    <row r="6188" spans="1:19" x14ac:dyDescent="0.25">
      <c r="A6188" s="311"/>
      <c r="B6188" s="312"/>
      <c r="C6188" s="312"/>
      <c r="D6188" s="312"/>
      <c r="E6188" s="312"/>
      <c r="F6188" s="312"/>
      <c r="G6188" s="328"/>
      <c r="H6188" s="453"/>
      <c r="I6188" s="334"/>
      <c r="J6188" s="314"/>
      <c r="K6188" s="454"/>
      <c r="M6188" s="349" t="str">
        <f>N6188&amp;AS[[#This Row],[Insurer Code]]&amp;"; "&amp;O6188&amp;AS[[#This Row],[Reporting Year]]&amp;"; "&amp;P6188&amp;AS[[#This Row],[Insurance Category Code]]&amp;"; "&amp;Q6188&amp;AS[[#This Row],[Large Provider Entity Code]]&amp;"; "&amp;R6188&amp;AS[[#This Row],[Age Band Code]]&amp;"; "&amp;S6188&amp;AS[[#This Row],[Sex Code]]</f>
        <v xml:space="preserve">Insurer Code ; Reporting Year ; Insurance Category Code ; Large Provider Entity Code ; Age Band Code ; Sex Code </v>
      </c>
      <c r="N6188" s="345" t="s">
        <v>207</v>
      </c>
      <c r="O6188" s="345" t="s">
        <v>208</v>
      </c>
      <c r="P6188" s="345" t="s">
        <v>209</v>
      </c>
      <c r="Q6188" s="345" t="s">
        <v>210</v>
      </c>
      <c r="R6188" s="345" t="s">
        <v>223</v>
      </c>
      <c r="S6188" s="345" t="s">
        <v>224</v>
      </c>
    </row>
    <row r="6189" spans="1:19" x14ac:dyDescent="0.25">
      <c r="A6189" s="311"/>
      <c r="B6189" s="312"/>
      <c r="C6189" s="312"/>
      <c r="D6189" s="312"/>
      <c r="E6189" s="312"/>
      <c r="F6189" s="312"/>
      <c r="G6189" s="328"/>
      <c r="H6189" s="453"/>
      <c r="I6189" s="334"/>
      <c r="J6189" s="314"/>
      <c r="K6189" s="454"/>
      <c r="M6189" s="349" t="str">
        <f>N6189&amp;AS[[#This Row],[Insurer Code]]&amp;"; "&amp;O6189&amp;AS[[#This Row],[Reporting Year]]&amp;"; "&amp;P6189&amp;AS[[#This Row],[Insurance Category Code]]&amp;"; "&amp;Q6189&amp;AS[[#This Row],[Large Provider Entity Code]]&amp;"; "&amp;R6189&amp;AS[[#This Row],[Age Band Code]]&amp;"; "&amp;S6189&amp;AS[[#This Row],[Sex Code]]</f>
        <v xml:space="preserve">Insurer Code ; Reporting Year ; Insurance Category Code ; Large Provider Entity Code ; Age Band Code ; Sex Code </v>
      </c>
      <c r="N6189" s="345" t="s">
        <v>207</v>
      </c>
      <c r="O6189" s="345" t="s">
        <v>208</v>
      </c>
      <c r="P6189" s="345" t="s">
        <v>209</v>
      </c>
      <c r="Q6189" s="345" t="s">
        <v>210</v>
      </c>
      <c r="R6189" s="345" t="s">
        <v>223</v>
      </c>
      <c r="S6189" s="345" t="s">
        <v>224</v>
      </c>
    </row>
    <row r="6190" spans="1:19" x14ac:dyDescent="0.25">
      <c r="A6190" s="311"/>
      <c r="B6190" s="312"/>
      <c r="C6190" s="312"/>
      <c r="D6190" s="312"/>
      <c r="E6190" s="312"/>
      <c r="F6190" s="312"/>
      <c r="G6190" s="328"/>
      <c r="H6190" s="453"/>
      <c r="I6190" s="334"/>
      <c r="J6190" s="314"/>
      <c r="K6190" s="454"/>
      <c r="M6190" s="349" t="str">
        <f>N6190&amp;AS[[#This Row],[Insurer Code]]&amp;"; "&amp;O6190&amp;AS[[#This Row],[Reporting Year]]&amp;"; "&amp;P6190&amp;AS[[#This Row],[Insurance Category Code]]&amp;"; "&amp;Q6190&amp;AS[[#This Row],[Large Provider Entity Code]]&amp;"; "&amp;R6190&amp;AS[[#This Row],[Age Band Code]]&amp;"; "&amp;S6190&amp;AS[[#This Row],[Sex Code]]</f>
        <v xml:space="preserve">Insurer Code ; Reporting Year ; Insurance Category Code ; Large Provider Entity Code ; Age Band Code ; Sex Code </v>
      </c>
      <c r="N6190" s="345" t="s">
        <v>207</v>
      </c>
      <c r="O6190" s="345" t="s">
        <v>208</v>
      </c>
      <c r="P6190" s="345" t="s">
        <v>209</v>
      </c>
      <c r="Q6190" s="345" t="s">
        <v>210</v>
      </c>
      <c r="R6190" s="345" t="s">
        <v>223</v>
      </c>
      <c r="S6190" s="345" t="s">
        <v>224</v>
      </c>
    </row>
    <row r="6191" spans="1:19" x14ac:dyDescent="0.25">
      <c r="A6191" s="311"/>
      <c r="B6191" s="312"/>
      <c r="C6191" s="312"/>
      <c r="D6191" s="312"/>
      <c r="E6191" s="312"/>
      <c r="F6191" s="312"/>
      <c r="G6191" s="328"/>
      <c r="H6191" s="453"/>
      <c r="I6191" s="334"/>
      <c r="J6191" s="314"/>
      <c r="K6191" s="454"/>
      <c r="M6191" s="349" t="str">
        <f>N6191&amp;AS[[#This Row],[Insurer Code]]&amp;"; "&amp;O6191&amp;AS[[#This Row],[Reporting Year]]&amp;"; "&amp;P6191&amp;AS[[#This Row],[Insurance Category Code]]&amp;"; "&amp;Q6191&amp;AS[[#This Row],[Large Provider Entity Code]]&amp;"; "&amp;R6191&amp;AS[[#This Row],[Age Band Code]]&amp;"; "&amp;S6191&amp;AS[[#This Row],[Sex Code]]</f>
        <v xml:space="preserve">Insurer Code ; Reporting Year ; Insurance Category Code ; Large Provider Entity Code ; Age Band Code ; Sex Code </v>
      </c>
      <c r="N6191" s="345" t="s">
        <v>207</v>
      </c>
      <c r="O6191" s="345" t="s">
        <v>208</v>
      </c>
      <c r="P6191" s="345" t="s">
        <v>209</v>
      </c>
      <c r="Q6191" s="345" t="s">
        <v>210</v>
      </c>
      <c r="R6191" s="345" t="s">
        <v>223</v>
      </c>
      <c r="S6191" s="345" t="s">
        <v>224</v>
      </c>
    </row>
    <row r="6192" spans="1:19" x14ac:dyDescent="0.25">
      <c r="A6192" s="311"/>
      <c r="B6192" s="312"/>
      <c r="C6192" s="312"/>
      <c r="D6192" s="312"/>
      <c r="E6192" s="312"/>
      <c r="F6192" s="312"/>
      <c r="G6192" s="328"/>
      <c r="H6192" s="453"/>
      <c r="I6192" s="334"/>
      <c r="J6192" s="314"/>
      <c r="K6192" s="454"/>
      <c r="M6192" s="349" t="str">
        <f>N6192&amp;AS[[#This Row],[Insurer Code]]&amp;"; "&amp;O6192&amp;AS[[#This Row],[Reporting Year]]&amp;"; "&amp;P6192&amp;AS[[#This Row],[Insurance Category Code]]&amp;"; "&amp;Q6192&amp;AS[[#This Row],[Large Provider Entity Code]]&amp;"; "&amp;R6192&amp;AS[[#This Row],[Age Band Code]]&amp;"; "&amp;S6192&amp;AS[[#This Row],[Sex Code]]</f>
        <v xml:space="preserve">Insurer Code ; Reporting Year ; Insurance Category Code ; Large Provider Entity Code ; Age Band Code ; Sex Code </v>
      </c>
      <c r="N6192" s="345" t="s">
        <v>207</v>
      </c>
      <c r="O6192" s="345" t="s">
        <v>208</v>
      </c>
      <c r="P6192" s="345" t="s">
        <v>209</v>
      </c>
      <c r="Q6192" s="345" t="s">
        <v>210</v>
      </c>
      <c r="R6192" s="345" t="s">
        <v>223</v>
      </c>
      <c r="S6192" s="345" t="s">
        <v>224</v>
      </c>
    </row>
    <row r="6193" spans="1:19" x14ac:dyDescent="0.25">
      <c r="A6193" s="311"/>
      <c r="B6193" s="312"/>
      <c r="C6193" s="312"/>
      <c r="D6193" s="312"/>
      <c r="E6193" s="312"/>
      <c r="F6193" s="312"/>
      <c r="G6193" s="328"/>
      <c r="H6193" s="453"/>
      <c r="I6193" s="334"/>
      <c r="J6193" s="314"/>
      <c r="K6193" s="454"/>
      <c r="M6193" s="349" t="str">
        <f>N6193&amp;AS[[#This Row],[Insurer Code]]&amp;"; "&amp;O6193&amp;AS[[#This Row],[Reporting Year]]&amp;"; "&amp;P6193&amp;AS[[#This Row],[Insurance Category Code]]&amp;"; "&amp;Q6193&amp;AS[[#This Row],[Large Provider Entity Code]]&amp;"; "&amp;R6193&amp;AS[[#This Row],[Age Band Code]]&amp;"; "&amp;S6193&amp;AS[[#This Row],[Sex Code]]</f>
        <v xml:space="preserve">Insurer Code ; Reporting Year ; Insurance Category Code ; Large Provider Entity Code ; Age Band Code ; Sex Code </v>
      </c>
      <c r="N6193" s="345" t="s">
        <v>207</v>
      </c>
      <c r="O6193" s="345" t="s">
        <v>208</v>
      </c>
      <c r="P6193" s="345" t="s">
        <v>209</v>
      </c>
      <c r="Q6193" s="345" t="s">
        <v>210</v>
      </c>
      <c r="R6193" s="345" t="s">
        <v>223</v>
      </c>
      <c r="S6193" s="345" t="s">
        <v>224</v>
      </c>
    </row>
    <row r="6194" spans="1:19" x14ac:dyDescent="0.25">
      <c r="A6194" s="311"/>
      <c r="B6194" s="312"/>
      <c r="C6194" s="312"/>
      <c r="D6194" s="312"/>
      <c r="E6194" s="312"/>
      <c r="F6194" s="312"/>
      <c r="G6194" s="328"/>
      <c r="H6194" s="453"/>
      <c r="I6194" s="334"/>
      <c r="J6194" s="314"/>
      <c r="K6194" s="454"/>
      <c r="M6194" s="349" t="str">
        <f>N6194&amp;AS[[#This Row],[Insurer Code]]&amp;"; "&amp;O6194&amp;AS[[#This Row],[Reporting Year]]&amp;"; "&amp;P6194&amp;AS[[#This Row],[Insurance Category Code]]&amp;"; "&amp;Q6194&amp;AS[[#This Row],[Large Provider Entity Code]]&amp;"; "&amp;R6194&amp;AS[[#This Row],[Age Band Code]]&amp;"; "&amp;S6194&amp;AS[[#This Row],[Sex Code]]</f>
        <v xml:space="preserve">Insurer Code ; Reporting Year ; Insurance Category Code ; Large Provider Entity Code ; Age Band Code ; Sex Code </v>
      </c>
      <c r="N6194" s="345" t="s">
        <v>207</v>
      </c>
      <c r="O6194" s="345" t="s">
        <v>208</v>
      </c>
      <c r="P6194" s="345" t="s">
        <v>209</v>
      </c>
      <c r="Q6194" s="345" t="s">
        <v>210</v>
      </c>
      <c r="R6194" s="345" t="s">
        <v>223</v>
      </c>
      <c r="S6194" s="345" t="s">
        <v>224</v>
      </c>
    </row>
    <row r="6195" spans="1:19" x14ac:dyDescent="0.25">
      <c r="A6195" s="311"/>
      <c r="B6195" s="312"/>
      <c r="C6195" s="312"/>
      <c r="D6195" s="312"/>
      <c r="E6195" s="312"/>
      <c r="F6195" s="312"/>
      <c r="G6195" s="328"/>
      <c r="H6195" s="453"/>
      <c r="I6195" s="334"/>
      <c r="J6195" s="314"/>
      <c r="K6195" s="454"/>
      <c r="M6195" s="349" t="str">
        <f>N6195&amp;AS[[#This Row],[Insurer Code]]&amp;"; "&amp;O6195&amp;AS[[#This Row],[Reporting Year]]&amp;"; "&amp;P6195&amp;AS[[#This Row],[Insurance Category Code]]&amp;"; "&amp;Q6195&amp;AS[[#This Row],[Large Provider Entity Code]]&amp;"; "&amp;R6195&amp;AS[[#This Row],[Age Band Code]]&amp;"; "&amp;S6195&amp;AS[[#This Row],[Sex Code]]</f>
        <v xml:space="preserve">Insurer Code ; Reporting Year ; Insurance Category Code ; Large Provider Entity Code ; Age Band Code ; Sex Code </v>
      </c>
      <c r="N6195" s="345" t="s">
        <v>207</v>
      </c>
      <c r="O6195" s="345" t="s">
        <v>208</v>
      </c>
      <c r="P6195" s="345" t="s">
        <v>209</v>
      </c>
      <c r="Q6195" s="345" t="s">
        <v>210</v>
      </c>
      <c r="R6195" s="345" t="s">
        <v>223</v>
      </c>
      <c r="S6195" s="345" t="s">
        <v>224</v>
      </c>
    </row>
    <row r="6196" spans="1:19" x14ac:dyDescent="0.25">
      <c r="A6196" s="311"/>
      <c r="B6196" s="312"/>
      <c r="C6196" s="312"/>
      <c r="D6196" s="312"/>
      <c r="E6196" s="312"/>
      <c r="F6196" s="312"/>
      <c r="G6196" s="328"/>
      <c r="H6196" s="453"/>
      <c r="I6196" s="334"/>
      <c r="J6196" s="314"/>
      <c r="K6196" s="454"/>
      <c r="M6196" s="349" t="str">
        <f>N6196&amp;AS[[#This Row],[Insurer Code]]&amp;"; "&amp;O6196&amp;AS[[#This Row],[Reporting Year]]&amp;"; "&amp;P6196&amp;AS[[#This Row],[Insurance Category Code]]&amp;"; "&amp;Q6196&amp;AS[[#This Row],[Large Provider Entity Code]]&amp;"; "&amp;R6196&amp;AS[[#This Row],[Age Band Code]]&amp;"; "&amp;S6196&amp;AS[[#This Row],[Sex Code]]</f>
        <v xml:space="preserve">Insurer Code ; Reporting Year ; Insurance Category Code ; Large Provider Entity Code ; Age Band Code ; Sex Code </v>
      </c>
      <c r="N6196" s="345" t="s">
        <v>207</v>
      </c>
      <c r="O6196" s="345" t="s">
        <v>208</v>
      </c>
      <c r="P6196" s="345" t="s">
        <v>209</v>
      </c>
      <c r="Q6196" s="345" t="s">
        <v>210</v>
      </c>
      <c r="R6196" s="345" t="s">
        <v>223</v>
      </c>
      <c r="S6196" s="345" t="s">
        <v>224</v>
      </c>
    </row>
    <row r="6197" spans="1:19" x14ac:dyDescent="0.25">
      <c r="A6197" s="311"/>
      <c r="B6197" s="312"/>
      <c r="C6197" s="312"/>
      <c r="D6197" s="312"/>
      <c r="E6197" s="312"/>
      <c r="F6197" s="312"/>
      <c r="G6197" s="328"/>
      <c r="H6197" s="453"/>
      <c r="I6197" s="334"/>
      <c r="J6197" s="314"/>
      <c r="K6197" s="454"/>
      <c r="M6197" s="349" t="str">
        <f>N6197&amp;AS[[#This Row],[Insurer Code]]&amp;"; "&amp;O6197&amp;AS[[#This Row],[Reporting Year]]&amp;"; "&amp;P6197&amp;AS[[#This Row],[Insurance Category Code]]&amp;"; "&amp;Q6197&amp;AS[[#This Row],[Large Provider Entity Code]]&amp;"; "&amp;R6197&amp;AS[[#This Row],[Age Band Code]]&amp;"; "&amp;S6197&amp;AS[[#This Row],[Sex Code]]</f>
        <v xml:space="preserve">Insurer Code ; Reporting Year ; Insurance Category Code ; Large Provider Entity Code ; Age Band Code ; Sex Code </v>
      </c>
      <c r="N6197" s="345" t="s">
        <v>207</v>
      </c>
      <c r="O6197" s="345" t="s">
        <v>208</v>
      </c>
      <c r="P6197" s="345" t="s">
        <v>209</v>
      </c>
      <c r="Q6197" s="345" t="s">
        <v>210</v>
      </c>
      <c r="R6197" s="345" t="s">
        <v>223</v>
      </c>
      <c r="S6197" s="345" t="s">
        <v>224</v>
      </c>
    </row>
    <row r="6198" spans="1:19" x14ac:dyDescent="0.25">
      <c r="A6198" s="311"/>
      <c r="B6198" s="312"/>
      <c r="C6198" s="312"/>
      <c r="D6198" s="312"/>
      <c r="E6198" s="312"/>
      <c r="F6198" s="312"/>
      <c r="G6198" s="328"/>
      <c r="H6198" s="453"/>
      <c r="I6198" s="334"/>
      <c r="J6198" s="314"/>
      <c r="K6198" s="454"/>
      <c r="M6198" s="349" t="str">
        <f>N6198&amp;AS[[#This Row],[Insurer Code]]&amp;"; "&amp;O6198&amp;AS[[#This Row],[Reporting Year]]&amp;"; "&amp;P6198&amp;AS[[#This Row],[Insurance Category Code]]&amp;"; "&amp;Q6198&amp;AS[[#This Row],[Large Provider Entity Code]]&amp;"; "&amp;R6198&amp;AS[[#This Row],[Age Band Code]]&amp;"; "&amp;S6198&amp;AS[[#This Row],[Sex Code]]</f>
        <v xml:space="preserve">Insurer Code ; Reporting Year ; Insurance Category Code ; Large Provider Entity Code ; Age Band Code ; Sex Code </v>
      </c>
      <c r="N6198" s="345" t="s">
        <v>207</v>
      </c>
      <c r="O6198" s="345" t="s">
        <v>208</v>
      </c>
      <c r="P6198" s="345" t="s">
        <v>209</v>
      </c>
      <c r="Q6198" s="345" t="s">
        <v>210</v>
      </c>
      <c r="R6198" s="345" t="s">
        <v>223</v>
      </c>
      <c r="S6198" s="345" t="s">
        <v>224</v>
      </c>
    </row>
    <row r="6199" spans="1:19" x14ac:dyDescent="0.25">
      <c r="A6199" s="311"/>
      <c r="B6199" s="312"/>
      <c r="C6199" s="312"/>
      <c r="D6199" s="312"/>
      <c r="E6199" s="312"/>
      <c r="F6199" s="312"/>
      <c r="G6199" s="328"/>
      <c r="H6199" s="453"/>
      <c r="I6199" s="334"/>
      <c r="J6199" s="314"/>
      <c r="K6199" s="454"/>
      <c r="M6199" s="349" t="str">
        <f>N6199&amp;AS[[#This Row],[Insurer Code]]&amp;"; "&amp;O6199&amp;AS[[#This Row],[Reporting Year]]&amp;"; "&amp;P6199&amp;AS[[#This Row],[Insurance Category Code]]&amp;"; "&amp;Q6199&amp;AS[[#This Row],[Large Provider Entity Code]]&amp;"; "&amp;R6199&amp;AS[[#This Row],[Age Band Code]]&amp;"; "&amp;S6199&amp;AS[[#This Row],[Sex Code]]</f>
        <v xml:space="preserve">Insurer Code ; Reporting Year ; Insurance Category Code ; Large Provider Entity Code ; Age Band Code ; Sex Code </v>
      </c>
      <c r="N6199" s="345" t="s">
        <v>207</v>
      </c>
      <c r="O6199" s="345" t="s">
        <v>208</v>
      </c>
      <c r="P6199" s="345" t="s">
        <v>209</v>
      </c>
      <c r="Q6199" s="345" t="s">
        <v>210</v>
      </c>
      <c r="R6199" s="345" t="s">
        <v>223</v>
      </c>
      <c r="S6199" s="345" t="s">
        <v>224</v>
      </c>
    </row>
    <row r="6200" spans="1:19" x14ac:dyDescent="0.25">
      <c r="A6200" s="311"/>
      <c r="B6200" s="312"/>
      <c r="C6200" s="312"/>
      <c r="D6200" s="312"/>
      <c r="E6200" s="312"/>
      <c r="F6200" s="312"/>
      <c r="G6200" s="328"/>
      <c r="H6200" s="453"/>
      <c r="I6200" s="334"/>
      <c r="J6200" s="314"/>
      <c r="K6200" s="454"/>
      <c r="M6200" s="349" t="str">
        <f>N6200&amp;AS[[#This Row],[Insurer Code]]&amp;"; "&amp;O6200&amp;AS[[#This Row],[Reporting Year]]&amp;"; "&amp;P6200&amp;AS[[#This Row],[Insurance Category Code]]&amp;"; "&amp;Q6200&amp;AS[[#This Row],[Large Provider Entity Code]]&amp;"; "&amp;R6200&amp;AS[[#This Row],[Age Band Code]]&amp;"; "&amp;S6200&amp;AS[[#This Row],[Sex Code]]</f>
        <v xml:space="preserve">Insurer Code ; Reporting Year ; Insurance Category Code ; Large Provider Entity Code ; Age Band Code ; Sex Code </v>
      </c>
      <c r="N6200" s="345" t="s">
        <v>207</v>
      </c>
      <c r="O6200" s="345" t="s">
        <v>208</v>
      </c>
      <c r="P6200" s="345" t="s">
        <v>209</v>
      </c>
      <c r="Q6200" s="345" t="s">
        <v>210</v>
      </c>
      <c r="R6200" s="345" t="s">
        <v>223</v>
      </c>
      <c r="S6200" s="345" t="s">
        <v>224</v>
      </c>
    </row>
    <row r="6201" spans="1:19" x14ac:dyDescent="0.25">
      <c r="A6201" s="311"/>
      <c r="B6201" s="312"/>
      <c r="C6201" s="312"/>
      <c r="D6201" s="312"/>
      <c r="E6201" s="312"/>
      <c r="F6201" s="312"/>
      <c r="G6201" s="328"/>
      <c r="H6201" s="453"/>
      <c r="I6201" s="334"/>
      <c r="J6201" s="314"/>
      <c r="K6201" s="454"/>
      <c r="M6201" s="349" t="str">
        <f>N6201&amp;AS[[#This Row],[Insurer Code]]&amp;"; "&amp;O6201&amp;AS[[#This Row],[Reporting Year]]&amp;"; "&amp;P6201&amp;AS[[#This Row],[Insurance Category Code]]&amp;"; "&amp;Q6201&amp;AS[[#This Row],[Large Provider Entity Code]]&amp;"; "&amp;R6201&amp;AS[[#This Row],[Age Band Code]]&amp;"; "&amp;S6201&amp;AS[[#This Row],[Sex Code]]</f>
        <v xml:space="preserve">Insurer Code ; Reporting Year ; Insurance Category Code ; Large Provider Entity Code ; Age Band Code ; Sex Code </v>
      </c>
      <c r="N6201" s="345" t="s">
        <v>207</v>
      </c>
      <c r="O6201" s="345" t="s">
        <v>208</v>
      </c>
      <c r="P6201" s="345" t="s">
        <v>209</v>
      </c>
      <c r="Q6201" s="345" t="s">
        <v>210</v>
      </c>
      <c r="R6201" s="345" t="s">
        <v>223</v>
      </c>
      <c r="S6201" s="345" t="s">
        <v>224</v>
      </c>
    </row>
    <row r="6202" spans="1:19" x14ac:dyDescent="0.25">
      <c r="A6202" s="311"/>
      <c r="B6202" s="312"/>
      <c r="C6202" s="312"/>
      <c r="D6202" s="312"/>
      <c r="E6202" s="312"/>
      <c r="F6202" s="312"/>
      <c r="G6202" s="328"/>
      <c r="H6202" s="453"/>
      <c r="I6202" s="334"/>
      <c r="J6202" s="314"/>
      <c r="K6202" s="454"/>
      <c r="M6202" s="349" t="str">
        <f>N6202&amp;AS[[#This Row],[Insurer Code]]&amp;"; "&amp;O6202&amp;AS[[#This Row],[Reporting Year]]&amp;"; "&amp;P6202&amp;AS[[#This Row],[Insurance Category Code]]&amp;"; "&amp;Q6202&amp;AS[[#This Row],[Large Provider Entity Code]]&amp;"; "&amp;R6202&amp;AS[[#This Row],[Age Band Code]]&amp;"; "&amp;S6202&amp;AS[[#This Row],[Sex Code]]</f>
        <v xml:space="preserve">Insurer Code ; Reporting Year ; Insurance Category Code ; Large Provider Entity Code ; Age Band Code ; Sex Code </v>
      </c>
      <c r="N6202" s="345" t="s">
        <v>207</v>
      </c>
      <c r="O6202" s="345" t="s">
        <v>208</v>
      </c>
      <c r="P6202" s="345" t="s">
        <v>209</v>
      </c>
      <c r="Q6202" s="345" t="s">
        <v>210</v>
      </c>
      <c r="R6202" s="345" t="s">
        <v>223</v>
      </c>
      <c r="S6202" s="345" t="s">
        <v>224</v>
      </c>
    </row>
    <row r="6203" spans="1:19" x14ac:dyDescent="0.25">
      <c r="A6203" s="311"/>
      <c r="B6203" s="312"/>
      <c r="C6203" s="312"/>
      <c r="D6203" s="312"/>
      <c r="E6203" s="312"/>
      <c r="F6203" s="312"/>
      <c r="G6203" s="328"/>
      <c r="H6203" s="453"/>
      <c r="I6203" s="334"/>
      <c r="J6203" s="314"/>
      <c r="K6203" s="454"/>
      <c r="M6203" s="349" t="str">
        <f>N6203&amp;AS[[#This Row],[Insurer Code]]&amp;"; "&amp;O6203&amp;AS[[#This Row],[Reporting Year]]&amp;"; "&amp;P6203&amp;AS[[#This Row],[Insurance Category Code]]&amp;"; "&amp;Q6203&amp;AS[[#This Row],[Large Provider Entity Code]]&amp;"; "&amp;R6203&amp;AS[[#This Row],[Age Band Code]]&amp;"; "&amp;S6203&amp;AS[[#This Row],[Sex Code]]</f>
        <v xml:space="preserve">Insurer Code ; Reporting Year ; Insurance Category Code ; Large Provider Entity Code ; Age Band Code ; Sex Code </v>
      </c>
      <c r="N6203" s="345" t="s">
        <v>207</v>
      </c>
      <c r="O6203" s="345" t="s">
        <v>208</v>
      </c>
      <c r="P6203" s="345" t="s">
        <v>209</v>
      </c>
      <c r="Q6203" s="345" t="s">
        <v>210</v>
      </c>
      <c r="R6203" s="345" t="s">
        <v>223</v>
      </c>
      <c r="S6203" s="345" t="s">
        <v>224</v>
      </c>
    </row>
    <row r="6204" spans="1:19" x14ac:dyDescent="0.25">
      <c r="A6204" s="311"/>
      <c r="B6204" s="312"/>
      <c r="C6204" s="312"/>
      <c r="D6204" s="312"/>
      <c r="E6204" s="312"/>
      <c r="F6204" s="312"/>
      <c r="G6204" s="328"/>
      <c r="H6204" s="453"/>
      <c r="I6204" s="334"/>
      <c r="J6204" s="314"/>
      <c r="K6204" s="454"/>
      <c r="M6204" s="349" t="str">
        <f>N6204&amp;AS[[#This Row],[Insurer Code]]&amp;"; "&amp;O6204&amp;AS[[#This Row],[Reporting Year]]&amp;"; "&amp;P6204&amp;AS[[#This Row],[Insurance Category Code]]&amp;"; "&amp;Q6204&amp;AS[[#This Row],[Large Provider Entity Code]]&amp;"; "&amp;R6204&amp;AS[[#This Row],[Age Band Code]]&amp;"; "&amp;S6204&amp;AS[[#This Row],[Sex Code]]</f>
        <v xml:space="preserve">Insurer Code ; Reporting Year ; Insurance Category Code ; Large Provider Entity Code ; Age Band Code ; Sex Code </v>
      </c>
      <c r="N6204" s="345" t="s">
        <v>207</v>
      </c>
      <c r="O6204" s="345" t="s">
        <v>208</v>
      </c>
      <c r="P6204" s="345" t="s">
        <v>209</v>
      </c>
      <c r="Q6204" s="345" t="s">
        <v>210</v>
      </c>
      <c r="R6204" s="345" t="s">
        <v>223</v>
      </c>
      <c r="S6204" s="345" t="s">
        <v>224</v>
      </c>
    </row>
    <row r="6205" spans="1:19" x14ac:dyDescent="0.25">
      <c r="A6205" s="311"/>
      <c r="B6205" s="312"/>
      <c r="C6205" s="312"/>
      <c r="D6205" s="312"/>
      <c r="E6205" s="312"/>
      <c r="F6205" s="312"/>
      <c r="G6205" s="328"/>
      <c r="H6205" s="453"/>
      <c r="I6205" s="334"/>
      <c r="J6205" s="314"/>
      <c r="K6205" s="454"/>
      <c r="M6205" s="349" t="str">
        <f>N6205&amp;AS[[#This Row],[Insurer Code]]&amp;"; "&amp;O6205&amp;AS[[#This Row],[Reporting Year]]&amp;"; "&amp;P6205&amp;AS[[#This Row],[Insurance Category Code]]&amp;"; "&amp;Q6205&amp;AS[[#This Row],[Large Provider Entity Code]]&amp;"; "&amp;R6205&amp;AS[[#This Row],[Age Band Code]]&amp;"; "&amp;S6205&amp;AS[[#This Row],[Sex Code]]</f>
        <v xml:space="preserve">Insurer Code ; Reporting Year ; Insurance Category Code ; Large Provider Entity Code ; Age Band Code ; Sex Code </v>
      </c>
      <c r="N6205" s="345" t="s">
        <v>207</v>
      </c>
      <c r="O6205" s="345" t="s">
        <v>208</v>
      </c>
      <c r="P6205" s="345" t="s">
        <v>209</v>
      </c>
      <c r="Q6205" s="345" t="s">
        <v>210</v>
      </c>
      <c r="R6205" s="345" t="s">
        <v>223</v>
      </c>
      <c r="S6205" s="345" t="s">
        <v>224</v>
      </c>
    </row>
    <row r="6206" spans="1:19" x14ac:dyDescent="0.25">
      <c r="A6206" s="311"/>
      <c r="B6206" s="312"/>
      <c r="C6206" s="312"/>
      <c r="D6206" s="312"/>
      <c r="E6206" s="312"/>
      <c r="F6206" s="312"/>
      <c r="G6206" s="328"/>
      <c r="H6206" s="453"/>
      <c r="I6206" s="334"/>
      <c r="J6206" s="314"/>
      <c r="K6206" s="454"/>
      <c r="M6206" s="349" t="str">
        <f>N6206&amp;AS[[#This Row],[Insurer Code]]&amp;"; "&amp;O6206&amp;AS[[#This Row],[Reporting Year]]&amp;"; "&amp;P6206&amp;AS[[#This Row],[Insurance Category Code]]&amp;"; "&amp;Q6206&amp;AS[[#This Row],[Large Provider Entity Code]]&amp;"; "&amp;R6206&amp;AS[[#This Row],[Age Band Code]]&amp;"; "&amp;S6206&amp;AS[[#This Row],[Sex Code]]</f>
        <v xml:space="preserve">Insurer Code ; Reporting Year ; Insurance Category Code ; Large Provider Entity Code ; Age Band Code ; Sex Code </v>
      </c>
      <c r="N6206" s="345" t="s">
        <v>207</v>
      </c>
      <c r="O6206" s="345" t="s">
        <v>208</v>
      </c>
      <c r="P6206" s="345" t="s">
        <v>209</v>
      </c>
      <c r="Q6206" s="345" t="s">
        <v>210</v>
      </c>
      <c r="R6206" s="345" t="s">
        <v>223</v>
      </c>
      <c r="S6206" s="345" t="s">
        <v>224</v>
      </c>
    </row>
    <row r="6207" spans="1:19" x14ac:dyDescent="0.25">
      <c r="A6207" s="311"/>
      <c r="B6207" s="312"/>
      <c r="C6207" s="312"/>
      <c r="D6207" s="312"/>
      <c r="E6207" s="312"/>
      <c r="F6207" s="312"/>
      <c r="G6207" s="328"/>
      <c r="H6207" s="453"/>
      <c r="I6207" s="334"/>
      <c r="J6207" s="314"/>
      <c r="K6207" s="454"/>
      <c r="M6207" s="349" t="str">
        <f>N6207&amp;AS[[#This Row],[Insurer Code]]&amp;"; "&amp;O6207&amp;AS[[#This Row],[Reporting Year]]&amp;"; "&amp;P6207&amp;AS[[#This Row],[Insurance Category Code]]&amp;"; "&amp;Q6207&amp;AS[[#This Row],[Large Provider Entity Code]]&amp;"; "&amp;R6207&amp;AS[[#This Row],[Age Band Code]]&amp;"; "&amp;S6207&amp;AS[[#This Row],[Sex Code]]</f>
        <v xml:space="preserve">Insurer Code ; Reporting Year ; Insurance Category Code ; Large Provider Entity Code ; Age Band Code ; Sex Code </v>
      </c>
      <c r="N6207" s="345" t="s">
        <v>207</v>
      </c>
      <c r="O6207" s="345" t="s">
        <v>208</v>
      </c>
      <c r="P6207" s="345" t="s">
        <v>209</v>
      </c>
      <c r="Q6207" s="345" t="s">
        <v>210</v>
      </c>
      <c r="R6207" s="345" t="s">
        <v>223</v>
      </c>
      <c r="S6207" s="345" t="s">
        <v>224</v>
      </c>
    </row>
    <row r="6208" spans="1:19" x14ac:dyDescent="0.25">
      <c r="A6208" s="311"/>
      <c r="B6208" s="312"/>
      <c r="C6208" s="312"/>
      <c r="D6208" s="312"/>
      <c r="E6208" s="312"/>
      <c r="F6208" s="312"/>
      <c r="G6208" s="328"/>
      <c r="H6208" s="453"/>
      <c r="I6208" s="334"/>
      <c r="J6208" s="314"/>
      <c r="K6208" s="454"/>
      <c r="M6208" s="349" t="str">
        <f>N6208&amp;AS[[#This Row],[Insurer Code]]&amp;"; "&amp;O6208&amp;AS[[#This Row],[Reporting Year]]&amp;"; "&amp;P6208&amp;AS[[#This Row],[Insurance Category Code]]&amp;"; "&amp;Q6208&amp;AS[[#This Row],[Large Provider Entity Code]]&amp;"; "&amp;R6208&amp;AS[[#This Row],[Age Band Code]]&amp;"; "&amp;S6208&amp;AS[[#This Row],[Sex Code]]</f>
        <v xml:space="preserve">Insurer Code ; Reporting Year ; Insurance Category Code ; Large Provider Entity Code ; Age Band Code ; Sex Code </v>
      </c>
      <c r="N6208" s="345" t="s">
        <v>207</v>
      </c>
      <c r="O6208" s="345" t="s">
        <v>208</v>
      </c>
      <c r="P6208" s="345" t="s">
        <v>209</v>
      </c>
      <c r="Q6208" s="345" t="s">
        <v>210</v>
      </c>
      <c r="R6208" s="345" t="s">
        <v>223</v>
      </c>
      <c r="S6208" s="345" t="s">
        <v>224</v>
      </c>
    </row>
    <row r="6209" spans="1:19" x14ac:dyDescent="0.25">
      <c r="A6209" s="311"/>
      <c r="B6209" s="312"/>
      <c r="C6209" s="312"/>
      <c r="D6209" s="312"/>
      <c r="E6209" s="312"/>
      <c r="F6209" s="312"/>
      <c r="G6209" s="328"/>
      <c r="H6209" s="453"/>
      <c r="I6209" s="334"/>
      <c r="J6209" s="314"/>
      <c r="K6209" s="454"/>
      <c r="M6209" s="349" t="str">
        <f>N6209&amp;AS[[#This Row],[Insurer Code]]&amp;"; "&amp;O6209&amp;AS[[#This Row],[Reporting Year]]&amp;"; "&amp;P6209&amp;AS[[#This Row],[Insurance Category Code]]&amp;"; "&amp;Q6209&amp;AS[[#This Row],[Large Provider Entity Code]]&amp;"; "&amp;R6209&amp;AS[[#This Row],[Age Band Code]]&amp;"; "&amp;S6209&amp;AS[[#This Row],[Sex Code]]</f>
        <v xml:space="preserve">Insurer Code ; Reporting Year ; Insurance Category Code ; Large Provider Entity Code ; Age Band Code ; Sex Code </v>
      </c>
      <c r="N6209" s="345" t="s">
        <v>207</v>
      </c>
      <c r="O6209" s="345" t="s">
        <v>208</v>
      </c>
      <c r="P6209" s="345" t="s">
        <v>209</v>
      </c>
      <c r="Q6209" s="345" t="s">
        <v>210</v>
      </c>
      <c r="R6209" s="345" t="s">
        <v>223</v>
      </c>
      <c r="S6209" s="345" t="s">
        <v>224</v>
      </c>
    </row>
    <row r="6210" spans="1:19" x14ac:dyDescent="0.25">
      <c r="A6210" s="311"/>
      <c r="B6210" s="312"/>
      <c r="C6210" s="312"/>
      <c r="D6210" s="312"/>
      <c r="E6210" s="312"/>
      <c r="F6210" s="312"/>
      <c r="G6210" s="328"/>
      <c r="H6210" s="453"/>
      <c r="I6210" s="334"/>
      <c r="J6210" s="314"/>
      <c r="K6210" s="454"/>
      <c r="M6210" s="349" t="str">
        <f>N6210&amp;AS[[#This Row],[Insurer Code]]&amp;"; "&amp;O6210&amp;AS[[#This Row],[Reporting Year]]&amp;"; "&amp;P6210&amp;AS[[#This Row],[Insurance Category Code]]&amp;"; "&amp;Q6210&amp;AS[[#This Row],[Large Provider Entity Code]]&amp;"; "&amp;R6210&amp;AS[[#This Row],[Age Band Code]]&amp;"; "&amp;S6210&amp;AS[[#This Row],[Sex Code]]</f>
        <v xml:space="preserve">Insurer Code ; Reporting Year ; Insurance Category Code ; Large Provider Entity Code ; Age Band Code ; Sex Code </v>
      </c>
      <c r="N6210" s="345" t="s">
        <v>207</v>
      </c>
      <c r="O6210" s="345" t="s">
        <v>208</v>
      </c>
      <c r="P6210" s="345" t="s">
        <v>209</v>
      </c>
      <c r="Q6210" s="345" t="s">
        <v>210</v>
      </c>
      <c r="R6210" s="345" t="s">
        <v>223</v>
      </c>
      <c r="S6210" s="345" t="s">
        <v>224</v>
      </c>
    </row>
    <row r="6211" spans="1:19" x14ac:dyDescent="0.25">
      <c r="A6211" s="311"/>
      <c r="B6211" s="312"/>
      <c r="C6211" s="312"/>
      <c r="D6211" s="312"/>
      <c r="E6211" s="312"/>
      <c r="F6211" s="312"/>
      <c r="G6211" s="328"/>
      <c r="H6211" s="453"/>
      <c r="I6211" s="334"/>
      <c r="J6211" s="314"/>
      <c r="K6211" s="454"/>
      <c r="M6211" s="349" t="str">
        <f>N6211&amp;AS[[#This Row],[Insurer Code]]&amp;"; "&amp;O6211&amp;AS[[#This Row],[Reporting Year]]&amp;"; "&amp;P6211&amp;AS[[#This Row],[Insurance Category Code]]&amp;"; "&amp;Q6211&amp;AS[[#This Row],[Large Provider Entity Code]]&amp;"; "&amp;R6211&amp;AS[[#This Row],[Age Band Code]]&amp;"; "&amp;S6211&amp;AS[[#This Row],[Sex Code]]</f>
        <v xml:space="preserve">Insurer Code ; Reporting Year ; Insurance Category Code ; Large Provider Entity Code ; Age Band Code ; Sex Code </v>
      </c>
      <c r="N6211" s="345" t="s">
        <v>207</v>
      </c>
      <c r="O6211" s="345" t="s">
        <v>208</v>
      </c>
      <c r="P6211" s="345" t="s">
        <v>209</v>
      </c>
      <c r="Q6211" s="345" t="s">
        <v>210</v>
      </c>
      <c r="R6211" s="345" t="s">
        <v>223</v>
      </c>
      <c r="S6211" s="345" t="s">
        <v>224</v>
      </c>
    </row>
    <row r="6212" spans="1:19" x14ac:dyDescent="0.25">
      <c r="A6212" s="311"/>
      <c r="B6212" s="312"/>
      <c r="C6212" s="312"/>
      <c r="D6212" s="312"/>
      <c r="E6212" s="312"/>
      <c r="F6212" s="312"/>
      <c r="G6212" s="328"/>
      <c r="H6212" s="453"/>
      <c r="I6212" s="334"/>
      <c r="J6212" s="314"/>
      <c r="K6212" s="454"/>
      <c r="M6212" s="349" t="str">
        <f>N6212&amp;AS[[#This Row],[Insurer Code]]&amp;"; "&amp;O6212&amp;AS[[#This Row],[Reporting Year]]&amp;"; "&amp;P6212&amp;AS[[#This Row],[Insurance Category Code]]&amp;"; "&amp;Q6212&amp;AS[[#This Row],[Large Provider Entity Code]]&amp;"; "&amp;R6212&amp;AS[[#This Row],[Age Band Code]]&amp;"; "&amp;S6212&amp;AS[[#This Row],[Sex Code]]</f>
        <v xml:space="preserve">Insurer Code ; Reporting Year ; Insurance Category Code ; Large Provider Entity Code ; Age Band Code ; Sex Code </v>
      </c>
      <c r="N6212" s="345" t="s">
        <v>207</v>
      </c>
      <c r="O6212" s="345" t="s">
        <v>208</v>
      </c>
      <c r="P6212" s="345" t="s">
        <v>209</v>
      </c>
      <c r="Q6212" s="345" t="s">
        <v>210</v>
      </c>
      <c r="R6212" s="345" t="s">
        <v>223</v>
      </c>
      <c r="S6212" s="345" t="s">
        <v>224</v>
      </c>
    </row>
    <row r="6213" spans="1:19" x14ac:dyDescent="0.25">
      <c r="A6213" s="311"/>
      <c r="B6213" s="312"/>
      <c r="C6213" s="312"/>
      <c r="D6213" s="312"/>
      <c r="E6213" s="312"/>
      <c r="F6213" s="312"/>
      <c r="G6213" s="328"/>
      <c r="H6213" s="453"/>
      <c r="I6213" s="334"/>
      <c r="J6213" s="314"/>
      <c r="K6213" s="454"/>
      <c r="M6213" s="349" t="str">
        <f>N6213&amp;AS[[#This Row],[Insurer Code]]&amp;"; "&amp;O6213&amp;AS[[#This Row],[Reporting Year]]&amp;"; "&amp;P6213&amp;AS[[#This Row],[Insurance Category Code]]&amp;"; "&amp;Q6213&amp;AS[[#This Row],[Large Provider Entity Code]]&amp;"; "&amp;R6213&amp;AS[[#This Row],[Age Band Code]]&amp;"; "&amp;S6213&amp;AS[[#This Row],[Sex Code]]</f>
        <v xml:space="preserve">Insurer Code ; Reporting Year ; Insurance Category Code ; Large Provider Entity Code ; Age Band Code ; Sex Code </v>
      </c>
      <c r="N6213" s="345" t="s">
        <v>207</v>
      </c>
      <c r="O6213" s="345" t="s">
        <v>208</v>
      </c>
      <c r="P6213" s="345" t="s">
        <v>209</v>
      </c>
      <c r="Q6213" s="345" t="s">
        <v>210</v>
      </c>
      <c r="R6213" s="345" t="s">
        <v>223</v>
      </c>
      <c r="S6213" s="345" t="s">
        <v>224</v>
      </c>
    </row>
    <row r="6214" spans="1:19" x14ac:dyDescent="0.25">
      <c r="A6214" s="311"/>
      <c r="B6214" s="312"/>
      <c r="C6214" s="312"/>
      <c r="D6214" s="312"/>
      <c r="E6214" s="312"/>
      <c r="F6214" s="312"/>
      <c r="G6214" s="328"/>
      <c r="H6214" s="453"/>
      <c r="I6214" s="334"/>
      <c r="J6214" s="314"/>
      <c r="K6214" s="454"/>
      <c r="M6214" s="349" t="str">
        <f>N6214&amp;AS[[#This Row],[Insurer Code]]&amp;"; "&amp;O6214&amp;AS[[#This Row],[Reporting Year]]&amp;"; "&amp;P6214&amp;AS[[#This Row],[Insurance Category Code]]&amp;"; "&amp;Q6214&amp;AS[[#This Row],[Large Provider Entity Code]]&amp;"; "&amp;R6214&amp;AS[[#This Row],[Age Band Code]]&amp;"; "&amp;S6214&amp;AS[[#This Row],[Sex Code]]</f>
        <v xml:space="preserve">Insurer Code ; Reporting Year ; Insurance Category Code ; Large Provider Entity Code ; Age Band Code ; Sex Code </v>
      </c>
      <c r="N6214" s="345" t="s">
        <v>207</v>
      </c>
      <c r="O6214" s="345" t="s">
        <v>208</v>
      </c>
      <c r="P6214" s="345" t="s">
        <v>209</v>
      </c>
      <c r="Q6214" s="345" t="s">
        <v>210</v>
      </c>
      <c r="R6214" s="345" t="s">
        <v>223</v>
      </c>
      <c r="S6214" s="345" t="s">
        <v>224</v>
      </c>
    </row>
    <row r="6215" spans="1:19" x14ac:dyDescent="0.25">
      <c r="A6215" s="311"/>
      <c r="B6215" s="312"/>
      <c r="C6215" s="312"/>
      <c r="D6215" s="312"/>
      <c r="E6215" s="312"/>
      <c r="F6215" s="312"/>
      <c r="G6215" s="328"/>
      <c r="H6215" s="453"/>
      <c r="I6215" s="334"/>
      <c r="J6215" s="314"/>
      <c r="K6215" s="454"/>
      <c r="M6215" s="349" t="str">
        <f>N6215&amp;AS[[#This Row],[Insurer Code]]&amp;"; "&amp;O6215&amp;AS[[#This Row],[Reporting Year]]&amp;"; "&amp;P6215&amp;AS[[#This Row],[Insurance Category Code]]&amp;"; "&amp;Q6215&amp;AS[[#This Row],[Large Provider Entity Code]]&amp;"; "&amp;R6215&amp;AS[[#This Row],[Age Band Code]]&amp;"; "&amp;S6215&amp;AS[[#This Row],[Sex Code]]</f>
        <v xml:space="preserve">Insurer Code ; Reporting Year ; Insurance Category Code ; Large Provider Entity Code ; Age Band Code ; Sex Code </v>
      </c>
      <c r="N6215" s="345" t="s">
        <v>207</v>
      </c>
      <c r="O6215" s="345" t="s">
        <v>208</v>
      </c>
      <c r="P6215" s="345" t="s">
        <v>209</v>
      </c>
      <c r="Q6215" s="345" t="s">
        <v>210</v>
      </c>
      <c r="R6215" s="345" t="s">
        <v>223</v>
      </c>
      <c r="S6215" s="345" t="s">
        <v>224</v>
      </c>
    </row>
    <row r="6216" spans="1:19" x14ac:dyDescent="0.25">
      <c r="A6216" s="311"/>
      <c r="B6216" s="312"/>
      <c r="C6216" s="312"/>
      <c r="D6216" s="312"/>
      <c r="E6216" s="312"/>
      <c r="F6216" s="312"/>
      <c r="G6216" s="328"/>
      <c r="H6216" s="453"/>
      <c r="I6216" s="334"/>
      <c r="J6216" s="314"/>
      <c r="K6216" s="454"/>
      <c r="M6216" s="349" t="str">
        <f>N6216&amp;AS[[#This Row],[Insurer Code]]&amp;"; "&amp;O6216&amp;AS[[#This Row],[Reporting Year]]&amp;"; "&amp;P6216&amp;AS[[#This Row],[Insurance Category Code]]&amp;"; "&amp;Q6216&amp;AS[[#This Row],[Large Provider Entity Code]]&amp;"; "&amp;R6216&amp;AS[[#This Row],[Age Band Code]]&amp;"; "&amp;S6216&amp;AS[[#This Row],[Sex Code]]</f>
        <v xml:space="preserve">Insurer Code ; Reporting Year ; Insurance Category Code ; Large Provider Entity Code ; Age Band Code ; Sex Code </v>
      </c>
      <c r="N6216" s="345" t="s">
        <v>207</v>
      </c>
      <c r="O6216" s="345" t="s">
        <v>208</v>
      </c>
      <c r="P6216" s="345" t="s">
        <v>209</v>
      </c>
      <c r="Q6216" s="345" t="s">
        <v>210</v>
      </c>
      <c r="R6216" s="345" t="s">
        <v>223</v>
      </c>
      <c r="S6216" s="345" t="s">
        <v>224</v>
      </c>
    </row>
    <row r="6217" spans="1:19" x14ac:dyDescent="0.25">
      <c r="A6217" s="311"/>
      <c r="B6217" s="312"/>
      <c r="C6217" s="312"/>
      <c r="D6217" s="312"/>
      <c r="E6217" s="312"/>
      <c r="F6217" s="312"/>
      <c r="G6217" s="328"/>
      <c r="H6217" s="453"/>
      <c r="I6217" s="334"/>
      <c r="J6217" s="314"/>
      <c r="K6217" s="454"/>
      <c r="M6217" s="349" t="str">
        <f>N6217&amp;AS[[#This Row],[Insurer Code]]&amp;"; "&amp;O6217&amp;AS[[#This Row],[Reporting Year]]&amp;"; "&amp;P6217&amp;AS[[#This Row],[Insurance Category Code]]&amp;"; "&amp;Q6217&amp;AS[[#This Row],[Large Provider Entity Code]]&amp;"; "&amp;R6217&amp;AS[[#This Row],[Age Band Code]]&amp;"; "&amp;S6217&amp;AS[[#This Row],[Sex Code]]</f>
        <v xml:space="preserve">Insurer Code ; Reporting Year ; Insurance Category Code ; Large Provider Entity Code ; Age Band Code ; Sex Code </v>
      </c>
      <c r="N6217" s="345" t="s">
        <v>207</v>
      </c>
      <c r="O6217" s="345" t="s">
        <v>208</v>
      </c>
      <c r="P6217" s="345" t="s">
        <v>209</v>
      </c>
      <c r="Q6217" s="345" t="s">
        <v>210</v>
      </c>
      <c r="R6217" s="345" t="s">
        <v>223</v>
      </c>
      <c r="S6217" s="345" t="s">
        <v>224</v>
      </c>
    </row>
    <row r="6218" spans="1:19" x14ac:dyDescent="0.25">
      <c r="A6218" s="311"/>
      <c r="B6218" s="312"/>
      <c r="C6218" s="312"/>
      <c r="D6218" s="312"/>
      <c r="E6218" s="312"/>
      <c r="F6218" s="312"/>
      <c r="G6218" s="328"/>
      <c r="H6218" s="453"/>
      <c r="I6218" s="334"/>
      <c r="J6218" s="314"/>
      <c r="K6218" s="454"/>
      <c r="M6218" s="349" t="str">
        <f>N6218&amp;AS[[#This Row],[Insurer Code]]&amp;"; "&amp;O6218&amp;AS[[#This Row],[Reporting Year]]&amp;"; "&amp;P6218&amp;AS[[#This Row],[Insurance Category Code]]&amp;"; "&amp;Q6218&amp;AS[[#This Row],[Large Provider Entity Code]]&amp;"; "&amp;R6218&amp;AS[[#This Row],[Age Band Code]]&amp;"; "&amp;S6218&amp;AS[[#This Row],[Sex Code]]</f>
        <v xml:space="preserve">Insurer Code ; Reporting Year ; Insurance Category Code ; Large Provider Entity Code ; Age Band Code ; Sex Code </v>
      </c>
      <c r="N6218" s="345" t="s">
        <v>207</v>
      </c>
      <c r="O6218" s="345" t="s">
        <v>208</v>
      </c>
      <c r="P6218" s="345" t="s">
        <v>209</v>
      </c>
      <c r="Q6218" s="345" t="s">
        <v>210</v>
      </c>
      <c r="R6218" s="345" t="s">
        <v>223</v>
      </c>
      <c r="S6218" s="345" t="s">
        <v>224</v>
      </c>
    </row>
    <row r="6219" spans="1:19" x14ac:dyDescent="0.25">
      <c r="A6219" s="311"/>
      <c r="B6219" s="312"/>
      <c r="C6219" s="312"/>
      <c r="D6219" s="312"/>
      <c r="E6219" s="312"/>
      <c r="F6219" s="312"/>
      <c r="G6219" s="328"/>
      <c r="H6219" s="453"/>
      <c r="I6219" s="334"/>
      <c r="J6219" s="314"/>
      <c r="K6219" s="454"/>
      <c r="M6219" s="349" t="str">
        <f>N6219&amp;AS[[#This Row],[Insurer Code]]&amp;"; "&amp;O6219&amp;AS[[#This Row],[Reporting Year]]&amp;"; "&amp;P6219&amp;AS[[#This Row],[Insurance Category Code]]&amp;"; "&amp;Q6219&amp;AS[[#This Row],[Large Provider Entity Code]]&amp;"; "&amp;R6219&amp;AS[[#This Row],[Age Band Code]]&amp;"; "&amp;S6219&amp;AS[[#This Row],[Sex Code]]</f>
        <v xml:space="preserve">Insurer Code ; Reporting Year ; Insurance Category Code ; Large Provider Entity Code ; Age Band Code ; Sex Code </v>
      </c>
      <c r="N6219" s="345" t="s">
        <v>207</v>
      </c>
      <c r="O6219" s="345" t="s">
        <v>208</v>
      </c>
      <c r="P6219" s="345" t="s">
        <v>209</v>
      </c>
      <c r="Q6219" s="345" t="s">
        <v>210</v>
      </c>
      <c r="R6219" s="345" t="s">
        <v>223</v>
      </c>
      <c r="S6219" s="345" t="s">
        <v>224</v>
      </c>
    </row>
    <row r="6220" spans="1:19" x14ac:dyDescent="0.25">
      <c r="A6220" s="311"/>
      <c r="B6220" s="312"/>
      <c r="C6220" s="312"/>
      <c r="D6220" s="312"/>
      <c r="E6220" s="312"/>
      <c r="F6220" s="312"/>
      <c r="G6220" s="328"/>
      <c r="H6220" s="453"/>
      <c r="I6220" s="334"/>
      <c r="J6220" s="314"/>
      <c r="K6220" s="454"/>
      <c r="M6220" s="349" t="str">
        <f>N6220&amp;AS[[#This Row],[Insurer Code]]&amp;"; "&amp;O6220&amp;AS[[#This Row],[Reporting Year]]&amp;"; "&amp;P6220&amp;AS[[#This Row],[Insurance Category Code]]&amp;"; "&amp;Q6220&amp;AS[[#This Row],[Large Provider Entity Code]]&amp;"; "&amp;R6220&amp;AS[[#This Row],[Age Band Code]]&amp;"; "&amp;S6220&amp;AS[[#This Row],[Sex Code]]</f>
        <v xml:space="preserve">Insurer Code ; Reporting Year ; Insurance Category Code ; Large Provider Entity Code ; Age Band Code ; Sex Code </v>
      </c>
      <c r="N6220" s="345" t="s">
        <v>207</v>
      </c>
      <c r="O6220" s="345" t="s">
        <v>208</v>
      </c>
      <c r="P6220" s="345" t="s">
        <v>209</v>
      </c>
      <c r="Q6220" s="345" t="s">
        <v>210</v>
      </c>
      <c r="R6220" s="345" t="s">
        <v>223</v>
      </c>
      <c r="S6220" s="345" t="s">
        <v>224</v>
      </c>
    </row>
    <row r="6221" spans="1:19" x14ac:dyDescent="0.25">
      <c r="A6221" s="311"/>
      <c r="B6221" s="312"/>
      <c r="C6221" s="312"/>
      <c r="D6221" s="312"/>
      <c r="E6221" s="312"/>
      <c r="F6221" s="312"/>
      <c r="G6221" s="328"/>
      <c r="H6221" s="453"/>
      <c r="I6221" s="334"/>
      <c r="J6221" s="314"/>
      <c r="K6221" s="454"/>
      <c r="M6221" s="349" t="str">
        <f>N6221&amp;AS[[#This Row],[Insurer Code]]&amp;"; "&amp;O6221&amp;AS[[#This Row],[Reporting Year]]&amp;"; "&amp;P6221&amp;AS[[#This Row],[Insurance Category Code]]&amp;"; "&amp;Q6221&amp;AS[[#This Row],[Large Provider Entity Code]]&amp;"; "&amp;R6221&amp;AS[[#This Row],[Age Band Code]]&amp;"; "&amp;S6221&amp;AS[[#This Row],[Sex Code]]</f>
        <v xml:space="preserve">Insurer Code ; Reporting Year ; Insurance Category Code ; Large Provider Entity Code ; Age Band Code ; Sex Code </v>
      </c>
      <c r="N6221" s="345" t="s">
        <v>207</v>
      </c>
      <c r="O6221" s="345" t="s">
        <v>208</v>
      </c>
      <c r="P6221" s="345" t="s">
        <v>209</v>
      </c>
      <c r="Q6221" s="345" t="s">
        <v>210</v>
      </c>
      <c r="R6221" s="345" t="s">
        <v>223</v>
      </c>
      <c r="S6221" s="345" t="s">
        <v>224</v>
      </c>
    </row>
    <row r="6222" spans="1:19" x14ac:dyDescent="0.25">
      <c r="A6222" s="311"/>
      <c r="B6222" s="312"/>
      <c r="C6222" s="312"/>
      <c r="D6222" s="312"/>
      <c r="E6222" s="312"/>
      <c r="F6222" s="312"/>
      <c r="G6222" s="328"/>
      <c r="H6222" s="453"/>
      <c r="I6222" s="334"/>
      <c r="J6222" s="314"/>
      <c r="K6222" s="454"/>
      <c r="M6222" s="349" t="str">
        <f>N6222&amp;AS[[#This Row],[Insurer Code]]&amp;"; "&amp;O6222&amp;AS[[#This Row],[Reporting Year]]&amp;"; "&amp;P6222&amp;AS[[#This Row],[Insurance Category Code]]&amp;"; "&amp;Q6222&amp;AS[[#This Row],[Large Provider Entity Code]]&amp;"; "&amp;R6222&amp;AS[[#This Row],[Age Band Code]]&amp;"; "&amp;S6222&amp;AS[[#This Row],[Sex Code]]</f>
        <v xml:space="preserve">Insurer Code ; Reporting Year ; Insurance Category Code ; Large Provider Entity Code ; Age Band Code ; Sex Code </v>
      </c>
      <c r="N6222" s="345" t="s">
        <v>207</v>
      </c>
      <c r="O6222" s="345" t="s">
        <v>208</v>
      </c>
      <c r="P6222" s="345" t="s">
        <v>209</v>
      </c>
      <c r="Q6222" s="345" t="s">
        <v>210</v>
      </c>
      <c r="R6222" s="345" t="s">
        <v>223</v>
      </c>
      <c r="S6222" s="345" t="s">
        <v>224</v>
      </c>
    </row>
    <row r="6223" spans="1:19" x14ac:dyDescent="0.25">
      <c r="A6223" s="311"/>
      <c r="B6223" s="312"/>
      <c r="C6223" s="312"/>
      <c r="D6223" s="312"/>
      <c r="E6223" s="312"/>
      <c r="F6223" s="312"/>
      <c r="G6223" s="328"/>
      <c r="H6223" s="453"/>
      <c r="I6223" s="334"/>
      <c r="J6223" s="314"/>
      <c r="K6223" s="454"/>
      <c r="M6223" s="349" t="str">
        <f>N6223&amp;AS[[#This Row],[Insurer Code]]&amp;"; "&amp;O6223&amp;AS[[#This Row],[Reporting Year]]&amp;"; "&amp;P6223&amp;AS[[#This Row],[Insurance Category Code]]&amp;"; "&amp;Q6223&amp;AS[[#This Row],[Large Provider Entity Code]]&amp;"; "&amp;R6223&amp;AS[[#This Row],[Age Band Code]]&amp;"; "&amp;S6223&amp;AS[[#This Row],[Sex Code]]</f>
        <v xml:space="preserve">Insurer Code ; Reporting Year ; Insurance Category Code ; Large Provider Entity Code ; Age Band Code ; Sex Code </v>
      </c>
      <c r="N6223" s="345" t="s">
        <v>207</v>
      </c>
      <c r="O6223" s="345" t="s">
        <v>208</v>
      </c>
      <c r="P6223" s="345" t="s">
        <v>209</v>
      </c>
      <c r="Q6223" s="345" t="s">
        <v>210</v>
      </c>
      <c r="R6223" s="345" t="s">
        <v>223</v>
      </c>
      <c r="S6223" s="345" t="s">
        <v>224</v>
      </c>
    </row>
    <row r="6224" spans="1:19" x14ac:dyDescent="0.25">
      <c r="A6224" s="311"/>
      <c r="B6224" s="312"/>
      <c r="C6224" s="312"/>
      <c r="D6224" s="312"/>
      <c r="E6224" s="312"/>
      <c r="F6224" s="312"/>
      <c r="G6224" s="328"/>
      <c r="H6224" s="453"/>
      <c r="I6224" s="334"/>
      <c r="J6224" s="314"/>
      <c r="K6224" s="454"/>
      <c r="M6224" s="349" t="str">
        <f>N6224&amp;AS[[#This Row],[Insurer Code]]&amp;"; "&amp;O6224&amp;AS[[#This Row],[Reporting Year]]&amp;"; "&amp;P6224&amp;AS[[#This Row],[Insurance Category Code]]&amp;"; "&amp;Q6224&amp;AS[[#This Row],[Large Provider Entity Code]]&amp;"; "&amp;R6224&amp;AS[[#This Row],[Age Band Code]]&amp;"; "&amp;S6224&amp;AS[[#This Row],[Sex Code]]</f>
        <v xml:space="preserve">Insurer Code ; Reporting Year ; Insurance Category Code ; Large Provider Entity Code ; Age Band Code ; Sex Code </v>
      </c>
      <c r="N6224" s="345" t="s">
        <v>207</v>
      </c>
      <c r="O6224" s="345" t="s">
        <v>208</v>
      </c>
      <c r="P6224" s="345" t="s">
        <v>209</v>
      </c>
      <c r="Q6224" s="345" t="s">
        <v>210</v>
      </c>
      <c r="R6224" s="345" t="s">
        <v>223</v>
      </c>
      <c r="S6224" s="345" t="s">
        <v>224</v>
      </c>
    </row>
    <row r="6225" spans="1:19" x14ac:dyDescent="0.25">
      <c r="A6225" s="311"/>
      <c r="B6225" s="312"/>
      <c r="C6225" s="312"/>
      <c r="D6225" s="312"/>
      <c r="E6225" s="312"/>
      <c r="F6225" s="312"/>
      <c r="G6225" s="328"/>
      <c r="H6225" s="453"/>
      <c r="I6225" s="334"/>
      <c r="J6225" s="314"/>
      <c r="K6225" s="454"/>
      <c r="M6225" s="349" t="str">
        <f>N6225&amp;AS[[#This Row],[Insurer Code]]&amp;"; "&amp;O6225&amp;AS[[#This Row],[Reporting Year]]&amp;"; "&amp;P6225&amp;AS[[#This Row],[Insurance Category Code]]&amp;"; "&amp;Q6225&amp;AS[[#This Row],[Large Provider Entity Code]]&amp;"; "&amp;R6225&amp;AS[[#This Row],[Age Band Code]]&amp;"; "&amp;S6225&amp;AS[[#This Row],[Sex Code]]</f>
        <v xml:space="preserve">Insurer Code ; Reporting Year ; Insurance Category Code ; Large Provider Entity Code ; Age Band Code ; Sex Code </v>
      </c>
      <c r="N6225" s="345" t="s">
        <v>207</v>
      </c>
      <c r="O6225" s="345" t="s">
        <v>208</v>
      </c>
      <c r="P6225" s="345" t="s">
        <v>209</v>
      </c>
      <c r="Q6225" s="345" t="s">
        <v>210</v>
      </c>
      <c r="R6225" s="345" t="s">
        <v>223</v>
      </c>
      <c r="S6225" s="345" t="s">
        <v>224</v>
      </c>
    </row>
    <row r="6226" spans="1:19" x14ac:dyDescent="0.25">
      <c r="A6226" s="311"/>
      <c r="B6226" s="312"/>
      <c r="C6226" s="312"/>
      <c r="D6226" s="312"/>
      <c r="E6226" s="312"/>
      <c r="F6226" s="312"/>
      <c r="G6226" s="328"/>
      <c r="H6226" s="453"/>
      <c r="I6226" s="334"/>
      <c r="J6226" s="314"/>
      <c r="K6226" s="454"/>
      <c r="M6226" s="349" t="str">
        <f>N6226&amp;AS[[#This Row],[Insurer Code]]&amp;"; "&amp;O6226&amp;AS[[#This Row],[Reporting Year]]&amp;"; "&amp;P6226&amp;AS[[#This Row],[Insurance Category Code]]&amp;"; "&amp;Q6226&amp;AS[[#This Row],[Large Provider Entity Code]]&amp;"; "&amp;R6226&amp;AS[[#This Row],[Age Band Code]]&amp;"; "&amp;S6226&amp;AS[[#This Row],[Sex Code]]</f>
        <v xml:space="preserve">Insurer Code ; Reporting Year ; Insurance Category Code ; Large Provider Entity Code ; Age Band Code ; Sex Code </v>
      </c>
      <c r="N6226" s="345" t="s">
        <v>207</v>
      </c>
      <c r="O6226" s="345" t="s">
        <v>208</v>
      </c>
      <c r="P6226" s="345" t="s">
        <v>209</v>
      </c>
      <c r="Q6226" s="345" t="s">
        <v>210</v>
      </c>
      <c r="R6226" s="345" t="s">
        <v>223</v>
      </c>
      <c r="S6226" s="345" t="s">
        <v>224</v>
      </c>
    </row>
    <row r="6227" spans="1:19" x14ac:dyDescent="0.25">
      <c r="A6227" s="311"/>
      <c r="B6227" s="312"/>
      <c r="C6227" s="312"/>
      <c r="D6227" s="312"/>
      <c r="E6227" s="312"/>
      <c r="F6227" s="312"/>
      <c r="G6227" s="328"/>
      <c r="H6227" s="453"/>
      <c r="I6227" s="334"/>
      <c r="J6227" s="314"/>
      <c r="K6227" s="454"/>
      <c r="M6227" s="349" t="str">
        <f>N6227&amp;AS[[#This Row],[Insurer Code]]&amp;"; "&amp;O6227&amp;AS[[#This Row],[Reporting Year]]&amp;"; "&amp;P6227&amp;AS[[#This Row],[Insurance Category Code]]&amp;"; "&amp;Q6227&amp;AS[[#This Row],[Large Provider Entity Code]]&amp;"; "&amp;R6227&amp;AS[[#This Row],[Age Band Code]]&amp;"; "&amp;S6227&amp;AS[[#This Row],[Sex Code]]</f>
        <v xml:space="preserve">Insurer Code ; Reporting Year ; Insurance Category Code ; Large Provider Entity Code ; Age Band Code ; Sex Code </v>
      </c>
      <c r="N6227" s="345" t="s">
        <v>207</v>
      </c>
      <c r="O6227" s="345" t="s">
        <v>208</v>
      </c>
      <c r="P6227" s="345" t="s">
        <v>209</v>
      </c>
      <c r="Q6227" s="345" t="s">
        <v>210</v>
      </c>
      <c r="R6227" s="345" t="s">
        <v>223</v>
      </c>
      <c r="S6227" s="345" t="s">
        <v>224</v>
      </c>
    </row>
    <row r="6228" spans="1:19" x14ac:dyDescent="0.25">
      <c r="A6228" s="311"/>
      <c r="B6228" s="312"/>
      <c r="C6228" s="312"/>
      <c r="D6228" s="312"/>
      <c r="E6228" s="312"/>
      <c r="F6228" s="312"/>
      <c r="G6228" s="328"/>
      <c r="H6228" s="453"/>
      <c r="I6228" s="334"/>
      <c r="J6228" s="314"/>
      <c r="K6228" s="454"/>
      <c r="M6228" s="349" t="str">
        <f>N6228&amp;AS[[#This Row],[Insurer Code]]&amp;"; "&amp;O6228&amp;AS[[#This Row],[Reporting Year]]&amp;"; "&amp;P6228&amp;AS[[#This Row],[Insurance Category Code]]&amp;"; "&amp;Q6228&amp;AS[[#This Row],[Large Provider Entity Code]]&amp;"; "&amp;R6228&amp;AS[[#This Row],[Age Band Code]]&amp;"; "&amp;S6228&amp;AS[[#This Row],[Sex Code]]</f>
        <v xml:space="preserve">Insurer Code ; Reporting Year ; Insurance Category Code ; Large Provider Entity Code ; Age Band Code ; Sex Code </v>
      </c>
      <c r="N6228" s="345" t="s">
        <v>207</v>
      </c>
      <c r="O6228" s="345" t="s">
        <v>208</v>
      </c>
      <c r="P6228" s="345" t="s">
        <v>209</v>
      </c>
      <c r="Q6228" s="345" t="s">
        <v>210</v>
      </c>
      <c r="R6228" s="345" t="s">
        <v>223</v>
      </c>
      <c r="S6228" s="345" t="s">
        <v>224</v>
      </c>
    </row>
    <row r="6229" spans="1:19" x14ac:dyDescent="0.25">
      <c r="A6229" s="311"/>
      <c r="B6229" s="312"/>
      <c r="C6229" s="312"/>
      <c r="D6229" s="312"/>
      <c r="E6229" s="312"/>
      <c r="F6229" s="312"/>
      <c r="G6229" s="328"/>
      <c r="H6229" s="453"/>
      <c r="I6229" s="334"/>
      <c r="J6229" s="314"/>
      <c r="K6229" s="454"/>
      <c r="M6229" s="349" t="str">
        <f>N6229&amp;AS[[#This Row],[Insurer Code]]&amp;"; "&amp;O6229&amp;AS[[#This Row],[Reporting Year]]&amp;"; "&amp;P6229&amp;AS[[#This Row],[Insurance Category Code]]&amp;"; "&amp;Q6229&amp;AS[[#This Row],[Large Provider Entity Code]]&amp;"; "&amp;R6229&amp;AS[[#This Row],[Age Band Code]]&amp;"; "&amp;S6229&amp;AS[[#This Row],[Sex Code]]</f>
        <v xml:space="preserve">Insurer Code ; Reporting Year ; Insurance Category Code ; Large Provider Entity Code ; Age Band Code ; Sex Code </v>
      </c>
      <c r="N6229" s="345" t="s">
        <v>207</v>
      </c>
      <c r="O6229" s="345" t="s">
        <v>208</v>
      </c>
      <c r="P6229" s="345" t="s">
        <v>209</v>
      </c>
      <c r="Q6229" s="345" t="s">
        <v>210</v>
      </c>
      <c r="R6229" s="345" t="s">
        <v>223</v>
      </c>
      <c r="S6229" s="345" t="s">
        <v>224</v>
      </c>
    </row>
    <row r="6230" spans="1:19" x14ac:dyDescent="0.25">
      <c r="A6230" s="311"/>
      <c r="B6230" s="312"/>
      <c r="C6230" s="312"/>
      <c r="D6230" s="312"/>
      <c r="E6230" s="312"/>
      <c r="F6230" s="312"/>
      <c r="G6230" s="328"/>
      <c r="H6230" s="453"/>
      <c r="I6230" s="334"/>
      <c r="J6230" s="314"/>
      <c r="K6230" s="454"/>
      <c r="M6230" s="349" t="str">
        <f>N6230&amp;AS[[#This Row],[Insurer Code]]&amp;"; "&amp;O6230&amp;AS[[#This Row],[Reporting Year]]&amp;"; "&amp;P6230&amp;AS[[#This Row],[Insurance Category Code]]&amp;"; "&amp;Q6230&amp;AS[[#This Row],[Large Provider Entity Code]]&amp;"; "&amp;R6230&amp;AS[[#This Row],[Age Band Code]]&amp;"; "&amp;S6230&amp;AS[[#This Row],[Sex Code]]</f>
        <v xml:space="preserve">Insurer Code ; Reporting Year ; Insurance Category Code ; Large Provider Entity Code ; Age Band Code ; Sex Code </v>
      </c>
      <c r="N6230" s="345" t="s">
        <v>207</v>
      </c>
      <c r="O6230" s="345" t="s">
        <v>208</v>
      </c>
      <c r="P6230" s="345" t="s">
        <v>209</v>
      </c>
      <c r="Q6230" s="345" t="s">
        <v>210</v>
      </c>
      <c r="R6230" s="345" t="s">
        <v>223</v>
      </c>
      <c r="S6230" s="345" t="s">
        <v>224</v>
      </c>
    </row>
    <row r="6231" spans="1:19" x14ac:dyDescent="0.25">
      <c r="A6231" s="311"/>
      <c r="B6231" s="312"/>
      <c r="C6231" s="312"/>
      <c r="D6231" s="312"/>
      <c r="E6231" s="312"/>
      <c r="F6231" s="312"/>
      <c r="G6231" s="328"/>
      <c r="H6231" s="453"/>
      <c r="I6231" s="334"/>
      <c r="J6231" s="314"/>
      <c r="K6231" s="454"/>
      <c r="M6231" s="349" t="str">
        <f>N6231&amp;AS[[#This Row],[Insurer Code]]&amp;"; "&amp;O6231&amp;AS[[#This Row],[Reporting Year]]&amp;"; "&amp;P6231&amp;AS[[#This Row],[Insurance Category Code]]&amp;"; "&amp;Q6231&amp;AS[[#This Row],[Large Provider Entity Code]]&amp;"; "&amp;R6231&amp;AS[[#This Row],[Age Band Code]]&amp;"; "&amp;S6231&amp;AS[[#This Row],[Sex Code]]</f>
        <v xml:space="preserve">Insurer Code ; Reporting Year ; Insurance Category Code ; Large Provider Entity Code ; Age Band Code ; Sex Code </v>
      </c>
      <c r="N6231" s="345" t="s">
        <v>207</v>
      </c>
      <c r="O6231" s="345" t="s">
        <v>208</v>
      </c>
      <c r="P6231" s="345" t="s">
        <v>209</v>
      </c>
      <c r="Q6231" s="345" t="s">
        <v>210</v>
      </c>
      <c r="R6231" s="345" t="s">
        <v>223</v>
      </c>
      <c r="S6231" s="345" t="s">
        <v>224</v>
      </c>
    </row>
    <row r="6232" spans="1:19" x14ac:dyDescent="0.25">
      <c r="A6232" s="311"/>
      <c r="B6232" s="312"/>
      <c r="C6232" s="312"/>
      <c r="D6232" s="312"/>
      <c r="E6232" s="312"/>
      <c r="F6232" s="312"/>
      <c r="G6232" s="328"/>
      <c r="H6232" s="453"/>
      <c r="I6232" s="334"/>
      <c r="J6232" s="314"/>
      <c r="K6232" s="454"/>
      <c r="M6232" s="349" t="str">
        <f>N6232&amp;AS[[#This Row],[Insurer Code]]&amp;"; "&amp;O6232&amp;AS[[#This Row],[Reporting Year]]&amp;"; "&amp;P6232&amp;AS[[#This Row],[Insurance Category Code]]&amp;"; "&amp;Q6232&amp;AS[[#This Row],[Large Provider Entity Code]]&amp;"; "&amp;R6232&amp;AS[[#This Row],[Age Band Code]]&amp;"; "&amp;S6232&amp;AS[[#This Row],[Sex Code]]</f>
        <v xml:space="preserve">Insurer Code ; Reporting Year ; Insurance Category Code ; Large Provider Entity Code ; Age Band Code ; Sex Code </v>
      </c>
      <c r="N6232" s="345" t="s">
        <v>207</v>
      </c>
      <c r="O6232" s="345" t="s">
        <v>208</v>
      </c>
      <c r="P6232" s="345" t="s">
        <v>209</v>
      </c>
      <c r="Q6232" s="345" t="s">
        <v>210</v>
      </c>
      <c r="R6232" s="345" t="s">
        <v>223</v>
      </c>
      <c r="S6232" s="345" t="s">
        <v>224</v>
      </c>
    </row>
    <row r="6233" spans="1:19" x14ac:dyDescent="0.25">
      <c r="A6233" s="311"/>
      <c r="B6233" s="312"/>
      <c r="C6233" s="312"/>
      <c r="D6233" s="312"/>
      <c r="E6233" s="312"/>
      <c r="F6233" s="312"/>
      <c r="G6233" s="328"/>
      <c r="H6233" s="453"/>
      <c r="I6233" s="334"/>
      <c r="J6233" s="314"/>
      <c r="K6233" s="454"/>
      <c r="M6233" s="349" t="str">
        <f>N6233&amp;AS[[#This Row],[Insurer Code]]&amp;"; "&amp;O6233&amp;AS[[#This Row],[Reporting Year]]&amp;"; "&amp;P6233&amp;AS[[#This Row],[Insurance Category Code]]&amp;"; "&amp;Q6233&amp;AS[[#This Row],[Large Provider Entity Code]]&amp;"; "&amp;R6233&amp;AS[[#This Row],[Age Band Code]]&amp;"; "&amp;S6233&amp;AS[[#This Row],[Sex Code]]</f>
        <v xml:space="preserve">Insurer Code ; Reporting Year ; Insurance Category Code ; Large Provider Entity Code ; Age Band Code ; Sex Code </v>
      </c>
      <c r="N6233" s="345" t="s">
        <v>207</v>
      </c>
      <c r="O6233" s="345" t="s">
        <v>208</v>
      </c>
      <c r="P6233" s="345" t="s">
        <v>209</v>
      </c>
      <c r="Q6233" s="345" t="s">
        <v>210</v>
      </c>
      <c r="R6233" s="345" t="s">
        <v>223</v>
      </c>
      <c r="S6233" s="345" t="s">
        <v>224</v>
      </c>
    </row>
    <row r="6234" spans="1:19" x14ac:dyDescent="0.25">
      <c r="A6234" s="311"/>
      <c r="B6234" s="312"/>
      <c r="C6234" s="312"/>
      <c r="D6234" s="312"/>
      <c r="E6234" s="312"/>
      <c r="F6234" s="312"/>
      <c r="G6234" s="328"/>
      <c r="H6234" s="453"/>
      <c r="I6234" s="334"/>
      <c r="J6234" s="314"/>
      <c r="K6234" s="454"/>
      <c r="M6234" s="349" t="str">
        <f>N6234&amp;AS[[#This Row],[Insurer Code]]&amp;"; "&amp;O6234&amp;AS[[#This Row],[Reporting Year]]&amp;"; "&amp;P6234&amp;AS[[#This Row],[Insurance Category Code]]&amp;"; "&amp;Q6234&amp;AS[[#This Row],[Large Provider Entity Code]]&amp;"; "&amp;R6234&amp;AS[[#This Row],[Age Band Code]]&amp;"; "&amp;S6234&amp;AS[[#This Row],[Sex Code]]</f>
        <v xml:space="preserve">Insurer Code ; Reporting Year ; Insurance Category Code ; Large Provider Entity Code ; Age Band Code ; Sex Code </v>
      </c>
      <c r="N6234" s="345" t="s">
        <v>207</v>
      </c>
      <c r="O6234" s="345" t="s">
        <v>208</v>
      </c>
      <c r="P6234" s="345" t="s">
        <v>209</v>
      </c>
      <c r="Q6234" s="345" t="s">
        <v>210</v>
      </c>
      <c r="R6234" s="345" t="s">
        <v>223</v>
      </c>
      <c r="S6234" s="345" t="s">
        <v>224</v>
      </c>
    </row>
    <row r="6235" spans="1:19" x14ac:dyDescent="0.25">
      <c r="A6235" s="311"/>
      <c r="B6235" s="312"/>
      <c r="C6235" s="312"/>
      <c r="D6235" s="312"/>
      <c r="E6235" s="312"/>
      <c r="F6235" s="312"/>
      <c r="G6235" s="328"/>
      <c r="H6235" s="453"/>
      <c r="I6235" s="334"/>
      <c r="J6235" s="314"/>
      <c r="K6235" s="454"/>
      <c r="M6235" s="349" t="str">
        <f>N6235&amp;AS[[#This Row],[Insurer Code]]&amp;"; "&amp;O6235&amp;AS[[#This Row],[Reporting Year]]&amp;"; "&amp;P6235&amp;AS[[#This Row],[Insurance Category Code]]&amp;"; "&amp;Q6235&amp;AS[[#This Row],[Large Provider Entity Code]]&amp;"; "&amp;R6235&amp;AS[[#This Row],[Age Band Code]]&amp;"; "&amp;S6235&amp;AS[[#This Row],[Sex Code]]</f>
        <v xml:space="preserve">Insurer Code ; Reporting Year ; Insurance Category Code ; Large Provider Entity Code ; Age Band Code ; Sex Code </v>
      </c>
      <c r="N6235" s="345" t="s">
        <v>207</v>
      </c>
      <c r="O6235" s="345" t="s">
        <v>208</v>
      </c>
      <c r="P6235" s="345" t="s">
        <v>209</v>
      </c>
      <c r="Q6235" s="345" t="s">
        <v>210</v>
      </c>
      <c r="R6235" s="345" t="s">
        <v>223</v>
      </c>
      <c r="S6235" s="345" t="s">
        <v>224</v>
      </c>
    </row>
    <row r="6236" spans="1:19" x14ac:dyDescent="0.25">
      <c r="A6236" s="311"/>
      <c r="B6236" s="312"/>
      <c r="C6236" s="312"/>
      <c r="D6236" s="312"/>
      <c r="E6236" s="312"/>
      <c r="F6236" s="312"/>
      <c r="G6236" s="328"/>
      <c r="H6236" s="453"/>
      <c r="I6236" s="334"/>
      <c r="J6236" s="314"/>
      <c r="K6236" s="454"/>
      <c r="M6236" s="349" t="str">
        <f>N6236&amp;AS[[#This Row],[Insurer Code]]&amp;"; "&amp;O6236&amp;AS[[#This Row],[Reporting Year]]&amp;"; "&amp;P6236&amp;AS[[#This Row],[Insurance Category Code]]&amp;"; "&amp;Q6236&amp;AS[[#This Row],[Large Provider Entity Code]]&amp;"; "&amp;R6236&amp;AS[[#This Row],[Age Band Code]]&amp;"; "&amp;S6236&amp;AS[[#This Row],[Sex Code]]</f>
        <v xml:space="preserve">Insurer Code ; Reporting Year ; Insurance Category Code ; Large Provider Entity Code ; Age Band Code ; Sex Code </v>
      </c>
      <c r="N6236" s="345" t="s">
        <v>207</v>
      </c>
      <c r="O6236" s="345" t="s">
        <v>208</v>
      </c>
      <c r="P6236" s="345" t="s">
        <v>209</v>
      </c>
      <c r="Q6236" s="345" t="s">
        <v>210</v>
      </c>
      <c r="R6236" s="345" t="s">
        <v>223</v>
      </c>
      <c r="S6236" s="345" t="s">
        <v>224</v>
      </c>
    </row>
    <row r="6237" spans="1:19" x14ac:dyDescent="0.25">
      <c r="A6237" s="311"/>
      <c r="B6237" s="312"/>
      <c r="C6237" s="312"/>
      <c r="D6237" s="312"/>
      <c r="E6237" s="312"/>
      <c r="F6237" s="312"/>
      <c r="G6237" s="328"/>
      <c r="H6237" s="453"/>
      <c r="I6237" s="334"/>
      <c r="J6237" s="314"/>
      <c r="K6237" s="454"/>
      <c r="M6237" s="349" t="str">
        <f>N6237&amp;AS[[#This Row],[Insurer Code]]&amp;"; "&amp;O6237&amp;AS[[#This Row],[Reporting Year]]&amp;"; "&amp;P6237&amp;AS[[#This Row],[Insurance Category Code]]&amp;"; "&amp;Q6237&amp;AS[[#This Row],[Large Provider Entity Code]]&amp;"; "&amp;R6237&amp;AS[[#This Row],[Age Band Code]]&amp;"; "&amp;S6237&amp;AS[[#This Row],[Sex Code]]</f>
        <v xml:space="preserve">Insurer Code ; Reporting Year ; Insurance Category Code ; Large Provider Entity Code ; Age Band Code ; Sex Code </v>
      </c>
      <c r="N6237" s="345" t="s">
        <v>207</v>
      </c>
      <c r="O6237" s="345" t="s">
        <v>208</v>
      </c>
      <c r="P6237" s="345" t="s">
        <v>209</v>
      </c>
      <c r="Q6237" s="345" t="s">
        <v>210</v>
      </c>
      <c r="R6237" s="345" t="s">
        <v>223</v>
      </c>
      <c r="S6237" s="345" t="s">
        <v>224</v>
      </c>
    </row>
    <row r="6238" spans="1:19" x14ac:dyDescent="0.25">
      <c r="A6238" s="311"/>
      <c r="B6238" s="312"/>
      <c r="C6238" s="312"/>
      <c r="D6238" s="312"/>
      <c r="E6238" s="312"/>
      <c r="F6238" s="312"/>
      <c r="G6238" s="328"/>
      <c r="H6238" s="453"/>
      <c r="I6238" s="334"/>
      <c r="J6238" s="314"/>
      <c r="K6238" s="454"/>
      <c r="M6238" s="349" t="str">
        <f>N6238&amp;AS[[#This Row],[Insurer Code]]&amp;"; "&amp;O6238&amp;AS[[#This Row],[Reporting Year]]&amp;"; "&amp;P6238&amp;AS[[#This Row],[Insurance Category Code]]&amp;"; "&amp;Q6238&amp;AS[[#This Row],[Large Provider Entity Code]]&amp;"; "&amp;R6238&amp;AS[[#This Row],[Age Band Code]]&amp;"; "&amp;S6238&amp;AS[[#This Row],[Sex Code]]</f>
        <v xml:space="preserve">Insurer Code ; Reporting Year ; Insurance Category Code ; Large Provider Entity Code ; Age Band Code ; Sex Code </v>
      </c>
      <c r="N6238" s="345" t="s">
        <v>207</v>
      </c>
      <c r="O6238" s="345" t="s">
        <v>208</v>
      </c>
      <c r="P6238" s="345" t="s">
        <v>209</v>
      </c>
      <c r="Q6238" s="345" t="s">
        <v>210</v>
      </c>
      <c r="R6238" s="345" t="s">
        <v>223</v>
      </c>
      <c r="S6238" s="345" t="s">
        <v>224</v>
      </c>
    </row>
    <row r="6239" spans="1:19" x14ac:dyDescent="0.25">
      <c r="A6239" s="311"/>
      <c r="B6239" s="312"/>
      <c r="C6239" s="312"/>
      <c r="D6239" s="312"/>
      <c r="E6239" s="312"/>
      <c r="F6239" s="312"/>
      <c r="G6239" s="328"/>
      <c r="H6239" s="453"/>
      <c r="I6239" s="334"/>
      <c r="J6239" s="314"/>
      <c r="K6239" s="454"/>
      <c r="M6239" s="349" t="str">
        <f>N6239&amp;AS[[#This Row],[Insurer Code]]&amp;"; "&amp;O6239&amp;AS[[#This Row],[Reporting Year]]&amp;"; "&amp;P6239&amp;AS[[#This Row],[Insurance Category Code]]&amp;"; "&amp;Q6239&amp;AS[[#This Row],[Large Provider Entity Code]]&amp;"; "&amp;R6239&amp;AS[[#This Row],[Age Band Code]]&amp;"; "&amp;S6239&amp;AS[[#This Row],[Sex Code]]</f>
        <v xml:space="preserve">Insurer Code ; Reporting Year ; Insurance Category Code ; Large Provider Entity Code ; Age Band Code ; Sex Code </v>
      </c>
      <c r="N6239" s="345" t="s">
        <v>207</v>
      </c>
      <c r="O6239" s="345" t="s">
        <v>208</v>
      </c>
      <c r="P6239" s="345" t="s">
        <v>209</v>
      </c>
      <c r="Q6239" s="345" t="s">
        <v>210</v>
      </c>
      <c r="R6239" s="345" t="s">
        <v>223</v>
      </c>
      <c r="S6239" s="345" t="s">
        <v>224</v>
      </c>
    </row>
    <row r="6240" spans="1:19" x14ac:dyDescent="0.25">
      <c r="A6240" s="311"/>
      <c r="B6240" s="312"/>
      <c r="C6240" s="312"/>
      <c r="D6240" s="312"/>
      <c r="E6240" s="312"/>
      <c r="F6240" s="312"/>
      <c r="G6240" s="328"/>
      <c r="H6240" s="453"/>
      <c r="I6240" s="334"/>
      <c r="J6240" s="314"/>
      <c r="K6240" s="454"/>
      <c r="M6240" s="349" t="str">
        <f>N6240&amp;AS[[#This Row],[Insurer Code]]&amp;"; "&amp;O6240&amp;AS[[#This Row],[Reporting Year]]&amp;"; "&amp;P6240&amp;AS[[#This Row],[Insurance Category Code]]&amp;"; "&amp;Q6240&amp;AS[[#This Row],[Large Provider Entity Code]]&amp;"; "&amp;R6240&amp;AS[[#This Row],[Age Band Code]]&amp;"; "&amp;S6240&amp;AS[[#This Row],[Sex Code]]</f>
        <v xml:space="preserve">Insurer Code ; Reporting Year ; Insurance Category Code ; Large Provider Entity Code ; Age Band Code ; Sex Code </v>
      </c>
      <c r="N6240" s="345" t="s">
        <v>207</v>
      </c>
      <c r="O6240" s="345" t="s">
        <v>208</v>
      </c>
      <c r="P6240" s="345" t="s">
        <v>209</v>
      </c>
      <c r="Q6240" s="345" t="s">
        <v>210</v>
      </c>
      <c r="R6240" s="345" t="s">
        <v>223</v>
      </c>
      <c r="S6240" s="345" t="s">
        <v>224</v>
      </c>
    </row>
    <row r="6241" spans="1:19" x14ac:dyDescent="0.25">
      <c r="A6241" s="311"/>
      <c r="B6241" s="312"/>
      <c r="C6241" s="312"/>
      <c r="D6241" s="312"/>
      <c r="E6241" s="312"/>
      <c r="F6241" s="312"/>
      <c r="G6241" s="328"/>
      <c r="H6241" s="453"/>
      <c r="I6241" s="334"/>
      <c r="J6241" s="314"/>
      <c r="K6241" s="454"/>
      <c r="M6241" s="349" t="str">
        <f>N6241&amp;AS[[#This Row],[Insurer Code]]&amp;"; "&amp;O6241&amp;AS[[#This Row],[Reporting Year]]&amp;"; "&amp;P6241&amp;AS[[#This Row],[Insurance Category Code]]&amp;"; "&amp;Q6241&amp;AS[[#This Row],[Large Provider Entity Code]]&amp;"; "&amp;R6241&amp;AS[[#This Row],[Age Band Code]]&amp;"; "&amp;S6241&amp;AS[[#This Row],[Sex Code]]</f>
        <v xml:space="preserve">Insurer Code ; Reporting Year ; Insurance Category Code ; Large Provider Entity Code ; Age Band Code ; Sex Code </v>
      </c>
      <c r="N6241" s="345" t="s">
        <v>207</v>
      </c>
      <c r="O6241" s="345" t="s">
        <v>208</v>
      </c>
      <c r="P6241" s="345" t="s">
        <v>209</v>
      </c>
      <c r="Q6241" s="345" t="s">
        <v>210</v>
      </c>
      <c r="R6241" s="345" t="s">
        <v>223</v>
      </c>
      <c r="S6241" s="345" t="s">
        <v>224</v>
      </c>
    </row>
    <row r="6242" spans="1:19" x14ac:dyDescent="0.25">
      <c r="A6242" s="311"/>
      <c r="B6242" s="312"/>
      <c r="C6242" s="312"/>
      <c r="D6242" s="312"/>
      <c r="E6242" s="312"/>
      <c r="F6242" s="312"/>
      <c r="G6242" s="328"/>
      <c r="H6242" s="453"/>
      <c r="I6242" s="334"/>
      <c r="J6242" s="314"/>
      <c r="K6242" s="454"/>
      <c r="M6242" s="349" t="str">
        <f>N6242&amp;AS[[#This Row],[Insurer Code]]&amp;"; "&amp;O6242&amp;AS[[#This Row],[Reporting Year]]&amp;"; "&amp;P6242&amp;AS[[#This Row],[Insurance Category Code]]&amp;"; "&amp;Q6242&amp;AS[[#This Row],[Large Provider Entity Code]]&amp;"; "&amp;R6242&amp;AS[[#This Row],[Age Band Code]]&amp;"; "&amp;S6242&amp;AS[[#This Row],[Sex Code]]</f>
        <v xml:space="preserve">Insurer Code ; Reporting Year ; Insurance Category Code ; Large Provider Entity Code ; Age Band Code ; Sex Code </v>
      </c>
      <c r="N6242" s="345" t="s">
        <v>207</v>
      </c>
      <c r="O6242" s="345" t="s">
        <v>208</v>
      </c>
      <c r="P6242" s="345" t="s">
        <v>209</v>
      </c>
      <c r="Q6242" s="345" t="s">
        <v>210</v>
      </c>
      <c r="R6242" s="345" t="s">
        <v>223</v>
      </c>
      <c r="S6242" s="345" t="s">
        <v>224</v>
      </c>
    </row>
    <row r="6243" spans="1:19" x14ac:dyDescent="0.25">
      <c r="A6243" s="311"/>
      <c r="B6243" s="312"/>
      <c r="C6243" s="312"/>
      <c r="D6243" s="312"/>
      <c r="E6243" s="312"/>
      <c r="F6243" s="312"/>
      <c r="G6243" s="328"/>
      <c r="H6243" s="453"/>
      <c r="I6243" s="334"/>
      <c r="J6243" s="314"/>
      <c r="K6243" s="454"/>
      <c r="M6243" s="349" t="str">
        <f>N6243&amp;AS[[#This Row],[Insurer Code]]&amp;"; "&amp;O6243&amp;AS[[#This Row],[Reporting Year]]&amp;"; "&amp;P6243&amp;AS[[#This Row],[Insurance Category Code]]&amp;"; "&amp;Q6243&amp;AS[[#This Row],[Large Provider Entity Code]]&amp;"; "&amp;R6243&amp;AS[[#This Row],[Age Band Code]]&amp;"; "&amp;S6243&amp;AS[[#This Row],[Sex Code]]</f>
        <v xml:space="preserve">Insurer Code ; Reporting Year ; Insurance Category Code ; Large Provider Entity Code ; Age Band Code ; Sex Code </v>
      </c>
      <c r="N6243" s="345" t="s">
        <v>207</v>
      </c>
      <c r="O6243" s="345" t="s">
        <v>208</v>
      </c>
      <c r="P6243" s="345" t="s">
        <v>209</v>
      </c>
      <c r="Q6243" s="345" t="s">
        <v>210</v>
      </c>
      <c r="R6243" s="345" t="s">
        <v>223</v>
      </c>
      <c r="S6243" s="345" t="s">
        <v>224</v>
      </c>
    </row>
    <row r="6244" spans="1:19" x14ac:dyDescent="0.25">
      <c r="A6244" s="311"/>
      <c r="B6244" s="312"/>
      <c r="C6244" s="312"/>
      <c r="D6244" s="312"/>
      <c r="E6244" s="312"/>
      <c r="F6244" s="312"/>
      <c r="G6244" s="328"/>
      <c r="H6244" s="453"/>
      <c r="I6244" s="334"/>
      <c r="J6244" s="314"/>
      <c r="K6244" s="454"/>
      <c r="M6244" s="349" t="str">
        <f>N6244&amp;AS[[#This Row],[Insurer Code]]&amp;"; "&amp;O6244&amp;AS[[#This Row],[Reporting Year]]&amp;"; "&amp;P6244&amp;AS[[#This Row],[Insurance Category Code]]&amp;"; "&amp;Q6244&amp;AS[[#This Row],[Large Provider Entity Code]]&amp;"; "&amp;R6244&amp;AS[[#This Row],[Age Band Code]]&amp;"; "&amp;S6244&amp;AS[[#This Row],[Sex Code]]</f>
        <v xml:space="preserve">Insurer Code ; Reporting Year ; Insurance Category Code ; Large Provider Entity Code ; Age Band Code ; Sex Code </v>
      </c>
      <c r="N6244" s="345" t="s">
        <v>207</v>
      </c>
      <c r="O6244" s="345" t="s">
        <v>208</v>
      </c>
      <c r="P6244" s="345" t="s">
        <v>209</v>
      </c>
      <c r="Q6244" s="345" t="s">
        <v>210</v>
      </c>
      <c r="R6244" s="345" t="s">
        <v>223</v>
      </c>
      <c r="S6244" s="345" t="s">
        <v>224</v>
      </c>
    </row>
    <row r="6245" spans="1:19" x14ac:dyDescent="0.25">
      <c r="A6245" s="311"/>
      <c r="B6245" s="312"/>
      <c r="C6245" s="312"/>
      <c r="D6245" s="312"/>
      <c r="E6245" s="312"/>
      <c r="F6245" s="312"/>
      <c r="G6245" s="328"/>
      <c r="H6245" s="453"/>
      <c r="I6245" s="334"/>
      <c r="J6245" s="314"/>
      <c r="K6245" s="454"/>
      <c r="M6245" s="349" t="str">
        <f>N6245&amp;AS[[#This Row],[Insurer Code]]&amp;"; "&amp;O6245&amp;AS[[#This Row],[Reporting Year]]&amp;"; "&amp;P6245&amp;AS[[#This Row],[Insurance Category Code]]&amp;"; "&amp;Q6245&amp;AS[[#This Row],[Large Provider Entity Code]]&amp;"; "&amp;R6245&amp;AS[[#This Row],[Age Band Code]]&amp;"; "&amp;S6245&amp;AS[[#This Row],[Sex Code]]</f>
        <v xml:space="preserve">Insurer Code ; Reporting Year ; Insurance Category Code ; Large Provider Entity Code ; Age Band Code ; Sex Code </v>
      </c>
      <c r="N6245" s="345" t="s">
        <v>207</v>
      </c>
      <c r="O6245" s="345" t="s">
        <v>208</v>
      </c>
      <c r="P6245" s="345" t="s">
        <v>209</v>
      </c>
      <c r="Q6245" s="345" t="s">
        <v>210</v>
      </c>
      <c r="R6245" s="345" t="s">
        <v>223</v>
      </c>
      <c r="S6245" s="345" t="s">
        <v>224</v>
      </c>
    </row>
    <row r="6246" spans="1:19" x14ac:dyDescent="0.25">
      <c r="A6246" s="311"/>
      <c r="B6246" s="312"/>
      <c r="C6246" s="312"/>
      <c r="D6246" s="312"/>
      <c r="E6246" s="312"/>
      <c r="F6246" s="312"/>
      <c r="G6246" s="328"/>
      <c r="H6246" s="453"/>
      <c r="I6246" s="334"/>
      <c r="J6246" s="314"/>
      <c r="K6246" s="454"/>
      <c r="M6246" s="349" t="str">
        <f>N6246&amp;AS[[#This Row],[Insurer Code]]&amp;"; "&amp;O6246&amp;AS[[#This Row],[Reporting Year]]&amp;"; "&amp;P6246&amp;AS[[#This Row],[Insurance Category Code]]&amp;"; "&amp;Q6246&amp;AS[[#This Row],[Large Provider Entity Code]]&amp;"; "&amp;R6246&amp;AS[[#This Row],[Age Band Code]]&amp;"; "&amp;S6246&amp;AS[[#This Row],[Sex Code]]</f>
        <v xml:space="preserve">Insurer Code ; Reporting Year ; Insurance Category Code ; Large Provider Entity Code ; Age Band Code ; Sex Code </v>
      </c>
      <c r="N6246" s="345" t="s">
        <v>207</v>
      </c>
      <c r="O6246" s="345" t="s">
        <v>208</v>
      </c>
      <c r="P6246" s="345" t="s">
        <v>209</v>
      </c>
      <c r="Q6246" s="345" t="s">
        <v>210</v>
      </c>
      <c r="R6246" s="345" t="s">
        <v>223</v>
      </c>
      <c r="S6246" s="345" t="s">
        <v>224</v>
      </c>
    </row>
    <row r="6247" spans="1:19" x14ac:dyDescent="0.25">
      <c r="A6247" s="311"/>
      <c r="B6247" s="312"/>
      <c r="C6247" s="312"/>
      <c r="D6247" s="312"/>
      <c r="E6247" s="312"/>
      <c r="F6247" s="312"/>
      <c r="G6247" s="328"/>
      <c r="H6247" s="453"/>
      <c r="I6247" s="334"/>
      <c r="J6247" s="314"/>
      <c r="K6247" s="454"/>
      <c r="M6247" s="349" t="str">
        <f>N6247&amp;AS[[#This Row],[Insurer Code]]&amp;"; "&amp;O6247&amp;AS[[#This Row],[Reporting Year]]&amp;"; "&amp;P6247&amp;AS[[#This Row],[Insurance Category Code]]&amp;"; "&amp;Q6247&amp;AS[[#This Row],[Large Provider Entity Code]]&amp;"; "&amp;R6247&amp;AS[[#This Row],[Age Band Code]]&amp;"; "&amp;S6247&amp;AS[[#This Row],[Sex Code]]</f>
        <v xml:space="preserve">Insurer Code ; Reporting Year ; Insurance Category Code ; Large Provider Entity Code ; Age Band Code ; Sex Code </v>
      </c>
      <c r="N6247" s="345" t="s">
        <v>207</v>
      </c>
      <c r="O6247" s="345" t="s">
        <v>208</v>
      </c>
      <c r="P6247" s="345" t="s">
        <v>209</v>
      </c>
      <c r="Q6247" s="345" t="s">
        <v>210</v>
      </c>
      <c r="R6247" s="345" t="s">
        <v>223</v>
      </c>
      <c r="S6247" s="345" t="s">
        <v>224</v>
      </c>
    </row>
    <row r="6248" spans="1:19" x14ac:dyDescent="0.25">
      <c r="A6248" s="311"/>
      <c r="B6248" s="312"/>
      <c r="C6248" s="312"/>
      <c r="D6248" s="312"/>
      <c r="E6248" s="312"/>
      <c r="F6248" s="312"/>
      <c r="G6248" s="328"/>
      <c r="H6248" s="453"/>
      <c r="I6248" s="334"/>
      <c r="J6248" s="314"/>
      <c r="K6248" s="454"/>
      <c r="M6248" s="349" t="str">
        <f>N6248&amp;AS[[#This Row],[Insurer Code]]&amp;"; "&amp;O6248&amp;AS[[#This Row],[Reporting Year]]&amp;"; "&amp;P6248&amp;AS[[#This Row],[Insurance Category Code]]&amp;"; "&amp;Q6248&amp;AS[[#This Row],[Large Provider Entity Code]]&amp;"; "&amp;R6248&amp;AS[[#This Row],[Age Band Code]]&amp;"; "&amp;S6248&amp;AS[[#This Row],[Sex Code]]</f>
        <v xml:space="preserve">Insurer Code ; Reporting Year ; Insurance Category Code ; Large Provider Entity Code ; Age Band Code ; Sex Code </v>
      </c>
      <c r="N6248" s="345" t="s">
        <v>207</v>
      </c>
      <c r="O6248" s="345" t="s">
        <v>208</v>
      </c>
      <c r="P6248" s="345" t="s">
        <v>209</v>
      </c>
      <c r="Q6248" s="345" t="s">
        <v>210</v>
      </c>
      <c r="R6248" s="345" t="s">
        <v>223</v>
      </c>
      <c r="S6248" s="345" t="s">
        <v>224</v>
      </c>
    </row>
    <row r="6249" spans="1:19" x14ac:dyDescent="0.25">
      <c r="A6249" s="311"/>
      <c r="B6249" s="312"/>
      <c r="C6249" s="312"/>
      <c r="D6249" s="312"/>
      <c r="E6249" s="312"/>
      <c r="F6249" s="312"/>
      <c r="G6249" s="328"/>
      <c r="H6249" s="453"/>
      <c r="I6249" s="334"/>
      <c r="J6249" s="314"/>
      <c r="K6249" s="454"/>
      <c r="M6249" s="349" t="str">
        <f>N6249&amp;AS[[#This Row],[Insurer Code]]&amp;"; "&amp;O6249&amp;AS[[#This Row],[Reporting Year]]&amp;"; "&amp;P6249&amp;AS[[#This Row],[Insurance Category Code]]&amp;"; "&amp;Q6249&amp;AS[[#This Row],[Large Provider Entity Code]]&amp;"; "&amp;R6249&amp;AS[[#This Row],[Age Band Code]]&amp;"; "&amp;S6249&amp;AS[[#This Row],[Sex Code]]</f>
        <v xml:space="preserve">Insurer Code ; Reporting Year ; Insurance Category Code ; Large Provider Entity Code ; Age Band Code ; Sex Code </v>
      </c>
      <c r="N6249" s="345" t="s">
        <v>207</v>
      </c>
      <c r="O6249" s="345" t="s">
        <v>208</v>
      </c>
      <c r="P6249" s="345" t="s">
        <v>209</v>
      </c>
      <c r="Q6249" s="345" t="s">
        <v>210</v>
      </c>
      <c r="R6249" s="345" t="s">
        <v>223</v>
      </c>
      <c r="S6249" s="345" t="s">
        <v>224</v>
      </c>
    </row>
    <row r="6250" spans="1:19" x14ac:dyDescent="0.25">
      <c r="A6250" s="311"/>
      <c r="B6250" s="312"/>
      <c r="C6250" s="312"/>
      <c r="D6250" s="312"/>
      <c r="E6250" s="312"/>
      <c r="F6250" s="312"/>
      <c r="G6250" s="328"/>
      <c r="H6250" s="453"/>
      <c r="I6250" s="334"/>
      <c r="J6250" s="314"/>
      <c r="K6250" s="454"/>
      <c r="M6250" s="349" t="str">
        <f>N6250&amp;AS[[#This Row],[Insurer Code]]&amp;"; "&amp;O6250&amp;AS[[#This Row],[Reporting Year]]&amp;"; "&amp;P6250&amp;AS[[#This Row],[Insurance Category Code]]&amp;"; "&amp;Q6250&amp;AS[[#This Row],[Large Provider Entity Code]]&amp;"; "&amp;R6250&amp;AS[[#This Row],[Age Band Code]]&amp;"; "&amp;S6250&amp;AS[[#This Row],[Sex Code]]</f>
        <v xml:space="preserve">Insurer Code ; Reporting Year ; Insurance Category Code ; Large Provider Entity Code ; Age Band Code ; Sex Code </v>
      </c>
      <c r="N6250" s="345" t="s">
        <v>207</v>
      </c>
      <c r="O6250" s="345" t="s">
        <v>208</v>
      </c>
      <c r="P6250" s="345" t="s">
        <v>209</v>
      </c>
      <c r="Q6250" s="345" t="s">
        <v>210</v>
      </c>
      <c r="R6250" s="345" t="s">
        <v>223</v>
      </c>
      <c r="S6250" s="345" t="s">
        <v>224</v>
      </c>
    </row>
    <row r="6251" spans="1:19" x14ac:dyDescent="0.25">
      <c r="A6251" s="311"/>
      <c r="B6251" s="312"/>
      <c r="C6251" s="312"/>
      <c r="D6251" s="312"/>
      <c r="E6251" s="312"/>
      <c r="F6251" s="312"/>
      <c r="G6251" s="328"/>
      <c r="H6251" s="453"/>
      <c r="I6251" s="334"/>
      <c r="J6251" s="314"/>
      <c r="K6251" s="454"/>
      <c r="M6251" s="349" t="str">
        <f>N6251&amp;AS[[#This Row],[Insurer Code]]&amp;"; "&amp;O6251&amp;AS[[#This Row],[Reporting Year]]&amp;"; "&amp;P6251&amp;AS[[#This Row],[Insurance Category Code]]&amp;"; "&amp;Q6251&amp;AS[[#This Row],[Large Provider Entity Code]]&amp;"; "&amp;R6251&amp;AS[[#This Row],[Age Band Code]]&amp;"; "&amp;S6251&amp;AS[[#This Row],[Sex Code]]</f>
        <v xml:space="preserve">Insurer Code ; Reporting Year ; Insurance Category Code ; Large Provider Entity Code ; Age Band Code ; Sex Code </v>
      </c>
      <c r="N6251" s="345" t="s">
        <v>207</v>
      </c>
      <c r="O6251" s="345" t="s">
        <v>208</v>
      </c>
      <c r="P6251" s="345" t="s">
        <v>209</v>
      </c>
      <c r="Q6251" s="345" t="s">
        <v>210</v>
      </c>
      <c r="R6251" s="345" t="s">
        <v>223</v>
      </c>
      <c r="S6251" s="345" t="s">
        <v>224</v>
      </c>
    </row>
    <row r="6252" spans="1:19" x14ac:dyDescent="0.25">
      <c r="A6252" s="311"/>
      <c r="B6252" s="312"/>
      <c r="C6252" s="312"/>
      <c r="D6252" s="312"/>
      <c r="E6252" s="312"/>
      <c r="F6252" s="312"/>
      <c r="G6252" s="328"/>
      <c r="H6252" s="453"/>
      <c r="I6252" s="334"/>
      <c r="J6252" s="314"/>
      <c r="K6252" s="454"/>
      <c r="M6252" s="349" t="str">
        <f>N6252&amp;AS[[#This Row],[Insurer Code]]&amp;"; "&amp;O6252&amp;AS[[#This Row],[Reporting Year]]&amp;"; "&amp;P6252&amp;AS[[#This Row],[Insurance Category Code]]&amp;"; "&amp;Q6252&amp;AS[[#This Row],[Large Provider Entity Code]]&amp;"; "&amp;R6252&amp;AS[[#This Row],[Age Band Code]]&amp;"; "&amp;S6252&amp;AS[[#This Row],[Sex Code]]</f>
        <v xml:space="preserve">Insurer Code ; Reporting Year ; Insurance Category Code ; Large Provider Entity Code ; Age Band Code ; Sex Code </v>
      </c>
      <c r="N6252" s="345" t="s">
        <v>207</v>
      </c>
      <c r="O6252" s="345" t="s">
        <v>208</v>
      </c>
      <c r="P6252" s="345" t="s">
        <v>209</v>
      </c>
      <c r="Q6252" s="345" t="s">
        <v>210</v>
      </c>
      <c r="R6252" s="345" t="s">
        <v>223</v>
      </c>
      <c r="S6252" s="345" t="s">
        <v>224</v>
      </c>
    </row>
    <row r="6253" spans="1:19" x14ac:dyDescent="0.25">
      <c r="A6253" s="311"/>
      <c r="B6253" s="312"/>
      <c r="C6253" s="312"/>
      <c r="D6253" s="312"/>
      <c r="E6253" s="312"/>
      <c r="F6253" s="312"/>
      <c r="G6253" s="328"/>
      <c r="H6253" s="453"/>
      <c r="I6253" s="334"/>
      <c r="J6253" s="314"/>
      <c r="K6253" s="454"/>
      <c r="M6253" s="349" t="str">
        <f>N6253&amp;AS[[#This Row],[Insurer Code]]&amp;"; "&amp;O6253&amp;AS[[#This Row],[Reporting Year]]&amp;"; "&amp;P6253&amp;AS[[#This Row],[Insurance Category Code]]&amp;"; "&amp;Q6253&amp;AS[[#This Row],[Large Provider Entity Code]]&amp;"; "&amp;R6253&amp;AS[[#This Row],[Age Band Code]]&amp;"; "&amp;S6253&amp;AS[[#This Row],[Sex Code]]</f>
        <v xml:space="preserve">Insurer Code ; Reporting Year ; Insurance Category Code ; Large Provider Entity Code ; Age Band Code ; Sex Code </v>
      </c>
      <c r="N6253" s="345" t="s">
        <v>207</v>
      </c>
      <c r="O6253" s="345" t="s">
        <v>208</v>
      </c>
      <c r="P6253" s="345" t="s">
        <v>209</v>
      </c>
      <c r="Q6253" s="345" t="s">
        <v>210</v>
      </c>
      <c r="R6253" s="345" t="s">
        <v>223</v>
      </c>
      <c r="S6253" s="345" t="s">
        <v>224</v>
      </c>
    </row>
    <row r="6254" spans="1:19" x14ac:dyDescent="0.25">
      <c r="A6254" s="311"/>
      <c r="B6254" s="312"/>
      <c r="C6254" s="312"/>
      <c r="D6254" s="312"/>
      <c r="E6254" s="312"/>
      <c r="F6254" s="312"/>
      <c r="G6254" s="328"/>
      <c r="H6254" s="453"/>
      <c r="I6254" s="334"/>
      <c r="J6254" s="314"/>
      <c r="K6254" s="454"/>
      <c r="M6254" s="349" t="str">
        <f>N6254&amp;AS[[#This Row],[Insurer Code]]&amp;"; "&amp;O6254&amp;AS[[#This Row],[Reporting Year]]&amp;"; "&amp;P6254&amp;AS[[#This Row],[Insurance Category Code]]&amp;"; "&amp;Q6254&amp;AS[[#This Row],[Large Provider Entity Code]]&amp;"; "&amp;R6254&amp;AS[[#This Row],[Age Band Code]]&amp;"; "&amp;S6254&amp;AS[[#This Row],[Sex Code]]</f>
        <v xml:space="preserve">Insurer Code ; Reporting Year ; Insurance Category Code ; Large Provider Entity Code ; Age Band Code ; Sex Code </v>
      </c>
      <c r="N6254" s="345" t="s">
        <v>207</v>
      </c>
      <c r="O6254" s="345" t="s">
        <v>208</v>
      </c>
      <c r="P6254" s="345" t="s">
        <v>209</v>
      </c>
      <c r="Q6254" s="345" t="s">
        <v>210</v>
      </c>
      <c r="R6254" s="345" t="s">
        <v>223</v>
      </c>
      <c r="S6254" s="345" t="s">
        <v>224</v>
      </c>
    </row>
    <row r="6255" spans="1:19" x14ac:dyDescent="0.25">
      <c r="A6255" s="311"/>
      <c r="B6255" s="312"/>
      <c r="C6255" s="312"/>
      <c r="D6255" s="312"/>
      <c r="E6255" s="312"/>
      <c r="F6255" s="312"/>
      <c r="G6255" s="328"/>
      <c r="H6255" s="453"/>
      <c r="I6255" s="334"/>
      <c r="J6255" s="314"/>
      <c r="K6255" s="454"/>
      <c r="M6255" s="349" t="str">
        <f>N6255&amp;AS[[#This Row],[Insurer Code]]&amp;"; "&amp;O6255&amp;AS[[#This Row],[Reporting Year]]&amp;"; "&amp;P6255&amp;AS[[#This Row],[Insurance Category Code]]&amp;"; "&amp;Q6255&amp;AS[[#This Row],[Large Provider Entity Code]]&amp;"; "&amp;R6255&amp;AS[[#This Row],[Age Band Code]]&amp;"; "&amp;S6255&amp;AS[[#This Row],[Sex Code]]</f>
        <v xml:space="preserve">Insurer Code ; Reporting Year ; Insurance Category Code ; Large Provider Entity Code ; Age Band Code ; Sex Code </v>
      </c>
      <c r="N6255" s="345" t="s">
        <v>207</v>
      </c>
      <c r="O6255" s="345" t="s">
        <v>208</v>
      </c>
      <c r="P6255" s="345" t="s">
        <v>209</v>
      </c>
      <c r="Q6255" s="345" t="s">
        <v>210</v>
      </c>
      <c r="R6255" s="345" t="s">
        <v>223</v>
      </c>
      <c r="S6255" s="345" t="s">
        <v>224</v>
      </c>
    </row>
    <row r="6256" spans="1:19" x14ac:dyDescent="0.25">
      <c r="A6256" s="311"/>
      <c r="B6256" s="312"/>
      <c r="C6256" s="312"/>
      <c r="D6256" s="312"/>
      <c r="E6256" s="312"/>
      <c r="F6256" s="312"/>
      <c r="G6256" s="328"/>
      <c r="H6256" s="453"/>
      <c r="I6256" s="334"/>
      <c r="J6256" s="314"/>
      <c r="K6256" s="454"/>
      <c r="M6256" s="349" t="str">
        <f>N6256&amp;AS[[#This Row],[Insurer Code]]&amp;"; "&amp;O6256&amp;AS[[#This Row],[Reporting Year]]&amp;"; "&amp;P6256&amp;AS[[#This Row],[Insurance Category Code]]&amp;"; "&amp;Q6256&amp;AS[[#This Row],[Large Provider Entity Code]]&amp;"; "&amp;R6256&amp;AS[[#This Row],[Age Band Code]]&amp;"; "&amp;S6256&amp;AS[[#This Row],[Sex Code]]</f>
        <v xml:space="preserve">Insurer Code ; Reporting Year ; Insurance Category Code ; Large Provider Entity Code ; Age Band Code ; Sex Code </v>
      </c>
      <c r="N6256" s="345" t="s">
        <v>207</v>
      </c>
      <c r="O6256" s="345" t="s">
        <v>208</v>
      </c>
      <c r="P6256" s="345" t="s">
        <v>209</v>
      </c>
      <c r="Q6256" s="345" t="s">
        <v>210</v>
      </c>
      <c r="R6256" s="345" t="s">
        <v>223</v>
      </c>
      <c r="S6256" s="345" t="s">
        <v>224</v>
      </c>
    </row>
    <row r="6257" spans="1:19" x14ac:dyDescent="0.25">
      <c r="A6257" s="311"/>
      <c r="B6257" s="312"/>
      <c r="C6257" s="312"/>
      <c r="D6257" s="312"/>
      <c r="E6257" s="312"/>
      <c r="F6257" s="312"/>
      <c r="G6257" s="328"/>
      <c r="H6257" s="453"/>
      <c r="I6257" s="334"/>
      <c r="J6257" s="314"/>
      <c r="K6257" s="454"/>
      <c r="M6257" s="349" t="str">
        <f>N6257&amp;AS[[#This Row],[Insurer Code]]&amp;"; "&amp;O6257&amp;AS[[#This Row],[Reporting Year]]&amp;"; "&amp;P6257&amp;AS[[#This Row],[Insurance Category Code]]&amp;"; "&amp;Q6257&amp;AS[[#This Row],[Large Provider Entity Code]]&amp;"; "&amp;R6257&amp;AS[[#This Row],[Age Band Code]]&amp;"; "&amp;S6257&amp;AS[[#This Row],[Sex Code]]</f>
        <v xml:space="preserve">Insurer Code ; Reporting Year ; Insurance Category Code ; Large Provider Entity Code ; Age Band Code ; Sex Code </v>
      </c>
      <c r="N6257" s="345" t="s">
        <v>207</v>
      </c>
      <c r="O6257" s="345" t="s">
        <v>208</v>
      </c>
      <c r="P6257" s="345" t="s">
        <v>209</v>
      </c>
      <c r="Q6257" s="345" t="s">
        <v>210</v>
      </c>
      <c r="R6257" s="345" t="s">
        <v>223</v>
      </c>
      <c r="S6257" s="345" t="s">
        <v>224</v>
      </c>
    </row>
    <row r="6258" spans="1:19" x14ac:dyDescent="0.25">
      <c r="A6258" s="311"/>
      <c r="B6258" s="312"/>
      <c r="C6258" s="312"/>
      <c r="D6258" s="312"/>
      <c r="E6258" s="312"/>
      <c r="F6258" s="312"/>
      <c r="G6258" s="328"/>
      <c r="H6258" s="453"/>
      <c r="I6258" s="334"/>
      <c r="J6258" s="314"/>
      <c r="K6258" s="454"/>
      <c r="M6258" s="349" t="str">
        <f>N6258&amp;AS[[#This Row],[Insurer Code]]&amp;"; "&amp;O6258&amp;AS[[#This Row],[Reporting Year]]&amp;"; "&amp;P6258&amp;AS[[#This Row],[Insurance Category Code]]&amp;"; "&amp;Q6258&amp;AS[[#This Row],[Large Provider Entity Code]]&amp;"; "&amp;R6258&amp;AS[[#This Row],[Age Band Code]]&amp;"; "&amp;S6258&amp;AS[[#This Row],[Sex Code]]</f>
        <v xml:space="preserve">Insurer Code ; Reporting Year ; Insurance Category Code ; Large Provider Entity Code ; Age Band Code ; Sex Code </v>
      </c>
      <c r="N6258" s="345" t="s">
        <v>207</v>
      </c>
      <c r="O6258" s="345" t="s">
        <v>208</v>
      </c>
      <c r="P6258" s="345" t="s">
        <v>209</v>
      </c>
      <c r="Q6258" s="345" t="s">
        <v>210</v>
      </c>
      <c r="R6258" s="345" t="s">
        <v>223</v>
      </c>
      <c r="S6258" s="345" t="s">
        <v>224</v>
      </c>
    </row>
    <row r="6259" spans="1:19" x14ac:dyDescent="0.25">
      <c r="A6259" s="311"/>
      <c r="B6259" s="312"/>
      <c r="C6259" s="312"/>
      <c r="D6259" s="312"/>
      <c r="E6259" s="312"/>
      <c r="F6259" s="312"/>
      <c r="G6259" s="328"/>
      <c r="H6259" s="453"/>
      <c r="I6259" s="334"/>
      <c r="J6259" s="314"/>
      <c r="K6259" s="454"/>
      <c r="M6259" s="349" t="str">
        <f>N6259&amp;AS[[#This Row],[Insurer Code]]&amp;"; "&amp;O6259&amp;AS[[#This Row],[Reporting Year]]&amp;"; "&amp;P6259&amp;AS[[#This Row],[Insurance Category Code]]&amp;"; "&amp;Q6259&amp;AS[[#This Row],[Large Provider Entity Code]]&amp;"; "&amp;R6259&amp;AS[[#This Row],[Age Band Code]]&amp;"; "&amp;S6259&amp;AS[[#This Row],[Sex Code]]</f>
        <v xml:space="preserve">Insurer Code ; Reporting Year ; Insurance Category Code ; Large Provider Entity Code ; Age Band Code ; Sex Code </v>
      </c>
      <c r="N6259" s="345" t="s">
        <v>207</v>
      </c>
      <c r="O6259" s="345" t="s">
        <v>208</v>
      </c>
      <c r="P6259" s="345" t="s">
        <v>209</v>
      </c>
      <c r="Q6259" s="345" t="s">
        <v>210</v>
      </c>
      <c r="R6259" s="345" t="s">
        <v>223</v>
      </c>
      <c r="S6259" s="345" t="s">
        <v>224</v>
      </c>
    </row>
    <row r="6260" spans="1:19" x14ac:dyDescent="0.25">
      <c r="A6260" s="311"/>
      <c r="B6260" s="312"/>
      <c r="C6260" s="312"/>
      <c r="D6260" s="312"/>
      <c r="E6260" s="312"/>
      <c r="F6260" s="312"/>
      <c r="G6260" s="328"/>
      <c r="H6260" s="453"/>
      <c r="I6260" s="334"/>
      <c r="J6260" s="314"/>
      <c r="K6260" s="454"/>
      <c r="M6260" s="349" t="str">
        <f>N6260&amp;AS[[#This Row],[Insurer Code]]&amp;"; "&amp;O6260&amp;AS[[#This Row],[Reporting Year]]&amp;"; "&amp;P6260&amp;AS[[#This Row],[Insurance Category Code]]&amp;"; "&amp;Q6260&amp;AS[[#This Row],[Large Provider Entity Code]]&amp;"; "&amp;R6260&amp;AS[[#This Row],[Age Band Code]]&amp;"; "&amp;S6260&amp;AS[[#This Row],[Sex Code]]</f>
        <v xml:space="preserve">Insurer Code ; Reporting Year ; Insurance Category Code ; Large Provider Entity Code ; Age Band Code ; Sex Code </v>
      </c>
      <c r="N6260" s="345" t="s">
        <v>207</v>
      </c>
      <c r="O6260" s="345" t="s">
        <v>208</v>
      </c>
      <c r="P6260" s="345" t="s">
        <v>209</v>
      </c>
      <c r="Q6260" s="345" t="s">
        <v>210</v>
      </c>
      <c r="R6260" s="345" t="s">
        <v>223</v>
      </c>
      <c r="S6260" s="345" t="s">
        <v>224</v>
      </c>
    </row>
    <row r="6261" spans="1:19" x14ac:dyDescent="0.25">
      <c r="A6261" s="311"/>
      <c r="B6261" s="312"/>
      <c r="C6261" s="312"/>
      <c r="D6261" s="312"/>
      <c r="E6261" s="312"/>
      <c r="F6261" s="312"/>
      <c r="G6261" s="328"/>
      <c r="H6261" s="453"/>
      <c r="I6261" s="334"/>
      <c r="J6261" s="314"/>
      <c r="K6261" s="454"/>
      <c r="M6261" s="349" t="str">
        <f>N6261&amp;AS[[#This Row],[Insurer Code]]&amp;"; "&amp;O6261&amp;AS[[#This Row],[Reporting Year]]&amp;"; "&amp;P6261&amp;AS[[#This Row],[Insurance Category Code]]&amp;"; "&amp;Q6261&amp;AS[[#This Row],[Large Provider Entity Code]]&amp;"; "&amp;R6261&amp;AS[[#This Row],[Age Band Code]]&amp;"; "&amp;S6261&amp;AS[[#This Row],[Sex Code]]</f>
        <v xml:space="preserve">Insurer Code ; Reporting Year ; Insurance Category Code ; Large Provider Entity Code ; Age Band Code ; Sex Code </v>
      </c>
      <c r="N6261" s="345" t="s">
        <v>207</v>
      </c>
      <c r="O6261" s="345" t="s">
        <v>208</v>
      </c>
      <c r="P6261" s="345" t="s">
        <v>209</v>
      </c>
      <c r="Q6261" s="345" t="s">
        <v>210</v>
      </c>
      <c r="R6261" s="345" t="s">
        <v>223</v>
      </c>
      <c r="S6261" s="345" t="s">
        <v>224</v>
      </c>
    </row>
    <row r="6262" spans="1:19" x14ac:dyDescent="0.25">
      <c r="A6262" s="311"/>
      <c r="B6262" s="312"/>
      <c r="C6262" s="312"/>
      <c r="D6262" s="312"/>
      <c r="E6262" s="312"/>
      <c r="F6262" s="312"/>
      <c r="G6262" s="328"/>
      <c r="H6262" s="453"/>
      <c r="I6262" s="334"/>
      <c r="J6262" s="314"/>
      <c r="K6262" s="454"/>
      <c r="M6262" s="349" t="str">
        <f>N6262&amp;AS[[#This Row],[Insurer Code]]&amp;"; "&amp;O6262&amp;AS[[#This Row],[Reporting Year]]&amp;"; "&amp;P6262&amp;AS[[#This Row],[Insurance Category Code]]&amp;"; "&amp;Q6262&amp;AS[[#This Row],[Large Provider Entity Code]]&amp;"; "&amp;R6262&amp;AS[[#This Row],[Age Band Code]]&amp;"; "&amp;S6262&amp;AS[[#This Row],[Sex Code]]</f>
        <v xml:space="preserve">Insurer Code ; Reporting Year ; Insurance Category Code ; Large Provider Entity Code ; Age Band Code ; Sex Code </v>
      </c>
      <c r="N6262" s="345" t="s">
        <v>207</v>
      </c>
      <c r="O6262" s="345" t="s">
        <v>208</v>
      </c>
      <c r="P6262" s="345" t="s">
        <v>209</v>
      </c>
      <c r="Q6262" s="345" t="s">
        <v>210</v>
      </c>
      <c r="R6262" s="345" t="s">
        <v>223</v>
      </c>
      <c r="S6262" s="345" t="s">
        <v>224</v>
      </c>
    </row>
    <row r="6263" spans="1:19" x14ac:dyDescent="0.25">
      <c r="A6263" s="311"/>
      <c r="B6263" s="312"/>
      <c r="C6263" s="312"/>
      <c r="D6263" s="312"/>
      <c r="E6263" s="312"/>
      <c r="F6263" s="312"/>
      <c r="G6263" s="328"/>
      <c r="H6263" s="453"/>
      <c r="I6263" s="334"/>
      <c r="J6263" s="314"/>
      <c r="K6263" s="454"/>
      <c r="M6263" s="349" t="str">
        <f>N6263&amp;AS[[#This Row],[Insurer Code]]&amp;"; "&amp;O6263&amp;AS[[#This Row],[Reporting Year]]&amp;"; "&amp;P6263&amp;AS[[#This Row],[Insurance Category Code]]&amp;"; "&amp;Q6263&amp;AS[[#This Row],[Large Provider Entity Code]]&amp;"; "&amp;R6263&amp;AS[[#This Row],[Age Band Code]]&amp;"; "&amp;S6263&amp;AS[[#This Row],[Sex Code]]</f>
        <v xml:space="preserve">Insurer Code ; Reporting Year ; Insurance Category Code ; Large Provider Entity Code ; Age Band Code ; Sex Code </v>
      </c>
      <c r="N6263" s="345" t="s">
        <v>207</v>
      </c>
      <c r="O6263" s="345" t="s">
        <v>208</v>
      </c>
      <c r="P6263" s="345" t="s">
        <v>209</v>
      </c>
      <c r="Q6263" s="345" t="s">
        <v>210</v>
      </c>
      <c r="R6263" s="345" t="s">
        <v>223</v>
      </c>
      <c r="S6263" s="345" t="s">
        <v>224</v>
      </c>
    </row>
    <row r="6264" spans="1:19" x14ac:dyDescent="0.25">
      <c r="A6264" s="311"/>
      <c r="B6264" s="312"/>
      <c r="C6264" s="312"/>
      <c r="D6264" s="312"/>
      <c r="E6264" s="312"/>
      <c r="F6264" s="312"/>
      <c r="G6264" s="328"/>
      <c r="H6264" s="453"/>
      <c r="I6264" s="334"/>
      <c r="J6264" s="314"/>
      <c r="K6264" s="454"/>
      <c r="M6264" s="349" t="str">
        <f>N6264&amp;AS[[#This Row],[Insurer Code]]&amp;"; "&amp;O6264&amp;AS[[#This Row],[Reporting Year]]&amp;"; "&amp;P6264&amp;AS[[#This Row],[Insurance Category Code]]&amp;"; "&amp;Q6264&amp;AS[[#This Row],[Large Provider Entity Code]]&amp;"; "&amp;R6264&amp;AS[[#This Row],[Age Band Code]]&amp;"; "&amp;S6264&amp;AS[[#This Row],[Sex Code]]</f>
        <v xml:space="preserve">Insurer Code ; Reporting Year ; Insurance Category Code ; Large Provider Entity Code ; Age Band Code ; Sex Code </v>
      </c>
      <c r="N6264" s="345" t="s">
        <v>207</v>
      </c>
      <c r="O6264" s="345" t="s">
        <v>208</v>
      </c>
      <c r="P6264" s="345" t="s">
        <v>209</v>
      </c>
      <c r="Q6264" s="345" t="s">
        <v>210</v>
      </c>
      <c r="R6264" s="345" t="s">
        <v>223</v>
      </c>
      <c r="S6264" s="345" t="s">
        <v>224</v>
      </c>
    </row>
    <row r="6265" spans="1:19" x14ac:dyDescent="0.25">
      <c r="A6265" s="311"/>
      <c r="B6265" s="312"/>
      <c r="C6265" s="312"/>
      <c r="D6265" s="312"/>
      <c r="E6265" s="312"/>
      <c r="F6265" s="312"/>
      <c r="G6265" s="328"/>
      <c r="H6265" s="453"/>
      <c r="I6265" s="334"/>
      <c r="J6265" s="314"/>
      <c r="K6265" s="454"/>
      <c r="M6265" s="349" t="str">
        <f>N6265&amp;AS[[#This Row],[Insurer Code]]&amp;"; "&amp;O6265&amp;AS[[#This Row],[Reporting Year]]&amp;"; "&amp;P6265&amp;AS[[#This Row],[Insurance Category Code]]&amp;"; "&amp;Q6265&amp;AS[[#This Row],[Large Provider Entity Code]]&amp;"; "&amp;R6265&amp;AS[[#This Row],[Age Band Code]]&amp;"; "&amp;S6265&amp;AS[[#This Row],[Sex Code]]</f>
        <v xml:space="preserve">Insurer Code ; Reporting Year ; Insurance Category Code ; Large Provider Entity Code ; Age Band Code ; Sex Code </v>
      </c>
      <c r="N6265" s="345" t="s">
        <v>207</v>
      </c>
      <c r="O6265" s="345" t="s">
        <v>208</v>
      </c>
      <c r="P6265" s="345" t="s">
        <v>209</v>
      </c>
      <c r="Q6265" s="345" t="s">
        <v>210</v>
      </c>
      <c r="R6265" s="345" t="s">
        <v>223</v>
      </c>
      <c r="S6265" s="345" t="s">
        <v>224</v>
      </c>
    </row>
    <row r="6266" spans="1:19" x14ac:dyDescent="0.25">
      <c r="A6266" s="311"/>
      <c r="B6266" s="312"/>
      <c r="C6266" s="312"/>
      <c r="D6266" s="312"/>
      <c r="E6266" s="312"/>
      <c r="F6266" s="312"/>
      <c r="G6266" s="328"/>
      <c r="H6266" s="453"/>
      <c r="I6266" s="334"/>
      <c r="J6266" s="314"/>
      <c r="K6266" s="454"/>
      <c r="M6266" s="349" t="str">
        <f>N6266&amp;AS[[#This Row],[Insurer Code]]&amp;"; "&amp;O6266&amp;AS[[#This Row],[Reporting Year]]&amp;"; "&amp;P6266&amp;AS[[#This Row],[Insurance Category Code]]&amp;"; "&amp;Q6266&amp;AS[[#This Row],[Large Provider Entity Code]]&amp;"; "&amp;R6266&amp;AS[[#This Row],[Age Band Code]]&amp;"; "&amp;S6266&amp;AS[[#This Row],[Sex Code]]</f>
        <v xml:space="preserve">Insurer Code ; Reporting Year ; Insurance Category Code ; Large Provider Entity Code ; Age Band Code ; Sex Code </v>
      </c>
      <c r="N6266" s="345" t="s">
        <v>207</v>
      </c>
      <c r="O6266" s="345" t="s">
        <v>208</v>
      </c>
      <c r="P6266" s="345" t="s">
        <v>209</v>
      </c>
      <c r="Q6266" s="345" t="s">
        <v>210</v>
      </c>
      <c r="R6266" s="345" t="s">
        <v>223</v>
      </c>
      <c r="S6266" s="345" t="s">
        <v>224</v>
      </c>
    </row>
    <row r="6267" spans="1:19" x14ac:dyDescent="0.25">
      <c r="A6267" s="311"/>
      <c r="B6267" s="312"/>
      <c r="C6267" s="312"/>
      <c r="D6267" s="312"/>
      <c r="E6267" s="312"/>
      <c r="F6267" s="312"/>
      <c r="G6267" s="328"/>
      <c r="H6267" s="453"/>
      <c r="I6267" s="334"/>
      <c r="J6267" s="314"/>
      <c r="K6267" s="454"/>
      <c r="M6267" s="349" t="str">
        <f>N6267&amp;AS[[#This Row],[Insurer Code]]&amp;"; "&amp;O6267&amp;AS[[#This Row],[Reporting Year]]&amp;"; "&amp;P6267&amp;AS[[#This Row],[Insurance Category Code]]&amp;"; "&amp;Q6267&amp;AS[[#This Row],[Large Provider Entity Code]]&amp;"; "&amp;R6267&amp;AS[[#This Row],[Age Band Code]]&amp;"; "&amp;S6267&amp;AS[[#This Row],[Sex Code]]</f>
        <v xml:space="preserve">Insurer Code ; Reporting Year ; Insurance Category Code ; Large Provider Entity Code ; Age Band Code ; Sex Code </v>
      </c>
      <c r="N6267" s="345" t="s">
        <v>207</v>
      </c>
      <c r="O6267" s="345" t="s">
        <v>208</v>
      </c>
      <c r="P6267" s="345" t="s">
        <v>209</v>
      </c>
      <c r="Q6267" s="345" t="s">
        <v>210</v>
      </c>
      <c r="R6267" s="345" t="s">
        <v>223</v>
      </c>
      <c r="S6267" s="345" t="s">
        <v>224</v>
      </c>
    </row>
    <row r="6268" spans="1:19" x14ac:dyDescent="0.25">
      <c r="A6268" s="311"/>
      <c r="B6268" s="312"/>
      <c r="C6268" s="312"/>
      <c r="D6268" s="312"/>
      <c r="E6268" s="312"/>
      <c r="F6268" s="312"/>
      <c r="G6268" s="328"/>
      <c r="H6268" s="453"/>
      <c r="I6268" s="334"/>
      <c r="J6268" s="314"/>
      <c r="K6268" s="454"/>
      <c r="M6268" s="349" t="str">
        <f>N6268&amp;AS[[#This Row],[Insurer Code]]&amp;"; "&amp;O6268&amp;AS[[#This Row],[Reporting Year]]&amp;"; "&amp;P6268&amp;AS[[#This Row],[Insurance Category Code]]&amp;"; "&amp;Q6268&amp;AS[[#This Row],[Large Provider Entity Code]]&amp;"; "&amp;R6268&amp;AS[[#This Row],[Age Band Code]]&amp;"; "&amp;S6268&amp;AS[[#This Row],[Sex Code]]</f>
        <v xml:space="preserve">Insurer Code ; Reporting Year ; Insurance Category Code ; Large Provider Entity Code ; Age Band Code ; Sex Code </v>
      </c>
      <c r="N6268" s="345" t="s">
        <v>207</v>
      </c>
      <c r="O6268" s="345" t="s">
        <v>208</v>
      </c>
      <c r="P6268" s="345" t="s">
        <v>209</v>
      </c>
      <c r="Q6268" s="345" t="s">
        <v>210</v>
      </c>
      <c r="R6268" s="345" t="s">
        <v>223</v>
      </c>
      <c r="S6268" s="345" t="s">
        <v>224</v>
      </c>
    </row>
    <row r="6269" spans="1:19" x14ac:dyDescent="0.25">
      <c r="A6269" s="311"/>
      <c r="B6269" s="312"/>
      <c r="C6269" s="312"/>
      <c r="D6269" s="312"/>
      <c r="E6269" s="312"/>
      <c r="F6269" s="312"/>
      <c r="G6269" s="328"/>
      <c r="H6269" s="453"/>
      <c r="I6269" s="334"/>
      <c r="J6269" s="314"/>
      <c r="K6269" s="454"/>
      <c r="M6269" s="349" t="str">
        <f>N6269&amp;AS[[#This Row],[Insurer Code]]&amp;"; "&amp;O6269&amp;AS[[#This Row],[Reporting Year]]&amp;"; "&amp;P6269&amp;AS[[#This Row],[Insurance Category Code]]&amp;"; "&amp;Q6269&amp;AS[[#This Row],[Large Provider Entity Code]]&amp;"; "&amp;R6269&amp;AS[[#This Row],[Age Band Code]]&amp;"; "&amp;S6269&amp;AS[[#This Row],[Sex Code]]</f>
        <v xml:space="preserve">Insurer Code ; Reporting Year ; Insurance Category Code ; Large Provider Entity Code ; Age Band Code ; Sex Code </v>
      </c>
      <c r="N6269" s="345" t="s">
        <v>207</v>
      </c>
      <c r="O6269" s="345" t="s">
        <v>208</v>
      </c>
      <c r="P6269" s="345" t="s">
        <v>209</v>
      </c>
      <c r="Q6269" s="345" t="s">
        <v>210</v>
      </c>
      <c r="R6269" s="345" t="s">
        <v>223</v>
      </c>
      <c r="S6269" s="345" t="s">
        <v>224</v>
      </c>
    </row>
    <row r="6270" spans="1:19" x14ac:dyDescent="0.25">
      <c r="A6270" s="311"/>
      <c r="B6270" s="312"/>
      <c r="C6270" s="312"/>
      <c r="D6270" s="312"/>
      <c r="E6270" s="312"/>
      <c r="F6270" s="312"/>
      <c r="G6270" s="328"/>
      <c r="H6270" s="453"/>
      <c r="I6270" s="334"/>
      <c r="J6270" s="314"/>
      <c r="K6270" s="454"/>
      <c r="M6270" s="349" t="str">
        <f>N6270&amp;AS[[#This Row],[Insurer Code]]&amp;"; "&amp;O6270&amp;AS[[#This Row],[Reporting Year]]&amp;"; "&amp;P6270&amp;AS[[#This Row],[Insurance Category Code]]&amp;"; "&amp;Q6270&amp;AS[[#This Row],[Large Provider Entity Code]]&amp;"; "&amp;R6270&amp;AS[[#This Row],[Age Band Code]]&amp;"; "&amp;S6270&amp;AS[[#This Row],[Sex Code]]</f>
        <v xml:space="preserve">Insurer Code ; Reporting Year ; Insurance Category Code ; Large Provider Entity Code ; Age Band Code ; Sex Code </v>
      </c>
      <c r="N6270" s="345" t="s">
        <v>207</v>
      </c>
      <c r="O6270" s="345" t="s">
        <v>208</v>
      </c>
      <c r="P6270" s="345" t="s">
        <v>209</v>
      </c>
      <c r="Q6270" s="345" t="s">
        <v>210</v>
      </c>
      <c r="R6270" s="345" t="s">
        <v>223</v>
      </c>
      <c r="S6270" s="345" t="s">
        <v>224</v>
      </c>
    </row>
    <row r="6271" spans="1:19" x14ac:dyDescent="0.25">
      <c r="A6271" s="311"/>
      <c r="B6271" s="312"/>
      <c r="C6271" s="312"/>
      <c r="D6271" s="312"/>
      <c r="E6271" s="312"/>
      <c r="F6271" s="312"/>
      <c r="G6271" s="328"/>
      <c r="H6271" s="453"/>
      <c r="I6271" s="334"/>
      <c r="J6271" s="314"/>
      <c r="K6271" s="454"/>
      <c r="M6271" s="349" t="str">
        <f>N6271&amp;AS[[#This Row],[Insurer Code]]&amp;"; "&amp;O6271&amp;AS[[#This Row],[Reporting Year]]&amp;"; "&amp;P6271&amp;AS[[#This Row],[Insurance Category Code]]&amp;"; "&amp;Q6271&amp;AS[[#This Row],[Large Provider Entity Code]]&amp;"; "&amp;R6271&amp;AS[[#This Row],[Age Band Code]]&amp;"; "&amp;S6271&amp;AS[[#This Row],[Sex Code]]</f>
        <v xml:space="preserve">Insurer Code ; Reporting Year ; Insurance Category Code ; Large Provider Entity Code ; Age Band Code ; Sex Code </v>
      </c>
      <c r="N6271" s="345" t="s">
        <v>207</v>
      </c>
      <c r="O6271" s="345" t="s">
        <v>208</v>
      </c>
      <c r="P6271" s="345" t="s">
        <v>209</v>
      </c>
      <c r="Q6271" s="345" t="s">
        <v>210</v>
      </c>
      <c r="R6271" s="345" t="s">
        <v>223</v>
      </c>
      <c r="S6271" s="345" t="s">
        <v>224</v>
      </c>
    </row>
    <row r="6272" spans="1:19" x14ac:dyDescent="0.25">
      <c r="A6272" s="311"/>
      <c r="B6272" s="312"/>
      <c r="C6272" s="312"/>
      <c r="D6272" s="312"/>
      <c r="E6272" s="312"/>
      <c r="F6272" s="312"/>
      <c r="G6272" s="328"/>
      <c r="H6272" s="453"/>
      <c r="I6272" s="334"/>
      <c r="J6272" s="314"/>
      <c r="K6272" s="454"/>
      <c r="M6272" s="349" t="str">
        <f>N6272&amp;AS[[#This Row],[Insurer Code]]&amp;"; "&amp;O6272&amp;AS[[#This Row],[Reporting Year]]&amp;"; "&amp;P6272&amp;AS[[#This Row],[Insurance Category Code]]&amp;"; "&amp;Q6272&amp;AS[[#This Row],[Large Provider Entity Code]]&amp;"; "&amp;R6272&amp;AS[[#This Row],[Age Band Code]]&amp;"; "&amp;S6272&amp;AS[[#This Row],[Sex Code]]</f>
        <v xml:space="preserve">Insurer Code ; Reporting Year ; Insurance Category Code ; Large Provider Entity Code ; Age Band Code ; Sex Code </v>
      </c>
      <c r="N6272" s="345" t="s">
        <v>207</v>
      </c>
      <c r="O6272" s="345" t="s">
        <v>208</v>
      </c>
      <c r="P6272" s="345" t="s">
        <v>209</v>
      </c>
      <c r="Q6272" s="345" t="s">
        <v>210</v>
      </c>
      <c r="R6272" s="345" t="s">
        <v>223</v>
      </c>
      <c r="S6272" s="345" t="s">
        <v>224</v>
      </c>
    </row>
    <row r="6273" spans="1:19" x14ac:dyDescent="0.25">
      <c r="A6273" s="311"/>
      <c r="B6273" s="312"/>
      <c r="C6273" s="312"/>
      <c r="D6273" s="312"/>
      <c r="E6273" s="312"/>
      <c r="F6273" s="312"/>
      <c r="G6273" s="328"/>
      <c r="H6273" s="453"/>
      <c r="I6273" s="334"/>
      <c r="J6273" s="314"/>
      <c r="K6273" s="454"/>
      <c r="M6273" s="349" t="str">
        <f>N6273&amp;AS[[#This Row],[Insurer Code]]&amp;"; "&amp;O6273&amp;AS[[#This Row],[Reporting Year]]&amp;"; "&amp;P6273&amp;AS[[#This Row],[Insurance Category Code]]&amp;"; "&amp;Q6273&amp;AS[[#This Row],[Large Provider Entity Code]]&amp;"; "&amp;R6273&amp;AS[[#This Row],[Age Band Code]]&amp;"; "&amp;S6273&amp;AS[[#This Row],[Sex Code]]</f>
        <v xml:space="preserve">Insurer Code ; Reporting Year ; Insurance Category Code ; Large Provider Entity Code ; Age Band Code ; Sex Code </v>
      </c>
      <c r="N6273" s="345" t="s">
        <v>207</v>
      </c>
      <c r="O6273" s="345" t="s">
        <v>208</v>
      </c>
      <c r="P6273" s="345" t="s">
        <v>209</v>
      </c>
      <c r="Q6273" s="345" t="s">
        <v>210</v>
      </c>
      <c r="R6273" s="345" t="s">
        <v>223</v>
      </c>
      <c r="S6273" s="345" t="s">
        <v>224</v>
      </c>
    </row>
    <row r="6274" spans="1:19" x14ac:dyDescent="0.25">
      <c r="A6274" s="311"/>
      <c r="B6274" s="312"/>
      <c r="C6274" s="312"/>
      <c r="D6274" s="312"/>
      <c r="E6274" s="312"/>
      <c r="F6274" s="312"/>
      <c r="G6274" s="328"/>
      <c r="H6274" s="453"/>
      <c r="I6274" s="334"/>
      <c r="J6274" s="314"/>
      <c r="K6274" s="454"/>
      <c r="M6274" s="349" t="str">
        <f>N6274&amp;AS[[#This Row],[Insurer Code]]&amp;"; "&amp;O6274&amp;AS[[#This Row],[Reporting Year]]&amp;"; "&amp;P6274&amp;AS[[#This Row],[Insurance Category Code]]&amp;"; "&amp;Q6274&amp;AS[[#This Row],[Large Provider Entity Code]]&amp;"; "&amp;R6274&amp;AS[[#This Row],[Age Band Code]]&amp;"; "&amp;S6274&amp;AS[[#This Row],[Sex Code]]</f>
        <v xml:space="preserve">Insurer Code ; Reporting Year ; Insurance Category Code ; Large Provider Entity Code ; Age Band Code ; Sex Code </v>
      </c>
      <c r="N6274" s="345" t="s">
        <v>207</v>
      </c>
      <c r="O6274" s="345" t="s">
        <v>208</v>
      </c>
      <c r="P6274" s="345" t="s">
        <v>209</v>
      </c>
      <c r="Q6274" s="345" t="s">
        <v>210</v>
      </c>
      <c r="R6274" s="345" t="s">
        <v>223</v>
      </c>
      <c r="S6274" s="345" t="s">
        <v>224</v>
      </c>
    </row>
    <row r="6275" spans="1:19" x14ac:dyDescent="0.25">
      <c r="A6275" s="311"/>
      <c r="B6275" s="312"/>
      <c r="C6275" s="312"/>
      <c r="D6275" s="312"/>
      <c r="E6275" s="312"/>
      <c r="F6275" s="312"/>
      <c r="G6275" s="328"/>
      <c r="H6275" s="453"/>
      <c r="I6275" s="334"/>
      <c r="J6275" s="314"/>
      <c r="K6275" s="454"/>
      <c r="M6275" s="349" t="str">
        <f>N6275&amp;AS[[#This Row],[Insurer Code]]&amp;"; "&amp;O6275&amp;AS[[#This Row],[Reporting Year]]&amp;"; "&amp;P6275&amp;AS[[#This Row],[Insurance Category Code]]&amp;"; "&amp;Q6275&amp;AS[[#This Row],[Large Provider Entity Code]]&amp;"; "&amp;R6275&amp;AS[[#This Row],[Age Band Code]]&amp;"; "&amp;S6275&amp;AS[[#This Row],[Sex Code]]</f>
        <v xml:space="preserve">Insurer Code ; Reporting Year ; Insurance Category Code ; Large Provider Entity Code ; Age Band Code ; Sex Code </v>
      </c>
      <c r="N6275" s="345" t="s">
        <v>207</v>
      </c>
      <c r="O6275" s="345" t="s">
        <v>208</v>
      </c>
      <c r="P6275" s="345" t="s">
        <v>209</v>
      </c>
      <c r="Q6275" s="345" t="s">
        <v>210</v>
      </c>
      <c r="R6275" s="345" t="s">
        <v>223</v>
      </c>
      <c r="S6275" s="345" t="s">
        <v>224</v>
      </c>
    </row>
    <row r="6276" spans="1:19" x14ac:dyDescent="0.25">
      <c r="A6276" s="311"/>
      <c r="B6276" s="312"/>
      <c r="C6276" s="312"/>
      <c r="D6276" s="312"/>
      <c r="E6276" s="312"/>
      <c r="F6276" s="312"/>
      <c r="G6276" s="328"/>
      <c r="H6276" s="453"/>
      <c r="I6276" s="334"/>
      <c r="J6276" s="314"/>
      <c r="K6276" s="454"/>
      <c r="M6276" s="349" t="str">
        <f>N6276&amp;AS[[#This Row],[Insurer Code]]&amp;"; "&amp;O6276&amp;AS[[#This Row],[Reporting Year]]&amp;"; "&amp;P6276&amp;AS[[#This Row],[Insurance Category Code]]&amp;"; "&amp;Q6276&amp;AS[[#This Row],[Large Provider Entity Code]]&amp;"; "&amp;R6276&amp;AS[[#This Row],[Age Band Code]]&amp;"; "&amp;S6276&amp;AS[[#This Row],[Sex Code]]</f>
        <v xml:space="preserve">Insurer Code ; Reporting Year ; Insurance Category Code ; Large Provider Entity Code ; Age Band Code ; Sex Code </v>
      </c>
      <c r="N6276" s="345" t="s">
        <v>207</v>
      </c>
      <c r="O6276" s="345" t="s">
        <v>208</v>
      </c>
      <c r="P6276" s="345" t="s">
        <v>209</v>
      </c>
      <c r="Q6276" s="345" t="s">
        <v>210</v>
      </c>
      <c r="R6276" s="345" t="s">
        <v>223</v>
      </c>
      <c r="S6276" s="345" t="s">
        <v>224</v>
      </c>
    </row>
    <row r="6277" spans="1:19" x14ac:dyDescent="0.25">
      <c r="A6277" s="311"/>
      <c r="B6277" s="312"/>
      <c r="C6277" s="312"/>
      <c r="D6277" s="312"/>
      <c r="E6277" s="312"/>
      <c r="F6277" s="312"/>
      <c r="G6277" s="328"/>
      <c r="H6277" s="453"/>
      <c r="I6277" s="334"/>
      <c r="J6277" s="314"/>
      <c r="K6277" s="454"/>
      <c r="M6277" s="349" t="str">
        <f>N6277&amp;AS[[#This Row],[Insurer Code]]&amp;"; "&amp;O6277&amp;AS[[#This Row],[Reporting Year]]&amp;"; "&amp;P6277&amp;AS[[#This Row],[Insurance Category Code]]&amp;"; "&amp;Q6277&amp;AS[[#This Row],[Large Provider Entity Code]]&amp;"; "&amp;R6277&amp;AS[[#This Row],[Age Band Code]]&amp;"; "&amp;S6277&amp;AS[[#This Row],[Sex Code]]</f>
        <v xml:space="preserve">Insurer Code ; Reporting Year ; Insurance Category Code ; Large Provider Entity Code ; Age Band Code ; Sex Code </v>
      </c>
      <c r="N6277" s="345" t="s">
        <v>207</v>
      </c>
      <c r="O6277" s="345" t="s">
        <v>208</v>
      </c>
      <c r="P6277" s="345" t="s">
        <v>209</v>
      </c>
      <c r="Q6277" s="345" t="s">
        <v>210</v>
      </c>
      <c r="R6277" s="345" t="s">
        <v>223</v>
      </c>
      <c r="S6277" s="345" t="s">
        <v>224</v>
      </c>
    </row>
    <row r="6278" spans="1:19" x14ac:dyDescent="0.25">
      <c r="A6278" s="311"/>
      <c r="B6278" s="312"/>
      <c r="C6278" s="312"/>
      <c r="D6278" s="312"/>
      <c r="E6278" s="312"/>
      <c r="F6278" s="312"/>
      <c r="G6278" s="328"/>
      <c r="H6278" s="453"/>
      <c r="I6278" s="334"/>
      <c r="J6278" s="314"/>
      <c r="K6278" s="454"/>
      <c r="M6278" s="349" t="str">
        <f>N6278&amp;AS[[#This Row],[Insurer Code]]&amp;"; "&amp;O6278&amp;AS[[#This Row],[Reporting Year]]&amp;"; "&amp;P6278&amp;AS[[#This Row],[Insurance Category Code]]&amp;"; "&amp;Q6278&amp;AS[[#This Row],[Large Provider Entity Code]]&amp;"; "&amp;R6278&amp;AS[[#This Row],[Age Band Code]]&amp;"; "&amp;S6278&amp;AS[[#This Row],[Sex Code]]</f>
        <v xml:space="preserve">Insurer Code ; Reporting Year ; Insurance Category Code ; Large Provider Entity Code ; Age Band Code ; Sex Code </v>
      </c>
      <c r="N6278" s="345" t="s">
        <v>207</v>
      </c>
      <c r="O6278" s="345" t="s">
        <v>208</v>
      </c>
      <c r="P6278" s="345" t="s">
        <v>209</v>
      </c>
      <c r="Q6278" s="345" t="s">
        <v>210</v>
      </c>
      <c r="R6278" s="345" t="s">
        <v>223</v>
      </c>
      <c r="S6278" s="345" t="s">
        <v>224</v>
      </c>
    </row>
    <row r="6279" spans="1:19" x14ac:dyDescent="0.25">
      <c r="A6279" s="311"/>
      <c r="B6279" s="312"/>
      <c r="C6279" s="312"/>
      <c r="D6279" s="312"/>
      <c r="E6279" s="312"/>
      <c r="F6279" s="312"/>
      <c r="G6279" s="328"/>
      <c r="H6279" s="453"/>
      <c r="I6279" s="334"/>
      <c r="J6279" s="314"/>
      <c r="K6279" s="454"/>
      <c r="M6279" s="349" t="str">
        <f>N6279&amp;AS[[#This Row],[Insurer Code]]&amp;"; "&amp;O6279&amp;AS[[#This Row],[Reporting Year]]&amp;"; "&amp;P6279&amp;AS[[#This Row],[Insurance Category Code]]&amp;"; "&amp;Q6279&amp;AS[[#This Row],[Large Provider Entity Code]]&amp;"; "&amp;R6279&amp;AS[[#This Row],[Age Band Code]]&amp;"; "&amp;S6279&amp;AS[[#This Row],[Sex Code]]</f>
        <v xml:space="preserve">Insurer Code ; Reporting Year ; Insurance Category Code ; Large Provider Entity Code ; Age Band Code ; Sex Code </v>
      </c>
      <c r="N6279" s="345" t="s">
        <v>207</v>
      </c>
      <c r="O6279" s="345" t="s">
        <v>208</v>
      </c>
      <c r="P6279" s="345" t="s">
        <v>209</v>
      </c>
      <c r="Q6279" s="345" t="s">
        <v>210</v>
      </c>
      <c r="R6279" s="345" t="s">
        <v>223</v>
      </c>
      <c r="S6279" s="345" t="s">
        <v>224</v>
      </c>
    </row>
    <row r="6280" spans="1:19" x14ac:dyDescent="0.25">
      <c r="A6280" s="311"/>
      <c r="B6280" s="312"/>
      <c r="C6280" s="312"/>
      <c r="D6280" s="312"/>
      <c r="E6280" s="312"/>
      <c r="F6280" s="312"/>
      <c r="G6280" s="328"/>
      <c r="H6280" s="453"/>
      <c r="I6280" s="334"/>
      <c r="J6280" s="314"/>
      <c r="K6280" s="454"/>
      <c r="M6280" s="349" t="str">
        <f>N6280&amp;AS[[#This Row],[Insurer Code]]&amp;"; "&amp;O6280&amp;AS[[#This Row],[Reporting Year]]&amp;"; "&amp;P6280&amp;AS[[#This Row],[Insurance Category Code]]&amp;"; "&amp;Q6280&amp;AS[[#This Row],[Large Provider Entity Code]]&amp;"; "&amp;R6280&amp;AS[[#This Row],[Age Band Code]]&amp;"; "&amp;S6280&amp;AS[[#This Row],[Sex Code]]</f>
        <v xml:space="preserve">Insurer Code ; Reporting Year ; Insurance Category Code ; Large Provider Entity Code ; Age Band Code ; Sex Code </v>
      </c>
      <c r="N6280" s="345" t="s">
        <v>207</v>
      </c>
      <c r="O6280" s="345" t="s">
        <v>208</v>
      </c>
      <c r="P6280" s="345" t="s">
        <v>209</v>
      </c>
      <c r="Q6280" s="345" t="s">
        <v>210</v>
      </c>
      <c r="R6280" s="345" t="s">
        <v>223</v>
      </c>
      <c r="S6280" s="345" t="s">
        <v>224</v>
      </c>
    </row>
    <row r="6281" spans="1:19" x14ac:dyDescent="0.25">
      <c r="A6281" s="311"/>
      <c r="B6281" s="312"/>
      <c r="C6281" s="312"/>
      <c r="D6281" s="312"/>
      <c r="E6281" s="312"/>
      <c r="F6281" s="312"/>
      <c r="G6281" s="328"/>
      <c r="H6281" s="453"/>
      <c r="I6281" s="334"/>
      <c r="J6281" s="314"/>
      <c r="K6281" s="454"/>
      <c r="M6281" s="349" t="str">
        <f>N6281&amp;AS[[#This Row],[Insurer Code]]&amp;"; "&amp;O6281&amp;AS[[#This Row],[Reporting Year]]&amp;"; "&amp;P6281&amp;AS[[#This Row],[Insurance Category Code]]&amp;"; "&amp;Q6281&amp;AS[[#This Row],[Large Provider Entity Code]]&amp;"; "&amp;R6281&amp;AS[[#This Row],[Age Band Code]]&amp;"; "&amp;S6281&amp;AS[[#This Row],[Sex Code]]</f>
        <v xml:space="preserve">Insurer Code ; Reporting Year ; Insurance Category Code ; Large Provider Entity Code ; Age Band Code ; Sex Code </v>
      </c>
      <c r="N6281" s="345" t="s">
        <v>207</v>
      </c>
      <c r="O6281" s="345" t="s">
        <v>208</v>
      </c>
      <c r="P6281" s="345" t="s">
        <v>209</v>
      </c>
      <c r="Q6281" s="345" t="s">
        <v>210</v>
      </c>
      <c r="R6281" s="345" t="s">
        <v>223</v>
      </c>
      <c r="S6281" s="345" t="s">
        <v>224</v>
      </c>
    </row>
    <row r="6282" spans="1:19" x14ac:dyDescent="0.25">
      <c r="A6282" s="311"/>
      <c r="B6282" s="312"/>
      <c r="C6282" s="312"/>
      <c r="D6282" s="312"/>
      <c r="E6282" s="312"/>
      <c r="F6282" s="312"/>
      <c r="G6282" s="328"/>
      <c r="H6282" s="453"/>
      <c r="I6282" s="334"/>
      <c r="J6282" s="314"/>
      <c r="K6282" s="454"/>
      <c r="M6282" s="349" t="str">
        <f>N6282&amp;AS[[#This Row],[Insurer Code]]&amp;"; "&amp;O6282&amp;AS[[#This Row],[Reporting Year]]&amp;"; "&amp;P6282&amp;AS[[#This Row],[Insurance Category Code]]&amp;"; "&amp;Q6282&amp;AS[[#This Row],[Large Provider Entity Code]]&amp;"; "&amp;R6282&amp;AS[[#This Row],[Age Band Code]]&amp;"; "&amp;S6282&amp;AS[[#This Row],[Sex Code]]</f>
        <v xml:space="preserve">Insurer Code ; Reporting Year ; Insurance Category Code ; Large Provider Entity Code ; Age Band Code ; Sex Code </v>
      </c>
      <c r="N6282" s="345" t="s">
        <v>207</v>
      </c>
      <c r="O6282" s="345" t="s">
        <v>208</v>
      </c>
      <c r="P6282" s="345" t="s">
        <v>209</v>
      </c>
      <c r="Q6282" s="345" t="s">
        <v>210</v>
      </c>
      <c r="R6282" s="345" t="s">
        <v>223</v>
      </c>
      <c r="S6282" s="345" t="s">
        <v>224</v>
      </c>
    </row>
    <row r="6283" spans="1:19" x14ac:dyDescent="0.25">
      <c r="A6283" s="311"/>
      <c r="B6283" s="312"/>
      <c r="C6283" s="312"/>
      <c r="D6283" s="312"/>
      <c r="E6283" s="312"/>
      <c r="F6283" s="312"/>
      <c r="G6283" s="328"/>
      <c r="H6283" s="453"/>
      <c r="I6283" s="334"/>
      <c r="J6283" s="314"/>
      <c r="K6283" s="454"/>
      <c r="M6283" s="349" t="str">
        <f>N6283&amp;AS[[#This Row],[Insurer Code]]&amp;"; "&amp;O6283&amp;AS[[#This Row],[Reporting Year]]&amp;"; "&amp;P6283&amp;AS[[#This Row],[Insurance Category Code]]&amp;"; "&amp;Q6283&amp;AS[[#This Row],[Large Provider Entity Code]]&amp;"; "&amp;R6283&amp;AS[[#This Row],[Age Band Code]]&amp;"; "&amp;S6283&amp;AS[[#This Row],[Sex Code]]</f>
        <v xml:space="preserve">Insurer Code ; Reporting Year ; Insurance Category Code ; Large Provider Entity Code ; Age Band Code ; Sex Code </v>
      </c>
      <c r="N6283" s="345" t="s">
        <v>207</v>
      </c>
      <c r="O6283" s="345" t="s">
        <v>208</v>
      </c>
      <c r="P6283" s="345" t="s">
        <v>209</v>
      </c>
      <c r="Q6283" s="345" t="s">
        <v>210</v>
      </c>
      <c r="R6283" s="345" t="s">
        <v>223</v>
      </c>
      <c r="S6283" s="345" t="s">
        <v>224</v>
      </c>
    </row>
    <row r="6284" spans="1:19" x14ac:dyDescent="0.25">
      <c r="A6284" s="311"/>
      <c r="B6284" s="312"/>
      <c r="C6284" s="312"/>
      <c r="D6284" s="312"/>
      <c r="E6284" s="312"/>
      <c r="F6284" s="312"/>
      <c r="G6284" s="328"/>
      <c r="H6284" s="453"/>
      <c r="I6284" s="334"/>
      <c r="J6284" s="314"/>
      <c r="K6284" s="454"/>
      <c r="M6284" s="349" t="str">
        <f>N6284&amp;AS[[#This Row],[Insurer Code]]&amp;"; "&amp;O6284&amp;AS[[#This Row],[Reporting Year]]&amp;"; "&amp;P6284&amp;AS[[#This Row],[Insurance Category Code]]&amp;"; "&amp;Q6284&amp;AS[[#This Row],[Large Provider Entity Code]]&amp;"; "&amp;R6284&amp;AS[[#This Row],[Age Band Code]]&amp;"; "&amp;S6284&amp;AS[[#This Row],[Sex Code]]</f>
        <v xml:space="preserve">Insurer Code ; Reporting Year ; Insurance Category Code ; Large Provider Entity Code ; Age Band Code ; Sex Code </v>
      </c>
      <c r="N6284" s="345" t="s">
        <v>207</v>
      </c>
      <c r="O6284" s="345" t="s">
        <v>208</v>
      </c>
      <c r="P6284" s="345" t="s">
        <v>209</v>
      </c>
      <c r="Q6284" s="345" t="s">
        <v>210</v>
      </c>
      <c r="R6284" s="345" t="s">
        <v>223</v>
      </c>
      <c r="S6284" s="345" t="s">
        <v>224</v>
      </c>
    </row>
    <row r="6285" spans="1:19" x14ac:dyDescent="0.25">
      <c r="A6285" s="311"/>
      <c r="B6285" s="312"/>
      <c r="C6285" s="312"/>
      <c r="D6285" s="312"/>
      <c r="E6285" s="312"/>
      <c r="F6285" s="312"/>
      <c r="G6285" s="328"/>
      <c r="H6285" s="453"/>
      <c r="I6285" s="334"/>
      <c r="J6285" s="314"/>
      <c r="K6285" s="454"/>
      <c r="M6285" s="349" t="str">
        <f>N6285&amp;AS[[#This Row],[Insurer Code]]&amp;"; "&amp;O6285&amp;AS[[#This Row],[Reporting Year]]&amp;"; "&amp;P6285&amp;AS[[#This Row],[Insurance Category Code]]&amp;"; "&amp;Q6285&amp;AS[[#This Row],[Large Provider Entity Code]]&amp;"; "&amp;R6285&amp;AS[[#This Row],[Age Band Code]]&amp;"; "&amp;S6285&amp;AS[[#This Row],[Sex Code]]</f>
        <v xml:space="preserve">Insurer Code ; Reporting Year ; Insurance Category Code ; Large Provider Entity Code ; Age Band Code ; Sex Code </v>
      </c>
      <c r="N6285" s="345" t="s">
        <v>207</v>
      </c>
      <c r="O6285" s="345" t="s">
        <v>208</v>
      </c>
      <c r="P6285" s="345" t="s">
        <v>209</v>
      </c>
      <c r="Q6285" s="345" t="s">
        <v>210</v>
      </c>
      <c r="R6285" s="345" t="s">
        <v>223</v>
      </c>
      <c r="S6285" s="345" t="s">
        <v>224</v>
      </c>
    </row>
    <row r="6286" spans="1:19" x14ac:dyDescent="0.25">
      <c r="A6286" s="311"/>
      <c r="B6286" s="312"/>
      <c r="C6286" s="312"/>
      <c r="D6286" s="312"/>
      <c r="E6286" s="312"/>
      <c r="F6286" s="312"/>
      <c r="G6286" s="328"/>
      <c r="H6286" s="453"/>
      <c r="I6286" s="334"/>
      <c r="J6286" s="314"/>
      <c r="K6286" s="454"/>
      <c r="M6286" s="349" t="str">
        <f>N6286&amp;AS[[#This Row],[Insurer Code]]&amp;"; "&amp;O6286&amp;AS[[#This Row],[Reporting Year]]&amp;"; "&amp;P6286&amp;AS[[#This Row],[Insurance Category Code]]&amp;"; "&amp;Q6286&amp;AS[[#This Row],[Large Provider Entity Code]]&amp;"; "&amp;R6286&amp;AS[[#This Row],[Age Band Code]]&amp;"; "&amp;S6286&amp;AS[[#This Row],[Sex Code]]</f>
        <v xml:space="preserve">Insurer Code ; Reporting Year ; Insurance Category Code ; Large Provider Entity Code ; Age Band Code ; Sex Code </v>
      </c>
      <c r="N6286" s="345" t="s">
        <v>207</v>
      </c>
      <c r="O6286" s="345" t="s">
        <v>208</v>
      </c>
      <c r="P6286" s="345" t="s">
        <v>209</v>
      </c>
      <c r="Q6286" s="345" t="s">
        <v>210</v>
      </c>
      <c r="R6286" s="345" t="s">
        <v>223</v>
      </c>
      <c r="S6286" s="345" t="s">
        <v>224</v>
      </c>
    </row>
    <row r="6287" spans="1:19" x14ac:dyDescent="0.25">
      <c r="A6287" s="311"/>
      <c r="B6287" s="312"/>
      <c r="C6287" s="312"/>
      <c r="D6287" s="312"/>
      <c r="E6287" s="312"/>
      <c r="F6287" s="312"/>
      <c r="G6287" s="328"/>
      <c r="H6287" s="453"/>
      <c r="I6287" s="334"/>
      <c r="J6287" s="314"/>
      <c r="K6287" s="454"/>
      <c r="M6287" s="349" t="str">
        <f>N6287&amp;AS[[#This Row],[Insurer Code]]&amp;"; "&amp;O6287&amp;AS[[#This Row],[Reporting Year]]&amp;"; "&amp;P6287&amp;AS[[#This Row],[Insurance Category Code]]&amp;"; "&amp;Q6287&amp;AS[[#This Row],[Large Provider Entity Code]]&amp;"; "&amp;R6287&amp;AS[[#This Row],[Age Band Code]]&amp;"; "&amp;S6287&amp;AS[[#This Row],[Sex Code]]</f>
        <v xml:space="preserve">Insurer Code ; Reporting Year ; Insurance Category Code ; Large Provider Entity Code ; Age Band Code ; Sex Code </v>
      </c>
      <c r="N6287" s="345" t="s">
        <v>207</v>
      </c>
      <c r="O6287" s="345" t="s">
        <v>208</v>
      </c>
      <c r="P6287" s="345" t="s">
        <v>209</v>
      </c>
      <c r="Q6287" s="345" t="s">
        <v>210</v>
      </c>
      <c r="R6287" s="345" t="s">
        <v>223</v>
      </c>
      <c r="S6287" s="345" t="s">
        <v>224</v>
      </c>
    </row>
    <row r="6288" spans="1:19" x14ac:dyDescent="0.25">
      <c r="A6288" s="311"/>
      <c r="B6288" s="312"/>
      <c r="C6288" s="312"/>
      <c r="D6288" s="312"/>
      <c r="E6288" s="312"/>
      <c r="F6288" s="312"/>
      <c r="G6288" s="328"/>
      <c r="H6288" s="453"/>
      <c r="I6288" s="334"/>
      <c r="J6288" s="314"/>
      <c r="K6288" s="454"/>
      <c r="M6288" s="349" t="str">
        <f>N6288&amp;AS[[#This Row],[Insurer Code]]&amp;"; "&amp;O6288&amp;AS[[#This Row],[Reporting Year]]&amp;"; "&amp;P6288&amp;AS[[#This Row],[Insurance Category Code]]&amp;"; "&amp;Q6288&amp;AS[[#This Row],[Large Provider Entity Code]]&amp;"; "&amp;R6288&amp;AS[[#This Row],[Age Band Code]]&amp;"; "&amp;S6288&amp;AS[[#This Row],[Sex Code]]</f>
        <v xml:space="preserve">Insurer Code ; Reporting Year ; Insurance Category Code ; Large Provider Entity Code ; Age Band Code ; Sex Code </v>
      </c>
      <c r="N6288" s="345" t="s">
        <v>207</v>
      </c>
      <c r="O6288" s="345" t="s">
        <v>208</v>
      </c>
      <c r="P6288" s="345" t="s">
        <v>209</v>
      </c>
      <c r="Q6288" s="345" t="s">
        <v>210</v>
      </c>
      <c r="R6288" s="345" t="s">
        <v>223</v>
      </c>
      <c r="S6288" s="345" t="s">
        <v>224</v>
      </c>
    </row>
    <row r="6289" spans="1:19" x14ac:dyDescent="0.25">
      <c r="A6289" s="311"/>
      <c r="B6289" s="312"/>
      <c r="C6289" s="312"/>
      <c r="D6289" s="312"/>
      <c r="E6289" s="312"/>
      <c r="F6289" s="312"/>
      <c r="G6289" s="328"/>
      <c r="H6289" s="453"/>
      <c r="I6289" s="334"/>
      <c r="J6289" s="314"/>
      <c r="K6289" s="454"/>
      <c r="M6289" s="349" t="str">
        <f>N6289&amp;AS[[#This Row],[Insurer Code]]&amp;"; "&amp;O6289&amp;AS[[#This Row],[Reporting Year]]&amp;"; "&amp;P6289&amp;AS[[#This Row],[Insurance Category Code]]&amp;"; "&amp;Q6289&amp;AS[[#This Row],[Large Provider Entity Code]]&amp;"; "&amp;R6289&amp;AS[[#This Row],[Age Band Code]]&amp;"; "&amp;S6289&amp;AS[[#This Row],[Sex Code]]</f>
        <v xml:space="preserve">Insurer Code ; Reporting Year ; Insurance Category Code ; Large Provider Entity Code ; Age Band Code ; Sex Code </v>
      </c>
      <c r="N6289" s="345" t="s">
        <v>207</v>
      </c>
      <c r="O6289" s="345" t="s">
        <v>208</v>
      </c>
      <c r="P6289" s="345" t="s">
        <v>209</v>
      </c>
      <c r="Q6289" s="345" t="s">
        <v>210</v>
      </c>
      <c r="R6289" s="345" t="s">
        <v>223</v>
      </c>
      <c r="S6289" s="345" t="s">
        <v>224</v>
      </c>
    </row>
    <row r="6290" spans="1:19" x14ac:dyDescent="0.25">
      <c r="A6290" s="311"/>
      <c r="B6290" s="312"/>
      <c r="C6290" s="312"/>
      <c r="D6290" s="312"/>
      <c r="E6290" s="312"/>
      <c r="F6290" s="312"/>
      <c r="G6290" s="328"/>
      <c r="H6290" s="453"/>
      <c r="I6290" s="334"/>
      <c r="J6290" s="314"/>
      <c r="K6290" s="454"/>
      <c r="M6290" s="349" t="str">
        <f>N6290&amp;AS[[#This Row],[Insurer Code]]&amp;"; "&amp;O6290&amp;AS[[#This Row],[Reporting Year]]&amp;"; "&amp;P6290&amp;AS[[#This Row],[Insurance Category Code]]&amp;"; "&amp;Q6290&amp;AS[[#This Row],[Large Provider Entity Code]]&amp;"; "&amp;R6290&amp;AS[[#This Row],[Age Band Code]]&amp;"; "&amp;S6290&amp;AS[[#This Row],[Sex Code]]</f>
        <v xml:space="preserve">Insurer Code ; Reporting Year ; Insurance Category Code ; Large Provider Entity Code ; Age Band Code ; Sex Code </v>
      </c>
      <c r="N6290" s="345" t="s">
        <v>207</v>
      </c>
      <c r="O6290" s="345" t="s">
        <v>208</v>
      </c>
      <c r="P6290" s="345" t="s">
        <v>209</v>
      </c>
      <c r="Q6290" s="345" t="s">
        <v>210</v>
      </c>
      <c r="R6290" s="345" t="s">
        <v>223</v>
      </c>
      <c r="S6290" s="345" t="s">
        <v>224</v>
      </c>
    </row>
    <row r="6291" spans="1:19" x14ac:dyDescent="0.25">
      <c r="A6291" s="311"/>
      <c r="B6291" s="312"/>
      <c r="C6291" s="312"/>
      <c r="D6291" s="312"/>
      <c r="E6291" s="312"/>
      <c r="F6291" s="312"/>
      <c r="G6291" s="328"/>
      <c r="H6291" s="453"/>
      <c r="I6291" s="334"/>
      <c r="J6291" s="314"/>
      <c r="K6291" s="454"/>
      <c r="M6291" s="349" t="str">
        <f>N6291&amp;AS[[#This Row],[Insurer Code]]&amp;"; "&amp;O6291&amp;AS[[#This Row],[Reporting Year]]&amp;"; "&amp;P6291&amp;AS[[#This Row],[Insurance Category Code]]&amp;"; "&amp;Q6291&amp;AS[[#This Row],[Large Provider Entity Code]]&amp;"; "&amp;R6291&amp;AS[[#This Row],[Age Band Code]]&amp;"; "&amp;S6291&amp;AS[[#This Row],[Sex Code]]</f>
        <v xml:space="preserve">Insurer Code ; Reporting Year ; Insurance Category Code ; Large Provider Entity Code ; Age Band Code ; Sex Code </v>
      </c>
      <c r="N6291" s="345" t="s">
        <v>207</v>
      </c>
      <c r="O6291" s="345" t="s">
        <v>208</v>
      </c>
      <c r="P6291" s="345" t="s">
        <v>209</v>
      </c>
      <c r="Q6291" s="345" t="s">
        <v>210</v>
      </c>
      <c r="R6291" s="345" t="s">
        <v>223</v>
      </c>
      <c r="S6291" s="345" t="s">
        <v>224</v>
      </c>
    </row>
    <row r="6292" spans="1:19" x14ac:dyDescent="0.25">
      <c r="A6292" s="311"/>
      <c r="B6292" s="312"/>
      <c r="C6292" s="312"/>
      <c r="D6292" s="312"/>
      <c r="E6292" s="312"/>
      <c r="F6292" s="312"/>
      <c r="G6292" s="328"/>
      <c r="H6292" s="453"/>
      <c r="I6292" s="334"/>
      <c r="J6292" s="314"/>
      <c r="K6292" s="454"/>
      <c r="M6292" s="349" t="str">
        <f>N6292&amp;AS[[#This Row],[Insurer Code]]&amp;"; "&amp;O6292&amp;AS[[#This Row],[Reporting Year]]&amp;"; "&amp;P6292&amp;AS[[#This Row],[Insurance Category Code]]&amp;"; "&amp;Q6292&amp;AS[[#This Row],[Large Provider Entity Code]]&amp;"; "&amp;R6292&amp;AS[[#This Row],[Age Band Code]]&amp;"; "&amp;S6292&amp;AS[[#This Row],[Sex Code]]</f>
        <v xml:space="preserve">Insurer Code ; Reporting Year ; Insurance Category Code ; Large Provider Entity Code ; Age Band Code ; Sex Code </v>
      </c>
      <c r="N6292" s="345" t="s">
        <v>207</v>
      </c>
      <c r="O6292" s="345" t="s">
        <v>208</v>
      </c>
      <c r="P6292" s="345" t="s">
        <v>209</v>
      </c>
      <c r="Q6292" s="345" t="s">
        <v>210</v>
      </c>
      <c r="R6292" s="345" t="s">
        <v>223</v>
      </c>
      <c r="S6292" s="345" t="s">
        <v>224</v>
      </c>
    </row>
    <row r="6293" spans="1:19" x14ac:dyDescent="0.25">
      <c r="A6293" s="311"/>
      <c r="B6293" s="312"/>
      <c r="C6293" s="312"/>
      <c r="D6293" s="312"/>
      <c r="E6293" s="312"/>
      <c r="F6293" s="312"/>
      <c r="G6293" s="328"/>
      <c r="H6293" s="453"/>
      <c r="I6293" s="334"/>
      <c r="J6293" s="314"/>
      <c r="K6293" s="454"/>
      <c r="M6293" s="349" t="str">
        <f>N6293&amp;AS[[#This Row],[Insurer Code]]&amp;"; "&amp;O6293&amp;AS[[#This Row],[Reporting Year]]&amp;"; "&amp;P6293&amp;AS[[#This Row],[Insurance Category Code]]&amp;"; "&amp;Q6293&amp;AS[[#This Row],[Large Provider Entity Code]]&amp;"; "&amp;R6293&amp;AS[[#This Row],[Age Band Code]]&amp;"; "&amp;S6293&amp;AS[[#This Row],[Sex Code]]</f>
        <v xml:space="preserve">Insurer Code ; Reporting Year ; Insurance Category Code ; Large Provider Entity Code ; Age Band Code ; Sex Code </v>
      </c>
      <c r="N6293" s="345" t="s">
        <v>207</v>
      </c>
      <c r="O6293" s="345" t="s">
        <v>208</v>
      </c>
      <c r="P6293" s="345" t="s">
        <v>209</v>
      </c>
      <c r="Q6293" s="345" t="s">
        <v>210</v>
      </c>
      <c r="R6293" s="345" t="s">
        <v>223</v>
      </c>
      <c r="S6293" s="345" t="s">
        <v>224</v>
      </c>
    </row>
    <row r="6294" spans="1:19" x14ac:dyDescent="0.25">
      <c r="A6294" s="311"/>
      <c r="B6294" s="312"/>
      <c r="C6294" s="312"/>
      <c r="D6294" s="312"/>
      <c r="E6294" s="312"/>
      <c r="F6294" s="312"/>
      <c r="G6294" s="328"/>
      <c r="H6294" s="453"/>
      <c r="I6294" s="334"/>
      <c r="J6294" s="314"/>
      <c r="K6294" s="454"/>
      <c r="M6294" s="349" t="str">
        <f>N6294&amp;AS[[#This Row],[Insurer Code]]&amp;"; "&amp;O6294&amp;AS[[#This Row],[Reporting Year]]&amp;"; "&amp;P6294&amp;AS[[#This Row],[Insurance Category Code]]&amp;"; "&amp;Q6294&amp;AS[[#This Row],[Large Provider Entity Code]]&amp;"; "&amp;R6294&amp;AS[[#This Row],[Age Band Code]]&amp;"; "&amp;S6294&amp;AS[[#This Row],[Sex Code]]</f>
        <v xml:space="preserve">Insurer Code ; Reporting Year ; Insurance Category Code ; Large Provider Entity Code ; Age Band Code ; Sex Code </v>
      </c>
      <c r="N6294" s="345" t="s">
        <v>207</v>
      </c>
      <c r="O6294" s="345" t="s">
        <v>208</v>
      </c>
      <c r="P6294" s="345" t="s">
        <v>209</v>
      </c>
      <c r="Q6294" s="345" t="s">
        <v>210</v>
      </c>
      <c r="R6294" s="345" t="s">
        <v>223</v>
      </c>
      <c r="S6294" s="345" t="s">
        <v>224</v>
      </c>
    </row>
    <row r="6295" spans="1:19" x14ac:dyDescent="0.25">
      <c r="A6295" s="311"/>
      <c r="B6295" s="312"/>
      <c r="C6295" s="312"/>
      <c r="D6295" s="312"/>
      <c r="E6295" s="312"/>
      <c r="F6295" s="312"/>
      <c r="G6295" s="328"/>
      <c r="H6295" s="453"/>
      <c r="I6295" s="334"/>
      <c r="J6295" s="314"/>
      <c r="K6295" s="454"/>
      <c r="M6295" s="349" t="str">
        <f>N6295&amp;AS[[#This Row],[Insurer Code]]&amp;"; "&amp;O6295&amp;AS[[#This Row],[Reporting Year]]&amp;"; "&amp;P6295&amp;AS[[#This Row],[Insurance Category Code]]&amp;"; "&amp;Q6295&amp;AS[[#This Row],[Large Provider Entity Code]]&amp;"; "&amp;R6295&amp;AS[[#This Row],[Age Band Code]]&amp;"; "&amp;S6295&amp;AS[[#This Row],[Sex Code]]</f>
        <v xml:space="preserve">Insurer Code ; Reporting Year ; Insurance Category Code ; Large Provider Entity Code ; Age Band Code ; Sex Code </v>
      </c>
      <c r="N6295" s="345" t="s">
        <v>207</v>
      </c>
      <c r="O6295" s="345" t="s">
        <v>208</v>
      </c>
      <c r="P6295" s="345" t="s">
        <v>209</v>
      </c>
      <c r="Q6295" s="345" t="s">
        <v>210</v>
      </c>
      <c r="R6295" s="345" t="s">
        <v>223</v>
      </c>
      <c r="S6295" s="345" t="s">
        <v>224</v>
      </c>
    </row>
    <row r="6296" spans="1:19" x14ac:dyDescent="0.25">
      <c r="A6296" s="311"/>
      <c r="B6296" s="312"/>
      <c r="C6296" s="312"/>
      <c r="D6296" s="312"/>
      <c r="E6296" s="312"/>
      <c r="F6296" s="312"/>
      <c r="G6296" s="328"/>
      <c r="H6296" s="453"/>
      <c r="I6296" s="334"/>
      <c r="J6296" s="314"/>
      <c r="K6296" s="454"/>
      <c r="M6296" s="349" t="str">
        <f>N6296&amp;AS[[#This Row],[Insurer Code]]&amp;"; "&amp;O6296&amp;AS[[#This Row],[Reporting Year]]&amp;"; "&amp;P6296&amp;AS[[#This Row],[Insurance Category Code]]&amp;"; "&amp;Q6296&amp;AS[[#This Row],[Large Provider Entity Code]]&amp;"; "&amp;R6296&amp;AS[[#This Row],[Age Band Code]]&amp;"; "&amp;S6296&amp;AS[[#This Row],[Sex Code]]</f>
        <v xml:space="preserve">Insurer Code ; Reporting Year ; Insurance Category Code ; Large Provider Entity Code ; Age Band Code ; Sex Code </v>
      </c>
      <c r="N6296" s="345" t="s">
        <v>207</v>
      </c>
      <c r="O6296" s="345" t="s">
        <v>208</v>
      </c>
      <c r="P6296" s="345" t="s">
        <v>209</v>
      </c>
      <c r="Q6296" s="345" t="s">
        <v>210</v>
      </c>
      <c r="R6296" s="345" t="s">
        <v>223</v>
      </c>
      <c r="S6296" s="345" t="s">
        <v>224</v>
      </c>
    </row>
    <row r="6297" spans="1:19" x14ac:dyDescent="0.25">
      <c r="A6297" s="311"/>
      <c r="B6297" s="312"/>
      <c r="C6297" s="312"/>
      <c r="D6297" s="312"/>
      <c r="E6297" s="312"/>
      <c r="F6297" s="312"/>
      <c r="G6297" s="328"/>
      <c r="H6297" s="453"/>
      <c r="I6297" s="334"/>
      <c r="J6297" s="314"/>
      <c r="K6297" s="454"/>
      <c r="M6297" s="349" t="str">
        <f>N6297&amp;AS[[#This Row],[Insurer Code]]&amp;"; "&amp;O6297&amp;AS[[#This Row],[Reporting Year]]&amp;"; "&amp;P6297&amp;AS[[#This Row],[Insurance Category Code]]&amp;"; "&amp;Q6297&amp;AS[[#This Row],[Large Provider Entity Code]]&amp;"; "&amp;R6297&amp;AS[[#This Row],[Age Band Code]]&amp;"; "&amp;S6297&amp;AS[[#This Row],[Sex Code]]</f>
        <v xml:space="preserve">Insurer Code ; Reporting Year ; Insurance Category Code ; Large Provider Entity Code ; Age Band Code ; Sex Code </v>
      </c>
      <c r="N6297" s="345" t="s">
        <v>207</v>
      </c>
      <c r="O6297" s="345" t="s">
        <v>208</v>
      </c>
      <c r="P6297" s="345" t="s">
        <v>209</v>
      </c>
      <c r="Q6297" s="345" t="s">
        <v>210</v>
      </c>
      <c r="R6297" s="345" t="s">
        <v>223</v>
      </c>
      <c r="S6297" s="345" t="s">
        <v>224</v>
      </c>
    </row>
    <row r="6298" spans="1:19" x14ac:dyDescent="0.25">
      <c r="A6298" s="311"/>
      <c r="B6298" s="312"/>
      <c r="C6298" s="312"/>
      <c r="D6298" s="312"/>
      <c r="E6298" s="312"/>
      <c r="F6298" s="312"/>
      <c r="G6298" s="328"/>
      <c r="H6298" s="453"/>
      <c r="I6298" s="334"/>
      <c r="J6298" s="314"/>
      <c r="K6298" s="454"/>
      <c r="M6298" s="349" t="str">
        <f>N6298&amp;AS[[#This Row],[Insurer Code]]&amp;"; "&amp;O6298&amp;AS[[#This Row],[Reporting Year]]&amp;"; "&amp;P6298&amp;AS[[#This Row],[Insurance Category Code]]&amp;"; "&amp;Q6298&amp;AS[[#This Row],[Large Provider Entity Code]]&amp;"; "&amp;R6298&amp;AS[[#This Row],[Age Band Code]]&amp;"; "&amp;S6298&amp;AS[[#This Row],[Sex Code]]</f>
        <v xml:space="preserve">Insurer Code ; Reporting Year ; Insurance Category Code ; Large Provider Entity Code ; Age Band Code ; Sex Code </v>
      </c>
      <c r="N6298" s="345" t="s">
        <v>207</v>
      </c>
      <c r="O6298" s="345" t="s">
        <v>208</v>
      </c>
      <c r="P6298" s="345" t="s">
        <v>209</v>
      </c>
      <c r="Q6298" s="345" t="s">
        <v>210</v>
      </c>
      <c r="R6298" s="345" t="s">
        <v>223</v>
      </c>
      <c r="S6298" s="345" t="s">
        <v>224</v>
      </c>
    </row>
    <row r="6299" spans="1:19" x14ac:dyDescent="0.25">
      <c r="A6299" s="311"/>
      <c r="B6299" s="312"/>
      <c r="C6299" s="312"/>
      <c r="D6299" s="312"/>
      <c r="E6299" s="312"/>
      <c r="F6299" s="312"/>
      <c r="G6299" s="328"/>
      <c r="H6299" s="453"/>
      <c r="I6299" s="334"/>
      <c r="J6299" s="314"/>
      <c r="K6299" s="454"/>
      <c r="M6299" s="349" t="str">
        <f>N6299&amp;AS[[#This Row],[Insurer Code]]&amp;"; "&amp;O6299&amp;AS[[#This Row],[Reporting Year]]&amp;"; "&amp;P6299&amp;AS[[#This Row],[Insurance Category Code]]&amp;"; "&amp;Q6299&amp;AS[[#This Row],[Large Provider Entity Code]]&amp;"; "&amp;R6299&amp;AS[[#This Row],[Age Band Code]]&amp;"; "&amp;S6299&amp;AS[[#This Row],[Sex Code]]</f>
        <v xml:space="preserve">Insurer Code ; Reporting Year ; Insurance Category Code ; Large Provider Entity Code ; Age Band Code ; Sex Code </v>
      </c>
      <c r="N6299" s="345" t="s">
        <v>207</v>
      </c>
      <c r="O6299" s="345" t="s">
        <v>208</v>
      </c>
      <c r="P6299" s="345" t="s">
        <v>209</v>
      </c>
      <c r="Q6299" s="345" t="s">
        <v>210</v>
      </c>
      <c r="R6299" s="345" t="s">
        <v>223</v>
      </c>
      <c r="S6299" s="345" t="s">
        <v>224</v>
      </c>
    </row>
    <row r="6300" spans="1:19" x14ac:dyDescent="0.25">
      <c r="A6300" s="311"/>
      <c r="B6300" s="312"/>
      <c r="C6300" s="312"/>
      <c r="D6300" s="312"/>
      <c r="E6300" s="312"/>
      <c r="F6300" s="312"/>
      <c r="G6300" s="328"/>
      <c r="H6300" s="453"/>
      <c r="I6300" s="334"/>
      <c r="J6300" s="314"/>
      <c r="K6300" s="454"/>
      <c r="M6300" s="349" t="str">
        <f>N6300&amp;AS[[#This Row],[Insurer Code]]&amp;"; "&amp;O6300&amp;AS[[#This Row],[Reporting Year]]&amp;"; "&amp;P6300&amp;AS[[#This Row],[Insurance Category Code]]&amp;"; "&amp;Q6300&amp;AS[[#This Row],[Large Provider Entity Code]]&amp;"; "&amp;R6300&amp;AS[[#This Row],[Age Band Code]]&amp;"; "&amp;S6300&amp;AS[[#This Row],[Sex Code]]</f>
        <v xml:space="preserve">Insurer Code ; Reporting Year ; Insurance Category Code ; Large Provider Entity Code ; Age Band Code ; Sex Code </v>
      </c>
      <c r="N6300" s="345" t="s">
        <v>207</v>
      </c>
      <c r="O6300" s="345" t="s">
        <v>208</v>
      </c>
      <c r="P6300" s="345" t="s">
        <v>209</v>
      </c>
      <c r="Q6300" s="345" t="s">
        <v>210</v>
      </c>
      <c r="R6300" s="345" t="s">
        <v>223</v>
      </c>
      <c r="S6300" s="345" t="s">
        <v>224</v>
      </c>
    </row>
    <row r="6301" spans="1:19" x14ac:dyDescent="0.25">
      <c r="A6301" s="311"/>
      <c r="B6301" s="312"/>
      <c r="C6301" s="312"/>
      <c r="D6301" s="312"/>
      <c r="E6301" s="312"/>
      <c r="F6301" s="312"/>
      <c r="G6301" s="328"/>
      <c r="H6301" s="453"/>
      <c r="I6301" s="334"/>
      <c r="J6301" s="314"/>
      <c r="K6301" s="454"/>
      <c r="M6301" s="349" t="str">
        <f>N6301&amp;AS[[#This Row],[Insurer Code]]&amp;"; "&amp;O6301&amp;AS[[#This Row],[Reporting Year]]&amp;"; "&amp;P6301&amp;AS[[#This Row],[Insurance Category Code]]&amp;"; "&amp;Q6301&amp;AS[[#This Row],[Large Provider Entity Code]]&amp;"; "&amp;R6301&amp;AS[[#This Row],[Age Band Code]]&amp;"; "&amp;S6301&amp;AS[[#This Row],[Sex Code]]</f>
        <v xml:space="preserve">Insurer Code ; Reporting Year ; Insurance Category Code ; Large Provider Entity Code ; Age Band Code ; Sex Code </v>
      </c>
      <c r="N6301" s="345" t="s">
        <v>207</v>
      </c>
      <c r="O6301" s="345" t="s">
        <v>208</v>
      </c>
      <c r="P6301" s="345" t="s">
        <v>209</v>
      </c>
      <c r="Q6301" s="345" t="s">
        <v>210</v>
      </c>
      <c r="R6301" s="345" t="s">
        <v>223</v>
      </c>
      <c r="S6301" s="345" t="s">
        <v>224</v>
      </c>
    </row>
    <row r="6302" spans="1:19" x14ac:dyDescent="0.25">
      <c r="A6302" s="311"/>
      <c r="B6302" s="312"/>
      <c r="C6302" s="312"/>
      <c r="D6302" s="312"/>
      <c r="E6302" s="312"/>
      <c r="F6302" s="312"/>
      <c r="G6302" s="328"/>
      <c r="H6302" s="453"/>
      <c r="I6302" s="334"/>
      <c r="J6302" s="314"/>
      <c r="K6302" s="454"/>
      <c r="M6302" s="349" t="str">
        <f>N6302&amp;AS[[#This Row],[Insurer Code]]&amp;"; "&amp;O6302&amp;AS[[#This Row],[Reporting Year]]&amp;"; "&amp;P6302&amp;AS[[#This Row],[Insurance Category Code]]&amp;"; "&amp;Q6302&amp;AS[[#This Row],[Large Provider Entity Code]]&amp;"; "&amp;R6302&amp;AS[[#This Row],[Age Band Code]]&amp;"; "&amp;S6302&amp;AS[[#This Row],[Sex Code]]</f>
        <v xml:space="preserve">Insurer Code ; Reporting Year ; Insurance Category Code ; Large Provider Entity Code ; Age Band Code ; Sex Code </v>
      </c>
      <c r="N6302" s="345" t="s">
        <v>207</v>
      </c>
      <c r="O6302" s="345" t="s">
        <v>208</v>
      </c>
      <c r="P6302" s="345" t="s">
        <v>209</v>
      </c>
      <c r="Q6302" s="345" t="s">
        <v>210</v>
      </c>
      <c r="R6302" s="345" t="s">
        <v>223</v>
      </c>
      <c r="S6302" s="345" t="s">
        <v>224</v>
      </c>
    </row>
    <row r="6303" spans="1:19" x14ac:dyDescent="0.25">
      <c r="A6303" s="311"/>
      <c r="B6303" s="312"/>
      <c r="C6303" s="312"/>
      <c r="D6303" s="312"/>
      <c r="E6303" s="312"/>
      <c r="F6303" s="312"/>
      <c r="G6303" s="328"/>
      <c r="H6303" s="453"/>
      <c r="I6303" s="334"/>
      <c r="J6303" s="314"/>
      <c r="K6303" s="454"/>
      <c r="M6303" s="349" t="str">
        <f>N6303&amp;AS[[#This Row],[Insurer Code]]&amp;"; "&amp;O6303&amp;AS[[#This Row],[Reporting Year]]&amp;"; "&amp;P6303&amp;AS[[#This Row],[Insurance Category Code]]&amp;"; "&amp;Q6303&amp;AS[[#This Row],[Large Provider Entity Code]]&amp;"; "&amp;R6303&amp;AS[[#This Row],[Age Band Code]]&amp;"; "&amp;S6303&amp;AS[[#This Row],[Sex Code]]</f>
        <v xml:space="preserve">Insurer Code ; Reporting Year ; Insurance Category Code ; Large Provider Entity Code ; Age Band Code ; Sex Code </v>
      </c>
      <c r="N6303" s="345" t="s">
        <v>207</v>
      </c>
      <c r="O6303" s="345" t="s">
        <v>208</v>
      </c>
      <c r="P6303" s="345" t="s">
        <v>209</v>
      </c>
      <c r="Q6303" s="345" t="s">
        <v>210</v>
      </c>
      <c r="R6303" s="345" t="s">
        <v>223</v>
      </c>
      <c r="S6303" s="345" t="s">
        <v>224</v>
      </c>
    </row>
    <row r="6304" spans="1:19" x14ac:dyDescent="0.25">
      <c r="A6304" s="311"/>
      <c r="B6304" s="312"/>
      <c r="C6304" s="312"/>
      <c r="D6304" s="312"/>
      <c r="E6304" s="312"/>
      <c r="F6304" s="312"/>
      <c r="G6304" s="328"/>
      <c r="H6304" s="453"/>
      <c r="I6304" s="334"/>
      <c r="J6304" s="314"/>
      <c r="K6304" s="454"/>
      <c r="M6304" s="349" t="str">
        <f>N6304&amp;AS[[#This Row],[Insurer Code]]&amp;"; "&amp;O6304&amp;AS[[#This Row],[Reporting Year]]&amp;"; "&amp;P6304&amp;AS[[#This Row],[Insurance Category Code]]&amp;"; "&amp;Q6304&amp;AS[[#This Row],[Large Provider Entity Code]]&amp;"; "&amp;R6304&amp;AS[[#This Row],[Age Band Code]]&amp;"; "&amp;S6304&amp;AS[[#This Row],[Sex Code]]</f>
        <v xml:space="preserve">Insurer Code ; Reporting Year ; Insurance Category Code ; Large Provider Entity Code ; Age Band Code ; Sex Code </v>
      </c>
      <c r="N6304" s="345" t="s">
        <v>207</v>
      </c>
      <c r="O6304" s="345" t="s">
        <v>208</v>
      </c>
      <c r="P6304" s="345" t="s">
        <v>209</v>
      </c>
      <c r="Q6304" s="345" t="s">
        <v>210</v>
      </c>
      <c r="R6304" s="345" t="s">
        <v>223</v>
      </c>
      <c r="S6304" s="345" t="s">
        <v>224</v>
      </c>
    </row>
    <row r="6305" spans="1:19" x14ac:dyDescent="0.25">
      <c r="A6305" s="311"/>
      <c r="B6305" s="312"/>
      <c r="C6305" s="312"/>
      <c r="D6305" s="312"/>
      <c r="E6305" s="312"/>
      <c r="F6305" s="312"/>
      <c r="G6305" s="328"/>
      <c r="H6305" s="453"/>
      <c r="I6305" s="334"/>
      <c r="J6305" s="314"/>
      <c r="K6305" s="454"/>
      <c r="M6305" s="349" t="str">
        <f>N6305&amp;AS[[#This Row],[Insurer Code]]&amp;"; "&amp;O6305&amp;AS[[#This Row],[Reporting Year]]&amp;"; "&amp;P6305&amp;AS[[#This Row],[Insurance Category Code]]&amp;"; "&amp;Q6305&amp;AS[[#This Row],[Large Provider Entity Code]]&amp;"; "&amp;R6305&amp;AS[[#This Row],[Age Band Code]]&amp;"; "&amp;S6305&amp;AS[[#This Row],[Sex Code]]</f>
        <v xml:space="preserve">Insurer Code ; Reporting Year ; Insurance Category Code ; Large Provider Entity Code ; Age Band Code ; Sex Code </v>
      </c>
      <c r="N6305" s="345" t="s">
        <v>207</v>
      </c>
      <c r="O6305" s="345" t="s">
        <v>208</v>
      </c>
      <c r="P6305" s="345" t="s">
        <v>209</v>
      </c>
      <c r="Q6305" s="345" t="s">
        <v>210</v>
      </c>
      <c r="R6305" s="345" t="s">
        <v>223</v>
      </c>
      <c r="S6305" s="345" t="s">
        <v>224</v>
      </c>
    </row>
    <row r="6306" spans="1:19" x14ac:dyDescent="0.25">
      <c r="A6306" s="311"/>
      <c r="B6306" s="312"/>
      <c r="C6306" s="312"/>
      <c r="D6306" s="312"/>
      <c r="E6306" s="312"/>
      <c r="F6306" s="312"/>
      <c r="G6306" s="328"/>
      <c r="H6306" s="453"/>
      <c r="I6306" s="334"/>
      <c r="J6306" s="314"/>
      <c r="K6306" s="454"/>
      <c r="M6306" s="349" t="str">
        <f>N6306&amp;AS[[#This Row],[Insurer Code]]&amp;"; "&amp;O6306&amp;AS[[#This Row],[Reporting Year]]&amp;"; "&amp;P6306&amp;AS[[#This Row],[Insurance Category Code]]&amp;"; "&amp;Q6306&amp;AS[[#This Row],[Large Provider Entity Code]]&amp;"; "&amp;R6306&amp;AS[[#This Row],[Age Band Code]]&amp;"; "&amp;S6306&amp;AS[[#This Row],[Sex Code]]</f>
        <v xml:space="preserve">Insurer Code ; Reporting Year ; Insurance Category Code ; Large Provider Entity Code ; Age Band Code ; Sex Code </v>
      </c>
      <c r="N6306" s="345" t="s">
        <v>207</v>
      </c>
      <c r="O6306" s="345" t="s">
        <v>208</v>
      </c>
      <c r="P6306" s="345" t="s">
        <v>209</v>
      </c>
      <c r="Q6306" s="345" t="s">
        <v>210</v>
      </c>
      <c r="R6306" s="345" t="s">
        <v>223</v>
      </c>
      <c r="S6306" s="345" t="s">
        <v>224</v>
      </c>
    </row>
    <row r="6307" spans="1:19" x14ac:dyDescent="0.25">
      <c r="A6307" s="311"/>
      <c r="B6307" s="312"/>
      <c r="C6307" s="312"/>
      <c r="D6307" s="312"/>
      <c r="E6307" s="312"/>
      <c r="F6307" s="312"/>
      <c r="G6307" s="328"/>
      <c r="H6307" s="453"/>
      <c r="I6307" s="334"/>
      <c r="J6307" s="314"/>
      <c r="K6307" s="454"/>
      <c r="M6307" s="349" t="str">
        <f>N6307&amp;AS[[#This Row],[Insurer Code]]&amp;"; "&amp;O6307&amp;AS[[#This Row],[Reporting Year]]&amp;"; "&amp;P6307&amp;AS[[#This Row],[Insurance Category Code]]&amp;"; "&amp;Q6307&amp;AS[[#This Row],[Large Provider Entity Code]]&amp;"; "&amp;R6307&amp;AS[[#This Row],[Age Band Code]]&amp;"; "&amp;S6307&amp;AS[[#This Row],[Sex Code]]</f>
        <v xml:space="preserve">Insurer Code ; Reporting Year ; Insurance Category Code ; Large Provider Entity Code ; Age Band Code ; Sex Code </v>
      </c>
      <c r="N6307" s="345" t="s">
        <v>207</v>
      </c>
      <c r="O6307" s="345" t="s">
        <v>208</v>
      </c>
      <c r="P6307" s="345" t="s">
        <v>209</v>
      </c>
      <c r="Q6307" s="345" t="s">
        <v>210</v>
      </c>
      <c r="R6307" s="345" t="s">
        <v>223</v>
      </c>
      <c r="S6307" s="345" t="s">
        <v>224</v>
      </c>
    </row>
    <row r="6308" spans="1:19" x14ac:dyDescent="0.25">
      <c r="A6308" s="311"/>
      <c r="B6308" s="312"/>
      <c r="C6308" s="312"/>
      <c r="D6308" s="312"/>
      <c r="E6308" s="312"/>
      <c r="F6308" s="312"/>
      <c r="G6308" s="328"/>
      <c r="H6308" s="453"/>
      <c r="I6308" s="334"/>
      <c r="J6308" s="314"/>
      <c r="K6308" s="454"/>
      <c r="M6308" s="349" t="str">
        <f>N6308&amp;AS[[#This Row],[Insurer Code]]&amp;"; "&amp;O6308&amp;AS[[#This Row],[Reporting Year]]&amp;"; "&amp;P6308&amp;AS[[#This Row],[Insurance Category Code]]&amp;"; "&amp;Q6308&amp;AS[[#This Row],[Large Provider Entity Code]]&amp;"; "&amp;R6308&amp;AS[[#This Row],[Age Band Code]]&amp;"; "&amp;S6308&amp;AS[[#This Row],[Sex Code]]</f>
        <v xml:space="preserve">Insurer Code ; Reporting Year ; Insurance Category Code ; Large Provider Entity Code ; Age Band Code ; Sex Code </v>
      </c>
      <c r="N6308" s="345" t="s">
        <v>207</v>
      </c>
      <c r="O6308" s="345" t="s">
        <v>208</v>
      </c>
      <c r="P6308" s="345" t="s">
        <v>209</v>
      </c>
      <c r="Q6308" s="345" t="s">
        <v>210</v>
      </c>
      <c r="R6308" s="345" t="s">
        <v>223</v>
      </c>
      <c r="S6308" s="345" t="s">
        <v>224</v>
      </c>
    </row>
    <row r="6309" spans="1:19" x14ac:dyDescent="0.25">
      <c r="A6309" s="311"/>
      <c r="B6309" s="312"/>
      <c r="C6309" s="312"/>
      <c r="D6309" s="312"/>
      <c r="E6309" s="312"/>
      <c r="F6309" s="312"/>
      <c r="G6309" s="328"/>
      <c r="H6309" s="453"/>
      <c r="I6309" s="334"/>
      <c r="J6309" s="314"/>
      <c r="K6309" s="454"/>
      <c r="M6309" s="349" t="str">
        <f>N6309&amp;AS[[#This Row],[Insurer Code]]&amp;"; "&amp;O6309&amp;AS[[#This Row],[Reporting Year]]&amp;"; "&amp;P6309&amp;AS[[#This Row],[Insurance Category Code]]&amp;"; "&amp;Q6309&amp;AS[[#This Row],[Large Provider Entity Code]]&amp;"; "&amp;R6309&amp;AS[[#This Row],[Age Band Code]]&amp;"; "&amp;S6309&amp;AS[[#This Row],[Sex Code]]</f>
        <v xml:space="preserve">Insurer Code ; Reporting Year ; Insurance Category Code ; Large Provider Entity Code ; Age Band Code ; Sex Code </v>
      </c>
      <c r="N6309" s="345" t="s">
        <v>207</v>
      </c>
      <c r="O6309" s="345" t="s">
        <v>208</v>
      </c>
      <c r="P6309" s="345" t="s">
        <v>209</v>
      </c>
      <c r="Q6309" s="345" t="s">
        <v>210</v>
      </c>
      <c r="R6309" s="345" t="s">
        <v>223</v>
      </c>
      <c r="S6309" s="345" t="s">
        <v>224</v>
      </c>
    </row>
    <row r="6310" spans="1:19" x14ac:dyDescent="0.25">
      <c r="A6310" s="311"/>
      <c r="B6310" s="312"/>
      <c r="C6310" s="312"/>
      <c r="D6310" s="312"/>
      <c r="E6310" s="312"/>
      <c r="F6310" s="312"/>
      <c r="G6310" s="328"/>
      <c r="H6310" s="453"/>
      <c r="I6310" s="334"/>
      <c r="J6310" s="314"/>
      <c r="K6310" s="454"/>
      <c r="M6310" s="349" t="str">
        <f>N6310&amp;AS[[#This Row],[Insurer Code]]&amp;"; "&amp;O6310&amp;AS[[#This Row],[Reporting Year]]&amp;"; "&amp;P6310&amp;AS[[#This Row],[Insurance Category Code]]&amp;"; "&amp;Q6310&amp;AS[[#This Row],[Large Provider Entity Code]]&amp;"; "&amp;R6310&amp;AS[[#This Row],[Age Band Code]]&amp;"; "&amp;S6310&amp;AS[[#This Row],[Sex Code]]</f>
        <v xml:space="preserve">Insurer Code ; Reporting Year ; Insurance Category Code ; Large Provider Entity Code ; Age Band Code ; Sex Code </v>
      </c>
      <c r="N6310" s="345" t="s">
        <v>207</v>
      </c>
      <c r="O6310" s="345" t="s">
        <v>208</v>
      </c>
      <c r="P6310" s="345" t="s">
        <v>209</v>
      </c>
      <c r="Q6310" s="345" t="s">
        <v>210</v>
      </c>
      <c r="R6310" s="345" t="s">
        <v>223</v>
      </c>
      <c r="S6310" s="345" t="s">
        <v>224</v>
      </c>
    </row>
    <row r="6311" spans="1:19" x14ac:dyDescent="0.25">
      <c r="A6311" s="311"/>
      <c r="B6311" s="312"/>
      <c r="C6311" s="312"/>
      <c r="D6311" s="312"/>
      <c r="E6311" s="312"/>
      <c r="F6311" s="312"/>
      <c r="G6311" s="328"/>
      <c r="H6311" s="453"/>
      <c r="I6311" s="334"/>
      <c r="J6311" s="314"/>
      <c r="K6311" s="454"/>
      <c r="M6311" s="349" t="str">
        <f>N6311&amp;AS[[#This Row],[Insurer Code]]&amp;"; "&amp;O6311&amp;AS[[#This Row],[Reporting Year]]&amp;"; "&amp;P6311&amp;AS[[#This Row],[Insurance Category Code]]&amp;"; "&amp;Q6311&amp;AS[[#This Row],[Large Provider Entity Code]]&amp;"; "&amp;R6311&amp;AS[[#This Row],[Age Band Code]]&amp;"; "&amp;S6311&amp;AS[[#This Row],[Sex Code]]</f>
        <v xml:space="preserve">Insurer Code ; Reporting Year ; Insurance Category Code ; Large Provider Entity Code ; Age Band Code ; Sex Code </v>
      </c>
      <c r="N6311" s="345" t="s">
        <v>207</v>
      </c>
      <c r="O6311" s="345" t="s">
        <v>208</v>
      </c>
      <c r="P6311" s="345" t="s">
        <v>209</v>
      </c>
      <c r="Q6311" s="345" t="s">
        <v>210</v>
      </c>
      <c r="R6311" s="345" t="s">
        <v>223</v>
      </c>
      <c r="S6311" s="345" t="s">
        <v>224</v>
      </c>
    </row>
    <row r="6312" spans="1:19" x14ac:dyDescent="0.25">
      <c r="A6312" s="311"/>
      <c r="B6312" s="312"/>
      <c r="C6312" s="312"/>
      <c r="D6312" s="312"/>
      <c r="E6312" s="312"/>
      <c r="F6312" s="312"/>
      <c r="G6312" s="328"/>
      <c r="H6312" s="453"/>
      <c r="I6312" s="334"/>
      <c r="J6312" s="314"/>
      <c r="K6312" s="454"/>
      <c r="M6312" s="349" t="str">
        <f>N6312&amp;AS[[#This Row],[Insurer Code]]&amp;"; "&amp;O6312&amp;AS[[#This Row],[Reporting Year]]&amp;"; "&amp;P6312&amp;AS[[#This Row],[Insurance Category Code]]&amp;"; "&amp;Q6312&amp;AS[[#This Row],[Large Provider Entity Code]]&amp;"; "&amp;R6312&amp;AS[[#This Row],[Age Band Code]]&amp;"; "&amp;S6312&amp;AS[[#This Row],[Sex Code]]</f>
        <v xml:space="preserve">Insurer Code ; Reporting Year ; Insurance Category Code ; Large Provider Entity Code ; Age Band Code ; Sex Code </v>
      </c>
      <c r="N6312" s="345" t="s">
        <v>207</v>
      </c>
      <c r="O6312" s="345" t="s">
        <v>208</v>
      </c>
      <c r="P6312" s="345" t="s">
        <v>209</v>
      </c>
      <c r="Q6312" s="345" t="s">
        <v>210</v>
      </c>
      <c r="R6312" s="345" t="s">
        <v>223</v>
      </c>
      <c r="S6312" s="345" t="s">
        <v>224</v>
      </c>
    </row>
    <row r="6313" spans="1:19" x14ac:dyDescent="0.25">
      <c r="A6313" s="311"/>
      <c r="B6313" s="312"/>
      <c r="C6313" s="312"/>
      <c r="D6313" s="312"/>
      <c r="E6313" s="312"/>
      <c r="F6313" s="312"/>
      <c r="G6313" s="328"/>
      <c r="H6313" s="453"/>
      <c r="I6313" s="334"/>
      <c r="J6313" s="314"/>
      <c r="K6313" s="454"/>
      <c r="M6313" s="349" t="str">
        <f>N6313&amp;AS[[#This Row],[Insurer Code]]&amp;"; "&amp;O6313&amp;AS[[#This Row],[Reporting Year]]&amp;"; "&amp;P6313&amp;AS[[#This Row],[Insurance Category Code]]&amp;"; "&amp;Q6313&amp;AS[[#This Row],[Large Provider Entity Code]]&amp;"; "&amp;R6313&amp;AS[[#This Row],[Age Band Code]]&amp;"; "&amp;S6313&amp;AS[[#This Row],[Sex Code]]</f>
        <v xml:space="preserve">Insurer Code ; Reporting Year ; Insurance Category Code ; Large Provider Entity Code ; Age Band Code ; Sex Code </v>
      </c>
      <c r="N6313" s="345" t="s">
        <v>207</v>
      </c>
      <c r="O6313" s="345" t="s">
        <v>208</v>
      </c>
      <c r="P6313" s="345" t="s">
        <v>209</v>
      </c>
      <c r="Q6313" s="345" t="s">
        <v>210</v>
      </c>
      <c r="R6313" s="345" t="s">
        <v>223</v>
      </c>
      <c r="S6313" s="345" t="s">
        <v>224</v>
      </c>
    </row>
    <row r="6314" spans="1:19" x14ac:dyDescent="0.25">
      <c r="A6314" s="311"/>
      <c r="B6314" s="312"/>
      <c r="C6314" s="312"/>
      <c r="D6314" s="312"/>
      <c r="E6314" s="312"/>
      <c r="F6314" s="312"/>
      <c r="G6314" s="328"/>
      <c r="H6314" s="453"/>
      <c r="I6314" s="334"/>
      <c r="J6314" s="314"/>
      <c r="K6314" s="454"/>
      <c r="M6314" s="349" t="str">
        <f>N6314&amp;AS[[#This Row],[Insurer Code]]&amp;"; "&amp;O6314&amp;AS[[#This Row],[Reporting Year]]&amp;"; "&amp;P6314&amp;AS[[#This Row],[Insurance Category Code]]&amp;"; "&amp;Q6314&amp;AS[[#This Row],[Large Provider Entity Code]]&amp;"; "&amp;R6314&amp;AS[[#This Row],[Age Band Code]]&amp;"; "&amp;S6314&amp;AS[[#This Row],[Sex Code]]</f>
        <v xml:space="preserve">Insurer Code ; Reporting Year ; Insurance Category Code ; Large Provider Entity Code ; Age Band Code ; Sex Code </v>
      </c>
      <c r="N6314" s="345" t="s">
        <v>207</v>
      </c>
      <c r="O6314" s="345" t="s">
        <v>208</v>
      </c>
      <c r="P6314" s="345" t="s">
        <v>209</v>
      </c>
      <c r="Q6314" s="345" t="s">
        <v>210</v>
      </c>
      <c r="R6314" s="345" t="s">
        <v>223</v>
      </c>
      <c r="S6314" s="345" t="s">
        <v>224</v>
      </c>
    </row>
    <row r="6315" spans="1:19" x14ac:dyDescent="0.25">
      <c r="A6315" s="311"/>
      <c r="B6315" s="312"/>
      <c r="C6315" s="312"/>
      <c r="D6315" s="312"/>
      <c r="E6315" s="312"/>
      <c r="F6315" s="312"/>
      <c r="G6315" s="328"/>
      <c r="H6315" s="453"/>
      <c r="I6315" s="334"/>
      <c r="J6315" s="314"/>
      <c r="K6315" s="454"/>
      <c r="M6315" s="349" t="str">
        <f>N6315&amp;AS[[#This Row],[Insurer Code]]&amp;"; "&amp;O6315&amp;AS[[#This Row],[Reporting Year]]&amp;"; "&amp;P6315&amp;AS[[#This Row],[Insurance Category Code]]&amp;"; "&amp;Q6315&amp;AS[[#This Row],[Large Provider Entity Code]]&amp;"; "&amp;R6315&amp;AS[[#This Row],[Age Band Code]]&amp;"; "&amp;S6315&amp;AS[[#This Row],[Sex Code]]</f>
        <v xml:space="preserve">Insurer Code ; Reporting Year ; Insurance Category Code ; Large Provider Entity Code ; Age Band Code ; Sex Code </v>
      </c>
      <c r="N6315" s="345" t="s">
        <v>207</v>
      </c>
      <c r="O6315" s="345" t="s">
        <v>208</v>
      </c>
      <c r="P6315" s="345" t="s">
        <v>209</v>
      </c>
      <c r="Q6315" s="345" t="s">
        <v>210</v>
      </c>
      <c r="R6315" s="345" t="s">
        <v>223</v>
      </c>
      <c r="S6315" s="345" t="s">
        <v>224</v>
      </c>
    </row>
    <row r="6316" spans="1:19" x14ac:dyDescent="0.25">
      <c r="A6316" s="311"/>
      <c r="B6316" s="312"/>
      <c r="C6316" s="312"/>
      <c r="D6316" s="312"/>
      <c r="E6316" s="312"/>
      <c r="F6316" s="312"/>
      <c r="G6316" s="328"/>
      <c r="H6316" s="453"/>
      <c r="I6316" s="334"/>
      <c r="J6316" s="314"/>
      <c r="K6316" s="454"/>
      <c r="M6316" s="349" t="str">
        <f>N6316&amp;AS[[#This Row],[Insurer Code]]&amp;"; "&amp;O6316&amp;AS[[#This Row],[Reporting Year]]&amp;"; "&amp;P6316&amp;AS[[#This Row],[Insurance Category Code]]&amp;"; "&amp;Q6316&amp;AS[[#This Row],[Large Provider Entity Code]]&amp;"; "&amp;R6316&amp;AS[[#This Row],[Age Band Code]]&amp;"; "&amp;S6316&amp;AS[[#This Row],[Sex Code]]</f>
        <v xml:space="preserve">Insurer Code ; Reporting Year ; Insurance Category Code ; Large Provider Entity Code ; Age Band Code ; Sex Code </v>
      </c>
      <c r="N6316" s="345" t="s">
        <v>207</v>
      </c>
      <c r="O6316" s="345" t="s">
        <v>208</v>
      </c>
      <c r="P6316" s="345" t="s">
        <v>209</v>
      </c>
      <c r="Q6316" s="345" t="s">
        <v>210</v>
      </c>
      <c r="R6316" s="345" t="s">
        <v>223</v>
      </c>
      <c r="S6316" s="345" t="s">
        <v>224</v>
      </c>
    </row>
    <row r="6317" spans="1:19" x14ac:dyDescent="0.25">
      <c r="A6317" s="311"/>
      <c r="B6317" s="312"/>
      <c r="C6317" s="312"/>
      <c r="D6317" s="312"/>
      <c r="E6317" s="312"/>
      <c r="F6317" s="312"/>
      <c r="G6317" s="328"/>
      <c r="H6317" s="453"/>
      <c r="I6317" s="334"/>
      <c r="J6317" s="314"/>
      <c r="K6317" s="454"/>
      <c r="M6317" s="349" t="str">
        <f>N6317&amp;AS[[#This Row],[Insurer Code]]&amp;"; "&amp;O6317&amp;AS[[#This Row],[Reporting Year]]&amp;"; "&amp;P6317&amp;AS[[#This Row],[Insurance Category Code]]&amp;"; "&amp;Q6317&amp;AS[[#This Row],[Large Provider Entity Code]]&amp;"; "&amp;R6317&amp;AS[[#This Row],[Age Band Code]]&amp;"; "&amp;S6317&amp;AS[[#This Row],[Sex Code]]</f>
        <v xml:space="preserve">Insurer Code ; Reporting Year ; Insurance Category Code ; Large Provider Entity Code ; Age Band Code ; Sex Code </v>
      </c>
      <c r="N6317" s="345" t="s">
        <v>207</v>
      </c>
      <c r="O6317" s="345" t="s">
        <v>208</v>
      </c>
      <c r="P6317" s="345" t="s">
        <v>209</v>
      </c>
      <c r="Q6317" s="345" t="s">
        <v>210</v>
      </c>
      <c r="R6317" s="345" t="s">
        <v>223</v>
      </c>
      <c r="S6317" s="345" t="s">
        <v>224</v>
      </c>
    </row>
    <row r="6318" spans="1:19" x14ac:dyDescent="0.25">
      <c r="A6318" s="311"/>
      <c r="B6318" s="312"/>
      <c r="C6318" s="312"/>
      <c r="D6318" s="312"/>
      <c r="E6318" s="312"/>
      <c r="F6318" s="312"/>
      <c r="G6318" s="328"/>
      <c r="H6318" s="453"/>
      <c r="I6318" s="334"/>
      <c r="J6318" s="314"/>
      <c r="K6318" s="454"/>
      <c r="M6318" s="349" t="str">
        <f>N6318&amp;AS[[#This Row],[Insurer Code]]&amp;"; "&amp;O6318&amp;AS[[#This Row],[Reporting Year]]&amp;"; "&amp;P6318&amp;AS[[#This Row],[Insurance Category Code]]&amp;"; "&amp;Q6318&amp;AS[[#This Row],[Large Provider Entity Code]]&amp;"; "&amp;R6318&amp;AS[[#This Row],[Age Band Code]]&amp;"; "&amp;S6318&amp;AS[[#This Row],[Sex Code]]</f>
        <v xml:space="preserve">Insurer Code ; Reporting Year ; Insurance Category Code ; Large Provider Entity Code ; Age Band Code ; Sex Code </v>
      </c>
      <c r="N6318" s="345" t="s">
        <v>207</v>
      </c>
      <c r="O6318" s="345" t="s">
        <v>208</v>
      </c>
      <c r="P6318" s="345" t="s">
        <v>209</v>
      </c>
      <c r="Q6318" s="345" t="s">
        <v>210</v>
      </c>
      <c r="R6318" s="345" t="s">
        <v>223</v>
      </c>
      <c r="S6318" s="345" t="s">
        <v>224</v>
      </c>
    </row>
    <row r="6319" spans="1:19" x14ac:dyDescent="0.25">
      <c r="A6319" s="311"/>
      <c r="B6319" s="312"/>
      <c r="C6319" s="312"/>
      <c r="D6319" s="312"/>
      <c r="E6319" s="312"/>
      <c r="F6319" s="312"/>
      <c r="G6319" s="328"/>
      <c r="H6319" s="453"/>
      <c r="I6319" s="334"/>
      <c r="J6319" s="314"/>
      <c r="K6319" s="454"/>
      <c r="M6319" s="349" t="str">
        <f>N6319&amp;AS[[#This Row],[Insurer Code]]&amp;"; "&amp;O6319&amp;AS[[#This Row],[Reporting Year]]&amp;"; "&amp;P6319&amp;AS[[#This Row],[Insurance Category Code]]&amp;"; "&amp;Q6319&amp;AS[[#This Row],[Large Provider Entity Code]]&amp;"; "&amp;R6319&amp;AS[[#This Row],[Age Band Code]]&amp;"; "&amp;S6319&amp;AS[[#This Row],[Sex Code]]</f>
        <v xml:space="preserve">Insurer Code ; Reporting Year ; Insurance Category Code ; Large Provider Entity Code ; Age Band Code ; Sex Code </v>
      </c>
      <c r="N6319" s="345" t="s">
        <v>207</v>
      </c>
      <c r="O6319" s="345" t="s">
        <v>208</v>
      </c>
      <c r="P6319" s="345" t="s">
        <v>209</v>
      </c>
      <c r="Q6319" s="345" t="s">
        <v>210</v>
      </c>
      <c r="R6319" s="345" t="s">
        <v>223</v>
      </c>
      <c r="S6319" s="345" t="s">
        <v>224</v>
      </c>
    </row>
    <row r="6320" spans="1:19" x14ac:dyDescent="0.25">
      <c r="A6320" s="311"/>
      <c r="B6320" s="312"/>
      <c r="C6320" s="312"/>
      <c r="D6320" s="312"/>
      <c r="E6320" s="312"/>
      <c r="F6320" s="312"/>
      <c r="G6320" s="328"/>
      <c r="H6320" s="453"/>
      <c r="I6320" s="334"/>
      <c r="J6320" s="314"/>
      <c r="K6320" s="454"/>
      <c r="M6320" s="349" t="str">
        <f>N6320&amp;AS[[#This Row],[Insurer Code]]&amp;"; "&amp;O6320&amp;AS[[#This Row],[Reporting Year]]&amp;"; "&amp;P6320&amp;AS[[#This Row],[Insurance Category Code]]&amp;"; "&amp;Q6320&amp;AS[[#This Row],[Large Provider Entity Code]]&amp;"; "&amp;R6320&amp;AS[[#This Row],[Age Band Code]]&amp;"; "&amp;S6320&amp;AS[[#This Row],[Sex Code]]</f>
        <v xml:space="preserve">Insurer Code ; Reporting Year ; Insurance Category Code ; Large Provider Entity Code ; Age Band Code ; Sex Code </v>
      </c>
      <c r="N6320" s="345" t="s">
        <v>207</v>
      </c>
      <c r="O6320" s="345" t="s">
        <v>208</v>
      </c>
      <c r="P6320" s="345" t="s">
        <v>209</v>
      </c>
      <c r="Q6320" s="345" t="s">
        <v>210</v>
      </c>
      <c r="R6320" s="345" t="s">
        <v>223</v>
      </c>
      <c r="S6320" s="345" t="s">
        <v>224</v>
      </c>
    </row>
    <row r="6321" spans="1:19" x14ac:dyDescent="0.25">
      <c r="A6321" s="311"/>
      <c r="B6321" s="312"/>
      <c r="C6321" s="312"/>
      <c r="D6321" s="312"/>
      <c r="E6321" s="312"/>
      <c r="F6321" s="312"/>
      <c r="G6321" s="328"/>
      <c r="H6321" s="453"/>
      <c r="I6321" s="334"/>
      <c r="J6321" s="314"/>
      <c r="K6321" s="454"/>
      <c r="M6321" s="349" t="str">
        <f>N6321&amp;AS[[#This Row],[Insurer Code]]&amp;"; "&amp;O6321&amp;AS[[#This Row],[Reporting Year]]&amp;"; "&amp;P6321&amp;AS[[#This Row],[Insurance Category Code]]&amp;"; "&amp;Q6321&amp;AS[[#This Row],[Large Provider Entity Code]]&amp;"; "&amp;R6321&amp;AS[[#This Row],[Age Band Code]]&amp;"; "&amp;S6321&amp;AS[[#This Row],[Sex Code]]</f>
        <v xml:space="preserve">Insurer Code ; Reporting Year ; Insurance Category Code ; Large Provider Entity Code ; Age Band Code ; Sex Code </v>
      </c>
      <c r="N6321" s="345" t="s">
        <v>207</v>
      </c>
      <c r="O6321" s="345" t="s">
        <v>208</v>
      </c>
      <c r="P6321" s="345" t="s">
        <v>209</v>
      </c>
      <c r="Q6321" s="345" t="s">
        <v>210</v>
      </c>
      <c r="R6321" s="345" t="s">
        <v>223</v>
      </c>
      <c r="S6321" s="345" t="s">
        <v>224</v>
      </c>
    </row>
    <row r="6322" spans="1:19" x14ac:dyDescent="0.25">
      <c r="A6322" s="311"/>
      <c r="B6322" s="312"/>
      <c r="C6322" s="312"/>
      <c r="D6322" s="312"/>
      <c r="E6322" s="312"/>
      <c r="F6322" s="312"/>
      <c r="G6322" s="328"/>
      <c r="H6322" s="453"/>
      <c r="I6322" s="334"/>
      <c r="J6322" s="314"/>
      <c r="K6322" s="454"/>
      <c r="M6322" s="349" t="str">
        <f>N6322&amp;AS[[#This Row],[Insurer Code]]&amp;"; "&amp;O6322&amp;AS[[#This Row],[Reporting Year]]&amp;"; "&amp;P6322&amp;AS[[#This Row],[Insurance Category Code]]&amp;"; "&amp;Q6322&amp;AS[[#This Row],[Large Provider Entity Code]]&amp;"; "&amp;R6322&amp;AS[[#This Row],[Age Band Code]]&amp;"; "&amp;S6322&amp;AS[[#This Row],[Sex Code]]</f>
        <v xml:space="preserve">Insurer Code ; Reporting Year ; Insurance Category Code ; Large Provider Entity Code ; Age Band Code ; Sex Code </v>
      </c>
      <c r="N6322" s="345" t="s">
        <v>207</v>
      </c>
      <c r="O6322" s="345" t="s">
        <v>208</v>
      </c>
      <c r="P6322" s="345" t="s">
        <v>209</v>
      </c>
      <c r="Q6322" s="345" t="s">
        <v>210</v>
      </c>
      <c r="R6322" s="345" t="s">
        <v>223</v>
      </c>
      <c r="S6322" s="345" t="s">
        <v>224</v>
      </c>
    </row>
    <row r="6323" spans="1:19" x14ac:dyDescent="0.25">
      <c r="A6323" s="311"/>
      <c r="B6323" s="312"/>
      <c r="C6323" s="312"/>
      <c r="D6323" s="312"/>
      <c r="E6323" s="312"/>
      <c r="F6323" s="312"/>
      <c r="G6323" s="328"/>
      <c r="H6323" s="453"/>
      <c r="I6323" s="334"/>
      <c r="J6323" s="314"/>
      <c r="K6323" s="454"/>
      <c r="M6323" s="349" t="str">
        <f>N6323&amp;AS[[#This Row],[Insurer Code]]&amp;"; "&amp;O6323&amp;AS[[#This Row],[Reporting Year]]&amp;"; "&amp;P6323&amp;AS[[#This Row],[Insurance Category Code]]&amp;"; "&amp;Q6323&amp;AS[[#This Row],[Large Provider Entity Code]]&amp;"; "&amp;R6323&amp;AS[[#This Row],[Age Band Code]]&amp;"; "&amp;S6323&amp;AS[[#This Row],[Sex Code]]</f>
        <v xml:space="preserve">Insurer Code ; Reporting Year ; Insurance Category Code ; Large Provider Entity Code ; Age Band Code ; Sex Code </v>
      </c>
      <c r="N6323" s="345" t="s">
        <v>207</v>
      </c>
      <c r="O6323" s="345" t="s">
        <v>208</v>
      </c>
      <c r="P6323" s="345" t="s">
        <v>209</v>
      </c>
      <c r="Q6323" s="345" t="s">
        <v>210</v>
      </c>
      <c r="R6323" s="345" t="s">
        <v>223</v>
      </c>
      <c r="S6323" s="345" t="s">
        <v>224</v>
      </c>
    </row>
    <row r="6324" spans="1:19" x14ac:dyDescent="0.25">
      <c r="A6324" s="311"/>
      <c r="B6324" s="312"/>
      <c r="C6324" s="312"/>
      <c r="D6324" s="312"/>
      <c r="E6324" s="312"/>
      <c r="F6324" s="312"/>
      <c r="G6324" s="328"/>
      <c r="H6324" s="453"/>
      <c r="I6324" s="334"/>
      <c r="J6324" s="314"/>
      <c r="K6324" s="454"/>
      <c r="M6324" s="349" t="str">
        <f>N6324&amp;AS[[#This Row],[Insurer Code]]&amp;"; "&amp;O6324&amp;AS[[#This Row],[Reporting Year]]&amp;"; "&amp;P6324&amp;AS[[#This Row],[Insurance Category Code]]&amp;"; "&amp;Q6324&amp;AS[[#This Row],[Large Provider Entity Code]]&amp;"; "&amp;R6324&amp;AS[[#This Row],[Age Band Code]]&amp;"; "&amp;S6324&amp;AS[[#This Row],[Sex Code]]</f>
        <v xml:space="preserve">Insurer Code ; Reporting Year ; Insurance Category Code ; Large Provider Entity Code ; Age Band Code ; Sex Code </v>
      </c>
      <c r="N6324" s="345" t="s">
        <v>207</v>
      </c>
      <c r="O6324" s="345" t="s">
        <v>208</v>
      </c>
      <c r="P6324" s="345" t="s">
        <v>209</v>
      </c>
      <c r="Q6324" s="345" t="s">
        <v>210</v>
      </c>
      <c r="R6324" s="345" t="s">
        <v>223</v>
      </c>
      <c r="S6324" s="345" t="s">
        <v>224</v>
      </c>
    </row>
    <row r="6325" spans="1:19" x14ac:dyDescent="0.25">
      <c r="A6325" s="311"/>
      <c r="B6325" s="312"/>
      <c r="C6325" s="312"/>
      <c r="D6325" s="312"/>
      <c r="E6325" s="312"/>
      <c r="F6325" s="312"/>
      <c r="G6325" s="328"/>
      <c r="H6325" s="453"/>
      <c r="I6325" s="334"/>
      <c r="J6325" s="314"/>
      <c r="K6325" s="454"/>
      <c r="M6325" s="349" t="str">
        <f>N6325&amp;AS[[#This Row],[Insurer Code]]&amp;"; "&amp;O6325&amp;AS[[#This Row],[Reporting Year]]&amp;"; "&amp;P6325&amp;AS[[#This Row],[Insurance Category Code]]&amp;"; "&amp;Q6325&amp;AS[[#This Row],[Large Provider Entity Code]]&amp;"; "&amp;R6325&amp;AS[[#This Row],[Age Band Code]]&amp;"; "&amp;S6325&amp;AS[[#This Row],[Sex Code]]</f>
        <v xml:space="preserve">Insurer Code ; Reporting Year ; Insurance Category Code ; Large Provider Entity Code ; Age Band Code ; Sex Code </v>
      </c>
      <c r="N6325" s="345" t="s">
        <v>207</v>
      </c>
      <c r="O6325" s="345" t="s">
        <v>208</v>
      </c>
      <c r="P6325" s="345" t="s">
        <v>209</v>
      </c>
      <c r="Q6325" s="345" t="s">
        <v>210</v>
      </c>
      <c r="R6325" s="345" t="s">
        <v>223</v>
      </c>
      <c r="S6325" s="345" t="s">
        <v>224</v>
      </c>
    </row>
    <row r="6326" spans="1:19" x14ac:dyDescent="0.25">
      <c r="A6326" s="311"/>
      <c r="B6326" s="312"/>
      <c r="C6326" s="312"/>
      <c r="D6326" s="312"/>
      <c r="E6326" s="312"/>
      <c r="F6326" s="312"/>
      <c r="G6326" s="328"/>
      <c r="H6326" s="453"/>
      <c r="I6326" s="334"/>
      <c r="J6326" s="314"/>
      <c r="K6326" s="454"/>
      <c r="M6326" s="349" t="str">
        <f>N6326&amp;AS[[#This Row],[Insurer Code]]&amp;"; "&amp;O6326&amp;AS[[#This Row],[Reporting Year]]&amp;"; "&amp;P6326&amp;AS[[#This Row],[Insurance Category Code]]&amp;"; "&amp;Q6326&amp;AS[[#This Row],[Large Provider Entity Code]]&amp;"; "&amp;R6326&amp;AS[[#This Row],[Age Band Code]]&amp;"; "&amp;S6326&amp;AS[[#This Row],[Sex Code]]</f>
        <v xml:space="preserve">Insurer Code ; Reporting Year ; Insurance Category Code ; Large Provider Entity Code ; Age Band Code ; Sex Code </v>
      </c>
      <c r="N6326" s="345" t="s">
        <v>207</v>
      </c>
      <c r="O6326" s="345" t="s">
        <v>208</v>
      </c>
      <c r="P6326" s="345" t="s">
        <v>209</v>
      </c>
      <c r="Q6326" s="345" t="s">
        <v>210</v>
      </c>
      <c r="R6326" s="345" t="s">
        <v>223</v>
      </c>
      <c r="S6326" s="345" t="s">
        <v>224</v>
      </c>
    </row>
    <row r="6327" spans="1:19" x14ac:dyDescent="0.25">
      <c r="A6327" s="311"/>
      <c r="B6327" s="312"/>
      <c r="C6327" s="312"/>
      <c r="D6327" s="312"/>
      <c r="E6327" s="312"/>
      <c r="F6327" s="312"/>
      <c r="G6327" s="328"/>
      <c r="H6327" s="453"/>
      <c r="I6327" s="334"/>
      <c r="J6327" s="314"/>
      <c r="K6327" s="454"/>
      <c r="M6327" s="349" t="str">
        <f>N6327&amp;AS[[#This Row],[Insurer Code]]&amp;"; "&amp;O6327&amp;AS[[#This Row],[Reporting Year]]&amp;"; "&amp;P6327&amp;AS[[#This Row],[Insurance Category Code]]&amp;"; "&amp;Q6327&amp;AS[[#This Row],[Large Provider Entity Code]]&amp;"; "&amp;R6327&amp;AS[[#This Row],[Age Band Code]]&amp;"; "&amp;S6327&amp;AS[[#This Row],[Sex Code]]</f>
        <v xml:space="preserve">Insurer Code ; Reporting Year ; Insurance Category Code ; Large Provider Entity Code ; Age Band Code ; Sex Code </v>
      </c>
      <c r="N6327" s="345" t="s">
        <v>207</v>
      </c>
      <c r="O6327" s="345" t="s">
        <v>208</v>
      </c>
      <c r="P6327" s="345" t="s">
        <v>209</v>
      </c>
      <c r="Q6327" s="345" t="s">
        <v>210</v>
      </c>
      <c r="R6327" s="345" t="s">
        <v>223</v>
      </c>
      <c r="S6327" s="345" t="s">
        <v>224</v>
      </c>
    </row>
    <row r="6328" spans="1:19" x14ac:dyDescent="0.25">
      <c r="A6328" s="311"/>
      <c r="B6328" s="312"/>
      <c r="C6328" s="312"/>
      <c r="D6328" s="312"/>
      <c r="E6328" s="312"/>
      <c r="F6328" s="312"/>
      <c r="G6328" s="328"/>
      <c r="H6328" s="453"/>
      <c r="I6328" s="334"/>
      <c r="J6328" s="314"/>
      <c r="K6328" s="454"/>
      <c r="M6328" s="349" t="str">
        <f>N6328&amp;AS[[#This Row],[Insurer Code]]&amp;"; "&amp;O6328&amp;AS[[#This Row],[Reporting Year]]&amp;"; "&amp;P6328&amp;AS[[#This Row],[Insurance Category Code]]&amp;"; "&amp;Q6328&amp;AS[[#This Row],[Large Provider Entity Code]]&amp;"; "&amp;R6328&amp;AS[[#This Row],[Age Band Code]]&amp;"; "&amp;S6328&amp;AS[[#This Row],[Sex Code]]</f>
        <v xml:space="preserve">Insurer Code ; Reporting Year ; Insurance Category Code ; Large Provider Entity Code ; Age Band Code ; Sex Code </v>
      </c>
      <c r="N6328" s="345" t="s">
        <v>207</v>
      </c>
      <c r="O6328" s="345" t="s">
        <v>208</v>
      </c>
      <c r="P6328" s="345" t="s">
        <v>209</v>
      </c>
      <c r="Q6328" s="345" t="s">
        <v>210</v>
      </c>
      <c r="R6328" s="345" t="s">
        <v>223</v>
      </c>
      <c r="S6328" s="345" t="s">
        <v>224</v>
      </c>
    </row>
    <row r="6329" spans="1:19" x14ac:dyDescent="0.25">
      <c r="A6329" s="311"/>
      <c r="B6329" s="312"/>
      <c r="C6329" s="312"/>
      <c r="D6329" s="312"/>
      <c r="E6329" s="312"/>
      <c r="F6329" s="312"/>
      <c r="G6329" s="328"/>
      <c r="H6329" s="453"/>
      <c r="I6329" s="334"/>
      <c r="J6329" s="314"/>
      <c r="K6329" s="454"/>
      <c r="M6329" s="349" t="str">
        <f>N6329&amp;AS[[#This Row],[Insurer Code]]&amp;"; "&amp;O6329&amp;AS[[#This Row],[Reporting Year]]&amp;"; "&amp;P6329&amp;AS[[#This Row],[Insurance Category Code]]&amp;"; "&amp;Q6329&amp;AS[[#This Row],[Large Provider Entity Code]]&amp;"; "&amp;R6329&amp;AS[[#This Row],[Age Band Code]]&amp;"; "&amp;S6329&amp;AS[[#This Row],[Sex Code]]</f>
        <v xml:space="preserve">Insurer Code ; Reporting Year ; Insurance Category Code ; Large Provider Entity Code ; Age Band Code ; Sex Code </v>
      </c>
      <c r="N6329" s="345" t="s">
        <v>207</v>
      </c>
      <c r="O6329" s="345" t="s">
        <v>208</v>
      </c>
      <c r="P6329" s="345" t="s">
        <v>209</v>
      </c>
      <c r="Q6329" s="345" t="s">
        <v>210</v>
      </c>
      <c r="R6329" s="345" t="s">
        <v>223</v>
      </c>
      <c r="S6329" s="345" t="s">
        <v>224</v>
      </c>
    </row>
    <row r="6330" spans="1:19" x14ac:dyDescent="0.25">
      <c r="A6330" s="311"/>
      <c r="B6330" s="312"/>
      <c r="C6330" s="312"/>
      <c r="D6330" s="312"/>
      <c r="E6330" s="312"/>
      <c r="F6330" s="312"/>
      <c r="G6330" s="328"/>
      <c r="H6330" s="453"/>
      <c r="I6330" s="334"/>
      <c r="J6330" s="314"/>
      <c r="K6330" s="454"/>
      <c r="M6330" s="349" t="str">
        <f>N6330&amp;AS[[#This Row],[Insurer Code]]&amp;"; "&amp;O6330&amp;AS[[#This Row],[Reporting Year]]&amp;"; "&amp;P6330&amp;AS[[#This Row],[Insurance Category Code]]&amp;"; "&amp;Q6330&amp;AS[[#This Row],[Large Provider Entity Code]]&amp;"; "&amp;R6330&amp;AS[[#This Row],[Age Band Code]]&amp;"; "&amp;S6330&amp;AS[[#This Row],[Sex Code]]</f>
        <v xml:space="preserve">Insurer Code ; Reporting Year ; Insurance Category Code ; Large Provider Entity Code ; Age Band Code ; Sex Code </v>
      </c>
      <c r="N6330" s="345" t="s">
        <v>207</v>
      </c>
      <c r="O6330" s="345" t="s">
        <v>208</v>
      </c>
      <c r="P6330" s="345" t="s">
        <v>209</v>
      </c>
      <c r="Q6330" s="345" t="s">
        <v>210</v>
      </c>
      <c r="R6330" s="345" t="s">
        <v>223</v>
      </c>
      <c r="S6330" s="345" t="s">
        <v>224</v>
      </c>
    </row>
    <row r="6331" spans="1:19" x14ac:dyDescent="0.25">
      <c r="A6331" s="311"/>
      <c r="B6331" s="312"/>
      <c r="C6331" s="312"/>
      <c r="D6331" s="312"/>
      <c r="E6331" s="312"/>
      <c r="F6331" s="312"/>
      <c r="G6331" s="328"/>
      <c r="H6331" s="453"/>
      <c r="I6331" s="334"/>
      <c r="J6331" s="314"/>
      <c r="K6331" s="454"/>
      <c r="M6331" s="349" t="str">
        <f>N6331&amp;AS[[#This Row],[Insurer Code]]&amp;"; "&amp;O6331&amp;AS[[#This Row],[Reporting Year]]&amp;"; "&amp;P6331&amp;AS[[#This Row],[Insurance Category Code]]&amp;"; "&amp;Q6331&amp;AS[[#This Row],[Large Provider Entity Code]]&amp;"; "&amp;R6331&amp;AS[[#This Row],[Age Band Code]]&amp;"; "&amp;S6331&amp;AS[[#This Row],[Sex Code]]</f>
        <v xml:space="preserve">Insurer Code ; Reporting Year ; Insurance Category Code ; Large Provider Entity Code ; Age Band Code ; Sex Code </v>
      </c>
      <c r="N6331" s="345" t="s">
        <v>207</v>
      </c>
      <c r="O6331" s="345" t="s">
        <v>208</v>
      </c>
      <c r="P6331" s="345" t="s">
        <v>209</v>
      </c>
      <c r="Q6331" s="345" t="s">
        <v>210</v>
      </c>
      <c r="R6331" s="345" t="s">
        <v>223</v>
      </c>
      <c r="S6331" s="345" t="s">
        <v>224</v>
      </c>
    </row>
    <row r="6332" spans="1:19" x14ac:dyDescent="0.25">
      <c r="A6332" s="311"/>
      <c r="B6332" s="312"/>
      <c r="C6332" s="312"/>
      <c r="D6332" s="312"/>
      <c r="E6332" s="312"/>
      <c r="F6332" s="312"/>
      <c r="G6332" s="328"/>
      <c r="H6332" s="453"/>
      <c r="I6332" s="334"/>
      <c r="J6332" s="314"/>
      <c r="K6332" s="454"/>
      <c r="M6332" s="349" t="str">
        <f>N6332&amp;AS[[#This Row],[Insurer Code]]&amp;"; "&amp;O6332&amp;AS[[#This Row],[Reporting Year]]&amp;"; "&amp;P6332&amp;AS[[#This Row],[Insurance Category Code]]&amp;"; "&amp;Q6332&amp;AS[[#This Row],[Large Provider Entity Code]]&amp;"; "&amp;R6332&amp;AS[[#This Row],[Age Band Code]]&amp;"; "&amp;S6332&amp;AS[[#This Row],[Sex Code]]</f>
        <v xml:space="preserve">Insurer Code ; Reporting Year ; Insurance Category Code ; Large Provider Entity Code ; Age Band Code ; Sex Code </v>
      </c>
      <c r="N6332" s="345" t="s">
        <v>207</v>
      </c>
      <c r="O6332" s="345" t="s">
        <v>208</v>
      </c>
      <c r="P6332" s="345" t="s">
        <v>209</v>
      </c>
      <c r="Q6332" s="345" t="s">
        <v>210</v>
      </c>
      <c r="R6332" s="345" t="s">
        <v>223</v>
      </c>
      <c r="S6332" s="345" t="s">
        <v>224</v>
      </c>
    </row>
    <row r="6333" spans="1:19" x14ac:dyDescent="0.25">
      <c r="A6333" s="311"/>
      <c r="B6333" s="312"/>
      <c r="C6333" s="312"/>
      <c r="D6333" s="312"/>
      <c r="E6333" s="312"/>
      <c r="F6333" s="312"/>
      <c r="G6333" s="328"/>
      <c r="H6333" s="453"/>
      <c r="I6333" s="334"/>
      <c r="J6333" s="314"/>
      <c r="K6333" s="454"/>
      <c r="M6333" s="349" t="str">
        <f>N6333&amp;AS[[#This Row],[Insurer Code]]&amp;"; "&amp;O6333&amp;AS[[#This Row],[Reporting Year]]&amp;"; "&amp;P6333&amp;AS[[#This Row],[Insurance Category Code]]&amp;"; "&amp;Q6333&amp;AS[[#This Row],[Large Provider Entity Code]]&amp;"; "&amp;R6333&amp;AS[[#This Row],[Age Band Code]]&amp;"; "&amp;S6333&amp;AS[[#This Row],[Sex Code]]</f>
        <v xml:space="preserve">Insurer Code ; Reporting Year ; Insurance Category Code ; Large Provider Entity Code ; Age Band Code ; Sex Code </v>
      </c>
      <c r="N6333" s="345" t="s">
        <v>207</v>
      </c>
      <c r="O6333" s="345" t="s">
        <v>208</v>
      </c>
      <c r="P6333" s="345" t="s">
        <v>209</v>
      </c>
      <c r="Q6333" s="345" t="s">
        <v>210</v>
      </c>
      <c r="R6333" s="345" t="s">
        <v>223</v>
      </c>
      <c r="S6333" s="345" t="s">
        <v>224</v>
      </c>
    </row>
    <row r="6334" spans="1:19" x14ac:dyDescent="0.25">
      <c r="A6334" s="311"/>
      <c r="B6334" s="312"/>
      <c r="C6334" s="312"/>
      <c r="D6334" s="312"/>
      <c r="E6334" s="312"/>
      <c r="F6334" s="312"/>
      <c r="G6334" s="328"/>
      <c r="H6334" s="453"/>
      <c r="I6334" s="334"/>
      <c r="J6334" s="314"/>
      <c r="K6334" s="454"/>
      <c r="M6334" s="349" t="str">
        <f>N6334&amp;AS[[#This Row],[Insurer Code]]&amp;"; "&amp;O6334&amp;AS[[#This Row],[Reporting Year]]&amp;"; "&amp;P6334&amp;AS[[#This Row],[Insurance Category Code]]&amp;"; "&amp;Q6334&amp;AS[[#This Row],[Large Provider Entity Code]]&amp;"; "&amp;R6334&amp;AS[[#This Row],[Age Band Code]]&amp;"; "&amp;S6334&amp;AS[[#This Row],[Sex Code]]</f>
        <v xml:space="preserve">Insurer Code ; Reporting Year ; Insurance Category Code ; Large Provider Entity Code ; Age Band Code ; Sex Code </v>
      </c>
      <c r="N6334" s="345" t="s">
        <v>207</v>
      </c>
      <c r="O6334" s="345" t="s">
        <v>208</v>
      </c>
      <c r="P6334" s="345" t="s">
        <v>209</v>
      </c>
      <c r="Q6334" s="345" t="s">
        <v>210</v>
      </c>
      <c r="R6334" s="345" t="s">
        <v>223</v>
      </c>
      <c r="S6334" s="345" t="s">
        <v>224</v>
      </c>
    </row>
    <row r="6335" spans="1:19" x14ac:dyDescent="0.25">
      <c r="A6335" s="311"/>
      <c r="B6335" s="312"/>
      <c r="C6335" s="312"/>
      <c r="D6335" s="312"/>
      <c r="E6335" s="312"/>
      <c r="F6335" s="312"/>
      <c r="G6335" s="328"/>
      <c r="H6335" s="453"/>
      <c r="I6335" s="334"/>
      <c r="J6335" s="314"/>
      <c r="K6335" s="454"/>
      <c r="M6335" s="349" t="str">
        <f>N6335&amp;AS[[#This Row],[Insurer Code]]&amp;"; "&amp;O6335&amp;AS[[#This Row],[Reporting Year]]&amp;"; "&amp;P6335&amp;AS[[#This Row],[Insurance Category Code]]&amp;"; "&amp;Q6335&amp;AS[[#This Row],[Large Provider Entity Code]]&amp;"; "&amp;R6335&amp;AS[[#This Row],[Age Band Code]]&amp;"; "&amp;S6335&amp;AS[[#This Row],[Sex Code]]</f>
        <v xml:space="preserve">Insurer Code ; Reporting Year ; Insurance Category Code ; Large Provider Entity Code ; Age Band Code ; Sex Code </v>
      </c>
      <c r="N6335" s="345" t="s">
        <v>207</v>
      </c>
      <c r="O6335" s="345" t="s">
        <v>208</v>
      </c>
      <c r="P6335" s="345" t="s">
        <v>209</v>
      </c>
      <c r="Q6335" s="345" t="s">
        <v>210</v>
      </c>
      <c r="R6335" s="345" t="s">
        <v>223</v>
      </c>
      <c r="S6335" s="345" t="s">
        <v>224</v>
      </c>
    </row>
    <row r="6336" spans="1:19" x14ac:dyDescent="0.25">
      <c r="A6336" s="311"/>
      <c r="B6336" s="312"/>
      <c r="C6336" s="312"/>
      <c r="D6336" s="312"/>
      <c r="E6336" s="312"/>
      <c r="F6336" s="312"/>
      <c r="G6336" s="328"/>
      <c r="H6336" s="453"/>
      <c r="I6336" s="334"/>
      <c r="J6336" s="314"/>
      <c r="K6336" s="454"/>
      <c r="M6336" s="349" t="str">
        <f>N6336&amp;AS[[#This Row],[Insurer Code]]&amp;"; "&amp;O6336&amp;AS[[#This Row],[Reporting Year]]&amp;"; "&amp;P6336&amp;AS[[#This Row],[Insurance Category Code]]&amp;"; "&amp;Q6336&amp;AS[[#This Row],[Large Provider Entity Code]]&amp;"; "&amp;R6336&amp;AS[[#This Row],[Age Band Code]]&amp;"; "&amp;S6336&amp;AS[[#This Row],[Sex Code]]</f>
        <v xml:space="preserve">Insurer Code ; Reporting Year ; Insurance Category Code ; Large Provider Entity Code ; Age Band Code ; Sex Code </v>
      </c>
      <c r="N6336" s="345" t="s">
        <v>207</v>
      </c>
      <c r="O6336" s="345" t="s">
        <v>208</v>
      </c>
      <c r="P6336" s="345" t="s">
        <v>209</v>
      </c>
      <c r="Q6336" s="345" t="s">
        <v>210</v>
      </c>
      <c r="R6336" s="345" t="s">
        <v>223</v>
      </c>
      <c r="S6336" s="345" t="s">
        <v>224</v>
      </c>
    </row>
    <row r="6337" spans="1:19" x14ac:dyDescent="0.25">
      <c r="A6337" s="311"/>
      <c r="B6337" s="312"/>
      <c r="C6337" s="312"/>
      <c r="D6337" s="312"/>
      <c r="E6337" s="312"/>
      <c r="F6337" s="312"/>
      <c r="G6337" s="328"/>
      <c r="H6337" s="453"/>
      <c r="I6337" s="334"/>
      <c r="J6337" s="314"/>
      <c r="K6337" s="454"/>
      <c r="M6337" s="349" t="str">
        <f>N6337&amp;AS[[#This Row],[Insurer Code]]&amp;"; "&amp;O6337&amp;AS[[#This Row],[Reporting Year]]&amp;"; "&amp;P6337&amp;AS[[#This Row],[Insurance Category Code]]&amp;"; "&amp;Q6337&amp;AS[[#This Row],[Large Provider Entity Code]]&amp;"; "&amp;R6337&amp;AS[[#This Row],[Age Band Code]]&amp;"; "&amp;S6337&amp;AS[[#This Row],[Sex Code]]</f>
        <v xml:space="preserve">Insurer Code ; Reporting Year ; Insurance Category Code ; Large Provider Entity Code ; Age Band Code ; Sex Code </v>
      </c>
      <c r="N6337" s="345" t="s">
        <v>207</v>
      </c>
      <c r="O6337" s="345" t="s">
        <v>208</v>
      </c>
      <c r="P6337" s="345" t="s">
        <v>209</v>
      </c>
      <c r="Q6337" s="345" t="s">
        <v>210</v>
      </c>
      <c r="R6337" s="345" t="s">
        <v>223</v>
      </c>
      <c r="S6337" s="345" t="s">
        <v>224</v>
      </c>
    </row>
    <row r="6338" spans="1:19" x14ac:dyDescent="0.25">
      <c r="A6338" s="311"/>
      <c r="B6338" s="312"/>
      <c r="C6338" s="312"/>
      <c r="D6338" s="312"/>
      <c r="E6338" s="312"/>
      <c r="F6338" s="312"/>
      <c r="G6338" s="328"/>
      <c r="H6338" s="453"/>
      <c r="I6338" s="334"/>
      <c r="J6338" s="314"/>
      <c r="K6338" s="454"/>
      <c r="M6338" s="349" t="str">
        <f>N6338&amp;AS[[#This Row],[Insurer Code]]&amp;"; "&amp;O6338&amp;AS[[#This Row],[Reporting Year]]&amp;"; "&amp;P6338&amp;AS[[#This Row],[Insurance Category Code]]&amp;"; "&amp;Q6338&amp;AS[[#This Row],[Large Provider Entity Code]]&amp;"; "&amp;R6338&amp;AS[[#This Row],[Age Band Code]]&amp;"; "&amp;S6338&amp;AS[[#This Row],[Sex Code]]</f>
        <v xml:space="preserve">Insurer Code ; Reporting Year ; Insurance Category Code ; Large Provider Entity Code ; Age Band Code ; Sex Code </v>
      </c>
      <c r="N6338" s="345" t="s">
        <v>207</v>
      </c>
      <c r="O6338" s="345" t="s">
        <v>208</v>
      </c>
      <c r="P6338" s="345" t="s">
        <v>209</v>
      </c>
      <c r="Q6338" s="345" t="s">
        <v>210</v>
      </c>
      <c r="R6338" s="345" t="s">
        <v>223</v>
      </c>
      <c r="S6338" s="345" t="s">
        <v>224</v>
      </c>
    </row>
    <row r="6339" spans="1:19" x14ac:dyDescent="0.25">
      <c r="A6339" s="311"/>
      <c r="B6339" s="312"/>
      <c r="C6339" s="312"/>
      <c r="D6339" s="312"/>
      <c r="E6339" s="312"/>
      <c r="F6339" s="312"/>
      <c r="G6339" s="328"/>
      <c r="H6339" s="453"/>
      <c r="I6339" s="334"/>
      <c r="J6339" s="314"/>
      <c r="K6339" s="454"/>
      <c r="M6339" s="349" t="str">
        <f>N6339&amp;AS[[#This Row],[Insurer Code]]&amp;"; "&amp;O6339&amp;AS[[#This Row],[Reporting Year]]&amp;"; "&amp;P6339&amp;AS[[#This Row],[Insurance Category Code]]&amp;"; "&amp;Q6339&amp;AS[[#This Row],[Large Provider Entity Code]]&amp;"; "&amp;R6339&amp;AS[[#This Row],[Age Band Code]]&amp;"; "&amp;S6339&amp;AS[[#This Row],[Sex Code]]</f>
        <v xml:space="preserve">Insurer Code ; Reporting Year ; Insurance Category Code ; Large Provider Entity Code ; Age Band Code ; Sex Code </v>
      </c>
      <c r="N6339" s="345" t="s">
        <v>207</v>
      </c>
      <c r="O6339" s="345" t="s">
        <v>208</v>
      </c>
      <c r="P6339" s="345" t="s">
        <v>209</v>
      </c>
      <c r="Q6339" s="345" t="s">
        <v>210</v>
      </c>
      <c r="R6339" s="345" t="s">
        <v>223</v>
      </c>
      <c r="S6339" s="345" t="s">
        <v>224</v>
      </c>
    </row>
    <row r="6340" spans="1:19" x14ac:dyDescent="0.25">
      <c r="A6340" s="311"/>
      <c r="B6340" s="312"/>
      <c r="C6340" s="312"/>
      <c r="D6340" s="312"/>
      <c r="E6340" s="312"/>
      <c r="F6340" s="312"/>
      <c r="G6340" s="328"/>
      <c r="H6340" s="453"/>
      <c r="I6340" s="334"/>
      <c r="J6340" s="314"/>
      <c r="K6340" s="454"/>
      <c r="M6340" s="349" t="str">
        <f>N6340&amp;AS[[#This Row],[Insurer Code]]&amp;"; "&amp;O6340&amp;AS[[#This Row],[Reporting Year]]&amp;"; "&amp;P6340&amp;AS[[#This Row],[Insurance Category Code]]&amp;"; "&amp;Q6340&amp;AS[[#This Row],[Large Provider Entity Code]]&amp;"; "&amp;R6340&amp;AS[[#This Row],[Age Band Code]]&amp;"; "&amp;S6340&amp;AS[[#This Row],[Sex Code]]</f>
        <v xml:space="preserve">Insurer Code ; Reporting Year ; Insurance Category Code ; Large Provider Entity Code ; Age Band Code ; Sex Code </v>
      </c>
      <c r="N6340" s="345" t="s">
        <v>207</v>
      </c>
      <c r="O6340" s="345" t="s">
        <v>208</v>
      </c>
      <c r="P6340" s="345" t="s">
        <v>209</v>
      </c>
      <c r="Q6340" s="345" t="s">
        <v>210</v>
      </c>
      <c r="R6340" s="345" t="s">
        <v>223</v>
      </c>
      <c r="S6340" s="345" t="s">
        <v>224</v>
      </c>
    </row>
    <row r="6341" spans="1:19" x14ac:dyDescent="0.25">
      <c r="A6341" s="311"/>
      <c r="B6341" s="312"/>
      <c r="C6341" s="312"/>
      <c r="D6341" s="312"/>
      <c r="E6341" s="312"/>
      <c r="F6341" s="312"/>
      <c r="G6341" s="328"/>
      <c r="H6341" s="453"/>
      <c r="I6341" s="334"/>
      <c r="J6341" s="314"/>
      <c r="K6341" s="454"/>
      <c r="M6341" s="349" t="str">
        <f>N6341&amp;AS[[#This Row],[Insurer Code]]&amp;"; "&amp;O6341&amp;AS[[#This Row],[Reporting Year]]&amp;"; "&amp;P6341&amp;AS[[#This Row],[Insurance Category Code]]&amp;"; "&amp;Q6341&amp;AS[[#This Row],[Large Provider Entity Code]]&amp;"; "&amp;R6341&amp;AS[[#This Row],[Age Band Code]]&amp;"; "&amp;S6341&amp;AS[[#This Row],[Sex Code]]</f>
        <v xml:space="preserve">Insurer Code ; Reporting Year ; Insurance Category Code ; Large Provider Entity Code ; Age Band Code ; Sex Code </v>
      </c>
      <c r="N6341" s="345" t="s">
        <v>207</v>
      </c>
      <c r="O6341" s="345" t="s">
        <v>208</v>
      </c>
      <c r="P6341" s="345" t="s">
        <v>209</v>
      </c>
      <c r="Q6341" s="345" t="s">
        <v>210</v>
      </c>
      <c r="R6341" s="345" t="s">
        <v>223</v>
      </c>
      <c r="S6341" s="345" t="s">
        <v>224</v>
      </c>
    </row>
    <row r="6342" spans="1:19" x14ac:dyDescent="0.25">
      <c r="A6342" s="311"/>
      <c r="B6342" s="312"/>
      <c r="C6342" s="312"/>
      <c r="D6342" s="312"/>
      <c r="E6342" s="312"/>
      <c r="F6342" s="312"/>
      <c r="G6342" s="328"/>
      <c r="H6342" s="453"/>
      <c r="I6342" s="334"/>
      <c r="J6342" s="314"/>
      <c r="K6342" s="454"/>
      <c r="M6342" s="349" t="str">
        <f>N6342&amp;AS[[#This Row],[Insurer Code]]&amp;"; "&amp;O6342&amp;AS[[#This Row],[Reporting Year]]&amp;"; "&amp;P6342&amp;AS[[#This Row],[Insurance Category Code]]&amp;"; "&amp;Q6342&amp;AS[[#This Row],[Large Provider Entity Code]]&amp;"; "&amp;R6342&amp;AS[[#This Row],[Age Band Code]]&amp;"; "&amp;S6342&amp;AS[[#This Row],[Sex Code]]</f>
        <v xml:space="preserve">Insurer Code ; Reporting Year ; Insurance Category Code ; Large Provider Entity Code ; Age Band Code ; Sex Code </v>
      </c>
      <c r="N6342" s="345" t="s">
        <v>207</v>
      </c>
      <c r="O6342" s="345" t="s">
        <v>208</v>
      </c>
      <c r="P6342" s="345" t="s">
        <v>209</v>
      </c>
      <c r="Q6342" s="345" t="s">
        <v>210</v>
      </c>
      <c r="R6342" s="345" t="s">
        <v>223</v>
      </c>
      <c r="S6342" s="345" t="s">
        <v>224</v>
      </c>
    </row>
    <row r="6343" spans="1:19" x14ac:dyDescent="0.25">
      <c r="A6343" s="311"/>
      <c r="B6343" s="312"/>
      <c r="C6343" s="312"/>
      <c r="D6343" s="312"/>
      <c r="E6343" s="312"/>
      <c r="F6343" s="312"/>
      <c r="G6343" s="328"/>
      <c r="H6343" s="453"/>
      <c r="I6343" s="334"/>
      <c r="J6343" s="314"/>
      <c r="K6343" s="454"/>
      <c r="M6343" s="349" t="str">
        <f>N6343&amp;AS[[#This Row],[Insurer Code]]&amp;"; "&amp;O6343&amp;AS[[#This Row],[Reporting Year]]&amp;"; "&amp;P6343&amp;AS[[#This Row],[Insurance Category Code]]&amp;"; "&amp;Q6343&amp;AS[[#This Row],[Large Provider Entity Code]]&amp;"; "&amp;R6343&amp;AS[[#This Row],[Age Band Code]]&amp;"; "&amp;S6343&amp;AS[[#This Row],[Sex Code]]</f>
        <v xml:space="preserve">Insurer Code ; Reporting Year ; Insurance Category Code ; Large Provider Entity Code ; Age Band Code ; Sex Code </v>
      </c>
      <c r="N6343" s="345" t="s">
        <v>207</v>
      </c>
      <c r="O6343" s="345" t="s">
        <v>208</v>
      </c>
      <c r="P6343" s="345" t="s">
        <v>209</v>
      </c>
      <c r="Q6343" s="345" t="s">
        <v>210</v>
      </c>
      <c r="R6343" s="345" t="s">
        <v>223</v>
      </c>
      <c r="S6343" s="345" t="s">
        <v>224</v>
      </c>
    </row>
    <row r="6344" spans="1:19" x14ac:dyDescent="0.25">
      <c r="A6344" s="311"/>
      <c r="B6344" s="312"/>
      <c r="C6344" s="312"/>
      <c r="D6344" s="312"/>
      <c r="E6344" s="312"/>
      <c r="F6344" s="312"/>
      <c r="G6344" s="328"/>
      <c r="H6344" s="453"/>
      <c r="I6344" s="334"/>
      <c r="J6344" s="314"/>
      <c r="K6344" s="454"/>
      <c r="M6344" s="349" t="str">
        <f>N6344&amp;AS[[#This Row],[Insurer Code]]&amp;"; "&amp;O6344&amp;AS[[#This Row],[Reporting Year]]&amp;"; "&amp;P6344&amp;AS[[#This Row],[Insurance Category Code]]&amp;"; "&amp;Q6344&amp;AS[[#This Row],[Large Provider Entity Code]]&amp;"; "&amp;R6344&amp;AS[[#This Row],[Age Band Code]]&amp;"; "&amp;S6344&amp;AS[[#This Row],[Sex Code]]</f>
        <v xml:space="preserve">Insurer Code ; Reporting Year ; Insurance Category Code ; Large Provider Entity Code ; Age Band Code ; Sex Code </v>
      </c>
      <c r="N6344" s="345" t="s">
        <v>207</v>
      </c>
      <c r="O6344" s="345" t="s">
        <v>208</v>
      </c>
      <c r="P6344" s="345" t="s">
        <v>209</v>
      </c>
      <c r="Q6344" s="345" t="s">
        <v>210</v>
      </c>
      <c r="R6344" s="345" t="s">
        <v>223</v>
      </c>
      <c r="S6344" s="345" t="s">
        <v>224</v>
      </c>
    </row>
    <row r="6345" spans="1:19" x14ac:dyDescent="0.25">
      <c r="A6345" s="311"/>
      <c r="B6345" s="312"/>
      <c r="C6345" s="312"/>
      <c r="D6345" s="312"/>
      <c r="E6345" s="312"/>
      <c r="F6345" s="312"/>
      <c r="G6345" s="328"/>
      <c r="H6345" s="453"/>
      <c r="I6345" s="334"/>
      <c r="J6345" s="314"/>
      <c r="K6345" s="454"/>
      <c r="M6345" s="349" t="str">
        <f>N6345&amp;AS[[#This Row],[Insurer Code]]&amp;"; "&amp;O6345&amp;AS[[#This Row],[Reporting Year]]&amp;"; "&amp;P6345&amp;AS[[#This Row],[Insurance Category Code]]&amp;"; "&amp;Q6345&amp;AS[[#This Row],[Large Provider Entity Code]]&amp;"; "&amp;R6345&amp;AS[[#This Row],[Age Band Code]]&amp;"; "&amp;S6345&amp;AS[[#This Row],[Sex Code]]</f>
        <v xml:space="preserve">Insurer Code ; Reporting Year ; Insurance Category Code ; Large Provider Entity Code ; Age Band Code ; Sex Code </v>
      </c>
      <c r="N6345" s="345" t="s">
        <v>207</v>
      </c>
      <c r="O6345" s="345" t="s">
        <v>208</v>
      </c>
      <c r="P6345" s="345" t="s">
        <v>209</v>
      </c>
      <c r="Q6345" s="345" t="s">
        <v>210</v>
      </c>
      <c r="R6345" s="345" t="s">
        <v>223</v>
      </c>
      <c r="S6345" s="345" t="s">
        <v>224</v>
      </c>
    </row>
    <row r="6346" spans="1:19" x14ac:dyDescent="0.25">
      <c r="A6346" s="311"/>
      <c r="B6346" s="312"/>
      <c r="C6346" s="312"/>
      <c r="D6346" s="312"/>
      <c r="E6346" s="312"/>
      <c r="F6346" s="312"/>
      <c r="G6346" s="328"/>
      <c r="H6346" s="453"/>
      <c r="I6346" s="334"/>
      <c r="J6346" s="314"/>
      <c r="K6346" s="454"/>
      <c r="M6346" s="349" t="str">
        <f>N6346&amp;AS[[#This Row],[Insurer Code]]&amp;"; "&amp;O6346&amp;AS[[#This Row],[Reporting Year]]&amp;"; "&amp;P6346&amp;AS[[#This Row],[Insurance Category Code]]&amp;"; "&amp;Q6346&amp;AS[[#This Row],[Large Provider Entity Code]]&amp;"; "&amp;R6346&amp;AS[[#This Row],[Age Band Code]]&amp;"; "&amp;S6346&amp;AS[[#This Row],[Sex Code]]</f>
        <v xml:space="preserve">Insurer Code ; Reporting Year ; Insurance Category Code ; Large Provider Entity Code ; Age Band Code ; Sex Code </v>
      </c>
      <c r="N6346" s="345" t="s">
        <v>207</v>
      </c>
      <c r="O6346" s="345" t="s">
        <v>208</v>
      </c>
      <c r="P6346" s="345" t="s">
        <v>209</v>
      </c>
      <c r="Q6346" s="345" t="s">
        <v>210</v>
      </c>
      <c r="R6346" s="345" t="s">
        <v>223</v>
      </c>
      <c r="S6346" s="345" t="s">
        <v>224</v>
      </c>
    </row>
    <row r="6347" spans="1:19" x14ac:dyDescent="0.25">
      <c r="A6347" s="311"/>
      <c r="B6347" s="312"/>
      <c r="C6347" s="312"/>
      <c r="D6347" s="312"/>
      <c r="E6347" s="312"/>
      <c r="F6347" s="312"/>
      <c r="G6347" s="328"/>
      <c r="H6347" s="453"/>
      <c r="I6347" s="334"/>
      <c r="J6347" s="314"/>
      <c r="K6347" s="454"/>
      <c r="M6347" s="349" t="str">
        <f>N6347&amp;AS[[#This Row],[Insurer Code]]&amp;"; "&amp;O6347&amp;AS[[#This Row],[Reporting Year]]&amp;"; "&amp;P6347&amp;AS[[#This Row],[Insurance Category Code]]&amp;"; "&amp;Q6347&amp;AS[[#This Row],[Large Provider Entity Code]]&amp;"; "&amp;R6347&amp;AS[[#This Row],[Age Band Code]]&amp;"; "&amp;S6347&amp;AS[[#This Row],[Sex Code]]</f>
        <v xml:space="preserve">Insurer Code ; Reporting Year ; Insurance Category Code ; Large Provider Entity Code ; Age Band Code ; Sex Code </v>
      </c>
      <c r="N6347" s="345" t="s">
        <v>207</v>
      </c>
      <c r="O6347" s="345" t="s">
        <v>208</v>
      </c>
      <c r="P6347" s="345" t="s">
        <v>209</v>
      </c>
      <c r="Q6347" s="345" t="s">
        <v>210</v>
      </c>
      <c r="R6347" s="345" t="s">
        <v>223</v>
      </c>
      <c r="S6347" s="345" t="s">
        <v>224</v>
      </c>
    </row>
    <row r="6348" spans="1:19" x14ac:dyDescent="0.25">
      <c r="A6348" s="311"/>
      <c r="B6348" s="312"/>
      <c r="C6348" s="312"/>
      <c r="D6348" s="312"/>
      <c r="E6348" s="312"/>
      <c r="F6348" s="312"/>
      <c r="G6348" s="328"/>
      <c r="H6348" s="453"/>
      <c r="I6348" s="334"/>
      <c r="J6348" s="314"/>
      <c r="K6348" s="454"/>
      <c r="M6348" s="349" t="str">
        <f>N6348&amp;AS[[#This Row],[Insurer Code]]&amp;"; "&amp;O6348&amp;AS[[#This Row],[Reporting Year]]&amp;"; "&amp;P6348&amp;AS[[#This Row],[Insurance Category Code]]&amp;"; "&amp;Q6348&amp;AS[[#This Row],[Large Provider Entity Code]]&amp;"; "&amp;R6348&amp;AS[[#This Row],[Age Band Code]]&amp;"; "&amp;S6348&amp;AS[[#This Row],[Sex Code]]</f>
        <v xml:space="preserve">Insurer Code ; Reporting Year ; Insurance Category Code ; Large Provider Entity Code ; Age Band Code ; Sex Code </v>
      </c>
      <c r="N6348" s="345" t="s">
        <v>207</v>
      </c>
      <c r="O6348" s="345" t="s">
        <v>208</v>
      </c>
      <c r="P6348" s="345" t="s">
        <v>209</v>
      </c>
      <c r="Q6348" s="345" t="s">
        <v>210</v>
      </c>
      <c r="R6348" s="345" t="s">
        <v>223</v>
      </c>
      <c r="S6348" s="345" t="s">
        <v>224</v>
      </c>
    </row>
    <row r="6349" spans="1:19" x14ac:dyDescent="0.25">
      <c r="A6349" s="311"/>
      <c r="B6349" s="312"/>
      <c r="C6349" s="312"/>
      <c r="D6349" s="312"/>
      <c r="E6349" s="312"/>
      <c r="F6349" s="312"/>
      <c r="G6349" s="328"/>
      <c r="H6349" s="453"/>
      <c r="I6349" s="334"/>
      <c r="J6349" s="314"/>
      <c r="K6349" s="454"/>
      <c r="M6349" s="349" t="str">
        <f>N6349&amp;AS[[#This Row],[Insurer Code]]&amp;"; "&amp;O6349&amp;AS[[#This Row],[Reporting Year]]&amp;"; "&amp;P6349&amp;AS[[#This Row],[Insurance Category Code]]&amp;"; "&amp;Q6349&amp;AS[[#This Row],[Large Provider Entity Code]]&amp;"; "&amp;R6349&amp;AS[[#This Row],[Age Band Code]]&amp;"; "&amp;S6349&amp;AS[[#This Row],[Sex Code]]</f>
        <v xml:space="preserve">Insurer Code ; Reporting Year ; Insurance Category Code ; Large Provider Entity Code ; Age Band Code ; Sex Code </v>
      </c>
      <c r="N6349" s="345" t="s">
        <v>207</v>
      </c>
      <c r="O6349" s="345" t="s">
        <v>208</v>
      </c>
      <c r="P6349" s="345" t="s">
        <v>209</v>
      </c>
      <c r="Q6349" s="345" t="s">
        <v>210</v>
      </c>
      <c r="R6349" s="345" t="s">
        <v>223</v>
      </c>
      <c r="S6349" s="345" t="s">
        <v>224</v>
      </c>
    </row>
    <row r="6350" spans="1:19" x14ac:dyDescent="0.25">
      <c r="A6350" s="311"/>
      <c r="B6350" s="312"/>
      <c r="C6350" s="312"/>
      <c r="D6350" s="312"/>
      <c r="E6350" s="312"/>
      <c r="F6350" s="312"/>
      <c r="G6350" s="328"/>
      <c r="H6350" s="453"/>
      <c r="I6350" s="334"/>
      <c r="J6350" s="314"/>
      <c r="K6350" s="454"/>
      <c r="M6350" s="349" t="str">
        <f>N6350&amp;AS[[#This Row],[Insurer Code]]&amp;"; "&amp;O6350&amp;AS[[#This Row],[Reporting Year]]&amp;"; "&amp;P6350&amp;AS[[#This Row],[Insurance Category Code]]&amp;"; "&amp;Q6350&amp;AS[[#This Row],[Large Provider Entity Code]]&amp;"; "&amp;R6350&amp;AS[[#This Row],[Age Band Code]]&amp;"; "&amp;S6350&amp;AS[[#This Row],[Sex Code]]</f>
        <v xml:space="preserve">Insurer Code ; Reporting Year ; Insurance Category Code ; Large Provider Entity Code ; Age Band Code ; Sex Code </v>
      </c>
      <c r="N6350" s="345" t="s">
        <v>207</v>
      </c>
      <c r="O6350" s="345" t="s">
        <v>208</v>
      </c>
      <c r="P6350" s="345" t="s">
        <v>209</v>
      </c>
      <c r="Q6350" s="345" t="s">
        <v>210</v>
      </c>
      <c r="R6350" s="345" t="s">
        <v>223</v>
      </c>
      <c r="S6350" s="345" t="s">
        <v>224</v>
      </c>
    </row>
    <row r="6351" spans="1:19" x14ac:dyDescent="0.25">
      <c r="A6351" s="311"/>
      <c r="B6351" s="312"/>
      <c r="C6351" s="312"/>
      <c r="D6351" s="312"/>
      <c r="E6351" s="312"/>
      <c r="F6351" s="312"/>
      <c r="G6351" s="328"/>
      <c r="H6351" s="453"/>
      <c r="I6351" s="334"/>
      <c r="J6351" s="314"/>
      <c r="K6351" s="454"/>
      <c r="M6351" s="349" t="str">
        <f>N6351&amp;AS[[#This Row],[Insurer Code]]&amp;"; "&amp;O6351&amp;AS[[#This Row],[Reporting Year]]&amp;"; "&amp;P6351&amp;AS[[#This Row],[Insurance Category Code]]&amp;"; "&amp;Q6351&amp;AS[[#This Row],[Large Provider Entity Code]]&amp;"; "&amp;R6351&amp;AS[[#This Row],[Age Band Code]]&amp;"; "&amp;S6351&amp;AS[[#This Row],[Sex Code]]</f>
        <v xml:space="preserve">Insurer Code ; Reporting Year ; Insurance Category Code ; Large Provider Entity Code ; Age Band Code ; Sex Code </v>
      </c>
      <c r="N6351" s="345" t="s">
        <v>207</v>
      </c>
      <c r="O6351" s="345" t="s">
        <v>208</v>
      </c>
      <c r="P6351" s="345" t="s">
        <v>209</v>
      </c>
      <c r="Q6351" s="345" t="s">
        <v>210</v>
      </c>
      <c r="R6351" s="345" t="s">
        <v>223</v>
      </c>
      <c r="S6351" s="345" t="s">
        <v>224</v>
      </c>
    </row>
    <row r="6352" spans="1:19" x14ac:dyDescent="0.25">
      <c r="A6352" s="311"/>
      <c r="B6352" s="312"/>
      <c r="C6352" s="312"/>
      <c r="D6352" s="312"/>
      <c r="E6352" s="312"/>
      <c r="F6352" s="312"/>
      <c r="G6352" s="328"/>
      <c r="H6352" s="453"/>
      <c r="I6352" s="334"/>
      <c r="J6352" s="314"/>
      <c r="K6352" s="454"/>
      <c r="M6352" s="349" t="str">
        <f>N6352&amp;AS[[#This Row],[Insurer Code]]&amp;"; "&amp;O6352&amp;AS[[#This Row],[Reporting Year]]&amp;"; "&amp;P6352&amp;AS[[#This Row],[Insurance Category Code]]&amp;"; "&amp;Q6352&amp;AS[[#This Row],[Large Provider Entity Code]]&amp;"; "&amp;R6352&amp;AS[[#This Row],[Age Band Code]]&amp;"; "&amp;S6352&amp;AS[[#This Row],[Sex Code]]</f>
        <v xml:space="preserve">Insurer Code ; Reporting Year ; Insurance Category Code ; Large Provider Entity Code ; Age Band Code ; Sex Code </v>
      </c>
      <c r="N6352" s="345" t="s">
        <v>207</v>
      </c>
      <c r="O6352" s="345" t="s">
        <v>208</v>
      </c>
      <c r="P6352" s="345" t="s">
        <v>209</v>
      </c>
      <c r="Q6352" s="345" t="s">
        <v>210</v>
      </c>
      <c r="R6352" s="345" t="s">
        <v>223</v>
      </c>
      <c r="S6352" s="345" t="s">
        <v>224</v>
      </c>
    </row>
    <row r="6353" spans="1:19" x14ac:dyDescent="0.25">
      <c r="A6353" s="311"/>
      <c r="B6353" s="312"/>
      <c r="C6353" s="312"/>
      <c r="D6353" s="312"/>
      <c r="E6353" s="312"/>
      <c r="F6353" s="312"/>
      <c r="G6353" s="328"/>
      <c r="H6353" s="453"/>
      <c r="I6353" s="334"/>
      <c r="J6353" s="314"/>
      <c r="K6353" s="454"/>
      <c r="M6353" s="349" t="str">
        <f>N6353&amp;AS[[#This Row],[Insurer Code]]&amp;"; "&amp;O6353&amp;AS[[#This Row],[Reporting Year]]&amp;"; "&amp;P6353&amp;AS[[#This Row],[Insurance Category Code]]&amp;"; "&amp;Q6353&amp;AS[[#This Row],[Large Provider Entity Code]]&amp;"; "&amp;R6353&amp;AS[[#This Row],[Age Band Code]]&amp;"; "&amp;S6353&amp;AS[[#This Row],[Sex Code]]</f>
        <v xml:space="preserve">Insurer Code ; Reporting Year ; Insurance Category Code ; Large Provider Entity Code ; Age Band Code ; Sex Code </v>
      </c>
      <c r="N6353" s="345" t="s">
        <v>207</v>
      </c>
      <c r="O6353" s="345" t="s">
        <v>208</v>
      </c>
      <c r="P6353" s="345" t="s">
        <v>209</v>
      </c>
      <c r="Q6353" s="345" t="s">
        <v>210</v>
      </c>
      <c r="R6353" s="345" t="s">
        <v>223</v>
      </c>
      <c r="S6353" s="345" t="s">
        <v>224</v>
      </c>
    </row>
    <row r="6354" spans="1:19" x14ac:dyDescent="0.25">
      <c r="A6354" s="311"/>
      <c r="B6354" s="312"/>
      <c r="C6354" s="312"/>
      <c r="D6354" s="312"/>
      <c r="E6354" s="312"/>
      <c r="F6354" s="312"/>
      <c r="G6354" s="328"/>
      <c r="H6354" s="453"/>
      <c r="I6354" s="334"/>
      <c r="J6354" s="314"/>
      <c r="K6354" s="454"/>
      <c r="M6354" s="349" t="str">
        <f>N6354&amp;AS[[#This Row],[Insurer Code]]&amp;"; "&amp;O6354&amp;AS[[#This Row],[Reporting Year]]&amp;"; "&amp;P6354&amp;AS[[#This Row],[Insurance Category Code]]&amp;"; "&amp;Q6354&amp;AS[[#This Row],[Large Provider Entity Code]]&amp;"; "&amp;R6354&amp;AS[[#This Row],[Age Band Code]]&amp;"; "&amp;S6354&amp;AS[[#This Row],[Sex Code]]</f>
        <v xml:space="preserve">Insurer Code ; Reporting Year ; Insurance Category Code ; Large Provider Entity Code ; Age Band Code ; Sex Code </v>
      </c>
      <c r="N6354" s="345" t="s">
        <v>207</v>
      </c>
      <c r="O6354" s="345" t="s">
        <v>208</v>
      </c>
      <c r="P6354" s="345" t="s">
        <v>209</v>
      </c>
      <c r="Q6354" s="345" t="s">
        <v>210</v>
      </c>
      <c r="R6354" s="345" t="s">
        <v>223</v>
      </c>
      <c r="S6354" s="345" t="s">
        <v>224</v>
      </c>
    </row>
    <row r="6355" spans="1:19" x14ac:dyDescent="0.25">
      <c r="A6355" s="311"/>
      <c r="B6355" s="312"/>
      <c r="C6355" s="312"/>
      <c r="D6355" s="312"/>
      <c r="E6355" s="312"/>
      <c r="F6355" s="312"/>
      <c r="G6355" s="328"/>
      <c r="H6355" s="453"/>
      <c r="I6355" s="334"/>
      <c r="J6355" s="314"/>
      <c r="K6355" s="454"/>
      <c r="M6355" s="349" t="str">
        <f>N6355&amp;AS[[#This Row],[Insurer Code]]&amp;"; "&amp;O6355&amp;AS[[#This Row],[Reporting Year]]&amp;"; "&amp;P6355&amp;AS[[#This Row],[Insurance Category Code]]&amp;"; "&amp;Q6355&amp;AS[[#This Row],[Large Provider Entity Code]]&amp;"; "&amp;R6355&amp;AS[[#This Row],[Age Band Code]]&amp;"; "&amp;S6355&amp;AS[[#This Row],[Sex Code]]</f>
        <v xml:space="preserve">Insurer Code ; Reporting Year ; Insurance Category Code ; Large Provider Entity Code ; Age Band Code ; Sex Code </v>
      </c>
      <c r="N6355" s="345" t="s">
        <v>207</v>
      </c>
      <c r="O6355" s="345" t="s">
        <v>208</v>
      </c>
      <c r="P6355" s="345" t="s">
        <v>209</v>
      </c>
      <c r="Q6355" s="345" t="s">
        <v>210</v>
      </c>
      <c r="R6355" s="345" t="s">
        <v>223</v>
      </c>
      <c r="S6355" s="345" t="s">
        <v>224</v>
      </c>
    </row>
    <row r="6356" spans="1:19" x14ac:dyDescent="0.25">
      <c r="A6356" s="311"/>
      <c r="B6356" s="312"/>
      <c r="C6356" s="312"/>
      <c r="D6356" s="312"/>
      <c r="E6356" s="312"/>
      <c r="F6356" s="312"/>
      <c r="G6356" s="328"/>
      <c r="H6356" s="453"/>
      <c r="I6356" s="334"/>
      <c r="J6356" s="314"/>
      <c r="K6356" s="454"/>
      <c r="M6356" s="349" t="str">
        <f>N6356&amp;AS[[#This Row],[Insurer Code]]&amp;"; "&amp;O6356&amp;AS[[#This Row],[Reporting Year]]&amp;"; "&amp;P6356&amp;AS[[#This Row],[Insurance Category Code]]&amp;"; "&amp;Q6356&amp;AS[[#This Row],[Large Provider Entity Code]]&amp;"; "&amp;R6356&amp;AS[[#This Row],[Age Band Code]]&amp;"; "&amp;S6356&amp;AS[[#This Row],[Sex Code]]</f>
        <v xml:space="preserve">Insurer Code ; Reporting Year ; Insurance Category Code ; Large Provider Entity Code ; Age Band Code ; Sex Code </v>
      </c>
      <c r="N6356" s="345" t="s">
        <v>207</v>
      </c>
      <c r="O6356" s="345" t="s">
        <v>208</v>
      </c>
      <c r="P6356" s="345" t="s">
        <v>209</v>
      </c>
      <c r="Q6356" s="345" t="s">
        <v>210</v>
      </c>
      <c r="R6356" s="345" t="s">
        <v>223</v>
      </c>
      <c r="S6356" s="345" t="s">
        <v>224</v>
      </c>
    </row>
    <row r="6357" spans="1:19" x14ac:dyDescent="0.25">
      <c r="A6357" s="311"/>
      <c r="B6357" s="312"/>
      <c r="C6357" s="312"/>
      <c r="D6357" s="312"/>
      <c r="E6357" s="312"/>
      <c r="F6357" s="312"/>
      <c r="G6357" s="328"/>
      <c r="H6357" s="453"/>
      <c r="I6357" s="334"/>
      <c r="J6357" s="314"/>
      <c r="K6357" s="454"/>
      <c r="M6357" s="349" t="str">
        <f>N6357&amp;AS[[#This Row],[Insurer Code]]&amp;"; "&amp;O6357&amp;AS[[#This Row],[Reporting Year]]&amp;"; "&amp;P6357&amp;AS[[#This Row],[Insurance Category Code]]&amp;"; "&amp;Q6357&amp;AS[[#This Row],[Large Provider Entity Code]]&amp;"; "&amp;R6357&amp;AS[[#This Row],[Age Band Code]]&amp;"; "&amp;S6357&amp;AS[[#This Row],[Sex Code]]</f>
        <v xml:space="preserve">Insurer Code ; Reporting Year ; Insurance Category Code ; Large Provider Entity Code ; Age Band Code ; Sex Code </v>
      </c>
      <c r="N6357" s="345" t="s">
        <v>207</v>
      </c>
      <c r="O6357" s="345" t="s">
        <v>208</v>
      </c>
      <c r="P6357" s="345" t="s">
        <v>209</v>
      </c>
      <c r="Q6357" s="345" t="s">
        <v>210</v>
      </c>
      <c r="R6357" s="345" t="s">
        <v>223</v>
      </c>
      <c r="S6357" s="345" t="s">
        <v>224</v>
      </c>
    </row>
    <row r="6358" spans="1:19" x14ac:dyDescent="0.25">
      <c r="A6358" s="311"/>
      <c r="B6358" s="312"/>
      <c r="C6358" s="312"/>
      <c r="D6358" s="312"/>
      <c r="E6358" s="312"/>
      <c r="F6358" s="312"/>
      <c r="G6358" s="328"/>
      <c r="H6358" s="453"/>
      <c r="I6358" s="334"/>
      <c r="J6358" s="314"/>
      <c r="K6358" s="454"/>
      <c r="M6358" s="349" t="str">
        <f>N6358&amp;AS[[#This Row],[Insurer Code]]&amp;"; "&amp;O6358&amp;AS[[#This Row],[Reporting Year]]&amp;"; "&amp;P6358&amp;AS[[#This Row],[Insurance Category Code]]&amp;"; "&amp;Q6358&amp;AS[[#This Row],[Large Provider Entity Code]]&amp;"; "&amp;R6358&amp;AS[[#This Row],[Age Band Code]]&amp;"; "&amp;S6358&amp;AS[[#This Row],[Sex Code]]</f>
        <v xml:space="preserve">Insurer Code ; Reporting Year ; Insurance Category Code ; Large Provider Entity Code ; Age Band Code ; Sex Code </v>
      </c>
      <c r="N6358" s="345" t="s">
        <v>207</v>
      </c>
      <c r="O6358" s="345" t="s">
        <v>208</v>
      </c>
      <c r="P6358" s="345" t="s">
        <v>209</v>
      </c>
      <c r="Q6358" s="345" t="s">
        <v>210</v>
      </c>
      <c r="R6358" s="345" t="s">
        <v>223</v>
      </c>
      <c r="S6358" s="345" t="s">
        <v>224</v>
      </c>
    </row>
    <row r="6359" spans="1:19" x14ac:dyDescent="0.25">
      <c r="A6359" s="311"/>
      <c r="B6359" s="312"/>
      <c r="C6359" s="312"/>
      <c r="D6359" s="312"/>
      <c r="E6359" s="312"/>
      <c r="F6359" s="312"/>
      <c r="G6359" s="328"/>
      <c r="H6359" s="453"/>
      <c r="I6359" s="334"/>
      <c r="J6359" s="314"/>
      <c r="K6359" s="454"/>
      <c r="M6359" s="349" t="str">
        <f>N6359&amp;AS[[#This Row],[Insurer Code]]&amp;"; "&amp;O6359&amp;AS[[#This Row],[Reporting Year]]&amp;"; "&amp;P6359&amp;AS[[#This Row],[Insurance Category Code]]&amp;"; "&amp;Q6359&amp;AS[[#This Row],[Large Provider Entity Code]]&amp;"; "&amp;R6359&amp;AS[[#This Row],[Age Band Code]]&amp;"; "&amp;S6359&amp;AS[[#This Row],[Sex Code]]</f>
        <v xml:space="preserve">Insurer Code ; Reporting Year ; Insurance Category Code ; Large Provider Entity Code ; Age Band Code ; Sex Code </v>
      </c>
      <c r="N6359" s="345" t="s">
        <v>207</v>
      </c>
      <c r="O6359" s="345" t="s">
        <v>208</v>
      </c>
      <c r="P6359" s="345" t="s">
        <v>209</v>
      </c>
      <c r="Q6359" s="345" t="s">
        <v>210</v>
      </c>
      <c r="R6359" s="345" t="s">
        <v>223</v>
      </c>
      <c r="S6359" s="345" t="s">
        <v>224</v>
      </c>
    </row>
    <row r="6360" spans="1:19" x14ac:dyDescent="0.25">
      <c r="A6360" s="311"/>
      <c r="B6360" s="312"/>
      <c r="C6360" s="312"/>
      <c r="D6360" s="312"/>
      <c r="E6360" s="312"/>
      <c r="F6360" s="312"/>
      <c r="G6360" s="328"/>
      <c r="H6360" s="453"/>
      <c r="I6360" s="334"/>
      <c r="J6360" s="314"/>
      <c r="K6360" s="454"/>
      <c r="M6360" s="349" t="str">
        <f>N6360&amp;AS[[#This Row],[Insurer Code]]&amp;"; "&amp;O6360&amp;AS[[#This Row],[Reporting Year]]&amp;"; "&amp;P6360&amp;AS[[#This Row],[Insurance Category Code]]&amp;"; "&amp;Q6360&amp;AS[[#This Row],[Large Provider Entity Code]]&amp;"; "&amp;R6360&amp;AS[[#This Row],[Age Band Code]]&amp;"; "&amp;S6360&amp;AS[[#This Row],[Sex Code]]</f>
        <v xml:space="preserve">Insurer Code ; Reporting Year ; Insurance Category Code ; Large Provider Entity Code ; Age Band Code ; Sex Code </v>
      </c>
      <c r="N6360" s="345" t="s">
        <v>207</v>
      </c>
      <c r="O6360" s="345" t="s">
        <v>208</v>
      </c>
      <c r="P6360" s="345" t="s">
        <v>209</v>
      </c>
      <c r="Q6360" s="345" t="s">
        <v>210</v>
      </c>
      <c r="R6360" s="345" t="s">
        <v>223</v>
      </c>
      <c r="S6360" s="345" t="s">
        <v>224</v>
      </c>
    </row>
    <row r="6361" spans="1:19" x14ac:dyDescent="0.25">
      <c r="A6361" s="311"/>
      <c r="B6361" s="312"/>
      <c r="C6361" s="312"/>
      <c r="D6361" s="312"/>
      <c r="E6361" s="312"/>
      <c r="F6361" s="312"/>
      <c r="G6361" s="328"/>
      <c r="H6361" s="453"/>
      <c r="I6361" s="334"/>
      <c r="J6361" s="314"/>
      <c r="K6361" s="454"/>
      <c r="M6361" s="349" t="str">
        <f>N6361&amp;AS[[#This Row],[Insurer Code]]&amp;"; "&amp;O6361&amp;AS[[#This Row],[Reporting Year]]&amp;"; "&amp;P6361&amp;AS[[#This Row],[Insurance Category Code]]&amp;"; "&amp;Q6361&amp;AS[[#This Row],[Large Provider Entity Code]]&amp;"; "&amp;R6361&amp;AS[[#This Row],[Age Band Code]]&amp;"; "&amp;S6361&amp;AS[[#This Row],[Sex Code]]</f>
        <v xml:space="preserve">Insurer Code ; Reporting Year ; Insurance Category Code ; Large Provider Entity Code ; Age Band Code ; Sex Code </v>
      </c>
      <c r="N6361" s="345" t="s">
        <v>207</v>
      </c>
      <c r="O6361" s="345" t="s">
        <v>208</v>
      </c>
      <c r="P6361" s="345" t="s">
        <v>209</v>
      </c>
      <c r="Q6361" s="345" t="s">
        <v>210</v>
      </c>
      <c r="R6361" s="345" t="s">
        <v>223</v>
      </c>
      <c r="S6361" s="345" t="s">
        <v>224</v>
      </c>
    </row>
    <row r="6362" spans="1:19" x14ac:dyDescent="0.25">
      <c r="A6362" s="311"/>
      <c r="B6362" s="312"/>
      <c r="C6362" s="312"/>
      <c r="D6362" s="312"/>
      <c r="E6362" s="312"/>
      <c r="F6362" s="312"/>
      <c r="G6362" s="328"/>
      <c r="H6362" s="453"/>
      <c r="I6362" s="334"/>
      <c r="J6362" s="314"/>
      <c r="K6362" s="454"/>
      <c r="M6362" s="349" t="str">
        <f>N6362&amp;AS[[#This Row],[Insurer Code]]&amp;"; "&amp;O6362&amp;AS[[#This Row],[Reporting Year]]&amp;"; "&amp;P6362&amp;AS[[#This Row],[Insurance Category Code]]&amp;"; "&amp;Q6362&amp;AS[[#This Row],[Large Provider Entity Code]]&amp;"; "&amp;R6362&amp;AS[[#This Row],[Age Band Code]]&amp;"; "&amp;S6362&amp;AS[[#This Row],[Sex Code]]</f>
        <v xml:space="preserve">Insurer Code ; Reporting Year ; Insurance Category Code ; Large Provider Entity Code ; Age Band Code ; Sex Code </v>
      </c>
      <c r="N6362" s="345" t="s">
        <v>207</v>
      </c>
      <c r="O6362" s="345" t="s">
        <v>208</v>
      </c>
      <c r="P6362" s="345" t="s">
        <v>209</v>
      </c>
      <c r="Q6362" s="345" t="s">
        <v>210</v>
      </c>
      <c r="R6362" s="345" t="s">
        <v>223</v>
      </c>
      <c r="S6362" s="345" t="s">
        <v>224</v>
      </c>
    </row>
    <row r="6363" spans="1:19" x14ac:dyDescent="0.25">
      <c r="A6363" s="311"/>
      <c r="B6363" s="312"/>
      <c r="C6363" s="312"/>
      <c r="D6363" s="312"/>
      <c r="E6363" s="312"/>
      <c r="F6363" s="312"/>
      <c r="G6363" s="328"/>
      <c r="H6363" s="453"/>
      <c r="I6363" s="334"/>
      <c r="J6363" s="314"/>
      <c r="K6363" s="454"/>
      <c r="M6363" s="349" t="str">
        <f>N6363&amp;AS[[#This Row],[Insurer Code]]&amp;"; "&amp;O6363&amp;AS[[#This Row],[Reporting Year]]&amp;"; "&amp;P6363&amp;AS[[#This Row],[Insurance Category Code]]&amp;"; "&amp;Q6363&amp;AS[[#This Row],[Large Provider Entity Code]]&amp;"; "&amp;R6363&amp;AS[[#This Row],[Age Band Code]]&amp;"; "&amp;S6363&amp;AS[[#This Row],[Sex Code]]</f>
        <v xml:space="preserve">Insurer Code ; Reporting Year ; Insurance Category Code ; Large Provider Entity Code ; Age Band Code ; Sex Code </v>
      </c>
      <c r="N6363" s="345" t="s">
        <v>207</v>
      </c>
      <c r="O6363" s="345" t="s">
        <v>208</v>
      </c>
      <c r="P6363" s="345" t="s">
        <v>209</v>
      </c>
      <c r="Q6363" s="345" t="s">
        <v>210</v>
      </c>
      <c r="R6363" s="345" t="s">
        <v>223</v>
      </c>
      <c r="S6363" s="345" t="s">
        <v>224</v>
      </c>
    </row>
    <row r="6364" spans="1:19" x14ac:dyDescent="0.25">
      <c r="A6364" s="311"/>
      <c r="B6364" s="312"/>
      <c r="C6364" s="312"/>
      <c r="D6364" s="312"/>
      <c r="E6364" s="312"/>
      <c r="F6364" s="312"/>
      <c r="G6364" s="328"/>
      <c r="H6364" s="453"/>
      <c r="I6364" s="334"/>
      <c r="J6364" s="314"/>
      <c r="K6364" s="454"/>
      <c r="M6364" s="349" t="str">
        <f>N6364&amp;AS[[#This Row],[Insurer Code]]&amp;"; "&amp;O6364&amp;AS[[#This Row],[Reporting Year]]&amp;"; "&amp;P6364&amp;AS[[#This Row],[Insurance Category Code]]&amp;"; "&amp;Q6364&amp;AS[[#This Row],[Large Provider Entity Code]]&amp;"; "&amp;R6364&amp;AS[[#This Row],[Age Band Code]]&amp;"; "&amp;S6364&amp;AS[[#This Row],[Sex Code]]</f>
        <v xml:space="preserve">Insurer Code ; Reporting Year ; Insurance Category Code ; Large Provider Entity Code ; Age Band Code ; Sex Code </v>
      </c>
      <c r="N6364" s="345" t="s">
        <v>207</v>
      </c>
      <c r="O6364" s="345" t="s">
        <v>208</v>
      </c>
      <c r="P6364" s="345" t="s">
        <v>209</v>
      </c>
      <c r="Q6364" s="345" t="s">
        <v>210</v>
      </c>
      <c r="R6364" s="345" t="s">
        <v>223</v>
      </c>
      <c r="S6364" s="345" t="s">
        <v>224</v>
      </c>
    </row>
    <row r="6365" spans="1:19" x14ac:dyDescent="0.25">
      <c r="A6365" s="311"/>
      <c r="B6365" s="312"/>
      <c r="C6365" s="312"/>
      <c r="D6365" s="312"/>
      <c r="E6365" s="312"/>
      <c r="F6365" s="312"/>
      <c r="G6365" s="328"/>
      <c r="H6365" s="453"/>
      <c r="I6365" s="334"/>
      <c r="J6365" s="314"/>
      <c r="K6365" s="454"/>
      <c r="M6365" s="349" t="str">
        <f>N6365&amp;AS[[#This Row],[Insurer Code]]&amp;"; "&amp;O6365&amp;AS[[#This Row],[Reporting Year]]&amp;"; "&amp;P6365&amp;AS[[#This Row],[Insurance Category Code]]&amp;"; "&amp;Q6365&amp;AS[[#This Row],[Large Provider Entity Code]]&amp;"; "&amp;R6365&amp;AS[[#This Row],[Age Band Code]]&amp;"; "&amp;S6365&amp;AS[[#This Row],[Sex Code]]</f>
        <v xml:space="preserve">Insurer Code ; Reporting Year ; Insurance Category Code ; Large Provider Entity Code ; Age Band Code ; Sex Code </v>
      </c>
      <c r="N6365" s="345" t="s">
        <v>207</v>
      </c>
      <c r="O6365" s="345" t="s">
        <v>208</v>
      </c>
      <c r="P6365" s="345" t="s">
        <v>209</v>
      </c>
      <c r="Q6365" s="345" t="s">
        <v>210</v>
      </c>
      <c r="R6365" s="345" t="s">
        <v>223</v>
      </c>
      <c r="S6365" s="345" t="s">
        <v>224</v>
      </c>
    </row>
    <row r="6366" spans="1:19" x14ac:dyDescent="0.25">
      <c r="A6366" s="311"/>
      <c r="B6366" s="312"/>
      <c r="C6366" s="312"/>
      <c r="D6366" s="312"/>
      <c r="E6366" s="312"/>
      <c r="F6366" s="312"/>
      <c r="G6366" s="328"/>
      <c r="H6366" s="453"/>
      <c r="I6366" s="334"/>
      <c r="J6366" s="314"/>
      <c r="K6366" s="454"/>
      <c r="M6366" s="349" t="str">
        <f>N6366&amp;AS[[#This Row],[Insurer Code]]&amp;"; "&amp;O6366&amp;AS[[#This Row],[Reporting Year]]&amp;"; "&amp;P6366&amp;AS[[#This Row],[Insurance Category Code]]&amp;"; "&amp;Q6366&amp;AS[[#This Row],[Large Provider Entity Code]]&amp;"; "&amp;R6366&amp;AS[[#This Row],[Age Band Code]]&amp;"; "&amp;S6366&amp;AS[[#This Row],[Sex Code]]</f>
        <v xml:space="preserve">Insurer Code ; Reporting Year ; Insurance Category Code ; Large Provider Entity Code ; Age Band Code ; Sex Code </v>
      </c>
      <c r="N6366" s="345" t="s">
        <v>207</v>
      </c>
      <c r="O6366" s="345" t="s">
        <v>208</v>
      </c>
      <c r="P6366" s="345" t="s">
        <v>209</v>
      </c>
      <c r="Q6366" s="345" t="s">
        <v>210</v>
      </c>
      <c r="R6366" s="345" t="s">
        <v>223</v>
      </c>
      <c r="S6366" s="345" t="s">
        <v>224</v>
      </c>
    </row>
    <row r="6367" spans="1:19" x14ac:dyDescent="0.25">
      <c r="A6367" s="311"/>
      <c r="B6367" s="312"/>
      <c r="C6367" s="312"/>
      <c r="D6367" s="312"/>
      <c r="E6367" s="312"/>
      <c r="F6367" s="312"/>
      <c r="G6367" s="328"/>
      <c r="H6367" s="453"/>
      <c r="I6367" s="334"/>
      <c r="J6367" s="314"/>
      <c r="K6367" s="454"/>
      <c r="M6367" s="349" t="str">
        <f>N6367&amp;AS[[#This Row],[Insurer Code]]&amp;"; "&amp;O6367&amp;AS[[#This Row],[Reporting Year]]&amp;"; "&amp;P6367&amp;AS[[#This Row],[Insurance Category Code]]&amp;"; "&amp;Q6367&amp;AS[[#This Row],[Large Provider Entity Code]]&amp;"; "&amp;R6367&amp;AS[[#This Row],[Age Band Code]]&amp;"; "&amp;S6367&amp;AS[[#This Row],[Sex Code]]</f>
        <v xml:space="preserve">Insurer Code ; Reporting Year ; Insurance Category Code ; Large Provider Entity Code ; Age Band Code ; Sex Code </v>
      </c>
      <c r="N6367" s="345" t="s">
        <v>207</v>
      </c>
      <c r="O6367" s="345" t="s">
        <v>208</v>
      </c>
      <c r="P6367" s="345" t="s">
        <v>209</v>
      </c>
      <c r="Q6367" s="345" t="s">
        <v>210</v>
      </c>
      <c r="R6367" s="345" t="s">
        <v>223</v>
      </c>
      <c r="S6367" s="345" t="s">
        <v>224</v>
      </c>
    </row>
    <row r="6368" spans="1:19" x14ac:dyDescent="0.25">
      <c r="A6368" s="311"/>
      <c r="B6368" s="312"/>
      <c r="C6368" s="312"/>
      <c r="D6368" s="312"/>
      <c r="E6368" s="312"/>
      <c r="F6368" s="312"/>
      <c r="G6368" s="328"/>
      <c r="H6368" s="453"/>
      <c r="I6368" s="334"/>
      <c r="J6368" s="314"/>
      <c r="K6368" s="454"/>
      <c r="M6368" s="349" t="str">
        <f>N6368&amp;AS[[#This Row],[Insurer Code]]&amp;"; "&amp;O6368&amp;AS[[#This Row],[Reporting Year]]&amp;"; "&amp;P6368&amp;AS[[#This Row],[Insurance Category Code]]&amp;"; "&amp;Q6368&amp;AS[[#This Row],[Large Provider Entity Code]]&amp;"; "&amp;R6368&amp;AS[[#This Row],[Age Band Code]]&amp;"; "&amp;S6368&amp;AS[[#This Row],[Sex Code]]</f>
        <v xml:space="preserve">Insurer Code ; Reporting Year ; Insurance Category Code ; Large Provider Entity Code ; Age Band Code ; Sex Code </v>
      </c>
      <c r="N6368" s="345" t="s">
        <v>207</v>
      </c>
      <c r="O6368" s="345" t="s">
        <v>208</v>
      </c>
      <c r="P6368" s="345" t="s">
        <v>209</v>
      </c>
      <c r="Q6368" s="345" t="s">
        <v>210</v>
      </c>
      <c r="R6368" s="345" t="s">
        <v>223</v>
      </c>
      <c r="S6368" s="345" t="s">
        <v>224</v>
      </c>
    </row>
    <row r="6369" spans="1:19" x14ac:dyDescent="0.25">
      <c r="A6369" s="311"/>
      <c r="B6369" s="312"/>
      <c r="C6369" s="312"/>
      <c r="D6369" s="312"/>
      <c r="E6369" s="312"/>
      <c r="F6369" s="312"/>
      <c r="G6369" s="328"/>
      <c r="H6369" s="453"/>
      <c r="I6369" s="334"/>
      <c r="J6369" s="314"/>
      <c r="K6369" s="454"/>
      <c r="M6369" s="349" t="str">
        <f>N6369&amp;AS[[#This Row],[Insurer Code]]&amp;"; "&amp;O6369&amp;AS[[#This Row],[Reporting Year]]&amp;"; "&amp;P6369&amp;AS[[#This Row],[Insurance Category Code]]&amp;"; "&amp;Q6369&amp;AS[[#This Row],[Large Provider Entity Code]]&amp;"; "&amp;R6369&amp;AS[[#This Row],[Age Band Code]]&amp;"; "&amp;S6369&amp;AS[[#This Row],[Sex Code]]</f>
        <v xml:space="preserve">Insurer Code ; Reporting Year ; Insurance Category Code ; Large Provider Entity Code ; Age Band Code ; Sex Code </v>
      </c>
      <c r="N6369" s="345" t="s">
        <v>207</v>
      </c>
      <c r="O6369" s="345" t="s">
        <v>208</v>
      </c>
      <c r="P6369" s="345" t="s">
        <v>209</v>
      </c>
      <c r="Q6369" s="345" t="s">
        <v>210</v>
      </c>
      <c r="R6369" s="345" t="s">
        <v>223</v>
      </c>
      <c r="S6369" s="345" t="s">
        <v>224</v>
      </c>
    </row>
    <row r="6370" spans="1:19" x14ac:dyDescent="0.25">
      <c r="A6370" s="311"/>
      <c r="B6370" s="312"/>
      <c r="C6370" s="312"/>
      <c r="D6370" s="312"/>
      <c r="E6370" s="312"/>
      <c r="F6370" s="312"/>
      <c r="G6370" s="328"/>
      <c r="H6370" s="453"/>
      <c r="I6370" s="334"/>
      <c r="J6370" s="314"/>
      <c r="K6370" s="454"/>
      <c r="M6370" s="349" t="str">
        <f>N6370&amp;AS[[#This Row],[Insurer Code]]&amp;"; "&amp;O6370&amp;AS[[#This Row],[Reporting Year]]&amp;"; "&amp;P6370&amp;AS[[#This Row],[Insurance Category Code]]&amp;"; "&amp;Q6370&amp;AS[[#This Row],[Large Provider Entity Code]]&amp;"; "&amp;R6370&amp;AS[[#This Row],[Age Band Code]]&amp;"; "&amp;S6370&amp;AS[[#This Row],[Sex Code]]</f>
        <v xml:space="preserve">Insurer Code ; Reporting Year ; Insurance Category Code ; Large Provider Entity Code ; Age Band Code ; Sex Code </v>
      </c>
      <c r="N6370" s="345" t="s">
        <v>207</v>
      </c>
      <c r="O6370" s="345" t="s">
        <v>208</v>
      </c>
      <c r="P6370" s="345" t="s">
        <v>209</v>
      </c>
      <c r="Q6370" s="345" t="s">
        <v>210</v>
      </c>
      <c r="R6370" s="345" t="s">
        <v>223</v>
      </c>
      <c r="S6370" s="345" t="s">
        <v>224</v>
      </c>
    </row>
    <row r="6371" spans="1:19" x14ac:dyDescent="0.25">
      <c r="A6371" s="311"/>
      <c r="B6371" s="312"/>
      <c r="C6371" s="312"/>
      <c r="D6371" s="312"/>
      <c r="E6371" s="312"/>
      <c r="F6371" s="312"/>
      <c r="G6371" s="328"/>
      <c r="H6371" s="453"/>
      <c r="I6371" s="334"/>
      <c r="J6371" s="314"/>
      <c r="K6371" s="454"/>
      <c r="M6371" s="349" t="str">
        <f>N6371&amp;AS[[#This Row],[Insurer Code]]&amp;"; "&amp;O6371&amp;AS[[#This Row],[Reporting Year]]&amp;"; "&amp;P6371&amp;AS[[#This Row],[Insurance Category Code]]&amp;"; "&amp;Q6371&amp;AS[[#This Row],[Large Provider Entity Code]]&amp;"; "&amp;R6371&amp;AS[[#This Row],[Age Band Code]]&amp;"; "&amp;S6371&amp;AS[[#This Row],[Sex Code]]</f>
        <v xml:space="preserve">Insurer Code ; Reporting Year ; Insurance Category Code ; Large Provider Entity Code ; Age Band Code ; Sex Code </v>
      </c>
      <c r="N6371" s="345" t="s">
        <v>207</v>
      </c>
      <c r="O6371" s="345" t="s">
        <v>208</v>
      </c>
      <c r="P6371" s="345" t="s">
        <v>209</v>
      </c>
      <c r="Q6371" s="345" t="s">
        <v>210</v>
      </c>
      <c r="R6371" s="345" t="s">
        <v>223</v>
      </c>
      <c r="S6371" s="345" t="s">
        <v>224</v>
      </c>
    </row>
    <row r="6372" spans="1:19" x14ac:dyDescent="0.25">
      <c r="A6372" s="311"/>
      <c r="B6372" s="312"/>
      <c r="C6372" s="312"/>
      <c r="D6372" s="312"/>
      <c r="E6372" s="312"/>
      <c r="F6372" s="312"/>
      <c r="G6372" s="328"/>
      <c r="H6372" s="453"/>
      <c r="I6372" s="334"/>
      <c r="J6372" s="314"/>
      <c r="K6372" s="454"/>
      <c r="M6372" s="349" t="str">
        <f>N6372&amp;AS[[#This Row],[Insurer Code]]&amp;"; "&amp;O6372&amp;AS[[#This Row],[Reporting Year]]&amp;"; "&amp;P6372&amp;AS[[#This Row],[Insurance Category Code]]&amp;"; "&amp;Q6372&amp;AS[[#This Row],[Large Provider Entity Code]]&amp;"; "&amp;R6372&amp;AS[[#This Row],[Age Band Code]]&amp;"; "&amp;S6372&amp;AS[[#This Row],[Sex Code]]</f>
        <v xml:space="preserve">Insurer Code ; Reporting Year ; Insurance Category Code ; Large Provider Entity Code ; Age Band Code ; Sex Code </v>
      </c>
      <c r="N6372" s="345" t="s">
        <v>207</v>
      </c>
      <c r="O6372" s="345" t="s">
        <v>208</v>
      </c>
      <c r="P6372" s="345" t="s">
        <v>209</v>
      </c>
      <c r="Q6372" s="345" t="s">
        <v>210</v>
      </c>
      <c r="R6372" s="345" t="s">
        <v>223</v>
      </c>
      <c r="S6372" s="345" t="s">
        <v>224</v>
      </c>
    </row>
    <row r="6373" spans="1:19" x14ac:dyDescent="0.25">
      <c r="A6373" s="311"/>
      <c r="B6373" s="312"/>
      <c r="C6373" s="312"/>
      <c r="D6373" s="312"/>
      <c r="E6373" s="312"/>
      <c r="F6373" s="312"/>
      <c r="G6373" s="328"/>
      <c r="H6373" s="453"/>
      <c r="I6373" s="334"/>
      <c r="J6373" s="314"/>
      <c r="K6373" s="454"/>
      <c r="M6373" s="349" t="str">
        <f>N6373&amp;AS[[#This Row],[Insurer Code]]&amp;"; "&amp;O6373&amp;AS[[#This Row],[Reporting Year]]&amp;"; "&amp;P6373&amp;AS[[#This Row],[Insurance Category Code]]&amp;"; "&amp;Q6373&amp;AS[[#This Row],[Large Provider Entity Code]]&amp;"; "&amp;R6373&amp;AS[[#This Row],[Age Band Code]]&amp;"; "&amp;S6373&amp;AS[[#This Row],[Sex Code]]</f>
        <v xml:space="preserve">Insurer Code ; Reporting Year ; Insurance Category Code ; Large Provider Entity Code ; Age Band Code ; Sex Code </v>
      </c>
      <c r="N6373" s="345" t="s">
        <v>207</v>
      </c>
      <c r="O6373" s="345" t="s">
        <v>208</v>
      </c>
      <c r="P6373" s="345" t="s">
        <v>209</v>
      </c>
      <c r="Q6373" s="345" t="s">
        <v>210</v>
      </c>
      <c r="R6373" s="345" t="s">
        <v>223</v>
      </c>
      <c r="S6373" s="345" t="s">
        <v>224</v>
      </c>
    </row>
    <row r="6374" spans="1:19" x14ac:dyDescent="0.25">
      <c r="A6374" s="311"/>
      <c r="B6374" s="312"/>
      <c r="C6374" s="312"/>
      <c r="D6374" s="312"/>
      <c r="E6374" s="312"/>
      <c r="F6374" s="312"/>
      <c r="G6374" s="328"/>
      <c r="H6374" s="453"/>
      <c r="I6374" s="334"/>
      <c r="J6374" s="314"/>
      <c r="K6374" s="454"/>
      <c r="M6374" s="349" t="str">
        <f>N6374&amp;AS[[#This Row],[Insurer Code]]&amp;"; "&amp;O6374&amp;AS[[#This Row],[Reporting Year]]&amp;"; "&amp;P6374&amp;AS[[#This Row],[Insurance Category Code]]&amp;"; "&amp;Q6374&amp;AS[[#This Row],[Large Provider Entity Code]]&amp;"; "&amp;R6374&amp;AS[[#This Row],[Age Band Code]]&amp;"; "&amp;S6374&amp;AS[[#This Row],[Sex Code]]</f>
        <v xml:space="preserve">Insurer Code ; Reporting Year ; Insurance Category Code ; Large Provider Entity Code ; Age Band Code ; Sex Code </v>
      </c>
      <c r="N6374" s="345" t="s">
        <v>207</v>
      </c>
      <c r="O6374" s="345" t="s">
        <v>208</v>
      </c>
      <c r="P6374" s="345" t="s">
        <v>209</v>
      </c>
      <c r="Q6374" s="345" t="s">
        <v>210</v>
      </c>
      <c r="R6374" s="345" t="s">
        <v>223</v>
      </c>
      <c r="S6374" s="345" t="s">
        <v>224</v>
      </c>
    </row>
    <row r="6375" spans="1:19" x14ac:dyDescent="0.25">
      <c r="A6375" s="311"/>
      <c r="B6375" s="312"/>
      <c r="C6375" s="312"/>
      <c r="D6375" s="312"/>
      <c r="E6375" s="312"/>
      <c r="F6375" s="312"/>
      <c r="G6375" s="328"/>
      <c r="H6375" s="453"/>
      <c r="I6375" s="334"/>
      <c r="J6375" s="314"/>
      <c r="K6375" s="454"/>
      <c r="M6375" s="349" t="str">
        <f>N6375&amp;AS[[#This Row],[Insurer Code]]&amp;"; "&amp;O6375&amp;AS[[#This Row],[Reporting Year]]&amp;"; "&amp;P6375&amp;AS[[#This Row],[Insurance Category Code]]&amp;"; "&amp;Q6375&amp;AS[[#This Row],[Large Provider Entity Code]]&amp;"; "&amp;R6375&amp;AS[[#This Row],[Age Band Code]]&amp;"; "&amp;S6375&amp;AS[[#This Row],[Sex Code]]</f>
        <v xml:space="preserve">Insurer Code ; Reporting Year ; Insurance Category Code ; Large Provider Entity Code ; Age Band Code ; Sex Code </v>
      </c>
      <c r="N6375" s="345" t="s">
        <v>207</v>
      </c>
      <c r="O6375" s="345" t="s">
        <v>208</v>
      </c>
      <c r="P6375" s="345" t="s">
        <v>209</v>
      </c>
      <c r="Q6375" s="345" t="s">
        <v>210</v>
      </c>
      <c r="R6375" s="345" t="s">
        <v>223</v>
      </c>
      <c r="S6375" s="345" t="s">
        <v>224</v>
      </c>
    </row>
    <row r="6376" spans="1:19" x14ac:dyDescent="0.25">
      <c r="A6376" s="311"/>
      <c r="B6376" s="312"/>
      <c r="C6376" s="312"/>
      <c r="D6376" s="312"/>
      <c r="E6376" s="312"/>
      <c r="F6376" s="312"/>
      <c r="G6376" s="328"/>
      <c r="H6376" s="453"/>
      <c r="I6376" s="334"/>
      <c r="J6376" s="314"/>
      <c r="K6376" s="454"/>
      <c r="M6376" s="349" t="str">
        <f>N6376&amp;AS[[#This Row],[Insurer Code]]&amp;"; "&amp;O6376&amp;AS[[#This Row],[Reporting Year]]&amp;"; "&amp;P6376&amp;AS[[#This Row],[Insurance Category Code]]&amp;"; "&amp;Q6376&amp;AS[[#This Row],[Large Provider Entity Code]]&amp;"; "&amp;R6376&amp;AS[[#This Row],[Age Band Code]]&amp;"; "&amp;S6376&amp;AS[[#This Row],[Sex Code]]</f>
        <v xml:space="preserve">Insurer Code ; Reporting Year ; Insurance Category Code ; Large Provider Entity Code ; Age Band Code ; Sex Code </v>
      </c>
      <c r="N6376" s="345" t="s">
        <v>207</v>
      </c>
      <c r="O6376" s="345" t="s">
        <v>208</v>
      </c>
      <c r="P6376" s="345" t="s">
        <v>209</v>
      </c>
      <c r="Q6376" s="345" t="s">
        <v>210</v>
      </c>
      <c r="R6376" s="345" t="s">
        <v>223</v>
      </c>
      <c r="S6376" s="345" t="s">
        <v>224</v>
      </c>
    </row>
    <row r="6377" spans="1:19" x14ac:dyDescent="0.25">
      <c r="A6377" s="311"/>
      <c r="B6377" s="312"/>
      <c r="C6377" s="312"/>
      <c r="D6377" s="312"/>
      <c r="E6377" s="312"/>
      <c r="F6377" s="312"/>
      <c r="G6377" s="328"/>
      <c r="H6377" s="453"/>
      <c r="I6377" s="334"/>
      <c r="J6377" s="314"/>
      <c r="K6377" s="454"/>
      <c r="M6377" s="349" t="str">
        <f>N6377&amp;AS[[#This Row],[Insurer Code]]&amp;"; "&amp;O6377&amp;AS[[#This Row],[Reporting Year]]&amp;"; "&amp;P6377&amp;AS[[#This Row],[Insurance Category Code]]&amp;"; "&amp;Q6377&amp;AS[[#This Row],[Large Provider Entity Code]]&amp;"; "&amp;R6377&amp;AS[[#This Row],[Age Band Code]]&amp;"; "&amp;S6377&amp;AS[[#This Row],[Sex Code]]</f>
        <v xml:space="preserve">Insurer Code ; Reporting Year ; Insurance Category Code ; Large Provider Entity Code ; Age Band Code ; Sex Code </v>
      </c>
      <c r="N6377" s="345" t="s">
        <v>207</v>
      </c>
      <c r="O6377" s="345" t="s">
        <v>208</v>
      </c>
      <c r="P6377" s="345" t="s">
        <v>209</v>
      </c>
      <c r="Q6377" s="345" t="s">
        <v>210</v>
      </c>
      <c r="R6377" s="345" t="s">
        <v>223</v>
      </c>
      <c r="S6377" s="345" t="s">
        <v>224</v>
      </c>
    </row>
    <row r="6378" spans="1:19" x14ac:dyDescent="0.25">
      <c r="A6378" s="311"/>
      <c r="B6378" s="312"/>
      <c r="C6378" s="312"/>
      <c r="D6378" s="312"/>
      <c r="E6378" s="312"/>
      <c r="F6378" s="312"/>
      <c r="G6378" s="328"/>
      <c r="H6378" s="453"/>
      <c r="I6378" s="334"/>
      <c r="J6378" s="314"/>
      <c r="K6378" s="454"/>
      <c r="M6378" s="349" t="str">
        <f>N6378&amp;AS[[#This Row],[Insurer Code]]&amp;"; "&amp;O6378&amp;AS[[#This Row],[Reporting Year]]&amp;"; "&amp;P6378&amp;AS[[#This Row],[Insurance Category Code]]&amp;"; "&amp;Q6378&amp;AS[[#This Row],[Large Provider Entity Code]]&amp;"; "&amp;R6378&amp;AS[[#This Row],[Age Band Code]]&amp;"; "&amp;S6378&amp;AS[[#This Row],[Sex Code]]</f>
        <v xml:space="preserve">Insurer Code ; Reporting Year ; Insurance Category Code ; Large Provider Entity Code ; Age Band Code ; Sex Code </v>
      </c>
      <c r="N6378" s="345" t="s">
        <v>207</v>
      </c>
      <c r="O6378" s="345" t="s">
        <v>208</v>
      </c>
      <c r="P6378" s="345" t="s">
        <v>209</v>
      </c>
      <c r="Q6378" s="345" t="s">
        <v>210</v>
      </c>
      <c r="R6378" s="345" t="s">
        <v>223</v>
      </c>
      <c r="S6378" s="345" t="s">
        <v>224</v>
      </c>
    </row>
    <row r="6379" spans="1:19" x14ac:dyDescent="0.25">
      <c r="A6379" s="311"/>
      <c r="B6379" s="312"/>
      <c r="C6379" s="312"/>
      <c r="D6379" s="312"/>
      <c r="E6379" s="312"/>
      <c r="F6379" s="312"/>
      <c r="G6379" s="328"/>
      <c r="H6379" s="453"/>
      <c r="I6379" s="334"/>
      <c r="J6379" s="314"/>
      <c r="K6379" s="454"/>
      <c r="M6379" s="349" t="str">
        <f>N6379&amp;AS[[#This Row],[Insurer Code]]&amp;"; "&amp;O6379&amp;AS[[#This Row],[Reporting Year]]&amp;"; "&amp;P6379&amp;AS[[#This Row],[Insurance Category Code]]&amp;"; "&amp;Q6379&amp;AS[[#This Row],[Large Provider Entity Code]]&amp;"; "&amp;R6379&amp;AS[[#This Row],[Age Band Code]]&amp;"; "&amp;S6379&amp;AS[[#This Row],[Sex Code]]</f>
        <v xml:space="preserve">Insurer Code ; Reporting Year ; Insurance Category Code ; Large Provider Entity Code ; Age Band Code ; Sex Code </v>
      </c>
      <c r="N6379" s="345" t="s">
        <v>207</v>
      </c>
      <c r="O6379" s="345" t="s">
        <v>208</v>
      </c>
      <c r="P6379" s="345" t="s">
        <v>209</v>
      </c>
      <c r="Q6379" s="345" t="s">
        <v>210</v>
      </c>
      <c r="R6379" s="345" t="s">
        <v>223</v>
      </c>
      <c r="S6379" s="345" t="s">
        <v>224</v>
      </c>
    </row>
    <row r="6380" spans="1:19" x14ac:dyDescent="0.25">
      <c r="A6380" s="311"/>
      <c r="B6380" s="312"/>
      <c r="C6380" s="312"/>
      <c r="D6380" s="312"/>
      <c r="E6380" s="312"/>
      <c r="F6380" s="312"/>
      <c r="G6380" s="328"/>
      <c r="H6380" s="453"/>
      <c r="I6380" s="334"/>
      <c r="J6380" s="314"/>
      <c r="K6380" s="454"/>
      <c r="M6380" s="349" t="str">
        <f>N6380&amp;AS[[#This Row],[Insurer Code]]&amp;"; "&amp;O6380&amp;AS[[#This Row],[Reporting Year]]&amp;"; "&amp;P6380&amp;AS[[#This Row],[Insurance Category Code]]&amp;"; "&amp;Q6380&amp;AS[[#This Row],[Large Provider Entity Code]]&amp;"; "&amp;R6380&amp;AS[[#This Row],[Age Band Code]]&amp;"; "&amp;S6380&amp;AS[[#This Row],[Sex Code]]</f>
        <v xml:space="preserve">Insurer Code ; Reporting Year ; Insurance Category Code ; Large Provider Entity Code ; Age Band Code ; Sex Code </v>
      </c>
      <c r="N6380" s="345" t="s">
        <v>207</v>
      </c>
      <c r="O6380" s="345" t="s">
        <v>208</v>
      </c>
      <c r="P6380" s="345" t="s">
        <v>209</v>
      </c>
      <c r="Q6380" s="345" t="s">
        <v>210</v>
      </c>
      <c r="R6380" s="345" t="s">
        <v>223</v>
      </c>
      <c r="S6380" s="345" t="s">
        <v>224</v>
      </c>
    </row>
    <row r="6381" spans="1:19" x14ac:dyDescent="0.25">
      <c r="A6381" s="311"/>
      <c r="B6381" s="312"/>
      <c r="C6381" s="312"/>
      <c r="D6381" s="312"/>
      <c r="E6381" s="312"/>
      <c r="F6381" s="312"/>
      <c r="G6381" s="328"/>
      <c r="H6381" s="453"/>
      <c r="I6381" s="334"/>
      <c r="J6381" s="314"/>
      <c r="K6381" s="454"/>
      <c r="M6381" s="349" t="str">
        <f>N6381&amp;AS[[#This Row],[Insurer Code]]&amp;"; "&amp;O6381&amp;AS[[#This Row],[Reporting Year]]&amp;"; "&amp;P6381&amp;AS[[#This Row],[Insurance Category Code]]&amp;"; "&amp;Q6381&amp;AS[[#This Row],[Large Provider Entity Code]]&amp;"; "&amp;R6381&amp;AS[[#This Row],[Age Band Code]]&amp;"; "&amp;S6381&amp;AS[[#This Row],[Sex Code]]</f>
        <v xml:space="preserve">Insurer Code ; Reporting Year ; Insurance Category Code ; Large Provider Entity Code ; Age Band Code ; Sex Code </v>
      </c>
      <c r="N6381" s="345" t="s">
        <v>207</v>
      </c>
      <c r="O6381" s="345" t="s">
        <v>208</v>
      </c>
      <c r="P6381" s="345" t="s">
        <v>209</v>
      </c>
      <c r="Q6381" s="345" t="s">
        <v>210</v>
      </c>
      <c r="R6381" s="345" t="s">
        <v>223</v>
      </c>
      <c r="S6381" s="345" t="s">
        <v>224</v>
      </c>
    </row>
    <row r="6382" spans="1:19" x14ac:dyDescent="0.25">
      <c r="A6382" s="311"/>
      <c r="B6382" s="312"/>
      <c r="C6382" s="312"/>
      <c r="D6382" s="312"/>
      <c r="E6382" s="312"/>
      <c r="F6382" s="312"/>
      <c r="G6382" s="328"/>
      <c r="H6382" s="453"/>
      <c r="I6382" s="334"/>
      <c r="J6382" s="314"/>
      <c r="K6382" s="454"/>
      <c r="M6382" s="349" t="str">
        <f>N6382&amp;AS[[#This Row],[Insurer Code]]&amp;"; "&amp;O6382&amp;AS[[#This Row],[Reporting Year]]&amp;"; "&amp;P6382&amp;AS[[#This Row],[Insurance Category Code]]&amp;"; "&amp;Q6382&amp;AS[[#This Row],[Large Provider Entity Code]]&amp;"; "&amp;R6382&amp;AS[[#This Row],[Age Band Code]]&amp;"; "&amp;S6382&amp;AS[[#This Row],[Sex Code]]</f>
        <v xml:space="preserve">Insurer Code ; Reporting Year ; Insurance Category Code ; Large Provider Entity Code ; Age Band Code ; Sex Code </v>
      </c>
      <c r="N6382" s="345" t="s">
        <v>207</v>
      </c>
      <c r="O6382" s="345" t="s">
        <v>208</v>
      </c>
      <c r="P6382" s="345" t="s">
        <v>209</v>
      </c>
      <c r="Q6382" s="345" t="s">
        <v>210</v>
      </c>
      <c r="R6382" s="345" t="s">
        <v>223</v>
      </c>
      <c r="S6382" s="345" t="s">
        <v>224</v>
      </c>
    </row>
    <row r="6383" spans="1:19" x14ac:dyDescent="0.25">
      <c r="A6383" s="311"/>
      <c r="B6383" s="312"/>
      <c r="C6383" s="312"/>
      <c r="D6383" s="312"/>
      <c r="E6383" s="312"/>
      <c r="F6383" s="312"/>
      <c r="G6383" s="328"/>
      <c r="H6383" s="453"/>
      <c r="I6383" s="334"/>
      <c r="J6383" s="314"/>
      <c r="K6383" s="454"/>
      <c r="M6383" s="349" t="str">
        <f>N6383&amp;AS[[#This Row],[Insurer Code]]&amp;"; "&amp;O6383&amp;AS[[#This Row],[Reporting Year]]&amp;"; "&amp;P6383&amp;AS[[#This Row],[Insurance Category Code]]&amp;"; "&amp;Q6383&amp;AS[[#This Row],[Large Provider Entity Code]]&amp;"; "&amp;R6383&amp;AS[[#This Row],[Age Band Code]]&amp;"; "&amp;S6383&amp;AS[[#This Row],[Sex Code]]</f>
        <v xml:space="preserve">Insurer Code ; Reporting Year ; Insurance Category Code ; Large Provider Entity Code ; Age Band Code ; Sex Code </v>
      </c>
      <c r="N6383" s="345" t="s">
        <v>207</v>
      </c>
      <c r="O6383" s="345" t="s">
        <v>208</v>
      </c>
      <c r="P6383" s="345" t="s">
        <v>209</v>
      </c>
      <c r="Q6383" s="345" t="s">
        <v>210</v>
      </c>
      <c r="R6383" s="345" t="s">
        <v>223</v>
      </c>
      <c r="S6383" s="345" t="s">
        <v>224</v>
      </c>
    </row>
    <row r="6384" spans="1:19" x14ac:dyDescent="0.25">
      <c r="A6384" s="311"/>
      <c r="B6384" s="312"/>
      <c r="C6384" s="312"/>
      <c r="D6384" s="312"/>
      <c r="E6384" s="312"/>
      <c r="F6384" s="312"/>
      <c r="G6384" s="328"/>
      <c r="H6384" s="453"/>
      <c r="I6384" s="334"/>
      <c r="J6384" s="314"/>
      <c r="K6384" s="454"/>
      <c r="M6384" s="349" t="str">
        <f>N6384&amp;AS[[#This Row],[Insurer Code]]&amp;"; "&amp;O6384&amp;AS[[#This Row],[Reporting Year]]&amp;"; "&amp;P6384&amp;AS[[#This Row],[Insurance Category Code]]&amp;"; "&amp;Q6384&amp;AS[[#This Row],[Large Provider Entity Code]]&amp;"; "&amp;R6384&amp;AS[[#This Row],[Age Band Code]]&amp;"; "&amp;S6384&amp;AS[[#This Row],[Sex Code]]</f>
        <v xml:space="preserve">Insurer Code ; Reporting Year ; Insurance Category Code ; Large Provider Entity Code ; Age Band Code ; Sex Code </v>
      </c>
      <c r="N6384" s="345" t="s">
        <v>207</v>
      </c>
      <c r="O6384" s="345" t="s">
        <v>208</v>
      </c>
      <c r="P6384" s="345" t="s">
        <v>209</v>
      </c>
      <c r="Q6384" s="345" t="s">
        <v>210</v>
      </c>
      <c r="R6384" s="345" t="s">
        <v>223</v>
      </c>
      <c r="S6384" s="345" t="s">
        <v>224</v>
      </c>
    </row>
    <row r="6385" spans="1:19" x14ac:dyDescent="0.25">
      <c r="A6385" s="311"/>
      <c r="B6385" s="312"/>
      <c r="C6385" s="312"/>
      <c r="D6385" s="312"/>
      <c r="E6385" s="312"/>
      <c r="F6385" s="312"/>
      <c r="G6385" s="328"/>
      <c r="H6385" s="453"/>
      <c r="I6385" s="334"/>
      <c r="J6385" s="314"/>
      <c r="K6385" s="454"/>
      <c r="M6385" s="349" t="str">
        <f>N6385&amp;AS[[#This Row],[Insurer Code]]&amp;"; "&amp;O6385&amp;AS[[#This Row],[Reporting Year]]&amp;"; "&amp;P6385&amp;AS[[#This Row],[Insurance Category Code]]&amp;"; "&amp;Q6385&amp;AS[[#This Row],[Large Provider Entity Code]]&amp;"; "&amp;R6385&amp;AS[[#This Row],[Age Band Code]]&amp;"; "&amp;S6385&amp;AS[[#This Row],[Sex Code]]</f>
        <v xml:space="preserve">Insurer Code ; Reporting Year ; Insurance Category Code ; Large Provider Entity Code ; Age Band Code ; Sex Code </v>
      </c>
      <c r="N6385" s="345" t="s">
        <v>207</v>
      </c>
      <c r="O6385" s="345" t="s">
        <v>208</v>
      </c>
      <c r="P6385" s="345" t="s">
        <v>209</v>
      </c>
      <c r="Q6385" s="345" t="s">
        <v>210</v>
      </c>
      <c r="R6385" s="345" t="s">
        <v>223</v>
      </c>
      <c r="S6385" s="345" t="s">
        <v>224</v>
      </c>
    </row>
    <row r="6386" spans="1:19" x14ac:dyDescent="0.25">
      <c r="A6386" s="311"/>
      <c r="B6386" s="312"/>
      <c r="C6386" s="312"/>
      <c r="D6386" s="312"/>
      <c r="E6386" s="312"/>
      <c r="F6386" s="312"/>
      <c r="G6386" s="328"/>
      <c r="H6386" s="453"/>
      <c r="I6386" s="334"/>
      <c r="J6386" s="314"/>
      <c r="K6386" s="454"/>
      <c r="M6386" s="349" t="str">
        <f>N6386&amp;AS[[#This Row],[Insurer Code]]&amp;"; "&amp;O6386&amp;AS[[#This Row],[Reporting Year]]&amp;"; "&amp;P6386&amp;AS[[#This Row],[Insurance Category Code]]&amp;"; "&amp;Q6386&amp;AS[[#This Row],[Large Provider Entity Code]]&amp;"; "&amp;R6386&amp;AS[[#This Row],[Age Band Code]]&amp;"; "&amp;S6386&amp;AS[[#This Row],[Sex Code]]</f>
        <v xml:space="preserve">Insurer Code ; Reporting Year ; Insurance Category Code ; Large Provider Entity Code ; Age Band Code ; Sex Code </v>
      </c>
      <c r="N6386" s="345" t="s">
        <v>207</v>
      </c>
      <c r="O6386" s="345" t="s">
        <v>208</v>
      </c>
      <c r="P6386" s="345" t="s">
        <v>209</v>
      </c>
      <c r="Q6386" s="345" t="s">
        <v>210</v>
      </c>
      <c r="R6386" s="345" t="s">
        <v>223</v>
      </c>
      <c r="S6386" s="345" t="s">
        <v>224</v>
      </c>
    </row>
    <row r="6387" spans="1:19" x14ac:dyDescent="0.25">
      <c r="A6387" s="311"/>
      <c r="B6387" s="312"/>
      <c r="C6387" s="312"/>
      <c r="D6387" s="312"/>
      <c r="E6387" s="312"/>
      <c r="F6387" s="312"/>
      <c r="G6387" s="328"/>
      <c r="H6387" s="453"/>
      <c r="I6387" s="334"/>
      <c r="J6387" s="314"/>
      <c r="K6387" s="454"/>
      <c r="M6387" s="349" t="str">
        <f>N6387&amp;AS[[#This Row],[Insurer Code]]&amp;"; "&amp;O6387&amp;AS[[#This Row],[Reporting Year]]&amp;"; "&amp;P6387&amp;AS[[#This Row],[Insurance Category Code]]&amp;"; "&amp;Q6387&amp;AS[[#This Row],[Large Provider Entity Code]]&amp;"; "&amp;R6387&amp;AS[[#This Row],[Age Band Code]]&amp;"; "&amp;S6387&amp;AS[[#This Row],[Sex Code]]</f>
        <v xml:space="preserve">Insurer Code ; Reporting Year ; Insurance Category Code ; Large Provider Entity Code ; Age Band Code ; Sex Code </v>
      </c>
      <c r="N6387" s="345" t="s">
        <v>207</v>
      </c>
      <c r="O6387" s="345" t="s">
        <v>208</v>
      </c>
      <c r="P6387" s="345" t="s">
        <v>209</v>
      </c>
      <c r="Q6387" s="345" t="s">
        <v>210</v>
      </c>
      <c r="R6387" s="345" t="s">
        <v>223</v>
      </c>
      <c r="S6387" s="345" t="s">
        <v>224</v>
      </c>
    </row>
    <row r="6388" spans="1:19" x14ac:dyDescent="0.25">
      <c r="A6388" s="311"/>
      <c r="B6388" s="312"/>
      <c r="C6388" s="312"/>
      <c r="D6388" s="312"/>
      <c r="E6388" s="312"/>
      <c r="F6388" s="312"/>
      <c r="G6388" s="328"/>
      <c r="H6388" s="453"/>
      <c r="I6388" s="334"/>
      <c r="J6388" s="314"/>
      <c r="K6388" s="454"/>
      <c r="M6388" s="349" t="str">
        <f>N6388&amp;AS[[#This Row],[Insurer Code]]&amp;"; "&amp;O6388&amp;AS[[#This Row],[Reporting Year]]&amp;"; "&amp;P6388&amp;AS[[#This Row],[Insurance Category Code]]&amp;"; "&amp;Q6388&amp;AS[[#This Row],[Large Provider Entity Code]]&amp;"; "&amp;R6388&amp;AS[[#This Row],[Age Band Code]]&amp;"; "&amp;S6388&amp;AS[[#This Row],[Sex Code]]</f>
        <v xml:space="preserve">Insurer Code ; Reporting Year ; Insurance Category Code ; Large Provider Entity Code ; Age Band Code ; Sex Code </v>
      </c>
      <c r="N6388" s="345" t="s">
        <v>207</v>
      </c>
      <c r="O6388" s="345" t="s">
        <v>208</v>
      </c>
      <c r="P6388" s="345" t="s">
        <v>209</v>
      </c>
      <c r="Q6388" s="345" t="s">
        <v>210</v>
      </c>
      <c r="R6388" s="345" t="s">
        <v>223</v>
      </c>
      <c r="S6388" s="345" t="s">
        <v>224</v>
      </c>
    </row>
    <row r="6389" spans="1:19" x14ac:dyDescent="0.25">
      <c r="A6389" s="311"/>
      <c r="B6389" s="312"/>
      <c r="C6389" s="312"/>
      <c r="D6389" s="312"/>
      <c r="E6389" s="312"/>
      <c r="F6389" s="312"/>
      <c r="G6389" s="328"/>
      <c r="H6389" s="453"/>
      <c r="I6389" s="334"/>
      <c r="J6389" s="314"/>
      <c r="K6389" s="454"/>
      <c r="M6389" s="349" t="str">
        <f>N6389&amp;AS[[#This Row],[Insurer Code]]&amp;"; "&amp;O6389&amp;AS[[#This Row],[Reporting Year]]&amp;"; "&amp;P6389&amp;AS[[#This Row],[Insurance Category Code]]&amp;"; "&amp;Q6389&amp;AS[[#This Row],[Large Provider Entity Code]]&amp;"; "&amp;R6389&amp;AS[[#This Row],[Age Band Code]]&amp;"; "&amp;S6389&amp;AS[[#This Row],[Sex Code]]</f>
        <v xml:space="preserve">Insurer Code ; Reporting Year ; Insurance Category Code ; Large Provider Entity Code ; Age Band Code ; Sex Code </v>
      </c>
      <c r="N6389" s="345" t="s">
        <v>207</v>
      </c>
      <c r="O6389" s="345" t="s">
        <v>208</v>
      </c>
      <c r="P6389" s="345" t="s">
        <v>209</v>
      </c>
      <c r="Q6389" s="345" t="s">
        <v>210</v>
      </c>
      <c r="R6389" s="345" t="s">
        <v>223</v>
      </c>
      <c r="S6389" s="345" t="s">
        <v>224</v>
      </c>
    </row>
    <row r="6390" spans="1:19" x14ac:dyDescent="0.25">
      <c r="A6390" s="311"/>
      <c r="B6390" s="312"/>
      <c r="C6390" s="312"/>
      <c r="D6390" s="312"/>
      <c r="E6390" s="312"/>
      <c r="F6390" s="312"/>
      <c r="G6390" s="328"/>
      <c r="H6390" s="453"/>
      <c r="I6390" s="334"/>
      <c r="J6390" s="314"/>
      <c r="K6390" s="454"/>
      <c r="M6390" s="349" t="str">
        <f>N6390&amp;AS[[#This Row],[Insurer Code]]&amp;"; "&amp;O6390&amp;AS[[#This Row],[Reporting Year]]&amp;"; "&amp;P6390&amp;AS[[#This Row],[Insurance Category Code]]&amp;"; "&amp;Q6390&amp;AS[[#This Row],[Large Provider Entity Code]]&amp;"; "&amp;R6390&amp;AS[[#This Row],[Age Band Code]]&amp;"; "&amp;S6390&amp;AS[[#This Row],[Sex Code]]</f>
        <v xml:space="preserve">Insurer Code ; Reporting Year ; Insurance Category Code ; Large Provider Entity Code ; Age Band Code ; Sex Code </v>
      </c>
      <c r="N6390" s="345" t="s">
        <v>207</v>
      </c>
      <c r="O6390" s="345" t="s">
        <v>208</v>
      </c>
      <c r="P6390" s="345" t="s">
        <v>209</v>
      </c>
      <c r="Q6390" s="345" t="s">
        <v>210</v>
      </c>
      <c r="R6390" s="345" t="s">
        <v>223</v>
      </c>
      <c r="S6390" s="345" t="s">
        <v>224</v>
      </c>
    </row>
    <row r="6391" spans="1:19" x14ac:dyDescent="0.25">
      <c r="A6391" s="311"/>
      <c r="B6391" s="312"/>
      <c r="C6391" s="312"/>
      <c r="D6391" s="312"/>
      <c r="E6391" s="312"/>
      <c r="F6391" s="312"/>
      <c r="G6391" s="328"/>
      <c r="H6391" s="453"/>
      <c r="I6391" s="334"/>
      <c r="J6391" s="314"/>
      <c r="K6391" s="454"/>
      <c r="M6391" s="349" t="str">
        <f>N6391&amp;AS[[#This Row],[Insurer Code]]&amp;"; "&amp;O6391&amp;AS[[#This Row],[Reporting Year]]&amp;"; "&amp;P6391&amp;AS[[#This Row],[Insurance Category Code]]&amp;"; "&amp;Q6391&amp;AS[[#This Row],[Large Provider Entity Code]]&amp;"; "&amp;R6391&amp;AS[[#This Row],[Age Band Code]]&amp;"; "&amp;S6391&amp;AS[[#This Row],[Sex Code]]</f>
        <v xml:space="preserve">Insurer Code ; Reporting Year ; Insurance Category Code ; Large Provider Entity Code ; Age Band Code ; Sex Code </v>
      </c>
      <c r="N6391" s="345" t="s">
        <v>207</v>
      </c>
      <c r="O6391" s="345" t="s">
        <v>208</v>
      </c>
      <c r="P6391" s="345" t="s">
        <v>209</v>
      </c>
      <c r="Q6391" s="345" t="s">
        <v>210</v>
      </c>
      <c r="R6391" s="345" t="s">
        <v>223</v>
      </c>
      <c r="S6391" s="345" t="s">
        <v>224</v>
      </c>
    </row>
    <row r="6392" spans="1:19" x14ac:dyDescent="0.25">
      <c r="A6392" s="311"/>
      <c r="B6392" s="312"/>
      <c r="C6392" s="312"/>
      <c r="D6392" s="312"/>
      <c r="E6392" s="312"/>
      <c r="F6392" s="312"/>
      <c r="G6392" s="328"/>
      <c r="H6392" s="453"/>
      <c r="I6392" s="334"/>
      <c r="J6392" s="314"/>
      <c r="K6392" s="454"/>
      <c r="M6392" s="349" t="str">
        <f>N6392&amp;AS[[#This Row],[Insurer Code]]&amp;"; "&amp;O6392&amp;AS[[#This Row],[Reporting Year]]&amp;"; "&amp;P6392&amp;AS[[#This Row],[Insurance Category Code]]&amp;"; "&amp;Q6392&amp;AS[[#This Row],[Large Provider Entity Code]]&amp;"; "&amp;R6392&amp;AS[[#This Row],[Age Band Code]]&amp;"; "&amp;S6392&amp;AS[[#This Row],[Sex Code]]</f>
        <v xml:space="preserve">Insurer Code ; Reporting Year ; Insurance Category Code ; Large Provider Entity Code ; Age Band Code ; Sex Code </v>
      </c>
      <c r="N6392" s="345" t="s">
        <v>207</v>
      </c>
      <c r="O6392" s="345" t="s">
        <v>208</v>
      </c>
      <c r="P6392" s="345" t="s">
        <v>209</v>
      </c>
      <c r="Q6392" s="345" t="s">
        <v>210</v>
      </c>
      <c r="R6392" s="345" t="s">
        <v>223</v>
      </c>
      <c r="S6392" s="345" t="s">
        <v>224</v>
      </c>
    </row>
    <row r="6393" spans="1:19" x14ac:dyDescent="0.25">
      <c r="A6393" s="311"/>
      <c r="B6393" s="312"/>
      <c r="C6393" s="312"/>
      <c r="D6393" s="312"/>
      <c r="E6393" s="312"/>
      <c r="F6393" s="312"/>
      <c r="G6393" s="328"/>
      <c r="H6393" s="453"/>
      <c r="I6393" s="334"/>
      <c r="J6393" s="314"/>
      <c r="K6393" s="454"/>
      <c r="M6393" s="349" t="str">
        <f>N6393&amp;AS[[#This Row],[Insurer Code]]&amp;"; "&amp;O6393&amp;AS[[#This Row],[Reporting Year]]&amp;"; "&amp;P6393&amp;AS[[#This Row],[Insurance Category Code]]&amp;"; "&amp;Q6393&amp;AS[[#This Row],[Large Provider Entity Code]]&amp;"; "&amp;R6393&amp;AS[[#This Row],[Age Band Code]]&amp;"; "&amp;S6393&amp;AS[[#This Row],[Sex Code]]</f>
        <v xml:space="preserve">Insurer Code ; Reporting Year ; Insurance Category Code ; Large Provider Entity Code ; Age Band Code ; Sex Code </v>
      </c>
      <c r="N6393" s="345" t="s">
        <v>207</v>
      </c>
      <c r="O6393" s="345" t="s">
        <v>208</v>
      </c>
      <c r="P6393" s="345" t="s">
        <v>209</v>
      </c>
      <c r="Q6393" s="345" t="s">
        <v>210</v>
      </c>
      <c r="R6393" s="345" t="s">
        <v>223</v>
      </c>
      <c r="S6393" s="345" t="s">
        <v>224</v>
      </c>
    </row>
    <row r="6394" spans="1:19" x14ac:dyDescent="0.25">
      <c r="A6394" s="311"/>
      <c r="B6394" s="312"/>
      <c r="C6394" s="312"/>
      <c r="D6394" s="312"/>
      <c r="E6394" s="312"/>
      <c r="F6394" s="312"/>
      <c r="G6394" s="328"/>
      <c r="H6394" s="453"/>
      <c r="I6394" s="334"/>
      <c r="J6394" s="314"/>
      <c r="K6394" s="454"/>
      <c r="M6394" s="349" t="str">
        <f>N6394&amp;AS[[#This Row],[Insurer Code]]&amp;"; "&amp;O6394&amp;AS[[#This Row],[Reporting Year]]&amp;"; "&amp;P6394&amp;AS[[#This Row],[Insurance Category Code]]&amp;"; "&amp;Q6394&amp;AS[[#This Row],[Large Provider Entity Code]]&amp;"; "&amp;R6394&amp;AS[[#This Row],[Age Band Code]]&amp;"; "&amp;S6394&amp;AS[[#This Row],[Sex Code]]</f>
        <v xml:space="preserve">Insurer Code ; Reporting Year ; Insurance Category Code ; Large Provider Entity Code ; Age Band Code ; Sex Code </v>
      </c>
      <c r="N6394" s="345" t="s">
        <v>207</v>
      </c>
      <c r="O6394" s="345" t="s">
        <v>208</v>
      </c>
      <c r="P6394" s="345" t="s">
        <v>209</v>
      </c>
      <c r="Q6394" s="345" t="s">
        <v>210</v>
      </c>
      <c r="R6394" s="345" t="s">
        <v>223</v>
      </c>
      <c r="S6394" s="345" t="s">
        <v>224</v>
      </c>
    </row>
    <row r="6395" spans="1:19" x14ac:dyDescent="0.25">
      <c r="A6395" s="311"/>
      <c r="B6395" s="312"/>
      <c r="C6395" s="312"/>
      <c r="D6395" s="312"/>
      <c r="E6395" s="312"/>
      <c r="F6395" s="312"/>
      <c r="G6395" s="328"/>
      <c r="H6395" s="453"/>
      <c r="I6395" s="334"/>
      <c r="J6395" s="314"/>
      <c r="K6395" s="454"/>
      <c r="M6395" s="349" t="str">
        <f>N6395&amp;AS[[#This Row],[Insurer Code]]&amp;"; "&amp;O6395&amp;AS[[#This Row],[Reporting Year]]&amp;"; "&amp;P6395&amp;AS[[#This Row],[Insurance Category Code]]&amp;"; "&amp;Q6395&amp;AS[[#This Row],[Large Provider Entity Code]]&amp;"; "&amp;R6395&amp;AS[[#This Row],[Age Band Code]]&amp;"; "&amp;S6395&amp;AS[[#This Row],[Sex Code]]</f>
        <v xml:space="preserve">Insurer Code ; Reporting Year ; Insurance Category Code ; Large Provider Entity Code ; Age Band Code ; Sex Code </v>
      </c>
      <c r="N6395" s="345" t="s">
        <v>207</v>
      </c>
      <c r="O6395" s="345" t="s">
        <v>208</v>
      </c>
      <c r="P6395" s="345" t="s">
        <v>209</v>
      </c>
      <c r="Q6395" s="345" t="s">
        <v>210</v>
      </c>
      <c r="R6395" s="345" t="s">
        <v>223</v>
      </c>
      <c r="S6395" s="345" t="s">
        <v>224</v>
      </c>
    </row>
    <row r="6396" spans="1:19" x14ac:dyDescent="0.25">
      <c r="A6396" s="311"/>
      <c r="B6396" s="312"/>
      <c r="C6396" s="312"/>
      <c r="D6396" s="312"/>
      <c r="E6396" s="312"/>
      <c r="F6396" s="312"/>
      <c r="G6396" s="328"/>
      <c r="H6396" s="453"/>
      <c r="I6396" s="334"/>
      <c r="J6396" s="314"/>
      <c r="K6396" s="454"/>
      <c r="M6396" s="349" t="str">
        <f>N6396&amp;AS[[#This Row],[Insurer Code]]&amp;"; "&amp;O6396&amp;AS[[#This Row],[Reporting Year]]&amp;"; "&amp;P6396&amp;AS[[#This Row],[Insurance Category Code]]&amp;"; "&amp;Q6396&amp;AS[[#This Row],[Large Provider Entity Code]]&amp;"; "&amp;R6396&amp;AS[[#This Row],[Age Band Code]]&amp;"; "&amp;S6396&amp;AS[[#This Row],[Sex Code]]</f>
        <v xml:space="preserve">Insurer Code ; Reporting Year ; Insurance Category Code ; Large Provider Entity Code ; Age Band Code ; Sex Code </v>
      </c>
      <c r="N6396" s="345" t="s">
        <v>207</v>
      </c>
      <c r="O6396" s="345" t="s">
        <v>208</v>
      </c>
      <c r="P6396" s="345" t="s">
        <v>209</v>
      </c>
      <c r="Q6396" s="345" t="s">
        <v>210</v>
      </c>
      <c r="R6396" s="345" t="s">
        <v>223</v>
      </c>
      <c r="S6396" s="345" t="s">
        <v>224</v>
      </c>
    </row>
    <row r="6397" spans="1:19" x14ac:dyDescent="0.25">
      <c r="A6397" s="311"/>
      <c r="B6397" s="312"/>
      <c r="C6397" s="312"/>
      <c r="D6397" s="312"/>
      <c r="E6397" s="312"/>
      <c r="F6397" s="312"/>
      <c r="G6397" s="328"/>
      <c r="H6397" s="453"/>
      <c r="I6397" s="334"/>
      <c r="J6397" s="314"/>
      <c r="K6397" s="454"/>
      <c r="M6397" s="349" t="str">
        <f>N6397&amp;AS[[#This Row],[Insurer Code]]&amp;"; "&amp;O6397&amp;AS[[#This Row],[Reporting Year]]&amp;"; "&amp;P6397&amp;AS[[#This Row],[Insurance Category Code]]&amp;"; "&amp;Q6397&amp;AS[[#This Row],[Large Provider Entity Code]]&amp;"; "&amp;R6397&amp;AS[[#This Row],[Age Band Code]]&amp;"; "&amp;S6397&amp;AS[[#This Row],[Sex Code]]</f>
        <v xml:space="preserve">Insurer Code ; Reporting Year ; Insurance Category Code ; Large Provider Entity Code ; Age Band Code ; Sex Code </v>
      </c>
      <c r="N6397" s="345" t="s">
        <v>207</v>
      </c>
      <c r="O6397" s="345" t="s">
        <v>208</v>
      </c>
      <c r="P6397" s="345" t="s">
        <v>209</v>
      </c>
      <c r="Q6397" s="345" t="s">
        <v>210</v>
      </c>
      <c r="R6397" s="345" t="s">
        <v>223</v>
      </c>
      <c r="S6397" s="345" t="s">
        <v>224</v>
      </c>
    </row>
    <row r="6398" spans="1:19" x14ac:dyDescent="0.25">
      <c r="A6398" s="311"/>
      <c r="B6398" s="312"/>
      <c r="C6398" s="312"/>
      <c r="D6398" s="312"/>
      <c r="E6398" s="312"/>
      <c r="F6398" s="312"/>
      <c r="G6398" s="328"/>
      <c r="H6398" s="453"/>
      <c r="I6398" s="334"/>
      <c r="J6398" s="314"/>
      <c r="K6398" s="454"/>
      <c r="M6398" s="349" t="str">
        <f>N6398&amp;AS[[#This Row],[Insurer Code]]&amp;"; "&amp;O6398&amp;AS[[#This Row],[Reporting Year]]&amp;"; "&amp;P6398&amp;AS[[#This Row],[Insurance Category Code]]&amp;"; "&amp;Q6398&amp;AS[[#This Row],[Large Provider Entity Code]]&amp;"; "&amp;R6398&amp;AS[[#This Row],[Age Band Code]]&amp;"; "&amp;S6398&amp;AS[[#This Row],[Sex Code]]</f>
        <v xml:space="preserve">Insurer Code ; Reporting Year ; Insurance Category Code ; Large Provider Entity Code ; Age Band Code ; Sex Code </v>
      </c>
      <c r="N6398" s="345" t="s">
        <v>207</v>
      </c>
      <c r="O6398" s="345" t="s">
        <v>208</v>
      </c>
      <c r="P6398" s="345" t="s">
        <v>209</v>
      </c>
      <c r="Q6398" s="345" t="s">
        <v>210</v>
      </c>
      <c r="R6398" s="345" t="s">
        <v>223</v>
      </c>
      <c r="S6398" s="345" t="s">
        <v>224</v>
      </c>
    </row>
    <row r="6399" spans="1:19" x14ac:dyDescent="0.25">
      <c r="A6399" s="311"/>
      <c r="B6399" s="312"/>
      <c r="C6399" s="312"/>
      <c r="D6399" s="312"/>
      <c r="E6399" s="312"/>
      <c r="F6399" s="312"/>
      <c r="G6399" s="328"/>
      <c r="H6399" s="453"/>
      <c r="I6399" s="334"/>
      <c r="J6399" s="314"/>
      <c r="K6399" s="454"/>
      <c r="M6399" s="349" t="str">
        <f>N6399&amp;AS[[#This Row],[Insurer Code]]&amp;"; "&amp;O6399&amp;AS[[#This Row],[Reporting Year]]&amp;"; "&amp;P6399&amp;AS[[#This Row],[Insurance Category Code]]&amp;"; "&amp;Q6399&amp;AS[[#This Row],[Large Provider Entity Code]]&amp;"; "&amp;R6399&amp;AS[[#This Row],[Age Band Code]]&amp;"; "&amp;S6399&amp;AS[[#This Row],[Sex Code]]</f>
        <v xml:space="preserve">Insurer Code ; Reporting Year ; Insurance Category Code ; Large Provider Entity Code ; Age Band Code ; Sex Code </v>
      </c>
      <c r="N6399" s="345" t="s">
        <v>207</v>
      </c>
      <c r="O6399" s="345" t="s">
        <v>208</v>
      </c>
      <c r="P6399" s="345" t="s">
        <v>209</v>
      </c>
      <c r="Q6399" s="345" t="s">
        <v>210</v>
      </c>
      <c r="R6399" s="345" t="s">
        <v>223</v>
      </c>
      <c r="S6399" s="345" t="s">
        <v>224</v>
      </c>
    </row>
    <row r="6400" spans="1:19" x14ac:dyDescent="0.25">
      <c r="A6400" s="311"/>
      <c r="B6400" s="312"/>
      <c r="C6400" s="312"/>
      <c r="D6400" s="312"/>
      <c r="E6400" s="312"/>
      <c r="F6400" s="312"/>
      <c r="G6400" s="328"/>
      <c r="H6400" s="453"/>
      <c r="I6400" s="334"/>
      <c r="J6400" s="314"/>
      <c r="K6400" s="454"/>
      <c r="M6400" s="349" t="str">
        <f>N6400&amp;AS[[#This Row],[Insurer Code]]&amp;"; "&amp;O6400&amp;AS[[#This Row],[Reporting Year]]&amp;"; "&amp;P6400&amp;AS[[#This Row],[Insurance Category Code]]&amp;"; "&amp;Q6400&amp;AS[[#This Row],[Large Provider Entity Code]]&amp;"; "&amp;R6400&amp;AS[[#This Row],[Age Band Code]]&amp;"; "&amp;S6400&amp;AS[[#This Row],[Sex Code]]</f>
        <v xml:space="preserve">Insurer Code ; Reporting Year ; Insurance Category Code ; Large Provider Entity Code ; Age Band Code ; Sex Code </v>
      </c>
      <c r="N6400" s="345" t="s">
        <v>207</v>
      </c>
      <c r="O6400" s="345" t="s">
        <v>208</v>
      </c>
      <c r="P6400" s="345" t="s">
        <v>209</v>
      </c>
      <c r="Q6400" s="345" t="s">
        <v>210</v>
      </c>
      <c r="R6400" s="345" t="s">
        <v>223</v>
      </c>
      <c r="S6400" s="345" t="s">
        <v>224</v>
      </c>
    </row>
    <row r="6401" spans="1:19" x14ac:dyDescent="0.25">
      <c r="A6401" s="311"/>
      <c r="B6401" s="312"/>
      <c r="C6401" s="312"/>
      <c r="D6401" s="312"/>
      <c r="E6401" s="312"/>
      <c r="F6401" s="312"/>
      <c r="G6401" s="328"/>
      <c r="H6401" s="453"/>
      <c r="I6401" s="334"/>
      <c r="J6401" s="314"/>
      <c r="K6401" s="454"/>
      <c r="M6401" s="349" t="str">
        <f>N6401&amp;AS[[#This Row],[Insurer Code]]&amp;"; "&amp;O6401&amp;AS[[#This Row],[Reporting Year]]&amp;"; "&amp;P6401&amp;AS[[#This Row],[Insurance Category Code]]&amp;"; "&amp;Q6401&amp;AS[[#This Row],[Large Provider Entity Code]]&amp;"; "&amp;R6401&amp;AS[[#This Row],[Age Band Code]]&amp;"; "&amp;S6401&amp;AS[[#This Row],[Sex Code]]</f>
        <v xml:space="preserve">Insurer Code ; Reporting Year ; Insurance Category Code ; Large Provider Entity Code ; Age Band Code ; Sex Code </v>
      </c>
      <c r="N6401" s="345" t="s">
        <v>207</v>
      </c>
      <c r="O6401" s="345" t="s">
        <v>208</v>
      </c>
      <c r="P6401" s="345" t="s">
        <v>209</v>
      </c>
      <c r="Q6401" s="345" t="s">
        <v>210</v>
      </c>
      <c r="R6401" s="345" t="s">
        <v>223</v>
      </c>
      <c r="S6401" s="345" t="s">
        <v>224</v>
      </c>
    </row>
    <row r="6402" spans="1:19" x14ac:dyDescent="0.25">
      <c r="A6402" s="311"/>
      <c r="B6402" s="312"/>
      <c r="C6402" s="312"/>
      <c r="D6402" s="312"/>
      <c r="E6402" s="312"/>
      <c r="F6402" s="312"/>
      <c r="G6402" s="328"/>
      <c r="H6402" s="453"/>
      <c r="I6402" s="334"/>
      <c r="J6402" s="314"/>
      <c r="K6402" s="454"/>
      <c r="M6402" s="349" t="str">
        <f>N6402&amp;AS[[#This Row],[Insurer Code]]&amp;"; "&amp;O6402&amp;AS[[#This Row],[Reporting Year]]&amp;"; "&amp;P6402&amp;AS[[#This Row],[Insurance Category Code]]&amp;"; "&amp;Q6402&amp;AS[[#This Row],[Large Provider Entity Code]]&amp;"; "&amp;R6402&amp;AS[[#This Row],[Age Band Code]]&amp;"; "&amp;S6402&amp;AS[[#This Row],[Sex Code]]</f>
        <v xml:space="preserve">Insurer Code ; Reporting Year ; Insurance Category Code ; Large Provider Entity Code ; Age Band Code ; Sex Code </v>
      </c>
      <c r="N6402" s="345" t="s">
        <v>207</v>
      </c>
      <c r="O6402" s="345" t="s">
        <v>208</v>
      </c>
      <c r="P6402" s="345" t="s">
        <v>209</v>
      </c>
      <c r="Q6402" s="345" t="s">
        <v>210</v>
      </c>
      <c r="R6402" s="345" t="s">
        <v>223</v>
      </c>
      <c r="S6402" s="345" t="s">
        <v>224</v>
      </c>
    </row>
    <row r="6403" spans="1:19" x14ac:dyDescent="0.25">
      <c r="A6403" s="311"/>
      <c r="B6403" s="312"/>
      <c r="C6403" s="312"/>
      <c r="D6403" s="312"/>
      <c r="E6403" s="312"/>
      <c r="F6403" s="312"/>
      <c r="G6403" s="328"/>
      <c r="H6403" s="453"/>
      <c r="I6403" s="334"/>
      <c r="J6403" s="314"/>
      <c r="K6403" s="454"/>
      <c r="M6403" s="349" t="str">
        <f>N6403&amp;AS[[#This Row],[Insurer Code]]&amp;"; "&amp;O6403&amp;AS[[#This Row],[Reporting Year]]&amp;"; "&amp;P6403&amp;AS[[#This Row],[Insurance Category Code]]&amp;"; "&amp;Q6403&amp;AS[[#This Row],[Large Provider Entity Code]]&amp;"; "&amp;R6403&amp;AS[[#This Row],[Age Band Code]]&amp;"; "&amp;S6403&amp;AS[[#This Row],[Sex Code]]</f>
        <v xml:space="preserve">Insurer Code ; Reporting Year ; Insurance Category Code ; Large Provider Entity Code ; Age Band Code ; Sex Code </v>
      </c>
      <c r="N6403" s="345" t="s">
        <v>207</v>
      </c>
      <c r="O6403" s="345" t="s">
        <v>208</v>
      </c>
      <c r="P6403" s="345" t="s">
        <v>209</v>
      </c>
      <c r="Q6403" s="345" t="s">
        <v>210</v>
      </c>
      <c r="R6403" s="345" t="s">
        <v>223</v>
      </c>
      <c r="S6403" s="345" t="s">
        <v>224</v>
      </c>
    </row>
    <row r="6404" spans="1:19" x14ac:dyDescent="0.25">
      <c r="A6404" s="311"/>
      <c r="B6404" s="312"/>
      <c r="C6404" s="312"/>
      <c r="D6404" s="312"/>
      <c r="E6404" s="312"/>
      <c r="F6404" s="312"/>
      <c r="G6404" s="328"/>
      <c r="H6404" s="453"/>
      <c r="I6404" s="334"/>
      <c r="J6404" s="314"/>
      <c r="K6404" s="454"/>
      <c r="M6404" s="349" t="str">
        <f>N6404&amp;AS[[#This Row],[Insurer Code]]&amp;"; "&amp;O6404&amp;AS[[#This Row],[Reporting Year]]&amp;"; "&amp;P6404&amp;AS[[#This Row],[Insurance Category Code]]&amp;"; "&amp;Q6404&amp;AS[[#This Row],[Large Provider Entity Code]]&amp;"; "&amp;R6404&amp;AS[[#This Row],[Age Band Code]]&amp;"; "&amp;S6404&amp;AS[[#This Row],[Sex Code]]</f>
        <v xml:space="preserve">Insurer Code ; Reporting Year ; Insurance Category Code ; Large Provider Entity Code ; Age Band Code ; Sex Code </v>
      </c>
      <c r="N6404" s="345" t="s">
        <v>207</v>
      </c>
      <c r="O6404" s="345" t="s">
        <v>208</v>
      </c>
      <c r="P6404" s="345" t="s">
        <v>209</v>
      </c>
      <c r="Q6404" s="345" t="s">
        <v>210</v>
      </c>
      <c r="R6404" s="345" t="s">
        <v>223</v>
      </c>
      <c r="S6404" s="345" t="s">
        <v>224</v>
      </c>
    </row>
    <row r="6405" spans="1:19" x14ac:dyDescent="0.25">
      <c r="A6405" s="311"/>
      <c r="B6405" s="312"/>
      <c r="C6405" s="312"/>
      <c r="D6405" s="312"/>
      <c r="E6405" s="312"/>
      <c r="F6405" s="312"/>
      <c r="G6405" s="328"/>
      <c r="H6405" s="453"/>
      <c r="I6405" s="334"/>
      <c r="J6405" s="314"/>
      <c r="K6405" s="454"/>
      <c r="M6405" s="349" t="str">
        <f>N6405&amp;AS[[#This Row],[Insurer Code]]&amp;"; "&amp;O6405&amp;AS[[#This Row],[Reporting Year]]&amp;"; "&amp;P6405&amp;AS[[#This Row],[Insurance Category Code]]&amp;"; "&amp;Q6405&amp;AS[[#This Row],[Large Provider Entity Code]]&amp;"; "&amp;R6405&amp;AS[[#This Row],[Age Band Code]]&amp;"; "&amp;S6405&amp;AS[[#This Row],[Sex Code]]</f>
        <v xml:space="preserve">Insurer Code ; Reporting Year ; Insurance Category Code ; Large Provider Entity Code ; Age Band Code ; Sex Code </v>
      </c>
      <c r="N6405" s="345" t="s">
        <v>207</v>
      </c>
      <c r="O6405" s="345" t="s">
        <v>208</v>
      </c>
      <c r="P6405" s="345" t="s">
        <v>209</v>
      </c>
      <c r="Q6405" s="345" t="s">
        <v>210</v>
      </c>
      <c r="R6405" s="345" t="s">
        <v>223</v>
      </c>
      <c r="S6405" s="345" t="s">
        <v>224</v>
      </c>
    </row>
    <row r="6406" spans="1:19" x14ac:dyDescent="0.25">
      <c r="A6406" s="311"/>
      <c r="B6406" s="312"/>
      <c r="C6406" s="312"/>
      <c r="D6406" s="312"/>
      <c r="E6406" s="312"/>
      <c r="F6406" s="312"/>
      <c r="G6406" s="328"/>
      <c r="H6406" s="453"/>
      <c r="I6406" s="334"/>
      <c r="J6406" s="314"/>
      <c r="K6406" s="454"/>
      <c r="M6406" s="349" t="str">
        <f>N6406&amp;AS[[#This Row],[Insurer Code]]&amp;"; "&amp;O6406&amp;AS[[#This Row],[Reporting Year]]&amp;"; "&amp;P6406&amp;AS[[#This Row],[Insurance Category Code]]&amp;"; "&amp;Q6406&amp;AS[[#This Row],[Large Provider Entity Code]]&amp;"; "&amp;R6406&amp;AS[[#This Row],[Age Band Code]]&amp;"; "&amp;S6406&amp;AS[[#This Row],[Sex Code]]</f>
        <v xml:space="preserve">Insurer Code ; Reporting Year ; Insurance Category Code ; Large Provider Entity Code ; Age Band Code ; Sex Code </v>
      </c>
      <c r="N6406" s="345" t="s">
        <v>207</v>
      </c>
      <c r="O6406" s="345" t="s">
        <v>208</v>
      </c>
      <c r="P6406" s="345" t="s">
        <v>209</v>
      </c>
      <c r="Q6406" s="345" t="s">
        <v>210</v>
      </c>
      <c r="R6406" s="345" t="s">
        <v>223</v>
      </c>
      <c r="S6406" s="345" t="s">
        <v>224</v>
      </c>
    </row>
    <row r="6407" spans="1:19" x14ac:dyDescent="0.25">
      <c r="A6407" s="311"/>
      <c r="B6407" s="312"/>
      <c r="C6407" s="312"/>
      <c r="D6407" s="312"/>
      <c r="E6407" s="312"/>
      <c r="F6407" s="312"/>
      <c r="G6407" s="328"/>
      <c r="H6407" s="453"/>
      <c r="I6407" s="334"/>
      <c r="J6407" s="314"/>
      <c r="K6407" s="454"/>
      <c r="M6407" s="349" t="str">
        <f>N6407&amp;AS[[#This Row],[Insurer Code]]&amp;"; "&amp;O6407&amp;AS[[#This Row],[Reporting Year]]&amp;"; "&amp;P6407&amp;AS[[#This Row],[Insurance Category Code]]&amp;"; "&amp;Q6407&amp;AS[[#This Row],[Large Provider Entity Code]]&amp;"; "&amp;R6407&amp;AS[[#This Row],[Age Band Code]]&amp;"; "&amp;S6407&amp;AS[[#This Row],[Sex Code]]</f>
        <v xml:space="preserve">Insurer Code ; Reporting Year ; Insurance Category Code ; Large Provider Entity Code ; Age Band Code ; Sex Code </v>
      </c>
      <c r="N6407" s="345" t="s">
        <v>207</v>
      </c>
      <c r="O6407" s="345" t="s">
        <v>208</v>
      </c>
      <c r="P6407" s="345" t="s">
        <v>209</v>
      </c>
      <c r="Q6407" s="345" t="s">
        <v>210</v>
      </c>
      <c r="R6407" s="345" t="s">
        <v>223</v>
      </c>
      <c r="S6407" s="345" t="s">
        <v>224</v>
      </c>
    </row>
    <row r="6408" spans="1:19" x14ac:dyDescent="0.25">
      <c r="A6408" s="311"/>
      <c r="B6408" s="312"/>
      <c r="C6408" s="312"/>
      <c r="D6408" s="312"/>
      <c r="E6408" s="312"/>
      <c r="F6408" s="312"/>
      <c r="G6408" s="328"/>
      <c r="H6408" s="453"/>
      <c r="I6408" s="334"/>
      <c r="J6408" s="314"/>
      <c r="K6408" s="454"/>
      <c r="M6408" s="349" t="str">
        <f>N6408&amp;AS[[#This Row],[Insurer Code]]&amp;"; "&amp;O6408&amp;AS[[#This Row],[Reporting Year]]&amp;"; "&amp;P6408&amp;AS[[#This Row],[Insurance Category Code]]&amp;"; "&amp;Q6408&amp;AS[[#This Row],[Large Provider Entity Code]]&amp;"; "&amp;R6408&amp;AS[[#This Row],[Age Band Code]]&amp;"; "&amp;S6408&amp;AS[[#This Row],[Sex Code]]</f>
        <v xml:space="preserve">Insurer Code ; Reporting Year ; Insurance Category Code ; Large Provider Entity Code ; Age Band Code ; Sex Code </v>
      </c>
      <c r="N6408" s="345" t="s">
        <v>207</v>
      </c>
      <c r="O6408" s="345" t="s">
        <v>208</v>
      </c>
      <c r="P6408" s="345" t="s">
        <v>209</v>
      </c>
      <c r="Q6408" s="345" t="s">
        <v>210</v>
      </c>
      <c r="R6408" s="345" t="s">
        <v>223</v>
      </c>
      <c r="S6408" s="345" t="s">
        <v>224</v>
      </c>
    </row>
    <row r="6409" spans="1:19" x14ac:dyDescent="0.25">
      <c r="A6409" s="311"/>
      <c r="B6409" s="312"/>
      <c r="C6409" s="312"/>
      <c r="D6409" s="312"/>
      <c r="E6409" s="312"/>
      <c r="F6409" s="312"/>
      <c r="G6409" s="328"/>
      <c r="H6409" s="453"/>
      <c r="I6409" s="334"/>
      <c r="J6409" s="314"/>
      <c r="K6409" s="454"/>
      <c r="M6409" s="349" t="str">
        <f>N6409&amp;AS[[#This Row],[Insurer Code]]&amp;"; "&amp;O6409&amp;AS[[#This Row],[Reporting Year]]&amp;"; "&amp;P6409&amp;AS[[#This Row],[Insurance Category Code]]&amp;"; "&amp;Q6409&amp;AS[[#This Row],[Large Provider Entity Code]]&amp;"; "&amp;R6409&amp;AS[[#This Row],[Age Band Code]]&amp;"; "&amp;S6409&amp;AS[[#This Row],[Sex Code]]</f>
        <v xml:space="preserve">Insurer Code ; Reporting Year ; Insurance Category Code ; Large Provider Entity Code ; Age Band Code ; Sex Code </v>
      </c>
      <c r="N6409" s="345" t="s">
        <v>207</v>
      </c>
      <c r="O6409" s="345" t="s">
        <v>208</v>
      </c>
      <c r="P6409" s="345" t="s">
        <v>209</v>
      </c>
      <c r="Q6409" s="345" t="s">
        <v>210</v>
      </c>
      <c r="R6409" s="345" t="s">
        <v>223</v>
      </c>
      <c r="S6409" s="345" t="s">
        <v>224</v>
      </c>
    </row>
    <row r="6410" spans="1:19" x14ac:dyDescent="0.25">
      <c r="A6410" s="311"/>
      <c r="B6410" s="312"/>
      <c r="C6410" s="312"/>
      <c r="D6410" s="312"/>
      <c r="E6410" s="312"/>
      <c r="F6410" s="312"/>
      <c r="G6410" s="328"/>
      <c r="H6410" s="453"/>
      <c r="I6410" s="334"/>
      <c r="J6410" s="314"/>
      <c r="K6410" s="454"/>
      <c r="M6410" s="349" t="str">
        <f>N6410&amp;AS[[#This Row],[Insurer Code]]&amp;"; "&amp;O6410&amp;AS[[#This Row],[Reporting Year]]&amp;"; "&amp;P6410&amp;AS[[#This Row],[Insurance Category Code]]&amp;"; "&amp;Q6410&amp;AS[[#This Row],[Large Provider Entity Code]]&amp;"; "&amp;R6410&amp;AS[[#This Row],[Age Band Code]]&amp;"; "&amp;S6410&amp;AS[[#This Row],[Sex Code]]</f>
        <v xml:space="preserve">Insurer Code ; Reporting Year ; Insurance Category Code ; Large Provider Entity Code ; Age Band Code ; Sex Code </v>
      </c>
      <c r="N6410" s="345" t="s">
        <v>207</v>
      </c>
      <c r="O6410" s="345" t="s">
        <v>208</v>
      </c>
      <c r="P6410" s="345" t="s">
        <v>209</v>
      </c>
      <c r="Q6410" s="345" t="s">
        <v>210</v>
      </c>
      <c r="R6410" s="345" t="s">
        <v>223</v>
      </c>
      <c r="S6410" s="345" t="s">
        <v>224</v>
      </c>
    </row>
    <row r="6411" spans="1:19" x14ac:dyDescent="0.25">
      <c r="A6411" s="311"/>
      <c r="B6411" s="312"/>
      <c r="C6411" s="312"/>
      <c r="D6411" s="312"/>
      <c r="E6411" s="312"/>
      <c r="F6411" s="312"/>
      <c r="G6411" s="328"/>
      <c r="H6411" s="453"/>
      <c r="I6411" s="334"/>
      <c r="J6411" s="314"/>
      <c r="K6411" s="454"/>
      <c r="M6411" s="349" t="str">
        <f>N6411&amp;AS[[#This Row],[Insurer Code]]&amp;"; "&amp;O6411&amp;AS[[#This Row],[Reporting Year]]&amp;"; "&amp;P6411&amp;AS[[#This Row],[Insurance Category Code]]&amp;"; "&amp;Q6411&amp;AS[[#This Row],[Large Provider Entity Code]]&amp;"; "&amp;R6411&amp;AS[[#This Row],[Age Band Code]]&amp;"; "&amp;S6411&amp;AS[[#This Row],[Sex Code]]</f>
        <v xml:space="preserve">Insurer Code ; Reporting Year ; Insurance Category Code ; Large Provider Entity Code ; Age Band Code ; Sex Code </v>
      </c>
      <c r="N6411" s="345" t="s">
        <v>207</v>
      </c>
      <c r="O6411" s="345" t="s">
        <v>208</v>
      </c>
      <c r="P6411" s="345" t="s">
        <v>209</v>
      </c>
      <c r="Q6411" s="345" t="s">
        <v>210</v>
      </c>
      <c r="R6411" s="345" t="s">
        <v>223</v>
      </c>
      <c r="S6411" s="345" t="s">
        <v>224</v>
      </c>
    </row>
    <row r="6412" spans="1:19" x14ac:dyDescent="0.25">
      <c r="A6412" s="311"/>
      <c r="B6412" s="312"/>
      <c r="C6412" s="312"/>
      <c r="D6412" s="312"/>
      <c r="E6412" s="312"/>
      <c r="F6412" s="312"/>
      <c r="G6412" s="328"/>
      <c r="H6412" s="453"/>
      <c r="I6412" s="334"/>
      <c r="J6412" s="314"/>
      <c r="K6412" s="454"/>
      <c r="M6412" s="349" t="str">
        <f>N6412&amp;AS[[#This Row],[Insurer Code]]&amp;"; "&amp;O6412&amp;AS[[#This Row],[Reporting Year]]&amp;"; "&amp;P6412&amp;AS[[#This Row],[Insurance Category Code]]&amp;"; "&amp;Q6412&amp;AS[[#This Row],[Large Provider Entity Code]]&amp;"; "&amp;R6412&amp;AS[[#This Row],[Age Band Code]]&amp;"; "&amp;S6412&amp;AS[[#This Row],[Sex Code]]</f>
        <v xml:space="preserve">Insurer Code ; Reporting Year ; Insurance Category Code ; Large Provider Entity Code ; Age Band Code ; Sex Code </v>
      </c>
      <c r="N6412" s="345" t="s">
        <v>207</v>
      </c>
      <c r="O6412" s="345" t="s">
        <v>208</v>
      </c>
      <c r="P6412" s="345" t="s">
        <v>209</v>
      </c>
      <c r="Q6412" s="345" t="s">
        <v>210</v>
      </c>
      <c r="R6412" s="345" t="s">
        <v>223</v>
      </c>
      <c r="S6412" s="345" t="s">
        <v>224</v>
      </c>
    </row>
    <row r="6413" spans="1:19" x14ac:dyDescent="0.25">
      <c r="A6413" s="311"/>
      <c r="B6413" s="312"/>
      <c r="C6413" s="312"/>
      <c r="D6413" s="312"/>
      <c r="E6413" s="312"/>
      <c r="F6413" s="312"/>
      <c r="G6413" s="328"/>
      <c r="H6413" s="453"/>
      <c r="I6413" s="334"/>
      <c r="J6413" s="314"/>
      <c r="K6413" s="454"/>
      <c r="M6413" s="349" t="str">
        <f>N6413&amp;AS[[#This Row],[Insurer Code]]&amp;"; "&amp;O6413&amp;AS[[#This Row],[Reporting Year]]&amp;"; "&amp;P6413&amp;AS[[#This Row],[Insurance Category Code]]&amp;"; "&amp;Q6413&amp;AS[[#This Row],[Large Provider Entity Code]]&amp;"; "&amp;R6413&amp;AS[[#This Row],[Age Band Code]]&amp;"; "&amp;S6413&amp;AS[[#This Row],[Sex Code]]</f>
        <v xml:space="preserve">Insurer Code ; Reporting Year ; Insurance Category Code ; Large Provider Entity Code ; Age Band Code ; Sex Code </v>
      </c>
      <c r="N6413" s="345" t="s">
        <v>207</v>
      </c>
      <c r="O6413" s="345" t="s">
        <v>208</v>
      </c>
      <c r="P6413" s="345" t="s">
        <v>209</v>
      </c>
      <c r="Q6413" s="345" t="s">
        <v>210</v>
      </c>
      <c r="R6413" s="345" t="s">
        <v>223</v>
      </c>
      <c r="S6413" s="345" t="s">
        <v>224</v>
      </c>
    </row>
    <row r="6414" spans="1:19" x14ac:dyDescent="0.25">
      <c r="A6414" s="311"/>
      <c r="B6414" s="312"/>
      <c r="C6414" s="312"/>
      <c r="D6414" s="312"/>
      <c r="E6414" s="312"/>
      <c r="F6414" s="312"/>
      <c r="G6414" s="328"/>
      <c r="H6414" s="453"/>
      <c r="I6414" s="334"/>
      <c r="J6414" s="314"/>
      <c r="K6414" s="454"/>
      <c r="M6414" s="349" t="str">
        <f>N6414&amp;AS[[#This Row],[Insurer Code]]&amp;"; "&amp;O6414&amp;AS[[#This Row],[Reporting Year]]&amp;"; "&amp;P6414&amp;AS[[#This Row],[Insurance Category Code]]&amp;"; "&amp;Q6414&amp;AS[[#This Row],[Large Provider Entity Code]]&amp;"; "&amp;R6414&amp;AS[[#This Row],[Age Band Code]]&amp;"; "&amp;S6414&amp;AS[[#This Row],[Sex Code]]</f>
        <v xml:space="preserve">Insurer Code ; Reporting Year ; Insurance Category Code ; Large Provider Entity Code ; Age Band Code ; Sex Code </v>
      </c>
      <c r="N6414" s="345" t="s">
        <v>207</v>
      </c>
      <c r="O6414" s="345" t="s">
        <v>208</v>
      </c>
      <c r="P6414" s="345" t="s">
        <v>209</v>
      </c>
      <c r="Q6414" s="345" t="s">
        <v>210</v>
      </c>
      <c r="R6414" s="345" t="s">
        <v>223</v>
      </c>
      <c r="S6414" s="345" t="s">
        <v>224</v>
      </c>
    </row>
    <row r="6415" spans="1:19" x14ac:dyDescent="0.25">
      <c r="A6415" s="311"/>
      <c r="B6415" s="312"/>
      <c r="C6415" s="312"/>
      <c r="D6415" s="312"/>
      <c r="E6415" s="312"/>
      <c r="F6415" s="312"/>
      <c r="G6415" s="328"/>
      <c r="H6415" s="453"/>
      <c r="I6415" s="334"/>
      <c r="J6415" s="314"/>
      <c r="K6415" s="454"/>
      <c r="M6415" s="349" t="str">
        <f>N6415&amp;AS[[#This Row],[Insurer Code]]&amp;"; "&amp;O6415&amp;AS[[#This Row],[Reporting Year]]&amp;"; "&amp;P6415&amp;AS[[#This Row],[Insurance Category Code]]&amp;"; "&amp;Q6415&amp;AS[[#This Row],[Large Provider Entity Code]]&amp;"; "&amp;R6415&amp;AS[[#This Row],[Age Band Code]]&amp;"; "&amp;S6415&amp;AS[[#This Row],[Sex Code]]</f>
        <v xml:space="preserve">Insurer Code ; Reporting Year ; Insurance Category Code ; Large Provider Entity Code ; Age Band Code ; Sex Code </v>
      </c>
      <c r="N6415" s="345" t="s">
        <v>207</v>
      </c>
      <c r="O6415" s="345" t="s">
        <v>208</v>
      </c>
      <c r="P6415" s="345" t="s">
        <v>209</v>
      </c>
      <c r="Q6415" s="345" t="s">
        <v>210</v>
      </c>
      <c r="R6415" s="345" t="s">
        <v>223</v>
      </c>
      <c r="S6415" s="345" t="s">
        <v>224</v>
      </c>
    </row>
    <row r="6416" spans="1:19" x14ac:dyDescent="0.25">
      <c r="A6416" s="311"/>
      <c r="B6416" s="312"/>
      <c r="C6416" s="312"/>
      <c r="D6416" s="312"/>
      <c r="E6416" s="312"/>
      <c r="F6416" s="312"/>
      <c r="G6416" s="328"/>
      <c r="H6416" s="453"/>
      <c r="I6416" s="334"/>
      <c r="J6416" s="314"/>
      <c r="K6416" s="454"/>
      <c r="M6416" s="349" t="str">
        <f>N6416&amp;AS[[#This Row],[Insurer Code]]&amp;"; "&amp;O6416&amp;AS[[#This Row],[Reporting Year]]&amp;"; "&amp;P6416&amp;AS[[#This Row],[Insurance Category Code]]&amp;"; "&amp;Q6416&amp;AS[[#This Row],[Large Provider Entity Code]]&amp;"; "&amp;R6416&amp;AS[[#This Row],[Age Band Code]]&amp;"; "&amp;S6416&amp;AS[[#This Row],[Sex Code]]</f>
        <v xml:space="preserve">Insurer Code ; Reporting Year ; Insurance Category Code ; Large Provider Entity Code ; Age Band Code ; Sex Code </v>
      </c>
      <c r="N6416" s="345" t="s">
        <v>207</v>
      </c>
      <c r="O6416" s="345" t="s">
        <v>208</v>
      </c>
      <c r="P6416" s="345" t="s">
        <v>209</v>
      </c>
      <c r="Q6416" s="345" t="s">
        <v>210</v>
      </c>
      <c r="R6416" s="345" t="s">
        <v>223</v>
      </c>
      <c r="S6416" s="345" t="s">
        <v>224</v>
      </c>
    </row>
    <row r="6417" spans="1:19" x14ac:dyDescent="0.25">
      <c r="A6417" s="311"/>
      <c r="B6417" s="312"/>
      <c r="C6417" s="312"/>
      <c r="D6417" s="312"/>
      <c r="E6417" s="312"/>
      <c r="F6417" s="312"/>
      <c r="G6417" s="328"/>
      <c r="H6417" s="453"/>
      <c r="I6417" s="334"/>
      <c r="J6417" s="314"/>
      <c r="K6417" s="454"/>
      <c r="M6417" s="349" t="str">
        <f>N6417&amp;AS[[#This Row],[Insurer Code]]&amp;"; "&amp;O6417&amp;AS[[#This Row],[Reporting Year]]&amp;"; "&amp;P6417&amp;AS[[#This Row],[Insurance Category Code]]&amp;"; "&amp;Q6417&amp;AS[[#This Row],[Large Provider Entity Code]]&amp;"; "&amp;R6417&amp;AS[[#This Row],[Age Band Code]]&amp;"; "&amp;S6417&amp;AS[[#This Row],[Sex Code]]</f>
        <v xml:space="preserve">Insurer Code ; Reporting Year ; Insurance Category Code ; Large Provider Entity Code ; Age Band Code ; Sex Code </v>
      </c>
      <c r="N6417" s="345" t="s">
        <v>207</v>
      </c>
      <c r="O6417" s="345" t="s">
        <v>208</v>
      </c>
      <c r="P6417" s="345" t="s">
        <v>209</v>
      </c>
      <c r="Q6417" s="345" t="s">
        <v>210</v>
      </c>
      <c r="R6417" s="345" t="s">
        <v>223</v>
      </c>
      <c r="S6417" s="345" t="s">
        <v>224</v>
      </c>
    </row>
    <row r="6418" spans="1:19" x14ac:dyDescent="0.25">
      <c r="A6418" s="311"/>
      <c r="B6418" s="312"/>
      <c r="C6418" s="312"/>
      <c r="D6418" s="312"/>
      <c r="E6418" s="312"/>
      <c r="F6418" s="312"/>
      <c r="G6418" s="328"/>
      <c r="H6418" s="453"/>
      <c r="I6418" s="334"/>
      <c r="J6418" s="314"/>
      <c r="K6418" s="454"/>
      <c r="M6418" s="349" t="str">
        <f>N6418&amp;AS[[#This Row],[Insurer Code]]&amp;"; "&amp;O6418&amp;AS[[#This Row],[Reporting Year]]&amp;"; "&amp;P6418&amp;AS[[#This Row],[Insurance Category Code]]&amp;"; "&amp;Q6418&amp;AS[[#This Row],[Large Provider Entity Code]]&amp;"; "&amp;R6418&amp;AS[[#This Row],[Age Band Code]]&amp;"; "&amp;S6418&amp;AS[[#This Row],[Sex Code]]</f>
        <v xml:space="preserve">Insurer Code ; Reporting Year ; Insurance Category Code ; Large Provider Entity Code ; Age Band Code ; Sex Code </v>
      </c>
      <c r="N6418" s="345" t="s">
        <v>207</v>
      </c>
      <c r="O6418" s="345" t="s">
        <v>208</v>
      </c>
      <c r="P6418" s="345" t="s">
        <v>209</v>
      </c>
      <c r="Q6418" s="345" t="s">
        <v>210</v>
      </c>
      <c r="R6418" s="345" t="s">
        <v>223</v>
      </c>
      <c r="S6418" s="345" t="s">
        <v>224</v>
      </c>
    </row>
    <row r="6419" spans="1:19" x14ac:dyDescent="0.25">
      <c r="A6419" s="311"/>
      <c r="B6419" s="312"/>
      <c r="C6419" s="312"/>
      <c r="D6419" s="312"/>
      <c r="E6419" s="312"/>
      <c r="F6419" s="312"/>
      <c r="G6419" s="328"/>
      <c r="H6419" s="453"/>
      <c r="I6419" s="334"/>
      <c r="J6419" s="314"/>
      <c r="K6419" s="454"/>
      <c r="M6419" s="349" t="str">
        <f>N6419&amp;AS[[#This Row],[Insurer Code]]&amp;"; "&amp;O6419&amp;AS[[#This Row],[Reporting Year]]&amp;"; "&amp;P6419&amp;AS[[#This Row],[Insurance Category Code]]&amp;"; "&amp;Q6419&amp;AS[[#This Row],[Large Provider Entity Code]]&amp;"; "&amp;R6419&amp;AS[[#This Row],[Age Band Code]]&amp;"; "&amp;S6419&amp;AS[[#This Row],[Sex Code]]</f>
        <v xml:space="preserve">Insurer Code ; Reporting Year ; Insurance Category Code ; Large Provider Entity Code ; Age Band Code ; Sex Code </v>
      </c>
      <c r="N6419" s="345" t="s">
        <v>207</v>
      </c>
      <c r="O6419" s="345" t="s">
        <v>208</v>
      </c>
      <c r="P6419" s="345" t="s">
        <v>209</v>
      </c>
      <c r="Q6419" s="345" t="s">
        <v>210</v>
      </c>
      <c r="R6419" s="345" t="s">
        <v>223</v>
      </c>
      <c r="S6419" s="345" t="s">
        <v>224</v>
      </c>
    </row>
    <row r="6420" spans="1:19" x14ac:dyDescent="0.25">
      <c r="A6420" s="311"/>
      <c r="B6420" s="312"/>
      <c r="C6420" s="312"/>
      <c r="D6420" s="312"/>
      <c r="E6420" s="312"/>
      <c r="F6420" s="312"/>
      <c r="G6420" s="328"/>
      <c r="H6420" s="453"/>
      <c r="I6420" s="334"/>
      <c r="J6420" s="314"/>
      <c r="K6420" s="454"/>
      <c r="M6420" s="349" t="str">
        <f>N6420&amp;AS[[#This Row],[Insurer Code]]&amp;"; "&amp;O6420&amp;AS[[#This Row],[Reporting Year]]&amp;"; "&amp;P6420&amp;AS[[#This Row],[Insurance Category Code]]&amp;"; "&amp;Q6420&amp;AS[[#This Row],[Large Provider Entity Code]]&amp;"; "&amp;R6420&amp;AS[[#This Row],[Age Band Code]]&amp;"; "&amp;S6420&amp;AS[[#This Row],[Sex Code]]</f>
        <v xml:space="preserve">Insurer Code ; Reporting Year ; Insurance Category Code ; Large Provider Entity Code ; Age Band Code ; Sex Code </v>
      </c>
      <c r="N6420" s="345" t="s">
        <v>207</v>
      </c>
      <c r="O6420" s="345" t="s">
        <v>208</v>
      </c>
      <c r="P6420" s="345" t="s">
        <v>209</v>
      </c>
      <c r="Q6420" s="345" t="s">
        <v>210</v>
      </c>
      <c r="R6420" s="345" t="s">
        <v>223</v>
      </c>
      <c r="S6420" s="345" t="s">
        <v>224</v>
      </c>
    </row>
    <row r="6421" spans="1:19" x14ac:dyDescent="0.25">
      <c r="A6421" s="311"/>
      <c r="B6421" s="312"/>
      <c r="C6421" s="312"/>
      <c r="D6421" s="312"/>
      <c r="E6421" s="312"/>
      <c r="F6421" s="312"/>
      <c r="G6421" s="328"/>
      <c r="H6421" s="453"/>
      <c r="I6421" s="334"/>
      <c r="J6421" s="314"/>
      <c r="K6421" s="454"/>
      <c r="M6421" s="349" t="str">
        <f>N6421&amp;AS[[#This Row],[Insurer Code]]&amp;"; "&amp;O6421&amp;AS[[#This Row],[Reporting Year]]&amp;"; "&amp;P6421&amp;AS[[#This Row],[Insurance Category Code]]&amp;"; "&amp;Q6421&amp;AS[[#This Row],[Large Provider Entity Code]]&amp;"; "&amp;R6421&amp;AS[[#This Row],[Age Band Code]]&amp;"; "&amp;S6421&amp;AS[[#This Row],[Sex Code]]</f>
        <v xml:space="preserve">Insurer Code ; Reporting Year ; Insurance Category Code ; Large Provider Entity Code ; Age Band Code ; Sex Code </v>
      </c>
      <c r="N6421" s="345" t="s">
        <v>207</v>
      </c>
      <c r="O6421" s="345" t="s">
        <v>208</v>
      </c>
      <c r="P6421" s="345" t="s">
        <v>209</v>
      </c>
      <c r="Q6421" s="345" t="s">
        <v>210</v>
      </c>
      <c r="R6421" s="345" t="s">
        <v>223</v>
      </c>
      <c r="S6421" s="345" t="s">
        <v>224</v>
      </c>
    </row>
    <row r="6422" spans="1:19" x14ac:dyDescent="0.25">
      <c r="A6422" s="311"/>
      <c r="B6422" s="312"/>
      <c r="C6422" s="312"/>
      <c r="D6422" s="312"/>
      <c r="E6422" s="312"/>
      <c r="F6422" s="312"/>
      <c r="G6422" s="328"/>
      <c r="H6422" s="453"/>
      <c r="I6422" s="334"/>
      <c r="J6422" s="314"/>
      <c r="K6422" s="454"/>
      <c r="M6422" s="349" t="str">
        <f>N6422&amp;AS[[#This Row],[Insurer Code]]&amp;"; "&amp;O6422&amp;AS[[#This Row],[Reporting Year]]&amp;"; "&amp;P6422&amp;AS[[#This Row],[Insurance Category Code]]&amp;"; "&amp;Q6422&amp;AS[[#This Row],[Large Provider Entity Code]]&amp;"; "&amp;R6422&amp;AS[[#This Row],[Age Band Code]]&amp;"; "&amp;S6422&amp;AS[[#This Row],[Sex Code]]</f>
        <v xml:space="preserve">Insurer Code ; Reporting Year ; Insurance Category Code ; Large Provider Entity Code ; Age Band Code ; Sex Code </v>
      </c>
      <c r="N6422" s="345" t="s">
        <v>207</v>
      </c>
      <c r="O6422" s="345" t="s">
        <v>208</v>
      </c>
      <c r="P6422" s="345" t="s">
        <v>209</v>
      </c>
      <c r="Q6422" s="345" t="s">
        <v>210</v>
      </c>
      <c r="R6422" s="345" t="s">
        <v>223</v>
      </c>
      <c r="S6422" s="345" t="s">
        <v>224</v>
      </c>
    </row>
    <row r="6423" spans="1:19" x14ac:dyDescent="0.25">
      <c r="A6423" s="311"/>
      <c r="B6423" s="312"/>
      <c r="C6423" s="312"/>
      <c r="D6423" s="312"/>
      <c r="E6423" s="312"/>
      <c r="F6423" s="312"/>
      <c r="G6423" s="328"/>
      <c r="H6423" s="453"/>
      <c r="I6423" s="334"/>
      <c r="J6423" s="314"/>
      <c r="K6423" s="454"/>
      <c r="M6423" s="349" t="str">
        <f>N6423&amp;AS[[#This Row],[Insurer Code]]&amp;"; "&amp;O6423&amp;AS[[#This Row],[Reporting Year]]&amp;"; "&amp;P6423&amp;AS[[#This Row],[Insurance Category Code]]&amp;"; "&amp;Q6423&amp;AS[[#This Row],[Large Provider Entity Code]]&amp;"; "&amp;R6423&amp;AS[[#This Row],[Age Band Code]]&amp;"; "&amp;S6423&amp;AS[[#This Row],[Sex Code]]</f>
        <v xml:space="preserve">Insurer Code ; Reporting Year ; Insurance Category Code ; Large Provider Entity Code ; Age Band Code ; Sex Code </v>
      </c>
      <c r="N6423" s="345" t="s">
        <v>207</v>
      </c>
      <c r="O6423" s="345" t="s">
        <v>208</v>
      </c>
      <c r="P6423" s="345" t="s">
        <v>209</v>
      </c>
      <c r="Q6423" s="345" t="s">
        <v>210</v>
      </c>
      <c r="R6423" s="345" t="s">
        <v>223</v>
      </c>
      <c r="S6423" s="345" t="s">
        <v>224</v>
      </c>
    </row>
    <row r="6424" spans="1:19" x14ac:dyDescent="0.25">
      <c r="A6424" s="311"/>
      <c r="B6424" s="312"/>
      <c r="C6424" s="312"/>
      <c r="D6424" s="312"/>
      <c r="E6424" s="312"/>
      <c r="F6424" s="312"/>
      <c r="G6424" s="328"/>
      <c r="H6424" s="453"/>
      <c r="I6424" s="334"/>
      <c r="J6424" s="314"/>
      <c r="K6424" s="454"/>
      <c r="M6424" s="349" t="str">
        <f>N6424&amp;AS[[#This Row],[Insurer Code]]&amp;"; "&amp;O6424&amp;AS[[#This Row],[Reporting Year]]&amp;"; "&amp;P6424&amp;AS[[#This Row],[Insurance Category Code]]&amp;"; "&amp;Q6424&amp;AS[[#This Row],[Large Provider Entity Code]]&amp;"; "&amp;R6424&amp;AS[[#This Row],[Age Band Code]]&amp;"; "&amp;S6424&amp;AS[[#This Row],[Sex Code]]</f>
        <v xml:space="preserve">Insurer Code ; Reporting Year ; Insurance Category Code ; Large Provider Entity Code ; Age Band Code ; Sex Code </v>
      </c>
      <c r="N6424" s="345" t="s">
        <v>207</v>
      </c>
      <c r="O6424" s="345" t="s">
        <v>208</v>
      </c>
      <c r="P6424" s="345" t="s">
        <v>209</v>
      </c>
      <c r="Q6424" s="345" t="s">
        <v>210</v>
      </c>
      <c r="R6424" s="345" t="s">
        <v>223</v>
      </c>
      <c r="S6424" s="345" t="s">
        <v>224</v>
      </c>
    </row>
    <row r="6425" spans="1:19" x14ac:dyDescent="0.25">
      <c r="A6425" s="311"/>
      <c r="B6425" s="312"/>
      <c r="C6425" s="312"/>
      <c r="D6425" s="312"/>
      <c r="E6425" s="312"/>
      <c r="F6425" s="312"/>
      <c r="G6425" s="328"/>
      <c r="H6425" s="453"/>
      <c r="I6425" s="334"/>
      <c r="J6425" s="314"/>
      <c r="K6425" s="454"/>
      <c r="M6425" s="349" t="str">
        <f>N6425&amp;AS[[#This Row],[Insurer Code]]&amp;"; "&amp;O6425&amp;AS[[#This Row],[Reporting Year]]&amp;"; "&amp;P6425&amp;AS[[#This Row],[Insurance Category Code]]&amp;"; "&amp;Q6425&amp;AS[[#This Row],[Large Provider Entity Code]]&amp;"; "&amp;R6425&amp;AS[[#This Row],[Age Band Code]]&amp;"; "&amp;S6425&amp;AS[[#This Row],[Sex Code]]</f>
        <v xml:space="preserve">Insurer Code ; Reporting Year ; Insurance Category Code ; Large Provider Entity Code ; Age Band Code ; Sex Code </v>
      </c>
      <c r="N6425" s="345" t="s">
        <v>207</v>
      </c>
      <c r="O6425" s="345" t="s">
        <v>208</v>
      </c>
      <c r="P6425" s="345" t="s">
        <v>209</v>
      </c>
      <c r="Q6425" s="345" t="s">
        <v>210</v>
      </c>
      <c r="R6425" s="345" t="s">
        <v>223</v>
      </c>
      <c r="S6425" s="345" t="s">
        <v>224</v>
      </c>
    </row>
    <row r="6426" spans="1:19" x14ac:dyDescent="0.25">
      <c r="A6426" s="311"/>
      <c r="B6426" s="312"/>
      <c r="C6426" s="312"/>
      <c r="D6426" s="312"/>
      <c r="E6426" s="312"/>
      <c r="F6426" s="312"/>
      <c r="G6426" s="328"/>
      <c r="H6426" s="453"/>
      <c r="I6426" s="334"/>
      <c r="J6426" s="314"/>
      <c r="K6426" s="454"/>
      <c r="M6426" s="349" t="str">
        <f>N6426&amp;AS[[#This Row],[Insurer Code]]&amp;"; "&amp;O6426&amp;AS[[#This Row],[Reporting Year]]&amp;"; "&amp;P6426&amp;AS[[#This Row],[Insurance Category Code]]&amp;"; "&amp;Q6426&amp;AS[[#This Row],[Large Provider Entity Code]]&amp;"; "&amp;R6426&amp;AS[[#This Row],[Age Band Code]]&amp;"; "&amp;S6426&amp;AS[[#This Row],[Sex Code]]</f>
        <v xml:space="preserve">Insurer Code ; Reporting Year ; Insurance Category Code ; Large Provider Entity Code ; Age Band Code ; Sex Code </v>
      </c>
      <c r="N6426" s="345" t="s">
        <v>207</v>
      </c>
      <c r="O6426" s="345" t="s">
        <v>208</v>
      </c>
      <c r="P6426" s="345" t="s">
        <v>209</v>
      </c>
      <c r="Q6426" s="345" t="s">
        <v>210</v>
      </c>
      <c r="R6426" s="345" t="s">
        <v>223</v>
      </c>
      <c r="S6426" s="345" t="s">
        <v>224</v>
      </c>
    </row>
    <row r="6427" spans="1:19" x14ac:dyDescent="0.25">
      <c r="A6427" s="311"/>
      <c r="B6427" s="312"/>
      <c r="C6427" s="312"/>
      <c r="D6427" s="312"/>
      <c r="E6427" s="312"/>
      <c r="F6427" s="312"/>
      <c r="G6427" s="328"/>
      <c r="H6427" s="453"/>
      <c r="I6427" s="334"/>
      <c r="J6427" s="314"/>
      <c r="K6427" s="454"/>
      <c r="M6427" s="349" t="str">
        <f>N6427&amp;AS[[#This Row],[Insurer Code]]&amp;"; "&amp;O6427&amp;AS[[#This Row],[Reporting Year]]&amp;"; "&amp;P6427&amp;AS[[#This Row],[Insurance Category Code]]&amp;"; "&amp;Q6427&amp;AS[[#This Row],[Large Provider Entity Code]]&amp;"; "&amp;R6427&amp;AS[[#This Row],[Age Band Code]]&amp;"; "&amp;S6427&amp;AS[[#This Row],[Sex Code]]</f>
        <v xml:space="preserve">Insurer Code ; Reporting Year ; Insurance Category Code ; Large Provider Entity Code ; Age Band Code ; Sex Code </v>
      </c>
      <c r="N6427" s="345" t="s">
        <v>207</v>
      </c>
      <c r="O6427" s="345" t="s">
        <v>208</v>
      </c>
      <c r="P6427" s="345" t="s">
        <v>209</v>
      </c>
      <c r="Q6427" s="345" t="s">
        <v>210</v>
      </c>
      <c r="R6427" s="345" t="s">
        <v>223</v>
      </c>
      <c r="S6427" s="345" t="s">
        <v>224</v>
      </c>
    </row>
    <row r="6428" spans="1:19" x14ac:dyDescent="0.25">
      <c r="A6428" s="311"/>
      <c r="B6428" s="312"/>
      <c r="C6428" s="312"/>
      <c r="D6428" s="312"/>
      <c r="E6428" s="312"/>
      <c r="F6428" s="312"/>
      <c r="G6428" s="328"/>
      <c r="H6428" s="453"/>
      <c r="I6428" s="334"/>
      <c r="J6428" s="314"/>
      <c r="K6428" s="454"/>
      <c r="M6428" s="349" t="str">
        <f>N6428&amp;AS[[#This Row],[Insurer Code]]&amp;"; "&amp;O6428&amp;AS[[#This Row],[Reporting Year]]&amp;"; "&amp;P6428&amp;AS[[#This Row],[Insurance Category Code]]&amp;"; "&amp;Q6428&amp;AS[[#This Row],[Large Provider Entity Code]]&amp;"; "&amp;R6428&amp;AS[[#This Row],[Age Band Code]]&amp;"; "&amp;S6428&amp;AS[[#This Row],[Sex Code]]</f>
        <v xml:space="preserve">Insurer Code ; Reporting Year ; Insurance Category Code ; Large Provider Entity Code ; Age Band Code ; Sex Code </v>
      </c>
      <c r="N6428" s="345" t="s">
        <v>207</v>
      </c>
      <c r="O6428" s="345" t="s">
        <v>208</v>
      </c>
      <c r="P6428" s="345" t="s">
        <v>209</v>
      </c>
      <c r="Q6428" s="345" t="s">
        <v>210</v>
      </c>
      <c r="R6428" s="345" t="s">
        <v>223</v>
      </c>
      <c r="S6428" s="345" t="s">
        <v>224</v>
      </c>
    </row>
    <row r="6429" spans="1:19" x14ac:dyDescent="0.25">
      <c r="A6429" s="311"/>
      <c r="B6429" s="312"/>
      <c r="C6429" s="312"/>
      <c r="D6429" s="312"/>
      <c r="E6429" s="312"/>
      <c r="F6429" s="312"/>
      <c r="G6429" s="328"/>
      <c r="H6429" s="453"/>
      <c r="I6429" s="334"/>
      <c r="J6429" s="314"/>
      <c r="K6429" s="454"/>
      <c r="M6429" s="349" t="str">
        <f>N6429&amp;AS[[#This Row],[Insurer Code]]&amp;"; "&amp;O6429&amp;AS[[#This Row],[Reporting Year]]&amp;"; "&amp;P6429&amp;AS[[#This Row],[Insurance Category Code]]&amp;"; "&amp;Q6429&amp;AS[[#This Row],[Large Provider Entity Code]]&amp;"; "&amp;R6429&amp;AS[[#This Row],[Age Band Code]]&amp;"; "&amp;S6429&amp;AS[[#This Row],[Sex Code]]</f>
        <v xml:space="preserve">Insurer Code ; Reporting Year ; Insurance Category Code ; Large Provider Entity Code ; Age Band Code ; Sex Code </v>
      </c>
      <c r="N6429" s="345" t="s">
        <v>207</v>
      </c>
      <c r="O6429" s="345" t="s">
        <v>208</v>
      </c>
      <c r="P6429" s="345" t="s">
        <v>209</v>
      </c>
      <c r="Q6429" s="345" t="s">
        <v>210</v>
      </c>
      <c r="R6429" s="345" t="s">
        <v>223</v>
      </c>
      <c r="S6429" s="345" t="s">
        <v>224</v>
      </c>
    </row>
    <row r="6430" spans="1:19" x14ac:dyDescent="0.25">
      <c r="A6430" s="311"/>
      <c r="B6430" s="312"/>
      <c r="C6430" s="312"/>
      <c r="D6430" s="312"/>
      <c r="E6430" s="312"/>
      <c r="F6430" s="312"/>
      <c r="G6430" s="328"/>
      <c r="H6430" s="453"/>
      <c r="I6430" s="334"/>
      <c r="J6430" s="314"/>
      <c r="K6430" s="454"/>
      <c r="M6430" s="349" t="str">
        <f>N6430&amp;AS[[#This Row],[Insurer Code]]&amp;"; "&amp;O6430&amp;AS[[#This Row],[Reporting Year]]&amp;"; "&amp;P6430&amp;AS[[#This Row],[Insurance Category Code]]&amp;"; "&amp;Q6430&amp;AS[[#This Row],[Large Provider Entity Code]]&amp;"; "&amp;R6430&amp;AS[[#This Row],[Age Band Code]]&amp;"; "&amp;S6430&amp;AS[[#This Row],[Sex Code]]</f>
        <v xml:space="preserve">Insurer Code ; Reporting Year ; Insurance Category Code ; Large Provider Entity Code ; Age Band Code ; Sex Code </v>
      </c>
      <c r="N6430" s="345" t="s">
        <v>207</v>
      </c>
      <c r="O6430" s="345" t="s">
        <v>208</v>
      </c>
      <c r="P6430" s="345" t="s">
        <v>209</v>
      </c>
      <c r="Q6430" s="345" t="s">
        <v>210</v>
      </c>
      <c r="R6430" s="345" t="s">
        <v>223</v>
      </c>
      <c r="S6430" s="345" t="s">
        <v>224</v>
      </c>
    </row>
    <row r="6431" spans="1:19" x14ac:dyDescent="0.25">
      <c r="A6431" s="311"/>
      <c r="B6431" s="312"/>
      <c r="C6431" s="312"/>
      <c r="D6431" s="312"/>
      <c r="E6431" s="312"/>
      <c r="F6431" s="312"/>
      <c r="G6431" s="328"/>
      <c r="H6431" s="453"/>
      <c r="I6431" s="334"/>
      <c r="J6431" s="314"/>
      <c r="K6431" s="454"/>
      <c r="M6431" s="349" t="str">
        <f>N6431&amp;AS[[#This Row],[Insurer Code]]&amp;"; "&amp;O6431&amp;AS[[#This Row],[Reporting Year]]&amp;"; "&amp;P6431&amp;AS[[#This Row],[Insurance Category Code]]&amp;"; "&amp;Q6431&amp;AS[[#This Row],[Large Provider Entity Code]]&amp;"; "&amp;R6431&amp;AS[[#This Row],[Age Band Code]]&amp;"; "&amp;S6431&amp;AS[[#This Row],[Sex Code]]</f>
        <v xml:space="preserve">Insurer Code ; Reporting Year ; Insurance Category Code ; Large Provider Entity Code ; Age Band Code ; Sex Code </v>
      </c>
      <c r="N6431" s="345" t="s">
        <v>207</v>
      </c>
      <c r="O6431" s="345" t="s">
        <v>208</v>
      </c>
      <c r="P6431" s="345" t="s">
        <v>209</v>
      </c>
      <c r="Q6431" s="345" t="s">
        <v>210</v>
      </c>
      <c r="R6431" s="345" t="s">
        <v>223</v>
      </c>
      <c r="S6431" s="345" t="s">
        <v>224</v>
      </c>
    </row>
    <row r="6432" spans="1:19" x14ac:dyDescent="0.25">
      <c r="A6432" s="311"/>
      <c r="B6432" s="312"/>
      <c r="C6432" s="312"/>
      <c r="D6432" s="312"/>
      <c r="E6432" s="312"/>
      <c r="F6432" s="312"/>
      <c r="G6432" s="328"/>
      <c r="H6432" s="453"/>
      <c r="I6432" s="334"/>
      <c r="J6432" s="314"/>
      <c r="K6432" s="454"/>
      <c r="M6432" s="349" t="str">
        <f>N6432&amp;AS[[#This Row],[Insurer Code]]&amp;"; "&amp;O6432&amp;AS[[#This Row],[Reporting Year]]&amp;"; "&amp;P6432&amp;AS[[#This Row],[Insurance Category Code]]&amp;"; "&amp;Q6432&amp;AS[[#This Row],[Large Provider Entity Code]]&amp;"; "&amp;R6432&amp;AS[[#This Row],[Age Band Code]]&amp;"; "&amp;S6432&amp;AS[[#This Row],[Sex Code]]</f>
        <v xml:space="preserve">Insurer Code ; Reporting Year ; Insurance Category Code ; Large Provider Entity Code ; Age Band Code ; Sex Code </v>
      </c>
      <c r="N6432" s="345" t="s">
        <v>207</v>
      </c>
      <c r="O6432" s="345" t="s">
        <v>208</v>
      </c>
      <c r="P6432" s="345" t="s">
        <v>209</v>
      </c>
      <c r="Q6432" s="345" t="s">
        <v>210</v>
      </c>
      <c r="R6432" s="345" t="s">
        <v>223</v>
      </c>
      <c r="S6432" s="345" t="s">
        <v>224</v>
      </c>
    </row>
    <row r="6433" spans="1:19" x14ac:dyDescent="0.25">
      <c r="A6433" s="311"/>
      <c r="B6433" s="312"/>
      <c r="C6433" s="312"/>
      <c r="D6433" s="312"/>
      <c r="E6433" s="312"/>
      <c r="F6433" s="312"/>
      <c r="G6433" s="328"/>
      <c r="H6433" s="453"/>
      <c r="I6433" s="334"/>
      <c r="J6433" s="314"/>
      <c r="K6433" s="454"/>
      <c r="M6433" s="349" t="str">
        <f>N6433&amp;AS[[#This Row],[Insurer Code]]&amp;"; "&amp;O6433&amp;AS[[#This Row],[Reporting Year]]&amp;"; "&amp;P6433&amp;AS[[#This Row],[Insurance Category Code]]&amp;"; "&amp;Q6433&amp;AS[[#This Row],[Large Provider Entity Code]]&amp;"; "&amp;R6433&amp;AS[[#This Row],[Age Band Code]]&amp;"; "&amp;S6433&amp;AS[[#This Row],[Sex Code]]</f>
        <v xml:space="preserve">Insurer Code ; Reporting Year ; Insurance Category Code ; Large Provider Entity Code ; Age Band Code ; Sex Code </v>
      </c>
      <c r="N6433" s="345" t="s">
        <v>207</v>
      </c>
      <c r="O6433" s="345" t="s">
        <v>208</v>
      </c>
      <c r="P6433" s="345" t="s">
        <v>209</v>
      </c>
      <c r="Q6433" s="345" t="s">
        <v>210</v>
      </c>
      <c r="R6433" s="345" t="s">
        <v>223</v>
      </c>
      <c r="S6433" s="345" t="s">
        <v>224</v>
      </c>
    </row>
    <row r="6434" spans="1:19" x14ac:dyDescent="0.25">
      <c r="A6434" s="311"/>
      <c r="B6434" s="312"/>
      <c r="C6434" s="312"/>
      <c r="D6434" s="312"/>
      <c r="E6434" s="312"/>
      <c r="F6434" s="312"/>
      <c r="G6434" s="328"/>
      <c r="H6434" s="453"/>
      <c r="I6434" s="334"/>
      <c r="J6434" s="314"/>
      <c r="K6434" s="454"/>
      <c r="M6434" s="349" t="str">
        <f>N6434&amp;AS[[#This Row],[Insurer Code]]&amp;"; "&amp;O6434&amp;AS[[#This Row],[Reporting Year]]&amp;"; "&amp;P6434&amp;AS[[#This Row],[Insurance Category Code]]&amp;"; "&amp;Q6434&amp;AS[[#This Row],[Large Provider Entity Code]]&amp;"; "&amp;R6434&amp;AS[[#This Row],[Age Band Code]]&amp;"; "&amp;S6434&amp;AS[[#This Row],[Sex Code]]</f>
        <v xml:space="preserve">Insurer Code ; Reporting Year ; Insurance Category Code ; Large Provider Entity Code ; Age Band Code ; Sex Code </v>
      </c>
      <c r="N6434" s="345" t="s">
        <v>207</v>
      </c>
      <c r="O6434" s="345" t="s">
        <v>208</v>
      </c>
      <c r="P6434" s="345" t="s">
        <v>209</v>
      </c>
      <c r="Q6434" s="345" t="s">
        <v>210</v>
      </c>
      <c r="R6434" s="345" t="s">
        <v>223</v>
      </c>
      <c r="S6434" s="345" t="s">
        <v>224</v>
      </c>
    </row>
    <row r="6435" spans="1:19" x14ac:dyDescent="0.25">
      <c r="A6435" s="311"/>
      <c r="B6435" s="312"/>
      <c r="C6435" s="312"/>
      <c r="D6435" s="312"/>
      <c r="E6435" s="312"/>
      <c r="F6435" s="312"/>
      <c r="G6435" s="328"/>
      <c r="H6435" s="453"/>
      <c r="I6435" s="334"/>
      <c r="J6435" s="314"/>
      <c r="K6435" s="454"/>
      <c r="M6435" s="349" t="str">
        <f>N6435&amp;AS[[#This Row],[Insurer Code]]&amp;"; "&amp;O6435&amp;AS[[#This Row],[Reporting Year]]&amp;"; "&amp;P6435&amp;AS[[#This Row],[Insurance Category Code]]&amp;"; "&amp;Q6435&amp;AS[[#This Row],[Large Provider Entity Code]]&amp;"; "&amp;R6435&amp;AS[[#This Row],[Age Band Code]]&amp;"; "&amp;S6435&amp;AS[[#This Row],[Sex Code]]</f>
        <v xml:space="preserve">Insurer Code ; Reporting Year ; Insurance Category Code ; Large Provider Entity Code ; Age Band Code ; Sex Code </v>
      </c>
      <c r="N6435" s="345" t="s">
        <v>207</v>
      </c>
      <c r="O6435" s="345" t="s">
        <v>208</v>
      </c>
      <c r="P6435" s="345" t="s">
        <v>209</v>
      </c>
      <c r="Q6435" s="345" t="s">
        <v>210</v>
      </c>
      <c r="R6435" s="345" t="s">
        <v>223</v>
      </c>
      <c r="S6435" s="345" t="s">
        <v>224</v>
      </c>
    </row>
    <row r="6436" spans="1:19" x14ac:dyDescent="0.25">
      <c r="A6436" s="311"/>
      <c r="B6436" s="312"/>
      <c r="C6436" s="312"/>
      <c r="D6436" s="312"/>
      <c r="E6436" s="312"/>
      <c r="F6436" s="312"/>
      <c r="G6436" s="328"/>
      <c r="H6436" s="453"/>
      <c r="I6436" s="334"/>
      <c r="J6436" s="314"/>
      <c r="K6436" s="454"/>
      <c r="M6436" s="349" t="str">
        <f>N6436&amp;AS[[#This Row],[Insurer Code]]&amp;"; "&amp;O6436&amp;AS[[#This Row],[Reporting Year]]&amp;"; "&amp;P6436&amp;AS[[#This Row],[Insurance Category Code]]&amp;"; "&amp;Q6436&amp;AS[[#This Row],[Large Provider Entity Code]]&amp;"; "&amp;R6436&amp;AS[[#This Row],[Age Band Code]]&amp;"; "&amp;S6436&amp;AS[[#This Row],[Sex Code]]</f>
        <v xml:space="preserve">Insurer Code ; Reporting Year ; Insurance Category Code ; Large Provider Entity Code ; Age Band Code ; Sex Code </v>
      </c>
      <c r="N6436" s="345" t="s">
        <v>207</v>
      </c>
      <c r="O6436" s="345" t="s">
        <v>208</v>
      </c>
      <c r="P6436" s="345" t="s">
        <v>209</v>
      </c>
      <c r="Q6436" s="345" t="s">
        <v>210</v>
      </c>
      <c r="R6436" s="345" t="s">
        <v>223</v>
      </c>
      <c r="S6436" s="345" t="s">
        <v>224</v>
      </c>
    </row>
    <row r="6437" spans="1:19" x14ac:dyDescent="0.25">
      <c r="A6437" s="311"/>
      <c r="B6437" s="312"/>
      <c r="C6437" s="312"/>
      <c r="D6437" s="312"/>
      <c r="E6437" s="312"/>
      <c r="F6437" s="312"/>
      <c r="G6437" s="328"/>
      <c r="H6437" s="453"/>
      <c r="I6437" s="334"/>
      <c r="J6437" s="314"/>
      <c r="K6437" s="454"/>
      <c r="M6437" s="349" t="str">
        <f>N6437&amp;AS[[#This Row],[Insurer Code]]&amp;"; "&amp;O6437&amp;AS[[#This Row],[Reporting Year]]&amp;"; "&amp;P6437&amp;AS[[#This Row],[Insurance Category Code]]&amp;"; "&amp;Q6437&amp;AS[[#This Row],[Large Provider Entity Code]]&amp;"; "&amp;R6437&amp;AS[[#This Row],[Age Band Code]]&amp;"; "&amp;S6437&amp;AS[[#This Row],[Sex Code]]</f>
        <v xml:space="preserve">Insurer Code ; Reporting Year ; Insurance Category Code ; Large Provider Entity Code ; Age Band Code ; Sex Code </v>
      </c>
      <c r="N6437" s="345" t="s">
        <v>207</v>
      </c>
      <c r="O6437" s="345" t="s">
        <v>208</v>
      </c>
      <c r="P6437" s="345" t="s">
        <v>209</v>
      </c>
      <c r="Q6437" s="345" t="s">
        <v>210</v>
      </c>
      <c r="R6437" s="345" t="s">
        <v>223</v>
      </c>
      <c r="S6437" s="345" t="s">
        <v>224</v>
      </c>
    </row>
    <row r="6438" spans="1:19" x14ac:dyDescent="0.25">
      <c r="A6438" s="311"/>
      <c r="B6438" s="312"/>
      <c r="C6438" s="312"/>
      <c r="D6438" s="312"/>
      <c r="E6438" s="312"/>
      <c r="F6438" s="312"/>
      <c r="G6438" s="328"/>
      <c r="H6438" s="453"/>
      <c r="I6438" s="334"/>
      <c r="J6438" s="314"/>
      <c r="K6438" s="454"/>
      <c r="M6438" s="349" t="str">
        <f>N6438&amp;AS[[#This Row],[Insurer Code]]&amp;"; "&amp;O6438&amp;AS[[#This Row],[Reporting Year]]&amp;"; "&amp;P6438&amp;AS[[#This Row],[Insurance Category Code]]&amp;"; "&amp;Q6438&amp;AS[[#This Row],[Large Provider Entity Code]]&amp;"; "&amp;R6438&amp;AS[[#This Row],[Age Band Code]]&amp;"; "&amp;S6438&amp;AS[[#This Row],[Sex Code]]</f>
        <v xml:space="preserve">Insurer Code ; Reporting Year ; Insurance Category Code ; Large Provider Entity Code ; Age Band Code ; Sex Code </v>
      </c>
      <c r="N6438" s="345" t="s">
        <v>207</v>
      </c>
      <c r="O6438" s="345" t="s">
        <v>208</v>
      </c>
      <c r="P6438" s="345" t="s">
        <v>209</v>
      </c>
      <c r="Q6438" s="345" t="s">
        <v>210</v>
      </c>
      <c r="R6438" s="345" t="s">
        <v>223</v>
      </c>
      <c r="S6438" s="345" t="s">
        <v>224</v>
      </c>
    </row>
    <row r="6439" spans="1:19" x14ac:dyDescent="0.25">
      <c r="A6439" s="311"/>
      <c r="B6439" s="312"/>
      <c r="C6439" s="312"/>
      <c r="D6439" s="312"/>
      <c r="E6439" s="312"/>
      <c r="F6439" s="312"/>
      <c r="G6439" s="328"/>
      <c r="H6439" s="453"/>
      <c r="I6439" s="334"/>
      <c r="J6439" s="314"/>
      <c r="K6439" s="454"/>
      <c r="M6439" s="349" t="str">
        <f>N6439&amp;AS[[#This Row],[Insurer Code]]&amp;"; "&amp;O6439&amp;AS[[#This Row],[Reporting Year]]&amp;"; "&amp;P6439&amp;AS[[#This Row],[Insurance Category Code]]&amp;"; "&amp;Q6439&amp;AS[[#This Row],[Large Provider Entity Code]]&amp;"; "&amp;R6439&amp;AS[[#This Row],[Age Band Code]]&amp;"; "&amp;S6439&amp;AS[[#This Row],[Sex Code]]</f>
        <v xml:space="preserve">Insurer Code ; Reporting Year ; Insurance Category Code ; Large Provider Entity Code ; Age Band Code ; Sex Code </v>
      </c>
      <c r="N6439" s="345" t="s">
        <v>207</v>
      </c>
      <c r="O6439" s="345" t="s">
        <v>208</v>
      </c>
      <c r="P6439" s="345" t="s">
        <v>209</v>
      </c>
      <c r="Q6439" s="345" t="s">
        <v>210</v>
      </c>
      <c r="R6439" s="345" t="s">
        <v>223</v>
      </c>
      <c r="S6439" s="345" t="s">
        <v>224</v>
      </c>
    </row>
    <row r="6440" spans="1:19" x14ac:dyDescent="0.25">
      <c r="A6440" s="311"/>
      <c r="B6440" s="312"/>
      <c r="C6440" s="312"/>
      <c r="D6440" s="312"/>
      <c r="E6440" s="312"/>
      <c r="F6440" s="312"/>
      <c r="G6440" s="328"/>
      <c r="H6440" s="453"/>
      <c r="I6440" s="334"/>
      <c r="J6440" s="314"/>
      <c r="K6440" s="454"/>
      <c r="M6440" s="349" t="str">
        <f>N6440&amp;AS[[#This Row],[Insurer Code]]&amp;"; "&amp;O6440&amp;AS[[#This Row],[Reporting Year]]&amp;"; "&amp;P6440&amp;AS[[#This Row],[Insurance Category Code]]&amp;"; "&amp;Q6440&amp;AS[[#This Row],[Large Provider Entity Code]]&amp;"; "&amp;R6440&amp;AS[[#This Row],[Age Band Code]]&amp;"; "&amp;S6440&amp;AS[[#This Row],[Sex Code]]</f>
        <v xml:space="preserve">Insurer Code ; Reporting Year ; Insurance Category Code ; Large Provider Entity Code ; Age Band Code ; Sex Code </v>
      </c>
      <c r="N6440" s="345" t="s">
        <v>207</v>
      </c>
      <c r="O6440" s="345" t="s">
        <v>208</v>
      </c>
      <c r="P6440" s="345" t="s">
        <v>209</v>
      </c>
      <c r="Q6440" s="345" t="s">
        <v>210</v>
      </c>
      <c r="R6440" s="345" t="s">
        <v>223</v>
      </c>
      <c r="S6440" s="345" t="s">
        <v>224</v>
      </c>
    </row>
    <row r="6441" spans="1:19" x14ac:dyDescent="0.25">
      <c r="A6441" s="311"/>
      <c r="B6441" s="312"/>
      <c r="C6441" s="312"/>
      <c r="D6441" s="312"/>
      <c r="E6441" s="312"/>
      <c r="F6441" s="312"/>
      <c r="G6441" s="328"/>
      <c r="H6441" s="453"/>
      <c r="I6441" s="334"/>
      <c r="J6441" s="314"/>
      <c r="K6441" s="454"/>
      <c r="M6441" s="349" t="str">
        <f>N6441&amp;AS[[#This Row],[Insurer Code]]&amp;"; "&amp;O6441&amp;AS[[#This Row],[Reporting Year]]&amp;"; "&amp;P6441&amp;AS[[#This Row],[Insurance Category Code]]&amp;"; "&amp;Q6441&amp;AS[[#This Row],[Large Provider Entity Code]]&amp;"; "&amp;R6441&amp;AS[[#This Row],[Age Band Code]]&amp;"; "&amp;S6441&amp;AS[[#This Row],[Sex Code]]</f>
        <v xml:space="preserve">Insurer Code ; Reporting Year ; Insurance Category Code ; Large Provider Entity Code ; Age Band Code ; Sex Code </v>
      </c>
      <c r="N6441" s="345" t="s">
        <v>207</v>
      </c>
      <c r="O6441" s="345" t="s">
        <v>208</v>
      </c>
      <c r="P6441" s="345" t="s">
        <v>209</v>
      </c>
      <c r="Q6441" s="345" t="s">
        <v>210</v>
      </c>
      <c r="R6441" s="345" t="s">
        <v>223</v>
      </c>
      <c r="S6441" s="345" t="s">
        <v>224</v>
      </c>
    </row>
    <row r="6442" spans="1:19" x14ac:dyDescent="0.25">
      <c r="A6442" s="311"/>
      <c r="B6442" s="312"/>
      <c r="C6442" s="312"/>
      <c r="D6442" s="312"/>
      <c r="E6442" s="312"/>
      <c r="F6442" s="312"/>
      <c r="G6442" s="328"/>
      <c r="H6442" s="453"/>
      <c r="I6442" s="334"/>
      <c r="J6442" s="314"/>
      <c r="K6442" s="454"/>
      <c r="M6442" s="349" t="str">
        <f>N6442&amp;AS[[#This Row],[Insurer Code]]&amp;"; "&amp;O6442&amp;AS[[#This Row],[Reporting Year]]&amp;"; "&amp;P6442&amp;AS[[#This Row],[Insurance Category Code]]&amp;"; "&amp;Q6442&amp;AS[[#This Row],[Large Provider Entity Code]]&amp;"; "&amp;R6442&amp;AS[[#This Row],[Age Band Code]]&amp;"; "&amp;S6442&amp;AS[[#This Row],[Sex Code]]</f>
        <v xml:space="preserve">Insurer Code ; Reporting Year ; Insurance Category Code ; Large Provider Entity Code ; Age Band Code ; Sex Code </v>
      </c>
      <c r="N6442" s="345" t="s">
        <v>207</v>
      </c>
      <c r="O6442" s="345" t="s">
        <v>208</v>
      </c>
      <c r="P6442" s="345" t="s">
        <v>209</v>
      </c>
      <c r="Q6442" s="345" t="s">
        <v>210</v>
      </c>
      <c r="R6442" s="345" t="s">
        <v>223</v>
      </c>
      <c r="S6442" s="345" t="s">
        <v>224</v>
      </c>
    </row>
    <row r="6443" spans="1:19" x14ac:dyDescent="0.25">
      <c r="A6443" s="311"/>
      <c r="B6443" s="312"/>
      <c r="C6443" s="312"/>
      <c r="D6443" s="312"/>
      <c r="E6443" s="312"/>
      <c r="F6443" s="312"/>
      <c r="G6443" s="328"/>
      <c r="H6443" s="453"/>
      <c r="I6443" s="334"/>
      <c r="J6443" s="314"/>
      <c r="K6443" s="454"/>
      <c r="M6443" s="349" t="str">
        <f>N6443&amp;AS[[#This Row],[Insurer Code]]&amp;"; "&amp;O6443&amp;AS[[#This Row],[Reporting Year]]&amp;"; "&amp;P6443&amp;AS[[#This Row],[Insurance Category Code]]&amp;"; "&amp;Q6443&amp;AS[[#This Row],[Large Provider Entity Code]]&amp;"; "&amp;R6443&amp;AS[[#This Row],[Age Band Code]]&amp;"; "&amp;S6443&amp;AS[[#This Row],[Sex Code]]</f>
        <v xml:space="preserve">Insurer Code ; Reporting Year ; Insurance Category Code ; Large Provider Entity Code ; Age Band Code ; Sex Code </v>
      </c>
      <c r="N6443" s="345" t="s">
        <v>207</v>
      </c>
      <c r="O6443" s="345" t="s">
        <v>208</v>
      </c>
      <c r="P6443" s="345" t="s">
        <v>209</v>
      </c>
      <c r="Q6443" s="345" t="s">
        <v>210</v>
      </c>
      <c r="R6443" s="345" t="s">
        <v>223</v>
      </c>
      <c r="S6443" s="345" t="s">
        <v>224</v>
      </c>
    </row>
    <row r="6444" spans="1:19" x14ac:dyDescent="0.25">
      <c r="A6444" s="311"/>
      <c r="B6444" s="312"/>
      <c r="C6444" s="312"/>
      <c r="D6444" s="312"/>
      <c r="E6444" s="312"/>
      <c r="F6444" s="312"/>
      <c r="G6444" s="328"/>
      <c r="H6444" s="453"/>
      <c r="I6444" s="334"/>
      <c r="J6444" s="314"/>
      <c r="K6444" s="454"/>
      <c r="M6444" s="349" t="str">
        <f>N6444&amp;AS[[#This Row],[Insurer Code]]&amp;"; "&amp;O6444&amp;AS[[#This Row],[Reporting Year]]&amp;"; "&amp;P6444&amp;AS[[#This Row],[Insurance Category Code]]&amp;"; "&amp;Q6444&amp;AS[[#This Row],[Large Provider Entity Code]]&amp;"; "&amp;R6444&amp;AS[[#This Row],[Age Band Code]]&amp;"; "&amp;S6444&amp;AS[[#This Row],[Sex Code]]</f>
        <v xml:space="preserve">Insurer Code ; Reporting Year ; Insurance Category Code ; Large Provider Entity Code ; Age Band Code ; Sex Code </v>
      </c>
      <c r="N6444" s="345" t="s">
        <v>207</v>
      </c>
      <c r="O6444" s="345" t="s">
        <v>208</v>
      </c>
      <c r="P6444" s="345" t="s">
        <v>209</v>
      </c>
      <c r="Q6444" s="345" t="s">
        <v>210</v>
      </c>
      <c r="R6444" s="345" t="s">
        <v>223</v>
      </c>
      <c r="S6444" s="345" t="s">
        <v>224</v>
      </c>
    </row>
    <row r="6445" spans="1:19" x14ac:dyDescent="0.25">
      <c r="A6445" s="311"/>
      <c r="B6445" s="312"/>
      <c r="C6445" s="312"/>
      <c r="D6445" s="312"/>
      <c r="E6445" s="312"/>
      <c r="F6445" s="312"/>
      <c r="G6445" s="328"/>
      <c r="H6445" s="453"/>
      <c r="I6445" s="334"/>
      <c r="J6445" s="314"/>
      <c r="K6445" s="454"/>
      <c r="M6445" s="349" t="str">
        <f>N6445&amp;AS[[#This Row],[Insurer Code]]&amp;"; "&amp;O6445&amp;AS[[#This Row],[Reporting Year]]&amp;"; "&amp;P6445&amp;AS[[#This Row],[Insurance Category Code]]&amp;"; "&amp;Q6445&amp;AS[[#This Row],[Large Provider Entity Code]]&amp;"; "&amp;R6445&amp;AS[[#This Row],[Age Band Code]]&amp;"; "&amp;S6445&amp;AS[[#This Row],[Sex Code]]</f>
        <v xml:space="preserve">Insurer Code ; Reporting Year ; Insurance Category Code ; Large Provider Entity Code ; Age Band Code ; Sex Code </v>
      </c>
      <c r="N6445" s="345" t="s">
        <v>207</v>
      </c>
      <c r="O6445" s="345" t="s">
        <v>208</v>
      </c>
      <c r="P6445" s="345" t="s">
        <v>209</v>
      </c>
      <c r="Q6445" s="345" t="s">
        <v>210</v>
      </c>
      <c r="R6445" s="345" t="s">
        <v>223</v>
      </c>
      <c r="S6445" s="345" t="s">
        <v>224</v>
      </c>
    </row>
    <row r="6446" spans="1:19" x14ac:dyDescent="0.25">
      <c r="A6446" s="311"/>
      <c r="B6446" s="312"/>
      <c r="C6446" s="312"/>
      <c r="D6446" s="312"/>
      <c r="E6446" s="312"/>
      <c r="F6446" s="312"/>
      <c r="G6446" s="328"/>
      <c r="H6446" s="453"/>
      <c r="I6446" s="334"/>
      <c r="J6446" s="314"/>
      <c r="K6446" s="454"/>
      <c r="M6446" s="349" t="str">
        <f>N6446&amp;AS[[#This Row],[Insurer Code]]&amp;"; "&amp;O6446&amp;AS[[#This Row],[Reporting Year]]&amp;"; "&amp;P6446&amp;AS[[#This Row],[Insurance Category Code]]&amp;"; "&amp;Q6446&amp;AS[[#This Row],[Large Provider Entity Code]]&amp;"; "&amp;R6446&amp;AS[[#This Row],[Age Band Code]]&amp;"; "&amp;S6446&amp;AS[[#This Row],[Sex Code]]</f>
        <v xml:space="preserve">Insurer Code ; Reporting Year ; Insurance Category Code ; Large Provider Entity Code ; Age Band Code ; Sex Code </v>
      </c>
      <c r="N6446" s="345" t="s">
        <v>207</v>
      </c>
      <c r="O6446" s="345" t="s">
        <v>208</v>
      </c>
      <c r="P6446" s="345" t="s">
        <v>209</v>
      </c>
      <c r="Q6446" s="345" t="s">
        <v>210</v>
      </c>
      <c r="R6446" s="345" t="s">
        <v>223</v>
      </c>
      <c r="S6446" s="345" t="s">
        <v>224</v>
      </c>
    </row>
    <row r="6447" spans="1:19" x14ac:dyDescent="0.25">
      <c r="A6447" s="311"/>
      <c r="B6447" s="312"/>
      <c r="C6447" s="312"/>
      <c r="D6447" s="312"/>
      <c r="E6447" s="312"/>
      <c r="F6447" s="312"/>
      <c r="G6447" s="328"/>
      <c r="H6447" s="453"/>
      <c r="I6447" s="334"/>
      <c r="J6447" s="314"/>
      <c r="K6447" s="454"/>
      <c r="M6447" s="349" t="str">
        <f>N6447&amp;AS[[#This Row],[Insurer Code]]&amp;"; "&amp;O6447&amp;AS[[#This Row],[Reporting Year]]&amp;"; "&amp;P6447&amp;AS[[#This Row],[Insurance Category Code]]&amp;"; "&amp;Q6447&amp;AS[[#This Row],[Large Provider Entity Code]]&amp;"; "&amp;R6447&amp;AS[[#This Row],[Age Band Code]]&amp;"; "&amp;S6447&amp;AS[[#This Row],[Sex Code]]</f>
        <v xml:space="preserve">Insurer Code ; Reporting Year ; Insurance Category Code ; Large Provider Entity Code ; Age Band Code ; Sex Code </v>
      </c>
      <c r="N6447" s="345" t="s">
        <v>207</v>
      </c>
      <c r="O6447" s="345" t="s">
        <v>208</v>
      </c>
      <c r="P6447" s="345" t="s">
        <v>209</v>
      </c>
      <c r="Q6447" s="345" t="s">
        <v>210</v>
      </c>
      <c r="R6447" s="345" t="s">
        <v>223</v>
      </c>
      <c r="S6447" s="345" t="s">
        <v>224</v>
      </c>
    </row>
    <row r="6448" spans="1:19" x14ac:dyDescent="0.25">
      <c r="A6448" s="311"/>
      <c r="B6448" s="312"/>
      <c r="C6448" s="312"/>
      <c r="D6448" s="312"/>
      <c r="E6448" s="312"/>
      <c r="F6448" s="312"/>
      <c r="G6448" s="328"/>
      <c r="H6448" s="453"/>
      <c r="I6448" s="334"/>
      <c r="J6448" s="314"/>
      <c r="K6448" s="454"/>
      <c r="M6448" s="349" t="str">
        <f>N6448&amp;AS[[#This Row],[Insurer Code]]&amp;"; "&amp;O6448&amp;AS[[#This Row],[Reporting Year]]&amp;"; "&amp;P6448&amp;AS[[#This Row],[Insurance Category Code]]&amp;"; "&amp;Q6448&amp;AS[[#This Row],[Large Provider Entity Code]]&amp;"; "&amp;R6448&amp;AS[[#This Row],[Age Band Code]]&amp;"; "&amp;S6448&amp;AS[[#This Row],[Sex Code]]</f>
        <v xml:space="preserve">Insurer Code ; Reporting Year ; Insurance Category Code ; Large Provider Entity Code ; Age Band Code ; Sex Code </v>
      </c>
      <c r="N6448" s="345" t="s">
        <v>207</v>
      </c>
      <c r="O6448" s="345" t="s">
        <v>208</v>
      </c>
      <c r="P6448" s="345" t="s">
        <v>209</v>
      </c>
      <c r="Q6448" s="345" t="s">
        <v>210</v>
      </c>
      <c r="R6448" s="345" t="s">
        <v>223</v>
      </c>
      <c r="S6448" s="345" t="s">
        <v>224</v>
      </c>
    </row>
    <row r="6449" spans="1:19" x14ac:dyDescent="0.25">
      <c r="A6449" s="311"/>
      <c r="B6449" s="312"/>
      <c r="C6449" s="312"/>
      <c r="D6449" s="312"/>
      <c r="E6449" s="312"/>
      <c r="F6449" s="312"/>
      <c r="G6449" s="328"/>
      <c r="H6449" s="453"/>
      <c r="I6449" s="334"/>
      <c r="J6449" s="314"/>
      <c r="K6449" s="454"/>
      <c r="M6449" s="349" t="str">
        <f>N6449&amp;AS[[#This Row],[Insurer Code]]&amp;"; "&amp;O6449&amp;AS[[#This Row],[Reporting Year]]&amp;"; "&amp;P6449&amp;AS[[#This Row],[Insurance Category Code]]&amp;"; "&amp;Q6449&amp;AS[[#This Row],[Large Provider Entity Code]]&amp;"; "&amp;R6449&amp;AS[[#This Row],[Age Band Code]]&amp;"; "&amp;S6449&amp;AS[[#This Row],[Sex Code]]</f>
        <v xml:space="preserve">Insurer Code ; Reporting Year ; Insurance Category Code ; Large Provider Entity Code ; Age Band Code ; Sex Code </v>
      </c>
      <c r="N6449" s="345" t="s">
        <v>207</v>
      </c>
      <c r="O6449" s="345" t="s">
        <v>208</v>
      </c>
      <c r="P6449" s="345" t="s">
        <v>209</v>
      </c>
      <c r="Q6449" s="345" t="s">
        <v>210</v>
      </c>
      <c r="R6449" s="345" t="s">
        <v>223</v>
      </c>
      <c r="S6449" s="345" t="s">
        <v>224</v>
      </c>
    </row>
    <row r="6450" spans="1:19" x14ac:dyDescent="0.25">
      <c r="A6450" s="311"/>
      <c r="B6450" s="312"/>
      <c r="C6450" s="312"/>
      <c r="D6450" s="312"/>
      <c r="E6450" s="312"/>
      <c r="F6450" s="312"/>
      <c r="G6450" s="328"/>
      <c r="H6450" s="453"/>
      <c r="I6450" s="334"/>
      <c r="J6450" s="314"/>
      <c r="K6450" s="454"/>
      <c r="M6450" s="349" t="str">
        <f>N6450&amp;AS[[#This Row],[Insurer Code]]&amp;"; "&amp;O6450&amp;AS[[#This Row],[Reporting Year]]&amp;"; "&amp;P6450&amp;AS[[#This Row],[Insurance Category Code]]&amp;"; "&amp;Q6450&amp;AS[[#This Row],[Large Provider Entity Code]]&amp;"; "&amp;R6450&amp;AS[[#This Row],[Age Band Code]]&amp;"; "&amp;S6450&amp;AS[[#This Row],[Sex Code]]</f>
        <v xml:space="preserve">Insurer Code ; Reporting Year ; Insurance Category Code ; Large Provider Entity Code ; Age Band Code ; Sex Code </v>
      </c>
      <c r="N6450" s="345" t="s">
        <v>207</v>
      </c>
      <c r="O6450" s="345" t="s">
        <v>208</v>
      </c>
      <c r="P6450" s="345" t="s">
        <v>209</v>
      </c>
      <c r="Q6450" s="345" t="s">
        <v>210</v>
      </c>
      <c r="R6450" s="345" t="s">
        <v>223</v>
      </c>
      <c r="S6450" s="345" t="s">
        <v>224</v>
      </c>
    </row>
    <row r="6451" spans="1:19" x14ac:dyDescent="0.25">
      <c r="A6451" s="311"/>
      <c r="B6451" s="312"/>
      <c r="C6451" s="312"/>
      <c r="D6451" s="312"/>
      <c r="E6451" s="312"/>
      <c r="F6451" s="312"/>
      <c r="G6451" s="328"/>
      <c r="H6451" s="453"/>
      <c r="I6451" s="334"/>
      <c r="J6451" s="314"/>
      <c r="K6451" s="454"/>
      <c r="M6451" s="349" t="str">
        <f>N6451&amp;AS[[#This Row],[Insurer Code]]&amp;"; "&amp;O6451&amp;AS[[#This Row],[Reporting Year]]&amp;"; "&amp;P6451&amp;AS[[#This Row],[Insurance Category Code]]&amp;"; "&amp;Q6451&amp;AS[[#This Row],[Large Provider Entity Code]]&amp;"; "&amp;R6451&amp;AS[[#This Row],[Age Band Code]]&amp;"; "&amp;S6451&amp;AS[[#This Row],[Sex Code]]</f>
        <v xml:space="preserve">Insurer Code ; Reporting Year ; Insurance Category Code ; Large Provider Entity Code ; Age Band Code ; Sex Code </v>
      </c>
      <c r="N6451" s="345" t="s">
        <v>207</v>
      </c>
      <c r="O6451" s="345" t="s">
        <v>208</v>
      </c>
      <c r="P6451" s="345" t="s">
        <v>209</v>
      </c>
      <c r="Q6451" s="345" t="s">
        <v>210</v>
      </c>
      <c r="R6451" s="345" t="s">
        <v>223</v>
      </c>
      <c r="S6451" s="345" t="s">
        <v>224</v>
      </c>
    </row>
    <row r="6452" spans="1:19" x14ac:dyDescent="0.25">
      <c r="A6452" s="311"/>
      <c r="B6452" s="312"/>
      <c r="C6452" s="312"/>
      <c r="D6452" s="312"/>
      <c r="E6452" s="312"/>
      <c r="F6452" s="312"/>
      <c r="G6452" s="328"/>
      <c r="H6452" s="453"/>
      <c r="I6452" s="334"/>
      <c r="J6452" s="314"/>
      <c r="K6452" s="454"/>
      <c r="M6452" s="349" t="str">
        <f>N6452&amp;AS[[#This Row],[Insurer Code]]&amp;"; "&amp;O6452&amp;AS[[#This Row],[Reporting Year]]&amp;"; "&amp;P6452&amp;AS[[#This Row],[Insurance Category Code]]&amp;"; "&amp;Q6452&amp;AS[[#This Row],[Large Provider Entity Code]]&amp;"; "&amp;R6452&amp;AS[[#This Row],[Age Band Code]]&amp;"; "&amp;S6452&amp;AS[[#This Row],[Sex Code]]</f>
        <v xml:space="preserve">Insurer Code ; Reporting Year ; Insurance Category Code ; Large Provider Entity Code ; Age Band Code ; Sex Code </v>
      </c>
      <c r="N6452" s="345" t="s">
        <v>207</v>
      </c>
      <c r="O6452" s="345" t="s">
        <v>208</v>
      </c>
      <c r="P6452" s="345" t="s">
        <v>209</v>
      </c>
      <c r="Q6452" s="345" t="s">
        <v>210</v>
      </c>
      <c r="R6452" s="345" t="s">
        <v>223</v>
      </c>
      <c r="S6452" s="345" t="s">
        <v>224</v>
      </c>
    </row>
    <row r="6453" spans="1:19" x14ac:dyDescent="0.25">
      <c r="A6453" s="311"/>
      <c r="B6453" s="312"/>
      <c r="C6453" s="312"/>
      <c r="D6453" s="312"/>
      <c r="E6453" s="312"/>
      <c r="F6453" s="312"/>
      <c r="G6453" s="328"/>
      <c r="H6453" s="453"/>
      <c r="I6453" s="334"/>
      <c r="J6453" s="314"/>
      <c r="K6453" s="454"/>
      <c r="M6453" s="349" t="str">
        <f>N6453&amp;AS[[#This Row],[Insurer Code]]&amp;"; "&amp;O6453&amp;AS[[#This Row],[Reporting Year]]&amp;"; "&amp;P6453&amp;AS[[#This Row],[Insurance Category Code]]&amp;"; "&amp;Q6453&amp;AS[[#This Row],[Large Provider Entity Code]]&amp;"; "&amp;R6453&amp;AS[[#This Row],[Age Band Code]]&amp;"; "&amp;S6453&amp;AS[[#This Row],[Sex Code]]</f>
        <v xml:space="preserve">Insurer Code ; Reporting Year ; Insurance Category Code ; Large Provider Entity Code ; Age Band Code ; Sex Code </v>
      </c>
      <c r="N6453" s="345" t="s">
        <v>207</v>
      </c>
      <c r="O6453" s="345" t="s">
        <v>208</v>
      </c>
      <c r="P6453" s="345" t="s">
        <v>209</v>
      </c>
      <c r="Q6453" s="345" t="s">
        <v>210</v>
      </c>
      <c r="R6453" s="345" t="s">
        <v>223</v>
      </c>
      <c r="S6453" s="345" t="s">
        <v>224</v>
      </c>
    </row>
    <row r="6454" spans="1:19" x14ac:dyDescent="0.25">
      <c r="A6454" s="311"/>
      <c r="B6454" s="312"/>
      <c r="C6454" s="312"/>
      <c r="D6454" s="312"/>
      <c r="E6454" s="312"/>
      <c r="F6454" s="312"/>
      <c r="G6454" s="328"/>
      <c r="H6454" s="453"/>
      <c r="I6454" s="334"/>
      <c r="J6454" s="314"/>
      <c r="K6454" s="454"/>
      <c r="M6454" s="349" t="str">
        <f>N6454&amp;AS[[#This Row],[Insurer Code]]&amp;"; "&amp;O6454&amp;AS[[#This Row],[Reporting Year]]&amp;"; "&amp;P6454&amp;AS[[#This Row],[Insurance Category Code]]&amp;"; "&amp;Q6454&amp;AS[[#This Row],[Large Provider Entity Code]]&amp;"; "&amp;R6454&amp;AS[[#This Row],[Age Band Code]]&amp;"; "&amp;S6454&amp;AS[[#This Row],[Sex Code]]</f>
        <v xml:space="preserve">Insurer Code ; Reporting Year ; Insurance Category Code ; Large Provider Entity Code ; Age Band Code ; Sex Code </v>
      </c>
      <c r="N6454" s="345" t="s">
        <v>207</v>
      </c>
      <c r="O6454" s="345" t="s">
        <v>208</v>
      </c>
      <c r="P6454" s="345" t="s">
        <v>209</v>
      </c>
      <c r="Q6454" s="345" t="s">
        <v>210</v>
      </c>
      <c r="R6454" s="345" t="s">
        <v>223</v>
      </c>
      <c r="S6454" s="345" t="s">
        <v>224</v>
      </c>
    </row>
    <row r="6455" spans="1:19" x14ac:dyDescent="0.25">
      <c r="A6455" s="311"/>
      <c r="B6455" s="312"/>
      <c r="C6455" s="312"/>
      <c r="D6455" s="312"/>
      <c r="E6455" s="312"/>
      <c r="F6455" s="312"/>
      <c r="G6455" s="328"/>
      <c r="H6455" s="453"/>
      <c r="I6455" s="334"/>
      <c r="J6455" s="314"/>
      <c r="K6455" s="454"/>
      <c r="M6455" s="349" t="str">
        <f>N6455&amp;AS[[#This Row],[Insurer Code]]&amp;"; "&amp;O6455&amp;AS[[#This Row],[Reporting Year]]&amp;"; "&amp;P6455&amp;AS[[#This Row],[Insurance Category Code]]&amp;"; "&amp;Q6455&amp;AS[[#This Row],[Large Provider Entity Code]]&amp;"; "&amp;R6455&amp;AS[[#This Row],[Age Band Code]]&amp;"; "&amp;S6455&amp;AS[[#This Row],[Sex Code]]</f>
        <v xml:space="preserve">Insurer Code ; Reporting Year ; Insurance Category Code ; Large Provider Entity Code ; Age Band Code ; Sex Code </v>
      </c>
      <c r="N6455" s="345" t="s">
        <v>207</v>
      </c>
      <c r="O6455" s="345" t="s">
        <v>208</v>
      </c>
      <c r="P6455" s="345" t="s">
        <v>209</v>
      </c>
      <c r="Q6455" s="345" t="s">
        <v>210</v>
      </c>
      <c r="R6455" s="345" t="s">
        <v>223</v>
      </c>
      <c r="S6455" s="345" t="s">
        <v>224</v>
      </c>
    </row>
    <row r="6456" spans="1:19" x14ac:dyDescent="0.25">
      <c r="A6456" s="311"/>
      <c r="B6456" s="312"/>
      <c r="C6456" s="312"/>
      <c r="D6456" s="312"/>
      <c r="E6456" s="312"/>
      <c r="F6456" s="312"/>
      <c r="G6456" s="328"/>
      <c r="H6456" s="453"/>
      <c r="I6456" s="334"/>
      <c r="J6456" s="314"/>
      <c r="K6456" s="454"/>
      <c r="M6456" s="349" t="str">
        <f>N6456&amp;AS[[#This Row],[Insurer Code]]&amp;"; "&amp;O6456&amp;AS[[#This Row],[Reporting Year]]&amp;"; "&amp;P6456&amp;AS[[#This Row],[Insurance Category Code]]&amp;"; "&amp;Q6456&amp;AS[[#This Row],[Large Provider Entity Code]]&amp;"; "&amp;R6456&amp;AS[[#This Row],[Age Band Code]]&amp;"; "&amp;S6456&amp;AS[[#This Row],[Sex Code]]</f>
        <v xml:space="preserve">Insurer Code ; Reporting Year ; Insurance Category Code ; Large Provider Entity Code ; Age Band Code ; Sex Code </v>
      </c>
      <c r="N6456" s="345" t="s">
        <v>207</v>
      </c>
      <c r="O6456" s="345" t="s">
        <v>208</v>
      </c>
      <c r="P6456" s="345" t="s">
        <v>209</v>
      </c>
      <c r="Q6456" s="345" t="s">
        <v>210</v>
      </c>
      <c r="R6456" s="345" t="s">
        <v>223</v>
      </c>
      <c r="S6456" s="345" t="s">
        <v>224</v>
      </c>
    </row>
    <row r="6457" spans="1:19" x14ac:dyDescent="0.25">
      <c r="A6457" s="311"/>
      <c r="B6457" s="312"/>
      <c r="C6457" s="312"/>
      <c r="D6457" s="312"/>
      <c r="E6457" s="312"/>
      <c r="F6457" s="312"/>
      <c r="G6457" s="328"/>
      <c r="H6457" s="453"/>
      <c r="I6457" s="334"/>
      <c r="J6457" s="314"/>
      <c r="K6457" s="454"/>
      <c r="M6457" s="349" t="str">
        <f>N6457&amp;AS[[#This Row],[Insurer Code]]&amp;"; "&amp;O6457&amp;AS[[#This Row],[Reporting Year]]&amp;"; "&amp;P6457&amp;AS[[#This Row],[Insurance Category Code]]&amp;"; "&amp;Q6457&amp;AS[[#This Row],[Large Provider Entity Code]]&amp;"; "&amp;R6457&amp;AS[[#This Row],[Age Band Code]]&amp;"; "&amp;S6457&amp;AS[[#This Row],[Sex Code]]</f>
        <v xml:space="preserve">Insurer Code ; Reporting Year ; Insurance Category Code ; Large Provider Entity Code ; Age Band Code ; Sex Code </v>
      </c>
      <c r="N6457" s="345" t="s">
        <v>207</v>
      </c>
      <c r="O6457" s="345" t="s">
        <v>208</v>
      </c>
      <c r="P6457" s="345" t="s">
        <v>209</v>
      </c>
      <c r="Q6457" s="345" t="s">
        <v>210</v>
      </c>
      <c r="R6457" s="345" t="s">
        <v>223</v>
      </c>
      <c r="S6457" s="345" t="s">
        <v>224</v>
      </c>
    </row>
    <row r="6458" spans="1:19" x14ac:dyDescent="0.25">
      <c r="A6458" s="311"/>
      <c r="B6458" s="312"/>
      <c r="C6458" s="312"/>
      <c r="D6458" s="312"/>
      <c r="E6458" s="312"/>
      <c r="F6458" s="312"/>
      <c r="G6458" s="328"/>
      <c r="H6458" s="453"/>
      <c r="I6458" s="334"/>
      <c r="J6458" s="314"/>
      <c r="K6458" s="454"/>
      <c r="M6458" s="349" t="str">
        <f>N6458&amp;AS[[#This Row],[Insurer Code]]&amp;"; "&amp;O6458&amp;AS[[#This Row],[Reporting Year]]&amp;"; "&amp;P6458&amp;AS[[#This Row],[Insurance Category Code]]&amp;"; "&amp;Q6458&amp;AS[[#This Row],[Large Provider Entity Code]]&amp;"; "&amp;R6458&amp;AS[[#This Row],[Age Band Code]]&amp;"; "&amp;S6458&amp;AS[[#This Row],[Sex Code]]</f>
        <v xml:space="preserve">Insurer Code ; Reporting Year ; Insurance Category Code ; Large Provider Entity Code ; Age Band Code ; Sex Code </v>
      </c>
      <c r="N6458" s="345" t="s">
        <v>207</v>
      </c>
      <c r="O6458" s="345" t="s">
        <v>208</v>
      </c>
      <c r="P6458" s="345" t="s">
        <v>209</v>
      </c>
      <c r="Q6458" s="345" t="s">
        <v>210</v>
      </c>
      <c r="R6458" s="345" t="s">
        <v>223</v>
      </c>
      <c r="S6458" s="345" t="s">
        <v>224</v>
      </c>
    </row>
    <row r="6459" spans="1:19" x14ac:dyDescent="0.25">
      <c r="A6459" s="311"/>
      <c r="B6459" s="312"/>
      <c r="C6459" s="312"/>
      <c r="D6459" s="312"/>
      <c r="E6459" s="312"/>
      <c r="F6459" s="312"/>
      <c r="G6459" s="328"/>
      <c r="H6459" s="453"/>
      <c r="I6459" s="334"/>
      <c r="J6459" s="314"/>
      <c r="K6459" s="454"/>
      <c r="M6459" s="349" t="str">
        <f>N6459&amp;AS[[#This Row],[Insurer Code]]&amp;"; "&amp;O6459&amp;AS[[#This Row],[Reporting Year]]&amp;"; "&amp;P6459&amp;AS[[#This Row],[Insurance Category Code]]&amp;"; "&amp;Q6459&amp;AS[[#This Row],[Large Provider Entity Code]]&amp;"; "&amp;R6459&amp;AS[[#This Row],[Age Band Code]]&amp;"; "&amp;S6459&amp;AS[[#This Row],[Sex Code]]</f>
        <v xml:space="preserve">Insurer Code ; Reporting Year ; Insurance Category Code ; Large Provider Entity Code ; Age Band Code ; Sex Code </v>
      </c>
      <c r="N6459" s="345" t="s">
        <v>207</v>
      </c>
      <c r="O6459" s="345" t="s">
        <v>208</v>
      </c>
      <c r="P6459" s="345" t="s">
        <v>209</v>
      </c>
      <c r="Q6459" s="345" t="s">
        <v>210</v>
      </c>
      <c r="R6459" s="345" t="s">
        <v>223</v>
      </c>
      <c r="S6459" s="345" t="s">
        <v>224</v>
      </c>
    </row>
    <row r="6460" spans="1:19" x14ac:dyDescent="0.25">
      <c r="A6460" s="311"/>
      <c r="B6460" s="312"/>
      <c r="C6460" s="312"/>
      <c r="D6460" s="312"/>
      <c r="E6460" s="312"/>
      <c r="F6460" s="312"/>
      <c r="G6460" s="328"/>
      <c r="H6460" s="453"/>
      <c r="I6460" s="334"/>
      <c r="J6460" s="314"/>
      <c r="K6460" s="454"/>
      <c r="M6460" s="349" t="str">
        <f>N6460&amp;AS[[#This Row],[Insurer Code]]&amp;"; "&amp;O6460&amp;AS[[#This Row],[Reporting Year]]&amp;"; "&amp;P6460&amp;AS[[#This Row],[Insurance Category Code]]&amp;"; "&amp;Q6460&amp;AS[[#This Row],[Large Provider Entity Code]]&amp;"; "&amp;R6460&amp;AS[[#This Row],[Age Band Code]]&amp;"; "&amp;S6460&amp;AS[[#This Row],[Sex Code]]</f>
        <v xml:space="preserve">Insurer Code ; Reporting Year ; Insurance Category Code ; Large Provider Entity Code ; Age Band Code ; Sex Code </v>
      </c>
      <c r="N6460" s="345" t="s">
        <v>207</v>
      </c>
      <c r="O6460" s="345" t="s">
        <v>208</v>
      </c>
      <c r="P6460" s="345" t="s">
        <v>209</v>
      </c>
      <c r="Q6460" s="345" t="s">
        <v>210</v>
      </c>
      <c r="R6460" s="345" t="s">
        <v>223</v>
      </c>
      <c r="S6460" s="345" t="s">
        <v>224</v>
      </c>
    </row>
    <row r="6461" spans="1:19" x14ac:dyDescent="0.25">
      <c r="A6461" s="311"/>
      <c r="B6461" s="312"/>
      <c r="C6461" s="312"/>
      <c r="D6461" s="312"/>
      <c r="E6461" s="312"/>
      <c r="F6461" s="312"/>
      <c r="G6461" s="328"/>
      <c r="H6461" s="453"/>
      <c r="I6461" s="334"/>
      <c r="J6461" s="314"/>
      <c r="K6461" s="454"/>
      <c r="M6461" s="349" t="str">
        <f>N6461&amp;AS[[#This Row],[Insurer Code]]&amp;"; "&amp;O6461&amp;AS[[#This Row],[Reporting Year]]&amp;"; "&amp;P6461&amp;AS[[#This Row],[Insurance Category Code]]&amp;"; "&amp;Q6461&amp;AS[[#This Row],[Large Provider Entity Code]]&amp;"; "&amp;R6461&amp;AS[[#This Row],[Age Band Code]]&amp;"; "&amp;S6461&amp;AS[[#This Row],[Sex Code]]</f>
        <v xml:space="preserve">Insurer Code ; Reporting Year ; Insurance Category Code ; Large Provider Entity Code ; Age Band Code ; Sex Code </v>
      </c>
      <c r="N6461" s="345" t="s">
        <v>207</v>
      </c>
      <c r="O6461" s="345" t="s">
        <v>208</v>
      </c>
      <c r="P6461" s="345" t="s">
        <v>209</v>
      </c>
      <c r="Q6461" s="345" t="s">
        <v>210</v>
      </c>
      <c r="R6461" s="345" t="s">
        <v>223</v>
      </c>
      <c r="S6461" s="345" t="s">
        <v>224</v>
      </c>
    </row>
    <row r="6462" spans="1:19" x14ac:dyDescent="0.25">
      <c r="A6462" s="311"/>
      <c r="B6462" s="312"/>
      <c r="C6462" s="312"/>
      <c r="D6462" s="312"/>
      <c r="E6462" s="312"/>
      <c r="F6462" s="312"/>
      <c r="G6462" s="328"/>
      <c r="H6462" s="453"/>
      <c r="I6462" s="334"/>
      <c r="J6462" s="314"/>
      <c r="K6462" s="454"/>
      <c r="M6462" s="349" t="str">
        <f>N6462&amp;AS[[#This Row],[Insurer Code]]&amp;"; "&amp;O6462&amp;AS[[#This Row],[Reporting Year]]&amp;"; "&amp;P6462&amp;AS[[#This Row],[Insurance Category Code]]&amp;"; "&amp;Q6462&amp;AS[[#This Row],[Large Provider Entity Code]]&amp;"; "&amp;R6462&amp;AS[[#This Row],[Age Band Code]]&amp;"; "&amp;S6462&amp;AS[[#This Row],[Sex Code]]</f>
        <v xml:space="preserve">Insurer Code ; Reporting Year ; Insurance Category Code ; Large Provider Entity Code ; Age Band Code ; Sex Code </v>
      </c>
      <c r="N6462" s="345" t="s">
        <v>207</v>
      </c>
      <c r="O6462" s="345" t="s">
        <v>208</v>
      </c>
      <c r="P6462" s="345" t="s">
        <v>209</v>
      </c>
      <c r="Q6462" s="345" t="s">
        <v>210</v>
      </c>
      <c r="R6462" s="345" t="s">
        <v>223</v>
      </c>
      <c r="S6462" s="345" t="s">
        <v>224</v>
      </c>
    </row>
    <row r="6463" spans="1:19" x14ac:dyDescent="0.25">
      <c r="A6463" s="311"/>
      <c r="B6463" s="312"/>
      <c r="C6463" s="312"/>
      <c r="D6463" s="312"/>
      <c r="E6463" s="312"/>
      <c r="F6463" s="312"/>
      <c r="G6463" s="328"/>
      <c r="H6463" s="453"/>
      <c r="I6463" s="334"/>
      <c r="J6463" s="314"/>
      <c r="K6463" s="454"/>
      <c r="M6463" s="349" t="str">
        <f>N6463&amp;AS[[#This Row],[Insurer Code]]&amp;"; "&amp;O6463&amp;AS[[#This Row],[Reporting Year]]&amp;"; "&amp;P6463&amp;AS[[#This Row],[Insurance Category Code]]&amp;"; "&amp;Q6463&amp;AS[[#This Row],[Large Provider Entity Code]]&amp;"; "&amp;R6463&amp;AS[[#This Row],[Age Band Code]]&amp;"; "&amp;S6463&amp;AS[[#This Row],[Sex Code]]</f>
        <v xml:space="preserve">Insurer Code ; Reporting Year ; Insurance Category Code ; Large Provider Entity Code ; Age Band Code ; Sex Code </v>
      </c>
      <c r="N6463" s="345" t="s">
        <v>207</v>
      </c>
      <c r="O6463" s="345" t="s">
        <v>208</v>
      </c>
      <c r="P6463" s="345" t="s">
        <v>209</v>
      </c>
      <c r="Q6463" s="345" t="s">
        <v>210</v>
      </c>
      <c r="R6463" s="345" t="s">
        <v>223</v>
      </c>
      <c r="S6463" s="345" t="s">
        <v>224</v>
      </c>
    </row>
    <row r="6464" spans="1:19" x14ac:dyDescent="0.25">
      <c r="A6464" s="311"/>
      <c r="B6464" s="312"/>
      <c r="C6464" s="312"/>
      <c r="D6464" s="312"/>
      <c r="E6464" s="312"/>
      <c r="F6464" s="312"/>
      <c r="G6464" s="328"/>
      <c r="H6464" s="453"/>
      <c r="I6464" s="334"/>
      <c r="J6464" s="314"/>
      <c r="K6464" s="454"/>
      <c r="M6464" s="349" t="str">
        <f>N6464&amp;AS[[#This Row],[Insurer Code]]&amp;"; "&amp;O6464&amp;AS[[#This Row],[Reporting Year]]&amp;"; "&amp;P6464&amp;AS[[#This Row],[Insurance Category Code]]&amp;"; "&amp;Q6464&amp;AS[[#This Row],[Large Provider Entity Code]]&amp;"; "&amp;R6464&amp;AS[[#This Row],[Age Band Code]]&amp;"; "&amp;S6464&amp;AS[[#This Row],[Sex Code]]</f>
        <v xml:space="preserve">Insurer Code ; Reporting Year ; Insurance Category Code ; Large Provider Entity Code ; Age Band Code ; Sex Code </v>
      </c>
      <c r="N6464" s="345" t="s">
        <v>207</v>
      </c>
      <c r="O6464" s="345" t="s">
        <v>208</v>
      </c>
      <c r="P6464" s="345" t="s">
        <v>209</v>
      </c>
      <c r="Q6464" s="345" t="s">
        <v>210</v>
      </c>
      <c r="R6464" s="345" t="s">
        <v>223</v>
      </c>
      <c r="S6464" s="345" t="s">
        <v>224</v>
      </c>
    </row>
    <row r="6465" spans="1:19" x14ac:dyDescent="0.25">
      <c r="A6465" s="311"/>
      <c r="B6465" s="312"/>
      <c r="C6465" s="312"/>
      <c r="D6465" s="312"/>
      <c r="E6465" s="312"/>
      <c r="F6465" s="312"/>
      <c r="G6465" s="328"/>
      <c r="H6465" s="453"/>
      <c r="I6465" s="334"/>
      <c r="J6465" s="314"/>
      <c r="K6465" s="454"/>
      <c r="M6465" s="349" t="str">
        <f>N6465&amp;AS[[#This Row],[Insurer Code]]&amp;"; "&amp;O6465&amp;AS[[#This Row],[Reporting Year]]&amp;"; "&amp;P6465&amp;AS[[#This Row],[Insurance Category Code]]&amp;"; "&amp;Q6465&amp;AS[[#This Row],[Large Provider Entity Code]]&amp;"; "&amp;R6465&amp;AS[[#This Row],[Age Band Code]]&amp;"; "&amp;S6465&amp;AS[[#This Row],[Sex Code]]</f>
        <v xml:space="preserve">Insurer Code ; Reporting Year ; Insurance Category Code ; Large Provider Entity Code ; Age Band Code ; Sex Code </v>
      </c>
      <c r="N6465" s="345" t="s">
        <v>207</v>
      </c>
      <c r="O6465" s="345" t="s">
        <v>208</v>
      </c>
      <c r="P6465" s="345" t="s">
        <v>209</v>
      </c>
      <c r="Q6465" s="345" t="s">
        <v>210</v>
      </c>
      <c r="R6465" s="345" t="s">
        <v>223</v>
      </c>
      <c r="S6465" s="345" t="s">
        <v>224</v>
      </c>
    </row>
    <row r="6466" spans="1:19" x14ac:dyDescent="0.25">
      <c r="A6466" s="311"/>
      <c r="B6466" s="312"/>
      <c r="C6466" s="312"/>
      <c r="D6466" s="312"/>
      <c r="E6466" s="312"/>
      <c r="F6466" s="312"/>
      <c r="G6466" s="328"/>
      <c r="H6466" s="453"/>
      <c r="I6466" s="334"/>
      <c r="J6466" s="314"/>
      <c r="K6466" s="454"/>
      <c r="M6466" s="349" t="str">
        <f>N6466&amp;AS[[#This Row],[Insurer Code]]&amp;"; "&amp;O6466&amp;AS[[#This Row],[Reporting Year]]&amp;"; "&amp;P6466&amp;AS[[#This Row],[Insurance Category Code]]&amp;"; "&amp;Q6466&amp;AS[[#This Row],[Large Provider Entity Code]]&amp;"; "&amp;R6466&amp;AS[[#This Row],[Age Band Code]]&amp;"; "&amp;S6466&amp;AS[[#This Row],[Sex Code]]</f>
        <v xml:space="preserve">Insurer Code ; Reporting Year ; Insurance Category Code ; Large Provider Entity Code ; Age Band Code ; Sex Code </v>
      </c>
      <c r="N6466" s="345" t="s">
        <v>207</v>
      </c>
      <c r="O6466" s="345" t="s">
        <v>208</v>
      </c>
      <c r="P6466" s="345" t="s">
        <v>209</v>
      </c>
      <c r="Q6466" s="345" t="s">
        <v>210</v>
      </c>
      <c r="R6466" s="345" t="s">
        <v>223</v>
      </c>
      <c r="S6466" s="345" t="s">
        <v>224</v>
      </c>
    </row>
    <row r="6467" spans="1:19" x14ac:dyDescent="0.25">
      <c r="A6467" s="311"/>
      <c r="B6467" s="312"/>
      <c r="C6467" s="312"/>
      <c r="D6467" s="312"/>
      <c r="E6467" s="312"/>
      <c r="F6467" s="312"/>
      <c r="G6467" s="328"/>
      <c r="H6467" s="453"/>
      <c r="I6467" s="334"/>
      <c r="J6467" s="314"/>
      <c r="K6467" s="454"/>
      <c r="M6467" s="349" t="str">
        <f>N6467&amp;AS[[#This Row],[Insurer Code]]&amp;"; "&amp;O6467&amp;AS[[#This Row],[Reporting Year]]&amp;"; "&amp;P6467&amp;AS[[#This Row],[Insurance Category Code]]&amp;"; "&amp;Q6467&amp;AS[[#This Row],[Large Provider Entity Code]]&amp;"; "&amp;R6467&amp;AS[[#This Row],[Age Band Code]]&amp;"; "&amp;S6467&amp;AS[[#This Row],[Sex Code]]</f>
        <v xml:space="preserve">Insurer Code ; Reporting Year ; Insurance Category Code ; Large Provider Entity Code ; Age Band Code ; Sex Code </v>
      </c>
      <c r="N6467" s="345" t="s">
        <v>207</v>
      </c>
      <c r="O6467" s="345" t="s">
        <v>208</v>
      </c>
      <c r="P6467" s="345" t="s">
        <v>209</v>
      </c>
      <c r="Q6467" s="345" t="s">
        <v>210</v>
      </c>
      <c r="R6467" s="345" t="s">
        <v>223</v>
      </c>
      <c r="S6467" s="345" t="s">
        <v>224</v>
      </c>
    </row>
    <row r="6468" spans="1:19" x14ac:dyDescent="0.25">
      <c r="A6468" s="311"/>
      <c r="B6468" s="312"/>
      <c r="C6468" s="312"/>
      <c r="D6468" s="312"/>
      <c r="E6468" s="312"/>
      <c r="F6468" s="312"/>
      <c r="G6468" s="328"/>
      <c r="H6468" s="453"/>
      <c r="I6468" s="334"/>
      <c r="J6468" s="314"/>
      <c r="K6468" s="454"/>
      <c r="M6468" s="349" t="str">
        <f>N6468&amp;AS[[#This Row],[Insurer Code]]&amp;"; "&amp;O6468&amp;AS[[#This Row],[Reporting Year]]&amp;"; "&amp;P6468&amp;AS[[#This Row],[Insurance Category Code]]&amp;"; "&amp;Q6468&amp;AS[[#This Row],[Large Provider Entity Code]]&amp;"; "&amp;R6468&amp;AS[[#This Row],[Age Band Code]]&amp;"; "&amp;S6468&amp;AS[[#This Row],[Sex Code]]</f>
        <v xml:space="preserve">Insurer Code ; Reporting Year ; Insurance Category Code ; Large Provider Entity Code ; Age Band Code ; Sex Code </v>
      </c>
      <c r="N6468" s="345" t="s">
        <v>207</v>
      </c>
      <c r="O6468" s="345" t="s">
        <v>208</v>
      </c>
      <c r="P6468" s="345" t="s">
        <v>209</v>
      </c>
      <c r="Q6468" s="345" t="s">
        <v>210</v>
      </c>
      <c r="R6468" s="345" t="s">
        <v>223</v>
      </c>
      <c r="S6468" s="345" t="s">
        <v>224</v>
      </c>
    </row>
    <row r="6469" spans="1:19" x14ac:dyDescent="0.25">
      <c r="A6469" s="311"/>
      <c r="B6469" s="312"/>
      <c r="C6469" s="312"/>
      <c r="D6469" s="312"/>
      <c r="E6469" s="312"/>
      <c r="F6469" s="312"/>
      <c r="G6469" s="328"/>
      <c r="H6469" s="453"/>
      <c r="I6469" s="334"/>
      <c r="J6469" s="314"/>
      <c r="K6469" s="454"/>
      <c r="M6469" s="349" t="str">
        <f>N6469&amp;AS[[#This Row],[Insurer Code]]&amp;"; "&amp;O6469&amp;AS[[#This Row],[Reporting Year]]&amp;"; "&amp;P6469&amp;AS[[#This Row],[Insurance Category Code]]&amp;"; "&amp;Q6469&amp;AS[[#This Row],[Large Provider Entity Code]]&amp;"; "&amp;R6469&amp;AS[[#This Row],[Age Band Code]]&amp;"; "&amp;S6469&amp;AS[[#This Row],[Sex Code]]</f>
        <v xml:space="preserve">Insurer Code ; Reporting Year ; Insurance Category Code ; Large Provider Entity Code ; Age Band Code ; Sex Code </v>
      </c>
      <c r="N6469" s="345" t="s">
        <v>207</v>
      </c>
      <c r="O6469" s="345" t="s">
        <v>208</v>
      </c>
      <c r="P6469" s="345" t="s">
        <v>209</v>
      </c>
      <c r="Q6469" s="345" t="s">
        <v>210</v>
      </c>
      <c r="R6469" s="345" t="s">
        <v>223</v>
      </c>
      <c r="S6469" s="345" t="s">
        <v>224</v>
      </c>
    </row>
    <row r="6470" spans="1:19" x14ac:dyDescent="0.25">
      <c r="A6470" s="311"/>
      <c r="B6470" s="312"/>
      <c r="C6470" s="312"/>
      <c r="D6470" s="312"/>
      <c r="E6470" s="312"/>
      <c r="F6470" s="312"/>
      <c r="G6470" s="328"/>
      <c r="H6470" s="453"/>
      <c r="I6470" s="334"/>
      <c r="J6470" s="314"/>
      <c r="K6470" s="454"/>
      <c r="M6470" s="349" t="str">
        <f>N6470&amp;AS[[#This Row],[Insurer Code]]&amp;"; "&amp;O6470&amp;AS[[#This Row],[Reporting Year]]&amp;"; "&amp;P6470&amp;AS[[#This Row],[Insurance Category Code]]&amp;"; "&amp;Q6470&amp;AS[[#This Row],[Large Provider Entity Code]]&amp;"; "&amp;R6470&amp;AS[[#This Row],[Age Band Code]]&amp;"; "&amp;S6470&amp;AS[[#This Row],[Sex Code]]</f>
        <v xml:space="preserve">Insurer Code ; Reporting Year ; Insurance Category Code ; Large Provider Entity Code ; Age Band Code ; Sex Code </v>
      </c>
      <c r="N6470" s="345" t="s">
        <v>207</v>
      </c>
      <c r="O6470" s="345" t="s">
        <v>208</v>
      </c>
      <c r="P6470" s="345" t="s">
        <v>209</v>
      </c>
      <c r="Q6470" s="345" t="s">
        <v>210</v>
      </c>
      <c r="R6470" s="345" t="s">
        <v>223</v>
      </c>
      <c r="S6470" s="345" t="s">
        <v>224</v>
      </c>
    </row>
    <row r="6471" spans="1:19" x14ac:dyDescent="0.25">
      <c r="A6471" s="311"/>
      <c r="B6471" s="312"/>
      <c r="C6471" s="312"/>
      <c r="D6471" s="312"/>
      <c r="E6471" s="312"/>
      <c r="F6471" s="312"/>
      <c r="G6471" s="328"/>
      <c r="H6471" s="453"/>
      <c r="I6471" s="334"/>
      <c r="J6471" s="314"/>
      <c r="K6471" s="454"/>
      <c r="M6471" s="349" t="str">
        <f>N6471&amp;AS[[#This Row],[Insurer Code]]&amp;"; "&amp;O6471&amp;AS[[#This Row],[Reporting Year]]&amp;"; "&amp;P6471&amp;AS[[#This Row],[Insurance Category Code]]&amp;"; "&amp;Q6471&amp;AS[[#This Row],[Large Provider Entity Code]]&amp;"; "&amp;R6471&amp;AS[[#This Row],[Age Band Code]]&amp;"; "&amp;S6471&amp;AS[[#This Row],[Sex Code]]</f>
        <v xml:space="preserve">Insurer Code ; Reporting Year ; Insurance Category Code ; Large Provider Entity Code ; Age Band Code ; Sex Code </v>
      </c>
      <c r="N6471" s="345" t="s">
        <v>207</v>
      </c>
      <c r="O6471" s="345" t="s">
        <v>208</v>
      </c>
      <c r="P6471" s="345" t="s">
        <v>209</v>
      </c>
      <c r="Q6471" s="345" t="s">
        <v>210</v>
      </c>
      <c r="R6471" s="345" t="s">
        <v>223</v>
      </c>
      <c r="S6471" s="345" t="s">
        <v>224</v>
      </c>
    </row>
    <row r="6472" spans="1:19" x14ac:dyDescent="0.25">
      <c r="A6472" s="311"/>
      <c r="B6472" s="312"/>
      <c r="C6472" s="312"/>
      <c r="D6472" s="312"/>
      <c r="E6472" s="312"/>
      <c r="F6472" s="312"/>
      <c r="G6472" s="328"/>
      <c r="H6472" s="453"/>
      <c r="I6472" s="334"/>
      <c r="J6472" s="314"/>
      <c r="K6472" s="454"/>
      <c r="M6472" s="349" t="str">
        <f>N6472&amp;AS[[#This Row],[Insurer Code]]&amp;"; "&amp;O6472&amp;AS[[#This Row],[Reporting Year]]&amp;"; "&amp;P6472&amp;AS[[#This Row],[Insurance Category Code]]&amp;"; "&amp;Q6472&amp;AS[[#This Row],[Large Provider Entity Code]]&amp;"; "&amp;R6472&amp;AS[[#This Row],[Age Band Code]]&amp;"; "&amp;S6472&amp;AS[[#This Row],[Sex Code]]</f>
        <v xml:space="preserve">Insurer Code ; Reporting Year ; Insurance Category Code ; Large Provider Entity Code ; Age Band Code ; Sex Code </v>
      </c>
      <c r="N6472" s="345" t="s">
        <v>207</v>
      </c>
      <c r="O6472" s="345" t="s">
        <v>208</v>
      </c>
      <c r="P6472" s="345" t="s">
        <v>209</v>
      </c>
      <c r="Q6472" s="345" t="s">
        <v>210</v>
      </c>
      <c r="R6472" s="345" t="s">
        <v>223</v>
      </c>
      <c r="S6472" s="345" t="s">
        <v>224</v>
      </c>
    </row>
    <row r="6473" spans="1:19" x14ac:dyDescent="0.25">
      <c r="A6473" s="311"/>
      <c r="B6473" s="312"/>
      <c r="C6473" s="312"/>
      <c r="D6473" s="312"/>
      <c r="E6473" s="312"/>
      <c r="F6473" s="312"/>
      <c r="G6473" s="328"/>
      <c r="H6473" s="453"/>
      <c r="I6473" s="334"/>
      <c r="J6473" s="314"/>
      <c r="K6473" s="454"/>
      <c r="M6473" s="349" t="str">
        <f>N6473&amp;AS[[#This Row],[Insurer Code]]&amp;"; "&amp;O6473&amp;AS[[#This Row],[Reporting Year]]&amp;"; "&amp;P6473&amp;AS[[#This Row],[Insurance Category Code]]&amp;"; "&amp;Q6473&amp;AS[[#This Row],[Large Provider Entity Code]]&amp;"; "&amp;R6473&amp;AS[[#This Row],[Age Band Code]]&amp;"; "&amp;S6473&amp;AS[[#This Row],[Sex Code]]</f>
        <v xml:space="preserve">Insurer Code ; Reporting Year ; Insurance Category Code ; Large Provider Entity Code ; Age Band Code ; Sex Code </v>
      </c>
      <c r="N6473" s="345" t="s">
        <v>207</v>
      </c>
      <c r="O6473" s="345" t="s">
        <v>208</v>
      </c>
      <c r="P6473" s="345" t="s">
        <v>209</v>
      </c>
      <c r="Q6473" s="345" t="s">
        <v>210</v>
      </c>
      <c r="R6473" s="345" t="s">
        <v>223</v>
      </c>
      <c r="S6473" s="345" t="s">
        <v>224</v>
      </c>
    </row>
    <row r="6474" spans="1:19" x14ac:dyDescent="0.25">
      <c r="A6474" s="311"/>
      <c r="B6474" s="312"/>
      <c r="C6474" s="312"/>
      <c r="D6474" s="312"/>
      <c r="E6474" s="312"/>
      <c r="F6474" s="312"/>
      <c r="G6474" s="328"/>
      <c r="H6474" s="453"/>
      <c r="I6474" s="334"/>
      <c r="J6474" s="314"/>
      <c r="K6474" s="454"/>
      <c r="M6474" s="349" t="str">
        <f>N6474&amp;AS[[#This Row],[Insurer Code]]&amp;"; "&amp;O6474&amp;AS[[#This Row],[Reporting Year]]&amp;"; "&amp;P6474&amp;AS[[#This Row],[Insurance Category Code]]&amp;"; "&amp;Q6474&amp;AS[[#This Row],[Large Provider Entity Code]]&amp;"; "&amp;R6474&amp;AS[[#This Row],[Age Band Code]]&amp;"; "&amp;S6474&amp;AS[[#This Row],[Sex Code]]</f>
        <v xml:space="preserve">Insurer Code ; Reporting Year ; Insurance Category Code ; Large Provider Entity Code ; Age Band Code ; Sex Code </v>
      </c>
      <c r="N6474" s="345" t="s">
        <v>207</v>
      </c>
      <c r="O6474" s="345" t="s">
        <v>208</v>
      </c>
      <c r="P6474" s="345" t="s">
        <v>209</v>
      </c>
      <c r="Q6474" s="345" t="s">
        <v>210</v>
      </c>
      <c r="R6474" s="345" t="s">
        <v>223</v>
      </c>
      <c r="S6474" s="345" t="s">
        <v>224</v>
      </c>
    </row>
    <row r="6475" spans="1:19" x14ac:dyDescent="0.25">
      <c r="A6475" s="311"/>
      <c r="B6475" s="312"/>
      <c r="C6475" s="312"/>
      <c r="D6475" s="312"/>
      <c r="E6475" s="312"/>
      <c r="F6475" s="312"/>
      <c r="G6475" s="328"/>
      <c r="H6475" s="453"/>
      <c r="I6475" s="334"/>
      <c r="J6475" s="314"/>
      <c r="K6475" s="454"/>
      <c r="M6475" s="349" t="str">
        <f>N6475&amp;AS[[#This Row],[Insurer Code]]&amp;"; "&amp;O6475&amp;AS[[#This Row],[Reporting Year]]&amp;"; "&amp;P6475&amp;AS[[#This Row],[Insurance Category Code]]&amp;"; "&amp;Q6475&amp;AS[[#This Row],[Large Provider Entity Code]]&amp;"; "&amp;R6475&amp;AS[[#This Row],[Age Band Code]]&amp;"; "&amp;S6475&amp;AS[[#This Row],[Sex Code]]</f>
        <v xml:space="preserve">Insurer Code ; Reporting Year ; Insurance Category Code ; Large Provider Entity Code ; Age Band Code ; Sex Code </v>
      </c>
      <c r="N6475" s="345" t="s">
        <v>207</v>
      </c>
      <c r="O6475" s="345" t="s">
        <v>208</v>
      </c>
      <c r="P6475" s="345" t="s">
        <v>209</v>
      </c>
      <c r="Q6475" s="345" t="s">
        <v>210</v>
      </c>
      <c r="R6475" s="345" t="s">
        <v>223</v>
      </c>
      <c r="S6475" s="345" t="s">
        <v>224</v>
      </c>
    </row>
    <row r="6476" spans="1:19" x14ac:dyDescent="0.25">
      <c r="A6476" s="311"/>
      <c r="B6476" s="312"/>
      <c r="C6476" s="312"/>
      <c r="D6476" s="312"/>
      <c r="E6476" s="312"/>
      <c r="F6476" s="312"/>
      <c r="G6476" s="328"/>
      <c r="H6476" s="453"/>
      <c r="I6476" s="334"/>
      <c r="J6476" s="314"/>
      <c r="K6476" s="454"/>
      <c r="M6476" s="349" t="str">
        <f>N6476&amp;AS[[#This Row],[Insurer Code]]&amp;"; "&amp;O6476&amp;AS[[#This Row],[Reporting Year]]&amp;"; "&amp;P6476&amp;AS[[#This Row],[Insurance Category Code]]&amp;"; "&amp;Q6476&amp;AS[[#This Row],[Large Provider Entity Code]]&amp;"; "&amp;R6476&amp;AS[[#This Row],[Age Band Code]]&amp;"; "&amp;S6476&amp;AS[[#This Row],[Sex Code]]</f>
        <v xml:space="preserve">Insurer Code ; Reporting Year ; Insurance Category Code ; Large Provider Entity Code ; Age Band Code ; Sex Code </v>
      </c>
      <c r="N6476" s="345" t="s">
        <v>207</v>
      </c>
      <c r="O6476" s="345" t="s">
        <v>208</v>
      </c>
      <c r="P6476" s="345" t="s">
        <v>209</v>
      </c>
      <c r="Q6476" s="345" t="s">
        <v>210</v>
      </c>
      <c r="R6476" s="345" t="s">
        <v>223</v>
      </c>
      <c r="S6476" s="345" t="s">
        <v>224</v>
      </c>
    </row>
    <row r="6477" spans="1:19" x14ac:dyDescent="0.25">
      <c r="A6477" s="311"/>
      <c r="B6477" s="312"/>
      <c r="C6477" s="312"/>
      <c r="D6477" s="312"/>
      <c r="E6477" s="312"/>
      <c r="F6477" s="312"/>
      <c r="G6477" s="328"/>
      <c r="H6477" s="453"/>
      <c r="I6477" s="334"/>
      <c r="J6477" s="314"/>
      <c r="K6477" s="454"/>
      <c r="M6477" s="349" t="str">
        <f>N6477&amp;AS[[#This Row],[Insurer Code]]&amp;"; "&amp;O6477&amp;AS[[#This Row],[Reporting Year]]&amp;"; "&amp;P6477&amp;AS[[#This Row],[Insurance Category Code]]&amp;"; "&amp;Q6477&amp;AS[[#This Row],[Large Provider Entity Code]]&amp;"; "&amp;R6477&amp;AS[[#This Row],[Age Band Code]]&amp;"; "&amp;S6477&amp;AS[[#This Row],[Sex Code]]</f>
        <v xml:space="preserve">Insurer Code ; Reporting Year ; Insurance Category Code ; Large Provider Entity Code ; Age Band Code ; Sex Code </v>
      </c>
      <c r="N6477" s="345" t="s">
        <v>207</v>
      </c>
      <c r="O6477" s="345" t="s">
        <v>208</v>
      </c>
      <c r="P6477" s="345" t="s">
        <v>209</v>
      </c>
      <c r="Q6477" s="345" t="s">
        <v>210</v>
      </c>
      <c r="R6477" s="345" t="s">
        <v>223</v>
      </c>
      <c r="S6477" s="345" t="s">
        <v>224</v>
      </c>
    </row>
    <row r="6478" spans="1:19" x14ac:dyDescent="0.25">
      <c r="A6478" s="311"/>
      <c r="B6478" s="312"/>
      <c r="C6478" s="312"/>
      <c r="D6478" s="312"/>
      <c r="E6478" s="312"/>
      <c r="F6478" s="312"/>
      <c r="G6478" s="328"/>
      <c r="H6478" s="453"/>
      <c r="I6478" s="334"/>
      <c r="J6478" s="314"/>
      <c r="K6478" s="454"/>
      <c r="M6478" s="349" t="str">
        <f>N6478&amp;AS[[#This Row],[Insurer Code]]&amp;"; "&amp;O6478&amp;AS[[#This Row],[Reporting Year]]&amp;"; "&amp;P6478&amp;AS[[#This Row],[Insurance Category Code]]&amp;"; "&amp;Q6478&amp;AS[[#This Row],[Large Provider Entity Code]]&amp;"; "&amp;R6478&amp;AS[[#This Row],[Age Band Code]]&amp;"; "&amp;S6478&amp;AS[[#This Row],[Sex Code]]</f>
        <v xml:space="preserve">Insurer Code ; Reporting Year ; Insurance Category Code ; Large Provider Entity Code ; Age Band Code ; Sex Code </v>
      </c>
      <c r="N6478" s="345" t="s">
        <v>207</v>
      </c>
      <c r="O6478" s="345" t="s">
        <v>208</v>
      </c>
      <c r="P6478" s="345" t="s">
        <v>209</v>
      </c>
      <c r="Q6478" s="345" t="s">
        <v>210</v>
      </c>
      <c r="R6478" s="345" t="s">
        <v>223</v>
      </c>
      <c r="S6478" s="345" t="s">
        <v>224</v>
      </c>
    </row>
    <row r="6479" spans="1:19" x14ac:dyDescent="0.25">
      <c r="A6479" s="311"/>
      <c r="B6479" s="312"/>
      <c r="C6479" s="312"/>
      <c r="D6479" s="312"/>
      <c r="E6479" s="312"/>
      <c r="F6479" s="312"/>
      <c r="G6479" s="328"/>
      <c r="H6479" s="453"/>
      <c r="I6479" s="334"/>
      <c r="J6479" s="314"/>
      <c r="K6479" s="454"/>
      <c r="M6479" s="349" t="str">
        <f>N6479&amp;AS[[#This Row],[Insurer Code]]&amp;"; "&amp;O6479&amp;AS[[#This Row],[Reporting Year]]&amp;"; "&amp;P6479&amp;AS[[#This Row],[Insurance Category Code]]&amp;"; "&amp;Q6479&amp;AS[[#This Row],[Large Provider Entity Code]]&amp;"; "&amp;R6479&amp;AS[[#This Row],[Age Band Code]]&amp;"; "&amp;S6479&amp;AS[[#This Row],[Sex Code]]</f>
        <v xml:space="preserve">Insurer Code ; Reporting Year ; Insurance Category Code ; Large Provider Entity Code ; Age Band Code ; Sex Code </v>
      </c>
      <c r="N6479" s="345" t="s">
        <v>207</v>
      </c>
      <c r="O6479" s="345" t="s">
        <v>208</v>
      </c>
      <c r="P6479" s="345" t="s">
        <v>209</v>
      </c>
      <c r="Q6479" s="345" t="s">
        <v>210</v>
      </c>
      <c r="R6479" s="345" t="s">
        <v>223</v>
      </c>
      <c r="S6479" s="345" t="s">
        <v>224</v>
      </c>
    </row>
    <row r="6480" spans="1:19" x14ac:dyDescent="0.25">
      <c r="A6480" s="311"/>
      <c r="B6480" s="312"/>
      <c r="C6480" s="312"/>
      <c r="D6480" s="312"/>
      <c r="E6480" s="312"/>
      <c r="F6480" s="312"/>
      <c r="G6480" s="328"/>
      <c r="H6480" s="453"/>
      <c r="I6480" s="334"/>
      <c r="J6480" s="314"/>
      <c r="K6480" s="454"/>
      <c r="M6480" s="349" t="str">
        <f>N6480&amp;AS[[#This Row],[Insurer Code]]&amp;"; "&amp;O6480&amp;AS[[#This Row],[Reporting Year]]&amp;"; "&amp;P6480&amp;AS[[#This Row],[Insurance Category Code]]&amp;"; "&amp;Q6480&amp;AS[[#This Row],[Large Provider Entity Code]]&amp;"; "&amp;R6480&amp;AS[[#This Row],[Age Band Code]]&amp;"; "&amp;S6480&amp;AS[[#This Row],[Sex Code]]</f>
        <v xml:space="preserve">Insurer Code ; Reporting Year ; Insurance Category Code ; Large Provider Entity Code ; Age Band Code ; Sex Code </v>
      </c>
      <c r="N6480" s="345" t="s">
        <v>207</v>
      </c>
      <c r="O6480" s="345" t="s">
        <v>208</v>
      </c>
      <c r="P6480" s="345" t="s">
        <v>209</v>
      </c>
      <c r="Q6480" s="345" t="s">
        <v>210</v>
      </c>
      <c r="R6480" s="345" t="s">
        <v>223</v>
      </c>
      <c r="S6480" s="345" t="s">
        <v>224</v>
      </c>
    </row>
    <row r="6481" spans="1:19" x14ac:dyDescent="0.25">
      <c r="A6481" s="311"/>
      <c r="B6481" s="312"/>
      <c r="C6481" s="312"/>
      <c r="D6481" s="312"/>
      <c r="E6481" s="312"/>
      <c r="F6481" s="312"/>
      <c r="G6481" s="328"/>
      <c r="H6481" s="453"/>
      <c r="I6481" s="334"/>
      <c r="J6481" s="314"/>
      <c r="K6481" s="454"/>
      <c r="M6481" s="349" t="str">
        <f>N6481&amp;AS[[#This Row],[Insurer Code]]&amp;"; "&amp;O6481&amp;AS[[#This Row],[Reporting Year]]&amp;"; "&amp;P6481&amp;AS[[#This Row],[Insurance Category Code]]&amp;"; "&amp;Q6481&amp;AS[[#This Row],[Large Provider Entity Code]]&amp;"; "&amp;R6481&amp;AS[[#This Row],[Age Band Code]]&amp;"; "&amp;S6481&amp;AS[[#This Row],[Sex Code]]</f>
        <v xml:space="preserve">Insurer Code ; Reporting Year ; Insurance Category Code ; Large Provider Entity Code ; Age Band Code ; Sex Code </v>
      </c>
      <c r="N6481" s="345" t="s">
        <v>207</v>
      </c>
      <c r="O6481" s="345" t="s">
        <v>208</v>
      </c>
      <c r="P6481" s="345" t="s">
        <v>209</v>
      </c>
      <c r="Q6481" s="345" t="s">
        <v>210</v>
      </c>
      <c r="R6481" s="345" t="s">
        <v>223</v>
      </c>
      <c r="S6481" s="345" t="s">
        <v>224</v>
      </c>
    </row>
    <row r="6482" spans="1:19" x14ac:dyDescent="0.25">
      <c r="A6482" s="311"/>
      <c r="B6482" s="312"/>
      <c r="C6482" s="312"/>
      <c r="D6482" s="312"/>
      <c r="E6482" s="312"/>
      <c r="F6482" s="312"/>
      <c r="G6482" s="328"/>
      <c r="H6482" s="453"/>
      <c r="I6482" s="334"/>
      <c r="J6482" s="314"/>
      <c r="K6482" s="454"/>
      <c r="M6482" s="349" t="str">
        <f>N6482&amp;AS[[#This Row],[Insurer Code]]&amp;"; "&amp;O6482&amp;AS[[#This Row],[Reporting Year]]&amp;"; "&amp;P6482&amp;AS[[#This Row],[Insurance Category Code]]&amp;"; "&amp;Q6482&amp;AS[[#This Row],[Large Provider Entity Code]]&amp;"; "&amp;R6482&amp;AS[[#This Row],[Age Band Code]]&amp;"; "&amp;S6482&amp;AS[[#This Row],[Sex Code]]</f>
        <v xml:space="preserve">Insurer Code ; Reporting Year ; Insurance Category Code ; Large Provider Entity Code ; Age Band Code ; Sex Code </v>
      </c>
      <c r="N6482" s="345" t="s">
        <v>207</v>
      </c>
      <c r="O6482" s="345" t="s">
        <v>208</v>
      </c>
      <c r="P6482" s="345" t="s">
        <v>209</v>
      </c>
      <c r="Q6482" s="345" t="s">
        <v>210</v>
      </c>
      <c r="R6482" s="345" t="s">
        <v>223</v>
      </c>
      <c r="S6482" s="345" t="s">
        <v>224</v>
      </c>
    </row>
    <row r="6483" spans="1:19" x14ac:dyDescent="0.25">
      <c r="A6483" s="311"/>
      <c r="B6483" s="312"/>
      <c r="C6483" s="312"/>
      <c r="D6483" s="312"/>
      <c r="E6483" s="312"/>
      <c r="F6483" s="312"/>
      <c r="G6483" s="328"/>
      <c r="H6483" s="453"/>
      <c r="I6483" s="334"/>
      <c r="J6483" s="314"/>
      <c r="K6483" s="454"/>
      <c r="M6483" s="349" t="str">
        <f>N6483&amp;AS[[#This Row],[Insurer Code]]&amp;"; "&amp;O6483&amp;AS[[#This Row],[Reporting Year]]&amp;"; "&amp;P6483&amp;AS[[#This Row],[Insurance Category Code]]&amp;"; "&amp;Q6483&amp;AS[[#This Row],[Large Provider Entity Code]]&amp;"; "&amp;R6483&amp;AS[[#This Row],[Age Band Code]]&amp;"; "&amp;S6483&amp;AS[[#This Row],[Sex Code]]</f>
        <v xml:space="preserve">Insurer Code ; Reporting Year ; Insurance Category Code ; Large Provider Entity Code ; Age Band Code ; Sex Code </v>
      </c>
      <c r="N6483" s="345" t="s">
        <v>207</v>
      </c>
      <c r="O6483" s="345" t="s">
        <v>208</v>
      </c>
      <c r="P6483" s="345" t="s">
        <v>209</v>
      </c>
      <c r="Q6483" s="345" t="s">
        <v>210</v>
      </c>
      <c r="R6483" s="345" t="s">
        <v>223</v>
      </c>
      <c r="S6483" s="345" t="s">
        <v>224</v>
      </c>
    </row>
    <row r="6484" spans="1:19" x14ac:dyDescent="0.25">
      <c r="A6484" s="311"/>
      <c r="B6484" s="312"/>
      <c r="C6484" s="312"/>
      <c r="D6484" s="312"/>
      <c r="E6484" s="312"/>
      <c r="F6484" s="312"/>
      <c r="G6484" s="328"/>
      <c r="H6484" s="453"/>
      <c r="I6484" s="334"/>
      <c r="J6484" s="314"/>
      <c r="K6484" s="454"/>
      <c r="M6484" s="349" t="str">
        <f>N6484&amp;AS[[#This Row],[Insurer Code]]&amp;"; "&amp;O6484&amp;AS[[#This Row],[Reporting Year]]&amp;"; "&amp;P6484&amp;AS[[#This Row],[Insurance Category Code]]&amp;"; "&amp;Q6484&amp;AS[[#This Row],[Large Provider Entity Code]]&amp;"; "&amp;R6484&amp;AS[[#This Row],[Age Band Code]]&amp;"; "&amp;S6484&amp;AS[[#This Row],[Sex Code]]</f>
        <v xml:space="preserve">Insurer Code ; Reporting Year ; Insurance Category Code ; Large Provider Entity Code ; Age Band Code ; Sex Code </v>
      </c>
      <c r="N6484" s="345" t="s">
        <v>207</v>
      </c>
      <c r="O6484" s="345" t="s">
        <v>208</v>
      </c>
      <c r="P6484" s="345" t="s">
        <v>209</v>
      </c>
      <c r="Q6484" s="345" t="s">
        <v>210</v>
      </c>
      <c r="R6484" s="345" t="s">
        <v>223</v>
      </c>
      <c r="S6484" s="345" t="s">
        <v>224</v>
      </c>
    </row>
    <row r="6485" spans="1:19" x14ac:dyDescent="0.25">
      <c r="A6485" s="311"/>
      <c r="B6485" s="312"/>
      <c r="C6485" s="312"/>
      <c r="D6485" s="312"/>
      <c r="E6485" s="312"/>
      <c r="F6485" s="312"/>
      <c r="G6485" s="328"/>
      <c r="H6485" s="453"/>
      <c r="I6485" s="334"/>
      <c r="J6485" s="314"/>
      <c r="K6485" s="454"/>
      <c r="M6485" s="349" t="str">
        <f>N6485&amp;AS[[#This Row],[Insurer Code]]&amp;"; "&amp;O6485&amp;AS[[#This Row],[Reporting Year]]&amp;"; "&amp;P6485&amp;AS[[#This Row],[Insurance Category Code]]&amp;"; "&amp;Q6485&amp;AS[[#This Row],[Large Provider Entity Code]]&amp;"; "&amp;R6485&amp;AS[[#This Row],[Age Band Code]]&amp;"; "&amp;S6485&amp;AS[[#This Row],[Sex Code]]</f>
        <v xml:space="preserve">Insurer Code ; Reporting Year ; Insurance Category Code ; Large Provider Entity Code ; Age Band Code ; Sex Code </v>
      </c>
      <c r="N6485" s="345" t="s">
        <v>207</v>
      </c>
      <c r="O6485" s="345" t="s">
        <v>208</v>
      </c>
      <c r="P6485" s="345" t="s">
        <v>209</v>
      </c>
      <c r="Q6485" s="345" t="s">
        <v>210</v>
      </c>
      <c r="R6485" s="345" t="s">
        <v>223</v>
      </c>
      <c r="S6485" s="345" t="s">
        <v>224</v>
      </c>
    </row>
    <row r="6486" spans="1:19" x14ac:dyDescent="0.25">
      <c r="A6486" s="311"/>
      <c r="B6486" s="312"/>
      <c r="C6486" s="312"/>
      <c r="D6486" s="312"/>
      <c r="E6486" s="312"/>
      <c r="F6486" s="312"/>
      <c r="G6486" s="328"/>
      <c r="H6486" s="453"/>
      <c r="I6486" s="334"/>
      <c r="J6486" s="314"/>
      <c r="K6486" s="454"/>
      <c r="M6486" s="349" t="str">
        <f>N6486&amp;AS[[#This Row],[Insurer Code]]&amp;"; "&amp;O6486&amp;AS[[#This Row],[Reporting Year]]&amp;"; "&amp;P6486&amp;AS[[#This Row],[Insurance Category Code]]&amp;"; "&amp;Q6486&amp;AS[[#This Row],[Large Provider Entity Code]]&amp;"; "&amp;R6486&amp;AS[[#This Row],[Age Band Code]]&amp;"; "&amp;S6486&amp;AS[[#This Row],[Sex Code]]</f>
        <v xml:space="preserve">Insurer Code ; Reporting Year ; Insurance Category Code ; Large Provider Entity Code ; Age Band Code ; Sex Code </v>
      </c>
      <c r="N6486" s="345" t="s">
        <v>207</v>
      </c>
      <c r="O6486" s="345" t="s">
        <v>208</v>
      </c>
      <c r="P6486" s="345" t="s">
        <v>209</v>
      </c>
      <c r="Q6486" s="345" t="s">
        <v>210</v>
      </c>
      <c r="R6486" s="345" t="s">
        <v>223</v>
      </c>
      <c r="S6486" s="345" t="s">
        <v>224</v>
      </c>
    </row>
    <row r="6487" spans="1:19" x14ac:dyDescent="0.25">
      <c r="A6487" s="311"/>
      <c r="B6487" s="312"/>
      <c r="C6487" s="312"/>
      <c r="D6487" s="312"/>
      <c r="E6487" s="312"/>
      <c r="F6487" s="312"/>
      <c r="G6487" s="328"/>
      <c r="H6487" s="453"/>
      <c r="I6487" s="334"/>
      <c r="J6487" s="314"/>
      <c r="K6487" s="454"/>
      <c r="M6487" s="349" t="str">
        <f>N6487&amp;AS[[#This Row],[Insurer Code]]&amp;"; "&amp;O6487&amp;AS[[#This Row],[Reporting Year]]&amp;"; "&amp;P6487&amp;AS[[#This Row],[Insurance Category Code]]&amp;"; "&amp;Q6487&amp;AS[[#This Row],[Large Provider Entity Code]]&amp;"; "&amp;R6487&amp;AS[[#This Row],[Age Band Code]]&amp;"; "&amp;S6487&amp;AS[[#This Row],[Sex Code]]</f>
        <v xml:space="preserve">Insurer Code ; Reporting Year ; Insurance Category Code ; Large Provider Entity Code ; Age Band Code ; Sex Code </v>
      </c>
      <c r="N6487" s="345" t="s">
        <v>207</v>
      </c>
      <c r="O6487" s="345" t="s">
        <v>208</v>
      </c>
      <c r="P6487" s="345" t="s">
        <v>209</v>
      </c>
      <c r="Q6487" s="345" t="s">
        <v>210</v>
      </c>
      <c r="R6487" s="345" t="s">
        <v>223</v>
      </c>
      <c r="S6487" s="345" t="s">
        <v>224</v>
      </c>
    </row>
    <row r="6488" spans="1:19" x14ac:dyDescent="0.25">
      <c r="A6488" s="311"/>
      <c r="B6488" s="312"/>
      <c r="C6488" s="312"/>
      <c r="D6488" s="312"/>
      <c r="E6488" s="312"/>
      <c r="F6488" s="312"/>
      <c r="G6488" s="328"/>
      <c r="H6488" s="453"/>
      <c r="I6488" s="334"/>
      <c r="J6488" s="314"/>
      <c r="K6488" s="454"/>
      <c r="M6488" s="349" t="str">
        <f>N6488&amp;AS[[#This Row],[Insurer Code]]&amp;"; "&amp;O6488&amp;AS[[#This Row],[Reporting Year]]&amp;"; "&amp;P6488&amp;AS[[#This Row],[Insurance Category Code]]&amp;"; "&amp;Q6488&amp;AS[[#This Row],[Large Provider Entity Code]]&amp;"; "&amp;R6488&amp;AS[[#This Row],[Age Band Code]]&amp;"; "&amp;S6488&amp;AS[[#This Row],[Sex Code]]</f>
        <v xml:space="preserve">Insurer Code ; Reporting Year ; Insurance Category Code ; Large Provider Entity Code ; Age Band Code ; Sex Code </v>
      </c>
      <c r="N6488" s="345" t="s">
        <v>207</v>
      </c>
      <c r="O6488" s="345" t="s">
        <v>208</v>
      </c>
      <c r="P6488" s="345" t="s">
        <v>209</v>
      </c>
      <c r="Q6488" s="345" t="s">
        <v>210</v>
      </c>
      <c r="R6488" s="345" t="s">
        <v>223</v>
      </c>
      <c r="S6488" s="345" t="s">
        <v>224</v>
      </c>
    </row>
    <row r="6489" spans="1:19" x14ac:dyDescent="0.25">
      <c r="A6489" s="311"/>
      <c r="B6489" s="312"/>
      <c r="C6489" s="312"/>
      <c r="D6489" s="312"/>
      <c r="E6489" s="312"/>
      <c r="F6489" s="312"/>
      <c r="G6489" s="328"/>
      <c r="H6489" s="453"/>
      <c r="I6489" s="334"/>
      <c r="J6489" s="314"/>
      <c r="K6489" s="454"/>
      <c r="M6489" s="349" t="str">
        <f>N6489&amp;AS[[#This Row],[Insurer Code]]&amp;"; "&amp;O6489&amp;AS[[#This Row],[Reporting Year]]&amp;"; "&amp;P6489&amp;AS[[#This Row],[Insurance Category Code]]&amp;"; "&amp;Q6489&amp;AS[[#This Row],[Large Provider Entity Code]]&amp;"; "&amp;R6489&amp;AS[[#This Row],[Age Band Code]]&amp;"; "&amp;S6489&amp;AS[[#This Row],[Sex Code]]</f>
        <v xml:space="preserve">Insurer Code ; Reporting Year ; Insurance Category Code ; Large Provider Entity Code ; Age Band Code ; Sex Code </v>
      </c>
      <c r="N6489" s="345" t="s">
        <v>207</v>
      </c>
      <c r="O6489" s="345" t="s">
        <v>208</v>
      </c>
      <c r="P6489" s="345" t="s">
        <v>209</v>
      </c>
      <c r="Q6489" s="345" t="s">
        <v>210</v>
      </c>
      <c r="R6489" s="345" t="s">
        <v>223</v>
      </c>
      <c r="S6489" s="345" t="s">
        <v>224</v>
      </c>
    </row>
    <row r="6490" spans="1:19" x14ac:dyDescent="0.25">
      <c r="A6490" s="311"/>
      <c r="B6490" s="312"/>
      <c r="C6490" s="312"/>
      <c r="D6490" s="312"/>
      <c r="E6490" s="312"/>
      <c r="F6490" s="312"/>
      <c r="G6490" s="328"/>
      <c r="H6490" s="453"/>
      <c r="I6490" s="334"/>
      <c r="J6490" s="314"/>
      <c r="K6490" s="454"/>
      <c r="M6490" s="349" t="str">
        <f>N6490&amp;AS[[#This Row],[Insurer Code]]&amp;"; "&amp;O6490&amp;AS[[#This Row],[Reporting Year]]&amp;"; "&amp;P6490&amp;AS[[#This Row],[Insurance Category Code]]&amp;"; "&amp;Q6490&amp;AS[[#This Row],[Large Provider Entity Code]]&amp;"; "&amp;R6490&amp;AS[[#This Row],[Age Band Code]]&amp;"; "&amp;S6490&amp;AS[[#This Row],[Sex Code]]</f>
        <v xml:space="preserve">Insurer Code ; Reporting Year ; Insurance Category Code ; Large Provider Entity Code ; Age Band Code ; Sex Code </v>
      </c>
      <c r="N6490" s="345" t="s">
        <v>207</v>
      </c>
      <c r="O6490" s="345" t="s">
        <v>208</v>
      </c>
      <c r="P6490" s="345" t="s">
        <v>209</v>
      </c>
      <c r="Q6490" s="345" t="s">
        <v>210</v>
      </c>
      <c r="R6490" s="345" t="s">
        <v>223</v>
      </c>
      <c r="S6490" s="345" t="s">
        <v>224</v>
      </c>
    </row>
    <row r="6491" spans="1:19" x14ac:dyDescent="0.25">
      <c r="A6491" s="311"/>
      <c r="B6491" s="312"/>
      <c r="C6491" s="312"/>
      <c r="D6491" s="312"/>
      <c r="E6491" s="312"/>
      <c r="F6491" s="312"/>
      <c r="G6491" s="328"/>
      <c r="H6491" s="453"/>
      <c r="I6491" s="334"/>
      <c r="J6491" s="314"/>
      <c r="K6491" s="454"/>
      <c r="M6491" s="349" t="str">
        <f>N6491&amp;AS[[#This Row],[Insurer Code]]&amp;"; "&amp;O6491&amp;AS[[#This Row],[Reporting Year]]&amp;"; "&amp;P6491&amp;AS[[#This Row],[Insurance Category Code]]&amp;"; "&amp;Q6491&amp;AS[[#This Row],[Large Provider Entity Code]]&amp;"; "&amp;R6491&amp;AS[[#This Row],[Age Band Code]]&amp;"; "&amp;S6491&amp;AS[[#This Row],[Sex Code]]</f>
        <v xml:space="preserve">Insurer Code ; Reporting Year ; Insurance Category Code ; Large Provider Entity Code ; Age Band Code ; Sex Code </v>
      </c>
      <c r="N6491" s="345" t="s">
        <v>207</v>
      </c>
      <c r="O6491" s="345" t="s">
        <v>208</v>
      </c>
      <c r="P6491" s="345" t="s">
        <v>209</v>
      </c>
      <c r="Q6491" s="345" t="s">
        <v>210</v>
      </c>
      <c r="R6491" s="345" t="s">
        <v>223</v>
      </c>
      <c r="S6491" s="345" t="s">
        <v>224</v>
      </c>
    </row>
    <row r="6492" spans="1:19" x14ac:dyDescent="0.25">
      <c r="A6492" s="311"/>
      <c r="B6492" s="312"/>
      <c r="C6492" s="312"/>
      <c r="D6492" s="312"/>
      <c r="E6492" s="312"/>
      <c r="F6492" s="312"/>
      <c r="G6492" s="328"/>
      <c r="H6492" s="453"/>
      <c r="I6492" s="334"/>
      <c r="J6492" s="314"/>
      <c r="K6492" s="454"/>
      <c r="M6492" s="349" t="str">
        <f>N6492&amp;AS[[#This Row],[Insurer Code]]&amp;"; "&amp;O6492&amp;AS[[#This Row],[Reporting Year]]&amp;"; "&amp;P6492&amp;AS[[#This Row],[Insurance Category Code]]&amp;"; "&amp;Q6492&amp;AS[[#This Row],[Large Provider Entity Code]]&amp;"; "&amp;R6492&amp;AS[[#This Row],[Age Band Code]]&amp;"; "&amp;S6492&amp;AS[[#This Row],[Sex Code]]</f>
        <v xml:space="preserve">Insurer Code ; Reporting Year ; Insurance Category Code ; Large Provider Entity Code ; Age Band Code ; Sex Code </v>
      </c>
      <c r="N6492" s="345" t="s">
        <v>207</v>
      </c>
      <c r="O6492" s="345" t="s">
        <v>208</v>
      </c>
      <c r="P6492" s="345" t="s">
        <v>209</v>
      </c>
      <c r="Q6492" s="345" t="s">
        <v>210</v>
      </c>
      <c r="R6492" s="345" t="s">
        <v>223</v>
      </c>
      <c r="S6492" s="345" t="s">
        <v>224</v>
      </c>
    </row>
    <row r="6493" spans="1:19" x14ac:dyDescent="0.25">
      <c r="A6493" s="311"/>
      <c r="B6493" s="312"/>
      <c r="C6493" s="312"/>
      <c r="D6493" s="312"/>
      <c r="E6493" s="312"/>
      <c r="F6493" s="312"/>
      <c r="G6493" s="328"/>
      <c r="H6493" s="453"/>
      <c r="I6493" s="334"/>
      <c r="J6493" s="314"/>
      <c r="K6493" s="454"/>
      <c r="M6493" s="349" t="str">
        <f>N6493&amp;AS[[#This Row],[Insurer Code]]&amp;"; "&amp;O6493&amp;AS[[#This Row],[Reporting Year]]&amp;"; "&amp;P6493&amp;AS[[#This Row],[Insurance Category Code]]&amp;"; "&amp;Q6493&amp;AS[[#This Row],[Large Provider Entity Code]]&amp;"; "&amp;R6493&amp;AS[[#This Row],[Age Band Code]]&amp;"; "&amp;S6493&amp;AS[[#This Row],[Sex Code]]</f>
        <v xml:space="preserve">Insurer Code ; Reporting Year ; Insurance Category Code ; Large Provider Entity Code ; Age Band Code ; Sex Code </v>
      </c>
      <c r="N6493" s="345" t="s">
        <v>207</v>
      </c>
      <c r="O6493" s="345" t="s">
        <v>208</v>
      </c>
      <c r="P6493" s="345" t="s">
        <v>209</v>
      </c>
      <c r="Q6493" s="345" t="s">
        <v>210</v>
      </c>
      <c r="R6493" s="345" t="s">
        <v>223</v>
      </c>
      <c r="S6493" s="345" t="s">
        <v>224</v>
      </c>
    </row>
    <row r="6494" spans="1:19" x14ac:dyDescent="0.25">
      <c r="A6494" s="311"/>
      <c r="B6494" s="312"/>
      <c r="C6494" s="312"/>
      <c r="D6494" s="312"/>
      <c r="E6494" s="312"/>
      <c r="F6494" s="312"/>
      <c r="G6494" s="328"/>
      <c r="H6494" s="453"/>
      <c r="I6494" s="334"/>
      <c r="J6494" s="314"/>
      <c r="K6494" s="454"/>
      <c r="M6494" s="349" t="str">
        <f>N6494&amp;AS[[#This Row],[Insurer Code]]&amp;"; "&amp;O6494&amp;AS[[#This Row],[Reporting Year]]&amp;"; "&amp;P6494&amp;AS[[#This Row],[Insurance Category Code]]&amp;"; "&amp;Q6494&amp;AS[[#This Row],[Large Provider Entity Code]]&amp;"; "&amp;R6494&amp;AS[[#This Row],[Age Band Code]]&amp;"; "&amp;S6494&amp;AS[[#This Row],[Sex Code]]</f>
        <v xml:space="preserve">Insurer Code ; Reporting Year ; Insurance Category Code ; Large Provider Entity Code ; Age Band Code ; Sex Code </v>
      </c>
      <c r="N6494" s="345" t="s">
        <v>207</v>
      </c>
      <c r="O6494" s="345" t="s">
        <v>208</v>
      </c>
      <c r="P6494" s="345" t="s">
        <v>209</v>
      </c>
      <c r="Q6494" s="345" t="s">
        <v>210</v>
      </c>
      <c r="R6494" s="345" t="s">
        <v>223</v>
      </c>
      <c r="S6494" s="345" t="s">
        <v>224</v>
      </c>
    </row>
    <row r="6495" spans="1:19" x14ac:dyDescent="0.25">
      <c r="A6495" s="311"/>
      <c r="B6495" s="312"/>
      <c r="C6495" s="312"/>
      <c r="D6495" s="312"/>
      <c r="E6495" s="312"/>
      <c r="F6495" s="312"/>
      <c r="G6495" s="328"/>
      <c r="H6495" s="453"/>
      <c r="I6495" s="334"/>
      <c r="J6495" s="314"/>
      <c r="K6495" s="454"/>
      <c r="M6495" s="349" t="str">
        <f>N6495&amp;AS[[#This Row],[Insurer Code]]&amp;"; "&amp;O6495&amp;AS[[#This Row],[Reporting Year]]&amp;"; "&amp;P6495&amp;AS[[#This Row],[Insurance Category Code]]&amp;"; "&amp;Q6495&amp;AS[[#This Row],[Large Provider Entity Code]]&amp;"; "&amp;R6495&amp;AS[[#This Row],[Age Band Code]]&amp;"; "&amp;S6495&amp;AS[[#This Row],[Sex Code]]</f>
        <v xml:space="preserve">Insurer Code ; Reporting Year ; Insurance Category Code ; Large Provider Entity Code ; Age Band Code ; Sex Code </v>
      </c>
      <c r="N6495" s="345" t="s">
        <v>207</v>
      </c>
      <c r="O6495" s="345" t="s">
        <v>208</v>
      </c>
      <c r="P6495" s="345" t="s">
        <v>209</v>
      </c>
      <c r="Q6495" s="345" t="s">
        <v>210</v>
      </c>
      <c r="R6495" s="345" t="s">
        <v>223</v>
      </c>
      <c r="S6495" s="345" t="s">
        <v>224</v>
      </c>
    </row>
    <row r="6496" spans="1:19" x14ac:dyDescent="0.25">
      <c r="A6496" s="311"/>
      <c r="B6496" s="312"/>
      <c r="C6496" s="312"/>
      <c r="D6496" s="312"/>
      <c r="E6496" s="312"/>
      <c r="F6496" s="312"/>
      <c r="G6496" s="328"/>
      <c r="H6496" s="453"/>
      <c r="I6496" s="334"/>
      <c r="J6496" s="314"/>
      <c r="K6496" s="454"/>
      <c r="M6496" s="349" t="str">
        <f>N6496&amp;AS[[#This Row],[Insurer Code]]&amp;"; "&amp;O6496&amp;AS[[#This Row],[Reporting Year]]&amp;"; "&amp;P6496&amp;AS[[#This Row],[Insurance Category Code]]&amp;"; "&amp;Q6496&amp;AS[[#This Row],[Large Provider Entity Code]]&amp;"; "&amp;R6496&amp;AS[[#This Row],[Age Band Code]]&amp;"; "&amp;S6496&amp;AS[[#This Row],[Sex Code]]</f>
        <v xml:space="preserve">Insurer Code ; Reporting Year ; Insurance Category Code ; Large Provider Entity Code ; Age Band Code ; Sex Code </v>
      </c>
      <c r="N6496" s="345" t="s">
        <v>207</v>
      </c>
      <c r="O6496" s="345" t="s">
        <v>208</v>
      </c>
      <c r="P6496" s="345" t="s">
        <v>209</v>
      </c>
      <c r="Q6496" s="345" t="s">
        <v>210</v>
      </c>
      <c r="R6496" s="345" t="s">
        <v>223</v>
      </c>
      <c r="S6496" s="345" t="s">
        <v>224</v>
      </c>
    </row>
    <row r="6497" spans="1:19" x14ac:dyDescent="0.25">
      <c r="A6497" s="311"/>
      <c r="B6497" s="312"/>
      <c r="C6497" s="312"/>
      <c r="D6497" s="312"/>
      <c r="E6497" s="312"/>
      <c r="F6497" s="312"/>
      <c r="G6497" s="328"/>
      <c r="H6497" s="453"/>
      <c r="I6497" s="334"/>
      <c r="J6497" s="314"/>
      <c r="K6497" s="454"/>
      <c r="M6497" s="349" t="str">
        <f>N6497&amp;AS[[#This Row],[Insurer Code]]&amp;"; "&amp;O6497&amp;AS[[#This Row],[Reporting Year]]&amp;"; "&amp;P6497&amp;AS[[#This Row],[Insurance Category Code]]&amp;"; "&amp;Q6497&amp;AS[[#This Row],[Large Provider Entity Code]]&amp;"; "&amp;R6497&amp;AS[[#This Row],[Age Band Code]]&amp;"; "&amp;S6497&amp;AS[[#This Row],[Sex Code]]</f>
        <v xml:space="preserve">Insurer Code ; Reporting Year ; Insurance Category Code ; Large Provider Entity Code ; Age Band Code ; Sex Code </v>
      </c>
      <c r="N6497" s="345" t="s">
        <v>207</v>
      </c>
      <c r="O6497" s="345" t="s">
        <v>208</v>
      </c>
      <c r="P6497" s="345" t="s">
        <v>209</v>
      </c>
      <c r="Q6497" s="345" t="s">
        <v>210</v>
      </c>
      <c r="R6497" s="345" t="s">
        <v>223</v>
      </c>
      <c r="S6497" s="345" t="s">
        <v>224</v>
      </c>
    </row>
    <row r="6498" spans="1:19" x14ac:dyDescent="0.25">
      <c r="A6498" s="311"/>
      <c r="B6498" s="312"/>
      <c r="C6498" s="312"/>
      <c r="D6498" s="312"/>
      <c r="E6498" s="312"/>
      <c r="F6498" s="312"/>
      <c r="G6498" s="328"/>
      <c r="H6498" s="453"/>
      <c r="I6498" s="334"/>
      <c r="J6498" s="314"/>
      <c r="K6498" s="454"/>
      <c r="M6498" s="349" t="str">
        <f>N6498&amp;AS[[#This Row],[Insurer Code]]&amp;"; "&amp;O6498&amp;AS[[#This Row],[Reporting Year]]&amp;"; "&amp;P6498&amp;AS[[#This Row],[Insurance Category Code]]&amp;"; "&amp;Q6498&amp;AS[[#This Row],[Large Provider Entity Code]]&amp;"; "&amp;R6498&amp;AS[[#This Row],[Age Band Code]]&amp;"; "&amp;S6498&amp;AS[[#This Row],[Sex Code]]</f>
        <v xml:space="preserve">Insurer Code ; Reporting Year ; Insurance Category Code ; Large Provider Entity Code ; Age Band Code ; Sex Code </v>
      </c>
      <c r="N6498" s="345" t="s">
        <v>207</v>
      </c>
      <c r="O6498" s="345" t="s">
        <v>208</v>
      </c>
      <c r="P6498" s="345" t="s">
        <v>209</v>
      </c>
      <c r="Q6498" s="345" t="s">
        <v>210</v>
      </c>
      <c r="R6498" s="345" t="s">
        <v>223</v>
      </c>
      <c r="S6498" s="345" t="s">
        <v>224</v>
      </c>
    </row>
    <row r="6499" spans="1:19" x14ac:dyDescent="0.25">
      <c r="A6499" s="311"/>
      <c r="B6499" s="312"/>
      <c r="C6499" s="312"/>
      <c r="D6499" s="312"/>
      <c r="E6499" s="312"/>
      <c r="F6499" s="312"/>
      <c r="G6499" s="328"/>
      <c r="H6499" s="453"/>
      <c r="I6499" s="334"/>
      <c r="J6499" s="314"/>
      <c r="K6499" s="454"/>
      <c r="M6499" s="349" t="str">
        <f>N6499&amp;AS[[#This Row],[Insurer Code]]&amp;"; "&amp;O6499&amp;AS[[#This Row],[Reporting Year]]&amp;"; "&amp;P6499&amp;AS[[#This Row],[Insurance Category Code]]&amp;"; "&amp;Q6499&amp;AS[[#This Row],[Large Provider Entity Code]]&amp;"; "&amp;R6499&amp;AS[[#This Row],[Age Band Code]]&amp;"; "&amp;S6499&amp;AS[[#This Row],[Sex Code]]</f>
        <v xml:space="preserve">Insurer Code ; Reporting Year ; Insurance Category Code ; Large Provider Entity Code ; Age Band Code ; Sex Code </v>
      </c>
      <c r="N6499" s="345" t="s">
        <v>207</v>
      </c>
      <c r="O6499" s="345" t="s">
        <v>208</v>
      </c>
      <c r="P6499" s="345" t="s">
        <v>209</v>
      </c>
      <c r="Q6499" s="345" t="s">
        <v>210</v>
      </c>
      <c r="R6499" s="345" t="s">
        <v>223</v>
      </c>
      <c r="S6499" s="345" t="s">
        <v>224</v>
      </c>
    </row>
    <row r="6500" spans="1:19" x14ac:dyDescent="0.25">
      <c r="A6500" s="311"/>
      <c r="B6500" s="312"/>
      <c r="C6500" s="312"/>
      <c r="D6500" s="312"/>
      <c r="E6500" s="312"/>
      <c r="F6500" s="312"/>
      <c r="G6500" s="328"/>
      <c r="H6500" s="453"/>
      <c r="I6500" s="334"/>
      <c r="J6500" s="314"/>
      <c r="K6500" s="454"/>
      <c r="M6500" s="349" t="str">
        <f>N6500&amp;AS[[#This Row],[Insurer Code]]&amp;"; "&amp;O6500&amp;AS[[#This Row],[Reporting Year]]&amp;"; "&amp;P6500&amp;AS[[#This Row],[Insurance Category Code]]&amp;"; "&amp;Q6500&amp;AS[[#This Row],[Large Provider Entity Code]]&amp;"; "&amp;R6500&amp;AS[[#This Row],[Age Band Code]]&amp;"; "&amp;S6500&amp;AS[[#This Row],[Sex Code]]</f>
        <v xml:space="preserve">Insurer Code ; Reporting Year ; Insurance Category Code ; Large Provider Entity Code ; Age Band Code ; Sex Code </v>
      </c>
      <c r="N6500" s="345" t="s">
        <v>207</v>
      </c>
      <c r="O6500" s="345" t="s">
        <v>208</v>
      </c>
      <c r="P6500" s="345" t="s">
        <v>209</v>
      </c>
      <c r="Q6500" s="345" t="s">
        <v>210</v>
      </c>
      <c r="R6500" s="345" t="s">
        <v>223</v>
      </c>
      <c r="S6500" s="345" t="s">
        <v>224</v>
      </c>
    </row>
    <row r="6501" spans="1:19" x14ac:dyDescent="0.25">
      <c r="A6501" s="311"/>
      <c r="B6501" s="312"/>
      <c r="C6501" s="312"/>
      <c r="D6501" s="312"/>
      <c r="E6501" s="312"/>
      <c r="F6501" s="312"/>
      <c r="G6501" s="328"/>
      <c r="H6501" s="453"/>
      <c r="I6501" s="334"/>
      <c r="J6501" s="314"/>
      <c r="K6501" s="454"/>
      <c r="M6501" s="349" t="str">
        <f>N6501&amp;AS[[#This Row],[Insurer Code]]&amp;"; "&amp;O6501&amp;AS[[#This Row],[Reporting Year]]&amp;"; "&amp;P6501&amp;AS[[#This Row],[Insurance Category Code]]&amp;"; "&amp;Q6501&amp;AS[[#This Row],[Large Provider Entity Code]]&amp;"; "&amp;R6501&amp;AS[[#This Row],[Age Band Code]]&amp;"; "&amp;S6501&amp;AS[[#This Row],[Sex Code]]</f>
        <v xml:space="preserve">Insurer Code ; Reporting Year ; Insurance Category Code ; Large Provider Entity Code ; Age Band Code ; Sex Code </v>
      </c>
      <c r="N6501" s="345" t="s">
        <v>207</v>
      </c>
      <c r="O6501" s="345" t="s">
        <v>208</v>
      </c>
      <c r="P6501" s="345" t="s">
        <v>209</v>
      </c>
      <c r="Q6501" s="345" t="s">
        <v>210</v>
      </c>
      <c r="R6501" s="345" t="s">
        <v>223</v>
      </c>
      <c r="S6501" s="345" t="s">
        <v>224</v>
      </c>
    </row>
    <row r="6502" spans="1:19" x14ac:dyDescent="0.25">
      <c r="A6502" s="311"/>
      <c r="B6502" s="312"/>
      <c r="C6502" s="312"/>
      <c r="D6502" s="312"/>
      <c r="E6502" s="312"/>
      <c r="F6502" s="312"/>
      <c r="G6502" s="328"/>
      <c r="H6502" s="453"/>
      <c r="I6502" s="334"/>
      <c r="J6502" s="314"/>
      <c r="K6502" s="454"/>
      <c r="M6502" s="349" t="str">
        <f>N6502&amp;AS[[#This Row],[Insurer Code]]&amp;"; "&amp;O6502&amp;AS[[#This Row],[Reporting Year]]&amp;"; "&amp;P6502&amp;AS[[#This Row],[Insurance Category Code]]&amp;"; "&amp;Q6502&amp;AS[[#This Row],[Large Provider Entity Code]]&amp;"; "&amp;R6502&amp;AS[[#This Row],[Age Band Code]]&amp;"; "&amp;S6502&amp;AS[[#This Row],[Sex Code]]</f>
        <v xml:space="preserve">Insurer Code ; Reporting Year ; Insurance Category Code ; Large Provider Entity Code ; Age Band Code ; Sex Code </v>
      </c>
      <c r="N6502" s="345" t="s">
        <v>207</v>
      </c>
      <c r="O6502" s="345" t="s">
        <v>208</v>
      </c>
      <c r="P6502" s="345" t="s">
        <v>209</v>
      </c>
      <c r="Q6502" s="345" t="s">
        <v>210</v>
      </c>
      <c r="R6502" s="345" t="s">
        <v>223</v>
      </c>
      <c r="S6502" s="345" t="s">
        <v>224</v>
      </c>
    </row>
    <row r="6503" spans="1:19" x14ac:dyDescent="0.25">
      <c r="A6503" s="311"/>
      <c r="B6503" s="312"/>
      <c r="C6503" s="312"/>
      <c r="D6503" s="312"/>
      <c r="E6503" s="312"/>
      <c r="F6503" s="312"/>
      <c r="G6503" s="328"/>
      <c r="H6503" s="453"/>
      <c r="I6503" s="334"/>
      <c r="J6503" s="314"/>
      <c r="K6503" s="454"/>
      <c r="M6503" s="349" t="str">
        <f>N6503&amp;AS[[#This Row],[Insurer Code]]&amp;"; "&amp;O6503&amp;AS[[#This Row],[Reporting Year]]&amp;"; "&amp;P6503&amp;AS[[#This Row],[Insurance Category Code]]&amp;"; "&amp;Q6503&amp;AS[[#This Row],[Large Provider Entity Code]]&amp;"; "&amp;R6503&amp;AS[[#This Row],[Age Band Code]]&amp;"; "&amp;S6503&amp;AS[[#This Row],[Sex Code]]</f>
        <v xml:space="preserve">Insurer Code ; Reporting Year ; Insurance Category Code ; Large Provider Entity Code ; Age Band Code ; Sex Code </v>
      </c>
      <c r="N6503" s="345" t="s">
        <v>207</v>
      </c>
      <c r="O6503" s="345" t="s">
        <v>208</v>
      </c>
      <c r="P6503" s="345" t="s">
        <v>209</v>
      </c>
      <c r="Q6503" s="345" t="s">
        <v>210</v>
      </c>
      <c r="R6503" s="345" t="s">
        <v>223</v>
      </c>
      <c r="S6503" s="345" t="s">
        <v>224</v>
      </c>
    </row>
    <row r="6504" spans="1:19" x14ac:dyDescent="0.25">
      <c r="A6504" s="311"/>
      <c r="B6504" s="312"/>
      <c r="C6504" s="312"/>
      <c r="D6504" s="312"/>
      <c r="E6504" s="312"/>
      <c r="F6504" s="312"/>
      <c r="G6504" s="328"/>
      <c r="H6504" s="453"/>
      <c r="I6504" s="334"/>
      <c r="J6504" s="314"/>
      <c r="K6504" s="454"/>
      <c r="M6504" s="349" t="str">
        <f>N6504&amp;AS[[#This Row],[Insurer Code]]&amp;"; "&amp;O6504&amp;AS[[#This Row],[Reporting Year]]&amp;"; "&amp;P6504&amp;AS[[#This Row],[Insurance Category Code]]&amp;"; "&amp;Q6504&amp;AS[[#This Row],[Large Provider Entity Code]]&amp;"; "&amp;R6504&amp;AS[[#This Row],[Age Band Code]]&amp;"; "&amp;S6504&amp;AS[[#This Row],[Sex Code]]</f>
        <v xml:space="preserve">Insurer Code ; Reporting Year ; Insurance Category Code ; Large Provider Entity Code ; Age Band Code ; Sex Code </v>
      </c>
      <c r="N6504" s="345" t="s">
        <v>207</v>
      </c>
      <c r="O6504" s="345" t="s">
        <v>208</v>
      </c>
      <c r="P6504" s="345" t="s">
        <v>209</v>
      </c>
      <c r="Q6504" s="345" t="s">
        <v>210</v>
      </c>
      <c r="R6504" s="345" t="s">
        <v>223</v>
      </c>
      <c r="S6504" s="345" t="s">
        <v>224</v>
      </c>
    </row>
    <row r="6505" spans="1:19" x14ac:dyDescent="0.25">
      <c r="A6505" s="311"/>
      <c r="B6505" s="312"/>
      <c r="C6505" s="312"/>
      <c r="D6505" s="312"/>
      <c r="E6505" s="312"/>
      <c r="F6505" s="312"/>
      <c r="G6505" s="328"/>
      <c r="H6505" s="453"/>
      <c r="I6505" s="334"/>
      <c r="J6505" s="314"/>
      <c r="K6505" s="454"/>
      <c r="M6505" s="349" t="str">
        <f>N6505&amp;AS[[#This Row],[Insurer Code]]&amp;"; "&amp;O6505&amp;AS[[#This Row],[Reporting Year]]&amp;"; "&amp;P6505&amp;AS[[#This Row],[Insurance Category Code]]&amp;"; "&amp;Q6505&amp;AS[[#This Row],[Large Provider Entity Code]]&amp;"; "&amp;R6505&amp;AS[[#This Row],[Age Band Code]]&amp;"; "&amp;S6505&amp;AS[[#This Row],[Sex Code]]</f>
        <v xml:space="preserve">Insurer Code ; Reporting Year ; Insurance Category Code ; Large Provider Entity Code ; Age Band Code ; Sex Code </v>
      </c>
      <c r="N6505" s="345" t="s">
        <v>207</v>
      </c>
      <c r="O6505" s="345" t="s">
        <v>208</v>
      </c>
      <c r="P6505" s="345" t="s">
        <v>209</v>
      </c>
      <c r="Q6505" s="345" t="s">
        <v>210</v>
      </c>
      <c r="R6505" s="345" t="s">
        <v>223</v>
      </c>
      <c r="S6505" s="345" t="s">
        <v>224</v>
      </c>
    </row>
    <row r="6506" spans="1:19" x14ac:dyDescent="0.25">
      <c r="A6506" s="311"/>
      <c r="B6506" s="312"/>
      <c r="C6506" s="312"/>
      <c r="D6506" s="312"/>
      <c r="E6506" s="312"/>
      <c r="F6506" s="312"/>
      <c r="G6506" s="328"/>
      <c r="H6506" s="453"/>
      <c r="I6506" s="334"/>
      <c r="J6506" s="314"/>
      <c r="K6506" s="454"/>
      <c r="M6506" s="349" t="str">
        <f>N6506&amp;AS[[#This Row],[Insurer Code]]&amp;"; "&amp;O6506&amp;AS[[#This Row],[Reporting Year]]&amp;"; "&amp;P6506&amp;AS[[#This Row],[Insurance Category Code]]&amp;"; "&amp;Q6506&amp;AS[[#This Row],[Large Provider Entity Code]]&amp;"; "&amp;R6506&amp;AS[[#This Row],[Age Band Code]]&amp;"; "&amp;S6506&amp;AS[[#This Row],[Sex Code]]</f>
        <v xml:space="preserve">Insurer Code ; Reporting Year ; Insurance Category Code ; Large Provider Entity Code ; Age Band Code ; Sex Code </v>
      </c>
      <c r="N6506" s="345" t="s">
        <v>207</v>
      </c>
      <c r="O6506" s="345" t="s">
        <v>208</v>
      </c>
      <c r="P6506" s="345" t="s">
        <v>209</v>
      </c>
      <c r="Q6506" s="345" t="s">
        <v>210</v>
      </c>
      <c r="R6506" s="345" t="s">
        <v>223</v>
      </c>
      <c r="S6506" s="345" t="s">
        <v>224</v>
      </c>
    </row>
    <row r="6507" spans="1:19" x14ac:dyDescent="0.25">
      <c r="A6507" s="311"/>
      <c r="B6507" s="312"/>
      <c r="C6507" s="312"/>
      <c r="D6507" s="312"/>
      <c r="E6507" s="312"/>
      <c r="F6507" s="312"/>
      <c r="G6507" s="328"/>
      <c r="H6507" s="453"/>
      <c r="I6507" s="334"/>
      <c r="J6507" s="314"/>
      <c r="K6507" s="454"/>
      <c r="M6507" s="349" t="str">
        <f>N6507&amp;AS[[#This Row],[Insurer Code]]&amp;"; "&amp;O6507&amp;AS[[#This Row],[Reporting Year]]&amp;"; "&amp;P6507&amp;AS[[#This Row],[Insurance Category Code]]&amp;"; "&amp;Q6507&amp;AS[[#This Row],[Large Provider Entity Code]]&amp;"; "&amp;R6507&amp;AS[[#This Row],[Age Band Code]]&amp;"; "&amp;S6507&amp;AS[[#This Row],[Sex Code]]</f>
        <v xml:space="preserve">Insurer Code ; Reporting Year ; Insurance Category Code ; Large Provider Entity Code ; Age Band Code ; Sex Code </v>
      </c>
      <c r="N6507" s="345" t="s">
        <v>207</v>
      </c>
      <c r="O6507" s="345" t="s">
        <v>208</v>
      </c>
      <c r="P6507" s="345" t="s">
        <v>209</v>
      </c>
      <c r="Q6507" s="345" t="s">
        <v>210</v>
      </c>
      <c r="R6507" s="345" t="s">
        <v>223</v>
      </c>
      <c r="S6507" s="345" t="s">
        <v>224</v>
      </c>
    </row>
    <row r="6508" spans="1:19" x14ac:dyDescent="0.25">
      <c r="A6508" s="311"/>
      <c r="B6508" s="312"/>
      <c r="C6508" s="312"/>
      <c r="D6508" s="312"/>
      <c r="E6508" s="312"/>
      <c r="F6508" s="312"/>
      <c r="G6508" s="328"/>
      <c r="H6508" s="453"/>
      <c r="I6508" s="334"/>
      <c r="J6508" s="314"/>
      <c r="K6508" s="454"/>
      <c r="M6508" s="349" t="str">
        <f>N6508&amp;AS[[#This Row],[Insurer Code]]&amp;"; "&amp;O6508&amp;AS[[#This Row],[Reporting Year]]&amp;"; "&amp;P6508&amp;AS[[#This Row],[Insurance Category Code]]&amp;"; "&amp;Q6508&amp;AS[[#This Row],[Large Provider Entity Code]]&amp;"; "&amp;R6508&amp;AS[[#This Row],[Age Band Code]]&amp;"; "&amp;S6508&amp;AS[[#This Row],[Sex Code]]</f>
        <v xml:space="preserve">Insurer Code ; Reporting Year ; Insurance Category Code ; Large Provider Entity Code ; Age Band Code ; Sex Code </v>
      </c>
      <c r="N6508" s="345" t="s">
        <v>207</v>
      </c>
      <c r="O6508" s="345" t="s">
        <v>208</v>
      </c>
      <c r="P6508" s="345" t="s">
        <v>209</v>
      </c>
      <c r="Q6508" s="345" t="s">
        <v>210</v>
      </c>
      <c r="R6508" s="345" t="s">
        <v>223</v>
      </c>
      <c r="S6508" s="345" t="s">
        <v>224</v>
      </c>
    </row>
    <row r="6509" spans="1:19" x14ac:dyDescent="0.25">
      <c r="A6509" s="311"/>
      <c r="B6509" s="312"/>
      <c r="C6509" s="312"/>
      <c r="D6509" s="312"/>
      <c r="E6509" s="312"/>
      <c r="F6509" s="312"/>
      <c r="G6509" s="328"/>
      <c r="H6509" s="453"/>
      <c r="I6509" s="334"/>
      <c r="J6509" s="314"/>
      <c r="K6509" s="454"/>
      <c r="M6509" s="349" t="str">
        <f>N6509&amp;AS[[#This Row],[Insurer Code]]&amp;"; "&amp;O6509&amp;AS[[#This Row],[Reporting Year]]&amp;"; "&amp;P6509&amp;AS[[#This Row],[Insurance Category Code]]&amp;"; "&amp;Q6509&amp;AS[[#This Row],[Large Provider Entity Code]]&amp;"; "&amp;R6509&amp;AS[[#This Row],[Age Band Code]]&amp;"; "&amp;S6509&amp;AS[[#This Row],[Sex Code]]</f>
        <v xml:space="preserve">Insurer Code ; Reporting Year ; Insurance Category Code ; Large Provider Entity Code ; Age Band Code ; Sex Code </v>
      </c>
      <c r="N6509" s="345" t="s">
        <v>207</v>
      </c>
      <c r="O6509" s="345" t="s">
        <v>208</v>
      </c>
      <c r="P6509" s="345" t="s">
        <v>209</v>
      </c>
      <c r="Q6509" s="345" t="s">
        <v>210</v>
      </c>
      <c r="R6509" s="345" t="s">
        <v>223</v>
      </c>
      <c r="S6509" s="345" t="s">
        <v>224</v>
      </c>
    </row>
    <row r="6510" spans="1:19" x14ac:dyDescent="0.25">
      <c r="A6510" s="311"/>
      <c r="B6510" s="312"/>
      <c r="C6510" s="312"/>
      <c r="D6510" s="312"/>
      <c r="E6510" s="312"/>
      <c r="F6510" s="312"/>
      <c r="G6510" s="328"/>
      <c r="H6510" s="453"/>
      <c r="I6510" s="334"/>
      <c r="J6510" s="314"/>
      <c r="K6510" s="454"/>
      <c r="M6510" s="349" t="str">
        <f>N6510&amp;AS[[#This Row],[Insurer Code]]&amp;"; "&amp;O6510&amp;AS[[#This Row],[Reporting Year]]&amp;"; "&amp;P6510&amp;AS[[#This Row],[Insurance Category Code]]&amp;"; "&amp;Q6510&amp;AS[[#This Row],[Large Provider Entity Code]]&amp;"; "&amp;R6510&amp;AS[[#This Row],[Age Band Code]]&amp;"; "&amp;S6510&amp;AS[[#This Row],[Sex Code]]</f>
        <v xml:space="preserve">Insurer Code ; Reporting Year ; Insurance Category Code ; Large Provider Entity Code ; Age Band Code ; Sex Code </v>
      </c>
      <c r="N6510" s="345" t="s">
        <v>207</v>
      </c>
      <c r="O6510" s="345" t="s">
        <v>208</v>
      </c>
      <c r="P6510" s="345" t="s">
        <v>209</v>
      </c>
      <c r="Q6510" s="345" t="s">
        <v>210</v>
      </c>
      <c r="R6510" s="345" t="s">
        <v>223</v>
      </c>
      <c r="S6510" s="345" t="s">
        <v>224</v>
      </c>
    </row>
    <row r="6511" spans="1:19" x14ac:dyDescent="0.25">
      <c r="A6511" s="311"/>
      <c r="B6511" s="312"/>
      <c r="C6511" s="312"/>
      <c r="D6511" s="312"/>
      <c r="E6511" s="312"/>
      <c r="F6511" s="312"/>
      <c r="G6511" s="328"/>
      <c r="H6511" s="453"/>
      <c r="I6511" s="334"/>
      <c r="J6511" s="314"/>
      <c r="K6511" s="454"/>
      <c r="M6511" s="349" t="str">
        <f>N6511&amp;AS[[#This Row],[Insurer Code]]&amp;"; "&amp;O6511&amp;AS[[#This Row],[Reporting Year]]&amp;"; "&amp;P6511&amp;AS[[#This Row],[Insurance Category Code]]&amp;"; "&amp;Q6511&amp;AS[[#This Row],[Large Provider Entity Code]]&amp;"; "&amp;R6511&amp;AS[[#This Row],[Age Band Code]]&amp;"; "&amp;S6511&amp;AS[[#This Row],[Sex Code]]</f>
        <v xml:space="preserve">Insurer Code ; Reporting Year ; Insurance Category Code ; Large Provider Entity Code ; Age Band Code ; Sex Code </v>
      </c>
      <c r="N6511" s="345" t="s">
        <v>207</v>
      </c>
      <c r="O6511" s="345" t="s">
        <v>208</v>
      </c>
      <c r="P6511" s="345" t="s">
        <v>209</v>
      </c>
      <c r="Q6511" s="345" t="s">
        <v>210</v>
      </c>
      <c r="R6511" s="345" t="s">
        <v>223</v>
      </c>
      <c r="S6511" s="345" t="s">
        <v>224</v>
      </c>
    </row>
    <row r="6512" spans="1:19" x14ac:dyDescent="0.25">
      <c r="A6512" s="311"/>
      <c r="B6512" s="312"/>
      <c r="C6512" s="312"/>
      <c r="D6512" s="312"/>
      <c r="E6512" s="312"/>
      <c r="F6512" s="312"/>
      <c r="G6512" s="328"/>
      <c r="H6512" s="453"/>
      <c r="I6512" s="334"/>
      <c r="J6512" s="314"/>
      <c r="K6512" s="454"/>
      <c r="M6512" s="349" t="str">
        <f>N6512&amp;AS[[#This Row],[Insurer Code]]&amp;"; "&amp;O6512&amp;AS[[#This Row],[Reporting Year]]&amp;"; "&amp;P6512&amp;AS[[#This Row],[Insurance Category Code]]&amp;"; "&amp;Q6512&amp;AS[[#This Row],[Large Provider Entity Code]]&amp;"; "&amp;R6512&amp;AS[[#This Row],[Age Band Code]]&amp;"; "&amp;S6512&amp;AS[[#This Row],[Sex Code]]</f>
        <v xml:space="preserve">Insurer Code ; Reporting Year ; Insurance Category Code ; Large Provider Entity Code ; Age Band Code ; Sex Code </v>
      </c>
      <c r="N6512" s="345" t="s">
        <v>207</v>
      </c>
      <c r="O6512" s="345" t="s">
        <v>208</v>
      </c>
      <c r="P6512" s="345" t="s">
        <v>209</v>
      </c>
      <c r="Q6512" s="345" t="s">
        <v>210</v>
      </c>
      <c r="R6512" s="345" t="s">
        <v>223</v>
      </c>
      <c r="S6512" s="345" t="s">
        <v>224</v>
      </c>
    </row>
    <row r="6513" spans="1:19" x14ac:dyDescent="0.25">
      <c r="A6513" s="311"/>
      <c r="B6513" s="312"/>
      <c r="C6513" s="312"/>
      <c r="D6513" s="312"/>
      <c r="E6513" s="312"/>
      <c r="F6513" s="312"/>
      <c r="G6513" s="328"/>
      <c r="H6513" s="453"/>
      <c r="I6513" s="334"/>
      <c r="J6513" s="314"/>
      <c r="K6513" s="454"/>
      <c r="M6513" s="349" t="str">
        <f>N6513&amp;AS[[#This Row],[Insurer Code]]&amp;"; "&amp;O6513&amp;AS[[#This Row],[Reporting Year]]&amp;"; "&amp;P6513&amp;AS[[#This Row],[Insurance Category Code]]&amp;"; "&amp;Q6513&amp;AS[[#This Row],[Large Provider Entity Code]]&amp;"; "&amp;R6513&amp;AS[[#This Row],[Age Band Code]]&amp;"; "&amp;S6513&amp;AS[[#This Row],[Sex Code]]</f>
        <v xml:space="preserve">Insurer Code ; Reporting Year ; Insurance Category Code ; Large Provider Entity Code ; Age Band Code ; Sex Code </v>
      </c>
      <c r="N6513" s="345" t="s">
        <v>207</v>
      </c>
      <c r="O6513" s="345" t="s">
        <v>208</v>
      </c>
      <c r="P6513" s="345" t="s">
        <v>209</v>
      </c>
      <c r="Q6513" s="345" t="s">
        <v>210</v>
      </c>
      <c r="R6513" s="345" t="s">
        <v>223</v>
      </c>
      <c r="S6513" s="345" t="s">
        <v>224</v>
      </c>
    </row>
    <row r="6514" spans="1:19" x14ac:dyDescent="0.25">
      <c r="A6514" s="311"/>
      <c r="B6514" s="312"/>
      <c r="C6514" s="312"/>
      <c r="D6514" s="312"/>
      <c r="E6514" s="312"/>
      <c r="F6514" s="312"/>
      <c r="G6514" s="328"/>
      <c r="H6514" s="453"/>
      <c r="I6514" s="334"/>
      <c r="J6514" s="314"/>
      <c r="K6514" s="454"/>
      <c r="M6514" s="349" t="str">
        <f>N6514&amp;AS[[#This Row],[Insurer Code]]&amp;"; "&amp;O6514&amp;AS[[#This Row],[Reporting Year]]&amp;"; "&amp;P6514&amp;AS[[#This Row],[Insurance Category Code]]&amp;"; "&amp;Q6514&amp;AS[[#This Row],[Large Provider Entity Code]]&amp;"; "&amp;R6514&amp;AS[[#This Row],[Age Band Code]]&amp;"; "&amp;S6514&amp;AS[[#This Row],[Sex Code]]</f>
        <v xml:space="preserve">Insurer Code ; Reporting Year ; Insurance Category Code ; Large Provider Entity Code ; Age Band Code ; Sex Code </v>
      </c>
      <c r="N6514" s="345" t="s">
        <v>207</v>
      </c>
      <c r="O6514" s="345" t="s">
        <v>208</v>
      </c>
      <c r="P6514" s="345" t="s">
        <v>209</v>
      </c>
      <c r="Q6514" s="345" t="s">
        <v>210</v>
      </c>
      <c r="R6514" s="345" t="s">
        <v>223</v>
      </c>
      <c r="S6514" s="345" t="s">
        <v>224</v>
      </c>
    </row>
    <row r="6515" spans="1:19" x14ac:dyDescent="0.25">
      <c r="A6515" s="311"/>
      <c r="B6515" s="312"/>
      <c r="C6515" s="312"/>
      <c r="D6515" s="312"/>
      <c r="E6515" s="312"/>
      <c r="F6515" s="312"/>
      <c r="G6515" s="328"/>
      <c r="H6515" s="453"/>
      <c r="I6515" s="334"/>
      <c r="J6515" s="314"/>
      <c r="K6515" s="454"/>
      <c r="M6515" s="349" t="str">
        <f>N6515&amp;AS[[#This Row],[Insurer Code]]&amp;"; "&amp;O6515&amp;AS[[#This Row],[Reporting Year]]&amp;"; "&amp;P6515&amp;AS[[#This Row],[Insurance Category Code]]&amp;"; "&amp;Q6515&amp;AS[[#This Row],[Large Provider Entity Code]]&amp;"; "&amp;R6515&amp;AS[[#This Row],[Age Band Code]]&amp;"; "&amp;S6515&amp;AS[[#This Row],[Sex Code]]</f>
        <v xml:space="preserve">Insurer Code ; Reporting Year ; Insurance Category Code ; Large Provider Entity Code ; Age Band Code ; Sex Code </v>
      </c>
      <c r="N6515" s="345" t="s">
        <v>207</v>
      </c>
      <c r="O6515" s="345" t="s">
        <v>208</v>
      </c>
      <c r="P6515" s="345" t="s">
        <v>209</v>
      </c>
      <c r="Q6515" s="345" t="s">
        <v>210</v>
      </c>
      <c r="R6515" s="345" t="s">
        <v>223</v>
      </c>
      <c r="S6515" s="345" t="s">
        <v>224</v>
      </c>
    </row>
    <row r="6516" spans="1:19" x14ac:dyDescent="0.25">
      <c r="A6516" s="311"/>
      <c r="B6516" s="312"/>
      <c r="C6516" s="312"/>
      <c r="D6516" s="312"/>
      <c r="E6516" s="312"/>
      <c r="F6516" s="312"/>
      <c r="G6516" s="328"/>
      <c r="H6516" s="453"/>
      <c r="I6516" s="334"/>
      <c r="J6516" s="314"/>
      <c r="K6516" s="454"/>
      <c r="M6516" s="349" t="str">
        <f>N6516&amp;AS[[#This Row],[Insurer Code]]&amp;"; "&amp;O6516&amp;AS[[#This Row],[Reporting Year]]&amp;"; "&amp;P6516&amp;AS[[#This Row],[Insurance Category Code]]&amp;"; "&amp;Q6516&amp;AS[[#This Row],[Large Provider Entity Code]]&amp;"; "&amp;R6516&amp;AS[[#This Row],[Age Band Code]]&amp;"; "&amp;S6516&amp;AS[[#This Row],[Sex Code]]</f>
        <v xml:space="preserve">Insurer Code ; Reporting Year ; Insurance Category Code ; Large Provider Entity Code ; Age Band Code ; Sex Code </v>
      </c>
      <c r="N6516" s="345" t="s">
        <v>207</v>
      </c>
      <c r="O6516" s="345" t="s">
        <v>208</v>
      </c>
      <c r="P6516" s="345" t="s">
        <v>209</v>
      </c>
      <c r="Q6516" s="345" t="s">
        <v>210</v>
      </c>
      <c r="R6516" s="345" t="s">
        <v>223</v>
      </c>
      <c r="S6516" s="345" t="s">
        <v>224</v>
      </c>
    </row>
    <row r="6517" spans="1:19" x14ac:dyDescent="0.25">
      <c r="A6517" s="311"/>
      <c r="B6517" s="312"/>
      <c r="C6517" s="312"/>
      <c r="D6517" s="312"/>
      <c r="E6517" s="312"/>
      <c r="F6517" s="312"/>
      <c r="G6517" s="328"/>
      <c r="H6517" s="453"/>
      <c r="I6517" s="334"/>
      <c r="J6517" s="314"/>
      <c r="K6517" s="454"/>
      <c r="M6517" s="349" t="str">
        <f>N6517&amp;AS[[#This Row],[Insurer Code]]&amp;"; "&amp;O6517&amp;AS[[#This Row],[Reporting Year]]&amp;"; "&amp;P6517&amp;AS[[#This Row],[Insurance Category Code]]&amp;"; "&amp;Q6517&amp;AS[[#This Row],[Large Provider Entity Code]]&amp;"; "&amp;R6517&amp;AS[[#This Row],[Age Band Code]]&amp;"; "&amp;S6517&amp;AS[[#This Row],[Sex Code]]</f>
        <v xml:space="preserve">Insurer Code ; Reporting Year ; Insurance Category Code ; Large Provider Entity Code ; Age Band Code ; Sex Code </v>
      </c>
      <c r="N6517" s="345" t="s">
        <v>207</v>
      </c>
      <c r="O6517" s="345" t="s">
        <v>208</v>
      </c>
      <c r="P6517" s="345" t="s">
        <v>209</v>
      </c>
      <c r="Q6517" s="345" t="s">
        <v>210</v>
      </c>
      <c r="R6517" s="345" t="s">
        <v>223</v>
      </c>
      <c r="S6517" s="345" t="s">
        <v>224</v>
      </c>
    </row>
    <row r="6518" spans="1:19" x14ac:dyDescent="0.25">
      <c r="A6518" s="311"/>
      <c r="B6518" s="312"/>
      <c r="C6518" s="312"/>
      <c r="D6518" s="312"/>
      <c r="E6518" s="312"/>
      <c r="F6518" s="312"/>
      <c r="G6518" s="328"/>
      <c r="H6518" s="453"/>
      <c r="I6518" s="334"/>
      <c r="J6518" s="314"/>
      <c r="K6518" s="454"/>
      <c r="M6518" s="349" t="str">
        <f>N6518&amp;AS[[#This Row],[Insurer Code]]&amp;"; "&amp;O6518&amp;AS[[#This Row],[Reporting Year]]&amp;"; "&amp;P6518&amp;AS[[#This Row],[Insurance Category Code]]&amp;"; "&amp;Q6518&amp;AS[[#This Row],[Large Provider Entity Code]]&amp;"; "&amp;R6518&amp;AS[[#This Row],[Age Band Code]]&amp;"; "&amp;S6518&amp;AS[[#This Row],[Sex Code]]</f>
        <v xml:space="preserve">Insurer Code ; Reporting Year ; Insurance Category Code ; Large Provider Entity Code ; Age Band Code ; Sex Code </v>
      </c>
      <c r="N6518" s="345" t="s">
        <v>207</v>
      </c>
      <c r="O6518" s="345" t="s">
        <v>208</v>
      </c>
      <c r="P6518" s="345" t="s">
        <v>209</v>
      </c>
      <c r="Q6518" s="345" t="s">
        <v>210</v>
      </c>
      <c r="R6518" s="345" t="s">
        <v>223</v>
      </c>
      <c r="S6518" s="345" t="s">
        <v>224</v>
      </c>
    </row>
    <row r="6519" spans="1:19" x14ac:dyDescent="0.25">
      <c r="A6519" s="311"/>
      <c r="B6519" s="312"/>
      <c r="C6519" s="312"/>
      <c r="D6519" s="312"/>
      <c r="E6519" s="312"/>
      <c r="F6519" s="312"/>
      <c r="G6519" s="328"/>
      <c r="H6519" s="453"/>
      <c r="I6519" s="334"/>
      <c r="J6519" s="314"/>
      <c r="K6519" s="454"/>
      <c r="M6519" s="349" t="str">
        <f>N6519&amp;AS[[#This Row],[Insurer Code]]&amp;"; "&amp;O6519&amp;AS[[#This Row],[Reporting Year]]&amp;"; "&amp;P6519&amp;AS[[#This Row],[Insurance Category Code]]&amp;"; "&amp;Q6519&amp;AS[[#This Row],[Large Provider Entity Code]]&amp;"; "&amp;R6519&amp;AS[[#This Row],[Age Band Code]]&amp;"; "&amp;S6519&amp;AS[[#This Row],[Sex Code]]</f>
        <v xml:space="preserve">Insurer Code ; Reporting Year ; Insurance Category Code ; Large Provider Entity Code ; Age Band Code ; Sex Code </v>
      </c>
      <c r="N6519" s="345" t="s">
        <v>207</v>
      </c>
      <c r="O6519" s="345" t="s">
        <v>208</v>
      </c>
      <c r="P6519" s="345" t="s">
        <v>209</v>
      </c>
      <c r="Q6519" s="345" t="s">
        <v>210</v>
      </c>
      <c r="R6519" s="345" t="s">
        <v>223</v>
      </c>
      <c r="S6519" s="345" t="s">
        <v>224</v>
      </c>
    </row>
    <row r="6520" spans="1:19" x14ac:dyDescent="0.25">
      <c r="A6520" s="311"/>
      <c r="B6520" s="312"/>
      <c r="C6520" s="312"/>
      <c r="D6520" s="312"/>
      <c r="E6520" s="312"/>
      <c r="F6520" s="312"/>
      <c r="G6520" s="328"/>
      <c r="H6520" s="453"/>
      <c r="I6520" s="334"/>
      <c r="J6520" s="314"/>
      <c r="K6520" s="454"/>
      <c r="M6520" s="349" t="str">
        <f>N6520&amp;AS[[#This Row],[Insurer Code]]&amp;"; "&amp;O6520&amp;AS[[#This Row],[Reporting Year]]&amp;"; "&amp;P6520&amp;AS[[#This Row],[Insurance Category Code]]&amp;"; "&amp;Q6520&amp;AS[[#This Row],[Large Provider Entity Code]]&amp;"; "&amp;R6520&amp;AS[[#This Row],[Age Band Code]]&amp;"; "&amp;S6520&amp;AS[[#This Row],[Sex Code]]</f>
        <v xml:space="preserve">Insurer Code ; Reporting Year ; Insurance Category Code ; Large Provider Entity Code ; Age Band Code ; Sex Code </v>
      </c>
      <c r="N6520" s="345" t="s">
        <v>207</v>
      </c>
      <c r="O6520" s="345" t="s">
        <v>208</v>
      </c>
      <c r="P6520" s="345" t="s">
        <v>209</v>
      </c>
      <c r="Q6520" s="345" t="s">
        <v>210</v>
      </c>
      <c r="R6520" s="345" t="s">
        <v>223</v>
      </c>
      <c r="S6520" s="345" t="s">
        <v>224</v>
      </c>
    </row>
    <row r="6521" spans="1:19" x14ac:dyDescent="0.25">
      <c r="A6521" s="311"/>
      <c r="B6521" s="312"/>
      <c r="C6521" s="312"/>
      <c r="D6521" s="312"/>
      <c r="E6521" s="312"/>
      <c r="F6521" s="312"/>
      <c r="G6521" s="328"/>
      <c r="H6521" s="453"/>
      <c r="I6521" s="334"/>
      <c r="J6521" s="314"/>
      <c r="K6521" s="454"/>
      <c r="M6521" s="349" t="str">
        <f>N6521&amp;AS[[#This Row],[Insurer Code]]&amp;"; "&amp;O6521&amp;AS[[#This Row],[Reporting Year]]&amp;"; "&amp;P6521&amp;AS[[#This Row],[Insurance Category Code]]&amp;"; "&amp;Q6521&amp;AS[[#This Row],[Large Provider Entity Code]]&amp;"; "&amp;R6521&amp;AS[[#This Row],[Age Band Code]]&amp;"; "&amp;S6521&amp;AS[[#This Row],[Sex Code]]</f>
        <v xml:space="preserve">Insurer Code ; Reporting Year ; Insurance Category Code ; Large Provider Entity Code ; Age Band Code ; Sex Code </v>
      </c>
      <c r="N6521" s="345" t="s">
        <v>207</v>
      </c>
      <c r="O6521" s="345" t="s">
        <v>208</v>
      </c>
      <c r="P6521" s="345" t="s">
        <v>209</v>
      </c>
      <c r="Q6521" s="345" t="s">
        <v>210</v>
      </c>
      <c r="R6521" s="345" t="s">
        <v>223</v>
      </c>
      <c r="S6521" s="345" t="s">
        <v>224</v>
      </c>
    </row>
    <row r="6522" spans="1:19" x14ac:dyDescent="0.25">
      <c r="A6522" s="311"/>
      <c r="B6522" s="312"/>
      <c r="C6522" s="312"/>
      <c r="D6522" s="312"/>
      <c r="E6522" s="312"/>
      <c r="F6522" s="312"/>
      <c r="G6522" s="328"/>
      <c r="H6522" s="453"/>
      <c r="I6522" s="334"/>
      <c r="J6522" s="314"/>
      <c r="K6522" s="454"/>
      <c r="M6522" s="349" t="str">
        <f>N6522&amp;AS[[#This Row],[Insurer Code]]&amp;"; "&amp;O6522&amp;AS[[#This Row],[Reporting Year]]&amp;"; "&amp;P6522&amp;AS[[#This Row],[Insurance Category Code]]&amp;"; "&amp;Q6522&amp;AS[[#This Row],[Large Provider Entity Code]]&amp;"; "&amp;R6522&amp;AS[[#This Row],[Age Band Code]]&amp;"; "&amp;S6522&amp;AS[[#This Row],[Sex Code]]</f>
        <v xml:space="preserve">Insurer Code ; Reporting Year ; Insurance Category Code ; Large Provider Entity Code ; Age Band Code ; Sex Code </v>
      </c>
      <c r="N6522" s="345" t="s">
        <v>207</v>
      </c>
      <c r="O6522" s="345" t="s">
        <v>208</v>
      </c>
      <c r="P6522" s="345" t="s">
        <v>209</v>
      </c>
      <c r="Q6522" s="345" t="s">
        <v>210</v>
      </c>
      <c r="R6522" s="345" t="s">
        <v>223</v>
      </c>
      <c r="S6522" s="345" t="s">
        <v>224</v>
      </c>
    </row>
    <row r="6523" spans="1:19" x14ac:dyDescent="0.25">
      <c r="A6523" s="311"/>
      <c r="B6523" s="312"/>
      <c r="C6523" s="312"/>
      <c r="D6523" s="312"/>
      <c r="E6523" s="312"/>
      <c r="F6523" s="312"/>
      <c r="G6523" s="328"/>
      <c r="H6523" s="453"/>
      <c r="I6523" s="334"/>
      <c r="J6523" s="314"/>
      <c r="K6523" s="454"/>
      <c r="M6523" s="349" t="str">
        <f>N6523&amp;AS[[#This Row],[Insurer Code]]&amp;"; "&amp;O6523&amp;AS[[#This Row],[Reporting Year]]&amp;"; "&amp;P6523&amp;AS[[#This Row],[Insurance Category Code]]&amp;"; "&amp;Q6523&amp;AS[[#This Row],[Large Provider Entity Code]]&amp;"; "&amp;R6523&amp;AS[[#This Row],[Age Band Code]]&amp;"; "&amp;S6523&amp;AS[[#This Row],[Sex Code]]</f>
        <v xml:space="preserve">Insurer Code ; Reporting Year ; Insurance Category Code ; Large Provider Entity Code ; Age Band Code ; Sex Code </v>
      </c>
      <c r="N6523" s="345" t="s">
        <v>207</v>
      </c>
      <c r="O6523" s="345" t="s">
        <v>208</v>
      </c>
      <c r="P6523" s="345" t="s">
        <v>209</v>
      </c>
      <c r="Q6523" s="345" t="s">
        <v>210</v>
      </c>
      <c r="R6523" s="345" t="s">
        <v>223</v>
      </c>
      <c r="S6523" s="345" t="s">
        <v>224</v>
      </c>
    </row>
    <row r="6524" spans="1:19" x14ac:dyDescent="0.25">
      <c r="A6524" s="311"/>
      <c r="B6524" s="312"/>
      <c r="C6524" s="312"/>
      <c r="D6524" s="312"/>
      <c r="E6524" s="312"/>
      <c r="F6524" s="312"/>
      <c r="G6524" s="328"/>
      <c r="H6524" s="453"/>
      <c r="I6524" s="334"/>
      <c r="J6524" s="314"/>
      <c r="K6524" s="454"/>
      <c r="M6524" s="349" t="str">
        <f>N6524&amp;AS[[#This Row],[Insurer Code]]&amp;"; "&amp;O6524&amp;AS[[#This Row],[Reporting Year]]&amp;"; "&amp;P6524&amp;AS[[#This Row],[Insurance Category Code]]&amp;"; "&amp;Q6524&amp;AS[[#This Row],[Large Provider Entity Code]]&amp;"; "&amp;R6524&amp;AS[[#This Row],[Age Band Code]]&amp;"; "&amp;S6524&amp;AS[[#This Row],[Sex Code]]</f>
        <v xml:space="preserve">Insurer Code ; Reporting Year ; Insurance Category Code ; Large Provider Entity Code ; Age Band Code ; Sex Code </v>
      </c>
      <c r="N6524" s="345" t="s">
        <v>207</v>
      </c>
      <c r="O6524" s="345" t="s">
        <v>208</v>
      </c>
      <c r="P6524" s="345" t="s">
        <v>209</v>
      </c>
      <c r="Q6524" s="345" t="s">
        <v>210</v>
      </c>
      <c r="R6524" s="345" t="s">
        <v>223</v>
      </c>
      <c r="S6524" s="345" t="s">
        <v>224</v>
      </c>
    </row>
    <row r="6525" spans="1:19" x14ac:dyDescent="0.25">
      <c r="A6525" s="311"/>
      <c r="B6525" s="312"/>
      <c r="C6525" s="312"/>
      <c r="D6525" s="312"/>
      <c r="E6525" s="312"/>
      <c r="F6525" s="312"/>
      <c r="G6525" s="328"/>
      <c r="H6525" s="453"/>
      <c r="I6525" s="334"/>
      <c r="J6525" s="314"/>
      <c r="K6525" s="454"/>
      <c r="M6525" s="349" t="str">
        <f>N6525&amp;AS[[#This Row],[Insurer Code]]&amp;"; "&amp;O6525&amp;AS[[#This Row],[Reporting Year]]&amp;"; "&amp;P6525&amp;AS[[#This Row],[Insurance Category Code]]&amp;"; "&amp;Q6525&amp;AS[[#This Row],[Large Provider Entity Code]]&amp;"; "&amp;R6525&amp;AS[[#This Row],[Age Band Code]]&amp;"; "&amp;S6525&amp;AS[[#This Row],[Sex Code]]</f>
        <v xml:space="preserve">Insurer Code ; Reporting Year ; Insurance Category Code ; Large Provider Entity Code ; Age Band Code ; Sex Code </v>
      </c>
      <c r="N6525" s="345" t="s">
        <v>207</v>
      </c>
      <c r="O6525" s="345" t="s">
        <v>208</v>
      </c>
      <c r="P6525" s="345" t="s">
        <v>209</v>
      </c>
      <c r="Q6525" s="345" t="s">
        <v>210</v>
      </c>
      <c r="R6525" s="345" t="s">
        <v>223</v>
      </c>
      <c r="S6525" s="345" t="s">
        <v>224</v>
      </c>
    </row>
    <row r="6526" spans="1:19" x14ac:dyDescent="0.25">
      <c r="A6526" s="311"/>
      <c r="B6526" s="312"/>
      <c r="C6526" s="312"/>
      <c r="D6526" s="312"/>
      <c r="E6526" s="312"/>
      <c r="F6526" s="312"/>
      <c r="G6526" s="328"/>
      <c r="H6526" s="453"/>
      <c r="I6526" s="334"/>
      <c r="J6526" s="314"/>
      <c r="K6526" s="454"/>
      <c r="M6526" s="349" t="str">
        <f>N6526&amp;AS[[#This Row],[Insurer Code]]&amp;"; "&amp;O6526&amp;AS[[#This Row],[Reporting Year]]&amp;"; "&amp;P6526&amp;AS[[#This Row],[Insurance Category Code]]&amp;"; "&amp;Q6526&amp;AS[[#This Row],[Large Provider Entity Code]]&amp;"; "&amp;R6526&amp;AS[[#This Row],[Age Band Code]]&amp;"; "&amp;S6526&amp;AS[[#This Row],[Sex Code]]</f>
        <v xml:space="preserve">Insurer Code ; Reporting Year ; Insurance Category Code ; Large Provider Entity Code ; Age Band Code ; Sex Code </v>
      </c>
      <c r="N6526" s="345" t="s">
        <v>207</v>
      </c>
      <c r="O6526" s="345" t="s">
        <v>208</v>
      </c>
      <c r="P6526" s="345" t="s">
        <v>209</v>
      </c>
      <c r="Q6526" s="345" t="s">
        <v>210</v>
      </c>
      <c r="R6526" s="345" t="s">
        <v>223</v>
      </c>
      <c r="S6526" s="345" t="s">
        <v>224</v>
      </c>
    </row>
    <row r="6527" spans="1:19" x14ac:dyDescent="0.25">
      <c r="A6527" s="311"/>
      <c r="B6527" s="312"/>
      <c r="C6527" s="312"/>
      <c r="D6527" s="312"/>
      <c r="E6527" s="312"/>
      <c r="F6527" s="312"/>
      <c r="G6527" s="328"/>
      <c r="H6527" s="453"/>
      <c r="I6527" s="334"/>
      <c r="J6527" s="314"/>
      <c r="K6527" s="454"/>
      <c r="M6527" s="349" t="str">
        <f>N6527&amp;AS[[#This Row],[Insurer Code]]&amp;"; "&amp;O6527&amp;AS[[#This Row],[Reporting Year]]&amp;"; "&amp;P6527&amp;AS[[#This Row],[Insurance Category Code]]&amp;"; "&amp;Q6527&amp;AS[[#This Row],[Large Provider Entity Code]]&amp;"; "&amp;R6527&amp;AS[[#This Row],[Age Band Code]]&amp;"; "&amp;S6527&amp;AS[[#This Row],[Sex Code]]</f>
        <v xml:space="preserve">Insurer Code ; Reporting Year ; Insurance Category Code ; Large Provider Entity Code ; Age Band Code ; Sex Code </v>
      </c>
      <c r="N6527" s="345" t="s">
        <v>207</v>
      </c>
      <c r="O6527" s="345" t="s">
        <v>208</v>
      </c>
      <c r="P6527" s="345" t="s">
        <v>209</v>
      </c>
      <c r="Q6527" s="345" t="s">
        <v>210</v>
      </c>
      <c r="R6527" s="345" t="s">
        <v>223</v>
      </c>
      <c r="S6527" s="345" t="s">
        <v>224</v>
      </c>
    </row>
    <row r="6528" spans="1:19" x14ac:dyDescent="0.25">
      <c r="A6528" s="311"/>
      <c r="B6528" s="312"/>
      <c r="C6528" s="312"/>
      <c r="D6528" s="312"/>
      <c r="E6528" s="312"/>
      <c r="F6528" s="312"/>
      <c r="G6528" s="328"/>
      <c r="H6528" s="453"/>
      <c r="I6528" s="334"/>
      <c r="J6528" s="314"/>
      <c r="K6528" s="454"/>
      <c r="M6528" s="349" t="str">
        <f>N6528&amp;AS[[#This Row],[Insurer Code]]&amp;"; "&amp;O6528&amp;AS[[#This Row],[Reporting Year]]&amp;"; "&amp;P6528&amp;AS[[#This Row],[Insurance Category Code]]&amp;"; "&amp;Q6528&amp;AS[[#This Row],[Large Provider Entity Code]]&amp;"; "&amp;R6528&amp;AS[[#This Row],[Age Band Code]]&amp;"; "&amp;S6528&amp;AS[[#This Row],[Sex Code]]</f>
        <v xml:space="preserve">Insurer Code ; Reporting Year ; Insurance Category Code ; Large Provider Entity Code ; Age Band Code ; Sex Code </v>
      </c>
      <c r="N6528" s="345" t="s">
        <v>207</v>
      </c>
      <c r="O6528" s="345" t="s">
        <v>208</v>
      </c>
      <c r="P6528" s="345" t="s">
        <v>209</v>
      </c>
      <c r="Q6528" s="345" t="s">
        <v>210</v>
      </c>
      <c r="R6528" s="345" t="s">
        <v>223</v>
      </c>
      <c r="S6528" s="345" t="s">
        <v>224</v>
      </c>
    </row>
    <row r="6529" spans="1:19" x14ac:dyDescent="0.25">
      <c r="A6529" s="311"/>
      <c r="B6529" s="312"/>
      <c r="C6529" s="312"/>
      <c r="D6529" s="312"/>
      <c r="E6529" s="312"/>
      <c r="F6529" s="312"/>
      <c r="G6529" s="328"/>
      <c r="H6529" s="453"/>
      <c r="I6529" s="334"/>
      <c r="J6529" s="314"/>
      <c r="K6529" s="454"/>
      <c r="M6529" s="349" t="str">
        <f>N6529&amp;AS[[#This Row],[Insurer Code]]&amp;"; "&amp;O6529&amp;AS[[#This Row],[Reporting Year]]&amp;"; "&amp;P6529&amp;AS[[#This Row],[Insurance Category Code]]&amp;"; "&amp;Q6529&amp;AS[[#This Row],[Large Provider Entity Code]]&amp;"; "&amp;R6529&amp;AS[[#This Row],[Age Band Code]]&amp;"; "&amp;S6529&amp;AS[[#This Row],[Sex Code]]</f>
        <v xml:space="preserve">Insurer Code ; Reporting Year ; Insurance Category Code ; Large Provider Entity Code ; Age Band Code ; Sex Code </v>
      </c>
      <c r="N6529" s="345" t="s">
        <v>207</v>
      </c>
      <c r="O6529" s="345" t="s">
        <v>208</v>
      </c>
      <c r="P6529" s="345" t="s">
        <v>209</v>
      </c>
      <c r="Q6529" s="345" t="s">
        <v>210</v>
      </c>
      <c r="R6529" s="345" t="s">
        <v>223</v>
      </c>
      <c r="S6529" s="345" t="s">
        <v>224</v>
      </c>
    </row>
    <row r="6530" spans="1:19" x14ac:dyDescent="0.25">
      <c r="A6530" s="311"/>
      <c r="B6530" s="312"/>
      <c r="C6530" s="312"/>
      <c r="D6530" s="312"/>
      <c r="E6530" s="312"/>
      <c r="F6530" s="312"/>
      <c r="G6530" s="328"/>
      <c r="H6530" s="453"/>
      <c r="I6530" s="334"/>
      <c r="J6530" s="314"/>
      <c r="K6530" s="454"/>
      <c r="M6530" s="349" t="str">
        <f>N6530&amp;AS[[#This Row],[Insurer Code]]&amp;"; "&amp;O6530&amp;AS[[#This Row],[Reporting Year]]&amp;"; "&amp;P6530&amp;AS[[#This Row],[Insurance Category Code]]&amp;"; "&amp;Q6530&amp;AS[[#This Row],[Large Provider Entity Code]]&amp;"; "&amp;R6530&amp;AS[[#This Row],[Age Band Code]]&amp;"; "&amp;S6530&amp;AS[[#This Row],[Sex Code]]</f>
        <v xml:space="preserve">Insurer Code ; Reporting Year ; Insurance Category Code ; Large Provider Entity Code ; Age Band Code ; Sex Code </v>
      </c>
      <c r="N6530" s="345" t="s">
        <v>207</v>
      </c>
      <c r="O6530" s="345" t="s">
        <v>208</v>
      </c>
      <c r="P6530" s="345" t="s">
        <v>209</v>
      </c>
      <c r="Q6530" s="345" t="s">
        <v>210</v>
      </c>
      <c r="R6530" s="345" t="s">
        <v>223</v>
      </c>
      <c r="S6530" s="345" t="s">
        <v>224</v>
      </c>
    </row>
    <row r="6531" spans="1:19" x14ac:dyDescent="0.25">
      <c r="A6531" s="311"/>
      <c r="B6531" s="312"/>
      <c r="C6531" s="312"/>
      <c r="D6531" s="312"/>
      <c r="E6531" s="312"/>
      <c r="F6531" s="312"/>
      <c r="G6531" s="328"/>
      <c r="H6531" s="453"/>
      <c r="I6531" s="334"/>
      <c r="J6531" s="314"/>
      <c r="K6531" s="454"/>
      <c r="M6531" s="349" t="str">
        <f>N6531&amp;AS[[#This Row],[Insurer Code]]&amp;"; "&amp;O6531&amp;AS[[#This Row],[Reporting Year]]&amp;"; "&amp;P6531&amp;AS[[#This Row],[Insurance Category Code]]&amp;"; "&amp;Q6531&amp;AS[[#This Row],[Large Provider Entity Code]]&amp;"; "&amp;R6531&amp;AS[[#This Row],[Age Band Code]]&amp;"; "&amp;S6531&amp;AS[[#This Row],[Sex Code]]</f>
        <v xml:space="preserve">Insurer Code ; Reporting Year ; Insurance Category Code ; Large Provider Entity Code ; Age Band Code ; Sex Code </v>
      </c>
      <c r="N6531" s="345" t="s">
        <v>207</v>
      </c>
      <c r="O6531" s="345" t="s">
        <v>208</v>
      </c>
      <c r="P6531" s="345" t="s">
        <v>209</v>
      </c>
      <c r="Q6531" s="345" t="s">
        <v>210</v>
      </c>
      <c r="R6531" s="345" t="s">
        <v>223</v>
      </c>
      <c r="S6531" s="345" t="s">
        <v>224</v>
      </c>
    </row>
    <row r="6532" spans="1:19" x14ac:dyDescent="0.25">
      <c r="A6532" s="311"/>
      <c r="B6532" s="312"/>
      <c r="C6532" s="312"/>
      <c r="D6532" s="312"/>
      <c r="E6532" s="312"/>
      <c r="F6532" s="312"/>
      <c r="G6532" s="328"/>
      <c r="H6532" s="453"/>
      <c r="I6532" s="334"/>
      <c r="J6532" s="314"/>
      <c r="K6532" s="454"/>
      <c r="M6532" s="349" t="str">
        <f>N6532&amp;AS[[#This Row],[Insurer Code]]&amp;"; "&amp;O6532&amp;AS[[#This Row],[Reporting Year]]&amp;"; "&amp;P6532&amp;AS[[#This Row],[Insurance Category Code]]&amp;"; "&amp;Q6532&amp;AS[[#This Row],[Large Provider Entity Code]]&amp;"; "&amp;R6532&amp;AS[[#This Row],[Age Band Code]]&amp;"; "&amp;S6532&amp;AS[[#This Row],[Sex Code]]</f>
        <v xml:space="preserve">Insurer Code ; Reporting Year ; Insurance Category Code ; Large Provider Entity Code ; Age Band Code ; Sex Code </v>
      </c>
      <c r="N6532" s="345" t="s">
        <v>207</v>
      </c>
      <c r="O6532" s="345" t="s">
        <v>208</v>
      </c>
      <c r="P6532" s="345" t="s">
        <v>209</v>
      </c>
      <c r="Q6532" s="345" t="s">
        <v>210</v>
      </c>
      <c r="R6532" s="345" t="s">
        <v>223</v>
      </c>
      <c r="S6532" s="345" t="s">
        <v>224</v>
      </c>
    </row>
    <row r="6533" spans="1:19" x14ac:dyDescent="0.25">
      <c r="A6533" s="311"/>
      <c r="B6533" s="312"/>
      <c r="C6533" s="312"/>
      <c r="D6533" s="312"/>
      <c r="E6533" s="312"/>
      <c r="F6533" s="312"/>
      <c r="G6533" s="328"/>
      <c r="H6533" s="453"/>
      <c r="I6533" s="334"/>
      <c r="J6533" s="314"/>
      <c r="K6533" s="454"/>
      <c r="M6533" s="349" t="str">
        <f>N6533&amp;AS[[#This Row],[Insurer Code]]&amp;"; "&amp;O6533&amp;AS[[#This Row],[Reporting Year]]&amp;"; "&amp;P6533&amp;AS[[#This Row],[Insurance Category Code]]&amp;"; "&amp;Q6533&amp;AS[[#This Row],[Large Provider Entity Code]]&amp;"; "&amp;R6533&amp;AS[[#This Row],[Age Band Code]]&amp;"; "&amp;S6533&amp;AS[[#This Row],[Sex Code]]</f>
        <v xml:space="preserve">Insurer Code ; Reporting Year ; Insurance Category Code ; Large Provider Entity Code ; Age Band Code ; Sex Code </v>
      </c>
      <c r="N6533" s="345" t="s">
        <v>207</v>
      </c>
      <c r="O6533" s="345" t="s">
        <v>208</v>
      </c>
      <c r="P6533" s="345" t="s">
        <v>209</v>
      </c>
      <c r="Q6533" s="345" t="s">
        <v>210</v>
      </c>
      <c r="R6533" s="345" t="s">
        <v>223</v>
      </c>
      <c r="S6533" s="345" t="s">
        <v>224</v>
      </c>
    </row>
    <row r="6534" spans="1:19" x14ac:dyDescent="0.25">
      <c r="A6534" s="311"/>
      <c r="B6534" s="312"/>
      <c r="C6534" s="312"/>
      <c r="D6534" s="312"/>
      <c r="E6534" s="312"/>
      <c r="F6534" s="312"/>
      <c r="G6534" s="328"/>
      <c r="H6534" s="453"/>
      <c r="I6534" s="334"/>
      <c r="J6534" s="314"/>
      <c r="K6534" s="454"/>
      <c r="M6534" s="349" t="str">
        <f>N6534&amp;AS[[#This Row],[Insurer Code]]&amp;"; "&amp;O6534&amp;AS[[#This Row],[Reporting Year]]&amp;"; "&amp;P6534&amp;AS[[#This Row],[Insurance Category Code]]&amp;"; "&amp;Q6534&amp;AS[[#This Row],[Large Provider Entity Code]]&amp;"; "&amp;R6534&amp;AS[[#This Row],[Age Band Code]]&amp;"; "&amp;S6534&amp;AS[[#This Row],[Sex Code]]</f>
        <v xml:space="preserve">Insurer Code ; Reporting Year ; Insurance Category Code ; Large Provider Entity Code ; Age Band Code ; Sex Code </v>
      </c>
      <c r="N6534" s="345" t="s">
        <v>207</v>
      </c>
      <c r="O6534" s="345" t="s">
        <v>208</v>
      </c>
      <c r="P6534" s="345" t="s">
        <v>209</v>
      </c>
      <c r="Q6534" s="345" t="s">
        <v>210</v>
      </c>
      <c r="R6534" s="345" t="s">
        <v>223</v>
      </c>
      <c r="S6534" s="345" t="s">
        <v>224</v>
      </c>
    </row>
    <row r="6535" spans="1:19" x14ac:dyDescent="0.25">
      <c r="A6535" s="311"/>
      <c r="B6535" s="312"/>
      <c r="C6535" s="312"/>
      <c r="D6535" s="312"/>
      <c r="E6535" s="312"/>
      <c r="F6535" s="312"/>
      <c r="G6535" s="328"/>
      <c r="H6535" s="453"/>
      <c r="I6535" s="334"/>
      <c r="J6535" s="314"/>
      <c r="K6535" s="454"/>
      <c r="M6535" s="349" t="str">
        <f>N6535&amp;AS[[#This Row],[Insurer Code]]&amp;"; "&amp;O6535&amp;AS[[#This Row],[Reporting Year]]&amp;"; "&amp;P6535&amp;AS[[#This Row],[Insurance Category Code]]&amp;"; "&amp;Q6535&amp;AS[[#This Row],[Large Provider Entity Code]]&amp;"; "&amp;R6535&amp;AS[[#This Row],[Age Band Code]]&amp;"; "&amp;S6535&amp;AS[[#This Row],[Sex Code]]</f>
        <v xml:space="preserve">Insurer Code ; Reporting Year ; Insurance Category Code ; Large Provider Entity Code ; Age Band Code ; Sex Code </v>
      </c>
      <c r="N6535" s="345" t="s">
        <v>207</v>
      </c>
      <c r="O6535" s="345" t="s">
        <v>208</v>
      </c>
      <c r="P6535" s="345" t="s">
        <v>209</v>
      </c>
      <c r="Q6535" s="345" t="s">
        <v>210</v>
      </c>
      <c r="R6535" s="345" t="s">
        <v>223</v>
      </c>
      <c r="S6535" s="345" t="s">
        <v>224</v>
      </c>
    </row>
    <row r="6536" spans="1:19" x14ac:dyDescent="0.25">
      <c r="A6536" s="311"/>
      <c r="B6536" s="312"/>
      <c r="C6536" s="312"/>
      <c r="D6536" s="312"/>
      <c r="E6536" s="312"/>
      <c r="F6536" s="312"/>
      <c r="G6536" s="328"/>
      <c r="H6536" s="453"/>
      <c r="I6536" s="334"/>
      <c r="J6536" s="314"/>
      <c r="K6536" s="454"/>
      <c r="M6536" s="349" t="str">
        <f>N6536&amp;AS[[#This Row],[Insurer Code]]&amp;"; "&amp;O6536&amp;AS[[#This Row],[Reporting Year]]&amp;"; "&amp;P6536&amp;AS[[#This Row],[Insurance Category Code]]&amp;"; "&amp;Q6536&amp;AS[[#This Row],[Large Provider Entity Code]]&amp;"; "&amp;R6536&amp;AS[[#This Row],[Age Band Code]]&amp;"; "&amp;S6536&amp;AS[[#This Row],[Sex Code]]</f>
        <v xml:space="preserve">Insurer Code ; Reporting Year ; Insurance Category Code ; Large Provider Entity Code ; Age Band Code ; Sex Code </v>
      </c>
      <c r="N6536" s="345" t="s">
        <v>207</v>
      </c>
      <c r="O6536" s="345" t="s">
        <v>208</v>
      </c>
      <c r="P6536" s="345" t="s">
        <v>209</v>
      </c>
      <c r="Q6536" s="345" t="s">
        <v>210</v>
      </c>
      <c r="R6536" s="345" t="s">
        <v>223</v>
      </c>
      <c r="S6536" s="345" t="s">
        <v>224</v>
      </c>
    </row>
    <row r="6537" spans="1:19" x14ac:dyDescent="0.25">
      <c r="A6537" s="311"/>
      <c r="B6537" s="312"/>
      <c r="C6537" s="312"/>
      <c r="D6537" s="312"/>
      <c r="E6537" s="312"/>
      <c r="F6537" s="312"/>
      <c r="G6537" s="328"/>
      <c r="H6537" s="453"/>
      <c r="I6537" s="334"/>
      <c r="J6537" s="314"/>
      <c r="K6537" s="454"/>
      <c r="M6537" s="349" t="str">
        <f>N6537&amp;AS[[#This Row],[Insurer Code]]&amp;"; "&amp;O6537&amp;AS[[#This Row],[Reporting Year]]&amp;"; "&amp;P6537&amp;AS[[#This Row],[Insurance Category Code]]&amp;"; "&amp;Q6537&amp;AS[[#This Row],[Large Provider Entity Code]]&amp;"; "&amp;R6537&amp;AS[[#This Row],[Age Band Code]]&amp;"; "&amp;S6537&amp;AS[[#This Row],[Sex Code]]</f>
        <v xml:space="preserve">Insurer Code ; Reporting Year ; Insurance Category Code ; Large Provider Entity Code ; Age Band Code ; Sex Code </v>
      </c>
      <c r="N6537" s="345" t="s">
        <v>207</v>
      </c>
      <c r="O6537" s="345" t="s">
        <v>208</v>
      </c>
      <c r="P6537" s="345" t="s">
        <v>209</v>
      </c>
      <c r="Q6537" s="345" t="s">
        <v>210</v>
      </c>
      <c r="R6537" s="345" t="s">
        <v>223</v>
      </c>
      <c r="S6537" s="345" t="s">
        <v>224</v>
      </c>
    </row>
    <row r="6538" spans="1:19" x14ac:dyDescent="0.25">
      <c r="A6538" s="311"/>
      <c r="B6538" s="312"/>
      <c r="C6538" s="312"/>
      <c r="D6538" s="312"/>
      <c r="E6538" s="312"/>
      <c r="F6538" s="312"/>
      <c r="G6538" s="328"/>
      <c r="H6538" s="453"/>
      <c r="I6538" s="334"/>
      <c r="J6538" s="314"/>
      <c r="K6538" s="454"/>
      <c r="M6538" s="349" t="str">
        <f>N6538&amp;AS[[#This Row],[Insurer Code]]&amp;"; "&amp;O6538&amp;AS[[#This Row],[Reporting Year]]&amp;"; "&amp;P6538&amp;AS[[#This Row],[Insurance Category Code]]&amp;"; "&amp;Q6538&amp;AS[[#This Row],[Large Provider Entity Code]]&amp;"; "&amp;R6538&amp;AS[[#This Row],[Age Band Code]]&amp;"; "&amp;S6538&amp;AS[[#This Row],[Sex Code]]</f>
        <v xml:space="preserve">Insurer Code ; Reporting Year ; Insurance Category Code ; Large Provider Entity Code ; Age Band Code ; Sex Code </v>
      </c>
      <c r="N6538" s="345" t="s">
        <v>207</v>
      </c>
      <c r="O6538" s="345" t="s">
        <v>208</v>
      </c>
      <c r="P6538" s="345" t="s">
        <v>209</v>
      </c>
      <c r="Q6538" s="345" t="s">
        <v>210</v>
      </c>
      <c r="R6538" s="345" t="s">
        <v>223</v>
      </c>
      <c r="S6538" s="345" t="s">
        <v>224</v>
      </c>
    </row>
    <row r="6539" spans="1:19" x14ac:dyDescent="0.25">
      <c r="A6539" s="311"/>
      <c r="B6539" s="312"/>
      <c r="C6539" s="312"/>
      <c r="D6539" s="312"/>
      <c r="E6539" s="312"/>
      <c r="F6539" s="312"/>
      <c r="G6539" s="328"/>
      <c r="H6539" s="453"/>
      <c r="I6539" s="334"/>
      <c r="J6539" s="314"/>
      <c r="K6539" s="454"/>
      <c r="M6539" s="349" t="str">
        <f>N6539&amp;AS[[#This Row],[Insurer Code]]&amp;"; "&amp;O6539&amp;AS[[#This Row],[Reporting Year]]&amp;"; "&amp;P6539&amp;AS[[#This Row],[Insurance Category Code]]&amp;"; "&amp;Q6539&amp;AS[[#This Row],[Large Provider Entity Code]]&amp;"; "&amp;R6539&amp;AS[[#This Row],[Age Band Code]]&amp;"; "&amp;S6539&amp;AS[[#This Row],[Sex Code]]</f>
        <v xml:space="preserve">Insurer Code ; Reporting Year ; Insurance Category Code ; Large Provider Entity Code ; Age Band Code ; Sex Code </v>
      </c>
      <c r="N6539" s="345" t="s">
        <v>207</v>
      </c>
      <c r="O6539" s="345" t="s">
        <v>208</v>
      </c>
      <c r="P6539" s="345" t="s">
        <v>209</v>
      </c>
      <c r="Q6539" s="345" t="s">
        <v>210</v>
      </c>
      <c r="R6539" s="345" t="s">
        <v>223</v>
      </c>
      <c r="S6539" s="345" t="s">
        <v>224</v>
      </c>
    </row>
    <row r="6540" spans="1:19" x14ac:dyDescent="0.25">
      <c r="A6540" s="311"/>
      <c r="B6540" s="312"/>
      <c r="C6540" s="312"/>
      <c r="D6540" s="312"/>
      <c r="E6540" s="312"/>
      <c r="F6540" s="312"/>
      <c r="G6540" s="328"/>
      <c r="H6540" s="453"/>
      <c r="I6540" s="334"/>
      <c r="J6540" s="314"/>
      <c r="K6540" s="454"/>
      <c r="M6540" s="349" t="str">
        <f>N6540&amp;AS[[#This Row],[Insurer Code]]&amp;"; "&amp;O6540&amp;AS[[#This Row],[Reporting Year]]&amp;"; "&amp;P6540&amp;AS[[#This Row],[Insurance Category Code]]&amp;"; "&amp;Q6540&amp;AS[[#This Row],[Large Provider Entity Code]]&amp;"; "&amp;R6540&amp;AS[[#This Row],[Age Band Code]]&amp;"; "&amp;S6540&amp;AS[[#This Row],[Sex Code]]</f>
        <v xml:space="preserve">Insurer Code ; Reporting Year ; Insurance Category Code ; Large Provider Entity Code ; Age Band Code ; Sex Code </v>
      </c>
      <c r="N6540" s="345" t="s">
        <v>207</v>
      </c>
      <c r="O6540" s="345" t="s">
        <v>208</v>
      </c>
      <c r="P6540" s="345" t="s">
        <v>209</v>
      </c>
      <c r="Q6540" s="345" t="s">
        <v>210</v>
      </c>
      <c r="R6540" s="345" t="s">
        <v>223</v>
      </c>
      <c r="S6540" s="345" t="s">
        <v>224</v>
      </c>
    </row>
    <row r="6541" spans="1:19" x14ac:dyDescent="0.25">
      <c r="A6541" s="311"/>
      <c r="B6541" s="312"/>
      <c r="C6541" s="312"/>
      <c r="D6541" s="312"/>
      <c r="E6541" s="312"/>
      <c r="F6541" s="312"/>
      <c r="G6541" s="328"/>
      <c r="H6541" s="453"/>
      <c r="I6541" s="334"/>
      <c r="J6541" s="314"/>
      <c r="K6541" s="454"/>
      <c r="M6541" s="349" t="str">
        <f>N6541&amp;AS[[#This Row],[Insurer Code]]&amp;"; "&amp;O6541&amp;AS[[#This Row],[Reporting Year]]&amp;"; "&amp;P6541&amp;AS[[#This Row],[Insurance Category Code]]&amp;"; "&amp;Q6541&amp;AS[[#This Row],[Large Provider Entity Code]]&amp;"; "&amp;R6541&amp;AS[[#This Row],[Age Band Code]]&amp;"; "&amp;S6541&amp;AS[[#This Row],[Sex Code]]</f>
        <v xml:space="preserve">Insurer Code ; Reporting Year ; Insurance Category Code ; Large Provider Entity Code ; Age Band Code ; Sex Code </v>
      </c>
      <c r="N6541" s="345" t="s">
        <v>207</v>
      </c>
      <c r="O6541" s="345" t="s">
        <v>208</v>
      </c>
      <c r="P6541" s="345" t="s">
        <v>209</v>
      </c>
      <c r="Q6541" s="345" t="s">
        <v>210</v>
      </c>
      <c r="R6541" s="345" t="s">
        <v>223</v>
      </c>
      <c r="S6541" s="345" t="s">
        <v>224</v>
      </c>
    </row>
    <row r="6542" spans="1:19" x14ac:dyDescent="0.25">
      <c r="A6542" s="311"/>
      <c r="B6542" s="312"/>
      <c r="C6542" s="312"/>
      <c r="D6542" s="312"/>
      <c r="E6542" s="312"/>
      <c r="F6542" s="312"/>
      <c r="G6542" s="328"/>
      <c r="H6542" s="453"/>
      <c r="I6542" s="334"/>
      <c r="J6542" s="314"/>
      <c r="K6542" s="454"/>
      <c r="M6542" s="349" t="str">
        <f>N6542&amp;AS[[#This Row],[Insurer Code]]&amp;"; "&amp;O6542&amp;AS[[#This Row],[Reporting Year]]&amp;"; "&amp;P6542&amp;AS[[#This Row],[Insurance Category Code]]&amp;"; "&amp;Q6542&amp;AS[[#This Row],[Large Provider Entity Code]]&amp;"; "&amp;R6542&amp;AS[[#This Row],[Age Band Code]]&amp;"; "&amp;S6542&amp;AS[[#This Row],[Sex Code]]</f>
        <v xml:space="preserve">Insurer Code ; Reporting Year ; Insurance Category Code ; Large Provider Entity Code ; Age Band Code ; Sex Code </v>
      </c>
      <c r="N6542" s="345" t="s">
        <v>207</v>
      </c>
      <c r="O6542" s="345" t="s">
        <v>208</v>
      </c>
      <c r="P6542" s="345" t="s">
        <v>209</v>
      </c>
      <c r="Q6542" s="345" t="s">
        <v>210</v>
      </c>
      <c r="R6542" s="345" t="s">
        <v>223</v>
      </c>
      <c r="S6542" s="345" t="s">
        <v>224</v>
      </c>
    </row>
    <row r="6543" spans="1:19" x14ac:dyDescent="0.25">
      <c r="A6543" s="311"/>
      <c r="B6543" s="312"/>
      <c r="C6543" s="312"/>
      <c r="D6543" s="312"/>
      <c r="E6543" s="312"/>
      <c r="F6543" s="312"/>
      <c r="G6543" s="328"/>
      <c r="H6543" s="453"/>
      <c r="I6543" s="334"/>
      <c r="J6543" s="314"/>
      <c r="K6543" s="454"/>
      <c r="M6543" s="349" t="str">
        <f>N6543&amp;AS[[#This Row],[Insurer Code]]&amp;"; "&amp;O6543&amp;AS[[#This Row],[Reporting Year]]&amp;"; "&amp;P6543&amp;AS[[#This Row],[Insurance Category Code]]&amp;"; "&amp;Q6543&amp;AS[[#This Row],[Large Provider Entity Code]]&amp;"; "&amp;R6543&amp;AS[[#This Row],[Age Band Code]]&amp;"; "&amp;S6543&amp;AS[[#This Row],[Sex Code]]</f>
        <v xml:space="preserve">Insurer Code ; Reporting Year ; Insurance Category Code ; Large Provider Entity Code ; Age Band Code ; Sex Code </v>
      </c>
      <c r="N6543" s="345" t="s">
        <v>207</v>
      </c>
      <c r="O6543" s="345" t="s">
        <v>208</v>
      </c>
      <c r="P6543" s="345" t="s">
        <v>209</v>
      </c>
      <c r="Q6543" s="345" t="s">
        <v>210</v>
      </c>
      <c r="R6543" s="345" t="s">
        <v>223</v>
      </c>
      <c r="S6543" s="345" t="s">
        <v>224</v>
      </c>
    </row>
    <row r="6544" spans="1:19" x14ac:dyDescent="0.25">
      <c r="A6544" s="311"/>
      <c r="B6544" s="312"/>
      <c r="C6544" s="312"/>
      <c r="D6544" s="312"/>
      <c r="E6544" s="312"/>
      <c r="F6544" s="312"/>
      <c r="G6544" s="328"/>
      <c r="H6544" s="453"/>
      <c r="I6544" s="334"/>
      <c r="J6544" s="314"/>
      <c r="K6544" s="454"/>
      <c r="M6544" s="349" t="str">
        <f>N6544&amp;AS[[#This Row],[Insurer Code]]&amp;"; "&amp;O6544&amp;AS[[#This Row],[Reporting Year]]&amp;"; "&amp;P6544&amp;AS[[#This Row],[Insurance Category Code]]&amp;"; "&amp;Q6544&amp;AS[[#This Row],[Large Provider Entity Code]]&amp;"; "&amp;R6544&amp;AS[[#This Row],[Age Band Code]]&amp;"; "&amp;S6544&amp;AS[[#This Row],[Sex Code]]</f>
        <v xml:space="preserve">Insurer Code ; Reporting Year ; Insurance Category Code ; Large Provider Entity Code ; Age Band Code ; Sex Code </v>
      </c>
      <c r="N6544" s="345" t="s">
        <v>207</v>
      </c>
      <c r="O6544" s="345" t="s">
        <v>208</v>
      </c>
      <c r="P6544" s="345" t="s">
        <v>209</v>
      </c>
      <c r="Q6544" s="345" t="s">
        <v>210</v>
      </c>
      <c r="R6544" s="345" t="s">
        <v>223</v>
      </c>
      <c r="S6544" s="345" t="s">
        <v>224</v>
      </c>
    </row>
    <row r="6545" spans="1:19" x14ac:dyDescent="0.25">
      <c r="A6545" s="311"/>
      <c r="B6545" s="312"/>
      <c r="C6545" s="312"/>
      <c r="D6545" s="312"/>
      <c r="E6545" s="312"/>
      <c r="F6545" s="312"/>
      <c r="G6545" s="328"/>
      <c r="H6545" s="453"/>
      <c r="I6545" s="334"/>
      <c r="J6545" s="314"/>
      <c r="K6545" s="454"/>
      <c r="M6545" s="349" t="str">
        <f>N6545&amp;AS[[#This Row],[Insurer Code]]&amp;"; "&amp;O6545&amp;AS[[#This Row],[Reporting Year]]&amp;"; "&amp;P6545&amp;AS[[#This Row],[Insurance Category Code]]&amp;"; "&amp;Q6545&amp;AS[[#This Row],[Large Provider Entity Code]]&amp;"; "&amp;R6545&amp;AS[[#This Row],[Age Band Code]]&amp;"; "&amp;S6545&amp;AS[[#This Row],[Sex Code]]</f>
        <v xml:space="preserve">Insurer Code ; Reporting Year ; Insurance Category Code ; Large Provider Entity Code ; Age Band Code ; Sex Code </v>
      </c>
      <c r="N6545" s="345" t="s">
        <v>207</v>
      </c>
      <c r="O6545" s="345" t="s">
        <v>208</v>
      </c>
      <c r="P6545" s="345" t="s">
        <v>209</v>
      </c>
      <c r="Q6545" s="345" t="s">
        <v>210</v>
      </c>
      <c r="R6545" s="345" t="s">
        <v>223</v>
      </c>
      <c r="S6545" s="345" t="s">
        <v>224</v>
      </c>
    </row>
    <row r="6546" spans="1:19" x14ac:dyDescent="0.25">
      <c r="A6546" s="311"/>
      <c r="B6546" s="312"/>
      <c r="C6546" s="312"/>
      <c r="D6546" s="312"/>
      <c r="E6546" s="312"/>
      <c r="F6546" s="312"/>
      <c r="G6546" s="328"/>
      <c r="H6546" s="453"/>
      <c r="I6546" s="334"/>
      <c r="J6546" s="314"/>
      <c r="K6546" s="454"/>
      <c r="M6546" s="349" t="str">
        <f>N6546&amp;AS[[#This Row],[Insurer Code]]&amp;"; "&amp;O6546&amp;AS[[#This Row],[Reporting Year]]&amp;"; "&amp;P6546&amp;AS[[#This Row],[Insurance Category Code]]&amp;"; "&amp;Q6546&amp;AS[[#This Row],[Large Provider Entity Code]]&amp;"; "&amp;R6546&amp;AS[[#This Row],[Age Band Code]]&amp;"; "&amp;S6546&amp;AS[[#This Row],[Sex Code]]</f>
        <v xml:space="preserve">Insurer Code ; Reporting Year ; Insurance Category Code ; Large Provider Entity Code ; Age Band Code ; Sex Code </v>
      </c>
      <c r="N6546" s="345" t="s">
        <v>207</v>
      </c>
      <c r="O6546" s="345" t="s">
        <v>208</v>
      </c>
      <c r="P6546" s="345" t="s">
        <v>209</v>
      </c>
      <c r="Q6546" s="345" t="s">
        <v>210</v>
      </c>
      <c r="R6546" s="345" t="s">
        <v>223</v>
      </c>
      <c r="S6546" s="345" t="s">
        <v>224</v>
      </c>
    </row>
    <row r="6547" spans="1:19" x14ac:dyDescent="0.25">
      <c r="A6547" s="311"/>
      <c r="B6547" s="312"/>
      <c r="C6547" s="312"/>
      <c r="D6547" s="312"/>
      <c r="E6547" s="312"/>
      <c r="F6547" s="312"/>
      <c r="G6547" s="328"/>
      <c r="H6547" s="453"/>
      <c r="I6547" s="334"/>
      <c r="J6547" s="314"/>
      <c r="K6547" s="454"/>
      <c r="M6547" s="349" t="str">
        <f>N6547&amp;AS[[#This Row],[Insurer Code]]&amp;"; "&amp;O6547&amp;AS[[#This Row],[Reporting Year]]&amp;"; "&amp;P6547&amp;AS[[#This Row],[Insurance Category Code]]&amp;"; "&amp;Q6547&amp;AS[[#This Row],[Large Provider Entity Code]]&amp;"; "&amp;R6547&amp;AS[[#This Row],[Age Band Code]]&amp;"; "&amp;S6547&amp;AS[[#This Row],[Sex Code]]</f>
        <v xml:space="preserve">Insurer Code ; Reporting Year ; Insurance Category Code ; Large Provider Entity Code ; Age Band Code ; Sex Code </v>
      </c>
      <c r="N6547" s="345" t="s">
        <v>207</v>
      </c>
      <c r="O6547" s="345" t="s">
        <v>208</v>
      </c>
      <c r="P6547" s="345" t="s">
        <v>209</v>
      </c>
      <c r="Q6547" s="345" t="s">
        <v>210</v>
      </c>
      <c r="R6547" s="345" t="s">
        <v>223</v>
      </c>
      <c r="S6547" s="345" t="s">
        <v>224</v>
      </c>
    </row>
    <row r="6548" spans="1:19" x14ac:dyDescent="0.25">
      <c r="A6548" s="311"/>
      <c r="B6548" s="312"/>
      <c r="C6548" s="312"/>
      <c r="D6548" s="312"/>
      <c r="E6548" s="312"/>
      <c r="F6548" s="312"/>
      <c r="G6548" s="328"/>
      <c r="H6548" s="453"/>
      <c r="I6548" s="334"/>
      <c r="J6548" s="314"/>
      <c r="K6548" s="454"/>
      <c r="M6548" s="349" t="str">
        <f>N6548&amp;AS[[#This Row],[Insurer Code]]&amp;"; "&amp;O6548&amp;AS[[#This Row],[Reporting Year]]&amp;"; "&amp;P6548&amp;AS[[#This Row],[Insurance Category Code]]&amp;"; "&amp;Q6548&amp;AS[[#This Row],[Large Provider Entity Code]]&amp;"; "&amp;R6548&amp;AS[[#This Row],[Age Band Code]]&amp;"; "&amp;S6548&amp;AS[[#This Row],[Sex Code]]</f>
        <v xml:space="preserve">Insurer Code ; Reporting Year ; Insurance Category Code ; Large Provider Entity Code ; Age Band Code ; Sex Code </v>
      </c>
      <c r="N6548" s="345" t="s">
        <v>207</v>
      </c>
      <c r="O6548" s="345" t="s">
        <v>208</v>
      </c>
      <c r="P6548" s="345" t="s">
        <v>209</v>
      </c>
      <c r="Q6548" s="345" t="s">
        <v>210</v>
      </c>
      <c r="R6548" s="345" t="s">
        <v>223</v>
      </c>
      <c r="S6548" s="345" t="s">
        <v>224</v>
      </c>
    </row>
    <row r="6549" spans="1:19" x14ac:dyDescent="0.25">
      <c r="A6549" s="311"/>
      <c r="B6549" s="312"/>
      <c r="C6549" s="312"/>
      <c r="D6549" s="312"/>
      <c r="E6549" s="312"/>
      <c r="F6549" s="312"/>
      <c r="G6549" s="328"/>
      <c r="H6549" s="453"/>
      <c r="I6549" s="334"/>
      <c r="J6549" s="314"/>
      <c r="K6549" s="454"/>
      <c r="M6549" s="349" t="str">
        <f>N6549&amp;AS[[#This Row],[Insurer Code]]&amp;"; "&amp;O6549&amp;AS[[#This Row],[Reporting Year]]&amp;"; "&amp;P6549&amp;AS[[#This Row],[Insurance Category Code]]&amp;"; "&amp;Q6549&amp;AS[[#This Row],[Large Provider Entity Code]]&amp;"; "&amp;R6549&amp;AS[[#This Row],[Age Band Code]]&amp;"; "&amp;S6549&amp;AS[[#This Row],[Sex Code]]</f>
        <v xml:space="preserve">Insurer Code ; Reporting Year ; Insurance Category Code ; Large Provider Entity Code ; Age Band Code ; Sex Code </v>
      </c>
      <c r="N6549" s="345" t="s">
        <v>207</v>
      </c>
      <c r="O6549" s="345" t="s">
        <v>208</v>
      </c>
      <c r="P6549" s="345" t="s">
        <v>209</v>
      </c>
      <c r="Q6549" s="345" t="s">
        <v>210</v>
      </c>
      <c r="R6549" s="345" t="s">
        <v>223</v>
      </c>
      <c r="S6549" s="345" t="s">
        <v>224</v>
      </c>
    </row>
    <row r="6550" spans="1:19" x14ac:dyDescent="0.25">
      <c r="A6550" s="311"/>
      <c r="B6550" s="312"/>
      <c r="C6550" s="312"/>
      <c r="D6550" s="312"/>
      <c r="E6550" s="312"/>
      <c r="F6550" s="312"/>
      <c r="G6550" s="328"/>
      <c r="H6550" s="453"/>
      <c r="I6550" s="334"/>
      <c r="J6550" s="314"/>
      <c r="K6550" s="454"/>
      <c r="M6550" s="349" t="str">
        <f>N6550&amp;AS[[#This Row],[Insurer Code]]&amp;"; "&amp;O6550&amp;AS[[#This Row],[Reporting Year]]&amp;"; "&amp;P6550&amp;AS[[#This Row],[Insurance Category Code]]&amp;"; "&amp;Q6550&amp;AS[[#This Row],[Large Provider Entity Code]]&amp;"; "&amp;R6550&amp;AS[[#This Row],[Age Band Code]]&amp;"; "&amp;S6550&amp;AS[[#This Row],[Sex Code]]</f>
        <v xml:space="preserve">Insurer Code ; Reporting Year ; Insurance Category Code ; Large Provider Entity Code ; Age Band Code ; Sex Code </v>
      </c>
      <c r="N6550" s="345" t="s">
        <v>207</v>
      </c>
      <c r="O6550" s="345" t="s">
        <v>208</v>
      </c>
      <c r="P6550" s="345" t="s">
        <v>209</v>
      </c>
      <c r="Q6550" s="345" t="s">
        <v>210</v>
      </c>
      <c r="R6550" s="345" t="s">
        <v>223</v>
      </c>
      <c r="S6550" s="345" t="s">
        <v>224</v>
      </c>
    </row>
    <row r="6551" spans="1:19" x14ac:dyDescent="0.25">
      <c r="A6551" s="311"/>
      <c r="B6551" s="312"/>
      <c r="C6551" s="312"/>
      <c r="D6551" s="312"/>
      <c r="E6551" s="312"/>
      <c r="F6551" s="312"/>
      <c r="G6551" s="328"/>
      <c r="H6551" s="453"/>
      <c r="I6551" s="334"/>
      <c r="J6551" s="314"/>
      <c r="K6551" s="454"/>
      <c r="M6551" s="349" t="str">
        <f>N6551&amp;AS[[#This Row],[Insurer Code]]&amp;"; "&amp;O6551&amp;AS[[#This Row],[Reporting Year]]&amp;"; "&amp;P6551&amp;AS[[#This Row],[Insurance Category Code]]&amp;"; "&amp;Q6551&amp;AS[[#This Row],[Large Provider Entity Code]]&amp;"; "&amp;R6551&amp;AS[[#This Row],[Age Band Code]]&amp;"; "&amp;S6551&amp;AS[[#This Row],[Sex Code]]</f>
        <v xml:space="preserve">Insurer Code ; Reporting Year ; Insurance Category Code ; Large Provider Entity Code ; Age Band Code ; Sex Code </v>
      </c>
      <c r="N6551" s="345" t="s">
        <v>207</v>
      </c>
      <c r="O6551" s="345" t="s">
        <v>208</v>
      </c>
      <c r="P6551" s="345" t="s">
        <v>209</v>
      </c>
      <c r="Q6551" s="345" t="s">
        <v>210</v>
      </c>
      <c r="R6551" s="345" t="s">
        <v>223</v>
      </c>
      <c r="S6551" s="345" t="s">
        <v>224</v>
      </c>
    </row>
    <row r="6552" spans="1:19" x14ac:dyDescent="0.25">
      <c r="A6552" s="311"/>
      <c r="B6552" s="312"/>
      <c r="C6552" s="312"/>
      <c r="D6552" s="312"/>
      <c r="E6552" s="312"/>
      <c r="F6552" s="312"/>
      <c r="G6552" s="328"/>
      <c r="H6552" s="453"/>
      <c r="I6552" s="334"/>
      <c r="J6552" s="314"/>
      <c r="K6552" s="454"/>
      <c r="M6552" s="349" t="str">
        <f>N6552&amp;AS[[#This Row],[Insurer Code]]&amp;"; "&amp;O6552&amp;AS[[#This Row],[Reporting Year]]&amp;"; "&amp;P6552&amp;AS[[#This Row],[Insurance Category Code]]&amp;"; "&amp;Q6552&amp;AS[[#This Row],[Large Provider Entity Code]]&amp;"; "&amp;R6552&amp;AS[[#This Row],[Age Band Code]]&amp;"; "&amp;S6552&amp;AS[[#This Row],[Sex Code]]</f>
        <v xml:space="preserve">Insurer Code ; Reporting Year ; Insurance Category Code ; Large Provider Entity Code ; Age Band Code ; Sex Code </v>
      </c>
      <c r="N6552" s="345" t="s">
        <v>207</v>
      </c>
      <c r="O6552" s="345" t="s">
        <v>208</v>
      </c>
      <c r="P6552" s="345" t="s">
        <v>209</v>
      </c>
      <c r="Q6552" s="345" t="s">
        <v>210</v>
      </c>
      <c r="R6552" s="345" t="s">
        <v>223</v>
      </c>
      <c r="S6552" s="345" t="s">
        <v>224</v>
      </c>
    </row>
    <row r="6553" spans="1:19" x14ac:dyDescent="0.25">
      <c r="A6553" s="311"/>
      <c r="B6553" s="312"/>
      <c r="C6553" s="312"/>
      <c r="D6553" s="312"/>
      <c r="E6553" s="312"/>
      <c r="F6553" s="312"/>
      <c r="G6553" s="328"/>
      <c r="H6553" s="453"/>
      <c r="I6553" s="334"/>
      <c r="J6553" s="314"/>
      <c r="K6553" s="454"/>
      <c r="M6553" s="349" t="str">
        <f>N6553&amp;AS[[#This Row],[Insurer Code]]&amp;"; "&amp;O6553&amp;AS[[#This Row],[Reporting Year]]&amp;"; "&amp;P6553&amp;AS[[#This Row],[Insurance Category Code]]&amp;"; "&amp;Q6553&amp;AS[[#This Row],[Large Provider Entity Code]]&amp;"; "&amp;R6553&amp;AS[[#This Row],[Age Band Code]]&amp;"; "&amp;S6553&amp;AS[[#This Row],[Sex Code]]</f>
        <v xml:space="preserve">Insurer Code ; Reporting Year ; Insurance Category Code ; Large Provider Entity Code ; Age Band Code ; Sex Code </v>
      </c>
      <c r="N6553" s="345" t="s">
        <v>207</v>
      </c>
      <c r="O6553" s="345" t="s">
        <v>208</v>
      </c>
      <c r="P6553" s="345" t="s">
        <v>209</v>
      </c>
      <c r="Q6553" s="345" t="s">
        <v>210</v>
      </c>
      <c r="R6553" s="345" t="s">
        <v>223</v>
      </c>
      <c r="S6553" s="345" t="s">
        <v>224</v>
      </c>
    </row>
    <row r="6554" spans="1:19" x14ac:dyDescent="0.25">
      <c r="A6554" s="311"/>
      <c r="B6554" s="312"/>
      <c r="C6554" s="312"/>
      <c r="D6554" s="312"/>
      <c r="E6554" s="312"/>
      <c r="F6554" s="312"/>
      <c r="G6554" s="328"/>
      <c r="H6554" s="453"/>
      <c r="I6554" s="334"/>
      <c r="J6554" s="314"/>
      <c r="K6554" s="454"/>
      <c r="M6554" s="349" t="str">
        <f>N6554&amp;AS[[#This Row],[Insurer Code]]&amp;"; "&amp;O6554&amp;AS[[#This Row],[Reporting Year]]&amp;"; "&amp;P6554&amp;AS[[#This Row],[Insurance Category Code]]&amp;"; "&amp;Q6554&amp;AS[[#This Row],[Large Provider Entity Code]]&amp;"; "&amp;R6554&amp;AS[[#This Row],[Age Band Code]]&amp;"; "&amp;S6554&amp;AS[[#This Row],[Sex Code]]</f>
        <v xml:space="preserve">Insurer Code ; Reporting Year ; Insurance Category Code ; Large Provider Entity Code ; Age Band Code ; Sex Code </v>
      </c>
      <c r="N6554" s="345" t="s">
        <v>207</v>
      </c>
      <c r="O6554" s="345" t="s">
        <v>208</v>
      </c>
      <c r="P6554" s="345" t="s">
        <v>209</v>
      </c>
      <c r="Q6554" s="345" t="s">
        <v>210</v>
      </c>
      <c r="R6554" s="345" t="s">
        <v>223</v>
      </c>
      <c r="S6554" s="345" t="s">
        <v>224</v>
      </c>
    </row>
    <row r="6555" spans="1:19" x14ac:dyDescent="0.25">
      <c r="A6555" s="311"/>
      <c r="B6555" s="312"/>
      <c r="C6555" s="312"/>
      <c r="D6555" s="312"/>
      <c r="E6555" s="312"/>
      <c r="F6555" s="312"/>
      <c r="G6555" s="328"/>
      <c r="H6555" s="453"/>
      <c r="I6555" s="334"/>
      <c r="J6555" s="314"/>
      <c r="K6555" s="454"/>
      <c r="M6555" s="349" t="str">
        <f>N6555&amp;AS[[#This Row],[Insurer Code]]&amp;"; "&amp;O6555&amp;AS[[#This Row],[Reporting Year]]&amp;"; "&amp;P6555&amp;AS[[#This Row],[Insurance Category Code]]&amp;"; "&amp;Q6555&amp;AS[[#This Row],[Large Provider Entity Code]]&amp;"; "&amp;R6555&amp;AS[[#This Row],[Age Band Code]]&amp;"; "&amp;S6555&amp;AS[[#This Row],[Sex Code]]</f>
        <v xml:space="preserve">Insurer Code ; Reporting Year ; Insurance Category Code ; Large Provider Entity Code ; Age Band Code ; Sex Code </v>
      </c>
      <c r="N6555" s="345" t="s">
        <v>207</v>
      </c>
      <c r="O6555" s="345" t="s">
        <v>208</v>
      </c>
      <c r="P6555" s="345" t="s">
        <v>209</v>
      </c>
      <c r="Q6555" s="345" t="s">
        <v>210</v>
      </c>
      <c r="R6555" s="345" t="s">
        <v>223</v>
      </c>
      <c r="S6555" s="345" t="s">
        <v>224</v>
      </c>
    </row>
    <row r="6556" spans="1:19" x14ac:dyDescent="0.25">
      <c r="A6556" s="311"/>
      <c r="B6556" s="312"/>
      <c r="C6556" s="312"/>
      <c r="D6556" s="312"/>
      <c r="E6556" s="312"/>
      <c r="F6556" s="312"/>
      <c r="G6556" s="328"/>
      <c r="H6556" s="453"/>
      <c r="I6556" s="334"/>
      <c r="J6556" s="314"/>
      <c r="K6556" s="454"/>
      <c r="M6556" s="349" t="str">
        <f>N6556&amp;AS[[#This Row],[Insurer Code]]&amp;"; "&amp;O6556&amp;AS[[#This Row],[Reporting Year]]&amp;"; "&amp;P6556&amp;AS[[#This Row],[Insurance Category Code]]&amp;"; "&amp;Q6556&amp;AS[[#This Row],[Large Provider Entity Code]]&amp;"; "&amp;R6556&amp;AS[[#This Row],[Age Band Code]]&amp;"; "&amp;S6556&amp;AS[[#This Row],[Sex Code]]</f>
        <v xml:space="preserve">Insurer Code ; Reporting Year ; Insurance Category Code ; Large Provider Entity Code ; Age Band Code ; Sex Code </v>
      </c>
      <c r="N6556" s="345" t="s">
        <v>207</v>
      </c>
      <c r="O6556" s="345" t="s">
        <v>208</v>
      </c>
      <c r="P6556" s="345" t="s">
        <v>209</v>
      </c>
      <c r="Q6556" s="345" t="s">
        <v>210</v>
      </c>
      <c r="R6556" s="345" t="s">
        <v>223</v>
      </c>
      <c r="S6556" s="345" t="s">
        <v>224</v>
      </c>
    </row>
    <row r="6557" spans="1:19" x14ac:dyDescent="0.25">
      <c r="A6557" s="311"/>
      <c r="B6557" s="312"/>
      <c r="C6557" s="312"/>
      <c r="D6557" s="312"/>
      <c r="E6557" s="312"/>
      <c r="F6557" s="312"/>
      <c r="G6557" s="328"/>
      <c r="H6557" s="453"/>
      <c r="I6557" s="334"/>
      <c r="J6557" s="314"/>
      <c r="K6557" s="454"/>
      <c r="M6557" s="349" t="str">
        <f>N6557&amp;AS[[#This Row],[Insurer Code]]&amp;"; "&amp;O6557&amp;AS[[#This Row],[Reporting Year]]&amp;"; "&amp;P6557&amp;AS[[#This Row],[Insurance Category Code]]&amp;"; "&amp;Q6557&amp;AS[[#This Row],[Large Provider Entity Code]]&amp;"; "&amp;R6557&amp;AS[[#This Row],[Age Band Code]]&amp;"; "&amp;S6557&amp;AS[[#This Row],[Sex Code]]</f>
        <v xml:space="preserve">Insurer Code ; Reporting Year ; Insurance Category Code ; Large Provider Entity Code ; Age Band Code ; Sex Code </v>
      </c>
      <c r="N6557" s="345" t="s">
        <v>207</v>
      </c>
      <c r="O6557" s="345" t="s">
        <v>208</v>
      </c>
      <c r="P6557" s="345" t="s">
        <v>209</v>
      </c>
      <c r="Q6557" s="345" t="s">
        <v>210</v>
      </c>
      <c r="R6557" s="345" t="s">
        <v>223</v>
      </c>
      <c r="S6557" s="345" t="s">
        <v>224</v>
      </c>
    </row>
    <row r="6558" spans="1:19" x14ac:dyDescent="0.25">
      <c r="A6558" s="311"/>
      <c r="B6558" s="312"/>
      <c r="C6558" s="312"/>
      <c r="D6558" s="312"/>
      <c r="E6558" s="312"/>
      <c r="F6558" s="312"/>
      <c r="G6558" s="328"/>
      <c r="H6558" s="453"/>
      <c r="I6558" s="334"/>
      <c r="J6558" s="314"/>
      <c r="K6558" s="454"/>
      <c r="M6558" s="349" t="str">
        <f>N6558&amp;AS[[#This Row],[Insurer Code]]&amp;"; "&amp;O6558&amp;AS[[#This Row],[Reporting Year]]&amp;"; "&amp;P6558&amp;AS[[#This Row],[Insurance Category Code]]&amp;"; "&amp;Q6558&amp;AS[[#This Row],[Large Provider Entity Code]]&amp;"; "&amp;R6558&amp;AS[[#This Row],[Age Band Code]]&amp;"; "&amp;S6558&amp;AS[[#This Row],[Sex Code]]</f>
        <v xml:space="preserve">Insurer Code ; Reporting Year ; Insurance Category Code ; Large Provider Entity Code ; Age Band Code ; Sex Code </v>
      </c>
      <c r="N6558" s="345" t="s">
        <v>207</v>
      </c>
      <c r="O6558" s="345" t="s">
        <v>208</v>
      </c>
      <c r="P6558" s="345" t="s">
        <v>209</v>
      </c>
      <c r="Q6558" s="345" t="s">
        <v>210</v>
      </c>
      <c r="R6558" s="345" t="s">
        <v>223</v>
      </c>
      <c r="S6558" s="345" t="s">
        <v>224</v>
      </c>
    </row>
    <row r="6559" spans="1:19" x14ac:dyDescent="0.25">
      <c r="A6559" s="311"/>
      <c r="B6559" s="312"/>
      <c r="C6559" s="312"/>
      <c r="D6559" s="312"/>
      <c r="E6559" s="312"/>
      <c r="F6559" s="312"/>
      <c r="G6559" s="328"/>
      <c r="H6559" s="453"/>
      <c r="I6559" s="334"/>
      <c r="J6559" s="314"/>
      <c r="K6559" s="454"/>
      <c r="M6559" s="349" t="str">
        <f>N6559&amp;AS[[#This Row],[Insurer Code]]&amp;"; "&amp;O6559&amp;AS[[#This Row],[Reporting Year]]&amp;"; "&amp;P6559&amp;AS[[#This Row],[Insurance Category Code]]&amp;"; "&amp;Q6559&amp;AS[[#This Row],[Large Provider Entity Code]]&amp;"; "&amp;R6559&amp;AS[[#This Row],[Age Band Code]]&amp;"; "&amp;S6559&amp;AS[[#This Row],[Sex Code]]</f>
        <v xml:space="preserve">Insurer Code ; Reporting Year ; Insurance Category Code ; Large Provider Entity Code ; Age Band Code ; Sex Code </v>
      </c>
      <c r="N6559" s="345" t="s">
        <v>207</v>
      </c>
      <c r="O6559" s="345" t="s">
        <v>208</v>
      </c>
      <c r="P6559" s="345" t="s">
        <v>209</v>
      </c>
      <c r="Q6559" s="345" t="s">
        <v>210</v>
      </c>
      <c r="R6559" s="345" t="s">
        <v>223</v>
      </c>
      <c r="S6559" s="345" t="s">
        <v>224</v>
      </c>
    </row>
    <row r="6560" spans="1:19" x14ac:dyDescent="0.25">
      <c r="A6560" s="311"/>
      <c r="B6560" s="312"/>
      <c r="C6560" s="312"/>
      <c r="D6560" s="312"/>
      <c r="E6560" s="312"/>
      <c r="F6560" s="312"/>
      <c r="G6560" s="328"/>
      <c r="H6560" s="453"/>
      <c r="I6560" s="334"/>
      <c r="J6560" s="314"/>
      <c r="K6560" s="454"/>
      <c r="M6560" s="349" t="str">
        <f>N6560&amp;AS[[#This Row],[Insurer Code]]&amp;"; "&amp;O6560&amp;AS[[#This Row],[Reporting Year]]&amp;"; "&amp;P6560&amp;AS[[#This Row],[Insurance Category Code]]&amp;"; "&amp;Q6560&amp;AS[[#This Row],[Large Provider Entity Code]]&amp;"; "&amp;R6560&amp;AS[[#This Row],[Age Band Code]]&amp;"; "&amp;S6560&amp;AS[[#This Row],[Sex Code]]</f>
        <v xml:space="preserve">Insurer Code ; Reporting Year ; Insurance Category Code ; Large Provider Entity Code ; Age Band Code ; Sex Code </v>
      </c>
      <c r="N6560" s="345" t="s">
        <v>207</v>
      </c>
      <c r="O6560" s="345" t="s">
        <v>208</v>
      </c>
      <c r="P6560" s="345" t="s">
        <v>209</v>
      </c>
      <c r="Q6560" s="345" t="s">
        <v>210</v>
      </c>
      <c r="R6560" s="345" t="s">
        <v>223</v>
      </c>
      <c r="S6560" s="345" t="s">
        <v>224</v>
      </c>
    </row>
    <row r="6561" spans="1:19" x14ac:dyDescent="0.25">
      <c r="A6561" s="311"/>
      <c r="B6561" s="312"/>
      <c r="C6561" s="312"/>
      <c r="D6561" s="312"/>
      <c r="E6561" s="312"/>
      <c r="F6561" s="312"/>
      <c r="G6561" s="328"/>
      <c r="H6561" s="453"/>
      <c r="I6561" s="334"/>
      <c r="J6561" s="314"/>
      <c r="K6561" s="454"/>
      <c r="M6561" s="349" t="str">
        <f>N6561&amp;AS[[#This Row],[Insurer Code]]&amp;"; "&amp;O6561&amp;AS[[#This Row],[Reporting Year]]&amp;"; "&amp;P6561&amp;AS[[#This Row],[Insurance Category Code]]&amp;"; "&amp;Q6561&amp;AS[[#This Row],[Large Provider Entity Code]]&amp;"; "&amp;R6561&amp;AS[[#This Row],[Age Band Code]]&amp;"; "&amp;S6561&amp;AS[[#This Row],[Sex Code]]</f>
        <v xml:space="preserve">Insurer Code ; Reporting Year ; Insurance Category Code ; Large Provider Entity Code ; Age Band Code ; Sex Code </v>
      </c>
      <c r="N6561" s="345" t="s">
        <v>207</v>
      </c>
      <c r="O6561" s="345" t="s">
        <v>208</v>
      </c>
      <c r="P6561" s="345" t="s">
        <v>209</v>
      </c>
      <c r="Q6561" s="345" t="s">
        <v>210</v>
      </c>
      <c r="R6561" s="345" t="s">
        <v>223</v>
      </c>
      <c r="S6561" s="345" t="s">
        <v>224</v>
      </c>
    </row>
    <row r="6562" spans="1:19" x14ac:dyDescent="0.25">
      <c r="A6562" s="311"/>
      <c r="B6562" s="312"/>
      <c r="C6562" s="312"/>
      <c r="D6562" s="312"/>
      <c r="E6562" s="312"/>
      <c r="F6562" s="312"/>
      <c r="G6562" s="328"/>
      <c r="H6562" s="453"/>
      <c r="I6562" s="334"/>
      <c r="J6562" s="314"/>
      <c r="K6562" s="454"/>
      <c r="M6562" s="349" t="str">
        <f>N6562&amp;AS[[#This Row],[Insurer Code]]&amp;"; "&amp;O6562&amp;AS[[#This Row],[Reporting Year]]&amp;"; "&amp;P6562&amp;AS[[#This Row],[Insurance Category Code]]&amp;"; "&amp;Q6562&amp;AS[[#This Row],[Large Provider Entity Code]]&amp;"; "&amp;R6562&amp;AS[[#This Row],[Age Band Code]]&amp;"; "&amp;S6562&amp;AS[[#This Row],[Sex Code]]</f>
        <v xml:space="preserve">Insurer Code ; Reporting Year ; Insurance Category Code ; Large Provider Entity Code ; Age Band Code ; Sex Code </v>
      </c>
      <c r="N6562" s="345" t="s">
        <v>207</v>
      </c>
      <c r="O6562" s="345" t="s">
        <v>208</v>
      </c>
      <c r="P6562" s="345" t="s">
        <v>209</v>
      </c>
      <c r="Q6562" s="345" t="s">
        <v>210</v>
      </c>
      <c r="R6562" s="345" t="s">
        <v>223</v>
      </c>
      <c r="S6562" s="345" t="s">
        <v>224</v>
      </c>
    </row>
    <row r="6563" spans="1:19" x14ac:dyDescent="0.25">
      <c r="A6563" s="311"/>
      <c r="B6563" s="312"/>
      <c r="C6563" s="312"/>
      <c r="D6563" s="312"/>
      <c r="E6563" s="312"/>
      <c r="F6563" s="312"/>
      <c r="G6563" s="328"/>
      <c r="H6563" s="453"/>
      <c r="I6563" s="334"/>
      <c r="J6563" s="314"/>
      <c r="K6563" s="454"/>
      <c r="M6563" s="349" t="str">
        <f>N6563&amp;AS[[#This Row],[Insurer Code]]&amp;"; "&amp;O6563&amp;AS[[#This Row],[Reporting Year]]&amp;"; "&amp;P6563&amp;AS[[#This Row],[Insurance Category Code]]&amp;"; "&amp;Q6563&amp;AS[[#This Row],[Large Provider Entity Code]]&amp;"; "&amp;R6563&amp;AS[[#This Row],[Age Band Code]]&amp;"; "&amp;S6563&amp;AS[[#This Row],[Sex Code]]</f>
        <v xml:space="preserve">Insurer Code ; Reporting Year ; Insurance Category Code ; Large Provider Entity Code ; Age Band Code ; Sex Code </v>
      </c>
      <c r="N6563" s="345" t="s">
        <v>207</v>
      </c>
      <c r="O6563" s="345" t="s">
        <v>208</v>
      </c>
      <c r="P6563" s="345" t="s">
        <v>209</v>
      </c>
      <c r="Q6563" s="345" t="s">
        <v>210</v>
      </c>
      <c r="R6563" s="345" t="s">
        <v>223</v>
      </c>
      <c r="S6563" s="345" t="s">
        <v>224</v>
      </c>
    </row>
    <row r="6564" spans="1:19" x14ac:dyDescent="0.25">
      <c r="A6564" s="311"/>
      <c r="B6564" s="312"/>
      <c r="C6564" s="312"/>
      <c r="D6564" s="312"/>
      <c r="E6564" s="312"/>
      <c r="F6564" s="312"/>
      <c r="G6564" s="328"/>
      <c r="H6564" s="453"/>
      <c r="I6564" s="334"/>
      <c r="J6564" s="314"/>
      <c r="K6564" s="454"/>
      <c r="M6564" s="349" t="str">
        <f>N6564&amp;AS[[#This Row],[Insurer Code]]&amp;"; "&amp;O6564&amp;AS[[#This Row],[Reporting Year]]&amp;"; "&amp;P6564&amp;AS[[#This Row],[Insurance Category Code]]&amp;"; "&amp;Q6564&amp;AS[[#This Row],[Large Provider Entity Code]]&amp;"; "&amp;R6564&amp;AS[[#This Row],[Age Band Code]]&amp;"; "&amp;S6564&amp;AS[[#This Row],[Sex Code]]</f>
        <v xml:space="preserve">Insurer Code ; Reporting Year ; Insurance Category Code ; Large Provider Entity Code ; Age Band Code ; Sex Code </v>
      </c>
      <c r="N6564" s="345" t="s">
        <v>207</v>
      </c>
      <c r="O6564" s="345" t="s">
        <v>208</v>
      </c>
      <c r="P6564" s="345" t="s">
        <v>209</v>
      </c>
      <c r="Q6564" s="345" t="s">
        <v>210</v>
      </c>
      <c r="R6564" s="345" t="s">
        <v>223</v>
      </c>
      <c r="S6564" s="345" t="s">
        <v>224</v>
      </c>
    </row>
    <row r="6565" spans="1:19" x14ac:dyDescent="0.25">
      <c r="A6565" s="311"/>
      <c r="B6565" s="312"/>
      <c r="C6565" s="312"/>
      <c r="D6565" s="312"/>
      <c r="E6565" s="312"/>
      <c r="F6565" s="312"/>
      <c r="G6565" s="328"/>
      <c r="H6565" s="453"/>
      <c r="I6565" s="334"/>
      <c r="J6565" s="314"/>
      <c r="K6565" s="454"/>
      <c r="M6565" s="349" t="str">
        <f>N6565&amp;AS[[#This Row],[Insurer Code]]&amp;"; "&amp;O6565&amp;AS[[#This Row],[Reporting Year]]&amp;"; "&amp;P6565&amp;AS[[#This Row],[Insurance Category Code]]&amp;"; "&amp;Q6565&amp;AS[[#This Row],[Large Provider Entity Code]]&amp;"; "&amp;R6565&amp;AS[[#This Row],[Age Band Code]]&amp;"; "&amp;S6565&amp;AS[[#This Row],[Sex Code]]</f>
        <v xml:space="preserve">Insurer Code ; Reporting Year ; Insurance Category Code ; Large Provider Entity Code ; Age Band Code ; Sex Code </v>
      </c>
      <c r="N6565" s="345" t="s">
        <v>207</v>
      </c>
      <c r="O6565" s="345" t="s">
        <v>208</v>
      </c>
      <c r="P6565" s="345" t="s">
        <v>209</v>
      </c>
      <c r="Q6565" s="345" t="s">
        <v>210</v>
      </c>
      <c r="R6565" s="345" t="s">
        <v>223</v>
      </c>
      <c r="S6565" s="345" t="s">
        <v>224</v>
      </c>
    </row>
    <row r="6566" spans="1:19" x14ac:dyDescent="0.25">
      <c r="A6566" s="311"/>
      <c r="B6566" s="312"/>
      <c r="C6566" s="312"/>
      <c r="D6566" s="312"/>
      <c r="E6566" s="312"/>
      <c r="F6566" s="312"/>
      <c r="G6566" s="328"/>
      <c r="H6566" s="453"/>
      <c r="I6566" s="334"/>
      <c r="J6566" s="314"/>
      <c r="K6566" s="454"/>
      <c r="M6566" s="349" t="str">
        <f>N6566&amp;AS[[#This Row],[Insurer Code]]&amp;"; "&amp;O6566&amp;AS[[#This Row],[Reporting Year]]&amp;"; "&amp;P6566&amp;AS[[#This Row],[Insurance Category Code]]&amp;"; "&amp;Q6566&amp;AS[[#This Row],[Large Provider Entity Code]]&amp;"; "&amp;R6566&amp;AS[[#This Row],[Age Band Code]]&amp;"; "&amp;S6566&amp;AS[[#This Row],[Sex Code]]</f>
        <v xml:space="preserve">Insurer Code ; Reporting Year ; Insurance Category Code ; Large Provider Entity Code ; Age Band Code ; Sex Code </v>
      </c>
      <c r="N6566" s="345" t="s">
        <v>207</v>
      </c>
      <c r="O6566" s="345" t="s">
        <v>208</v>
      </c>
      <c r="P6566" s="345" t="s">
        <v>209</v>
      </c>
      <c r="Q6566" s="345" t="s">
        <v>210</v>
      </c>
      <c r="R6566" s="345" t="s">
        <v>223</v>
      </c>
      <c r="S6566" s="345" t="s">
        <v>224</v>
      </c>
    </row>
    <row r="6567" spans="1:19" x14ac:dyDescent="0.25">
      <c r="A6567" s="311"/>
      <c r="B6567" s="312"/>
      <c r="C6567" s="312"/>
      <c r="D6567" s="312"/>
      <c r="E6567" s="312"/>
      <c r="F6567" s="312"/>
      <c r="G6567" s="328"/>
      <c r="H6567" s="453"/>
      <c r="I6567" s="334"/>
      <c r="J6567" s="314"/>
      <c r="K6567" s="454"/>
      <c r="M6567" s="349" t="str">
        <f>N6567&amp;AS[[#This Row],[Insurer Code]]&amp;"; "&amp;O6567&amp;AS[[#This Row],[Reporting Year]]&amp;"; "&amp;P6567&amp;AS[[#This Row],[Insurance Category Code]]&amp;"; "&amp;Q6567&amp;AS[[#This Row],[Large Provider Entity Code]]&amp;"; "&amp;R6567&amp;AS[[#This Row],[Age Band Code]]&amp;"; "&amp;S6567&amp;AS[[#This Row],[Sex Code]]</f>
        <v xml:space="preserve">Insurer Code ; Reporting Year ; Insurance Category Code ; Large Provider Entity Code ; Age Band Code ; Sex Code </v>
      </c>
      <c r="N6567" s="345" t="s">
        <v>207</v>
      </c>
      <c r="O6567" s="345" t="s">
        <v>208</v>
      </c>
      <c r="P6567" s="345" t="s">
        <v>209</v>
      </c>
      <c r="Q6567" s="345" t="s">
        <v>210</v>
      </c>
      <c r="R6567" s="345" t="s">
        <v>223</v>
      </c>
      <c r="S6567" s="345" t="s">
        <v>224</v>
      </c>
    </row>
    <row r="6568" spans="1:19" x14ac:dyDescent="0.25">
      <c r="A6568" s="311"/>
      <c r="B6568" s="312"/>
      <c r="C6568" s="312"/>
      <c r="D6568" s="312"/>
      <c r="E6568" s="312"/>
      <c r="F6568" s="312"/>
      <c r="G6568" s="328"/>
      <c r="H6568" s="453"/>
      <c r="I6568" s="334"/>
      <c r="J6568" s="314"/>
      <c r="K6568" s="454"/>
      <c r="M6568" s="349" t="str">
        <f>N6568&amp;AS[[#This Row],[Insurer Code]]&amp;"; "&amp;O6568&amp;AS[[#This Row],[Reporting Year]]&amp;"; "&amp;P6568&amp;AS[[#This Row],[Insurance Category Code]]&amp;"; "&amp;Q6568&amp;AS[[#This Row],[Large Provider Entity Code]]&amp;"; "&amp;R6568&amp;AS[[#This Row],[Age Band Code]]&amp;"; "&amp;S6568&amp;AS[[#This Row],[Sex Code]]</f>
        <v xml:space="preserve">Insurer Code ; Reporting Year ; Insurance Category Code ; Large Provider Entity Code ; Age Band Code ; Sex Code </v>
      </c>
      <c r="N6568" s="345" t="s">
        <v>207</v>
      </c>
      <c r="O6568" s="345" t="s">
        <v>208</v>
      </c>
      <c r="P6568" s="345" t="s">
        <v>209</v>
      </c>
      <c r="Q6568" s="345" t="s">
        <v>210</v>
      </c>
      <c r="R6568" s="345" t="s">
        <v>223</v>
      </c>
      <c r="S6568" s="345" t="s">
        <v>224</v>
      </c>
    </row>
    <row r="6569" spans="1:19" x14ac:dyDescent="0.25">
      <c r="A6569" s="311"/>
      <c r="B6569" s="312"/>
      <c r="C6569" s="312"/>
      <c r="D6569" s="312"/>
      <c r="E6569" s="312"/>
      <c r="F6569" s="312"/>
      <c r="G6569" s="328"/>
      <c r="H6569" s="453"/>
      <c r="I6569" s="334"/>
      <c r="J6569" s="314"/>
      <c r="K6569" s="454"/>
      <c r="M6569" s="349" t="str">
        <f>N6569&amp;AS[[#This Row],[Insurer Code]]&amp;"; "&amp;O6569&amp;AS[[#This Row],[Reporting Year]]&amp;"; "&amp;P6569&amp;AS[[#This Row],[Insurance Category Code]]&amp;"; "&amp;Q6569&amp;AS[[#This Row],[Large Provider Entity Code]]&amp;"; "&amp;R6569&amp;AS[[#This Row],[Age Band Code]]&amp;"; "&amp;S6569&amp;AS[[#This Row],[Sex Code]]</f>
        <v xml:space="preserve">Insurer Code ; Reporting Year ; Insurance Category Code ; Large Provider Entity Code ; Age Band Code ; Sex Code </v>
      </c>
      <c r="N6569" s="345" t="s">
        <v>207</v>
      </c>
      <c r="O6569" s="345" t="s">
        <v>208</v>
      </c>
      <c r="P6569" s="345" t="s">
        <v>209</v>
      </c>
      <c r="Q6569" s="345" t="s">
        <v>210</v>
      </c>
      <c r="R6569" s="345" t="s">
        <v>223</v>
      </c>
      <c r="S6569" s="345" t="s">
        <v>224</v>
      </c>
    </row>
    <row r="6570" spans="1:19" x14ac:dyDescent="0.25">
      <c r="A6570" s="311"/>
      <c r="B6570" s="312"/>
      <c r="C6570" s="312"/>
      <c r="D6570" s="312"/>
      <c r="E6570" s="312"/>
      <c r="F6570" s="312"/>
      <c r="G6570" s="328"/>
      <c r="H6570" s="453"/>
      <c r="I6570" s="334"/>
      <c r="J6570" s="314"/>
      <c r="K6570" s="454"/>
      <c r="M6570" s="349" t="str">
        <f>N6570&amp;AS[[#This Row],[Insurer Code]]&amp;"; "&amp;O6570&amp;AS[[#This Row],[Reporting Year]]&amp;"; "&amp;P6570&amp;AS[[#This Row],[Insurance Category Code]]&amp;"; "&amp;Q6570&amp;AS[[#This Row],[Large Provider Entity Code]]&amp;"; "&amp;R6570&amp;AS[[#This Row],[Age Band Code]]&amp;"; "&amp;S6570&amp;AS[[#This Row],[Sex Code]]</f>
        <v xml:space="preserve">Insurer Code ; Reporting Year ; Insurance Category Code ; Large Provider Entity Code ; Age Band Code ; Sex Code </v>
      </c>
      <c r="N6570" s="345" t="s">
        <v>207</v>
      </c>
      <c r="O6570" s="345" t="s">
        <v>208</v>
      </c>
      <c r="P6570" s="345" t="s">
        <v>209</v>
      </c>
      <c r="Q6570" s="345" t="s">
        <v>210</v>
      </c>
      <c r="R6570" s="345" t="s">
        <v>223</v>
      </c>
      <c r="S6570" s="345" t="s">
        <v>224</v>
      </c>
    </row>
    <row r="6571" spans="1:19" x14ac:dyDescent="0.25">
      <c r="A6571" s="311"/>
      <c r="B6571" s="312"/>
      <c r="C6571" s="312"/>
      <c r="D6571" s="312"/>
      <c r="E6571" s="312"/>
      <c r="F6571" s="312"/>
      <c r="G6571" s="328"/>
      <c r="H6571" s="453"/>
      <c r="I6571" s="334"/>
      <c r="J6571" s="314"/>
      <c r="K6571" s="454"/>
      <c r="M6571" s="349" t="str">
        <f>N6571&amp;AS[[#This Row],[Insurer Code]]&amp;"; "&amp;O6571&amp;AS[[#This Row],[Reporting Year]]&amp;"; "&amp;P6571&amp;AS[[#This Row],[Insurance Category Code]]&amp;"; "&amp;Q6571&amp;AS[[#This Row],[Large Provider Entity Code]]&amp;"; "&amp;R6571&amp;AS[[#This Row],[Age Band Code]]&amp;"; "&amp;S6571&amp;AS[[#This Row],[Sex Code]]</f>
        <v xml:space="preserve">Insurer Code ; Reporting Year ; Insurance Category Code ; Large Provider Entity Code ; Age Band Code ; Sex Code </v>
      </c>
      <c r="N6571" s="345" t="s">
        <v>207</v>
      </c>
      <c r="O6571" s="345" t="s">
        <v>208</v>
      </c>
      <c r="P6571" s="345" t="s">
        <v>209</v>
      </c>
      <c r="Q6571" s="345" t="s">
        <v>210</v>
      </c>
      <c r="R6571" s="345" t="s">
        <v>223</v>
      </c>
      <c r="S6571" s="345" t="s">
        <v>224</v>
      </c>
    </row>
    <row r="6572" spans="1:19" x14ac:dyDescent="0.25">
      <c r="A6572" s="311"/>
      <c r="B6572" s="312"/>
      <c r="C6572" s="312"/>
      <c r="D6572" s="312"/>
      <c r="E6572" s="312"/>
      <c r="F6572" s="312"/>
      <c r="G6572" s="328"/>
      <c r="H6572" s="453"/>
      <c r="I6572" s="334"/>
      <c r="J6572" s="314"/>
      <c r="K6572" s="454"/>
      <c r="M6572" s="349" t="str">
        <f>N6572&amp;AS[[#This Row],[Insurer Code]]&amp;"; "&amp;O6572&amp;AS[[#This Row],[Reporting Year]]&amp;"; "&amp;P6572&amp;AS[[#This Row],[Insurance Category Code]]&amp;"; "&amp;Q6572&amp;AS[[#This Row],[Large Provider Entity Code]]&amp;"; "&amp;R6572&amp;AS[[#This Row],[Age Band Code]]&amp;"; "&amp;S6572&amp;AS[[#This Row],[Sex Code]]</f>
        <v xml:space="preserve">Insurer Code ; Reporting Year ; Insurance Category Code ; Large Provider Entity Code ; Age Band Code ; Sex Code </v>
      </c>
      <c r="N6572" s="345" t="s">
        <v>207</v>
      </c>
      <c r="O6572" s="345" t="s">
        <v>208</v>
      </c>
      <c r="P6572" s="345" t="s">
        <v>209</v>
      </c>
      <c r="Q6572" s="345" t="s">
        <v>210</v>
      </c>
      <c r="R6572" s="345" t="s">
        <v>223</v>
      </c>
      <c r="S6572" s="345" t="s">
        <v>224</v>
      </c>
    </row>
    <row r="6573" spans="1:19" x14ac:dyDescent="0.25">
      <c r="A6573" s="311"/>
      <c r="B6573" s="312"/>
      <c r="C6573" s="312"/>
      <c r="D6573" s="312"/>
      <c r="E6573" s="312"/>
      <c r="F6573" s="312"/>
      <c r="G6573" s="328"/>
      <c r="H6573" s="453"/>
      <c r="I6573" s="334"/>
      <c r="J6573" s="314"/>
      <c r="K6573" s="454"/>
      <c r="M6573" s="349" t="str">
        <f>N6573&amp;AS[[#This Row],[Insurer Code]]&amp;"; "&amp;O6573&amp;AS[[#This Row],[Reporting Year]]&amp;"; "&amp;P6573&amp;AS[[#This Row],[Insurance Category Code]]&amp;"; "&amp;Q6573&amp;AS[[#This Row],[Large Provider Entity Code]]&amp;"; "&amp;R6573&amp;AS[[#This Row],[Age Band Code]]&amp;"; "&amp;S6573&amp;AS[[#This Row],[Sex Code]]</f>
        <v xml:space="preserve">Insurer Code ; Reporting Year ; Insurance Category Code ; Large Provider Entity Code ; Age Band Code ; Sex Code </v>
      </c>
      <c r="N6573" s="345" t="s">
        <v>207</v>
      </c>
      <c r="O6573" s="345" t="s">
        <v>208</v>
      </c>
      <c r="P6573" s="345" t="s">
        <v>209</v>
      </c>
      <c r="Q6573" s="345" t="s">
        <v>210</v>
      </c>
      <c r="R6573" s="345" t="s">
        <v>223</v>
      </c>
      <c r="S6573" s="345" t="s">
        <v>224</v>
      </c>
    </row>
    <row r="6574" spans="1:19" x14ac:dyDescent="0.25">
      <c r="A6574" s="311"/>
      <c r="B6574" s="312"/>
      <c r="C6574" s="312"/>
      <c r="D6574" s="312"/>
      <c r="E6574" s="312"/>
      <c r="F6574" s="312"/>
      <c r="G6574" s="328"/>
      <c r="H6574" s="453"/>
      <c r="I6574" s="334"/>
      <c r="J6574" s="314"/>
      <c r="K6574" s="454"/>
      <c r="M6574" s="349" t="str">
        <f>N6574&amp;AS[[#This Row],[Insurer Code]]&amp;"; "&amp;O6574&amp;AS[[#This Row],[Reporting Year]]&amp;"; "&amp;P6574&amp;AS[[#This Row],[Insurance Category Code]]&amp;"; "&amp;Q6574&amp;AS[[#This Row],[Large Provider Entity Code]]&amp;"; "&amp;R6574&amp;AS[[#This Row],[Age Band Code]]&amp;"; "&amp;S6574&amp;AS[[#This Row],[Sex Code]]</f>
        <v xml:space="preserve">Insurer Code ; Reporting Year ; Insurance Category Code ; Large Provider Entity Code ; Age Band Code ; Sex Code </v>
      </c>
      <c r="N6574" s="345" t="s">
        <v>207</v>
      </c>
      <c r="O6574" s="345" t="s">
        <v>208</v>
      </c>
      <c r="P6574" s="345" t="s">
        <v>209</v>
      </c>
      <c r="Q6574" s="345" t="s">
        <v>210</v>
      </c>
      <c r="R6574" s="345" t="s">
        <v>223</v>
      </c>
      <c r="S6574" s="345" t="s">
        <v>224</v>
      </c>
    </row>
    <row r="6575" spans="1:19" x14ac:dyDescent="0.25">
      <c r="A6575" s="311"/>
      <c r="B6575" s="312"/>
      <c r="C6575" s="312"/>
      <c r="D6575" s="312"/>
      <c r="E6575" s="312"/>
      <c r="F6575" s="312"/>
      <c r="G6575" s="328"/>
      <c r="H6575" s="453"/>
      <c r="I6575" s="334"/>
      <c r="J6575" s="314"/>
      <c r="K6575" s="454"/>
      <c r="M6575" s="349" t="str">
        <f>N6575&amp;AS[[#This Row],[Insurer Code]]&amp;"; "&amp;O6575&amp;AS[[#This Row],[Reporting Year]]&amp;"; "&amp;P6575&amp;AS[[#This Row],[Insurance Category Code]]&amp;"; "&amp;Q6575&amp;AS[[#This Row],[Large Provider Entity Code]]&amp;"; "&amp;R6575&amp;AS[[#This Row],[Age Band Code]]&amp;"; "&amp;S6575&amp;AS[[#This Row],[Sex Code]]</f>
        <v xml:space="preserve">Insurer Code ; Reporting Year ; Insurance Category Code ; Large Provider Entity Code ; Age Band Code ; Sex Code </v>
      </c>
      <c r="N6575" s="345" t="s">
        <v>207</v>
      </c>
      <c r="O6575" s="345" t="s">
        <v>208</v>
      </c>
      <c r="P6575" s="345" t="s">
        <v>209</v>
      </c>
      <c r="Q6575" s="345" t="s">
        <v>210</v>
      </c>
      <c r="R6575" s="345" t="s">
        <v>223</v>
      </c>
      <c r="S6575" s="345" t="s">
        <v>224</v>
      </c>
    </row>
    <row r="6576" spans="1:19" x14ac:dyDescent="0.25">
      <c r="A6576" s="311"/>
      <c r="B6576" s="312"/>
      <c r="C6576" s="312"/>
      <c r="D6576" s="312"/>
      <c r="E6576" s="312"/>
      <c r="F6576" s="312"/>
      <c r="G6576" s="328"/>
      <c r="H6576" s="453"/>
      <c r="I6576" s="334"/>
      <c r="J6576" s="314"/>
      <c r="K6576" s="454"/>
      <c r="M6576" s="349" t="str">
        <f>N6576&amp;AS[[#This Row],[Insurer Code]]&amp;"; "&amp;O6576&amp;AS[[#This Row],[Reporting Year]]&amp;"; "&amp;P6576&amp;AS[[#This Row],[Insurance Category Code]]&amp;"; "&amp;Q6576&amp;AS[[#This Row],[Large Provider Entity Code]]&amp;"; "&amp;R6576&amp;AS[[#This Row],[Age Band Code]]&amp;"; "&amp;S6576&amp;AS[[#This Row],[Sex Code]]</f>
        <v xml:space="preserve">Insurer Code ; Reporting Year ; Insurance Category Code ; Large Provider Entity Code ; Age Band Code ; Sex Code </v>
      </c>
      <c r="N6576" s="345" t="s">
        <v>207</v>
      </c>
      <c r="O6576" s="345" t="s">
        <v>208</v>
      </c>
      <c r="P6576" s="345" t="s">
        <v>209</v>
      </c>
      <c r="Q6576" s="345" t="s">
        <v>210</v>
      </c>
      <c r="R6576" s="345" t="s">
        <v>223</v>
      </c>
      <c r="S6576" s="345" t="s">
        <v>224</v>
      </c>
    </row>
    <row r="6577" spans="1:19" x14ac:dyDescent="0.25">
      <c r="A6577" s="311"/>
      <c r="B6577" s="312"/>
      <c r="C6577" s="312"/>
      <c r="D6577" s="312"/>
      <c r="E6577" s="312"/>
      <c r="F6577" s="312"/>
      <c r="G6577" s="328"/>
      <c r="H6577" s="453"/>
      <c r="I6577" s="334"/>
      <c r="J6577" s="314"/>
      <c r="K6577" s="454"/>
      <c r="M6577" s="349" t="str">
        <f>N6577&amp;AS[[#This Row],[Insurer Code]]&amp;"; "&amp;O6577&amp;AS[[#This Row],[Reporting Year]]&amp;"; "&amp;P6577&amp;AS[[#This Row],[Insurance Category Code]]&amp;"; "&amp;Q6577&amp;AS[[#This Row],[Large Provider Entity Code]]&amp;"; "&amp;R6577&amp;AS[[#This Row],[Age Band Code]]&amp;"; "&amp;S6577&amp;AS[[#This Row],[Sex Code]]</f>
        <v xml:space="preserve">Insurer Code ; Reporting Year ; Insurance Category Code ; Large Provider Entity Code ; Age Band Code ; Sex Code </v>
      </c>
      <c r="N6577" s="345" t="s">
        <v>207</v>
      </c>
      <c r="O6577" s="345" t="s">
        <v>208</v>
      </c>
      <c r="P6577" s="345" t="s">
        <v>209</v>
      </c>
      <c r="Q6577" s="345" t="s">
        <v>210</v>
      </c>
      <c r="R6577" s="345" t="s">
        <v>223</v>
      </c>
      <c r="S6577" s="345" t="s">
        <v>224</v>
      </c>
    </row>
    <row r="6578" spans="1:19" x14ac:dyDescent="0.25">
      <c r="A6578" s="311"/>
      <c r="B6578" s="312"/>
      <c r="C6578" s="312"/>
      <c r="D6578" s="312"/>
      <c r="E6578" s="312"/>
      <c r="F6578" s="312"/>
      <c r="G6578" s="328"/>
      <c r="H6578" s="453"/>
      <c r="I6578" s="334"/>
      <c r="J6578" s="314"/>
      <c r="K6578" s="454"/>
      <c r="M6578" s="349" t="str">
        <f>N6578&amp;AS[[#This Row],[Insurer Code]]&amp;"; "&amp;O6578&amp;AS[[#This Row],[Reporting Year]]&amp;"; "&amp;P6578&amp;AS[[#This Row],[Insurance Category Code]]&amp;"; "&amp;Q6578&amp;AS[[#This Row],[Large Provider Entity Code]]&amp;"; "&amp;R6578&amp;AS[[#This Row],[Age Band Code]]&amp;"; "&amp;S6578&amp;AS[[#This Row],[Sex Code]]</f>
        <v xml:space="preserve">Insurer Code ; Reporting Year ; Insurance Category Code ; Large Provider Entity Code ; Age Band Code ; Sex Code </v>
      </c>
      <c r="N6578" s="345" t="s">
        <v>207</v>
      </c>
      <c r="O6578" s="345" t="s">
        <v>208</v>
      </c>
      <c r="P6578" s="345" t="s">
        <v>209</v>
      </c>
      <c r="Q6578" s="345" t="s">
        <v>210</v>
      </c>
      <c r="R6578" s="345" t="s">
        <v>223</v>
      </c>
      <c r="S6578" s="345" t="s">
        <v>224</v>
      </c>
    </row>
    <row r="6579" spans="1:19" x14ac:dyDescent="0.25">
      <c r="A6579" s="311"/>
      <c r="B6579" s="312"/>
      <c r="C6579" s="312"/>
      <c r="D6579" s="312"/>
      <c r="E6579" s="312"/>
      <c r="F6579" s="312"/>
      <c r="G6579" s="328"/>
      <c r="H6579" s="453"/>
      <c r="I6579" s="334"/>
      <c r="J6579" s="314"/>
      <c r="K6579" s="454"/>
      <c r="M6579" s="349" t="str">
        <f>N6579&amp;AS[[#This Row],[Insurer Code]]&amp;"; "&amp;O6579&amp;AS[[#This Row],[Reporting Year]]&amp;"; "&amp;P6579&amp;AS[[#This Row],[Insurance Category Code]]&amp;"; "&amp;Q6579&amp;AS[[#This Row],[Large Provider Entity Code]]&amp;"; "&amp;R6579&amp;AS[[#This Row],[Age Band Code]]&amp;"; "&amp;S6579&amp;AS[[#This Row],[Sex Code]]</f>
        <v xml:space="preserve">Insurer Code ; Reporting Year ; Insurance Category Code ; Large Provider Entity Code ; Age Band Code ; Sex Code </v>
      </c>
      <c r="N6579" s="345" t="s">
        <v>207</v>
      </c>
      <c r="O6579" s="345" t="s">
        <v>208</v>
      </c>
      <c r="P6579" s="345" t="s">
        <v>209</v>
      </c>
      <c r="Q6579" s="345" t="s">
        <v>210</v>
      </c>
      <c r="R6579" s="345" t="s">
        <v>223</v>
      </c>
      <c r="S6579" s="345" t="s">
        <v>224</v>
      </c>
    </row>
    <row r="6580" spans="1:19" x14ac:dyDescent="0.25">
      <c r="A6580" s="311"/>
      <c r="B6580" s="312"/>
      <c r="C6580" s="312"/>
      <c r="D6580" s="312"/>
      <c r="E6580" s="312"/>
      <c r="F6580" s="312"/>
      <c r="G6580" s="328"/>
      <c r="H6580" s="453"/>
      <c r="I6580" s="334"/>
      <c r="J6580" s="314"/>
      <c r="K6580" s="454"/>
      <c r="M6580" s="349" t="str">
        <f>N6580&amp;AS[[#This Row],[Insurer Code]]&amp;"; "&amp;O6580&amp;AS[[#This Row],[Reporting Year]]&amp;"; "&amp;P6580&amp;AS[[#This Row],[Insurance Category Code]]&amp;"; "&amp;Q6580&amp;AS[[#This Row],[Large Provider Entity Code]]&amp;"; "&amp;R6580&amp;AS[[#This Row],[Age Band Code]]&amp;"; "&amp;S6580&amp;AS[[#This Row],[Sex Code]]</f>
        <v xml:space="preserve">Insurer Code ; Reporting Year ; Insurance Category Code ; Large Provider Entity Code ; Age Band Code ; Sex Code </v>
      </c>
      <c r="N6580" s="345" t="s">
        <v>207</v>
      </c>
      <c r="O6580" s="345" t="s">
        <v>208</v>
      </c>
      <c r="P6580" s="345" t="s">
        <v>209</v>
      </c>
      <c r="Q6580" s="345" t="s">
        <v>210</v>
      </c>
      <c r="R6580" s="345" t="s">
        <v>223</v>
      </c>
      <c r="S6580" s="345" t="s">
        <v>224</v>
      </c>
    </row>
    <row r="6581" spans="1:19" x14ac:dyDescent="0.25">
      <c r="A6581" s="311"/>
      <c r="B6581" s="312"/>
      <c r="C6581" s="312"/>
      <c r="D6581" s="312"/>
      <c r="E6581" s="312"/>
      <c r="F6581" s="312"/>
      <c r="G6581" s="328"/>
      <c r="H6581" s="453"/>
      <c r="I6581" s="334"/>
      <c r="J6581" s="314"/>
      <c r="K6581" s="454"/>
      <c r="M6581" s="349" t="str">
        <f>N6581&amp;AS[[#This Row],[Insurer Code]]&amp;"; "&amp;O6581&amp;AS[[#This Row],[Reporting Year]]&amp;"; "&amp;P6581&amp;AS[[#This Row],[Insurance Category Code]]&amp;"; "&amp;Q6581&amp;AS[[#This Row],[Large Provider Entity Code]]&amp;"; "&amp;R6581&amp;AS[[#This Row],[Age Band Code]]&amp;"; "&amp;S6581&amp;AS[[#This Row],[Sex Code]]</f>
        <v xml:space="preserve">Insurer Code ; Reporting Year ; Insurance Category Code ; Large Provider Entity Code ; Age Band Code ; Sex Code </v>
      </c>
      <c r="N6581" s="345" t="s">
        <v>207</v>
      </c>
      <c r="O6581" s="345" t="s">
        <v>208</v>
      </c>
      <c r="P6581" s="345" t="s">
        <v>209</v>
      </c>
      <c r="Q6581" s="345" t="s">
        <v>210</v>
      </c>
      <c r="R6581" s="345" t="s">
        <v>223</v>
      </c>
      <c r="S6581" s="345" t="s">
        <v>224</v>
      </c>
    </row>
    <row r="6582" spans="1:19" x14ac:dyDescent="0.25">
      <c r="A6582" s="311"/>
      <c r="B6582" s="312"/>
      <c r="C6582" s="312"/>
      <c r="D6582" s="312"/>
      <c r="E6582" s="312"/>
      <c r="F6582" s="312"/>
      <c r="G6582" s="328"/>
      <c r="H6582" s="453"/>
      <c r="I6582" s="334"/>
      <c r="J6582" s="314"/>
      <c r="K6582" s="454"/>
      <c r="M6582" s="349" t="str">
        <f>N6582&amp;AS[[#This Row],[Insurer Code]]&amp;"; "&amp;O6582&amp;AS[[#This Row],[Reporting Year]]&amp;"; "&amp;P6582&amp;AS[[#This Row],[Insurance Category Code]]&amp;"; "&amp;Q6582&amp;AS[[#This Row],[Large Provider Entity Code]]&amp;"; "&amp;R6582&amp;AS[[#This Row],[Age Band Code]]&amp;"; "&amp;S6582&amp;AS[[#This Row],[Sex Code]]</f>
        <v xml:space="preserve">Insurer Code ; Reporting Year ; Insurance Category Code ; Large Provider Entity Code ; Age Band Code ; Sex Code </v>
      </c>
      <c r="N6582" s="345" t="s">
        <v>207</v>
      </c>
      <c r="O6582" s="345" t="s">
        <v>208</v>
      </c>
      <c r="P6582" s="345" t="s">
        <v>209</v>
      </c>
      <c r="Q6582" s="345" t="s">
        <v>210</v>
      </c>
      <c r="R6582" s="345" t="s">
        <v>223</v>
      </c>
      <c r="S6582" s="345" t="s">
        <v>224</v>
      </c>
    </row>
    <row r="6583" spans="1:19" x14ac:dyDescent="0.25">
      <c r="A6583" s="311"/>
      <c r="B6583" s="312"/>
      <c r="C6583" s="312"/>
      <c r="D6583" s="312"/>
      <c r="E6583" s="312"/>
      <c r="F6583" s="312"/>
      <c r="G6583" s="328"/>
      <c r="H6583" s="453"/>
      <c r="I6583" s="334"/>
      <c r="J6583" s="314"/>
      <c r="K6583" s="454"/>
      <c r="M6583" s="349" t="str">
        <f>N6583&amp;AS[[#This Row],[Insurer Code]]&amp;"; "&amp;O6583&amp;AS[[#This Row],[Reporting Year]]&amp;"; "&amp;P6583&amp;AS[[#This Row],[Insurance Category Code]]&amp;"; "&amp;Q6583&amp;AS[[#This Row],[Large Provider Entity Code]]&amp;"; "&amp;R6583&amp;AS[[#This Row],[Age Band Code]]&amp;"; "&amp;S6583&amp;AS[[#This Row],[Sex Code]]</f>
        <v xml:space="preserve">Insurer Code ; Reporting Year ; Insurance Category Code ; Large Provider Entity Code ; Age Band Code ; Sex Code </v>
      </c>
      <c r="N6583" s="345" t="s">
        <v>207</v>
      </c>
      <c r="O6583" s="345" t="s">
        <v>208</v>
      </c>
      <c r="P6583" s="345" t="s">
        <v>209</v>
      </c>
      <c r="Q6583" s="345" t="s">
        <v>210</v>
      </c>
      <c r="R6583" s="345" t="s">
        <v>223</v>
      </c>
      <c r="S6583" s="345" t="s">
        <v>224</v>
      </c>
    </row>
    <row r="6584" spans="1:19" x14ac:dyDescent="0.25">
      <c r="A6584" s="311"/>
      <c r="B6584" s="312"/>
      <c r="C6584" s="312"/>
      <c r="D6584" s="312"/>
      <c r="E6584" s="312"/>
      <c r="F6584" s="312"/>
      <c r="G6584" s="328"/>
      <c r="H6584" s="453"/>
      <c r="I6584" s="334"/>
      <c r="J6584" s="314"/>
      <c r="K6584" s="454"/>
      <c r="M6584" s="349" t="str">
        <f>N6584&amp;AS[[#This Row],[Insurer Code]]&amp;"; "&amp;O6584&amp;AS[[#This Row],[Reporting Year]]&amp;"; "&amp;P6584&amp;AS[[#This Row],[Insurance Category Code]]&amp;"; "&amp;Q6584&amp;AS[[#This Row],[Large Provider Entity Code]]&amp;"; "&amp;R6584&amp;AS[[#This Row],[Age Band Code]]&amp;"; "&amp;S6584&amp;AS[[#This Row],[Sex Code]]</f>
        <v xml:space="preserve">Insurer Code ; Reporting Year ; Insurance Category Code ; Large Provider Entity Code ; Age Band Code ; Sex Code </v>
      </c>
      <c r="N6584" s="345" t="s">
        <v>207</v>
      </c>
      <c r="O6584" s="345" t="s">
        <v>208</v>
      </c>
      <c r="P6584" s="345" t="s">
        <v>209</v>
      </c>
      <c r="Q6584" s="345" t="s">
        <v>210</v>
      </c>
      <c r="R6584" s="345" t="s">
        <v>223</v>
      </c>
      <c r="S6584" s="345" t="s">
        <v>224</v>
      </c>
    </row>
    <row r="6585" spans="1:19" x14ac:dyDescent="0.25">
      <c r="A6585" s="311"/>
      <c r="B6585" s="312"/>
      <c r="C6585" s="312"/>
      <c r="D6585" s="312"/>
      <c r="E6585" s="312"/>
      <c r="F6585" s="312"/>
      <c r="G6585" s="328"/>
      <c r="H6585" s="453"/>
      <c r="I6585" s="334"/>
      <c r="J6585" s="314"/>
      <c r="K6585" s="454"/>
      <c r="M6585" s="349" t="str">
        <f>N6585&amp;AS[[#This Row],[Insurer Code]]&amp;"; "&amp;O6585&amp;AS[[#This Row],[Reporting Year]]&amp;"; "&amp;P6585&amp;AS[[#This Row],[Insurance Category Code]]&amp;"; "&amp;Q6585&amp;AS[[#This Row],[Large Provider Entity Code]]&amp;"; "&amp;R6585&amp;AS[[#This Row],[Age Band Code]]&amp;"; "&amp;S6585&amp;AS[[#This Row],[Sex Code]]</f>
        <v xml:space="preserve">Insurer Code ; Reporting Year ; Insurance Category Code ; Large Provider Entity Code ; Age Band Code ; Sex Code </v>
      </c>
      <c r="N6585" s="345" t="s">
        <v>207</v>
      </c>
      <c r="O6585" s="345" t="s">
        <v>208</v>
      </c>
      <c r="P6585" s="345" t="s">
        <v>209</v>
      </c>
      <c r="Q6585" s="345" t="s">
        <v>210</v>
      </c>
      <c r="R6585" s="345" t="s">
        <v>223</v>
      </c>
      <c r="S6585" s="345" t="s">
        <v>224</v>
      </c>
    </row>
    <row r="6586" spans="1:19" x14ac:dyDescent="0.25">
      <c r="A6586" s="311"/>
      <c r="B6586" s="312"/>
      <c r="C6586" s="312"/>
      <c r="D6586" s="312"/>
      <c r="E6586" s="312"/>
      <c r="F6586" s="312"/>
      <c r="G6586" s="328"/>
      <c r="H6586" s="453"/>
      <c r="I6586" s="334"/>
      <c r="J6586" s="314"/>
      <c r="K6586" s="454"/>
      <c r="M6586" s="349" t="str">
        <f>N6586&amp;AS[[#This Row],[Insurer Code]]&amp;"; "&amp;O6586&amp;AS[[#This Row],[Reporting Year]]&amp;"; "&amp;P6586&amp;AS[[#This Row],[Insurance Category Code]]&amp;"; "&amp;Q6586&amp;AS[[#This Row],[Large Provider Entity Code]]&amp;"; "&amp;R6586&amp;AS[[#This Row],[Age Band Code]]&amp;"; "&amp;S6586&amp;AS[[#This Row],[Sex Code]]</f>
        <v xml:space="preserve">Insurer Code ; Reporting Year ; Insurance Category Code ; Large Provider Entity Code ; Age Band Code ; Sex Code </v>
      </c>
      <c r="N6586" s="345" t="s">
        <v>207</v>
      </c>
      <c r="O6586" s="345" t="s">
        <v>208</v>
      </c>
      <c r="P6586" s="345" t="s">
        <v>209</v>
      </c>
      <c r="Q6586" s="345" t="s">
        <v>210</v>
      </c>
      <c r="R6586" s="345" t="s">
        <v>223</v>
      </c>
      <c r="S6586" s="345" t="s">
        <v>224</v>
      </c>
    </row>
    <row r="6587" spans="1:19" x14ac:dyDescent="0.25">
      <c r="A6587" s="311"/>
      <c r="B6587" s="312"/>
      <c r="C6587" s="312"/>
      <c r="D6587" s="312"/>
      <c r="E6587" s="312"/>
      <c r="F6587" s="312"/>
      <c r="G6587" s="328"/>
      <c r="H6587" s="453"/>
      <c r="I6587" s="334"/>
      <c r="J6587" s="314"/>
      <c r="K6587" s="454"/>
      <c r="M6587" s="349" t="str">
        <f>N6587&amp;AS[[#This Row],[Insurer Code]]&amp;"; "&amp;O6587&amp;AS[[#This Row],[Reporting Year]]&amp;"; "&amp;P6587&amp;AS[[#This Row],[Insurance Category Code]]&amp;"; "&amp;Q6587&amp;AS[[#This Row],[Large Provider Entity Code]]&amp;"; "&amp;R6587&amp;AS[[#This Row],[Age Band Code]]&amp;"; "&amp;S6587&amp;AS[[#This Row],[Sex Code]]</f>
        <v xml:space="preserve">Insurer Code ; Reporting Year ; Insurance Category Code ; Large Provider Entity Code ; Age Band Code ; Sex Code </v>
      </c>
      <c r="N6587" s="345" t="s">
        <v>207</v>
      </c>
      <c r="O6587" s="345" t="s">
        <v>208</v>
      </c>
      <c r="P6587" s="345" t="s">
        <v>209</v>
      </c>
      <c r="Q6587" s="345" t="s">
        <v>210</v>
      </c>
      <c r="R6587" s="345" t="s">
        <v>223</v>
      </c>
      <c r="S6587" s="345" t="s">
        <v>224</v>
      </c>
    </row>
    <row r="6588" spans="1:19" x14ac:dyDescent="0.25">
      <c r="A6588" s="311"/>
      <c r="B6588" s="312"/>
      <c r="C6588" s="312"/>
      <c r="D6588" s="312"/>
      <c r="E6588" s="312"/>
      <c r="F6588" s="312"/>
      <c r="G6588" s="328"/>
      <c r="H6588" s="453"/>
      <c r="I6588" s="334"/>
      <c r="J6588" s="314"/>
      <c r="K6588" s="454"/>
      <c r="M6588" s="349" t="str">
        <f>N6588&amp;AS[[#This Row],[Insurer Code]]&amp;"; "&amp;O6588&amp;AS[[#This Row],[Reporting Year]]&amp;"; "&amp;P6588&amp;AS[[#This Row],[Insurance Category Code]]&amp;"; "&amp;Q6588&amp;AS[[#This Row],[Large Provider Entity Code]]&amp;"; "&amp;R6588&amp;AS[[#This Row],[Age Band Code]]&amp;"; "&amp;S6588&amp;AS[[#This Row],[Sex Code]]</f>
        <v xml:space="preserve">Insurer Code ; Reporting Year ; Insurance Category Code ; Large Provider Entity Code ; Age Band Code ; Sex Code </v>
      </c>
      <c r="N6588" s="345" t="s">
        <v>207</v>
      </c>
      <c r="O6588" s="345" t="s">
        <v>208</v>
      </c>
      <c r="P6588" s="345" t="s">
        <v>209</v>
      </c>
      <c r="Q6588" s="345" t="s">
        <v>210</v>
      </c>
      <c r="R6588" s="345" t="s">
        <v>223</v>
      </c>
      <c r="S6588" s="345" t="s">
        <v>224</v>
      </c>
    </row>
    <row r="6589" spans="1:19" x14ac:dyDescent="0.25">
      <c r="A6589" s="311"/>
      <c r="B6589" s="312"/>
      <c r="C6589" s="312"/>
      <c r="D6589" s="312"/>
      <c r="E6589" s="312"/>
      <c r="F6589" s="312"/>
      <c r="G6589" s="328"/>
      <c r="H6589" s="453"/>
      <c r="I6589" s="334"/>
      <c r="J6589" s="314"/>
      <c r="K6589" s="454"/>
      <c r="M6589" s="349" t="str">
        <f>N6589&amp;AS[[#This Row],[Insurer Code]]&amp;"; "&amp;O6589&amp;AS[[#This Row],[Reporting Year]]&amp;"; "&amp;P6589&amp;AS[[#This Row],[Insurance Category Code]]&amp;"; "&amp;Q6589&amp;AS[[#This Row],[Large Provider Entity Code]]&amp;"; "&amp;R6589&amp;AS[[#This Row],[Age Band Code]]&amp;"; "&amp;S6589&amp;AS[[#This Row],[Sex Code]]</f>
        <v xml:space="preserve">Insurer Code ; Reporting Year ; Insurance Category Code ; Large Provider Entity Code ; Age Band Code ; Sex Code </v>
      </c>
      <c r="N6589" s="345" t="s">
        <v>207</v>
      </c>
      <c r="O6589" s="345" t="s">
        <v>208</v>
      </c>
      <c r="P6589" s="345" t="s">
        <v>209</v>
      </c>
      <c r="Q6589" s="345" t="s">
        <v>210</v>
      </c>
      <c r="R6589" s="345" t="s">
        <v>223</v>
      </c>
      <c r="S6589" s="345" t="s">
        <v>224</v>
      </c>
    </row>
    <row r="6590" spans="1:19" x14ac:dyDescent="0.25">
      <c r="A6590" s="311"/>
      <c r="B6590" s="312"/>
      <c r="C6590" s="312"/>
      <c r="D6590" s="312"/>
      <c r="E6590" s="312"/>
      <c r="F6590" s="312"/>
      <c r="G6590" s="328"/>
      <c r="H6590" s="453"/>
      <c r="I6590" s="334"/>
      <c r="J6590" s="314"/>
      <c r="K6590" s="454"/>
      <c r="M6590" s="349" t="str">
        <f>N6590&amp;AS[[#This Row],[Insurer Code]]&amp;"; "&amp;O6590&amp;AS[[#This Row],[Reporting Year]]&amp;"; "&amp;P6590&amp;AS[[#This Row],[Insurance Category Code]]&amp;"; "&amp;Q6590&amp;AS[[#This Row],[Large Provider Entity Code]]&amp;"; "&amp;R6590&amp;AS[[#This Row],[Age Band Code]]&amp;"; "&amp;S6590&amp;AS[[#This Row],[Sex Code]]</f>
        <v xml:space="preserve">Insurer Code ; Reporting Year ; Insurance Category Code ; Large Provider Entity Code ; Age Band Code ; Sex Code </v>
      </c>
      <c r="N6590" s="345" t="s">
        <v>207</v>
      </c>
      <c r="O6590" s="345" t="s">
        <v>208</v>
      </c>
      <c r="P6590" s="345" t="s">
        <v>209</v>
      </c>
      <c r="Q6590" s="345" t="s">
        <v>210</v>
      </c>
      <c r="R6590" s="345" t="s">
        <v>223</v>
      </c>
      <c r="S6590" s="345" t="s">
        <v>224</v>
      </c>
    </row>
    <row r="6591" spans="1:19" x14ac:dyDescent="0.25">
      <c r="A6591" s="311"/>
      <c r="B6591" s="312"/>
      <c r="C6591" s="312"/>
      <c r="D6591" s="312"/>
      <c r="E6591" s="312"/>
      <c r="F6591" s="312"/>
      <c r="G6591" s="328"/>
      <c r="H6591" s="453"/>
      <c r="I6591" s="334"/>
      <c r="J6591" s="314"/>
      <c r="K6591" s="454"/>
      <c r="M6591" s="349" t="str">
        <f>N6591&amp;AS[[#This Row],[Insurer Code]]&amp;"; "&amp;O6591&amp;AS[[#This Row],[Reporting Year]]&amp;"; "&amp;P6591&amp;AS[[#This Row],[Insurance Category Code]]&amp;"; "&amp;Q6591&amp;AS[[#This Row],[Large Provider Entity Code]]&amp;"; "&amp;R6591&amp;AS[[#This Row],[Age Band Code]]&amp;"; "&amp;S6591&amp;AS[[#This Row],[Sex Code]]</f>
        <v xml:space="preserve">Insurer Code ; Reporting Year ; Insurance Category Code ; Large Provider Entity Code ; Age Band Code ; Sex Code </v>
      </c>
      <c r="N6591" s="345" t="s">
        <v>207</v>
      </c>
      <c r="O6591" s="345" t="s">
        <v>208</v>
      </c>
      <c r="P6591" s="345" t="s">
        <v>209</v>
      </c>
      <c r="Q6591" s="345" t="s">
        <v>210</v>
      </c>
      <c r="R6591" s="345" t="s">
        <v>223</v>
      </c>
      <c r="S6591" s="345" t="s">
        <v>224</v>
      </c>
    </row>
    <row r="6592" spans="1:19" x14ac:dyDescent="0.25">
      <c r="A6592" s="311"/>
      <c r="B6592" s="312"/>
      <c r="C6592" s="312"/>
      <c r="D6592" s="312"/>
      <c r="E6592" s="312"/>
      <c r="F6592" s="312"/>
      <c r="G6592" s="328"/>
      <c r="H6592" s="453"/>
      <c r="I6592" s="334"/>
      <c r="J6592" s="314"/>
      <c r="K6592" s="454"/>
      <c r="M6592" s="349" t="str">
        <f>N6592&amp;AS[[#This Row],[Insurer Code]]&amp;"; "&amp;O6592&amp;AS[[#This Row],[Reporting Year]]&amp;"; "&amp;P6592&amp;AS[[#This Row],[Insurance Category Code]]&amp;"; "&amp;Q6592&amp;AS[[#This Row],[Large Provider Entity Code]]&amp;"; "&amp;R6592&amp;AS[[#This Row],[Age Band Code]]&amp;"; "&amp;S6592&amp;AS[[#This Row],[Sex Code]]</f>
        <v xml:space="preserve">Insurer Code ; Reporting Year ; Insurance Category Code ; Large Provider Entity Code ; Age Band Code ; Sex Code </v>
      </c>
      <c r="N6592" s="345" t="s">
        <v>207</v>
      </c>
      <c r="O6592" s="345" t="s">
        <v>208</v>
      </c>
      <c r="P6592" s="345" t="s">
        <v>209</v>
      </c>
      <c r="Q6592" s="345" t="s">
        <v>210</v>
      </c>
      <c r="R6592" s="345" t="s">
        <v>223</v>
      </c>
      <c r="S6592" s="345" t="s">
        <v>224</v>
      </c>
    </row>
    <row r="6593" spans="1:19" x14ac:dyDescent="0.25">
      <c r="A6593" s="311"/>
      <c r="B6593" s="312"/>
      <c r="C6593" s="312"/>
      <c r="D6593" s="312"/>
      <c r="E6593" s="312"/>
      <c r="F6593" s="312"/>
      <c r="G6593" s="328"/>
      <c r="H6593" s="453"/>
      <c r="I6593" s="334"/>
      <c r="J6593" s="314"/>
      <c r="K6593" s="454"/>
      <c r="M6593" s="349" t="str">
        <f>N6593&amp;AS[[#This Row],[Insurer Code]]&amp;"; "&amp;O6593&amp;AS[[#This Row],[Reporting Year]]&amp;"; "&amp;P6593&amp;AS[[#This Row],[Insurance Category Code]]&amp;"; "&amp;Q6593&amp;AS[[#This Row],[Large Provider Entity Code]]&amp;"; "&amp;R6593&amp;AS[[#This Row],[Age Band Code]]&amp;"; "&amp;S6593&amp;AS[[#This Row],[Sex Code]]</f>
        <v xml:space="preserve">Insurer Code ; Reporting Year ; Insurance Category Code ; Large Provider Entity Code ; Age Band Code ; Sex Code </v>
      </c>
      <c r="N6593" s="345" t="s">
        <v>207</v>
      </c>
      <c r="O6593" s="345" t="s">
        <v>208</v>
      </c>
      <c r="P6593" s="345" t="s">
        <v>209</v>
      </c>
      <c r="Q6593" s="345" t="s">
        <v>210</v>
      </c>
      <c r="R6593" s="345" t="s">
        <v>223</v>
      </c>
      <c r="S6593" s="345" t="s">
        <v>224</v>
      </c>
    </row>
    <row r="6594" spans="1:19" x14ac:dyDescent="0.25">
      <c r="A6594" s="311"/>
      <c r="B6594" s="312"/>
      <c r="C6594" s="312"/>
      <c r="D6594" s="312"/>
      <c r="E6594" s="312"/>
      <c r="F6594" s="312"/>
      <c r="G6594" s="328"/>
      <c r="H6594" s="453"/>
      <c r="I6594" s="334"/>
      <c r="J6594" s="314"/>
      <c r="K6594" s="454"/>
      <c r="M6594" s="349" t="str">
        <f>N6594&amp;AS[[#This Row],[Insurer Code]]&amp;"; "&amp;O6594&amp;AS[[#This Row],[Reporting Year]]&amp;"; "&amp;P6594&amp;AS[[#This Row],[Insurance Category Code]]&amp;"; "&amp;Q6594&amp;AS[[#This Row],[Large Provider Entity Code]]&amp;"; "&amp;R6594&amp;AS[[#This Row],[Age Band Code]]&amp;"; "&amp;S6594&amp;AS[[#This Row],[Sex Code]]</f>
        <v xml:space="preserve">Insurer Code ; Reporting Year ; Insurance Category Code ; Large Provider Entity Code ; Age Band Code ; Sex Code </v>
      </c>
      <c r="N6594" s="345" t="s">
        <v>207</v>
      </c>
      <c r="O6594" s="345" t="s">
        <v>208</v>
      </c>
      <c r="P6594" s="345" t="s">
        <v>209</v>
      </c>
      <c r="Q6594" s="345" t="s">
        <v>210</v>
      </c>
      <c r="R6594" s="345" t="s">
        <v>223</v>
      </c>
      <c r="S6594" s="345" t="s">
        <v>224</v>
      </c>
    </row>
    <row r="6595" spans="1:19" x14ac:dyDescent="0.25">
      <c r="A6595" s="311"/>
      <c r="B6595" s="312"/>
      <c r="C6595" s="312"/>
      <c r="D6595" s="312"/>
      <c r="E6595" s="312"/>
      <c r="F6595" s="312"/>
      <c r="G6595" s="328"/>
      <c r="H6595" s="453"/>
      <c r="I6595" s="334"/>
      <c r="J6595" s="314"/>
      <c r="K6595" s="454"/>
      <c r="M6595" s="349" t="str">
        <f>N6595&amp;AS[[#This Row],[Insurer Code]]&amp;"; "&amp;O6595&amp;AS[[#This Row],[Reporting Year]]&amp;"; "&amp;P6595&amp;AS[[#This Row],[Insurance Category Code]]&amp;"; "&amp;Q6595&amp;AS[[#This Row],[Large Provider Entity Code]]&amp;"; "&amp;R6595&amp;AS[[#This Row],[Age Band Code]]&amp;"; "&amp;S6595&amp;AS[[#This Row],[Sex Code]]</f>
        <v xml:space="preserve">Insurer Code ; Reporting Year ; Insurance Category Code ; Large Provider Entity Code ; Age Band Code ; Sex Code </v>
      </c>
      <c r="N6595" s="345" t="s">
        <v>207</v>
      </c>
      <c r="O6595" s="345" t="s">
        <v>208</v>
      </c>
      <c r="P6595" s="345" t="s">
        <v>209</v>
      </c>
      <c r="Q6595" s="345" t="s">
        <v>210</v>
      </c>
      <c r="R6595" s="345" t="s">
        <v>223</v>
      </c>
      <c r="S6595" s="345" t="s">
        <v>224</v>
      </c>
    </row>
    <row r="6596" spans="1:19" x14ac:dyDescent="0.25">
      <c r="A6596" s="311"/>
      <c r="B6596" s="312"/>
      <c r="C6596" s="312"/>
      <c r="D6596" s="312"/>
      <c r="E6596" s="312"/>
      <c r="F6596" s="312"/>
      <c r="G6596" s="328"/>
      <c r="H6596" s="453"/>
      <c r="I6596" s="334"/>
      <c r="J6596" s="314"/>
      <c r="K6596" s="454"/>
      <c r="M6596" s="349" t="str">
        <f>N6596&amp;AS[[#This Row],[Insurer Code]]&amp;"; "&amp;O6596&amp;AS[[#This Row],[Reporting Year]]&amp;"; "&amp;P6596&amp;AS[[#This Row],[Insurance Category Code]]&amp;"; "&amp;Q6596&amp;AS[[#This Row],[Large Provider Entity Code]]&amp;"; "&amp;R6596&amp;AS[[#This Row],[Age Band Code]]&amp;"; "&amp;S6596&amp;AS[[#This Row],[Sex Code]]</f>
        <v xml:space="preserve">Insurer Code ; Reporting Year ; Insurance Category Code ; Large Provider Entity Code ; Age Band Code ; Sex Code </v>
      </c>
      <c r="N6596" s="345" t="s">
        <v>207</v>
      </c>
      <c r="O6596" s="345" t="s">
        <v>208</v>
      </c>
      <c r="P6596" s="345" t="s">
        <v>209</v>
      </c>
      <c r="Q6596" s="345" t="s">
        <v>210</v>
      </c>
      <c r="R6596" s="345" t="s">
        <v>223</v>
      </c>
      <c r="S6596" s="345" t="s">
        <v>224</v>
      </c>
    </row>
    <row r="6597" spans="1:19" x14ac:dyDescent="0.25">
      <c r="A6597" s="311"/>
      <c r="B6597" s="312"/>
      <c r="C6597" s="312"/>
      <c r="D6597" s="312"/>
      <c r="E6597" s="312"/>
      <c r="F6597" s="312"/>
      <c r="G6597" s="328"/>
      <c r="H6597" s="453"/>
      <c r="I6597" s="334"/>
      <c r="J6597" s="314"/>
      <c r="K6597" s="454"/>
      <c r="M6597" s="349" t="str">
        <f>N6597&amp;AS[[#This Row],[Insurer Code]]&amp;"; "&amp;O6597&amp;AS[[#This Row],[Reporting Year]]&amp;"; "&amp;P6597&amp;AS[[#This Row],[Insurance Category Code]]&amp;"; "&amp;Q6597&amp;AS[[#This Row],[Large Provider Entity Code]]&amp;"; "&amp;R6597&amp;AS[[#This Row],[Age Band Code]]&amp;"; "&amp;S6597&amp;AS[[#This Row],[Sex Code]]</f>
        <v xml:space="preserve">Insurer Code ; Reporting Year ; Insurance Category Code ; Large Provider Entity Code ; Age Band Code ; Sex Code </v>
      </c>
      <c r="N6597" s="345" t="s">
        <v>207</v>
      </c>
      <c r="O6597" s="345" t="s">
        <v>208</v>
      </c>
      <c r="P6597" s="345" t="s">
        <v>209</v>
      </c>
      <c r="Q6597" s="345" t="s">
        <v>210</v>
      </c>
      <c r="R6597" s="345" t="s">
        <v>223</v>
      </c>
      <c r="S6597" s="345" t="s">
        <v>224</v>
      </c>
    </row>
    <row r="6598" spans="1:19" x14ac:dyDescent="0.25">
      <c r="A6598" s="311"/>
      <c r="B6598" s="312"/>
      <c r="C6598" s="312"/>
      <c r="D6598" s="312"/>
      <c r="E6598" s="312"/>
      <c r="F6598" s="312"/>
      <c r="G6598" s="328"/>
      <c r="H6598" s="453"/>
      <c r="I6598" s="334"/>
      <c r="J6598" s="314"/>
      <c r="K6598" s="454"/>
      <c r="M6598" s="349" t="str">
        <f>N6598&amp;AS[[#This Row],[Insurer Code]]&amp;"; "&amp;O6598&amp;AS[[#This Row],[Reporting Year]]&amp;"; "&amp;P6598&amp;AS[[#This Row],[Insurance Category Code]]&amp;"; "&amp;Q6598&amp;AS[[#This Row],[Large Provider Entity Code]]&amp;"; "&amp;R6598&amp;AS[[#This Row],[Age Band Code]]&amp;"; "&amp;S6598&amp;AS[[#This Row],[Sex Code]]</f>
        <v xml:space="preserve">Insurer Code ; Reporting Year ; Insurance Category Code ; Large Provider Entity Code ; Age Band Code ; Sex Code </v>
      </c>
      <c r="N6598" s="345" t="s">
        <v>207</v>
      </c>
      <c r="O6598" s="345" t="s">
        <v>208</v>
      </c>
      <c r="P6598" s="345" t="s">
        <v>209</v>
      </c>
      <c r="Q6598" s="345" t="s">
        <v>210</v>
      </c>
      <c r="R6598" s="345" t="s">
        <v>223</v>
      </c>
      <c r="S6598" s="345" t="s">
        <v>224</v>
      </c>
    </row>
    <row r="6599" spans="1:19" x14ac:dyDescent="0.25">
      <c r="A6599" s="311"/>
      <c r="B6599" s="312"/>
      <c r="C6599" s="312"/>
      <c r="D6599" s="312"/>
      <c r="E6599" s="312"/>
      <c r="F6599" s="312"/>
      <c r="G6599" s="328"/>
      <c r="H6599" s="453"/>
      <c r="I6599" s="334"/>
      <c r="J6599" s="314"/>
      <c r="K6599" s="454"/>
      <c r="M6599" s="349" t="str">
        <f>N6599&amp;AS[[#This Row],[Insurer Code]]&amp;"; "&amp;O6599&amp;AS[[#This Row],[Reporting Year]]&amp;"; "&amp;P6599&amp;AS[[#This Row],[Insurance Category Code]]&amp;"; "&amp;Q6599&amp;AS[[#This Row],[Large Provider Entity Code]]&amp;"; "&amp;R6599&amp;AS[[#This Row],[Age Band Code]]&amp;"; "&amp;S6599&amp;AS[[#This Row],[Sex Code]]</f>
        <v xml:space="preserve">Insurer Code ; Reporting Year ; Insurance Category Code ; Large Provider Entity Code ; Age Band Code ; Sex Code </v>
      </c>
      <c r="N6599" s="345" t="s">
        <v>207</v>
      </c>
      <c r="O6599" s="345" t="s">
        <v>208</v>
      </c>
      <c r="P6599" s="345" t="s">
        <v>209</v>
      </c>
      <c r="Q6599" s="345" t="s">
        <v>210</v>
      </c>
      <c r="R6599" s="345" t="s">
        <v>223</v>
      </c>
      <c r="S6599" s="345" t="s">
        <v>224</v>
      </c>
    </row>
    <row r="6600" spans="1:19" x14ac:dyDescent="0.25">
      <c r="A6600" s="311"/>
      <c r="B6600" s="312"/>
      <c r="C6600" s="312"/>
      <c r="D6600" s="312"/>
      <c r="E6600" s="312"/>
      <c r="F6600" s="312"/>
      <c r="G6600" s="328"/>
      <c r="H6600" s="453"/>
      <c r="I6600" s="334"/>
      <c r="J6600" s="314"/>
      <c r="K6600" s="454"/>
      <c r="M6600" s="349" t="str">
        <f>N6600&amp;AS[[#This Row],[Insurer Code]]&amp;"; "&amp;O6600&amp;AS[[#This Row],[Reporting Year]]&amp;"; "&amp;P6600&amp;AS[[#This Row],[Insurance Category Code]]&amp;"; "&amp;Q6600&amp;AS[[#This Row],[Large Provider Entity Code]]&amp;"; "&amp;R6600&amp;AS[[#This Row],[Age Band Code]]&amp;"; "&amp;S6600&amp;AS[[#This Row],[Sex Code]]</f>
        <v xml:space="preserve">Insurer Code ; Reporting Year ; Insurance Category Code ; Large Provider Entity Code ; Age Band Code ; Sex Code </v>
      </c>
      <c r="N6600" s="345" t="s">
        <v>207</v>
      </c>
      <c r="O6600" s="345" t="s">
        <v>208</v>
      </c>
      <c r="P6600" s="345" t="s">
        <v>209</v>
      </c>
      <c r="Q6600" s="345" t="s">
        <v>210</v>
      </c>
      <c r="R6600" s="345" t="s">
        <v>223</v>
      </c>
      <c r="S6600" s="345" t="s">
        <v>224</v>
      </c>
    </row>
    <row r="6601" spans="1:19" x14ac:dyDescent="0.25">
      <c r="A6601" s="311"/>
      <c r="B6601" s="312"/>
      <c r="C6601" s="312"/>
      <c r="D6601" s="312"/>
      <c r="E6601" s="312"/>
      <c r="F6601" s="312"/>
      <c r="G6601" s="328"/>
      <c r="H6601" s="453"/>
      <c r="I6601" s="334"/>
      <c r="J6601" s="314"/>
      <c r="K6601" s="454"/>
      <c r="M6601" s="349" t="str">
        <f>N6601&amp;AS[[#This Row],[Insurer Code]]&amp;"; "&amp;O6601&amp;AS[[#This Row],[Reporting Year]]&amp;"; "&amp;P6601&amp;AS[[#This Row],[Insurance Category Code]]&amp;"; "&amp;Q6601&amp;AS[[#This Row],[Large Provider Entity Code]]&amp;"; "&amp;R6601&amp;AS[[#This Row],[Age Band Code]]&amp;"; "&amp;S6601&amp;AS[[#This Row],[Sex Code]]</f>
        <v xml:space="preserve">Insurer Code ; Reporting Year ; Insurance Category Code ; Large Provider Entity Code ; Age Band Code ; Sex Code </v>
      </c>
      <c r="N6601" s="345" t="s">
        <v>207</v>
      </c>
      <c r="O6601" s="345" t="s">
        <v>208</v>
      </c>
      <c r="P6601" s="345" t="s">
        <v>209</v>
      </c>
      <c r="Q6601" s="345" t="s">
        <v>210</v>
      </c>
      <c r="R6601" s="345" t="s">
        <v>223</v>
      </c>
      <c r="S6601" s="345" t="s">
        <v>224</v>
      </c>
    </row>
    <row r="6602" spans="1:19" x14ac:dyDescent="0.25">
      <c r="A6602" s="311"/>
      <c r="B6602" s="312"/>
      <c r="C6602" s="312"/>
      <c r="D6602" s="312"/>
      <c r="E6602" s="312"/>
      <c r="F6602" s="312"/>
      <c r="G6602" s="328"/>
      <c r="H6602" s="453"/>
      <c r="I6602" s="334"/>
      <c r="J6602" s="314"/>
      <c r="K6602" s="454"/>
      <c r="M6602" s="349" t="str">
        <f>N6602&amp;AS[[#This Row],[Insurer Code]]&amp;"; "&amp;O6602&amp;AS[[#This Row],[Reporting Year]]&amp;"; "&amp;P6602&amp;AS[[#This Row],[Insurance Category Code]]&amp;"; "&amp;Q6602&amp;AS[[#This Row],[Large Provider Entity Code]]&amp;"; "&amp;R6602&amp;AS[[#This Row],[Age Band Code]]&amp;"; "&amp;S6602&amp;AS[[#This Row],[Sex Code]]</f>
        <v xml:space="preserve">Insurer Code ; Reporting Year ; Insurance Category Code ; Large Provider Entity Code ; Age Band Code ; Sex Code </v>
      </c>
      <c r="N6602" s="345" t="s">
        <v>207</v>
      </c>
      <c r="O6602" s="345" t="s">
        <v>208</v>
      </c>
      <c r="P6602" s="345" t="s">
        <v>209</v>
      </c>
      <c r="Q6602" s="345" t="s">
        <v>210</v>
      </c>
      <c r="R6602" s="345" t="s">
        <v>223</v>
      </c>
      <c r="S6602" s="345" t="s">
        <v>224</v>
      </c>
    </row>
    <row r="6603" spans="1:19" x14ac:dyDescent="0.25">
      <c r="A6603" s="311"/>
      <c r="B6603" s="312"/>
      <c r="C6603" s="312"/>
      <c r="D6603" s="312"/>
      <c r="E6603" s="312"/>
      <c r="F6603" s="312"/>
      <c r="G6603" s="328"/>
      <c r="H6603" s="453"/>
      <c r="I6603" s="334"/>
      <c r="J6603" s="314"/>
      <c r="K6603" s="454"/>
      <c r="M6603" s="349" t="str">
        <f>N6603&amp;AS[[#This Row],[Insurer Code]]&amp;"; "&amp;O6603&amp;AS[[#This Row],[Reporting Year]]&amp;"; "&amp;P6603&amp;AS[[#This Row],[Insurance Category Code]]&amp;"; "&amp;Q6603&amp;AS[[#This Row],[Large Provider Entity Code]]&amp;"; "&amp;R6603&amp;AS[[#This Row],[Age Band Code]]&amp;"; "&amp;S6603&amp;AS[[#This Row],[Sex Code]]</f>
        <v xml:space="preserve">Insurer Code ; Reporting Year ; Insurance Category Code ; Large Provider Entity Code ; Age Band Code ; Sex Code </v>
      </c>
      <c r="N6603" s="345" t="s">
        <v>207</v>
      </c>
      <c r="O6603" s="345" t="s">
        <v>208</v>
      </c>
      <c r="P6603" s="345" t="s">
        <v>209</v>
      </c>
      <c r="Q6603" s="345" t="s">
        <v>210</v>
      </c>
      <c r="R6603" s="345" t="s">
        <v>223</v>
      </c>
      <c r="S6603" s="345" t="s">
        <v>224</v>
      </c>
    </row>
    <row r="6604" spans="1:19" x14ac:dyDescent="0.25">
      <c r="A6604" s="311"/>
      <c r="B6604" s="312"/>
      <c r="C6604" s="312"/>
      <c r="D6604" s="312"/>
      <c r="E6604" s="312"/>
      <c r="F6604" s="312"/>
      <c r="G6604" s="328"/>
      <c r="H6604" s="453"/>
      <c r="I6604" s="334"/>
      <c r="J6604" s="314"/>
      <c r="K6604" s="454"/>
      <c r="M6604" s="349" t="str">
        <f>N6604&amp;AS[[#This Row],[Insurer Code]]&amp;"; "&amp;O6604&amp;AS[[#This Row],[Reporting Year]]&amp;"; "&amp;P6604&amp;AS[[#This Row],[Insurance Category Code]]&amp;"; "&amp;Q6604&amp;AS[[#This Row],[Large Provider Entity Code]]&amp;"; "&amp;R6604&amp;AS[[#This Row],[Age Band Code]]&amp;"; "&amp;S6604&amp;AS[[#This Row],[Sex Code]]</f>
        <v xml:space="preserve">Insurer Code ; Reporting Year ; Insurance Category Code ; Large Provider Entity Code ; Age Band Code ; Sex Code </v>
      </c>
      <c r="N6604" s="345" t="s">
        <v>207</v>
      </c>
      <c r="O6604" s="345" t="s">
        <v>208</v>
      </c>
      <c r="P6604" s="345" t="s">
        <v>209</v>
      </c>
      <c r="Q6604" s="345" t="s">
        <v>210</v>
      </c>
      <c r="R6604" s="345" t="s">
        <v>223</v>
      </c>
      <c r="S6604" s="345" t="s">
        <v>224</v>
      </c>
    </row>
    <row r="6605" spans="1:19" x14ac:dyDescent="0.25">
      <c r="A6605" s="311"/>
      <c r="B6605" s="312"/>
      <c r="C6605" s="312"/>
      <c r="D6605" s="312"/>
      <c r="E6605" s="312"/>
      <c r="F6605" s="312"/>
      <c r="G6605" s="328"/>
      <c r="H6605" s="453"/>
      <c r="I6605" s="334"/>
      <c r="J6605" s="314"/>
      <c r="K6605" s="454"/>
      <c r="M6605" s="349" t="str">
        <f>N6605&amp;AS[[#This Row],[Insurer Code]]&amp;"; "&amp;O6605&amp;AS[[#This Row],[Reporting Year]]&amp;"; "&amp;P6605&amp;AS[[#This Row],[Insurance Category Code]]&amp;"; "&amp;Q6605&amp;AS[[#This Row],[Large Provider Entity Code]]&amp;"; "&amp;R6605&amp;AS[[#This Row],[Age Band Code]]&amp;"; "&amp;S6605&amp;AS[[#This Row],[Sex Code]]</f>
        <v xml:space="preserve">Insurer Code ; Reporting Year ; Insurance Category Code ; Large Provider Entity Code ; Age Band Code ; Sex Code </v>
      </c>
      <c r="N6605" s="345" t="s">
        <v>207</v>
      </c>
      <c r="O6605" s="345" t="s">
        <v>208</v>
      </c>
      <c r="P6605" s="345" t="s">
        <v>209</v>
      </c>
      <c r="Q6605" s="345" t="s">
        <v>210</v>
      </c>
      <c r="R6605" s="345" t="s">
        <v>223</v>
      </c>
      <c r="S6605" s="345" t="s">
        <v>224</v>
      </c>
    </row>
    <row r="6606" spans="1:19" x14ac:dyDescent="0.25">
      <c r="A6606" s="311"/>
      <c r="B6606" s="312"/>
      <c r="C6606" s="312"/>
      <c r="D6606" s="312"/>
      <c r="E6606" s="312"/>
      <c r="F6606" s="312"/>
      <c r="G6606" s="328"/>
      <c r="H6606" s="453"/>
      <c r="I6606" s="334"/>
      <c r="J6606" s="314"/>
      <c r="K6606" s="454"/>
      <c r="M6606" s="349" t="str">
        <f>N6606&amp;AS[[#This Row],[Insurer Code]]&amp;"; "&amp;O6606&amp;AS[[#This Row],[Reporting Year]]&amp;"; "&amp;P6606&amp;AS[[#This Row],[Insurance Category Code]]&amp;"; "&amp;Q6606&amp;AS[[#This Row],[Large Provider Entity Code]]&amp;"; "&amp;R6606&amp;AS[[#This Row],[Age Band Code]]&amp;"; "&amp;S6606&amp;AS[[#This Row],[Sex Code]]</f>
        <v xml:space="preserve">Insurer Code ; Reporting Year ; Insurance Category Code ; Large Provider Entity Code ; Age Band Code ; Sex Code </v>
      </c>
      <c r="N6606" s="345" t="s">
        <v>207</v>
      </c>
      <c r="O6606" s="345" t="s">
        <v>208</v>
      </c>
      <c r="P6606" s="345" t="s">
        <v>209</v>
      </c>
      <c r="Q6606" s="345" t="s">
        <v>210</v>
      </c>
      <c r="R6606" s="345" t="s">
        <v>223</v>
      </c>
      <c r="S6606" s="345" t="s">
        <v>224</v>
      </c>
    </row>
    <row r="6607" spans="1:19" x14ac:dyDescent="0.25">
      <c r="A6607" s="311"/>
      <c r="B6607" s="312"/>
      <c r="C6607" s="312"/>
      <c r="D6607" s="312"/>
      <c r="E6607" s="312"/>
      <c r="F6607" s="312"/>
      <c r="G6607" s="328"/>
      <c r="H6607" s="453"/>
      <c r="I6607" s="334"/>
      <c r="J6607" s="314"/>
      <c r="K6607" s="454"/>
      <c r="M6607" s="349" t="str">
        <f>N6607&amp;AS[[#This Row],[Insurer Code]]&amp;"; "&amp;O6607&amp;AS[[#This Row],[Reporting Year]]&amp;"; "&amp;P6607&amp;AS[[#This Row],[Insurance Category Code]]&amp;"; "&amp;Q6607&amp;AS[[#This Row],[Large Provider Entity Code]]&amp;"; "&amp;R6607&amp;AS[[#This Row],[Age Band Code]]&amp;"; "&amp;S6607&amp;AS[[#This Row],[Sex Code]]</f>
        <v xml:space="preserve">Insurer Code ; Reporting Year ; Insurance Category Code ; Large Provider Entity Code ; Age Band Code ; Sex Code </v>
      </c>
      <c r="N6607" s="345" t="s">
        <v>207</v>
      </c>
      <c r="O6607" s="345" t="s">
        <v>208</v>
      </c>
      <c r="P6607" s="345" t="s">
        <v>209</v>
      </c>
      <c r="Q6607" s="345" t="s">
        <v>210</v>
      </c>
      <c r="R6607" s="345" t="s">
        <v>223</v>
      </c>
      <c r="S6607" s="345" t="s">
        <v>224</v>
      </c>
    </row>
    <row r="6608" spans="1:19" x14ac:dyDescent="0.25">
      <c r="A6608" s="311"/>
      <c r="B6608" s="312"/>
      <c r="C6608" s="312"/>
      <c r="D6608" s="312"/>
      <c r="E6608" s="312"/>
      <c r="F6608" s="312"/>
      <c r="G6608" s="328"/>
      <c r="H6608" s="453"/>
      <c r="I6608" s="334"/>
      <c r="J6608" s="314"/>
      <c r="K6608" s="454"/>
      <c r="M6608" s="349" t="str">
        <f>N6608&amp;AS[[#This Row],[Insurer Code]]&amp;"; "&amp;O6608&amp;AS[[#This Row],[Reporting Year]]&amp;"; "&amp;P6608&amp;AS[[#This Row],[Insurance Category Code]]&amp;"; "&amp;Q6608&amp;AS[[#This Row],[Large Provider Entity Code]]&amp;"; "&amp;R6608&amp;AS[[#This Row],[Age Band Code]]&amp;"; "&amp;S6608&amp;AS[[#This Row],[Sex Code]]</f>
        <v xml:space="preserve">Insurer Code ; Reporting Year ; Insurance Category Code ; Large Provider Entity Code ; Age Band Code ; Sex Code </v>
      </c>
      <c r="N6608" s="345" t="s">
        <v>207</v>
      </c>
      <c r="O6608" s="345" t="s">
        <v>208</v>
      </c>
      <c r="P6608" s="345" t="s">
        <v>209</v>
      </c>
      <c r="Q6608" s="345" t="s">
        <v>210</v>
      </c>
      <c r="R6608" s="345" t="s">
        <v>223</v>
      </c>
      <c r="S6608" s="345" t="s">
        <v>224</v>
      </c>
    </row>
    <row r="6609" spans="1:19" x14ac:dyDescent="0.25">
      <c r="A6609" s="311"/>
      <c r="B6609" s="312"/>
      <c r="C6609" s="312"/>
      <c r="D6609" s="312"/>
      <c r="E6609" s="312"/>
      <c r="F6609" s="312"/>
      <c r="G6609" s="328"/>
      <c r="H6609" s="453"/>
      <c r="I6609" s="334"/>
      <c r="J6609" s="314"/>
      <c r="K6609" s="454"/>
      <c r="M6609" s="349" t="str">
        <f>N6609&amp;AS[[#This Row],[Insurer Code]]&amp;"; "&amp;O6609&amp;AS[[#This Row],[Reporting Year]]&amp;"; "&amp;P6609&amp;AS[[#This Row],[Insurance Category Code]]&amp;"; "&amp;Q6609&amp;AS[[#This Row],[Large Provider Entity Code]]&amp;"; "&amp;R6609&amp;AS[[#This Row],[Age Band Code]]&amp;"; "&amp;S6609&amp;AS[[#This Row],[Sex Code]]</f>
        <v xml:space="preserve">Insurer Code ; Reporting Year ; Insurance Category Code ; Large Provider Entity Code ; Age Band Code ; Sex Code </v>
      </c>
      <c r="N6609" s="345" t="s">
        <v>207</v>
      </c>
      <c r="O6609" s="345" t="s">
        <v>208</v>
      </c>
      <c r="P6609" s="345" t="s">
        <v>209</v>
      </c>
      <c r="Q6609" s="345" t="s">
        <v>210</v>
      </c>
      <c r="R6609" s="345" t="s">
        <v>223</v>
      </c>
      <c r="S6609" s="345" t="s">
        <v>224</v>
      </c>
    </row>
    <row r="6610" spans="1:19" x14ac:dyDescent="0.25">
      <c r="A6610" s="311"/>
      <c r="B6610" s="312"/>
      <c r="C6610" s="312"/>
      <c r="D6610" s="312"/>
      <c r="E6610" s="312"/>
      <c r="F6610" s="312"/>
      <c r="G6610" s="328"/>
      <c r="H6610" s="453"/>
      <c r="I6610" s="334"/>
      <c r="J6610" s="314"/>
      <c r="K6610" s="454"/>
      <c r="M6610" s="349" t="str">
        <f>N6610&amp;AS[[#This Row],[Insurer Code]]&amp;"; "&amp;O6610&amp;AS[[#This Row],[Reporting Year]]&amp;"; "&amp;P6610&amp;AS[[#This Row],[Insurance Category Code]]&amp;"; "&amp;Q6610&amp;AS[[#This Row],[Large Provider Entity Code]]&amp;"; "&amp;R6610&amp;AS[[#This Row],[Age Band Code]]&amp;"; "&amp;S6610&amp;AS[[#This Row],[Sex Code]]</f>
        <v xml:space="preserve">Insurer Code ; Reporting Year ; Insurance Category Code ; Large Provider Entity Code ; Age Band Code ; Sex Code </v>
      </c>
      <c r="N6610" s="345" t="s">
        <v>207</v>
      </c>
      <c r="O6610" s="345" t="s">
        <v>208</v>
      </c>
      <c r="P6610" s="345" t="s">
        <v>209</v>
      </c>
      <c r="Q6610" s="345" t="s">
        <v>210</v>
      </c>
      <c r="R6610" s="345" t="s">
        <v>223</v>
      </c>
      <c r="S6610" s="345" t="s">
        <v>224</v>
      </c>
    </row>
    <row r="6611" spans="1:19" x14ac:dyDescent="0.25">
      <c r="A6611" s="311"/>
      <c r="B6611" s="312"/>
      <c r="C6611" s="312"/>
      <c r="D6611" s="312"/>
      <c r="E6611" s="312"/>
      <c r="F6611" s="312"/>
      <c r="G6611" s="328"/>
      <c r="H6611" s="453"/>
      <c r="I6611" s="334"/>
      <c r="J6611" s="314"/>
      <c r="K6611" s="454"/>
      <c r="M6611" s="349" t="str">
        <f>N6611&amp;AS[[#This Row],[Insurer Code]]&amp;"; "&amp;O6611&amp;AS[[#This Row],[Reporting Year]]&amp;"; "&amp;P6611&amp;AS[[#This Row],[Insurance Category Code]]&amp;"; "&amp;Q6611&amp;AS[[#This Row],[Large Provider Entity Code]]&amp;"; "&amp;R6611&amp;AS[[#This Row],[Age Band Code]]&amp;"; "&amp;S6611&amp;AS[[#This Row],[Sex Code]]</f>
        <v xml:space="preserve">Insurer Code ; Reporting Year ; Insurance Category Code ; Large Provider Entity Code ; Age Band Code ; Sex Code </v>
      </c>
      <c r="N6611" s="345" t="s">
        <v>207</v>
      </c>
      <c r="O6611" s="345" t="s">
        <v>208</v>
      </c>
      <c r="P6611" s="345" t="s">
        <v>209</v>
      </c>
      <c r="Q6611" s="345" t="s">
        <v>210</v>
      </c>
      <c r="R6611" s="345" t="s">
        <v>223</v>
      </c>
      <c r="S6611" s="345" t="s">
        <v>224</v>
      </c>
    </row>
    <row r="6612" spans="1:19" x14ac:dyDescent="0.25">
      <c r="A6612" s="311"/>
      <c r="B6612" s="312"/>
      <c r="C6612" s="312"/>
      <c r="D6612" s="312"/>
      <c r="E6612" s="312"/>
      <c r="F6612" s="312"/>
      <c r="G6612" s="328"/>
      <c r="H6612" s="453"/>
      <c r="I6612" s="334"/>
      <c r="J6612" s="314"/>
      <c r="K6612" s="454"/>
      <c r="M6612" s="349" t="str">
        <f>N6612&amp;AS[[#This Row],[Insurer Code]]&amp;"; "&amp;O6612&amp;AS[[#This Row],[Reporting Year]]&amp;"; "&amp;P6612&amp;AS[[#This Row],[Insurance Category Code]]&amp;"; "&amp;Q6612&amp;AS[[#This Row],[Large Provider Entity Code]]&amp;"; "&amp;R6612&amp;AS[[#This Row],[Age Band Code]]&amp;"; "&amp;S6612&amp;AS[[#This Row],[Sex Code]]</f>
        <v xml:space="preserve">Insurer Code ; Reporting Year ; Insurance Category Code ; Large Provider Entity Code ; Age Band Code ; Sex Code </v>
      </c>
      <c r="N6612" s="345" t="s">
        <v>207</v>
      </c>
      <c r="O6612" s="345" t="s">
        <v>208</v>
      </c>
      <c r="P6612" s="345" t="s">
        <v>209</v>
      </c>
      <c r="Q6612" s="345" t="s">
        <v>210</v>
      </c>
      <c r="R6612" s="345" t="s">
        <v>223</v>
      </c>
      <c r="S6612" s="345" t="s">
        <v>224</v>
      </c>
    </row>
    <row r="6613" spans="1:19" x14ac:dyDescent="0.25">
      <c r="A6613" s="311"/>
      <c r="B6613" s="312"/>
      <c r="C6613" s="312"/>
      <c r="D6613" s="312"/>
      <c r="E6613" s="312"/>
      <c r="F6613" s="312"/>
      <c r="G6613" s="328"/>
      <c r="H6613" s="453"/>
      <c r="I6613" s="334"/>
      <c r="J6613" s="314"/>
      <c r="K6613" s="454"/>
      <c r="M6613" s="349" t="str">
        <f>N6613&amp;AS[[#This Row],[Insurer Code]]&amp;"; "&amp;O6613&amp;AS[[#This Row],[Reporting Year]]&amp;"; "&amp;P6613&amp;AS[[#This Row],[Insurance Category Code]]&amp;"; "&amp;Q6613&amp;AS[[#This Row],[Large Provider Entity Code]]&amp;"; "&amp;R6613&amp;AS[[#This Row],[Age Band Code]]&amp;"; "&amp;S6613&amp;AS[[#This Row],[Sex Code]]</f>
        <v xml:space="preserve">Insurer Code ; Reporting Year ; Insurance Category Code ; Large Provider Entity Code ; Age Band Code ; Sex Code </v>
      </c>
      <c r="N6613" s="345" t="s">
        <v>207</v>
      </c>
      <c r="O6613" s="345" t="s">
        <v>208</v>
      </c>
      <c r="P6613" s="345" t="s">
        <v>209</v>
      </c>
      <c r="Q6613" s="345" t="s">
        <v>210</v>
      </c>
      <c r="R6613" s="345" t="s">
        <v>223</v>
      </c>
      <c r="S6613" s="345" t="s">
        <v>224</v>
      </c>
    </row>
    <row r="6614" spans="1:19" x14ac:dyDescent="0.25">
      <c r="A6614" s="311"/>
      <c r="B6614" s="312"/>
      <c r="C6614" s="312"/>
      <c r="D6614" s="312"/>
      <c r="E6614" s="312"/>
      <c r="F6614" s="312"/>
      <c r="G6614" s="328"/>
      <c r="H6614" s="453"/>
      <c r="I6614" s="334"/>
      <c r="J6614" s="314"/>
      <c r="K6614" s="454"/>
      <c r="M6614" s="349" t="str">
        <f>N6614&amp;AS[[#This Row],[Insurer Code]]&amp;"; "&amp;O6614&amp;AS[[#This Row],[Reporting Year]]&amp;"; "&amp;P6614&amp;AS[[#This Row],[Insurance Category Code]]&amp;"; "&amp;Q6614&amp;AS[[#This Row],[Large Provider Entity Code]]&amp;"; "&amp;R6614&amp;AS[[#This Row],[Age Band Code]]&amp;"; "&amp;S6614&amp;AS[[#This Row],[Sex Code]]</f>
        <v xml:space="preserve">Insurer Code ; Reporting Year ; Insurance Category Code ; Large Provider Entity Code ; Age Band Code ; Sex Code </v>
      </c>
      <c r="N6614" s="345" t="s">
        <v>207</v>
      </c>
      <c r="O6614" s="345" t="s">
        <v>208</v>
      </c>
      <c r="P6614" s="345" t="s">
        <v>209</v>
      </c>
      <c r="Q6614" s="345" t="s">
        <v>210</v>
      </c>
      <c r="R6614" s="345" t="s">
        <v>223</v>
      </c>
      <c r="S6614" s="345" t="s">
        <v>224</v>
      </c>
    </row>
    <row r="6615" spans="1:19" x14ac:dyDescent="0.25">
      <c r="A6615" s="311"/>
      <c r="B6615" s="312"/>
      <c r="C6615" s="312"/>
      <c r="D6615" s="312"/>
      <c r="E6615" s="312"/>
      <c r="F6615" s="312"/>
      <c r="G6615" s="328"/>
      <c r="H6615" s="453"/>
      <c r="I6615" s="334"/>
      <c r="J6615" s="314"/>
      <c r="K6615" s="454"/>
      <c r="M6615" s="349" t="str">
        <f>N6615&amp;AS[[#This Row],[Insurer Code]]&amp;"; "&amp;O6615&amp;AS[[#This Row],[Reporting Year]]&amp;"; "&amp;P6615&amp;AS[[#This Row],[Insurance Category Code]]&amp;"; "&amp;Q6615&amp;AS[[#This Row],[Large Provider Entity Code]]&amp;"; "&amp;R6615&amp;AS[[#This Row],[Age Band Code]]&amp;"; "&amp;S6615&amp;AS[[#This Row],[Sex Code]]</f>
        <v xml:space="preserve">Insurer Code ; Reporting Year ; Insurance Category Code ; Large Provider Entity Code ; Age Band Code ; Sex Code </v>
      </c>
      <c r="N6615" s="345" t="s">
        <v>207</v>
      </c>
      <c r="O6615" s="345" t="s">
        <v>208</v>
      </c>
      <c r="P6615" s="345" t="s">
        <v>209</v>
      </c>
      <c r="Q6615" s="345" t="s">
        <v>210</v>
      </c>
      <c r="R6615" s="345" t="s">
        <v>223</v>
      </c>
      <c r="S6615" s="345" t="s">
        <v>224</v>
      </c>
    </row>
    <row r="6616" spans="1:19" x14ac:dyDescent="0.25">
      <c r="A6616" s="311"/>
      <c r="B6616" s="312"/>
      <c r="C6616" s="312"/>
      <c r="D6616" s="312"/>
      <c r="E6616" s="312"/>
      <c r="F6616" s="312"/>
      <c r="G6616" s="328"/>
      <c r="H6616" s="453"/>
      <c r="I6616" s="334"/>
      <c r="J6616" s="314"/>
      <c r="K6616" s="454"/>
      <c r="M6616" s="349" t="str">
        <f>N6616&amp;AS[[#This Row],[Insurer Code]]&amp;"; "&amp;O6616&amp;AS[[#This Row],[Reporting Year]]&amp;"; "&amp;P6616&amp;AS[[#This Row],[Insurance Category Code]]&amp;"; "&amp;Q6616&amp;AS[[#This Row],[Large Provider Entity Code]]&amp;"; "&amp;R6616&amp;AS[[#This Row],[Age Band Code]]&amp;"; "&amp;S6616&amp;AS[[#This Row],[Sex Code]]</f>
        <v xml:space="preserve">Insurer Code ; Reporting Year ; Insurance Category Code ; Large Provider Entity Code ; Age Band Code ; Sex Code </v>
      </c>
      <c r="N6616" s="345" t="s">
        <v>207</v>
      </c>
      <c r="O6616" s="345" t="s">
        <v>208</v>
      </c>
      <c r="P6616" s="345" t="s">
        <v>209</v>
      </c>
      <c r="Q6616" s="345" t="s">
        <v>210</v>
      </c>
      <c r="R6616" s="345" t="s">
        <v>223</v>
      </c>
      <c r="S6616" s="345" t="s">
        <v>224</v>
      </c>
    </row>
    <row r="6617" spans="1:19" x14ac:dyDescent="0.25">
      <c r="A6617" s="311"/>
      <c r="B6617" s="312"/>
      <c r="C6617" s="312"/>
      <c r="D6617" s="312"/>
      <c r="E6617" s="312"/>
      <c r="F6617" s="312"/>
      <c r="G6617" s="328"/>
      <c r="H6617" s="453"/>
      <c r="I6617" s="334"/>
      <c r="J6617" s="314"/>
      <c r="K6617" s="454"/>
      <c r="M6617" s="349" t="str">
        <f>N6617&amp;AS[[#This Row],[Insurer Code]]&amp;"; "&amp;O6617&amp;AS[[#This Row],[Reporting Year]]&amp;"; "&amp;P6617&amp;AS[[#This Row],[Insurance Category Code]]&amp;"; "&amp;Q6617&amp;AS[[#This Row],[Large Provider Entity Code]]&amp;"; "&amp;R6617&amp;AS[[#This Row],[Age Band Code]]&amp;"; "&amp;S6617&amp;AS[[#This Row],[Sex Code]]</f>
        <v xml:space="preserve">Insurer Code ; Reporting Year ; Insurance Category Code ; Large Provider Entity Code ; Age Band Code ; Sex Code </v>
      </c>
      <c r="N6617" s="345" t="s">
        <v>207</v>
      </c>
      <c r="O6617" s="345" t="s">
        <v>208</v>
      </c>
      <c r="P6617" s="345" t="s">
        <v>209</v>
      </c>
      <c r="Q6617" s="345" t="s">
        <v>210</v>
      </c>
      <c r="R6617" s="345" t="s">
        <v>223</v>
      </c>
      <c r="S6617" s="345" t="s">
        <v>224</v>
      </c>
    </row>
    <row r="6618" spans="1:19" x14ac:dyDescent="0.25">
      <c r="A6618" s="311"/>
      <c r="B6618" s="312"/>
      <c r="C6618" s="312"/>
      <c r="D6618" s="312"/>
      <c r="E6618" s="312"/>
      <c r="F6618" s="312"/>
      <c r="G6618" s="328"/>
      <c r="H6618" s="453"/>
      <c r="I6618" s="334"/>
      <c r="J6618" s="314"/>
      <c r="K6618" s="454"/>
      <c r="M6618" s="349" t="str">
        <f>N6618&amp;AS[[#This Row],[Insurer Code]]&amp;"; "&amp;O6618&amp;AS[[#This Row],[Reporting Year]]&amp;"; "&amp;P6618&amp;AS[[#This Row],[Insurance Category Code]]&amp;"; "&amp;Q6618&amp;AS[[#This Row],[Large Provider Entity Code]]&amp;"; "&amp;R6618&amp;AS[[#This Row],[Age Band Code]]&amp;"; "&amp;S6618&amp;AS[[#This Row],[Sex Code]]</f>
        <v xml:space="preserve">Insurer Code ; Reporting Year ; Insurance Category Code ; Large Provider Entity Code ; Age Band Code ; Sex Code </v>
      </c>
      <c r="N6618" s="345" t="s">
        <v>207</v>
      </c>
      <c r="O6618" s="345" t="s">
        <v>208</v>
      </c>
      <c r="P6618" s="345" t="s">
        <v>209</v>
      </c>
      <c r="Q6618" s="345" t="s">
        <v>210</v>
      </c>
      <c r="R6618" s="345" t="s">
        <v>223</v>
      </c>
      <c r="S6618" s="345" t="s">
        <v>224</v>
      </c>
    </row>
    <row r="6619" spans="1:19" x14ac:dyDescent="0.25">
      <c r="A6619" s="311"/>
      <c r="B6619" s="312"/>
      <c r="C6619" s="312"/>
      <c r="D6619" s="312"/>
      <c r="E6619" s="312"/>
      <c r="F6619" s="312"/>
      <c r="G6619" s="328"/>
      <c r="H6619" s="453"/>
      <c r="I6619" s="334"/>
      <c r="J6619" s="314"/>
      <c r="K6619" s="454"/>
      <c r="M6619" s="349" t="str">
        <f>N6619&amp;AS[[#This Row],[Insurer Code]]&amp;"; "&amp;O6619&amp;AS[[#This Row],[Reporting Year]]&amp;"; "&amp;P6619&amp;AS[[#This Row],[Insurance Category Code]]&amp;"; "&amp;Q6619&amp;AS[[#This Row],[Large Provider Entity Code]]&amp;"; "&amp;R6619&amp;AS[[#This Row],[Age Band Code]]&amp;"; "&amp;S6619&amp;AS[[#This Row],[Sex Code]]</f>
        <v xml:space="preserve">Insurer Code ; Reporting Year ; Insurance Category Code ; Large Provider Entity Code ; Age Band Code ; Sex Code </v>
      </c>
      <c r="N6619" s="345" t="s">
        <v>207</v>
      </c>
      <c r="O6619" s="345" t="s">
        <v>208</v>
      </c>
      <c r="P6619" s="345" t="s">
        <v>209</v>
      </c>
      <c r="Q6619" s="345" t="s">
        <v>210</v>
      </c>
      <c r="R6619" s="345" t="s">
        <v>223</v>
      </c>
      <c r="S6619" s="345" t="s">
        <v>224</v>
      </c>
    </row>
    <row r="6620" spans="1:19" x14ac:dyDescent="0.25">
      <c r="A6620" s="311"/>
      <c r="B6620" s="312"/>
      <c r="C6620" s="312"/>
      <c r="D6620" s="312"/>
      <c r="E6620" s="312"/>
      <c r="F6620" s="312"/>
      <c r="G6620" s="328"/>
      <c r="H6620" s="453"/>
      <c r="I6620" s="334"/>
      <c r="J6620" s="314"/>
      <c r="K6620" s="454"/>
      <c r="M6620" s="349" t="str">
        <f>N6620&amp;AS[[#This Row],[Insurer Code]]&amp;"; "&amp;O6620&amp;AS[[#This Row],[Reporting Year]]&amp;"; "&amp;P6620&amp;AS[[#This Row],[Insurance Category Code]]&amp;"; "&amp;Q6620&amp;AS[[#This Row],[Large Provider Entity Code]]&amp;"; "&amp;R6620&amp;AS[[#This Row],[Age Band Code]]&amp;"; "&amp;S6620&amp;AS[[#This Row],[Sex Code]]</f>
        <v xml:space="preserve">Insurer Code ; Reporting Year ; Insurance Category Code ; Large Provider Entity Code ; Age Band Code ; Sex Code </v>
      </c>
      <c r="N6620" s="345" t="s">
        <v>207</v>
      </c>
      <c r="O6620" s="345" t="s">
        <v>208</v>
      </c>
      <c r="P6620" s="345" t="s">
        <v>209</v>
      </c>
      <c r="Q6620" s="345" t="s">
        <v>210</v>
      </c>
      <c r="R6620" s="345" t="s">
        <v>223</v>
      </c>
      <c r="S6620" s="345" t="s">
        <v>224</v>
      </c>
    </row>
    <row r="6621" spans="1:19" x14ac:dyDescent="0.25">
      <c r="A6621" s="311"/>
      <c r="B6621" s="312"/>
      <c r="C6621" s="312"/>
      <c r="D6621" s="312"/>
      <c r="E6621" s="312"/>
      <c r="F6621" s="312"/>
      <c r="G6621" s="328"/>
      <c r="H6621" s="453"/>
      <c r="I6621" s="334"/>
      <c r="J6621" s="314"/>
      <c r="K6621" s="454"/>
      <c r="M6621" s="349" t="str">
        <f>N6621&amp;AS[[#This Row],[Insurer Code]]&amp;"; "&amp;O6621&amp;AS[[#This Row],[Reporting Year]]&amp;"; "&amp;P6621&amp;AS[[#This Row],[Insurance Category Code]]&amp;"; "&amp;Q6621&amp;AS[[#This Row],[Large Provider Entity Code]]&amp;"; "&amp;R6621&amp;AS[[#This Row],[Age Band Code]]&amp;"; "&amp;S6621&amp;AS[[#This Row],[Sex Code]]</f>
        <v xml:space="preserve">Insurer Code ; Reporting Year ; Insurance Category Code ; Large Provider Entity Code ; Age Band Code ; Sex Code </v>
      </c>
      <c r="N6621" s="345" t="s">
        <v>207</v>
      </c>
      <c r="O6621" s="345" t="s">
        <v>208</v>
      </c>
      <c r="P6621" s="345" t="s">
        <v>209</v>
      </c>
      <c r="Q6621" s="345" t="s">
        <v>210</v>
      </c>
      <c r="R6621" s="345" t="s">
        <v>223</v>
      </c>
      <c r="S6621" s="345" t="s">
        <v>224</v>
      </c>
    </row>
    <row r="6622" spans="1:19" x14ac:dyDescent="0.25">
      <c r="A6622" s="311"/>
      <c r="B6622" s="312"/>
      <c r="C6622" s="312"/>
      <c r="D6622" s="312"/>
      <c r="E6622" s="312"/>
      <c r="F6622" s="312"/>
      <c r="G6622" s="328"/>
      <c r="H6622" s="453"/>
      <c r="I6622" s="334"/>
      <c r="J6622" s="314"/>
      <c r="K6622" s="454"/>
      <c r="M6622" s="349" t="str">
        <f>N6622&amp;AS[[#This Row],[Insurer Code]]&amp;"; "&amp;O6622&amp;AS[[#This Row],[Reporting Year]]&amp;"; "&amp;P6622&amp;AS[[#This Row],[Insurance Category Code]]&amp;"; "&amp;Q6622&amp;AS[[#This Row],[Large Provider Entity Code]]&amp;"; "&amp;R6622&amp;AS[[#This Row],[Age Band Code]]&amp;"; "&amp;S6622&amp;AS[[#This Row],[Sex Code]]</f>
        <v xml:space="preserve">Insurer Code ; Reporting Year ; Insurance Category Code ; Large Provider Entity Code ; Age Band Code ; Sex Code </v>
      </c>
      <c r="N6622" s="345" t="s">
        <v>207</v>
      </c>
      <c r="O6622" s="345" t="s">
        <v>208</v>
      </c>
      <c r="P6622" s="345" t="s">
        <v>209</v>
      </c>
      <c r="Q6622" s="345" t="s">
        <v>210</v>
      </c>
      <c r="R6622" s="345" t="s">
        <v>223</v>
      </c>
      <c r="S6622" s="345" t="s">
        <v>224</v>
      </c>
    </row>
    <row r="6623" spans="1:19" x14ac:dyDescent="0.25">
      <c r="A6623" s="311"/>
      <c r="B6623" s="312"/>
      <c r="C6623" s="312"/>
      <c r="D6623" s="312"/>
      <c r="E6623" s="312"/>
      <c r="F6623" s="312"/>
      <c r="G6623" s="328"/>
      <c r="H6623" s="453"/>
      <c r="I6623" s="334"/>
      <c r="J6623" s="314"/>
      <c r="K6623" s="454"/>
      <c r="M6623" s="349" t="str">
        <f>N6623&amp;AS[[#This Row],[Insurer Code]]&amp;"; "&amp;O6623&amp;AS[[#This Row],[Reporting Year]]&amp;"; "&amp;P6623&amp;AS[[#This Row],[Insurance Category Code]]&amp;"; "&amp;Q6623&amp;AS[[#This Row],[Large Provider Entity Code]]&amp;"; "&amp;R6623&amp;AS[[#This Row],[Age Band Code]]&amp;"; "&amp;S6623&amp;AS[[#This Row],[Sex Code]]</f>
        <v xml:space="preserve">Insurer Code ; Reporting Year ; Insurance Category Code ; Large Provider Entity Code ; Age Band Code ; Sex Code </v>
      </c>
      <c r="N6623" s="345" t="s">
        <v>207</v>
      </c>
      <c r="O6623" s="345" t="s">
        <v>208</v>
      </c>
      <c r="P6623" s="345" t="s">
        <v>209</v>
      </c>
      <c r="Q6623" s="345" t="s">
        <v>210</v>
      </c>
      <c r="R6623" s="345" t="s">
        <v>223</v>
      </c>
      <c r="S6623" s="345" t="s">
        <v>224</v>
      </c>
    </row>
    <row r="6624" spans="1:19" x14ac:dyDescent="0.25">
      <c r="A6624" s="311"/>
      <c r="B6624" s="312"/>
      <c r="C6624" s="312"/>
      <c r="D6624" s="312"/>
      <c r="E6624" s="312"/>
      <c r="F6624" s="312"/>
      <c r="G6624" s="328"/>
      <c r="H6624" s="453"/>
      <c r="I6624" s="334"/>
      <c r="J6624" s="314"/>
      <c r="K6624" s="454"/>
      <c r="M6624" s="349" t="str">
        <f>N6624&amp;AS[[#This Row],[Insurer Code]]&amp;"; "&amp;O6624&amp;AS[[#This Row],[Reporting Year]]&amp;"; "&amp;P6624&amp;AS[[#This Row],[Insurance Category Code]]&amp;"; "&amp;Q6624&amp;AS[[#This Row],[Large Provider Entity Code]]&amp;"; "&amp;R6624&amp;AS[[#This Row],[Age Band Code]]&amp;"; "&amp;S6624&amp;AS[[#This Row],[Sex Code]]</f>
        <v xml:space="preserve">Insurer Code ; Reporting Year ; Insurance Category Code ; Large Provider Entity Code ; Age Band Code ; Sex Code </v>
      </c>
      <c r="N6624" s="345" t="s">
        <v>207</v>
      </c>
      <c r="O6624" s="345" t="s">
        <v>208</v>
      </c>
      <c r="P6624" s="345" t="s">
        <v>209</v>
      </c>
      <c r="Q6624" s="345" t="s">
        <v>210</v>
      </c>
      <c r="R6624" s="345" t="s">
        <v>223</v>
      </c>
      <c r="S6624" s="345" t="s">
        <v>224</v>
      </c>
    </row>
    <row r="6625" spans="1:19" x14ac:dyDescent="0.25">
      <c r="A6625" s="311"/>
      <c r="B6625" s="312"/>
      <c r="C6625" s="312"/>
      <c r="D6625" s="312"/>
      <c r="E6625" s="312"/>
      <c r="F6625" s="312"/>
      <c r="G6625" s="328"/>
      <c r="H6625" s="453"/>
      <c r="I6625" s="334"/>
      <c r="J6625" s="314"/>
      <c r="K6625" s="454"/>
      <c r="M6625" s="349" t="str">
        <f>N6625&amp;AS[[#This Row],[Insurer Code]]&amp;"; "&amp;O6625&amp;AS[[#This Row],[Reporting Year]]&amp;"; "&amp;P6625&amp;AS[[#This Row],[Insurance Category Code]]&amp;"; "&amp;Q6625&amp;AS[[#This Row],[Large Provider Entity Code]]&amp;"; "&amp;R6625&amp;AS[[#This Row],[Age Band Code]]&amp;"; "&amp;S6625&amp;AS[[#This Row],[Sex Code]]</f>
        <v xml:space="preserve">Insurer Code ; Reporting Year ; Insurance Category Code ; Large Provider Entity Code ; Age Band Code ; Sex Code </v>
      </c>
      <c r="N6625" s="345" t="s">
        <v>207</v>
      </c>
      <c r="O6625" s="345" t="s">
        <v>208</v>
      </c>
      <c r="P6625" s="345" t="s">
        <v>209</v>
      </c>
      <c r="Q6625" s="345" t="s">
        <v>210</v>
      </c>
      <c r="R6625" s="345" t="s">
        <v>223</v>
      </c>
      <c r="S6625" s="345" t="s">
        <v>224</v>
      </c>
    </row>
    <row r="6626" spans="1:19" x14ac:dyDescent="0.25">
      <c r="A6626" s="311"/>
      <c r="B6626" s="312"/>
      <c r="C6626" s="312"/>
      <c r="D6626" s="312"/>
      <c r="E6626" s="312"/>
      <c r="F6626" s="312"/>
      <c r="G6626" s="328"/>
      <c r="H6626" s="453"/>
      <c r="I6626" s="334"/>
      <c r="J6626" s="314"/>
      <c r="K6626" s="454"/>
      <c r="M6626" s="349" t="str">
        <f>N6626&amp;AS[[#This Row],[Insurer Code]]&amp;"; "&amp;O6626&amp;AS[[#This Row],[Reporting Year]]&amp;"; "&amp;P6626&amp;AS[[#This Row],[Insurance Category Code]]&amp;"; "&amp;Q6626&amp;AS[[#This Row],[Large Provider Entity Code]]&amp;"; "&amp;R6626&amp;AS[[#This Row],[Age Band Code]]&amp;"; "&amp;S6626&amp;AS[[#This Row],[Sex Code]]</f>
        <v xml:space="preserve">Insurer Code ; Reporting Year ; Insurance Category Code ; Large Provider Entity Code ; Age Band Code ; Sex Code </v>
      </c>
      <c r="N6626" s="345" t="s">
        <v>207</v>
      </c>
      <c r="O6626" s="345" t="s">
        <v>208</v>
      </c>
      <c r="P6626" s="345" t="s">
        <v>209</v>
      </c>
      <c r="Q6626" s="345" t="s">
        <v>210</v>
      </c>
      <c r="R6626" s="345" t="s">
        <v>223</v>
      </c>
      <c r="S6626" s="345" t="s">
        <v>224</v>
      </c>
    </row>
    <row r="6627" spans="1:19" x14ac:dyDescent="0.25">
      <c r="A6627" s="311"/>
      <c r="B6627" s="312"/>
      <c r="C6627" s="312"/>
      <c r="D6627" s="312"/>
      <c r="E6627" s="312"/>
      <c r="F6627" s="312"/>
      <c r="G6627" s="328"/>
      <c r="H6627" s="453"/>
      <c r="I6627" s="334"/>
      <c r="J6627" s="314"/>
      <c r="K6627" s="454"/>
      <c r="M6627" s="349" t="str">
        <f>N6627&amp;AS[[#This Row],[Insurer Code]]&amp;"; "&amp;O6627&amp;AS[[#This Row],[Reporting Year]]&amp;"; "&amp;P6627&amp;AS[[#This Row],[Insurance Category Code]]&amp;"; "&amp;Q6627&amp;AS[[#This Row],[Large Provider Entity Code]]&amp;"; "&amp;R6627&amp;AS[[#This Row],[Age Band Code]]&amp;"; "&amp;S6627&amp;AS[[#This Row],[Sex Code]]</f>
        <v xml:space="preserve">Insurer Code ; Reporting Year ; Insurance Category Code ; Large Provider Entity Code ; Age Band Code ; Sex Code </v>
      </c>
      <c r="N6627" s="345" t="s">
        <v>207</v>
      </c>
      <c r="O6627" s="345" t="s">
        <v>208</v>
      </c>
      <c r="P6627" s="345" t="s">
        <v>209</v>
      </c>
      <c r="Q6627" s="345" t="s">
        <v>210</v>
      </c>
      <c r="R6627" s="345" t="s">
        <v>223</v>
      </c>
      <c r="S6627" s="345" t="s">
        <v>224</v>
      </c>
    </row>
    <row r="6628" spans="1:19" x14ac:dyDescent="0.25">
      <c r="A6628" s="311"/>
      <c r="B6628" s="312"/>
      <c r="C6628" s="312"/>
      <c r="D6628" s="312"/>
      <c r="E6628" s="312"/>
      <c r="F6628" s="312"/>
      <c r="G6628" s="328"/>
      <c r="H6628" s="453"/>
      <c r="I6628" s="334"/>
      <c r="J6628" s="314"/>
      <c r="K6628" s="454"/>
      <c r="M6628" s="349" t="str">
        <f>N6628&amp;AS[[#This Row],[Insurer Code]]&amp;"; "&amp;O6628&amp;AS[[#This Row],[Reporting Year]]&amp;"; "&amp;P6628&amp;AS[[#This Row],[Insurance Category Code]]&amp;"; "&amp;Q6628&amp;AS[[#This Row],[Large Provider Entity Code]]&amp;"; "&amp;R6628&amp;AS[[#This Row],[Age Band Code]]&amp;"; "&amp;S6628&amp;AS[[#This Row],[Sex Code]]</f>
        <v xml:space="preserve">Insurer Code ; Reporting Year ; Insurance Category Code ; Large Provider Entity Code ; Age Band Code ; Sex Code </v>
      </c>
      <c r="N6628" s="345" t="s">
        <v>207</v>
      </c>
      <c r="O6628" s="345" t="s">
        <v>208</v>
      </c>
      <c r="P6628" s="345" t="s">
        <v>209</v>
      </c>
      <c r="Q6628" s="345" t="s">
        <v>210</v>
      </c>
      <c r="R6628" s="345" t="s">
        <v>223</v>
      </c>
      <c r="S6628" s="345" t="s">
        <v>224</v>
      </c>
    </row>
    <row r="6629" spans="1:19" x14ac:dyDescent="0.25">
      <c r="A6629" s="311"/>
      <c r="B6629" s="312"/>
      <c r="C6629" s="312"/>
      <c r="D6629" s="312"/>
      <c r="E6629" s="312"/>
      <c r="F6629" s="312"/>
      <c r="G6629" s="328"/>
      <c r="H6629" s="453"/>
      <c r="I6629" s="334"/>
      <c r="J6629" s="314"/>
      <c r="K6629" s="454"/>
      <c r="M6629" s="349" t="str">
        <f>N6629&amp;AS[[#This Row],[Insurer Code]]&amp;"; "&amp;O6629&amp;AS[[#This Row],[Reporting Year]]&amp;"; "&amp;P6629&amp;AS[[#This Row],[Insurance Category Code]]&amp;"; "&amp;Q6629&amp;AS[[#This Row],[Large Provider Entity Code]]&amp;"; "&amp;R6629&amp;AS[[#This Row],[Age Band Code]]&amp;"; "&amp;S6629&amp;AS[[#This Row],[Sex Code]]</f>
        <v xml:space="preserve">Insurer Code ; Reporting Year ; Insurance Category Code ; Large Provider Entity Code ; Age Band Code ; Sex Code </v>
      </c>
      <c r="N6629" s="345" t="s">
        <v>207</v>
      </c>
      <c r="O6629" s="345" t="s">
        <v>208</v>
      </c>
      <c r="P6629" s="345" t="s">
        <v>209</v>
      </c>
      <c r="Q6629" s="345" t="s">
        <v>210</v>
      </c>
      <c r="R6629" s="345" t="s">
        <v>223</v>
      </c>
      <c r="S6629" s="345" t="s">
        <v>224</v>
      </c>
    </row>
    <row r="6630" spans="1:19" x14ac:dyDescent="0.25">
      <c r="A6630" s="311"/>
      <c r="B6630" s="312"/>
      <c r="C6630" s="312"/>
      <c r="D6630" s="312"/>
      <c r="E6630" s="312"/>
      <c r="F6630" s="312"/>
      <c r="G6630" s="328"/>
      <c r="H6630" s="453"/>
      <c r="I6630" s="334"/>
      <c r="J6630" s="314"/>
      <c r="K6630" s="454"/>
      <c r="M6630" s="349" t="str">
        <f>N6630&amp;AS[[#This Row],[Insurer Code]]&amp;"; "&amp;O6630&amp;AS[[#This Row],[Reporting Year]]&amp;"; "&amp;P6630&amp;AS[[#This Row],[Insurance Category Code]]&amp;"; "&amp;Q6630&amp;AS[[#This Row],[Large Provider Entity Code]]&amp;"; "&amp;R6630&amp;AS[[#This Row],[Age Band Code]]&amp;"; "&amp;S6630&amp;AS[[#This Row],[Sex Code]]</f>
        <v xml:space="preserve">Insurer Code ; Reporting Year ; Insurance Category Code ; Large Provider Entity Code ; Age Band Code ; Sex Code </v>
      </c>
      <c r="N6630" s="345" t="s">
        <v>207</v>
      </c>
      <c r="O6630" s="345" t="s">
        <v>208</v>
      </c>
      <c r="P6630" s="345" t="s">
        <v>209</v>
      </c>
      <c r="Q6630" s="345" t="s">
        <v>210</v>
      </c>
      <c r="R6630" s="345" t="s">
        <v>223</v>
      </c>
      <c r="S6630" s="345" t="s">
        <v>224</v>
      </c>
    </row>
    <row r="6631" spans="1:19" x14ac:dyDescent="0.25">
      <c r="A6631" s="311"/>
      <c r="B6631" s="312"/>
      <c r="C6631" s="312"/>
      <c r="D6631" s="312"/>
      <c r="E6631" s="312"/>
      <c r="F6631" s="312"/>
      <c r="G6631" s="328"/>
      <c r="H6631" s="453"/>
      <c r="I6631" s="334"/>
      <c r="J6631" s="314"/>
      <c r="K6631" s="454"/>
      <c r="M6631" s="349" t="str">
        <f>N6631&amp;AS[[#This Row],[Insurer Code]]&amp;"; "&amp;O6631&amp;AS[[#This Row],[Reporting Year]]&amp;"; "&amp;P6631&amp;AS[[#This Row],[Insurance Category Code]]&amp;"; "&amp;Q6631&amp;AS[[#This Row],[Large Provider Entity Code]]&amp;"; "&amp;R6631&amp;AS[[#This Row],[Age Band Code]]&amp;"; "&amp;S6631&amp;AS[[#This Row],[Sex Code]]</f>
        <v xml:space="preserve">Insurer Code ; Reporting Year ; Insurance Category Code ; Large Provider Entity Code ; Age Band Code ; Sex Code </v>
      </c>
      <c r="N6631" s="345" t="s">
        <v>207</v>
      </c>
      <c r="O6631" s="345" t="s">
        <v>208</v>
      </c>
      <c r="P6631" s="345" t="s">
        <v>209</v>
      </c>
      <c r="Q6631" s="345" t="s">
        <v>210</v>
      </c>
      <c r="R6631" s="345" t="s">
        <v>223</v>
      </c>
      <c r="S6631" s="345" t="s">
        <v>224</v>
      </c>
    </row>
    <row r="6632" spans="1:19" x14ac:dyDescent="0.25">
      <c r="A6632" s="311"/>
      <c r="B6632" s="312"/>
      <c r="C6632" s="312"/>
      <c r="D6632" s="312"/>
      <c r="E6632" s="312"/>
      <c r="F6632" s="312"/>
      <c r="G6632" s="328"/>
      <c r="H6632" s="453"/>
      <c r="I6632" s="334"/>
      <c r="J6632" s="314"/>
      <c r="K6632" s="454"/>
      <c r="M6632" s="349" t="str">
        <f>N6632&amp;AS[[#This Row],[Insurer Code]]&amp;"; "&amp;O6632&amp;AS[[#This Row],[Reporting Year]]&amp;"; "&amp;P6632&amp;AS[[#This Row],[Insurance Category Code]]&amp;"; "&amp;Q6632&amp;AS[[#This Row],[Large Provider Entity Code]]&amp;"; "&amp;R6632&amp;AS[[#This Row],[Age Band Code]]&amp;"; "&amp;S6632&amp;AS[[#This Row],[Sex Code]]</f>
        <v xml:space="preserve">Insurer Code ; Reporting Year ; Insurance Category Code ; Large Provider Entity Code ; Age Band Code ; Sex Code </v>
      </c>
      <c r="N6632" s="345" t="s">
        <v>207</v>
      </c>
      <c r="O6632" s="345" t="s">
        <v>208</v>
      </c>
      <c r="P6632" s="345" t="s">
        <v>209</v>
      </c>
      <c r="Q6632" s="345" t="s">
        <v>210</v>
      </c>
      <c r="R6632" s="345" t="s">
        <v>223</v>
      </c>
      <c r="S6632" s="345" t="s">
        <v>224</v>
      </c>
    </row>
    <row r="6633" spans="1:19" x14ac:dyDescent="0.25">
      <c r="A6633" s="311"/>
      <c r="B6633" s="312"/>
      <c r="C6633" s="312"/>
      <c r="D6633" s="312"/>
      <c r="E6633" s="312"/>
      <c r="F6633" s="312"/>
      <c r="G6633" s="328"/>
      <c r="H6633" s="453"/>
      <c r="I6633" s="334"/>
      <c r="J6633" s="314"/>
      <c r="K6633" s="454"/>
      <c r="M6633" s="349" t="str">
        <f>N6633&amp;AS[[#This Row],[Insurer Code]]&amp;"; "&amp;O6633&amp;AS[[#This Row],[Reporting Year]]&amp;"; "&amp;P6633&amp;AS[[#This Row],[Insurance Category Code]]&amp;"; "&amp;Q6633&amp;AS[[#This Row],[Large Provider Entity Code]]&amp;"; "&amp;R6633&amp;AS[[#This Row],[Age Band Code]]&amp;"; "&amp;S6633&amp;AS[[#This Row],[Sex Code]]</f>
        <v xml:space="preserve">Insurer Code ; Reporting Year ; Insurance Category Code ; Large Provider Entity Code ; Age Band Code ; Sex Code </v>
      </c>
      <c r="N6633" s="345" t="s">
        <v>207</v>
      </c>
      <c r="O6633" s="345" t="s">
        <v>208</v>
      </c>
      <c r="P6633" s="345" t="s">
        <v>209</v>
      </c>
      <c r="Q6633" s="345" t="s">
        <v>210</v>
      </c>
      <c r="R6633" s="345" t="s">
        <v>223</v>
      </c>
      <c r="S6633" s="345" t="s">
        <v>224</v>
      </c>
    </row>
    <row r="6634" spans="1:19" x14ac:dyDescent="0.25">
      <c r="A6634" s="311"/>
      <c r="B6634" s="312"/>
      <c r="C6634" s="312"/>
      <c r="D6634" s="312"/>
      <c r="E6634" s="312"/>
      <c r="F6634" s="312"/>
      <c r="G6634" s="328"/>
      <c r="H6634" s="453"/>
      <c r="I6634" s="334"/>
      <c r="J6634" s="314"/>
      <c r="K6634" s="454"/>
      <c r="M6634" s="349" t="str">
        <f>N6634&amp;AS[[#This Row],[Insurer Code]]&amp;"; "&amp;O6634&amp;AS[[#This Row],[Reporting Year]]&amp;"; "&amp;P6634&amp;AS[[#This Row],[Insurance Category Code]]&amp;"; "&amp;Q6634&amp;AS[[#This Row],[Large Provider Entity Code]]&amp;"; "&amp;R6634&amp;AS[[#This Row],[Age Band Code]]&amp;"; "&amp;S6634&amp;AS[[#This Row],[Sex Code]]</f>
        <v xml:space="preserve">Insurer Code ; Reporting Year ; Insurance Category Code ; Large Provider Entity Code ; Age Band Code ; Sex Code </v>
      </c>
      <c r="N6634" s="345" t="s">
        <v>207</v>
      </c>
      <c r="O6634" s="345" t="s">
        <v>208</v>
      </c>
      <c r="P6634" s="345" t="s">
        <v>209</v>
      </c>
      <c r="Q6634" s="345" t="s">
        <v>210</v>
      </c>
      <c r="R6634" s="345" t="s">
        <v>223</v>
      </c>
      <c r="S6634" s="345" t="s">
        <v>224</v>
      </c>
    </row>
    <row r="6635" spans="1:19" x14ac:dyDescent="0.25">
      <c r="A6635" s="311"/>
      <c r="B6635" s="312"/>
      <c r="C6635" s="312"/>
      <c r="D6635" s="312"/>
      <c r="E6635" s="312"/>
      <c r="F6635" s="312"/>
      <c r="G6635" s="328"/>
      <c r="H6635" s="453"/>
      <c r="I6635" s="334"/>
      <c r="J6635" s="314"/>
      <c r="K6635" s="454"/>
      <c r="M6635" s="349" t="str">
        <f>N6635&amp;AS[[#This Row],[Insurer Code]]&amp;"; "&amp;O6635&amp;AS[[#This Row],[Reporting Year]]&amp;"; "&amp;P6635&amp;AS[[#This Row],[Insurance Category Code]]&amp;"; "&amp;Q6635&amp;AS[[#This Row],[Large Provider Entity Code]]&amp;"; "&amp;R6635&amp;AS[[#This Row],[Age Band Code]]&amp;"; "&amp;S6635&amp;AS[[#This Row],[Sex Code]]</f>
        <v xml:space="preserve">Insurer Code ; Reporting Year ; Insurance Category Code ; Large Provider Entity Code ; Age Band Code ; Sex Code </v>
      </c>
      <c r="N6635" s="345" t="s">
        <v>207</v>
      </c>
      <c r="O6635" s="345" t="s">
        <v>208</v>
      </c>
      <c r="P6635" s="345" t="s">
        <v>209</v>
      </c>
      <c r="Q6635" s="345" t="s">
        <v>210</v>
      </c>
      <c r="R6635" s="345" t="s">
        <v>223</v>
      </c>
      <c r="S6635" s="345" t="s">
        <v>224</v>
      </c>
    </row>
    <row r="6636" spans="1:19" x14ac:dyDescent="0.25">
      <c r="A6636" s="311"/>
      <c r="B6636" s="312"/>
      <c r="C6636" s="312"/>
      <c r="D6636" s="312"/>
      <c r="E6636" s="312"/>
      <c r="F6636" s="312"/>
      <c r="G6636" s="328"/>
      <c r="H6636" s="453"/>
      <c r="I6636" s="334"/>
      <c r="J6636" s="314"/>
      <c r="K6636" s="454"/>
      <c r="M6636" s="349" t="str">
        <f>N6636&amp;AS[[#This Row],[Insurer Code]]&amp;"; "&amp;O6636&amp;AS[[#This Row],[Reporting Year]]&amp;"; "&amp;P6636&amp;AS[[#This Row],[Insurance Category Code]]&amp;"; "&amp;Q6636&amp;AS[[#This Row],[Large Provider Entity Code]]&amp;"; "&amp;R6636&amp;AS[[#This Row],[Age Band Code]]&amp;"; "&amp;S6636&amp;AS[[#This Row],[Sex Code]]</f>
        <v xml:space="preserve">Insurer Code ; Reporting Year ; Insurance Category Code ; Large Provider Entity Code ; Age Band Code ; Sex Code </v>
      </c>
      <c r="N6636" s="345" t="s">
        <v>207</v>
      </c>
      <c r="O6636" s="345" t="s">
        <v>208</v>
      </c>
      <c r="P6636" s="345" t="s">
        <v>209</v>
      </c>
      <c r="Q6636" s="345" t="s">
        <v>210</v>
      </c>
      <c r="R6636" s="345" t="s">
        <v>223</v>
      </c>
      <c r="S6636" s="345" t="s">
        <v>224</v>
      </c>
    </row>
    <row r="6637" spans="1:19" x14ac:dyDescent="0.25">
      <c r="A6637" s="311"/>
      <c r="B6637" s="312"/>
      <c r="C6637" s="312"/>
      <c r="D6637" s="312"/>
      <c r="E6637" s="312"/>
      <c r="F6637" s="312"/>
      <c r="G6637" s="328"/>
      <c r="H6637" s="453"/>
      <c r="I6637" s="334"/>
      <c r="J6637" s="314"/>
      <c r="K6637" s="454"/>
      <c r="M6637" s="349" t="str">
        <f>N6637&amp;AS[[#This Row],[Insurer Code]]&amp;"; "&amp;O6637&amp;AS[[#This Row],[Reporting Year]]&amp;"; "&amp;P6637&amp;AS[[#This Row],[Insurance Category Code]]&amp;"; "&amp;Q6637&amp;AS[[#This Row],[Large Provider Entity Code]]&amp;"; "&amp;R6637&amp;AS[[#This Row],[Age Band Code]]&amp;"; "&amp;S6637&amp;AS[[#This Row],[Sex Code]]</f>
        <v xml:space="preserve">Insurer Code ; Reporting Year ; Insurance Category Code ; Large Provider Entity Code ; Age Band Code ; Sex Code </v>
      </c>
      <c r="N6637" s="345" t="s">
        <v>207</v>
      </c>
      <c r="O6637" s="345" t="s">
        <v>208</v>
      </c>
      <c r="P6637" s="345" t="s">
        <v>209</v>
      </c>
      <c r="Q6637" s="345" t="s">
        <v>210</v>
      </c>
      <c r="R6637" s="345" t="s">
        <v>223</v>
      </c>
      <c r="S6637" s="345" t="s">
        <v>224</v>
      </c>
    </row>
    <row r="6638" spans="1:19" x14ac:dyDescent="0.25">
      <c r="A6638" s="311"/>
      <c r="B6638" s="312"/>
      <c r="C6638" s="312"/>
      <c r="D6638" s="312"/>
      <c r="E6638" s="312"/>
      <c r="F6638" s="312"/>
      <c r="G6638" s="328"/>
      <c r="H6638" s="453"/>
      <c r="I6638" s="334"/>
      <c r="J6638" s="314"/>
      <c r="K6638" s="454"/>
      <c r="M6638" s="349" t="str">
        <f>N6638&amp;AS[[#This Row],[Insurer Code]]&amp;"; "&amp;O6638&amp;AS[[#This Row],[Reporting Year]]&amp;"; "&amp;P6638&amp;AS[[#This Row],[Insurance Category Code]]&amp;"; "&amp;Q6638&amp;AS[[#This Row],[Large Provider Entity Code]]&amp;"; "&amp;R6638&amp;AS[[#This Row],[Age Band Code]]&amp;"; "&amp;S6638&amp;AS[[#This Row],[Sex Code]]</f>
        <v xml:space="preserve">Insurer Code ; Reporting Year ; Insurance Category Code ; Large Provider Entity Code ; Age Band Code ; Sex Code </v>
      </c>
      <c r="N6638" s="345" t="s">
        <v>207</v>
      </c>
      <c r="O6638" s="345" t="s">
        <v>208</v>
      </c>
      <c r="P6638" s="345" t="s">
        <v>209</v>
      </c>
      <c r="Q6638" s="345" t="s">
        <v>210</v>
      </c>
      <c r="R6638" s="345" t="s">
        <v>223</v>
      </c>
      <c r="S6638" s="345" t="s">
        <v>224</v>
      </c>
    </row>
    <row r="6639" spans="1:19" x14ac:dyDescent="0.25">
      <c r="A6639" s="311"/>
      <c r="B6639" s="312"/>
      <c r="C6639" s="312"/>
      <c r="D6639" s="312"/>
      <c r="E6639" s="312"/>
      <c r="F6639" s="312"/>
      <c r="G6639" s="328"/>
      <c r="H6639" s="453"/>
      <c r="I6639" s="334"/>
      <c r="J6639" s="314"/>
      <c r="K6639" s="454"/>
      <c r="M6639" s="349" t="str">
        <f>N6639&amp;AS[[#This Row],[Insurer Code]]&amp;"; "&amp;O6639&amp;AS[[#This Row],[Reporting Year]]&amp;"; "&amp;P6639&amp;AS[[#This Row],[Insurance Category Code]]&amp;"; "&amp;Q6639&amp;AS[[#This Row],[Large Provider Entity Code]]&amp;"; "&amp;R6639&amp;AS[[#This Row],[Age Band Code]]&amp;"; "&amp;S6639&amp;AS[[#This Row],[Sex Code]]</f>
        <v xml:space="preserve">Insurer Code ; Reporting Year ; Insurance Category Code ; Large Provider Entity Code ; Age Band Code ; Sex Code </v>
      </c>
      <c r="N6639" s="345" t="s">
        <v>207</v>
      </c>
      <c r="O6639" s="345" t="s">
        <v>208</v>
      </c>
      <c r="P6639" s="345" t="s">
        <v>209</v>
      </c>
      <c r="Q6639" s="345" t="s">
        <v>210</v>
      </c>
      <c r="R6639" s="345" t="s">
        <v>223</v>
      </c>
      <c r="S6639" s="345" t="s">
        <v>224</v>
      </c>
    </row>
    <row r="6640" spans="1:19" x14ac:dyDescent="0.25">
      <c r="A6640" s="311"/>
      <c r="B6640" s="312"/>
      <c r="C6640" s="312"/>
      <c r="D6640" s="312"/>
      <c r="E6640" s="312"/>
      <c r="F6640" s="312"/>
      <c r="G6640" s="328"/>
      <c r="H6640" s="453"/>
      <c r="I6640" s="334"/>
      <c r="J6640" s="314"/>
      <c r="K6640" s="454"/>
      <c r="M6640" s="349" t="str">
        <f>N6640&amp;AS[[#This Row],[Insurer Code]]&amp;"; "&amp;O6640&amp;AS[[#This Row],[Reporting Year]]&amp;"; "&amp;P6640&amp;AS[[#This Row],[Insurance Category Code]]&amp;"; "&amp;Q6640&amp;AS[[#This Row],[Large Provider Entity Code]]&amp;"; "&amp;R6640&amp;AS[[#This Row],[Age Band Code]]&amp;"; "&amp;S6640&amp;AS[[#This Row],[Sex Code]]</f>
        <v xml:space="preserve">Insurer Code ; Reporting Year ; Insurance Category Code ; Large Provider Entity Code ; Age Band Code ; Sex Code </v>
      </c>
      <c r="N6640" s="345" t="s">
        <v>207</v>
      </c>
      <c r="O6640" s="345" t="s">
        <v>208</v>
      </c>
      <c r="P6640" s="345" t="s">
        <v>209</v>
      </c>
      <c r="Q6640" s="345" t="s">
        <v>210</v>
      </c>
      <c r="R6640" s="345" t="s">
        <v>223</v>
      </c>
      <c r="S6640" s="345" t="s">
        <v>224</v>
      </c>
    </row>
    <row r="6641" spans="1:19" x14ac:dyDescent="0.25">
      <c r="A6641" s="311"/>
      <c r="B6641" s="312"/>
      <c r="C6641" s="312"/>
      <c r="D6641" s="312"/>
      <c r="E6641" s="312"/>
      <c r="F6641" s="312"/>
      <c r="G6641" s="328"/>
      <c r="H6641" s="453"/>
      <c r="I6641" s="334"/>
      <c r="J6641" s="314"/>
      <c r="K6641" s="454"/>
      <c r="M6641" s="349" t="str">
        <f>N6641&amp;AS[[#This Row],[Insurer Code]]&amp;"; "&amp;O6641&amp;AS[[#This Row],[Reporting Year]]&amp;"; "&amp;P6641&amp;AS[[#This Row],[Insurance Category Code]]&amp;"; "&amp;Q6641&amp;AS[[#This Row],[Large Provider Entity Code]]&amp;"; "&amp;R6641&amp;AS[[#This Row],[Age Band Code]]&amp;"; "&amp;S6641&amp;AS[[#This Row],[Sex Code]]</f>
        <v xml:space="preserve">Insurer Code ; Reporting Year ; Insurance Category Code ; Large Provider Entity Code ; Age Band Code ; Sex Code </v>
      </c>
      <c r="N6641" s="345" t="s">
        <v>207</v>
      </c>
      <c r="O6641" s="345" t="s">
        <v>208</v>
      </c>
      <c r="P6641" s="345" t="s">
        <v>209</v>
      </c>
      <c r="Q6641" s="345" t="s">
        <v>210</v>
      </c>
      <c r="R6641" s="345" t="s">
        <v>223</v>
      </c>
      <c r="S6641" s="345" t="s">
        <v>224</v>
      </c>
    </row>
    <row r="6642" spans="1:19" x14ac:dyDescent="0.25">
      <c r="A6642" s="311"/>
      <c r="B6642" s="312"/>
      <c r="C6642" s="312"/>
      <c r="D6642" s="312"/>
      <c r="E6642" s="312"/>
      <c r="F6642" s="312"/>
      <c r="G6642" s="328"/>
      <c r="H6642" s="453"/>
      <c r="I6642" s="334"/>
      <c r="J6642" s="314"/>
      <c r="K6642" s="454"/>
      <c r="M6642" s="349" t="str">
        <f>N6642&amp;AS[[#This Row],[Insurer Code]]&amp;"; "&amp;O6642&amp;AS[[#This Row],[Reporting Year]]&amp;"; "&amp;P6642&amp;AS[[#This Row],[Insurance Category Code]]&amp;"; "&amp;Q6642&amp;AS[[#This Row],[Large Provider Entity Code]]&amp;"; "&amp;R6642&amp;AS[[#This Row],[Age Band Code]]&amp;"; "&amp;S6642&amp;AS[[#This Row],[Sex Code]]</f>
        <v xml:space="preserve">Insurer Code ; Reporting Year ; Insurance Category Code ; Large Provider Entity Code ; Age Band Code ; Sex Code </v>
      </c>
      <c r="N6642" s="345" t="s">
        <v>207</v>
      </c>
      <c r="O6642" s="345" t="s">
        <v>208</v>
      </c>
      <c r="P6642" s="345" t="s">
        <v>209</v>
      </c>
      <c r="Q6642" s="345" t="s">
        <v>210</v>
      </c>
      <c r="R6642" s="345" t="s">
        <v>223</v>
      </c>
      <c r="S6642" s="345" t="s">
        <v>224</v>
      </c>
    </row>
    <row r="6643" spans="1:19" x14ac:dyDescent="0.25">
      <c r="A6643" s="311"/>
      <c r="B6643" s="312"/>
      <c r="C6643" s="312"/>
      <c r="D6643" s="312"/>
      <c r="E6643" s="312"/>
      <c r="F6643" s="312"/>
      <c r="G6643" s="328"/>
      <c r="H6643" s="453"/>
      <c r="I6643" s="334"/>
      <c r="J6643" s="314"/>
      <c r="K6643" s="454"/>
      <c r="M6643" s="349" t="str">
        <f>N6643&amp;AS[[#This Row],[Insurer Code]]&amp;"; "&amp;O6643&amp;AS[[#This Row],[Reporting Year]]&amp;"; "&amp;P6643&amp;AS[[#This Row],[Insurance Category Code]]&amp;"; "&amp;Q6643&amp;AS[[#This Row],[Large Provider Entity Code]]&amp;"; "&amp;R6643&amp;AS[[#This Row],[Age Band Code]]&amp;"; "&amp;S6643&amp;AS[[#This Row],[Sex Code]]</f>
        <v xml:space="preserve">Insurer Code ; Reporting Year ; Insurance Category Code ; Large Provider Entity Code ; Age Band Code ; Sex Code </v>
      </c>
      <c r="N6643" s="345" t="s">
        <v>207</v>
      </c>
      <c r="O6643" s="345" t="s">
        <v>208</v>
      </c>
      <c r="P6643" s="345" t="s">
        <v>209</v>
      </c>
      <c r="Q6643" s="345" t="s">
        <v>210</v>
      </c>
      <c r="R6643" s="345" t="s">
        <v>223</v>
      </c>
      <c r="S6643" s="345" t="s">
        <v>224</v>
      </c>
    </row>
    <row r="6644" spans="1:19" x14ac:dyDescent="0.25">
      <c r="A6644" s="311"/>
      <c r="B6644" s="312"/>
      <c r="C6644" s="312"/>
      <c r="D6644" s="312"/>
      <c r="E6644" s="312"/>
      <c r="F6644" s="312"/>
      <c r="G6644" s="328"/>
      <c r="H6644" s="453"/>
      <c r="I6644" s="334"/>
      <c r="J6644" s="314"/>
      <c r="K6644" s="454"/>
      <c r="M6644" s="349" t="str">
        <f>N6644&amp;AS[[#This Row],[Insurer Code]]&amp;"; "&amp;O6644&amp;AS[[#This Row],[Reporting Year]]&amp;"; "&amp;P6644&amp;AS[[#This Row],[Insurance Category Code]]&amp;"; "&amp;Q6644&amp;AS[[#This Row],[Large Provider Entity Code]]&amp;"; "&amp;R6644&amp;AS[[#This Row],[Age Band Code]]&amp;"; "&amp;S6644&amp;AS[[#This Row],[Sex Code]]</f>
        <v xml:space="preserve">Insurer Code ; Reporting Year ; Insurance Category Code ; Large Provider Entity Code ; Age Band Code ; Sex Code </v>
      </c>
      <c r="N6644" s="345" t="s">
        <v>207</v>
      </c>
      <c r="O6644" s="345" t="s">
        <v>208</v>
      </c>
      <c r="P6644" s="345" t="s">
        <v>209</v>
      </c>
      <c r="Q6644" s="345" t="s">
        <v>210</v>
      </c>
      <c r="R6644" s="345" t="s">
        <v>223</v>
      </c>
      <c r="S6644" s="345" t="s">
        <v>224</v>
      </c>
    </row>
    <row r="6645" spans="1:19" x14ac:dyDescent="0.25">
      <c r="A6645" s="311"/>
      <c r="B6645" s="312"/>
      <c r="C6645" s="312"/>
      <c r="D6645" s="312"/>
      <c r="E6645" s="312"/>
      <c r="F6645" s="312"/>
      <c r="G6645" s="328"/>
      <c r="H6645" s="453"/>
      <c r="I6645" s="334"/>
      <c r="J6645" s="314"/>
      <c r="K6645" s="454"/>
      <c r="M6645" s="349" t="str">
        <f>N6645&amp;AS[[#This Row],[Insurer Code]]&amp;"; "&amp;O6645&amp;AS[[#This Row],[Reporting Year]]&amp;"; "&amp;P6645&amp;AS[[#This Row],[Insurance Category Code]]&amp;"; "&amp;Q6645&amp;AS[[#This Row],[Large Provider Entity Code]]&amp;"; "&amp;R6645&amp;AS[[#This Row],[Age Band Code]]&amp;"; "&amp;S6645&amp;AS[[#This Row],[Sex Code]]</f>
        <v xml:space="preserve">Insurer Code ; Reporting Year ; Insurance Category Code ; Large Provider Entity Code ; Age Band Code ; Sex Code </v>
      </c>
      <c r="N6645" s="345" t="s">
        <v>207</v>
      </c>
      <c r="O6645" s="345" t="s">
        <v>208</v>
      </c>
      <c r="P6645" s="345" t="s">
        <v>209</v>
      </c>
      <c r="Q6645" s="345" t="s">
        <v>210</v>
      </c>
      <c r="R6645" s="345" t="s">
        <v>223</v>
      </c>
      <c r="S6645" s="345" t="s">
        <v>224</v>
      </c>
    </row>
    <row r="6646" spans="1:19" x14ac:dyDescent="0.25">
      <c r="A6646" s="311"/>
      <c r="B6646" s="312"/>
      <c r="C6646" s="312"/>
      <c r="D6646" s="312"/>
      <c r="E6646" s="312"/>
      <c r="F6646" s="312"/>
      <c r="G6646" s="328"/>
      <c r="H6646" s="453"/>
      <c r="I6646" s="334"/>
      <c r="J6646" s="314"/>
      <c r="K6646" s="454"/>
      <c r="M6646" s="349" t="str">
        <f>N6646&amp;AS[[#This Row],[Insurer Code]]&amp;"; "&amp;O6646&amp;AS[[#This Row],[Reporting Year]]&amp;"; "&amp;P6646&amp;AS[[#This Row],[Insurance Category Code]]&amp;"; "&amp;Q6646&amp;AS[[#This Row],[Large Provider Entity Code]]&amp;"; "&amp;R6646&amp;AS[[#This Row],[Age Band Code]]&amp;"; "&amp;S6646&amp;AS[[#This Row],[Sex Code]]</f>
        <v xml:space="preserve">Insurer Code ; Reporting Year ; Insurance Category Code ; Large Provider Entity Code ; Age Band Code ; Sex Code </v>
      </c>
      <c r="N6646" s="345" t="s">
        <v>207</v>
      </c>
      <c r="O6646" s="345" t="s">
        <v>208</v>
      </c>
      <c r="P6646" s="345" t="s">
        <v>209</v>
      </c>
      <c r="Q6646" s="345" t="s">
        <v>210</v>
      </c>
      <c r="R6646" s="345" t="s">
        <v>223</v>
      </c>
      <c r="S6646" s="345" t="s">
        <v>224</v>
      </c>
    </row>
    <row r="6647" spans="1:19" x14ac:dyDescent="0.25">
      <c r="A6647" s="311"/>
      <c r="B6647" s="312"/>
      <c r="C6647" s="312"/>
      <c r="D6647" s="312"/>
      <c r="E6647" s="312"/>
      <c r="F6647" s="312"/>
      <c r="G6647" s="328"/>
      <c r="H6647" s="453"/>
      <c r="I6647" s="334"/>
      <c r="J6647" s="314"/>
      <c r="K6647" s="454"/>
      <c r="M6647" s="349" t="str">
        <f>N6647&amp;AS[[#This Row],[Insurer Code]]&amp;"; "&amp;O6647&amp;AS[[#This Row],[Reporting Year]]&amp;"; "&amp;P6647&amp;AS[[#This Row],[Insurance Category Code]]&amp;"; "&amp;Q6647&amp;AS[[#This Row],[Large Provider Entity Code]]&amp;"; "&amp;R6647&amp;AS[[#This Row],[Age Band Code]]&amp;"; "&amp;S6647&amp;AS[[#This Row],[Sex Code]]</f>
        <v xml:space="preserve">Insurer Code ; Reporting Year ; Insurance Category Code ; Large Provider Entity Code ; Age Band Code ; Sex Code </v>
      </c>
      <c r="N6647" s="345" t="s">
        <v>207</v>
      </c>
      <c r="O6647" s="345" t="s">
        <v>208</v>
      </c>
      <c r="P6647" s="345" t="s">
        <v>209</v>
      </c>
      <c r="Q6647" s="345" t="s">
        <v>210</v>
      </c>
      <c r="R6647" s="345" t="s">
        <v>223</v>
      </c>
      <c r="S6647" s="345" t="s">
        <v>224</v>
      </c>
    </row>
    <row r="6648" spans="1:19" x14ac:dyDescent="0.25">
      <c r="A6648" s="311"/>
      <c r="B6648" s="312"/>
      <c r="C6648" s="312"/>
      <c r="D6648" s="312"/>
      <c r="E6648" s="312"/>
      <c r="F6648" s="312"/>
      <c r="G6648" s="328"/>
      <c r="H6648" s="453"/>
      <c r="I6648" s="334"/>
      <c r="J6648" s="314"/>
      <c r="K6648" s="454"/>
      <c r="M6648" s="349" t="str">
        <f>N6648&amp;AS[[#This Row],[Insurer Code]]&amp;"; "&amp;O6648&amp;AS[[#This Row],[Reporting Year]]&amp;"; "&amp;P6648&amp;AS[[#This Row],[Insurance Category Code]]&amp;"; "&amp;Q6648&amp;AS[[#This Row],[Large Provider Entity Code]]&amp;"; "&amp;R6648&amp;AS[[#This Row],[Age Band Code]]&amp;"; "&amp;S6648&amp;AS[[#This Row],[Sex Code]]</f>
        <v xml:space="preserve">Insurer Code ; Reporting Year ; Insurance Category Code ; Large Provider Entity Code ; Age Band Code ; Sex Code </v>
      </c>
      <c r="N6648" s="345" t="s">
        <v>207</v>
      </c>
      <c r="O6648" s="345" t="s">
        <v>208</v>
      </c>
      <c r="P6648" s="345" t="s">
        <v>209</v>
      </c>
      <c r="Q6648" s="345" t="s">
        <v>210</v>
      </c>
      <c r="R6648" s="345" t="s">
        <v>223</v>
      </c>
      <c r="S6648" s="345" t="s">
        <v>224</v>
      </c>
    </row>
    <row r="6649" spans="1:19" x14ac:dyDescent="0.25">
      <c r="A6649" s="311"/>
      <c r="B6649" s="312"/>
      <c r="C6649" s="312"/>
      <c r="D6649" s="312"/>
      <c r="E6649" s="312"/>
      <c r="F6649" s="312"/>
      <c r="G6649" s="328"/>
      <c r="H6649" s="453"/>
      <c r="I6649" s="334"/>
      <c r="J6649" s="314"/>
      <c r="K6649" s="454"/>
      <c r="M6649" s="349" t="str">
        <f>N6649&amp;AS[[#This Row],[Insurer Code]]&amp;"; "&amp;O6649&amp;AS[[#This Row],[Reporting Year]]&amp;"; "&amp;P6649&amp;AS[[#This Row],[Insurance Category Code]]&amp;"; "&amp;Q6649&amp;AS[[#This Row],[Large Provider Entity Code]]&amp;"; "&amp;R6649&amp;AS[[#This Row],[Age Band Code]]&amp;"; "&amp;S6649&amp;AS[[#This Row],[Sex Code]]</f>
        <v xml:space="preserve">Insurer Code ; Reporting Year ; Insurance Category Code ; Large Provider Entity Code ; Age Band Code ; Sex Code </v>
      </c>
      <c r="N6649" s="345" t="s">
        <v>207</v>
      </c>
      <c r="O6649" s="345" t="s">
        <v>208</v>
      </c>
      <c r="P6649" s="345" t="s">
        <v>209</v>
      </c>
      <c r="Q6649" s="345" t="s">
        <v>210</v>
      </c>
      <c r="R6649" s="345" t="s">
        <v>223</v>
      </c>
      <c r="S6649" s="345" t="s">
        <v>224</v>
      </c>
    </row>
    <row r="6650" spans="1:19" x14ac:dyDescent="0.25">
      <c r="A6650" s="311"/>
      <c r="B6650" s="312"/>
      <c r="C6650" s="312"/>
      <c r="D6650" s="312"/>
      <c r="E6650" s="312"/>
      <c r="F6650" s="312"/>
      <c r="G6650" s="328"/>
      <c r="H6650" s="453"/>
      <c r="I6650" s="334"/>
      <c r="J6650" s="314"/>
      <c r="K6650" s="454"/>
      <c r="M6650" s="349" t="str">
        <f>N6650&amp;AS[[#This Row],[Insurer Code]]&amp;"; "&amp;O6650&amp;AS[[#This Row],[Reporting Year]]&amp;"; "&amp;P6650&amp;AS[[#This Row],[Insurance Category Code]]&amp;"; "&amp;Q6650&amp;AS[[#This Row],[Large Provider Entity Code]]&amp;"; "&amp;R6650&amp;AS[[#This Row],[Age Band Code]]&amp;"; "&amp;S6650&amp;AS[[#This Row],[Sex Code]]</f>
        <v xml:space="preserve">Insurer Code ; Reporting Year ; Insurance Category Code ; Large Provider Entity Code ; Age Band Code ; Sex Code </v>
      </c>
      <c r="N6650" s="345" t="s">
        <v>207</v>
      </c>
      <c r="O6650" s="345" t="s">
        <v>208</v>
      </c>
      <c r="P6650" s="345" t="s">
        <v>209</v>
      </c>
      <c r="Q6650" s="345" t="s">
        <v>210</v>
      </c>
      <c r="R6650" s="345" t="s">
        <v>223</v>
      </c>
      <c r="S6650" s="345" t="s">
        <v>224</v>
      </c>
    </row>
    <row r="6651" spans="1:19" x14ac:dyDescent="0.25">
      <c r="A6651" s="311"/>
      <c r="B6651" s="312"/>
      <c r="C6651" s="312"/>
      <c r="D6651" s="312"/>
      <c r="E6651" s="312"/>
      <c r="F6651" s="312"/>
      <c r="G6651" s="328"/>
      <c r="H6651" s="453"/>
      <c r="I6651" s="334"/>
      <c r="J6651" s="314"/>
      <c r="K6651" s="454"/>
      <c r="M6651" s="349" t="str">
        <f>N6651&amp;AS[[#This Row],[Insurer Code]]&amp;"; "&amp;O6651&amp;AS[[#This Row],[Reporting Year]]&amp;"; "&amp;P6651&amp;AS[[#This Row],[Insurance Category Code]]&amp;"; "&amp;Q6651&amp;AS[[#This Row],[Large Provider Entity Code]]&amp;"; "&amp;R6651&amp;AS[[#This Row],[Age Band Code]]&amp;"; "&amp;S6651&amp;AS[[#This Row],[Sex Code]]</f>
        <v xml:space="preserve">Insurer Code ; Reporting Year ; Insurance Category Code ; Large Provider Entity Code ; Age Band Code ; Sex Code </v>
      </c>
      <c r="N6651" s="345" t="s">
        <v>207</v>
      </c>
      <c r="O6651" s="345" t="s">
        <v>208</v>
      </c>
      <c r="P6651" s="345" t="s">
        <v>209</v>
      </c>
      <c r="Q6651" s="345" t="s">
        <v>210</v>
      </c>
      <c r="R6651" s="345" t="s">
        <v>223</v>
      </c>
      <c r="S6651" s="345" t="s">
        <v>224</v>
      </c>
    </row>
    <row r="6652" spans="1:19" x14ac:dyDescent="0.25">
      <c r="A6652" s="311"/>
      <c r="B6652" s="312"/>
      <c r="C6652" s="312"/>
      <c r="D6652" s="312"/>
      <c r="E6652" s="312"/>
      <c r="F6652" s="312"/>
      <c r="G6652" s="328"/>
      <c r="H6652" s="453"/>
      <c r="I6652" s="334"/>
      <c r="J6652" s="314"/>
      <c r="K6652" s="454"/>
      <c r="M6652" s="349" t="str">
        <f>N6652&amp;AS[[#This Row],[Insurer Code]]&amp;"; "&amp;O6652&amp;AS[[#This Row],[Reporting Year]]&amp;"; "&amp;P6652&amp;AS[[#This Row],[Insurance Category Code]]&amp;"; "&amp;Q6652&amp;AS[[#This Row],[Large Provider Entity Code]]&amp;"; "&amp;R6652&amp;AS[[#This Row],[Age Band Code]]&amp;"; "&amp;S6652&amp;AS[[#This Row],[Sex Code]]</f>
        <v xml:space="preserve">Insurer Code ; Reporting Year ; Insurance Category Code ; Large Provider Entity Code ; Age Band Code ; Sex Code </v>
      </c>
      <c r="N6652" s="345" t="s">
        <v>207</v>
      </c>
      <c r="O6652" s="345" t="s">
        <v>208</v>
      </c>
      <c r="P6652" s="345" t="s">
        <v>209</v>
      </c>
      <c r="Q6652" s="345" t="s">
        <v>210</v>
      </c>
      <c r="R6652" s="345" t="s">
        <v>223</v>
      </c>
      <c r="S6652" s="345" t="s">
        <v>224</v>
      </c>
    </row>
    <row r="6653" spans="1:19" x14ac:dyDescent="0.25">
      <c r="A6653" s="311"/>
      <c r="B6653" s="312"/>
      <c r="C6653" s="312"/>
      <c r="D6653" s="312"/>
      <c r="E6653" s="312"/>
      <c r="F6653" s="312"/>
      <c r="G6653" s="328"/>
      <c r="H6653" s="453"/>
      <c r="I6653" s="334"/>
      <c r="J6653" s="314"/>
      <c r="K6653" s="454"/>
      <c r="M6653" s="349" t="str">
        <f>N6653&amp;AS[[#This Row],[Insurer Code]]&amp;"; "&amp;O6653&amp;AS[[#This Row],[Reporting Year]]&amp;"; "&amp;P6653&amp;AS[[#This Row],[Insurance Category Code]]&amp;"; "&amp;Q6653&amp;AS[[#This Row],[Large Provider Entity Code]]&amp;"; "&amp;R6653&amp;AS[[#This Row],[Age Band Code]]&amp;"; "&amp;S6653&amp;AS[[#This Row],[Sex Code]]</f>
        <v xml:space="preserve">Insurer Code ; Reporting Year ; Insurance Category Code ; Large Provider Entity Code ; Age Band Code ; Sex Code </v>
      </c>
      <c r="N6653" s="345" t="s">
        <v>207</v>
      </c>
      <c r="O6653" s="345" t="s">
        <v>208</v>
      </c>
      <c r="P6653" s="345" t="s">
        <v>209</v>
      </c>
      <c r="Q6653" s="345" t="s">
        <v>210</v>
      </c>
      <c r="R6653" s="345" t="s">
        <v>223</v>
      </c>
      <c r="S6653" s="345" t="s">
        <v>224</v>
      </c>
    </row>
    <row r="6654" spans="1:19" x14ac:dyDescent="0.25">
      <c r="A6654" s="311"/>
      <c r="B6654" s="312"/>
      <c r="C6654" s="312"/>
      <c r="D6654" s="312"/>
      <c r="E6654" s="312"/>
      <c r="F6654" s="312"/>
      <c r="G6654" s="328"/>
      <c r="H6654" s="453"/>
      <c r="I6654" s="334"/>
      <c r="J6654" s="314"/>
      <c r="K6654" s="454"/>
      <c r="M6654" s="349" t="str">
        <f>N6654&amp;AS[[#This Row],[Insurer Code]]&amp;"; "&amp;O6654&amp;AS[[#This Row],[Reporting Year]]&amp;"; "&amp;P6654&amp;AS[[#This Row],[Insurance Category Code]]&amp;"; "&amp;Q6654&amp;AS[[#This Row],[Large Provider Entity Code]]&amp;"; "&amp;R6654&amp;AS[[#This Row],[Age Band Code]]&amp;"; "&amp;S6654&amp;AS[[#This Row],[Sex Code]]</f>
        <v xml:space="preserve">Insurer Code ; Reporting Year ; Insurance Category Code ; Large Provider Entity Code ; Age Band Code ; Sex Code </v>
      </c>
      <c r="N6654" s="345" t="s">
        <v>207</v>
      </c>
      <c r="O6654" s="345" t="s">
        <v>208</v>
      </c>
      <c r="P6654" s="345" t="s">
        <v>209</v>
      </c>
      <c r="Q6654" s="345" t="s">
        <v>210</v>
      </c>
      <c r="R6654" s="345" t="s">
        <v>223</v>
      </c>
      <c r="S6654" s="345" t="s">
        <v>224</v>
      </c>
    </row>
    <row r="6655" spans="1:19" x14ac:dyDescent="0.25">
      <c r="A6655" s="311"/>
      <c r="B6655" s="312"/>
      <c r="C6655" s="312"/>
      <c r="D6655" s="312"/>
      <c r="E6655" s="312"/>
      <c r="F6655" s="312"/>
      <c r="G6655" s="328"/>
      <c r="H6655" s="453"/>
      <c r="I6655" s="334"/>
      <c r="J6655" s="314"/>
      <c r="K6655" s="454"/>
      <c r="M6655" s="349" t="str">
        <f>N6655&amp;AS[[#This Row],[Insurer Code]]&amp;"; "&amp;O6655&amp;AS[[#This Row],[Reporting Year]]&amp;"; "&amp;P6655&amp;AS[[#This Row],[Insurance Category Code]]&amp;"; "&amp;Q6655&amp;AS[[#This Row],[Large Provider Entity Code]]&amp;"; "&amp;R6655&amp;AS[[#This Row],[Age Band Code]]&amp;"; "&amp;S6655&amp;AS[[#This Row],[Sex Code]]</f>
        <v xml:space="preserve">Insurer Code ; Reporting Year ; Insurance Category Code ; Large Provider Entity Code ; Age Band Code ; Sex Code </v>
      </c>
      <c r="N6655" s="345" t="s">
        <v>207</v>
      </c>
      <c r="O6655" s="345" t="s">
        <v>208</v>
      </c>
      <c r="P6655" s="345" t="s">
        <v>209</v>
      </c>
      <c r="Q6655" s="345" t="s">
        <v>210</v>
      </c>
      <c r="R6655" s="345" t="s">
        <v>223</v>
      </c>
      <c r="S6655" s="345" t="s">
        <v>224</v>
      </c>
    </row>
    <row r="6656" spans="1:19" x14ac:dyDescent="0.25">
      <c r="A6656" s="311"/>
      <c r="B6656" s="312"/>
      <c r="C6656" s="312"/>
      <c r="D6656" s="312"/>
      <c r="E6656" s="312"/>
      <c r="F6656" s="312"/>
      <c r="G6656" s="328"/>
      <c r="H6656" s="453"/>
      <c r="I6656" s="334"/>
      <c r="J6656" s="314"/>
      <c r="K6656" s="454"/>
      <c r="M6656" s="349" t="str">
        <f>N6656&amp;AS[[#This Row],[Insurer Code]]&amp;"; "&amp;O6656&amp;AS[[#This Row],[Reporting Year]]&amp;"; "&amp;P6656&amp;AS[[#This Row],[Insurance Category Code]]&amp;"; "&amp;Q6656&amp;AS[[#This Row],[Large Provider Entity Code]]&amp;"; "&amp;R6656&amp;AS[[#This Row],[Age Band Code]]&amp;"; "&amp;S6656&amp;AS[[#This Row],[Sex Code]]</f>
        <v xml:space="preserve">Insurer Code ; Reporting Year ; Insurance Category Code ; Large Provider Entity Code ; Age Band Code ; Sex Code </v>
      </c>
      <c r="N6656" s="345" t="s">
        <v>207</v>
      </c>
      <c r="O6656" s="345" t="s">
        <v>208</v>
      </c>
      <c r="P6656" s="345" t="s">
        <v>209</v>
      </c>
      <c r="Q6656" s="345" t="s">
        <v>210</v>
      </c>
      <c r="R6656" s="345" t="s">
        <v>223</v>
      </c>
      <c r="S6656" s="345" t="s">
        <v>224</v>
      </c>
    </row>
    <row r="6657" spans="1:19" x14ac:dyDescent="0.25">
      <c r="A6657" s="311"/>
      <c r="B6657" s="312"/>
      <c r="C6657" s="312"/>
      <c r="D6657" s="312"/>
      <c r="E6657" s="312"/>
      <c r="F6657" s="312"/>
      <c r="G6657" s="328"/>
      <c r="H6657" s="453"/>
      <c r="I6657" s="334"/>
      <c r="J6657" s="314"/>
      <c r="K6657" s="454"/>
      <c r="M6657" s="349" t="str">
        <f>N6657&amp;AS[[#This Row],[Insurer Code]]&amp;"; "&amp;O6657&amp;AS[[#This Row],[Reporting Year]]&amp;"; "&amp;P6657&amp;AS[[#This Row],[Insurance Category Code]]&amp;"; "&amp;Q6657&amp;AS[[#This Row],[Large Provider Entity Code]]&amp;"; "&amp;R6657&amp;AS[[#This Row],[Age Band Code]]&amp;"; "&amp;S6657&amp;AS[[#This Row],[Sex Code]]</f>
        <v xml:space="preserve">Insurer Code ; Reporting Year ; Insurance Category Code ; Large Provider Entity Code ; Age Band Code ; Sex Code </v>
      </c>
      <c r="N6657" s="345" t="s">
        <v>207</v>
      </c>
      <c r="O6657" s="345" t="s">
        <v>208</v>
      </c>
      <c r="P6657" s="345" t="s">
        <v>209</v>
      </c>
      <c r="Q6657" s="345" t="s">
        <v>210</v>
      </c>
      <c r="R6657" s="345" t="s">
        <v>223</v>
      </c>
      <c r="S6657" s="345" t="s">
        <v>224</v>
      </c>
    </row>
    <row r="6658" spans="1:19" x14ac:dyDescent="0.25">
      <c r="A6658" s="311"/>
      <c r="B6658" s="312"/>
      <c r="C6658" s="312"/>
      <c r="D6658" s="312"/>
      <c r="E6658" s="312"/>
      <c r="F6658" s="312"/>
      <c r="G6658" s="328"/>
      <c r="H6658" s="453"/>
      <c r="I6658" s="334"/>
      <c r="J6658" s="314"/>
      <c r="K6658" s="454"/>
      <c r="M6658" s="349" t="str">
        <f>N6658&amp;AS[[#This Row],[Insurer Code]]&amp;"; "&amp;O6658&amp;AS[[#This Row],[Reporting Year]]&amp;"; "&amp;P6658&amp;AS[[#This Row],[Insurance Category Code]]&amp;"; "&amp;Q6658&amp;AS[[#This Row],[Large Provider Entity Code]]&amp;"; "&amp;R6658&amp;AS[[#This Row],[Age Band Code]]&amp;"; "&amp;S6658&amp;AS[[#This Row],[Sex Code]]</f>
        <v xml:space="preserve">Insurer Code ; Reporting Year ; Insurance Category Code ; Large Provider Entity Code ; Age Band Code ; Sex Code </v>
      </c>
      <c r="N6658" s="345" t="s">
        <v>207</v>
      </c>
      <c r="O6658" s="345" t="s">
        <v>208</v>
      </c>
      <c r="P6658" s="345" t="s">
        <v>209</v>
      </c>
      <c r="Q6658" s="345" t="s">
        <v>210</v>
      </c>
      <c r="R6658" s="345" t="s">
        <v>223</v>
      </c>
      <c r="S6658" s="345" t="s">
        <v>224</v>
      </c>
    </row>
    <row r="6659" spans="1:19" x14ac:dyDescent="0.25">
      <c r="A6659" s="311"/>
      <c r="B6659" s="312"/>
      <c r="C6659" s="312"/>
      <c r="D6659" s="312"/>
      <c r="E6659" s="312"/>
      <c r="F6659" s="312"/>
      <c r="G6659" s="328"/>
      <c r="H6659" s="453"/>
      <c r="I6659" s="334"/>
      <c r="J6659" s="314"/>
      <c r="K6659" s="454"/>
      <c r="M6659" s="349" t="str">
        <f>N6659&amp;AS[[#This Row],[Insurer Code]]&amp;"; "&amp;O6659&amp;AS[[#This Row],[Reporting Year]]&amp;"; "&amp;P6659&amp;AS[[#This Row],[Insurance Category Code]]&amp;"; "&amp;Q6659&amp;AS[[#This Row],[Large Provider Entity Code]]&amp;"; "&amp;R6659&amp;AS[[#This Row],[Age Band Code]]&amp;"; "&amp;S6659&amp;AS[[#This Row],[Sex Code]]</f>
        <v xml:space="preserve">Insurer Code ; Reporting Year ; Insurance Category Code ; Large Provider Entity Code ; Age Band Code ; Sex Code </v>
      </c>
      <c r="N6659" s="345" t="s">
        <v>207</v>
      </c>
      <c r="O6659" s="345" t="s">
        <v>208</v>
      </c>
      <c r="P6659" s="345" t="s">
        <v>209</v>
      </c>
      <c r="Q6659" s="345" t="s">
        <v>210</v>
      </c>
      <c r="R6659" s="345" t="s">
        <v>223</v>
      </c>
      <c r="S6659" s="345" t="s">
        <v>224</v>
      </c>
    </row>
    <row r="6660" spans="1:19" x14ac:dyDescent="0.25">
      <c r="A6660" s="311"/>
      <c r="B6660" s="312"/>
      <c r="C6660" s="312"/>
      <c r="D6660" s="312"/>
      <c r="E6660" s="312"/>
      <c r="F6660" s="312"/>
      <c r="G6660" s="328"/>
      <c r="H6660" s="453"/>
      <c r="I6660" s="334"/>
      <c r="J6660" s="314"/>
      <c r="K6660" s="454"/>
      <c r="M6660" s="349" t="str">
        <f>N6660&amp;AS[[#This Row],[Insurer Code]]&amp;"; "&amp;O6660&amp;AS[[#This Row],[Reporting Year]]&amp;"; "&amp;P6660&amp;AS[[#This Row],[Insurance Category Code]]&amp;"; "&amp;Q6660&amp;AS[[#This Row],[Large Provider Entity Code]]&amp;"; "&amp;R6660&amp;AS[[#This Row],[Age Band Code]]&amp;"; "&amp;S6660&amp;AS[[#This Row],[Sex Code]]</f>
        <v xml:space="preserve">Insurer Code ; Reporting Year ; Insurance Category Code ; Large Provider Entity Code ; Age Band Code ; Sex Code </v>
      </c>
      <c r="N6660" s="345" t="s">
        <v>207</v>
      </c>
      <c r="O6660" s="345" t="s">
        <v>208</v>
      </c>
      <c r="P6660" s="345" t="s">
        <v>209</v>
      </c>
      <c r="Q6660" s="345" t="s">
        <v>210</v>
      </c>
      <c r="R6660" s="345" t="s">
        <v>223</v>
      </c>
      <c r="S6660" s="345" t="s">
        <v>224</v>
      </c>
    </row>
    <row r="6661" spans="1:19" x14ac:dyDescent="0.25">
      <c r="A6661" s="311"/>
      <c r="B6661" s="312"/>
      <c r="C6661" s="312"/>
      <c r="D6661" s="312"/>
      <c r="E6661" s="312"/>
      <c r="F6661" s="312"/>
      <c r="G6661" s="328"/>
      <c r="H6661" s="453"/>
      <c r="I6661" s="334"/>
      <c r="J6661" s="314"/>
      <c r="K6661" s="454"/>
      <c r="M6661" s="349" t="str">
        <f>N6661&amp;AS[[#This Row],[Insurer Code]]&amp;"; "&amp;O6661&amp;AS[[#This Row],[Reporting Year]]&amp;"; "&amp;P6661&amp;AS[[#This Row],[Insurance Category Code]]&amp;"; "&amp;Q6661&amp;AS[[#This Row],[Large Provider Entity Code]]&amp;"; "&amp;R6661&amp;AS[[#This Row],[Age Band Code]]&amp;"; "&amp;S6661&amp;AS[[#This Row],[Sex Code]]</f>
        <v xml:space="preserve">Insurer Code ; Reporting Year ; Insurance Category Code ; Large Provider Entity Code ; Age Band Code ; Sex Code </v>
      </c>
      <c r="N6661" s="345" t="s">
        <v>207</v>
      </c>
      <c r="O6661" s="345" t="s">
        <v>208</v>
      </c>
      <c r="P6661" s="345" t="s">
        <v>209</v>
      </c>
      <c r="Q6661" s="345" t="s">
        <v>210</v>
      </c>
      <c r="R6661" s="345" t="s">
        <v>223</v>
      </c>
      <c r="S6661" s="345" t="s">
        <v>224</v>
      </c>
    </row>
    <row r="6662" spans="1:19" x14ac:dyDescent="0.25">
      <c r="A6662" s="311"/>
      <c r="B6662" s="312"/>
      <c r="C6662" s="312"/>
      <c r="D6662" s="312"/>
      <c r="E6662" s="312"/>
      <c r="F6662" s="312"/>
      <c r="G6662" s="328"/>
      <c r="H6662" s="453"/>
      <c r="I6662" s="334"/>
      <c r="J6662" s="314"/>
      <c r="K6662" s="454"/>
      <c r="M6662" s="349" t="str">
        <f>N6662&amp;AS[[#This Row],[Insurer Code]]&amp;"; "&amp;O6662&amp;AS[[#This Row],[Reporting Year]]&amp;"; "&amp;P6662&amp;AS[[#This Row],[Insurance Category Code]]&amp;"; "&amp;Q6662&amp;AS[[#This Row],[Large Provider Entity Code]]&amp;"; "&amp;R6662&amp;AS[[#This Row],[Age Band Code]]&amp;"; "&amp;S6662&amp;AS[[#This Row],[Sex Code]]</f>
        <v xml:space="preserve">Insurer Code ; Reporting Year ; Insurance Category Code ; Large Provider Entity Code ; Age Band Code ; Sex Code </v>
      </c>
      <c r="N6662" s="345" t="s">
        <v>207</v>
      </c>
      <c r="O6662" s="345" t="s">
        <v>208</v>
      </c>
      <c r="P6662" s="345" t="s">
        <v>209</v>
      </c>
      <c r="Q6662" s="345" t="s">
        <v>210</v>
      </c>
      <c r="R6662" s="345" t="s">
        <v>223</v>
      </c>
      <c r="S6662" s="345" t="s">
        <v>224</v>
      </c>
    </row>
    <row r="6663" spans="1:19" x14ac:dyDescent="0.25">
      <c r="A6663" s="311"/>
      <c r="B6663" s="312"/>
      <c r="C6663" s="312"/>
      <c r="D6663" s="312"/>
      <c r="E6663" s="312"/>
      <c r="F6663" s="312"/>
      <c r="G6663" s="328"/>
      <c r="H6663" s="453"/>
      <c r="I6663" s="334"/>
      <c r="J6663" s="314"/>
      <c r="K6663" s="454"/>
      <c r="M6663" s="349" t="str">
        <f>N6663&amp;AS[[#This Row],[Insurer Code]]&amp;"; "&amp;O6663&amp;AS[[#This Row],[Reporting Year]]&amp;"; "&amp;P6663&amp;AS[[#This Row],[Insurance Category Code]]&amp;"; "&amp;Q6663&amp;AS[[#This Row],[Large Provider Entity Code]]&amp;"; "&amp;R6663&amp;AS[[#This Row],[Age Band Code]]&amp;"; "&amp;S6663&amp;AS[[#This Row],[Sex Code]]</f>
        <v xml:space="preserve">Insurer Code ; Reporting Year ; Insurance Category Code ; Large Provider Entity Code ; Age Band Code ; Sex Code </v>
      </c>
      <c r="N6663" s="345" t="s">
        <v>207</v>
      </c>
      <c r="O6663" s="345" t="s">
        <v>208</v>
      </c>
      <c r="P6663" s="345" t="s">
        <v>209</v>
      </c>
      <c r="Q6663" s="345" t="s">
        <v>210</v>
      </c>
      <c r="R6663" s="345" t="s">
        <v>223</v>
      </c>
      <c r="S6663" s="345" t="s">
        <v>224</v>
      </c>
    </row>
    <row r="6664" spans="1:19" x14ac:dyDescent="0.25">
      <c r="A6664" s="311"/>
      <c r="B6664" s="312"/>
      <c r="C6664" s="312"/>
      <c r="D6664" s="312"/>
      <c r="E6664" s="312"/>
      <c r="F6664" s="312"/>
      <c r="G6664" s="328"/>
      <c r="H6664" s="453"/>
      <c r="I6664" s="334"/>
      <c r="J6664" s="314"/>
      <c r="K6664" s="454"/>
      <c r="M6664" s="349" t="str">
        <f>N6664&amp;AS[[#This Row],[Insurer Code]]&amp;"; "&amp;O6664&amp;AS[[#This Row],[Reporting Year]]&amp;"; "&amp;P6664&amp;AS[[#This Row],[Insurance Category Code]]&amp;"; "&amp;Q6664&amp;AS[[#This Row],[Large Provider Entity Code]]&amp;"; "&amp;R6664&amp;AS[[#This Row],[Age Band Code]]&amp;"; "&amp;S6664&amp;AS[[#This Row],[Sex Code]]</f>
        <v xml:space="preserve">Insurer Code ; Reporting Year ; Insurance Category Code ; Large Provider Entity Code ; Age Band Code ; Sex Code </v>
      </c>
      <c r="N6664" s="345" t="s">
        <v>207</v>
      </c>
      <c r="O6664" s="345" t="s">
        <v>208</v>
      </c>
      <c r="P6664" s="345" t="s">
        <v>209</v>
      </c>
      <c r="Q6664" s="345" t="s">
        <v>210</v>
      </c>
      <c r="R6664" s="345" t="s">
        <v>223</v>
      </c>
      <c r="S6664" s="345" t="s">
        <v>224</v>
      </c>
    </row>
    <row r="6665" spans="1:19" x14ac:dyDescent="0.25">
      <c r="A6665" s="311"/>
      <c r="B6665" s="312"/>
      <c r="C6665" s="312"/>
      <c r="D6665" s="312"/>
      <c r="E6665" s="312"/>
      <c r="F6665" s="312"/>
      <c r="G6665" s="328"/>
      <c r="H6665" s="453"/>
      <c r="I6665" s="334"/>
      <c r="J6665" s="314"/>
      <c r="K6665" s="454"/>
      <c r="M6665" s="349" t="str">
        <f>N6665&amp;AS[[#This Row],[Insurer Code]]&amp;"; "&amp;O6665&amp;AS[[#This Row],[Reporting Year]]&amp;"; "&amp;P6665&amp;AS[[#This Row],[Insurance Category Code]]&amp;"; "&amp;Q6665&amp;AS[[#This Row],[Large Provider Entity Code]]&amp;"; "&amp;R6665&amp;AS[[#This Row],[Age Band Code]]&amp;"; "&amp;S6665&amp;AS[[#This Row],[Sex Code]]</f>
        <v xml:space="preserve">Insurer Code ; Reporting Year ; Insurance Category Code ; Large Provider Entity Code ; Age Band Code ; Sex Code </v>
      </c>
      <c r="N6665" s="345" t="s">
        <v>207</v>
      </c>
      <c r="O6665" s="345" t="s">
        <v>208</v>
      </c>
      <c r="P6665" s="345" t="s">
        <v>209</v>
      </c>
      <c r="Q6665" s="345" t="s">
        <v>210</v>
      </c>
      <c r="R6665" s="345" t="s">
        <v>223</v>
      </c>
      <c r="S6665" s="345" t="s">
        <v>224</v>
      </c>
    </row>
    <row r="6666" spans="1:19" x14ac:dyDescent="0.25">
      <c r="A6666" s="311"/>
      <c r="B6666" s="312"/>
      <c r="C6666" s="312"/>
      <c r="D6666" s="312"/>
      <c r="E6666" s="312"/>
      <c r="F6666" s="312"/>
      <c r="G6666" s="328"/>
      <c r="H6666" s="453"/>
      <c r="I6666" s="334"/>
      <c r="J6666" s="314"/>
      <c r="K6666" s="454"/>
      <c r="M6666" s="349" t="str">
        <f>N6666&amp;AS[[#This Row],[Insurer Code]]&amp;"; "&amp;O6666&amp;AS[[#This Row],[Reporting Year]]&amp;"; "&amp;P6666&amp;AS[[#This Row],[Insurance Category Code]]&amp;"; "&amp;Q6666&amp;AS[[#This Row],[Large Provider Entity Code]]&amp;"; "&amp;R6666&amp;AS[[#This Row],[Age Band Code]]&amp;"; "&amp;S6666&amp;AS[[#This Row],[Sex Code]]</f>
        <v xml:space="preserve">Insurer Code ; Reporting Year ; Insurance Category Code ; Large Provider Entity Code ; Age Band Code ; Sex Code </v>
      </c>
      <c r="N6666" s="345" t="s">
        <v>207</v>
      </c>
      <c r="O6666" s="345" t="s">
        <v>208</v>
      </c>
      <c r="P6666" s="345" t="s">
        <v>209</v>
      </c>
      <c r="Q6666" s="345" t="s">
        <v>210</v>
      </c>
      <c r="R6666" s="345" t="s">
        <v>223</v>
      </c>
      <c r="S6666" s="345" t="s">
        <v>224</v>
      </c>
    </row>
    <row r="6667" spans="1:19" x14ac:dyDescent="0.25">
      <c r="A6667" s="311"/>
      <c r="B6667" s="312"/>
      <c r="C6667" s="312"/>
      <c r="D6667" s="312"/>
      <c r="E6667" s="312"/>
      <c r="F6667" s="312"/>
      <c r="G6667" s="328"/>
      <c r="H6667" s="453"/>
      <c r="I6667" s="334"/>
      <c r="J6667" s="314"/>
      <c r="K6667" s="454"/>
      <c r="M6667" s="349" t="str">
        <f>N6667&amp;AS[[#This Row],[Insurer Code]]&amp;"; "&amp;O6667&amp;AS[[#This Row],[Reporting Year]]&amp;"; "&amp;P6667&amp;AS[[#This Row],[Insurance Category Code]]&amp;"; "&amp;Q6667&amp;AS[[#This Row],[Large Provider Entity Code]]&amp;"; "&amp;R6667&amp;AS[[#This Row],[Age Band Code]]&amp;"; "&amp;S6667&amp;AS[[#This Row],[Sex Code]]</f>
        <v xml:space="preserve">Insurer Code ; Reporting Year ; Insurance Category Code ; Large Provider Entity Code ; Age Band Code ; Sex Code </v>
      </c>
      <c r="N6667" s="345" t="s">
        <v>207</v>
      </c>
      <c r="O6667" s="345" t="s">
        <v>208</v>
      </c>
      <c r="P6667" s="345" t="s">
        <v>209</v>
      </c>
      <c r="Q6667" s="345" t="s">
        <v>210</v>
      </c>
      <c r="R6667" s="345" t="s">
        <v>223</v>
      </c>
      <c r="S6667" s="345" t="s">
        <v>224</v>
      </c>
    </row>
    <row r="6668" spans="1:19" x14ac:dyDescent="0.25">
      <c r="A6668" s="311"/>
      <c r="B6668" s="312"/>
      <c r="C6668" s="312"/>
      <c r="D6668" s="312"/>
      <c r="E6668" s="312"/>
      <c r="F6668" s="312"/>
      <c r="G6668" s="328"/>
      <c r="H6668" s="453"/>
      <c r="I6668" s="334"/>
      <c r="J6668" s="314"/>
      <c r="K6668" s="454"/>
      <c r="M6668" s="349" t="str">
        <f>N6668&amp;AS[[#This Row],[Insurer Code]]&amp;"; "&amp;O6668&amp;AS[[#This Row],[Reporting Year]]&amp;"; "&amp;P6668&amp;AS[[#This Row],[Insurance Category Code]]&amp;"; "&amp;Q6668&amp;AS[[#This Row],[Large Provider Entity Code]]&amp;"; "&amp;R6668&amp;AS[[#This Row],[Age Band Code]]&amp;"; "&amp;S6668&amp;AS[[#This Row],[Sex Code]]</f>
        <v xml:space="preserve">Insurer Code ; Reporting Year ; Insurance Category Code ; Large Provider Entity Code ; Age Band Code ; Sex Code </v>
      </c>
      <c r="N6668" s="345" t="s">
        <v>207</v>
      </c>
      <c r="O6668" s="345" t="s">
        <v>208</v>
      </c>
      <c r="P6668" s="345" t="s">
        <v>209</v>
      </c>
      <c r="Q6668" s="345" t="s">
        <v>210</v>
      </c>
      <c r="R6668" s="345" t="s">
        <v>223</v>
      </c>
      <c r="S6668" s="345" t="s">
        <v>224</v>
      </c>
    </row>
    <row r="6669" spans="1:19" x14ac:dyDescent="0.25">
      <c r="A6669" s="311"/>
      <c r="B6669" s="312"/>
      <c r="C6669" s="312"/>
      <c r="D6669" s="312"/>
      <c r="E6669" s="312"/>
      <c r="F6669" s="312"/>
      <c r="G6669" s="328"/>
      <c r="H6669" s="453"/>
      <c r="I6669" s="334"/>
      <c r="J6669" s="314"/>
      <c r="K6669" s="454"/>
      <c r="M6669" s="349" t="str">
        <f>N6669&amp;AS[[#This Row],[Insurer Code]]&amp;"; "&amp;O6669&amp;AS[[#This Row],[Reporting Year]]&amp;"; "&amp;P6669&amp;AS[[#This Row],[Insurance Category Code]]&amp;"; "&amp;Q6669&amp;AS[[#This Row],[Large Provider Entity Code]]&amp;"; "&amp;R6669&amp;AS[[#This Row],[Age Band Code]]&amp;"; "&amp;S6669&amp;AS[[#This Row],[Sex Code]]</f>
        <v xml:space="preserve">Insurer Code ; Reporting Year ; Insurance Category Code ; Large Provider Entity Code ; Age Band Code ; Sex Code </v>
      </c>
      <c r="N6669" s="345" t="s">
        <v>207</v>
      </c>
      <c r="O6669" s="345" t="s">
        <v>208</v>
      </c>
      <c r="P6669" s="345" t="s">
        <v>209</v>
      </c>
      <c r="Q6669" s="345" t="s">
        <v>210</v>
      </c>
      <c r="R6669" s="345" t="s">
        <v>223</v>
      </c>
      <c r="S6669" s="345" t="s">
        <v>224</v>
      </c>
    </row>
    <row r="6670" spans="1:19" x14ac:dyDescent="0.25">
      <c r="A6670" s="311"/>
      <c r="B6670" s="312"/>
      <c r="C6670" s="312"/>
      <c r="D6670" s="312"/>
      <c r="E6670" s="312"/>
      <c r="F6670" s="312"/>
      <c r="G6670" s="328"/>
      <c r="H6670" s="453"/>
      <c r="I6670" s="334"/>
      <c r="J6670" s="314"/>
      <c r="K6670" s="454"/>
      <c r="M6670" s="349" t="str">
        <f>N6670&amp;AS[[#This Row],[Insurer Code]]&amp;"; "&amp;O6670&amp;AS[[#This Row],[Reporting Year]]&amp;"; "&amp;P6670&amp;AS[[#This Row],[Insurance Category Code]]&amp;"; "&amp;Q6670&amp;AS[[#This Row],[Large Provider Entity Code]]&amp;"; "&amp;R6670&amp;AS[[#This Row],[Age Band Code]]&amp;"; "&amp;S6670&amp;AS[[#This Row],[Sex Code]]</f>
        <v xml:space="preserve">Insurer Code ; Reporting Year ; Insurance Category Code ; Large Provider Entity Code ; Age Band Code ; Sex Code </v>
      </c>
      <c r="N6670" s="345" t="s">
        <v>207</v>
      </c>
      <c r="O6670" s="345" t="s">
        <v>208</v>
      </c>
      <c r="P6670" s="345" t="s">
        <v>209</v>
      </c>
      <c r="Q6670" s="345" t="s">
        <v>210</v>
      </c>
      <c r="R6670" s="345" t="s">
        <v>223</v>
      </c>
      <c r="S6670" s="345" t="s">
        <v>224</v>
      </c>
    </row>
    <row r="6671" spans="1:19" x14ac:dyDescent="0.25">
      <c r="A6671" s="311"/>
      <c r="B6671" s="312"/>
      <c r="C6671" s="312"/>
      <c r="D6671" s="312"/>
      <c r="E6671" s="312"/>
      <c r="F6671" s="312"/>
      <c r="G6671" s="328"/>
      <c r="H6671" s="453"/>
      <c r="I6671" s="334"/>
      <c r="J6671" s="314"/>
      <c r="K6671" s="454"/>
      <c r="M6671" s="349" t="str">
        <f>N6671&amp;AS[[#This Row],[Insurer Code]]&amp;"; "&amp;O6671&amp;AS[[#This Row],[Reporting Year]]&amp;"; "&amp;P6671&amp;AS[[#This Row],[Insurance Category Code]]&amp;"; "&amp;Q6671&amp;AS[[#This Row],[Large Provider Entity Code]]&amp;"; "&amp;R6671&amp;AS[[#This Row],[Age Band Code]]&amp;"; "&amp;S6671&amp;AS[[#This Row],[Sex Code]]</f>
        <v xml:space="preserve">Insurer Code ; Reporting Year ; Insurance Category Code ; Large Provider Entity Code ; Age Band Code ; Sex Code </v>
      </c>
      <c r="N6671" s="345" t="s">
        <v>207</v>
      </c>
      <c r="O6671" s="345" t="s">
        <v>208</v>
      </c>
      <c r="P6671" s="345" t="s">
        <v>209</v>
      </c>
      <c r="Q6671" s="345" t="s">
        <v>210</v>
      </c>
      <c r="R6671" s="345" t="s">
        <v>223</v>
      </c>
      <c r="S6671" s="345" t="s">
        <v>224</v>
      </c>
    </row>
    <row r="6672" spans="1:19" x14ac:dyDescent="0.25">
      <c r="A6672" s="311"/>
      <c r="B6672" s="312"/>
      <c r="C6672" s="312"/>
      <c r="D6672" s="312"/>
      <c r="E6672" s="312"/>
      <c r="F6672" s="312"/>
      <c r="G6672" s="328"/>
      <c r="H6672" s="453"/>
      <c r="I6672" s="334"/>
      <c r="J6672" s="314"/>
      <c r="K6672" s="454"/>
      <c r="M6672" s="349" t="str">
        <f>N6672&amp;AS[[#This Row],[Insurer Code]]&amp;"; "&amp;O6672&amp;AS[[#This Row],[Reporting Year]]&amp;"; "&amp;P6672&amp;AS[[#This Row],[Insurance Category Code]]&amp;"; "&amp;Q6672&amp;AS[[#This Row],[Large Provider Entity Code]]&amp;"; "&amp;R6672&amp;AS[[#This Row],[Age Band Code]]&amp;"; "&amp;S6672&amp;AS[[#This Row],[Sex Code]]</f>
        <v xml:space="preserve">Insurer Code ; Reporting Year ; Insurance Category Code ; Large Provider Entity Code ; Age Band Code ; Sex Code </v>
      </c>
      <c r="N6672" s="345" t="s">
        <v>207</v>
      </c>
      <c r="O6672" s="345" t="s">
        <v>208</v>
      </c>
      <c r="P6672" s="345" t="s">
        <v>209</v>
      </c>
      <c r="Q6672" s="345" t="s">
        <v>210</v>
      </c>
      <c r="R6672" s="345" t="s">
        <v>223</v>
      </c>
      <c r="S6672" s="345" t="s">
        <v>224</v>
      </c>
    </row>
    <row r="6673" spans="1:19" x14ac:dyDescent="0.25">
      <c r="A6673" s="311"/>
      <c r="B6673" s="312"/>
      <c r="C6673" s="312"/>
      <c r="D6673" s="312"/>
      <c r="E6673" s="312"/>
      <c r="F6673" s="312"/>
      <c r="G6673" s="328"/>
      <c r="H6673" s="453"/>
      <c r="I6673" s="334"/>
      <c r="J6673" s="314"/>
      <c r="K6673" s="454"/>
      <c r="M6673" s="349" t="str">
        <f>N6673&amp;AS[[#This Row],[Insurer Code]]&amp;"; "&amp;O6673&amp;AS[[#This Row],[Reporting Year]]&amp;"; "&amp;P6673&amp;AS[[#This Row],[Insurance Category Code]]&amp;"; "&amp;Q6673&amp;AS[[#This Row],[Large Provider Entity Code]]&amp;"; "&amp;R6673&amp;AS[[#This Row],[Age Band Code]]&amp;"; "&amp;S6673&amp;AS[[#This Row],[Sex Code]]</f>
        <v xml:space="preserve">Insurer Code ; Reporting Year ; Insurance Category Code ; Large Provider Entity Code ; Age Band Code ; Sex Code </v>
      </c>
      <c r="N6673" s="345" t="s">
        <v>207</v>
      </c>
      <c r="O6673" s="345" t="s">
        <v>208</v>
      </c>
      <c r="P6673" s="345" t="s">
        <v>209</v>
      </c>
      <c r="Q6673" s="345" t="s">
        <v>210</v>
      </c>
      <c r="R6673" s="345" t="s">
        <v>223</v>
      </c>
      <c r="S6673" s="345" t="s">
        <v>224</v>
      </c>
    </row>
    <row r="6674" spans="1:19" x14ac:dyDescent="0.25">
      <c r="A6674" s="311"/>
      <c r="B6674" s="312"/>
      <c r="C6674" s="312"/>
      <c r="D6674" s="312"/>
      <c r="E6674" s="312"/>
      <c r="F6674" s="312"/>
      <c r="G6674" s="328"/>
      <c r="H6674" s="453"/>
      <c r="I6674" s="334"/>
      <c r="J6674" s="314"/>
      <c r="K6674" s="454"/>
      <c r="M6674" s="349" t="str">
        <f>N6674&amp;AS[[#This Row],[Insurer Code]]&amp;"; "&amp;O6674&amp;AS[[#This Row],[Reporting Year]]&amp;"; "&amp;P6674&amp;AS[[#This Row],[Insurance Category Code]]&amp;"; "&amp;Q6674&amp;AS[[#This Row],[Large Provider Entity Code]]&amp;"; "&amp;R6674&amp;AS[[#This Row],[Age Band Code]]&amp;"; "&amp;S6674&amp;AS[[#This Row],[Sex Code]]</f>
        <v xml:space="preserve">Insurer Code ; Reporting Year ; Insurance Category Code ; Large Provider Entity Code ; Age Band Code ; Sex Code </v>
      </c>
      <c r="N6674" s="345" t="s">
        <v>207</v>
      </c>
      <c r="O6674" s="345" t="s">
        <v>208</v>
      </c>
      <c r="P6674" s="345" t="s">
        <v>209</v>
      </c>
      <c r="Q6674" s="345" t="s">
        <v>210</v>
      </c>
      <c r="R6674" s="345" t="s">
        <v>223</v>
      </c>
      <c r="S6674" s="345" t="s">
        <v>224</v>
      </c>
    </row>
    <row r="6675" spans="1:19" x14ac:dyDescent="0.25">
      <c r="A6675" s="311"/>
      <c r="B6675" s="312"/>
      <c r="C6675" s="312"/>
      <c r="D6675" s="312"/>
      <c r="E6675" s="312"/>
      <c r="F6675" s="312"/>
      <c r="G6675" s="328"/>
      <c r="H6675" s="453"/>
      <c r="I6675" s="334"/>
      <c r="J6675" s="314"/>
      <c r="K6675" s="454"/>
      <c r="M6675" s="349" t="str">
        <f>N6675&amp;AS[[#This Row],[Insurer Code]]&amp;"; "&amp;O6675&amp;AS[[#This Row],[Reporting Year]]&amp;"; "&amp;P6675&amp;AS[[#This Row],[Insurance Category Code]]&amp;"; "&amp;Q6675&amp;AS[[#This Row],[Large Provider Entity Code]]&amp;"; "&amp;R6675&amp;AS[[#This Row],[Age Band Code]]&amp;"; "&amp;S6675&amp;AS[[#This Row],[Sex Code]]</f>
        <v xml:space="preserve">Insurer Code ; Reporting Year ; Insurance Category Code ; Large Provider Entity Code ; Age Band Code ; Sex Code </v>
      </c>
      <c r="N6675" s="345" t="s">
        <v>207</v>
      </c>
      <c r="O6675" s="345" t="s">
        <v>208</v>
      </c>
      <c r="P6675" s="345" t="s">
        <v>209</v>
      </c>
      <c r="Q6675" s="345" t="s">
        <v>210</v>
      </c>
      <c r="R6675" s="345" t="s">
        <v>223</v>
      </c>
      <c r="S6675" s="345" t="s">
        <v>224</v>
      </c>
    </row>
    <row r="6676" spans="1:19" x14ac:dyDescent="0.25">
      <c r="A6676" s="311"/>
      <c r="B6676" s="312"/>
      <c r="C6676" s="312"/>
      <c r="D6676" s="312"/>
      <c r="E6676" s="312"/>
      <c r="F6676" s="312"/>
      <c r="G6676" s="328"/>
      <c r="H6676" s="453"/>
      <c r="I6676" s="334"/>
      <c r="J6676" s="314"/>
      <c r="K6676" s="454"/>
      <c r="M6676" s="349" t="str">
        <f>N6676&amp;AS[[#This Row],[Insurer Code]]&amp;"; "&amp;O6676&amp;AS[[#This Row],[Reporting Year]]&amp;"; "&amp;P6676&amp;AS[[#This Row],[Insurance Category Code]]&amp;"; "&amp;Q6676&amp;AS[[#This Row],[Large Provider Entity Code]]&amp;"; "&amp;R6676&amp;AS[[#This Row],[Age Band Code]]&amp;"; "&amp;S6676&amp;AS[[#This Row],[Sex Code]]</f>
        <v xml:space="preserve">Insurer Code ; Reporting Year ; Insurance Category Code ; Large Provider Entity Code ; Age Band Code ; Sex Code </v>
      </c>
      <c r="N6676" s="345" t="s">
        <v>207</v>
      </c>
      <c r="O6676" s="345" t="s">
        <v>208</v>
      </c>
      <c r="P6676" s="345" t="s">
        <v>209</v>
      </c>
      <c r="Q6676" s="345" t="s">
        <v>210</v>
      </c>
      <c r="R6676" s="345" t="s">
        <v>223</v>
      </c>
      <c r="S6676" s="345" t="s">
        <v>224</v>
      </c>
    </row>
    <row r="6677" spans="1:19" x14ac:dyDescent="0.25">
      <c r="A6677" s="311"/>
      <c r="B6677" s="312"/>
      <c r="C6677" s="312"/>
      <c r="D6677" s="312"/>
      <c r="E6677" s="312"/>
      <c r="F6677" s="312"/>
      <c r="G6677" s="328"/>
      <c r="H6677" s="453"/>
      <c r="I6677" s="334"/>
      <c r="J6677" s="314"/>
      <c r="K6677" s="454"/>
      <c r="M6677" s="349" t="str">
        <f>N6677&amp;AS[[#This Row],[Insurer Code]]&amp;"; "&amp;O6677&amp;AS[[#This Row],[Reporting Year]]&amp;"; "&amp;P6677&amp;AS[[#This Row],[Insurance Category Code]]&amp;"; "&amp;Q6677&amp;AS[[#This Row],[Large Provider Entity Code]]&amp;"; "&amp;R6677&amp;AS[[#This Row],[Age Band Code]]&amp;"; "&amp;S6677&amp;AS[[#This Row],[Sex Code]]</f>
        <v xml:space="preserve">Insurer Code ; Reporting Year ; Insurance Category Code ; Large Provider Entity Code ; Age Band Code ; Sex Code </v>
      </c>
      <c r="N6677" s="345" t="s">
        <v>207</v>
      </c>
      <c r="O6677" s="345" t="s">
        <v>208</v>
      </c>
      <c r="P6677" s="345" t="s">
        <v>209</v>
      </c>
      <c r="Q6677" s="345" t="s">
        <v>210</v>
      </c>
      <c r="R6677" s="345" t="s">
        <v>223</v>
      </c>
      <c r="S6677" s="345" t="s">
        <v>224</v>
      </c>
    </row>
    <row r="6678" spans="1:19" x14ac:dyDescent="0.25">
      <c r="A6678" s="311"/>
      <c r="B6678" s="312"/>
      <c r="C6678" s="312"/>
      <c r="D6678" s="312"/>
      <c r="E6678" s="312"/>
      <c r="F6678" s="312"/>
      <c r="G6678" s="328"/>
      <c r="H6678" s="453"/>
      <c r="I6678" s="334"/>
      <c r="J6678" s="314"/>
      <c r="K6678" s="454"/>
      <c r="M6678" s="349" t="str">
        <f>N6678&amp;AS[[#This Row],[Insurer Code]]&amp;"; "&amp;O6678&amp;AS[[#This Row],[Reporting Year]]&amp;"; "&amp;P6678&amp;AS[[#This Row],[Insurance Category Code]]&amp;"; "&amp;Q6678&amp;AS[[#This Row],[Large Provider Entity Code]]&amp;"; "&amp;R6678&amp;AS[[#This Row],[Age Band Code]]&amp;"; "&amp;S6678&amp;AS[[#This Row],[Sex Code]]</f>
        <v xml:space="preserve">Insurer Code ; Reporting Year ; Insurance Category Code ; Large Provider Entity Code ; Age Band Code ; Sex Code </v>
      </c>
      <c r="N6678" s="345" t="s">
        <v>207</v>
      </c>
      <c r="O6678" s="345" t="s">
        <v>208</v>
      </c>
      <c r="P6678" s="345" t="s">
        <v>209</v>
      </c>
      <c r="Q6678" s="345" t="s">
        <v>210</v>
      </c>
      <c r="R6678" s="345" t="s">
        <v>223</v>
      </c>
      <c r="S6678" s="345" t="s">
        <v>224</v>
      </c>
    </row>
    <row r="6679" spans="1:19" x14ac:dyDescent="0.25">
      <c r="A6679" s="311"/>
      <c r="B6679" s="312"/>
      <c r="C6679" s="312"/>
      <c r="D6679" s="312"/>
      <c r="E6679" s="312"/>
      <c r="F6679" s="312"/>
      <c r="G6679" s="328"/>
      <c r="H6679" s="453"/>
      <c r="I6679" s="334"/>
      <c r="J6679" s="314"/>
      <c r="K6679" s="454"/>
      <c r="M6679" s="349" t="str">
        <f>N6679&amp;AS[[#This Row],[Insurer Code]]&amp;"; "&amp;O6679&amp;AS[[#This Row],[Reporting Year]]&amp;"; "&amp;P6679&amp;AS[[#This Row],[Insurance Category Code]]&amp;"; "&amp;Q6679&amp;AS[[#This Row],[Large Provider Entity Code]]&amp;"; "&amp;R6679&amp;AS[[#This Row],[Age Band Code]]&amp;"; "&amp;S6679&amp;AS[[#This Row],[Sex Code]]</f>
        <v xml:space="preserve">Insurer Code ; Reporting Year ; Insurance Category Code ; Large Provider Entity Code ; Age Band Code ; Sex Code </v>
      </c>
      <c r="N6679" s="345" t="s">
        <v>207</v>
      </c>
      <c r="O6679" s="345" t="s">
        <v>208</v>
      </c>
      <c r="P6679" s="345" t="s">
        <v>209</v>
      </c>
      <c r="Q6679" s="345" t="s">
        <v>210</v>
      </c>
      <c r="R6679" s="345" t="s">
        <v>223</v>
      </c>
      <c r="S6679" s="345" t="s">
        <v>224</v>
      </c>
    </row>
    <row r="6680" spans="1:19" x14ac:dyDescent="0.25">
      <c r="A6680" s="311"/>
      <c r="B6680" s="312"/>
      <c r="C6680" s="312"/>
      <c r="D6680" s="312"/>
      <c r="E6680" s="312"/>
      <c r="F6680" s="312"/>
      <c r="G6680" s="328"/>
      <c r="H6680" s="453"/>
      <c r="I6680" s="334"/>
      <c r="J6680" s="314"/>
      <c r="K6680" s="454"/>
      <c r="M6680" s="349" t="str">
        <f>N6680&amp;AS[[#This Row],[Insurer Code]]&amp;"; "&amp;O6680&amp;AS[[#This Row],[Reporting Year]]&amp;"; "&amp;P6680&amp;AS[[#This Row],[Insurance Category Code]]&amp;"; "&amp;Q6680&amp;AS[[#This Row],[Large Provider Entity Code]]&amp;"; "&amp;R6680&amp;AS[[#This Row],[Age Band Code]]&amp;"; "&amp;S6680&amp;AS[[#This Row],[Sex Code]]</f>
        <v xml:space="preserve">Insurer Code ; Reporting Year ; Insurance Category Code ; Large Provider Entity Code ; Age Band Code ; Sex Code </v>
      </c>
      <c r="N6680" s="345" t="s">
        <v>207</v>
      </c>
      <c r="O6680" s="345" t="s">
        <v>208</v>
      </c>
      <c r="P6680" s="345" t="s">
        <v>209</v>
      </c>
      <c r="Q6680" s="345" t="s">
        <v>210</v>
      </c>
      <c r="R6680" s="345" t="s">
        <v>223</v>
      </c>
      <c r="S6680" s="345" t="s">
        <v>224</v>
      </c>
    </row>
    <row r="6681" spans="1:19" x14ac:dyDescent="0.25">
      <c r="A6681" s="311"/>
      <c r="B6681" s="312"/>
      <c r="C6681" s="312"/>
      <c r="D6681" s="312"/>
      <c r="E6681" s="312"/>
      <c r="F6681" s="312"/>
      <c r="G6681" s="328"/>
      <c r="H6681" s="453"/>
      <c r="I6681" s="334"/>
      <c r="J6681" s="314"/>
      <c r="K6681" s="454"/>
      <c r="M6681" s="349" t="str">
        <f>N6681&amp;AS[[#This Row],[Insurer Code]]&amp;"; "&amp;O6681&amp;AS[[#This Row],[Reporting Year]]&amp;"; "&amp;P6681&amp;AS[[#This Row],[Insurance Category Code]]&amp;"; "&amp;Q6681&amp;AS[[#This Row],[Large Provider Entity Code]]&amp;"; "&amp;R6681&amp;AS[[#This Row],[Age Band Code]]&amp;"; "&amp;S6681&amp;AS[[#This Row],[Sex Code]]</f>
        <v xml:space="preserve">Insurer Code ; Reporting Year ; Insurance Category Code ; Large Provider Entity Code ; Age Band Code ; Sex Code </v>
      </c>
      <c r="N6681" s="345" t="s">
        <v>207</v>
      </c>
      <c r="O6681" s="345" t="s">
        <v>208</v>
      </c>
      <c r="P6681" s="345" t="s">
        <v>209</v>
      </c>
      <c r="Q6681" s="345" t="s">
        <v>210</v>
      </c>
      <c r="R6681" s="345" t="s">
        <v>223</v>
      </c>
      <c r="S6681" s="345" t="s">
        <v>224</v>
      </c>
    </row>
    <row r="6682" spans="1:19" x14ac:dyDescent="0.25">
      <c r="A6682" s="311"/>
      <c r="B6682" s="312"/>
      <c r="C6682" s="312"/>
      <c r="D6682" s="312"/>
      <c r="E6682" s="312"/>
      <c r="F6682" s="312"/>
      <c r="G6682" s="328"/>
      <c r="H6682" s="453"/>
      <c r="I6682" s="334"/>
      <c r="J6682" s="314"/>
      <c r="K6682" s="454"/>
      <c r="M6682" s="349" t="str">
        <f>N6682&amp;AS[[#This Row],[Insurer Code]]&amp;"; "&amp;O6682&amp;AS[[#This Row],[Reporting Year]]&amp;"; "&amp;P6682&amp;AS[[#This Row],[Insurance Category Code]]&amp;"; "&amp;Q6682&amp;AS[[#This Row],[Large Provider Entity Code]]&amp;"; "&amp;R6682&amp;AS[[#This Row],[Age Band Code]]&amp;"; "&amp;S6682&amp;AS[[#This Row],[Sex Code]]</f>
        <v xml:space="preserve">Insurer Code ; Reporting Year ; Insurance Category Code ; Large Provider Entity Code ; Age Band Code ; Sex Code </v>
      </c>
      <c r="N6682" s="345" t="s">
        <v>207</v>
      </c>
      <c r="O6682" s="345" t="s">
        <v>208</v>
      </c>
      <c r="P6682" s="345" t="s">
        <v>209</v>
      </c>
      <c r="Q6682" s="345" t="s">
        <v>210</v>
      </c>
      <c r="R6682" s="345" t="s">
        <v>223</v>
      </c>
      <c r="S6682" s="345" t="s">
        <v>224</v>
      </c>
    </row>
    <row r="6683" spans="1:19" x14ac:dyDescent="0.25">
      <c r="A6683" s="311"/>
      <c r="B6683" s="312"/>
      <c r="C6683" s="312"/>
      <c r="D6683" s="312"/>
      <c r="E6683" s="312"/>
      <c r="F6683" s="312"/>
      <c r="G6683" s="328"/>
      <c r="H6683" s="453"/>
      <c r="I6683" s="334"/>
      <c r="J6683" s="314"/>
      <c r="K6683" s="454"/>
      <c r="M6683" s="349" t="str">
        <f>N6683&amp;AS[[#This Row],[Insurer Code]]&amp;"; "&amp;O6683&amp;AS[[#This Row],[Reporting Year]]&amp;"; "&amp;P6683&amp;AS[[#This Row],[Insurance Category Code]]&amp;"; "&amp;Q6683&amp;AS[[#This Row],[Large Provider Entity Code]]&amp;"; "&amp;R6683&amp;AS[[#This Row],[Age Band Code]]&amp;"; "&amp;S6683&amp;AS[[#This Row],[Sex Code]]</f>
        <v xml:space="preserve">Insurer Code ; Reporting Year ; Insurance Category Code ; Large Provider Entity Code ; Age Band Code ; Sex Code </v>
      </c>
      <c r="N6683" s="345" t="s">
        <v>207</v>
      </c>
      <c r="O6683" s="345" t="s">
        <v>208</v>
      </c>
      <c r="P6683" s="345" t="s">
        <v>209</v>
      </c>
      <c r="Q6683" s="345" t="s">
        <v>210</v>
      </c>
      <c r="R6683" s="345" t="s">
        <v>223</v>
      </c>
      <c r="S6683" s="345" t="s">
        <v>224</v>
      </c>
    </row>
    <row r="6684" spans="1:19" x14ac:dyDescent="0.25">
      <c r="A6684" s="311"/>
      <c r="B6684" s="312"/>
      <c r="C6684" s="312"/>
      <c r="D6684" s="312"/>
      <c r="E6684" s="312"/>
      <c r="F6684" s="312"/>
      <c r="G6684" s="328"/>
      <c r="H6684" s="453"/>
      <c r="I6684" s="334"/>
      <c r="J6684" s="314"/>
      <c r="K6684" s="454"/>
      <c r="M6684" s="349" t="str">
        <f>N6684&amp;AS[[#This Row],[Insurer Code]]&amp;"; "&amp;O6684&amp;AS[[#This Row],[Reporting Year]]&amp;"; "&amp;P6684&amp;AS[[#This Row],[Insurance Category Code]]&amp;"; "&amp;Q6684&amp;AS[[#This Row],[Large Provider Entity Code]]&amp;"; "&amp;R6684&amp;AS[[#This Row],[Age Band Code]]&amp;"; "&amp;S6684&amp;AS[[#This Row],[Sex Code]]</f>
        <v xml:space="preserve">Insurer Code ; Reporting Year ; Insurance Category Code ; Large Provider Entity Code ; Age Band Code ; Sex Code </v>
      </c>
      <c r="N6684" s="345" t="s">
        <v>207</v>
      </c>
      <c r="O6684" s="345" t="s">
        <v>208</v>
      </c>
      <c r="P6684" s="345" t="s">
        <v>209</v>
      </c>
      <c r="Q6684" s="345" t="s">
        <v>210</v>
      </c>
      <c r="R6684" s="345" t="s">
        <v>223</v>
      </c>
      <c r="S6684" s="345" t="s">
        <v>224</v>
      </c>
    </row>
    <row r="6685" spans="1:19" x14ac:dyDescent="0.25">
      <c r="A6685" s="311"/>
      <c r="B6685" s="312"/>
      <c r="C6685" s="312"/>
      <c r="D6685" s="312"/>
      <c r="E6685" s="312"/>
      <c r="F6685" s="312"/>
      <c r="G6685" s="328"/>
      <c r="H6685" s="453"/>
      <c r="I6685" s="334"/>
      <c r="J6685" s="314"/>
      <c r="K6685" s="454"/>
      <c r="M6685" s="349" t="str">
        <f>N6685&amp;AS[[#This Row],[Insurer Code]]&amp;"; "&amp;O6685&amp;AS[[#This Row],[Reporting Year]]&amp;"; "&amp;P6685&amp;AS[[#This Row],[Insurance Category Code]]&amp;"; "&amp;Q6685&amp;AS[[#This Row],[Large Provider Entity Code]]&amp;"; "&amp;R6685&amp;AS[[#This Row],[Age Band Code]]&amp;"; "&amp;S6685&amp;AS[[#This Row],[Sex Code]]</f>
        <v xml:space="preserve">Insurer Code ; Reporting Year ; Insurance Category Code ; Large Provider Entity Code ; Age Band Code ; Sex Code </v>
      </c>
      <c r="N6685" s="345" t="s">
        <v>207</v>
      </c>
      <c r="O6685" s="345" t="s">
        <v>208</v>
      </c>
      <c r="P6685" s="345" t="s">
        <v>209</v>
      </c>
      <c r="Q6685" s="345" t="s">
        <v>210</v>
      </c>
      <c r="R6685" s="345" t="s">
        <v>223</v>
      </c>
      <c r="S6685" s="345" t="s">
        <v>224</v>
      </c>
    </row>
    <row r="6686" spans="1:19" x14ac:dyDescent="0.25">
      <c r="A6686" s="311"/>
      <c r="B6686" s="312"/>
      <c r="C6686" s="312"/>
      <c r="D6686" s="312"/>
      <c r="E6686" s="312"/>
      <c r="F6686" s="312"/>
      <c r="G6686" s="328"/>
      <c r="H6686" s="453"/>
      <c r="I6686" s="334"/>
      <c r="J6686" s="314"/>
      <c r="K6686" s="454"/>
      <c r="M6686" s="349" t="str">
        <f>N6686&amp;AS[[#This Row],[Insurer Code]]&amp;"; "&amp;O6686&amp;AS[[#This Row],[Reporting Year]]&amp;"; "&amp;P6686&amp;AS[[#This Row],[Insurance Category Code]]&amp;"; "&amp;Q6686&amp;AS[[#This Row],[Large Provider Entity Code]]&amp;"; "&amp;R6686&amp;AS[[#This Row],[Age Band Code]]&amp;"; "&amp;S6686&amp;AS[[#This Row],[Sex Code]]</f>
        <v xml:space="preserve">Insurer Code ; Reporting Year ; Insurance Category Code ; Large Provider Entity Code ; Age Band Code ; Sex Code </v>
      </c>
      <c r="N6686" s="345" t="s">
        <v>207</v>
      </c>
      <c r="O6686" s="345" t="s">
        <v>208</v>
      </c>
      <c r="P6686" s="345" t="s">
        <v>209</v>
      </c>
      <c r="Q6686" s="345" t="s">
        <v>210</v>
      </c>
      <c r="R6686" s="345" t="s">
        <v>223</v>
      </c>
      <c r="S6686" s="345" t="s">
        <v>224</v>
      </c>
    </row>
    <row r="6687" spans="1:19" x14ac:dyDescent="0.25">
      <c r="A6687" s="311"/>
      <c r="B6687" s="312"/>
      <c r="C6687" s="312"/>
      <c r="D6687" s="312"/>
      <c r="E6687" s="312"/>
      <c r="F6687" s="312"/>
      <c r="G6687" s="328"/>
      <c r="H6687" s="453"/>
      <c r="I6687" s="334"/>
      <c r="J6687" s="314"/>
      <c r="K6687" s="454"/>
      <c r="M6687" s="349" t="str">
        <f>N6687&amp;AS[[#This Row],[Insurer Code]]&amp;"; "&amp;O6687&amp;AS[[#This Row],[Reporting Year]]&amp;"; "&amp;P6687&amp;AS[[#This Row],[Insurance Category Code]]&amp;"; "&amp;Q6687&amp;AS[[#This Row],[Large Provider Entity Code]]&amp;"; "&amp;R6687&amp;AS[[#This Row],[Age Band Code]]&amp;"; "&amp;S6687&amp;AS[[#This Row],[Sex Code]]</f>
        <v xml:space="preserve">Insurer Code ; Reporting Year ; Insurance Category Code ; Large Provider Entity Code ; Age Band Code ; Sex Code </v>
      </c>
      <c r="N6687" s="345" t="s">
        <v>207</v>
      </c>
      <c r="O6687" s="345" t="s">
        <v>208</v>
      </c>
      <c r="P6687" s="345" t="s">
        <v>209</v>
      </c>
      <c r="Q6687" s="345" t="s">
        <v>210</v>
      </c>
      <c r="R6687" s="345" t="s">
        <v>223</v>
      </c>
      <c r="S6687" s="345" t="s">
        <v>224</v>
      </c>
    </row>
    <row r="6688" spans="1:19" x14ac:dyDescent="0.25">
      <c r="A6688" s="311"/>
      <c r="B6688" s="312"/>
      <c r="C6688" s="312"/>
      <c r="D6688" s="312"/>
      <c r="E6688" s="312"/>
      <c r="F6688" s="312"/>
      <c r="G6688" s="328"/>
      <c r="H6688" s="453"/>
      <c r="I6688" s="334"/>
      <c r="J6688" s="314"/>
      <c r="K6688" s="454"/>
      <c r="M6688" s="349" t="str">
        <f>N6688&amp;AS[[#This Row],[Insurer Code]]&amp;"; "&amp;O6688&amp;AS[[#This Row],[Reporting Year]]&amp;"; "&amp;P6688&amp;AS[[#This Row],[Insurance Category Code]]&amp;"; "&amp;Q6688&amp;AS[[#This Row],[Large Provider Entity Code]]&amp;"; "&amp;R6688&amp;AS[[#This Row],[Age Band Code]]&amp;"; "&amp;S6688&amp;AS[[#This Row],[Sex Code]]</f>
        <v xml:space="preserve">Insurer Code ; Reporting Year ; Insurance Category Code ; Large Provider Entity Code ; Age Band Code ; Sex Code </v>
      </c>
      <c r="N6688" s="345" t="s">
        <v>207</v>
      </c>
      <c r="O6688" s="345" t="s">
        <v>208</v>
      </c>
      <c r="P6688" s="345" t="s">
        <v>209</v>
      </c>
      <c r="Q6688" s="345" t="s">
        <v>210</v>
      </c>
      <c r="R6688" s="345" t="s">
        <v>223</v>
      </c>
      <c r="S6688" s="345" t="s">
        <v>224</v>
      </c>
    </row>
    <row r="6689" spans="1:19" x14ac:dyDescent="0.25">
      <c r="A6689" s="311"/>
      <c r="B6689" s="312"/>
      <c r="C6689" s="312"/>
      <c r="D6689" s="312"/>
      <c r="E6689" s="312"/>
      <c r="F6689" s="312"/>
      <c r="G6689" s="328"/>
      <c r="H6689" s="453"/>
      <c r="I6689" s="334"/>
      <c r="J6689" s="314"/>
      <c r="K6689" s="454"/>
      <c r="M6689" s="349" t="str">
        <f>N6689&amp;AS[[#This Row],[Insurer Code]]&amp;"; "&amp;O6689&amp;AS[[#This Row],[Reporting Year]]&amp;"; "&amp;P6689&amp;AS[[#This Row],[Insurance Category Code]]&amp;"; "&amp;Q6689&amp;AS[[#This Row],[Large Provider Entity Code]]&amp;"; "&amp;R6689&amp;AS[[#This Row],[Age Band Code]]&amp;"; "&amp;S6689&amp;AS[[#This Row],[Sex Code]]</f>
        <v xml:space="preserve">Insurer Code ; Reporting Year ; Insurance Category Code ; Large Provider Entity Code ; Age Band Code ; Sex Code </v>
      </c>
      <c r="N6689" s="345" t="s">
        <v>207</v>
      </c>
      <c r="O6689" s="345" t="s">
        <v>208</v>
      </c>
      <c r="P6689" s="345" t="s">
        <v>209</v>
      </c>
      <c r="Q6689" s="345" t="s">
        <v>210</v>
      </c>
      <c r="R6689" s="345" t="s">
        <v>223</v>
      </c>
      <c r="S6689" s="345" t="s">
        <v>224</v>
      </c>
    </row>
    <row r="6690" spans="1:19" x14ac:dyDescent="0.25">
      <c r="A6690" s="311"/>
      <c r="B6690" s="312"/>
      <c r="C6690" s="312"/>
      <c r="D6690" s="312"/>
      <c r="E6690" s="312"/>
      <c r="F6690" s="312"/>
      <c r="G6690" s="328"/>
      <c r="H6690" s="453"/>
      <c r="I6690" s="334"/>
      <c r="J6690" s="314"/>
      <c r="K6690" s="454"/>
      <c r="M6690" s="349" t="str">
        <f>N6690&amp;AS[[#This Row],[Insurer Code]]&amp;"; "&amp;O6690&amp;AS[[#This Row],[Reporting Year]]&amp;"; "&amp;P6690&amp;AS[[#This Row],[Insurance Category Code]]&amp;"; "&amp;Q6690&amp;AS[[#This Row],[Large Provider Entity Code]]&amp;"; "&amp;R6690&amp;AS[[#This Row],[Age Band Code]]&amp;"; "&amp;S6690&amp;AS[[#This Row],[Sex Code]]</f>
        <v xml:space="preserve">Insurer Code ; Reporting Year ; Insurance Category Code ; Large Provider Entity Code ; Age Band Code ; Sex Code </v>
      </c>
      <c r="N6690" s="345" t="s">
        <v>207</v>
      </c>
      <c r="O6690" s="345" t="s">
        <v>208</v>
      </c>
      <c r="P6690" s="345" t="s">
        <v>209</v>
      </c>
      <c r="Q6690" s="345" t="s">
        <v>210</v>
      </c>
      <c r="R6690" s="345" t="s">
        <v>223</v>
      </c>
      <c r="S6690" s="345" t="s">
        <v>224</v>
      </c>
    </row>
    <row r="6691" spans="1:19" x14ac:dyDescent="0.25">
      <c r="A6691" s="311"/>
      <c r="B6691" s="312"/>
      <c r="C6691" s="312"/>
      <c r="D6691" s="312"/>
      <c r="E6691" s="312"/>
      <c r="F6691" s="312"/>
      <c r="G6691" s="328"/>
      <c r="H6691" s="453"/>
      <c r="I6691" s="334"/>
      <c r="J6691" s="314"/>
      <c r="K6691" s="454"/>
      <c r="M6691" s="349" t="str">
        <f>N6691&amp;AS[[#This Row],[Insurer Code]]&amp;"; "&amp;O6691&amp;AS[[#This Row],[Reporting Year]]&amp;"; "&amp;P6691&amp;AS[[#This Row],[Insurance Category Code]]&amp;"; "&amp;Q6691&amp;AS[[#This Row],[Large Provider Entity Code]]&amp;"; "&amp;R6691&amp;AS[[#This Row],[Age Band Code]]&amp;"; "&amp;S6691&amp;AS[[#This Row],[Sex Code]]</f>
        <v xml:space="preserve">Insurer Code ; Reporting Year ; Insurance Category Code ; Large Provider Entity Code ; Age Band Code ; Sex Code </v>
      </c>
      <c r="N6691" s="345" t="s">
        <v>207</v>
      </c>
      <c r="O6691" s="345" t="s">
        <v>208</v>
      </c>
      <c r="P6691" s="345" t="s">
        <v>209</v>
      </c>
      <c r="Q6691" s="345" t="s">
        <v>210</v>
      </c>
      <c r="R6691" s="345" t="s">
        <v>223</v>
      </c>
      <c r="S6691" s="345" t="s">
        <v>224</v>
      </c>
    </row>
    <row r="6692" spans="1:19" x14ac:dyDescent="0.25">
      <c r="A6692" s="311"/>
      <c r="B6692" s="312"/>
      <c r="C6692" s="312"/>
      <c r="D6692" s="312"/>
      <c r="E6692" s="312"/>
      <c r="F6692" s="312"/>
      <c r="G6692" s="328"/>
      <c r="H6692" s="453"/>
      <c r="I6692" s="334"/>
      <c r="J6692" s="314"/>
      <c r="K6692" s="454"/>
      <c r="M6692" s="349" t="str">
        <f>N6692&amp;AS[[#This Row],[Insurer Code]]&amp;"; "&amp;O6692&amp;AS[[#This Row],[Reporting Year]]&amp;"; "&amp;P6692&amp;AS[[#This Row],[Insurance Category Code]]&amp;"; "&amp;Q6692&amp;AS[[#This Row],[Large Provider Entity Code]]&amp;"; "&amp;R6692&amp;AS[[#This Row],[Age Band Code]]&amp;"; "&amp;S6692&amp;AS[[#This Row],[Sex Code]]</f>
        <v xml:space="preserve">Insurer Code ; Reporting Year ; Insurance Category Code ; Large Provider Entity Code ; Age Band Code ; Sex Code </v>
      </c>
      <c r="N6692" s="345" t="s">
        <v>207</v>
      </c>
      <c r="O6692" s="345" t="s">
        <v>208</v>
      </c>
      <c r="P6692" s="345" t="s">
        <v>209</v>
      </c>
      <c r="Q6692" s="345" t="s">
        <v>210</v>
      </c>
      <c r="R6692" s="345" t="s">
        <v>223</v>
      </c>
      <c r="S6692" s="345" t="s">
        <v>224</v>
      </c>
    </row>
    <row r="6693" spans="1:19" x14ac:dyDescent="0.25">
      <c r="A6693" s="311"/>
      <c r="B6693" s="312"/>
      <c r="C6693" s="312"/>
      <c r="D6693" s="312"/>
      <c r="E6693" s="312"/>
      <c r="F6693" s="312"/>
      <c r="G6693" s="328"/>
      <c r="H6693" s="453"/>
      <c r="I6693" s="334"/>
      <c r="J6693" s="314"/>
      <c r="K6693" s="454"/>
      <c r="M6693" s="349" t="str">
        <f>N6693&amp;AS[[#This Row],[Insurer Code]]&amp;"; "&amp;O6693&amp;AS[[#This Row],[Reporting Year]]&amp;"; "&amp;P6693&amp;AS[[#This Row],[Insurance Category Code]]&amp;"; "&amp;Q6693&amp;AS[[#This Row],[Large Provider Entity Code]]&amp;"; "&amp;R6693&amp;AS[[#This Row],[Age Band Code]]&amp;"; "&amp;S6693&amp;AS[[#This Row],[Sex Code]]</f>
        <v xml:space="preserve">Insurer Code ; Reporting Year ; Insurance Category Code ; Large Provider Entity Code ; Age Band Code ; Sex Code </v>
      </c>
      <c r="N6693" s="345" t="s">
        <v>207</v>
      </c>
      <c r="O6693" s="345" t="s">
        <v>208</v>
      </c>
      <c r="P6693" s="345" t="s">
        <v>209</v>
      </c>
      <c r="Q6693" s="345" t="s">
        <v>210</v>
      </c>
      <c r="R6693" s="345" t="s">
        <v>223</v>
      </c>
      <c r="S6693" s="345" t="s">
        <v>224</v>
      </c>
    </row>
    <row r="6694" spans="1:19" x14ac:dyDescent="0.25">
      <c r="A6694" s="311"/>
      <c r="B6694" s="312"/>
      <c r="C6694" s="312"/>
      <c r="D6694" s="312"/>
      <c r="E6694" s="312"/>
      <c r="F6694" s="312"/>
      <c r="G6694" s="328"/>
      <c r="H6694" s="453"/>
      <c r="I6694" s="334"/>
      <c r="J6694" s="314"/>
      <c r="K6694" s="454"/>
      <c r="M6694" s="349" t="str">
        <f>N6694&amp;AS[[#This Row],[Insurer Code]]&amp;"; "&amp;O6694&amp;AS[[#This Row],[Reporting Year]]&amp;"; "&amp;P6694&amp;AS[[#This Row],[Insurance Category Code]]&amp;"; "&amp;Q6694&amp;AS[[#This Row],[Large Provider Entity Code]]&amp;"; "&amp;R6694&amp;AS[[#This Row],[Age Band Code]]&amp;"; "&amp;S6694&amp;AS[[#This Row],[Sex Code]]</f>
        <v xml:space="preserve">Insurer Code ; Reporting Year ; Insurance Category Code ; Large Provider Entity Code ; Age Band Code ; Sex Code </v>
      </c>
      <c r="N6694" s="345" t="s">
        <v>207</v>
      </c>
      <c r="O6694" s="345" t="s">
        <v>208</v>
      </c>
      <c r="P6694" s="345" t="s">
        <v>209</v>
      </c>
      <c r="Q6694" s="345" t="s">
        <v>210</v>
      </c>
      <c r="R6694" s="345" t="s">
        <v>223</v>
      </c>
      <c r="S6694" s="345" t="s">
        <v>224</v>
      </c>
    </row>
    <row r="6695" spans="1:19" x14ac:dyDescent="0.25">
      <c r="A6695" s="311"/>
      <c r="B6695" s="312"/>
      <c r="C6695" s="312"/>
      <c r="D6695" s="312"/>
      <c r="E6695" s="312"/>
      <c r="F6695" s="312"/>
      <c r="G6695" s="328"/>
      <c r="H6695" s="453"/>
      <c r="I6695" s="334"/>
      <c r="J6695" s="314"/>
      <c r="K6695" s="454"/>
      <c r="M6695" s="349" t="str">
        <f>N6695&amp;AS[[#This Row],[Insurer Code]]&amp;"; "&amp;O6695&amp;AS[[#This Row],[Reporting Year]]&amp;"; "&amp;P6695&amp;AS[[#This Row],[Insurance Category Code]]&amp;"; "&amp;Q6695&amp;AS[[#This Row],[Large Provider Entity Code]]&amp;"; "&amp;R6695&amp;AS[[#This Row],[Age Band Code]]&amp;"; "&amp;S6695&amp;AS[[#This Row],[Sex Code]]</f>
        <v xml:space="preserve">Insurer Code ; Reporting Year ; Insurance Category Code ; Large Provider Entity Code ; Age Band Code ; Sex Code </v>
      </c>
      <c r="N6695" s="345" t="s">
        <v>207</v>
      </c>
      <c r="O6695" s="345" t="s">
        <v>208</v>
      </c>
      <c r="P6695" s="345" t="s">
        <v>209</v>
      </c>
      <c r="Q6695" s="345" t="s">
        <v>210</v>
      </c>
      <c r="R6695" s="345" t="s">
        <v>223</v>
      </c>
      <c r="S6695" s="345" t="s">
        <v>224</v>
      </c>
    </row>
    <row r="6696" spans="1:19" x14ac:dyDescent="0.25">
      <c r="A6696" s="311"/>
      <c r="B6696" s="312"/>
      <c r="C6696" s="312"/>
      <c r="D6696" s="312"/>
      <c r="E6696" s="312"/>
      <c r="F6696" s="312"/>
      <c r="G6696" s="328"/>
      <c r="H6696" s="453"/>
      <c r="I6696" s="334"/>
      <c r="J6696" s="314"/>
      <c r="K6696" s="454"/>
      <c r="M6696" s="349" t="str">
        <f>N6696&amp;AS[[#This Row],[Insurer Code]]&amp;"; "&amp;O6696&amp;AS[[#This Row],[Reporting Year]]&amp;"; "&amp;P6696&amp;AS[[#This Row],[Insurance Category Code]]&amp;"; "&amp;Q6696&amp;AS[[#This Row],[Large Provider Entity Code]]&amp;"; "&amp;R6696&amp;AS[[#This Row],[Age Band Code]]&amp;"; "&amp;S6696&amp;AS[[#This Row],[Sex Code]]</f>
        <v xml:space="preserve">Insurer Code ; Reporting Year ; Insurance Category Code ; Large Provider Entity Code ; Age Band Code ; Sex Code </v>
      </c>
      <c r="N6696" s="345" t="s">
        <v>207</v>
      </c>
      <c r="O6696" s="345" t="s">
        <v>208</v>
      </c>
      <c r="P6696" s="345" t="s">
        <v>209</v>
      </c>
      <c r="Q6696" s="345" t="s">
        <v>210</v>
      </c>
      <c r="R6696" s="345" t="s">
        <v>223</v>
      </c>
      <c r="S6696" s="345" t="s">
        <v>224</v>
      </c>
    </row>
    <row r="6697" spans="1:19" x14ac:dyDescent="0.25">
      <c r="A6697" s="311"/>
      <c r="B6697" s="312"/>
      <c r="C6697" s="312"/>
      <c r="D6697" s="312"/>
      <c r="E6697" s="312"/>
      <c r="F6697" s="312"/>
      <c r="G6697" s="328"/>
      <c r="H6697" s="453"/>
      <c r="I6697" s="334"/>
      <c r="J6697" s="314"/>
      <c r="K6697" s="454"/>
      <c r="M6697" s="349" t="str">
        <f>N6697&amp;AS[[#This Row],[Insurer Code]]&amp;"; "&amp;O6697&amp;AS[[#This Row],[Reporting Year]]&amp;"; "&amp;P6697&amp;AS[[#This Row],[Insurance Category Code]]&amp;"; "&amp;Q6697&amp;AS[[#This Row],[Large Provider Entity Code]]&amp;"; "&amp;R6697&amp;AS[[#This Row],[Age Band Code]]&amp;"; "&amp;S6697&amp;AS[[#This Row],[Sex Code]]</f>
        <v xml:space="preserve">Insurer Code ; Reporting Year ; Insurance Category Code ; Large Provider Entity Code ; Age Band Code ; Sex Code </v>
      </c>
      <c r="N6697" s="345" t="s">
        <v>207</v>
      </c>
      <c r="O6697" s="345" t="s">
        <v>208</v>
      </c>
      <c r="P6697" s="345" t="s">
        <v>209</v>
      </c>
      <c r="Q6697" s="345" t="s">
        <v>210</v>
      </c>
      <c r="R6697" s="345" t="s">
        <v>223</v>
      </c>
      <c r="S6697" s="345" t="s">
        <v>224</v>
      </c>
    </row>
    <row r="6698" spans="1:19" x14ac:dyDescent="0.25">
      <c r="A6698" s="311"/>
      <c r="B6698" s="312"/>
      <c r="C6698" s="312"/>
      <c r="D6698" s="312"/>
      <c r="E6698" s="312"/>
      <c r="F6698" s="312"/>
      <c r="G6698" s="328"/>
      <c r="H6698" s="453"/>
      <c r="I6698" s="334"/>
      <c r="J6698" s="314"/>
      <c r="K6698" s="454"/>
      <c r="M6698" s="349" t="str">
        <f>N6698&amp;AS[[#This Row],[Insurer Code]]&amp;"; "&amp;O6698&amp;AS[[#This Row],[Reporting Year]]&amp;"; "&amp;P6698&amp;AS[[#This Row],[Insurance Category Code]]&amp;"; "&amp;Q6698&amp;AS[[#This Row],[Large Provider Entity Code]]&amp;"; "&amp;R6698&amp;AS[[#This Row],[Age Band Code]]&amp;"; "&amp;S6698&amp;AS[[#This Row],[Sex Code]]</f>
        <v xml:space="preserve">Insurer Code ; Reporting Year ; Insurance Category Code ; Large Provider Entity Code ; Age Band Code ; Sex Code </v>
      </c>
      <c r="N6698" s="345" t="s">
        <v>207</v>
      </c>
      <c r="O6698" s="345" t="s">
        <v>208</v>
      </c>
      <c r="P6698" s="345" t="s">
        <v>209</v>
      </c>
      <c r="Q6698" s="345" t="s">
        <v>210</v>
      </c>
      <c r="R6698" s="345" t="s">
        <v>223</v>
      </c>
      <c r="S6698" s="345" t="s">
        <v>224</v>
      </c>
    </row>
    <row r="6699" spans="1:19" x14ac:dyDescent="0.25">
      <c r="A6699" s="311"/>
      <c r="B6699" s="312"/>
      <c r="C6699" s="312"/>
      <c r="D6699" s="312"/>
      <c r="E6699" s="312"/>
      <c r="F6699" s="312"/>
      <c r="G6699" s="328"/>
      <c r="H6699" s="453"/>
      <c r="I6699" s="334"/>
      <c r="J6699" s="314"/>
      <c r="K6699" s="454"/>
      <c r="M6699" s="349" t="str">
        <f>N6699&amp;AS[[#This Row],[Insurer Code]]&amp;"; "&amp;O6699&amp;AS[[#This Row],[Reporting Year]]&amp;"; "&amp;P6699&amp;AS[[#This Row],[Insurance Category Code]]&amp;"; "&amp;Q6699&amp;AS[[#This Row],[Large Provider Entity Code]]&amp;"; "&amp;R6699&amp;AS[[#This Row],[Age Band Code]]&amp;"; "&amp;S6699&amp;AS[[#This Row],[Sex Code]]</f>
        <v xml:space="preserve">Insurer Code ; Reporting Year ; Insurance Category Code ; Large Provider Entity Code ; Age Band Code ; Sex Code </v>
      </c>
      <c r="N6699" s="345" t="s">
        <v>207</v>
      </c>
      <c r="O6699" s="345" t="s">
        <v>208</v>
      </c>
      <c r="P6699" s="345" t="s">
        <v>209</v>
      </c>
      <c r="Q6699" s="345" t="s">
        <v>210</v>
      </c>
      <c r="R6699" s="345" t="s">
        <v>223</v>
      </c>
      <c r="S6699" s="345" t="s">
        <v>224</v>
      </c>
    </row>
    <row r="6700" spans="1:19" x14ac:dyDescent="0.25">
      <c r="A6700" s="311"/>
      <c r="B6700" s="312"/>
      <c r="C6700" s="312"/>
      <c r="D6700" s="312"/>
      <c r="E6700" s="312"/>
      <c r="F6700" s="312"/>
      <c r="G6700" s="328"/>
      <c r="H6700" s="453"/>
      <c r="I6700" s="334"/>
      <c r="J6700" s="314"/>
      <c r="K6700" s="454"/>
      <c r="M6700" s="349" t="str">
        <f>N6700&amp;AS[[#This Row],[Insurer Code]]&amp;"; "&amp;O6700&amp;AS[[#This Row],[Reporting Year]]&amp;"; "&amp;P6700&amp;AS[[#This Row],[Insurance Category Code]]&amp;"; "&amp;Q6700&amp;AS[[#This Row],[Large Provider Entity Code]]&amp;"; "&amp;R6700&amp;AS[[#This Row],[Age Band Code]]&amp;"; "&amp;S6700&amp;AS[[#This Row],[Sex Code]]</f>
        <v xml:space="preserve">Insurer Code ; Reporting Year ; Insurance Category Code ; Large Provider Entity Code ; Age Band Code ; Sex Code </v>
      </c>
      <c r="N6700" s="345" t="s">
        <v>207</v>
      </c>
      <c r="O6700" s="345" t="s">
        <v>208</v>
      </c>
      <c r="P6700" s="345" t="s">
        <v>209</v>
      </c>
      <c r="Q6700" s="345" t="s">
        <v>210</v>
      </c>
      <c r="R6700" s="345" t="s">
        <v>223</v>
      </c>
      <c r="S6700" s="345" t="s">
        <v>224</v>
      </c>
    </row>
    <row r="6701" spans="1:19" x14ac:dyDescent="0.25">
      <c r="A6701" s="311"/>
      <c r="B6701" s="312"/>
      <c r="C6701" s="312"/>
      <c r="D6701" s="312"/>
      <c r="E6701" s="312"/>
      <c r="F6701" s="312"/>
      <c r="G6701" s="328"/>
      <c r="H6701" s="453"/>
      <c r="I6701" s="334"/>
      <c r="J6701" s="314"/>
      <c r="K6701" s="454"/>
      <c r="M6701" s="349" t="str">
        <f>N6701&amp;AS[[#This Row],[Insurer Code]]&amp;"; "&amp;O6701&amp;AS[[#This Row],[Reporting Year]]&amp;"; "&amp;P6701&amp;AS[[#This Row],[Insurance Category Code]]&amp;"; "&amp;Q6701&amp;AS[[#This Row],[Large Provider Entity Code]]&amp;"; "&amp;R6701&amp;AS[[#This Row],[Age Band Code]]&amp;"; "&amp;S6701&amp;AS[[#This Row],[Sex Code]]</f>
        <v xml:space="preserve">Insurer Code ; Reporting Year ; Insurance Category Code ; Large Provider Entity Code ; Age Band Code ; Sex Code </v>
      </c>
      <c r="N6701" s="345" t="s">
        <v>207</v>
      </c>
      <c r="O6701" s="345" t="s">
        <v>208</v>
      </c>
      <c r="P6701" s="345" t="s">
        <v>209</v>
      </c>
      <c r="Q6701" s="345" t="s">
        <v>210</v>
      </c>
      <c r="R6701" s="345" t="s">
        <v>223</v>
      </c>
      <c r="S6701" s="345" t="s">
        <v>224</v>
      </c>
    </row>
    <row r="6702" spans="1:19" x14ac:dyDescent="0.25">
      <c r="A6702" s="311"/>
      <c r="B6702" s="312"/>
      <c r="C6702" s="312"/>
      <c r="D6702" s="312"/>
      <c r="E6702" s="312"/>
      <c r="F6702" s="312"/>
      <c r="G6702" s="328"/>
      <c r="H6702" s="453"/>
      <c r="I6702" s="334"/>
      <c r="J6702" s="314"/>
      <c r="K6702" s="454"/>
      <c r="M6702" s="349" t="str">
        <f>N6702&amp;AS[[#This Row],[Insurer Code]]&amp;"; "&amp;O6702&amp;AS[[#This Row],[Reporting Year]]&amp;"; "&amp;P6702&amp;AS[[#This Row],[Insurance Category Code]]&amp;"; "&amp;Q6702&amp;AS[[#This Row],[Large Provider Entity Code]]&amp;"; "&amp;R6702&amp;AS[[#This Row],[Age Band Code]]&amp;"; "&amp;S6702&amp;AS[[#This Row],[Sex Code]]</f>
        <v xml:space="preserve">Insurer Code ; Reporting Year ; Insurance Category Code ; Large Provider Entity Code ; Age Band Code ; Sex Code </v>
      </c>
      <c r="N6702" s="345" t="s">
        <v>207</v>
      </c>
      <c r="O6702" s="345" t="s">
        <v>208</v>
      </c>
      <c r="P6702" s="345" t="s">
        <v>209</v>
      </c>
      <c r="Q6702" s="345" t="s">
        <v>210</v>
      </c>
      <c r="R6702" s="345" t="s">
        <v>223</v>
      </c>
      <c r="S6702" s="345" t="s">
        <v>224</v>
      </c>
    </row>
    <row r="6703" spans="1:19" x14ac:dyDescent="0.25">
      <c r="A6703" s="311"/>
      <c r="B6703" s="312"/>
      <c r="C6703" s="312"/>
      <c r="D6703" s="312"/>
      <c r="E6703" s="312"/>
      <c r="F6703" s="312"/>
      <c r="G6703" s="328"/>
      <c r="H6703" s="453"/>
      <c r="I6703" s="334"/>
      <c r="J6703" s="314"/>
      <c r="K6703" s="454"/>
      <c r="M6703" s="349" t="str">
        <f>N6703&amp;AS[[#This Row],[Insurer Code]]&amp;"; "&amp;O6703&amp;AS[[#This Row],[Reporting Year]]&amp;"; "&amp;P6703&amp;AS[[#This Row],[Insurance Category Code]]&amp;"; "&amp;Q6703&amp;AS[[#This Row],[Large Provider Entity Code]]&amp;"; "&amp;R6703&amp;AS[[#This Row],[Age Band Code]]&amp;"; "&amp;S6703&amp;AS[[#This Row],[Sex Code]]</f>
        <v xml:space="preserve">Insurer Code ; Reporting Year ; Insurance Category Code ; Large Provider Entity Code ; Age Band Code ; Sex Code </v>
      </c>
      <c r="N6703" s="345" t="s">
        <v>207</v>
      </c>
      <c r="O6703" s="345" t="s">
        <v>208</v>
      </c>
      <c r="P6703" s="345" t="s">
        <v>209</v>
      </c>
      <c r="Q6703" s="345" t="s">
        <v>210</v>
      </c>
      <c r="R6703" s="345" t="s">
        <v>223</v>
      </c>
      <c r="S6703" s="345" t="s">
        <v>224</v>
      </c>
    </row>
    <row r="6704" spans="1:19" x14ac:dyDescent="0.25">
      <c r="A6704" s="311"/>
      <c r="B6704" s="312"/>
      <c r="C6704" s="312"/>
      <c r="D6704" s="312"/>
      <c r="E6704" s="312"/>
      <c r="F6704" s="312"/>
      <c r="G6704" s="328"/>
      <c r="H6704" s="453"/>
      <c r="I6704" s="334"/>
      <c r="J6704" s="314"/>
      <c r="K6704" s="454"/>
      <c r="M6704" s="349" t="str">
        <f>N6704&amp;AS[[#This Row],[Insurer Code]]&amp;"; "&amp;O6704&amp;AS[[#This Row],[Reporting Year]]&amp;"; "&amp;P6704&amp;AS[[#This Row],[Insurance Category Code]]&amp;"; "&amp;Q6704&amp;AS[[#This Row],[Large Provider Entity Code]]&amp;"; "&amp;R6704&amp;AS[[#This Row],[Age Band Code]]&amp;"; "&amp;S6704&amp;AS[[#This Row],[Sex Code]]</f>
        <v xml:space="preserve">Insurer Code ; Reporting Year ; Insurance Category Code ; Large Provider Entity Code ; Age Band Code ; Sex Code </v>
      </c>
      <c r="N6704" s="345" t="s">
        <v>207</v>
      </c>
      <c r="O6704" s="345" t="s">
        <v>208</v>
      </c>
      <c r="P6704" s="345" t="s">
        <v>209</v>
      </c>
      <c r="Q6704" s="345" t="s">
        <v>210</v>
      </c>
      <c r="R6704" s="345" t="s">
        <v>223</v>
      </c>
      <c r="S6704" s="345" t="s">
        <v>224</v>
      </c>
    </row>
    <row r="6705" spans="1:19" x14ac:dyDescent="0.25">
      <c r="A6705" s="311"/>
      <c r="B6705" s="312"/>
      <c r="C6705" s="312"/>
      <c r="D6705" s="312"/>
      <c r="E6705" s="312"/>
      <c r="F6705" s="312"/>
      <c r="G6705" s="328"/>
      <c r="H6705" s="453"/>
      <c r="I6705" s="334"/>
      <c r="J6705" s="314"/>
      <c r="K6705" s="454"/>
      <c r="M6705" s="349" t="str">
        <f>N6705&amp;AS[[#This Row],[Insurer Code]]&amp;"; "&amp;O6705&amp;AS[[#This Row],[Reporting Year]]&amp;"; "&amp;P6705&amp;AS[[#This Row],[Insurance Category Code]]&amp;"; "&amp;Q6705&amp;AS[[#This Row],[Large Provider Entity Code]]&amp;"; "&amp;R6705&amp;AS[[#This Row],[Age Band Code]]&amp;"; "&amp;S6705&amp;AS[[#This Row],[Sex Code]]</f>
        <v xml:space="preserve">Insurer Code ; Reporting Year ; Insurance Category Code ; Large Provider Entity Code ; Age Band Code ; Sex Code </v>
      </c>
      <c r="N6705" s="345" t="s">
        <v>207</v>
      </c>
      <c r="O6705" s="345" t="s">
        <v>208</v>
      </c>
      <c r="P6705" s="345" t="s">
        <v>209</v>
      </c>
      <c r="Q6705" s="345" t="s">
        <v>210</v>
      </c>
      <c r="R6705" s="345" t="s">
        <v>223</v>
      </c>
      <c r="S6705" s="345" t="s">
        <v>224</v>
      </c>
    </row>
    <row r="6706" spans="1:19" x14ac:dyDescent="0.25">
      <c r="A6706" s="311"/>
      <c r="B6706" s="312"/>
      <c r="C6706" s="312"/>
      <c r="D6706" s="312"/>
      <c r="E6706" s="312"/>
      <c r="F6706" s="312"/>
      <c r="G6706" s="328"/>
      <c r="H6706" s="453"/>
      <c r="I6706" s="334"/>
      <c r="J6706" s="314"/>
      <c r="K6706" s="454"/>
      <c r="M6706" s="349" t="str">
        <f>N6706&amp;AS[[#This Row],[Insurer Code]]&amp;"; "&amp;O6706&amp;AS[[#This Row],[Reporting Year]]&amp;"; "&amp;P6706&amp;AS[[#This Row],[Insurance Category Code]]&amp;"; "&amp;Q6706&amp;AS[[#This Row],[Large Provider Entity Code]]&amp;"; "&amp;R6706&amp;AS[[#This Row],[Age Band Code]]&amp;"; "&amp;S6706&amp;AS[[#This Row],[Sex Code]]</f>
        <v xml:space="preserve">Insurer Code ; Reporting Year ; Insurance Category Code ; Large Provider Entity Code ; Age Band Code ; Sex Code </v>
      </c>
      <c r="N6706" s="345" t="s">
        <v>207</v>
      </c>
      <c r="O6706" s="345" t="s">
        <v>208</v>
      </c>
      <c r="P6706" s="345" t="s">
        <v>209</v>
      </c>
      <c r="Q6706" s="345" t="s">
        <v>210</v>
      </c>
      <c r="R6706" s="345" t="s">
        <v>223</v>
      </c>
      <c r="S6706" s="345" t="s">
        <v>224</v>
      </c>
    </row>
    <row r="6707" spans="1:19" x14ac:dyDescent="0.25">
      <c r="A6707" s="311"/>
      <c r="B6707" s="312"/>
      <c r="C6707" s="312"/>
      <c r="D6707" s="312"/>
      <c r="E6707" s="312"/>
      <c r="F6707" s="312"/>
      <c r="G6707" s="328"/>
      <c r="H6707" s="453"/>
      <c r="I6707" s="334"/>
      <c r="J6707" s="314"/>
      <c r="K6707" s="454"/>
      <c r="M6707" s="349" t="str">
        <f>N6707&amp;AS[[#This Row],[Insurer Code]]&amp;"; "&amp;O6707&amp;AS[[#This Row],[Reporting Year]]&amp;"; "&amp;P6707&amp;AS[[#This Row],[Insurance Category Code]]&amp;"; "&amp;Q6707&amp;AS[[#This Row],[Large Provider Entity Code]]&amp;"; "&amp;R6707&amp;AS[[#This Row],[Age Band Code]]&amp;"; "&amp;S6707&amp;AS[[#This Row],[Sex Code]]</f>
        <v xml:space="preserve">Insurer Code ; Reporting Year ; Insurance Category Code ; Large Provider Entity Code ; Age Band Code ; Sex Code </v>
      </c>
      <c r="N6707" s="345" t="s">
        <v>207</v>
      </c>
      <c r="O6707" s="345" t="s">
        <v>208</v>
      </c>
      <c r="P6707" s="345" t="s">
        <v>209</v>
      </c>
      <c r="Q6707" s="345" t="s">
        <v>210</v>
      </c>
      <c r="R6707" s="345" t="s">
        <v>223</v>
      </c>
      <c r="S6707" s="345" t="s">
        <v>224</v>
      </c>
    </row>
    <row r="6708" spans="1:19" x14ac:dyDescent="0.25">
      <c r="A6708" s="311"/>
      <c r="B6708" s="312"/>
      <c r="C6708" s="312"/>
      <c r="D6708" s="312"/>
      <c r="E6708" s="312"/>
      <c r="F6708" s="312"/>
      <c r="G6708" s="328"/>
      <c r="H6708" s="453"/>
      <c r="I6708" s="334"/>
      <c r="J6708" s="314"/>
      <c r="K6708" s="454"/>
      <c r="M6708" s="349" t="str">
        <f>N6708&amp;AS[[#This Row],[Insurer Code]]&amp;"; "&amp;O6708&amp;AS[[#This Row],[Reporting Year]]&amp;"; "&amp;P6708&amp;AS[[#This Row],[Insurance Category Code]]&amp;"; "&amp;Q6708&amp;AS[[#This Row],[Large Provider Entity Code]]&amp;"; "&amp;R6708&amp;AS[[#This Row],[Age Band Code]]&amp;"; "&amp;S6708&amp;AS[[#This Row],[Sex Code]]</f>
        <v xml:space="preserve">Insurer Code ; Reporting Year ; Insurance Category Code ; Large Provider Entity Code ; Age Band Code ; Sex Code </v>
      </c>
      <c r="N6708" s="345" t="s">
        <v>207</v>
      </c>
      <c r="O6708" s="345" t="s">
        <v>208</v>
      </c>
      <c r="P6708" s="345" t="s">
        <v>209</v>
      </c>
      <c r="Q6708" s="345" t="s">
        <v>210</v>
      </c>
      <c r="R6708" s="345" t="s">
        <v>223</v>
      </c>
      <c r="S6708" s="345" t="s">
        <v>224</v>
      </c>
    </row>
    <row r="6709" spans="1:19" x14ac:dyDescent="0.25">
      <c r="A6709" s="311"/>
      <c r="B6709" s="312"/>
      <c r="C6709" s="312"/>
      <c r="D6709" s="312"/>
      <c r="E6709" s="312"/>
      <c r="F6709" s="312"/>
      <c r="G6709" s="328"/>
      <c r="H6709" s="453"/>
      <c r="I6709" s="334"/>
      <c r="J6709" s="314"/>
      <c r="K6709" s="454"/>
      <c r="M6709" s="349" t="str">
        <f>N6709&amp;AS[[#This Row],[Insurer Code]]&amp;"; "&amp;O6709&amp;AS[[#This Row],[Reporting Year]]&amp;"; "&amp;P6709&amp;AS[[#This Row],[Insurance Category Code]]&amp;"; "&amp;Q6709&amp;AS[[#This Row],[Large Provider Entity Code]]&amp;"; "&amp;R6709&amp;AS[[#This Row],[Age Band Code]]&amp;"; "&amp;S6709&amp;AS[[#This Row],[Sex Code]]</f>
        <v xml:space="preserve">Insurer Code ; Reporting Year ; Insurance Category Code ; Large Provider Entity Code ; Age Band Code ; Sex Code </v>
      </c>
      <c r="N6709" s="345" t="s">
        <v>207</v>
      </c>
      <c r="O6709" s="345" t="s">
        <v>208</v>
      </c>
      <c r="P6709" s="345" t="s">
        <v>209</v>
      </c>
      <c r="Q6709" s="345" t="s">
        <v>210</v>
      </c>
      <c r="R6709" s="345" t="s">
        <v>223</v>
      </c>
      <c r="S6709" s="345" t="s">
        <v>224</v>
      </c>
    </row>
    <row r="6710" spans="1:19" x14ac:dyDescent="0.25">
      <c r="A6710" s="311"/>
      <c r="B6710" s="312"/>
      <c r="C6710" s="312"/>
      <c r="D6710" s="312"/>
      <c r="E6710" s="312"/>
      <c r="F6710" s="312"/>
      <c r="G6710" s="328"/>
      <c r="H6710" s="453"/>
      <c r="I6710" s="334"/>
      <c r="J6710" s="314"/>
      <c r="K6710" s="454"/>
      <c r="M6710" s="349" t="str">
        <f>N6710&amp;AS[[#This Row],[Insurer Code]]&amp;"; "&amp;O6710&amp;AS[[#This Row],[Reporting Year]]&amp;"; "&amp;P6710&amp;AS[[#This Row],[Insurance Category Code]]&amp;"; "&amp;Q6710&amp;AS[[#This Row],[Large Provider Entity Code]]&amp;"; "&amp;R6710&amp;AS[[#This Row],[Age Band Code]]&amp;"; "&amp;S6710&amp;AS[[#This Row],[Sex Code]]</f>
        <v xml:space="preserve">Insurer Code ; Reporting Year ; Insurance Category Code ; Large Provider Entity Code ; Age Band Code ; Sex Code </v>
      </c>
      <c r="N6710" s="345" t="s">
        <v>207</v>
      </c>
      <c r="O6710" s="345" t="s">
        <v>208</v>
      </c>
      <c r="P6710" s="345" t="s">
        <v>209</v>
      </c>
      <c r="Q6710" s="345" t="s">
        <v>210</v>
      </c>
      <c r="R6710" s="345" t="s">
        <v>223</v>
      </c>
      <c r="S6710" s="345" t="s">
        <v>224</v>
      </c>
    </row>
    <row r="6711" spans="1:19" x14ac:dyDescent="0.25">
      <c r="A6711" s="311"/>
      <c r="B6711" s="312"/>
      <c r="C6711" s="312"/>
      <c r="D6711" s="312"/>
      <c r="E6711" s="312"/>
      <c r="F6711" s="312"/>
      <c r="G6711" s="328"/>
      <c r="H6711" s="453"/>
      <c r="I6711" s="334"/>
      <c r="J6711" s="314"/>
      <c r="K6711" s="454"/>
      <c r="M6711" s="349" t="str">
        <f>N6711&amp;AS[[#This Row],[Insurer Code]]&amp;"; "&amp;O6711&amp;AS[[#This Row],[Reporting Year]]&amp;"; "&amp;P6711&amp;AS[[#This Row],[Insurance Category Code]]&amp;"; "&amp;Q6711&amp;AS[[#This Row],[Large Provider Entity Code]]&amp;"; "&amp;R6711&amp;AS[[#This Row],[Age Band Code]]&amp;"; "&amp;S6711&amp;AS[[#This Row],[Sex Code]]</f>
        <v xml:space="preserve">Insurer Code ; Reporting Year ; Insurance Category Code ; Large Provider Entity Code ; Age Band Code ; Sex Code </v>
      </c>
      <c r="N6711" s="345" t="s">
        <v>207</v>
      </c>
      <c r="O6711" s="345" t="s">
        <v>208</v>
      </c>
      <c r="P6711" s="345" t="s">
        <v>209</v>
      </c>
      <c r="Q6711" s="345" t="s">
        <v>210</v>
      </c>
      <c r="R6711" s="345" t="s">
        <v>223</v>
      </c>
      <c r="S6711" s="345" t="s">
        <v>224</v>
      </c>
    </row>
    <row r="6712" spans="1:19" x14ac:dyDescent="0.25">
      <c r="A6712" s="311"/>
      <c r="B6712" s="312"/>
      <c r="C6712" s="312"/>
      <c r="D6712" s="312"/>
      <c r="E6712" s="312"/>
      <c r="F6712" s="312"/>
      <c r="G6712" s="328"/>
      <c r="H6712" s="453"/>
      <c r="I6712" s="334"/>
      <c r="J6712" s="314"/>
      <c r="K6712" s="454"/>
      <c r="M6712" s="349" t="str">
        <f>N6712&amp;AS[[#This Row],[Insurer Code]]&amp;"; "&amp;O6712&amp;AS[[#This Row],[Reporting Year]]&amp;"; "&amp;P6712&amp;AS[[#This Row],[Insurance Category Code]]&amp;"; "&amp;Q6712&amp;AS[[#This Row],[Large Provider Entity Code]]&amp;"; "&amp;R6712&amp;AS[[#This Row],[Age Band Code]]&amp;"; "&amp;S6712&amp;AS[[#This Row],[Sex Code]]</f>
        <v xml:space="preserve">Insurer Code ; Reporting Year ; Insurance Category Code ; Large Provider Entity Code ; Age Band Code ; Sex Code </v>
      </c>
      <c r="N6712" s="345" t="s">
        <v>207</v>
      </c>
      <c r="O6712" s="345" t="s">
        <v>208</v>
      </c>
      <c r="P6712" s="345" t="s">
        <v>209</v>
      </c>
      <c r="Q6712" s="345" t="s">
        <v>210</v>
      </c>
      <c r="R6712" s="345" t="s">
        <v>223</v>
      </c>
      <c r="S6712" s="345" t="s">
        <v>224</v>
      </c>
    </row>
    <row r="6713" spans="1:19" x14ac:dyDescent="0.25">
      <c r="A6713" s="311"/>
      <c r="B6713" s="312"/>
      <c r="C6713" s="312"/>
      <c r="D6713" s="312"/>
      <c r="E6713" s="312"/>
      <c r="F6713" s="312"/>
      <c r="G6713" s="328"/>
      <c r="H6713" s="453"/>
      <c r="I6713" s="334"/>
      <c r="J6713" s="314"/>
      <c r="K6713" s="454"/>
      <c r="M6713" s="349" t="str">
        <f>N6713&amp;AS[[#This Row],[Insurer Code]]&amp;"; "&amp;O6713&amp;AS[[#This Row],[Reporting Year]]&amp;"; "&amp;P6713&amp;AS[[#This Row],[Insurance Category Code]]&amp;"; "&amp;Q6713&amp;AS[[#This Row],[Large Provider Entity Code]]&amp;"; "&amp;R6713&amp;AS[[#This Row],[Age Band Code]]&amp;"; "&amp;S6713&amp;AS[[#This Row],[Sex Code]]</f>
        <v xml:space="preserve">Insurer Code ; Reporting Year ; Insurance Category Code ; Large Provider Entity Code ; Age Band Code ; Sex Code </v>
      </c>
      <c r="N6713" s="345" t="s">
        <v>207</v>
      </c>
      <c r="O6713" s="345" t="s">
        <v>208</v>
      </c>
      <c r="P6713" s="345" t="s">
        <v>209</v>
      </c>
      <c r="Q6713" s="345" t="s">
        <v>210</v>
      </c>
      <c r="R6713" s="345" t="s">
        <v>223</v>
      </c>
      <c r="S6713" s="345" t="s">
        <v>224</v>
      </c>
    </row>
    <row r="6714" spans="1:19" x14ac:dyDescent="0.25">
      <c r="A6714" s="311"/>
      <c r="B6714" s="312"/>
      <c r="C6714" s="312"/>
      <c r="D6714" s="312"/>
      <c r="E6714" s="312"/>
      <c r="F6714" s="312"/>
      <c r="G6714" s="328"/>
      <c r="H6714" s="453"/>
      <c r="I6714" s="334"/>
      <c r="J6714" s="314"/>
      <c r="K6714" s="454"/>
      <c r="M6714" s="349" t="str">
        <f>N6714&amp;AS[[#This Row],[Insurer Code]]&amp;"; "&amp;O6714&amp;AS[[#This Row],[Reporting Year]]&amp;"; "&amp;P6714&amp;AS[[#This Row],[Insurance Category Code]]&amp;"; "&amp;Q6714&amp;AS[[#This Row],[Large Provider Entity Code]]&amp;"; "&amp;R6714&amp;AS[[#This Row],[Age Band Code]]&amp;"; "&amp;S6714&amp;AS[[#This Row],[Sex Code]]</f>
        <v xml:space="preserve">Insurer Code ; Reporting Year ; Insurance Category Code ; Large Provider Entity Code ; Age Band Code ; Sex Code </v>
      </c>
      <c r="N6714" s="345" t="s">
        <v>207</v>
      </c>
      <c r="O6714" s="345" t="s">
        <v>208</v>
      </c>
      <c r="P6714" s="345" t="s">
        <v>209</v>
      </c>
      <c r="Q6714" s="345" t="s">
        <v>210</v>
      </c>
      <c r="R6714" s="345" t="s">
        <v>223</v>
      </c>
      <c r="S6714" s="345" t="s">
        <v>224</v>
      </c>
    </row>
    <row r="6715" spans="1:19" x14ac:dyDescent="0.25">
      <c r="A6715" s="311"/>
      <c r="B6715" s="312"/>
      <c r="C6715" s="312"/>
      <c r="D6715" s="312"/>
      <c r="E6715" s="312"/>
      <c r="F6715" s="312"/>
      <c r="G6715" s="328"/>
      <c r="H6715" s="453"/>
      <c r="I6715" s="334"/>
      <c r="J6715" s="314"/>
      <c r="K6715" s="454"/>
      <c r="M6715" s="349" t="str">
        <f>N6715&amp;AS[[#This Row],[Insurer Code]]&amp;"; "&amp;O6715&amp;AS[[#This Row],[Reporting Year]]&amp;"; "&amp;P6715&amp;AS[[#This Row],[Insurance Category Code]]&amp;"; "&amp;Q6715&amp;AS[[#This Row],[Large Provider Entity Code]]&amp;"; "&amp;R6715&amp;AS[[#This Row],[Age Band Code]]&amp;"; "&amp;S6715&amp;AS[[#This Row],[Sex Code]]</f>
        <v xml:space="preserve">Insurer Code ; Reporting Year ; Insurance Category Code ; Large Provider Entity Code ; Age Band Code ; Sex Code </v>
      </c>
      <c r="N6715" s="345" t="s">
        <v>207</v>
      </c>
      <c r="O6715" s="345" t="s">
        <v>208</v>
      </c>
      <c r="P6715" s="345" t="s">
        <v>209</v>
      </c>
      <c r="Q6715" s="345" t="s">
        <v>210</v>
      </c>
      <c r="R6715" s="345" t="s">
        <v>223</v>
      </c>
      <c r="S6715" s="345" t="s">
        <v>224</v>
      </c>
    </row>
    <row r="6716" spans="1:19" x14ac:dyDescent="0.25">
      <c r="A6716" s="311"/>
      <c r="B6716" s="312"/>
      <c r="C6716" s="312"/>
      <c r="D6716" s="312"/>
      <c r="E6716" s="312"/>
      <c r="F6716" s="312"/>
      <c r="G6716" s="328"/>
      <c r="H6716" s="453"/>
      <c r="I6716" s="334"/>
      <c r="J6716" s="314"/>
      <c r="K6716" s="454"/>
      <c r="M6716" s="349" t="str">
        <f>N6716&amp;AS[[#This Row],[Insurer Code]]&amp;"; "&amp;O6716&amp;AS[[#This Row],[Reporting Year]]&amp;"; "&amp;P6716&amp;AS[[#This Row],[Insurance Category Code]]&amp;"; "&amp;Q6716&amp;AS[[#This Row],[Large Provider Entity Code]]&amp;"; "&amp;R6716&amp;AS[[#This Row],[Age Band Code]]&amp;"; "&amp;S6716&amp;AS[[#This Row],[Sex Code]]</f>
        <v xml:space="preserve">Insurer Code ; Reporting Year ; Insurance Category Code ; Large Provider Entity Code ; Age Band Code ; Sex Code </v>
      </c>
      <c r="N6716" s="345" t="s">
        <v>207</v>
      </c>
      <c r="O6716" s="345" t="s">
        <v>208</v>
      </c>
      <c r="P6716" s="345" t="s">
        <v>209</v>
      </c>
      <c r="Q6716" s="345" t="s">
        <v>210</v>
      </c>
      <c r="R6716" s="345" t="s">
        <v>223</v>
      </c>
      <c r="S6716" s="345" t="s">
        <v>224</v>
      </c>
    </row>
    <row r="6717" spans="1:19" x14ac:dyDescent="0.25">
      <c r="A6717" s="311"/>
      <c r="B6717" s="312"/>
      <c r="C6717" s="312"/>
      <c r="D6717" s="312"/>
      <c r="E6717" s="312"/>
      <c r="F6717" s="312"/>
      <c r="G6717" s="328"/>
      <c r="H6717" s="453"/>
      <c r="I6717" s="334"/>
      <c r="J6717" s="314"/>
      <c r="K6717" s="454"/>
      <c r="M6717" s="349" t="str">
        <f>N6717&amp;AS[[#This Row],[Insurer Code]]&amp;"; "&amp;O6717&amp;AS[[#This Row],[Reporting Year]]&amp;"; "&amp;P6717&amp;AS[[#This Row],[Insurance Category Code]]&amp;"; "&amp;Q6717&amp;AS[[#This Row],[Large Provider Entity Code]]&amp;"; "&amp;R6717&amp;AS[[#This Row],[Age Band Code]]&amp;"; "&amp;S6717&amp;AS[[#This Row],[Sex Code]]</f>
        <v xml:space="preserve">Insurer Code ; Reporting Year ; Insurance Category Code ; Large Provider Entity Code ; Age Band Code ; Sex Code </v>
      </c>
      <c r="N6717" s="345" t="s">
        <v>207</v>
      </c>
      <c r="O6717" s="345" t="s">
        <v>208</v>
      </c>
      <c r="P6717" s="345" t="s">
        <v>209</v>
      </c>
      <c r="Q6717" s="345" t="s">
        <v>210</v>
      </c>
      <c r="R6717" s="345" t="s">
        <v>223</v>
      </c>
      <c r="S6717" s="345" t="s">
        <v>224</v>
      </c>
    </row>
    <row r="6718" spans="1:19" x14ac:dyDescent="0.25">
      <c r="A6718" s="311"/>
      <c r="B6718" s="312"/>
      <c r="C6718" s="312"/>
      <c r="D6718" s="312"/>
      <c r="E6718" s="312"/>
      <c r="F6718" s="312"/>
      <c r="G6718" s="328"/>
      <c r="H6718" s="453"/>
      <c r="I6718" s="334"/>
      <c r="J6718" s="314"/>
      <c r="K6718" s="454"/>
      <c r="M6718" s="349" t="str">
        <f>N6718&amp;AS[[#This Row],[Insurer Code]]&amp;"; "&amp;O6718&amp;AS[[#This Row],[Reporting Year]]&amp;"; "&amp;P6718&amp;AS[[#This Row],[Insurance Category Code]]&amp;"; "&amp;Q6718&amp;AS[[#This Row],[Large Provider Entity Code]]&amp;"; "&amp;R6718&amp;AS[[#This Row],[Age Band Code]]&amp;"; "&amp;S6718&amp;AS[[#This Row],[Sex Code]]</f>
        <v xml:space="preserve">Insurer Code ; Reporting Year ; Insurance Category Code ; Large Provider Entity Code ; Age Band Code ; Sex Code </v>
      </c>
      <c r="N6718" s="345" t="s">
        <v>207</v>
      </c>
      <c r="O6718" s="345" t="s">
        <v>208</v>
      </c>
      <c r="P6718" s="345" t="s">
        <v>209</v>
      </c>
      <c r="Q6718" s="345" t="s">
        <v>210</v>
      </c>
      <c r="R6718" s="345" t="s">
        <v>223</v>
      </c>
      <c r="S6718" s="345" t="s">
        <v>224</v>
      </c>
    </row>
    <row r="6719" spans="1:19" x14ac:dyDescent="0.25">
      <c r="A6719" s="311"/>
      <c r="B6719" s="312"/>
      <c r="C6719" s="312"/>
      <c r="D6719" s="312"/>
      <c r="E6719" s="312"/>
      <c r="F6719" s="312"/>
      <c r="G6719" s="328"/>
      <c r="H6719" s="453"/>
      <c r="I6719" s="334"/>
      <c r="J6719" s="314"/>
      <c r="K6719" s="454"/>
      <c r="M6719" s="349" t="str">
        <f>N6719&amp;AS[[#This Row],[Insurer Code]]&amp;"; "&amp;O6719&amp;AS[[#This Row],[Reporting Year]]&amp;"; "&amp;P6719&amp;AS[[#This Row],[Insurance Category Code]]&amp;"; "&amp;Q6719&amp;AS[[#This Row],[Large Provider Entity Code]]&amp;"; "&amp;R6719&amp;AS[[#This Row],[Age Band Code]]&amp;"; "&amp;S6719&amp;AS[[#This Row],[Sex Code]]</f>
        <v xml:space="preserve">Insurer Code ; Reporting Year ; Insurance Category Code ; Large Provider Entity Code ; Age Band Code ; Sex Code </v>
      </c>
      <c r="N6719" s="345" t="s">
        <v>207</v>
      </c>
      <c r="O6719" s="345" t="s">
        <v>208</v>
      </c>
      <c r="P6719" s="345" t="s">
        <v>209</v>
      </c>
      <c r="Q6719" s="345" t="s">
        <v>210</v>
      </c>
      <c r="R6719" s="345" t="s">
        <v>223</v>
      </c>
      <c r="S6719" s="345" t="s">
        <v>224</v>
      </c>
    </row>
    <row r="6720" spans="1:19" x14ac:dyDescent="0.25">
      <c r="A6720" s="311"/>
      <c r="B6720" s="312"/>
      <c r="C6720" s="312"/>
      <c r="D6720" s="312"/>
      <c r="E6720" s="312"/>
      <c r="F6720" s="312"/>
      <c r="G6720" s="328"/>
      <c r="H6720" s="453"/>
      <c r="I6720" s="334"/>
      <c r="J6720" s="314"/>
      <c r="K6720" s="454"/>
      <c r="M6720" s="349" t="str">
        <f>N6720&amp;AS[[#This Row],[Insurer Code]]&amp;"; "&amp;O6720&amp;AS[[#This Row],[Reporting Year]]&amp;"; "&amp;P6720&amp;AS[[#This Row],[Insurance Category Code]]&amp;"; "&amp;Q6720&amp;AS[[#This Row],[Large Provider Entity Code]]&amp;"; "&amp;R6720&amp;AS[[#This Row],[Age Band Code]]&amp;"; "&amp;S6720&amp;AS[[#This Row],[Sex Code]]</f>
        <v xml:space="preserve">Insurer Code ; Reporting Year ; Insurance Category Code ; Large Provider Entity Code ; Age Band Code ; Sex Code </v>
      </c>
      <c r="N6720" s="345" t="s">
        <v>207</v>
      </c>
      <c r="O6720" s="345" t="s">
        <v>208</v>
      </c>
      <c r="P6720" s="345" t="s">
        <v>209</v>
      </c>
      <c r="Q6720" s="345" t="s">
        <v>210</v>
      </c>
      <c r="R6720" s="345" t="s">
        <v>223</v>
      </c>
      <c r="S6720" s="345" t="s">
        <v>224</v>
      </c>
    </row>
    <row r="6721" spans="1:19" x14ac:dyDescent="0.25">
      <c r="A6721" s="311"/>
      <c r="B6721" s="312"/>
      <c r="C6721" s="312"/>
      <c r="D6721" s="312"/>
      <c r="E6721" s="312"/>
      <c r="F6721" s="312"/>
      <c r="G6721" s="328"/>
      <c r="H6721" s="453"/>
      <c r="I6721" s="334"/>
      <c r="J6721" s="314"/>
      <c r="K6721" s="454"/>
      <c r="M6721" s="349" t="str">
        <f>N6721&amp;AS[[#This Row],[Insurer Code]]&amp;"; "&amp;O6721&amp;AS[[#This Row],[Reporting Year]]&amp;"; "&amp;P6721&amp;AS[[#This Row],[Insurance Category Code]]&amp;"; "&amp;Q6721&amp;AS[[#This Row],[Large Provider Entity Code]]&amp;"; "&amp;R6721&amp;AS[[#This Row],[Age Band Code]]&amp;"; "&amp;S6721&amp;AS[[#This Row],[Sex Code]]</f>
        <v xml:space="preserve">Insurer Code ; Reporting Year ; Insurance Category Code ; Large Provider Entity Code ; Age Band Code ; Sex Code </v>
      </c>
      <c r="N6721" s="345" t="s">
        <v>207</v>
      </c>
      <c r="O6721" s="345" t="s">
        <v>208</v>
      </c>
      <c r="P6721" s="345" t="s">
        <v>209</v>
      </c>
      <c r="Q6721" s="345" t="s">
        <v>210</v>
      </c>
      <c r="R6721" s="345" t="s">
        <v>223</v>
      </c>
      <c r="S6721" s="345" t="s">
        <v>224</v>
      </c>
    </row>
    <row r="6722" spans="1:19" x14ac:dyDescent="0.25">
      <c r="A6722" s="311"/>
      <c r="B6722" s="312"/>
      <c r="C6722" s="312"/>
      <c r="D6722" s="312"/>
      <c r="E6722" s="312"/>
      <c r="F6722" s="312"/>
      <c r="G6722" s="328"/>
      <c r="H6722" s="453"/>
      <c r="I6722" s="334"/>
      <c r="J6722" s="314"/>
      <c r="K6722" s="454"/>
      <c r="M6722" s="349" t="str">
        <f>N6722&amp;AS[[#This Row],[Insurer Code]]&amp;"; "&amp;O6722&amp;AS[[#This Row],[Reporting Year]]&amp;"; "&amp;P6722&amp;AS[[#This Row],[Insurance Category Code]]&amp;"; "&amp;Q6722&amp;AS[[#This Row],[Large Provider Entity Code]]&amp;"; "&amp;R6722&amp;AS[[#This Row],[Age Band Code]]&amp;"; "&amp;S6722&amp;AS[[#This Row],[Sex Code]]</f>
        <v xml:space="preserve">Insurer Code ; Reporting Year ; Insurance Category Code ; Large Provider Entity Code ; Age Band Code ; Sex Code </v>
      </c>
      <c r="N6722" s="345" t="s">
        <v>207</v>
      </c>
      <c r="O6722" s="345" t="s">
        <v>208</v>
      </c>
      <c r="P6722" s="345" t="s">
        <v>209</v>
      </c>
      <c r="Q6722" s="345" t="s">
        <v>210</v>
      </c>
      <c r="R6722" s="345" t="s">
        <v>223</v>
      </c>
      <c r="S6722" s="345" t="s">
        <v>224</v>
      </c>
    </row>
    <row r="6723" spans="1:19" x14ac:dyDescent="0.25">
      <c r="A6723" s="311"/>
      <c r="B6723" s="312"/>
      <c r="C6723" s="312"/>
      <c r="D6723" s="312"/>
      <c r="E6723" s="312"/>
      <c r="F6723" s="312"/>
      <c r="G6723" s="328"/>
      <c r="H6723" s="453"/>
      <c r="I6723" s="334"/>
      <c r="J6723" s="314"/>
      <c r="K6723" s="454"/>
      <c r="M6723" s="349" t="str">
        <f>N6723&amp;AS[[#This Row],[Insurer Code]]&amp;"; "&amp;O6723&amp;AS[[#This Row],[Reporting Year]]&amp;"; "&amp;P6723&amp;AS[[#This Row],[Insurance Category Code]]&amp;"; "&amp;Q6723&amp;AS[[#This Row],[Large Provider Entity Code]]&amp;"; "&amp;R6723&amp;AS[[#This Row],[Age Band Code]]&amp;"; "&amp;S6723&amp;AS[[#This Row],[Sex Code]]</f>
        <v xml:space="preserve">Insurer Code ; Reporting Year ; Insurance Category Code ; Large Provider Entity Code ; Age Band Code ; Sex Code </v>
      </c>
      <c r="N6723" s="345" t="s">
        <v>207</v>
      </c>
      <c r="O6723" s="345" t="s">
        <v>208</v>
      </c>
      <c r="P6723" s="345" t="s">
        <v>209</v>
      </c>
      <c r="Q6723" s="345" t="s">
        <v>210</v>
      </c>
      <c r="R6723" s="345" t="s">
        <v>223</v>
      </c>
      <c r="S6723" s="345" t="s">
        <v>224</v>
      </c>
    </row>
    <row r="6724" spans="1:19" x14ac:dyDescent="0.25">
      <c r="A6724" s="311"/>
      <c r="B6724" s="312"/>
      <c r="C6724" s="312"/>
      <c r="D6724" s="312"/>
      <c r="E6724" s="312"/>
      <c r="F6724" s="312"/>
      <c r="G6724" s="328"/>
      <c r="H6724" s="453"/>
      <c r="I6724" s="334"/>
      <c r="J6724" s="314"/>
      <c r="K6724" s="454"/>
      <c r="M6724" s="349" t="str">
        <f>N6724&amp;AS[[#This Row],[Insurer Code]]&amp;"; "&amp;O6724&amp;AS[[#This Row],[Reporting Year]]&amp;"; "&amp;P6724&amp;AS[[#This Row],[Insurance Category Code]]&amp;"; "&amp;Q6724&amp;AS[[#This Row],[Large Provider Entity Code]]&amp;"; "&amp;R6724&amp;AS[[#This Row],[Age Band Code]]&amp;"; "&amp;S6724&amp;AS[[#This Row],[Sex Code]]</f>
        <v xml:space="preserve">Insurer Code ; Reporting Year ; Insurance Category Code ; Large Provider Entity Code ; Age Band Code ; Sex Code </v>
      </c>
      <c r="N6724" s="345" t="s">
        <v>207</v>
      </c>
      <c r="O6724" s="345" t="s">
        <v>208</v>
      </c>
      <c r="P6724" s="345" t="s">
        <v>209</v>
      </c>
      <c r="Q6724" s="345" t="s">
        <v>210</v>
      </c>
      <c r="R6724" s="345" t="s">
        <v>223</v>
      </c>
      <c r="S6724" s="345" t="s">
        <v>224</v>
      </c>
    </row>
    <row r="6725" spans="1:19" x14ac:dyDescent="0.25">
      <c r="A6725" s="311"/>
      <c r="B6725" s="312"/>
      <c r="C6725" s="312"/>
      <c r="D6725" s="312"/>
      <c r="E6725" s="312"/>
      <c r="F6725" s="312"/>
      <c r="G6725" s="328"/>
      <c r="H6725" s="453"/>
      <c r="I6725" s="334"/>
      <c r="J6725" s="314"/>
      <c r="K6725" s="454"/>
      <c r="M6725" s="349" t="str">
        <f>N6725&amp;AS[[#This Row],[Insurer Code]]&amp;"; "&amp;O6725&amp;AS[[#This Row],[Reporting Year]]&amp;"; "&amp;P6725&amp;AS[[#This Row],[Insurance Category Code]]&amp;"; "&amp;Q6725&amp;AS[[#This Row],[Large Provider Entity Code]]&amp;"; "&amp;R6725&amp;AS[[#This Row],[Age Band Code]]&amp;"; "&amp;S6725&amp;AS[[#This Row],[Sex Code]]</f>
        <v xml:space="preserve">Insurer Code ; Reporting Year ; Insurance Category Code ; Large Provider Entity Code ; Age Band Code ; Sex Code </v>
      </c>
      <c r="N6725" s="345" t="s">
        <v>207</v>
      </c>
      <c r="O6725" s="345" t="s">
        <v>208</v>
      </c>
      <c r="P6725" s="345" t="s">
        <v>209</v>
      </c>
      <c r="Q6725" s="345" t="s">
        <v>210</v>
      </c>
      <c r="R6725" s="345" t="s">
        <v>223</v>
      </c>
      <c r="S6725" s="345" t="s">
        <v>224</v>
      </c>
    </row>
    <row r="6726" spans="1:19" x14ac:dyDescent="0.25">
      <c r="A6726" s="311"/>
      <c r="B6726" s="312"/>
      <c r="C6726" s="312"/>
      <c r="D6726" s="312"/>
      <c r="E6726" s="312"/>
      <c r="F6726" s="312"/>
      <c r="G6726" s="328"/>
      <c r="H6726" s="453"/>
      <c r="I6726" s="334"/>
      <c r="J6726" s="314"/>
      <c r="K6726" s="454"/>
      <c r="M6726" s="349" t="str">
        <f>N6726&amp;AS[[#This Row],[Insurer Code]]&amp;"; "&amp;O6726&amp;AS[[#This Row],[Reporting Year]]&amp;"; "&amp;P6726&amp;AS[[#This Row],[Insurance Category Code]]&amp;"; "&amp;Q6726&amp;AS[[#This Row],[Large Provider Entity Code]]&amp;"; "&amp;R6726&amp;AS[[#This Row],[Age Band Code]]&amp;"; "&amp;S6726&amp;AS[[#This Row],[Sex Code]]</f>
        <v xml:space="preserve">Insurer Code ; Reporting Year ; Insurance Category Code ; Large Provider Entity Code ; Age Band Code ; Sex Code </v>
      </c>
      <c r="N6726" s="345" t="s">
        <v>207</v>
      </c>
      <c r="O6726" s="345" t="s">
        <v>208</v>
      </c>
      <c r="P6726" s="345" t="s">
        <v>209</v>
      </c>
      <c r="Q6726" s="345" t="s">
        <v>210</v>
      </c>
      <c r="R6726" s="345" t="s">
        <v>223</v>
      </c>
      <c r="S6726" s="345" t="s">
        <v>224</v>
      </c>
    </row>
    <row r="6727" spans="1:19" x14ac:dyDescent="0.25">
      <c r="A6727" s="311"/>
      <c r="B6727" s="312"/>
      <c r="C6727" s="312"/>
      <c r="D6727" s="312"/>
      <c r="E6727" s="312"/>
      <c r="F6727" s="312"/>
      <c r="G6727" s="328"/>
      <c r="H6727" s="453"/>
      <c r="I6727" s="334"/>
      <c r="J6727" s="314"/>
      <c r="K6727" s="454"/>
      <c r="M6727" s="349" t="str">
        <f>N6727&amp;AS[[#This Row],[Insurer Code]]&amp;"; "&amp;O6727&amp;AS[[#This Row],[Reporting Year]]&amp;"; "&amp;P6727&amp;AS[[#This Row],[Insurance Category Code]]&amp;"; "&amp;Q6727&amp;AS[[#This Row],[Large Provider Entity Code]]&amp;"; "&amp;R6727&amp;AS[[#This Row],[Age Band Code]]&amp;"; "&amp;S6727&amp;AS[[#This Row],[Sex Code]]</f>
        <v xml:space="preserve">Insurer Code ; Reporting Year ; Insurance Category Code ; Large Provider Entity Code ; Age Band Code ; Sex Code </v>
      </c>
      <c r="N6727" s="345" t="s">
        <v>207</v>
      </c>
      <c r="O6727" s="345" t="s">
        <v>208</v>
      </c>
      <c r="P6727" s="345" t="s">
        <v>209</v>
      </c>
      <c r="Q6727" s="345" t="s">
        <v>210</v>
      </c>
      <c r="R6727" s="345" t="s">
        <v>223</v>
      </c>
      <c r="S6727" s="345" t="s">
        <v>224</v>
      </c>
    </row>
    <row r="6728" spans="1:19" x14ac:dyDescent="0.25">
      <c r="A6728" s="311"/>
      <c r="B6728" s="312"/>
      <c r="C6728" s="312"/>
      <c r="D6728" s="312"/>
      <c r="E6728" s="312"/>
      <c r="F6728" s="312"/>
      <c r="G6728" s="328"/>
      <c r="H6728" s="453"/>
      <c r="I6728" s="334"/>
      <c r="J6728" s="314"/>
      <c r="K6728" s="454"/>
      <c r="M6728" s="349" t="str">
        <f>N6728&amp;AS[[#This Row],[Insurer Code]]&amp;"; "&amp;O6728&amp;AS[[#This Row],[Reporting Year]]&amp;"; "&amp;P6728&amp;AS[[#This Row],[Insurance Category Code]]&amp;"; "&amp;Q6728&amp;AS[[#This Row],[Large Provider Entity Code]]&amp;"; "&amp;R6728&amp;AS[[#This Row],[Age Band Code]]&amp;"; "&amp;S6728&amp;AS[[#This Row],[Sex Code]]</f>
        <v xml:space="preserve">Insurer Code ; Reporting Year ; Insurance Category Code ; Large Provider Entity Code ; Age Band Code ; Sex Code </v>
      </c>
      <c r="N6728" s="345" t="s">
        <v>207</v>
      </c>
      <c r="O6728" s="345" t="s">
        <v>208</v>
      </c>
      <c r="P6728" s="345" t="s">
        <v>209</v>
      </c>
      <c r="Q6728" s="345" t="s">
        <v>210</v>
      </c>
      <c r="R6728" s="345" t="s">
        <v>223</v>
      </c>
      <c r="S6728" s="345" t="s">
        <v>224</v>
      </c>
    </row>
    <row r="6729" spans="1:19" x14ac:dyDescent="0.25">
      <c r="A6729" s="311"/>
      <c r="B6729" s="312"/>
      <c r="C6729" s="312"/>
      <c r="D6729" s="312"/>
      <c r="E6729" s="312"/>
      <c r="F6729" s="312"/>
      <c r="G6729" s="328"/>
      <c r="H6729" s="453"/>
      <c r="I6729" s="334"/>
      <c r="J6729" s="314"/>
      <c r="K6729" s="454"/>
      <c r="M6729" s="349" t="str">
        <f>N6729&amp;AS[[#This Row],[Insurer Code]]&amp;"; "&amp;O6729&amp;AS[[#This Row],[Reporting Year]]&amp;"; "&amp;P6729&amp;AS[[#This Row],[Insurance Category Code]]&amp;"; "&amp;Q6729&amp;AS[[#This Row],[Large Provider Entity Code]]&amp;"; "&amp;R6729&amp;AS[[#This Row],[Age Band Code]]&amp;"; "&amp;S6729&amp;AS[[#This Row],[Sex Code]]</f>
        <v xml:space="preserve">Insurer Code ; Reporting Year ; Insurance Category Code ; Large Provider Entity Code ; Age Band Code ; Sex Code </v>
      </c>
      <c r="N6729" s="345" t="s">
        <v>207</v>
      </c>
      <c r="O6729" s="345" t="s">
        <v>208</v>
      </c>
      <c r="P6729" s="345" t="s">
        <v>209</v>
      </c>
      <c r="Q6729" s="345" t="s">
        <v>210</v>
      </c>
      <c r="R6729" s="345" t="s">
        <v>223</v>
      </c>
      <c r="S6729" s="345" t="s">
        <v>224</v>
      </c>
    </row>
    <row r="6730" spans="1:19" x14ac:dyDescent="0.25">
      <c r="A6730" s="311"/>
      <c r="B6730" s="312"/>
      <c r="C6730" s="312"/>
      <c r="D6730" s="312"/>
      <c r="E6730" s="312"/>
      <c r="F6730" s="312"/>
      <c r="G6730" s="328"/>
      <c r="H6730" s="453"/>
      <c r="I6730" s="334"/>
      <c r="J6730" s="314"/>
      <c r="K6730" s="454"/>
      <c r="M6730" s="349" t="str">
        <f>N6730&amp;AS[[#This Row],[Insurer Code]]&amp;"; "&amp;O6730&amp;AS[[#This Row],[Reporting Year]]&amp;"; "&amp;P6730&amp;AS[[#This Row],[Insurance Category Code]]&amp;"; "&amp;Q6730&amp;AS[[#This Row],[Large Provider Entity Code]]&amp;"; "&amp;R6730&amp;AS[[#This Row],[Age Band Code]]&amp;"; "&amp;S6730&amp;AS[[#This Row],[Sex Code]]</f>
        <v xml:space="preserve">Insurer Code ; Reporting Year ; Insurance Category Code ; Large Provider Entity Code ; Age Band Code ; Sex Code </v>
      </c>
      <c r="N6730" s="345" t="s">
        <v>207</v>
      </c>
      <c r="O6730" s="345" t="s">
        <v>208</v>
      </c>
      <c r="P6730" s="345" t="s">
        <v>209</v>
      </c>
      <c r="Q6730" s="345" t="s">
        <v>210</v>
      </c>
      <c r="R6730" s="345" t="s">
        <v>223</v>
      </c>
      <c r="S6730" s="345" t="s">
        <v>224</v>
      </c>
    </row>
    <row r="6731" spans="1:19" x14ac:dyDescent="0.25">
      <c r="A6731" s="311"/>
      <c r="B6731" s="312"/>
      <c r="C6731" s="312"/>
      <c r="D6731" s="312"/>
      <c r="E6731" s="312"/>
      <c r="F6731" s="312"/>
      <c r="G6731" s="328"/>
      <c r="H6731" s="453"/>
      <c r="I6731" s="334"/>
      <c r="J6731" s="314"/>
      <c r="K6731" s="454"/>
      <c r="M6731" s="349" t="str">
        <f>N6731&amp;AS[[#This Row],[Insurer Code]]&amp;"; "&amp;O6731&amp;AS[[#This Row],[Reporting Year]]&amp;"; "&amp;P6731&amp;AS[[#This Row],[Insurance Category Code]]&amp;"; "&amp;Q6731&amp;AS[[#This Row],[Large Provider Entity Code]]&amp;"; "&amp;R6731&amp;AS[[#This Row],[Age Band Code]]&amp;"; "&amp;S6731&amp;AS[[#This Row],[Sex Code]]</f>
        <v xml:space="preserve">Insurer Code ; Reporting Year ; Insurance Category Code ; Large Provider Entity Code ; Age Band Code ; Sex Code </v>
      </c>
      <c r="N6731" s="345" t="s">
        <v>207</v>
      </c>
      <c r="O6731" s="345" t="s">
        <v>208</v>
      </c>
      <c r="P6731" s="345" t="s">
        <v>209</v>
      </c>
      <c r="Q6731" s="345" t="s">
        <v>210</v>
      </c>
      <c r="R6731" s="345" t="s">
        <v>223</v>
      </c>
      <c r="S6731" s="345" t="s">
        <v>224</v>
      </c>
    </row>
    <row r="6732" spans="1:19" x14ac:dyDescent="0.25">
      <c r="A6732" s="311"/>
      <c r="B6732" s="312"/>
      <c r="C6732" s="312"/>
      <c r="D6732" s="312"/>
      <c r="E6732" s="312"/>
      <c r="F6732" s="312"/>
      <c r="G6732" s="328"/>
      <c r="H6732" s="453"/>
      <c r="I6732" s="334"/>
      <c r="J6732" s="314"/>
      <c r="K6732" s="454"/>
      <c r="M6732" s="349" t="str">
        <f>N6732&amp;AS[[#This Row],[Insurer Code]]&amp;"; "&amp;O6732&amp;AS[[#This Row],[Reporting Year]]&amp;"; "&amp;P6732&amp;AS[[#This Row],[Insurance Category Code]]&amp;"; "&amp;Q6732&amp;AS[[#This Row],[Large Provider Entity Code]]&amp;"; "&amp;R6732&amp;AS[[#This Row],[Age Band Code]]&amp;"; "&amp;S6732&amp;AS[[#This Row],[Sex Code]]</f>
        <v xml:space="preserve">Insurer Code ; Reporting Year ; Insurance Category Code ; Large Provider Entity Code ; Age Band Code ; Sex Code </v>
      </c>
      <c r="N6732" s="345" t="s">
        <v>207</v>
      </c>
      <c r="O6732" s="345" t="s">
        <v>208</v>
      </c>
      <c r="P6732" s="345" t="s">
        <v>209</v>
      </c>
      <c r="Q6732" s="345" t="s">
        <v>210</v>
      </c>
      <c r="R6732" s="345" t="s">
        <v>223</v>
      </c>
      <c r="S6732" s="345" t="s">
        <v>224</v>
      </c>
    </row>
    <row r="6733" spans="1:19" x14ac:dyDescent="0.25">
      <c r="A6733" s="311"/>
      <c r="B6733" s="312"/>
      <c r="C6733" s="312"/>
      <c r="D6733" s="312"/>
      <c r="E6733" s="312"/>
      <c r="F6733" s="312"/>
      <c r="G6733" s="328"/>
      <c r="H6733" s="453"/>
      <c r="I6733" s="334"/>
      <c r="J6733" s="314"/>
      <c r="K6733" s="454"/>
      <c r="M6733" s="349" t="str">
        <f>N6733&amp;AS[[#This Row],[Insurer Code]]&amp;"; "&amp;O6733&amp;AS[[#This Row],[Reporting Year]]&amp;"; "&amp;P6733&amp;AS[[#This Row],[Insurance Category Code]]&amp;"; "&amp;Q6733&amp;AS[[#This Row],[Large Provider Entity Code]]&amp;"; "&amp;R6733&amp;AS[[#This Row],[Age Band Code]]&amp;"; "&amp;S6733&amp;AS[[#This Row],[Sex Code]]</f>
        <v xml:space="preserve">Insurer Code ; Reporting Year ; Insurance Category Code ; Large Provider Entity Code ; Age Band Code ; Sex Code </v>
      </c>
      <c r="N6733" s="345" t="s">
        <v>207</v>
      </c>
      <c r="O6733" s="345" t="s">
        <v>208</v>
      </c>
      <c r="P6733" s="345" t="s">
        <v>209</v>
      </c>
      <c r="Q6733" s="345" t="s">
        <v>210</v>
      </c>
      <c r="R6733" s="345" t="s">
        <v>223</v>
      </c>
      <c r="S6733" s="345" t="s">
        <v>224</v>
      </c>
    </row>
    <row r="6734" spans="1:19" x14ac:dyDescent="0.25">
      <c r="A6734" s="311"/>
      <c r="B6734" s="312"/>
      <c r="C6734" s="312"/>
      <c r="D6734" s="312"/>
      <c r="E6734" s="312"/>
      <c r="F6734" s="312"/>
      <c r="G6734" s="328"/>
      <c r="H6734" s="453"/>
      <c r="I6734" s="334"/>
      <c r="J6734" s="314"/>
      <c r="K6734" s="454"/>
      <c r="M6734" s="349" t="str">
        <f>N6734&amp;AS[[#This Row],[Insurer Code]]&amp;"; "&amp;O6734&amp;AS[[#This Row],[Reporting Year]]&amp;"; "&amp;P6734&amp;AS[[#This Row],[Insurance Category Code]]&amp;"; "&amp;Q6734&amp;AS[[#This Row],[Large Provider Entity Code]]&amp;"; "&amp;R6734&amp;AS[[#This Row],[Age Band Code]]&amp;"; "&amp;S6734&amp;AS[[#This Row],[Sex Code]]</f>
        <v xml:space="preserve">Insurer Code ; Reporting Year ; Insurance Category Code ; Large Provider Entity Code ; Age Band Code ; Sex Code </v>
      </c>
      <c r="N6734" s="345" t="s">
        <v>207</v>
      </c>
      <c r="O6734" s="345" t="s">
        <v>208</v>
      </c>
      <c r="P6734" s="345" t="s">
        <v>209</v>
      </c>
      <c r="Q6734" s="345" t="s">
        <v>210</v>
      </c>
      <c r="R6734" s="345" t="s">
        <v>223</v>
      </c>
      <c r="S6734" s="345" t="s">
        <v>224</v>
      </c>
    </row>
    <row r="6735" spans="1:19" x14ac:dyDescent="0.25">
      <c r="A6735" s="311"/>
      <c r="B6735" s="312"/>
      <c r="C6735" s="312"/>
      <c r="D6735" s="312"/>
      <c r="E6735" s="312"/>
      <c r="F6735" s="312"/>
      <c r="G6735" s="328"/>
      <c r="H6735" s="453"/>
      <c r="I6735" s="334"/>
      <c r="J6735" s="314"/>
      <c r="K6735" s="454"/>
      <c r="M6735" s="349" t="str">
        <f>N6735&amp;AS[[#This Row],[Insurer Code]]&amp;"; "&amp;O6735&amp;AS[[#This Row],[Reporting Year]]&amp;"; "&amp;P6735&amp;AS[[#This Row],[Insurance Category Code]]&amp;"; "&amp;Q6735&amp;AS[[#This Row],[Large Provider Entity Code]]&amp;"; "&amp;R6735&amp;AS[[#This Row],[Age Band Code]]&amp;"; "&amp;S6735&amp;AS[[#This Row],[Sex Code]]</f>
        <v xml:space="preserve">Insurer Code ; Reporting Year ; Insurance Category Code ; Large Provider Entity Code ; Age Band Code ; Sex Code </v>
      </c>
      <c r="N6735" s="345" t="s">
        <v>207</v>
      </c>
      <c r="O6735" s="345" t="s">
        <v>208</v>
      </c>
      <c r="P6735" s="345" t="s">
        <v>209</v>
      </c>
      <c r="Q6735" s="345" t="s">
        <v>210</v>
      </c>
      <c r="R6735" s="345" t="s">
        <v>223</v>
      </c>
      <c r="S6735" s="345" t="s">
        <v>224</v>
      </c>
    </row>
    <row r="6736" spans="1:19" x14ac:dyDescent="0.25">
      <c r="A6736" s="311"/>
      <c r="B6736" s="312"/>
      <c r="C6736" s="312"/>
      <c r="D6736" s="312"/>
      <c r="E6736" s="312"/>
      <c r="F6736" s="312"/>
      <c r="G6736" s="328"/>
      <c r="H6736" s="453"/>
      <c r="I6736" s="334"/>
      <c r="J6736" s="314"/>
      <c r="K6736" s="454"/>
      <c r="M6736" s="349" t="str">
        <f>N6736&amp;AS[[#This Row],[Insurer Code]]&amp;"; "&amp;O6736&amp;AS[[#This Row],[Reporting Year]]&amp;"; "&amp;P6736&amp;AS[[#This Row],[Insurance Category Code]]&amp;"; "&amp;Q6736&amp;AS[[#This Row],[Large Provider Entity Code]]&amp;"; "&amp;R6736&amp;AS[[#This Row],[Age Band Code]]&amp;"; "&amp;S6736&amp;AS[[#This Row],[Sex Code]]</f>
        <v xml:space="preserve">Insurer Code ; Reporting Year ; Insurance Category Code ; Large Provider Entity Code ; Age Band Code ; Sex Code </v>
      </c>
      <c r="N6736" s="345" t="s">
        <v>207</v>
      </c>
      <c r="O6736" s="345" t="s">
        <v>208</v>
      </c>
      <c r="P6736" s="345" t="s">
        <v>209</v>
      </c>
      <c r="Q6736" s="345" t="s">
        <v>210</v>
      </c>
      <c r="R6736" s="345" t="s">
        <v>223</v>
      </c>
      <c r="S6736" s="345" t="s">
        <v>224</v>
      </c>
    </row>
    <row r="6737" spans="1:19" x14ac:dyDescent="0.25">
      <c r="A6737" s="311"/>
      <c r="B6737" s="312"/>
      <c r="C6737" s="312"/>
      <c r="D6737" s="312"/>
      <c r="E6737" s="312"/>
      <c r="F6737" s="312"/>
      <c r="G6737" s="328"/>
      <c r="H6737" s="453"/>
      <c r="I6737" s="334"/>
      <c r="J6737" s="314"/>
      <c r="K6737" s="454"/>
      <c r="M6737" s="349" t="str">
        <f>N6737&amp;AS[[#This Row],[Insurer Code]]&amp;"; "&amp;O6737&amp;AS[[#This Row],[Reporting Year]]&amp;"; "&amp;P6737&amp;AS[[#This Row],[Insurance Category Code]]&amp;"; "&amp;Q6737&amp;AS[[#This Row],[Large Provider Entity Code]]&amp;"; "&amp;R6737&amp;AS[[#This Row],[Age Band Code]]&amp;"; "&amp;S6737&amp;AS[[#This Row],[Sex Code]]</f>
        <v xml:space="preserve">Insurer Code ; Reporting Year ; Insurance Category Code ; Large Provider Entity Code ; Age Band Code ; Sex Code </v>
      </c>
      <c r="N6737" s="345" t="s">
        <v>207</v>
      </c>
      <c r="O6737" s="345" t="s">
        <v>208</v>
      </c>
      <c r="P6737" s="345" t="s">
        <v>209</v>
      </c>
      <c r="Q6737" s="345" t="s">
        <v>210</v>
      </c>
      <c r="R6737" s="345" t="s">
        <v>223</v>
      </c>
      <c r="S6737" s="345" t="s">
        <v>224</v>
      </c>
    </row>
    <row r="6738" spans="1:19" x14ac:dyDescent="0.25">
      <c r="A6738" s="311"/>
      <c r="B6738" s="312"/>
      <c r="C6738" s="312"/>
      <c r="D6738" s="312"/>
      <c r="E6738" s="312"/>
      <c r="F6738" s="312"/>
      <c r="G6738" s="328"/>
      <c r="H6738" s="453"/>
      <c r="I6738" s="334"/>
      <c r="J6738" s="314"/>
      <c r="K6738" s="454"/>
      <c r="M6738" s="349" t="str">
        <f>N6738&amp;AS[[#This Row],[Insurer Code]]&amp;"; "&amp;O6738&amp;AS[[#This Row],[Reporting Year]]&amp;"; "&amp;P6738&amp;AS[[#This Row],[Insurance Category Code]]&amp;"; "&amp;Q6738&amp;AS[[#This Row],[Large Provider Entity Code]]&amp;"; "&amp;R6738&amp;AS[[#This Row],[Age Band Code]]&amp;"; "&amp;S6738&amp;AS[[#This Row],[Sex Code]]</f>
        <v xml:space="preserve">Insurer Code ; Reporting Year ; Insurance Category Code ; Large Provider Entity Code ; Age Band Code ; Sex Code </v>
      </c>
      <c r="N6738" s="345" t="s">
        <v>207</v>
      </c>
      <c r="O6738" s="345" t="s">
        <v>208</v>
      </c>
      <c r="P6738" s="345" t="s">
        <v>209</v>
      </c>
      <c r="Q6738" s="345" t="s">
        <v>210</v>
      </c>
      <c r="R6738" s="345" t="s">
        <v>223</v>
      </c>
      <c r="S6738" s="345" t="s">
        <v>224</v>
      </c>
    </row>
    <row r="6739" spans="1:19" x14ac:dyDescent="0.25">
      <c r="A6739" s="311"/>
      <c r="B6739" s="312"/>
      <c r="C6739" s="312"/>
      <c r="D6739" s="312"/>
      <c r="E6739" s="312"/>
      <c r="F6739" s="312"/>
      <c r="G6739" s="328"/>
      <c r="H6739" s="453"/>
      <c r="I6739" s="334"/>
      <c r="J6739" s="314"/>
      <c r="K6739" s="454"/>
      <c r="M6739" s="349" t="str">
        <f>N6739&amp;AS[[#This Row],[Insurer Code]]&amp;"; "&amp;O6739&amp;AS[[#This Row],[Reporting Year]]&amp;"; "&amp;P6739&amp;AS[[#This Row],[Insurance Category Code]]&amp;"; "&amp;Q6739&amp;AS[[#This Row],[Large Provider Entity Code]]&amp;"; "&amp;R6739&amp;AS[[#This Row],[Age Band Code]]&amp;"; "&amp;S6739&amp;AS[[#This Row],[Sex Code]]</f>
        <v xml:space="preserve">Insurer Code ; Reporting Year ; Insurance Category Code ; Large Provider Entity Code ; Age Band Code ; Sex Code </v>
      </c>
      <c r="N6739" s="345" t="s">
        <v>207</v>
      </c>
      <c r="O6739" s="345" t="s">
        <v>208</v>
      </c>
      <c r="P6739" s="345" t="s">
        <v>209</v>
      </c>
      <c r="Q6739" s="345" t="s">
        <v>210</v>
      </c>
      <c r="R6739" s="345" t="s">
        <v>223</v>
      </c>
      <c r="S6739" s="345" t="s">
        <v>224</v>
      </c>
    </row>
    <row r="6740" spans="1:19" x14ac:dyDescent="0.25">
      <c r="A6740" s="311"/>
      <c r="B6740" s="312"/>
      <c r="C6740" s="312"/>
      <c r="D6740" s="312"/>
      <c r="E6740" s="312"/>
      <c r="F6740" s="312"/>
      <c r="G6740" s="328"/>
      <c r="H6740" s="453"/>
      <c r="I6740" s="334"/>
      <c r="J6740" s="314"/>
      <c r="K6740" s="454"/>
      <c r="M6740" s="349" t="str">
        <f>N6740&amp;AS[[#This Row],[Insurer Code]]&amp;"; "&amp;O6740&amp;AS[[#This Row],[Reporting Year]]&amp;"; "&amp;P6740&amp;AS[[#This Row],[Insurance Category Code]]&amp;"; "&amp;Q6740&amp;AS[[#This Row],[Large Provider Entity Code]]&amp;"; "&amp;R6740&amp;AS[[#This Row],[Age Band Code]]&amp;"; "&amp;S6740&amp;AS[[#This Row],[Sex Code]]</f>
        <v xml:space="preserve">Insurer Code ; Reporting Year ; Insurance Category Code ; Large Provider Entity Code ; Age Band Code ; Sex Code </v>
      </c>
      <c r="N6740" s="345" t="s">
        <v>207</v>
      </c>
      <c r="O6740" s="345" t="s">
        <v>208</v>
      </c>
      <c r="P6740" s="345" t="s">
        <v>209</v>
      </c>
      <c r="Q6740" s="345" t="s">
        <v>210</v>
      </c>
      <c r="R6740" s="345" t="s">
        <v>223</v>
      </c>
      <c r="S6740" s="345" t="s">
        <v>224</v>
      </c>
    </row>
    <row r="6741" spans="1:19" x14ac:dyDescent="0.25">
      <c r="A6741" s="311"/>
      <c r="B6741" s="312"/>
      <c r="C6741" s="312"/>
      <c r="D6741" s="312"/>
      <c r="E6741" s="312"/>
      <c r="F6741" s="312"/>
      <c r="G6741" s="328"/>
      <c r="H6741" s="453"/>
      <c r="I6741" s="334"/>
      <c r="J6741" s="314"/>
      <c r="K6741" s="454"/>
      <c r="M6741" s="349" t="str">
        <f>N6741&amp;AS[[#This Row],[Insurer Code]]&amp;"; "&amp;O6741&amp;AS[[#This Row],[Reporting Year]]&amp;"; "&amp;P6741&amp;AS[[#This Row],[Insurance Category Code]]&amp;"; "&amp;Q6741&amp;AS[[#This Row],[Large Provider Entity Code]]&amp;"; "&amp;R6741&amp;AS[[#This Row],[Age Band Code]]&amp;"; "&amp;S6741&amp;AS[[#This Row],[Sex Code]]</f>
        <v xml:space="preserve">Insurer Code ; Reporting Year ; Insurance Category Code ; Large Provider Entity Code ; Age Band Code ; Sex Code </v>
      </c>
      <c r="N6741" s="345" t="s">
        <v>207</v>
      </c>
      <c r="O6741" s="345" t="s">
        <v>208</v>
      </c>
      <c r="P6741" s="345" t="s">
        <v>209</v>
      </c>
      <c r="Q6741" s="345" t="s">
        <v>210</v>
      </c>
      <c r="R6741" s="345" t="s">
        <v>223</v>
      </c>
      <c r="S6741" s="345" t="s">
        <v>224</v>
      </c>
    </row>
    <row r="6742" spans="1:19" x14ac:dyDescent="0.25">
      <c r="A6742" s="311"/>
      <c r="B6742" s="312"/>
      <c r="C6742" s="312"/>
      <c r="D6742" s="312"/>
      <c r="E6742" s="312"/>
      <c r="F6742" s="312"/>
      <c r="G6742" s="328"/>
      <c r="H6742" s="453"/>
      <c r="I6742" s="334"/>
      <c r="J6742" s="314"/>
      <c r="K6742" s="454"/>
      <c r="M6742" s="349" t="str">
        <f>N6742&amp;AS[[#This Row],[Insurer Code]]&amp;"; "&amp;O6742&amp;AS[[#This Row],[Reporting Year]]&amp;"; "&amp;P6742&amp;AS[[#This Row],[Insurance Category Code]]&amp;"; "&amp;Q6742&amp;AS[[#This Row],[Large Provider Entity Code]]&amp;"; "&amp;R6742&amp;AS[[#This Row],[Age Band Code]]&amp;"; "&amp;S6742&amp;AS[[#This Row],[Sex Code]]</f>
        <v xml:space="preserve">Insurer Code ; Reporting Year ; Insurance Category Code ; Large Provider Entity Code ; Age Band Code ; Sex Code </v>
      </c>
      <c r="N6742" s="345" t="s">
        <v>207</v>
      </c>
      <c r="O6742" s="345" t="s">
        <v>208</v>
      </c>
      <c r="P6742" s="345" t="s">
        <v>209</v>
      </c>
      <c r="Q6742" s="345" t="s">
        <v>210</v>
      </c>
      <c r="R6742" s="345" t="s">
        <v>223</v>
      </c>
      <c r="S6742" s="345" t="s">
        <v>224</v>
      </c>
    </row>
    <row r="6743" spans="1:19" x14ac:dyDescent="0.25">
      <c r="A6743" s="311"/>
      <c r="B6743" s="312"/>
      <c r="C6743" s="312"/>
      <c r="D6743" s="312"/>
      <c r="E6743" s="312"/>
      <c r="F6743" s="312"/>
      <c r="G6743" s="328"/>
      <c r="H6743" s="453"/>
      <c r="I6743" s="334"/>
      <c r="J6743" s="314"/>
      <c r="K6743" s="454"/>
      <c r="M6743" s="349" t="str">
        <f>N6743&amp;AS[[#This Row],[Insurer Code]]&amp;"; "&amp;O6743&amp;AS[[#This Row],[Reporting Year]]&amp;"; "&amp;P6743&amp;AS[[#This Row],[Insurance Category Code]]&amp;"; "&amp;Q6743&amp;AS[[#This Row],[Large Provider Entity Code]]&amp;"; "&amp;R6743&amp;AS[[#This Row],[Age Band Code]]&amp;"; "&amp;S6743&amp;AS[[#This Row],[Sex Code]]</f>
        <v xml:space="preserve">Insurer Code ; Reporting Year ; Insurance Category Code ; Large Provider Entity Code ; Age Band Code ; Sex Code </v>
      </c>
      <c r="N6743" s="345" t="s">
        <v>207</v>
      </c>
      <c r="O6743" s="345" t="s">
        <v>208</v>
      </c>
      <c r="P6743" s="345" t="s">
        <v>209</v>
      </c>
      <c r="Q6743" s="345" t="s">
        <v>210</v>
      </c>
      <c r="R6743" s="345" t="s">
        <v>223</v>
      </c>
      <c r="S6743" s="345" t="s">
        <v>224</v>
      </c>
    </row>
    <row r="6744" spans="1:19" x14ac:dyDescent="0.25">
      <c r="A6744" s="311"/>
      <c r="B6744" s="312"/>
      <c r="C6744" s="312"/>
      <c r="D6744" s="312"/>
      <c r="E6744" s="312"/>
      <c r="F6744" s="312"/>
      <c r="G6744" s="328"/>
      <c r="H6744" s="453"/>
      <c r="I6744" s="334"/>
      <c r="J6744" s="314"/>
      <c r="K6744" s="454"/>
      <c r="M6744" s="349" t="str">
        <f>N6744&amp;AS[[#This Row],[Insurer Code]]&amp;"; "&amp;O6744&amp;AS[[#This Row],[Reporting Year]]&amp;"; "&amp;P6744&amp;AS[[#This Row],[Insurance Category Code]]&amp;"; "&amp;Q6744&amp;AS[[#This Row],[Large Provider Entity Code]]&amp;"; "&amp;R6744&amp;AS[[#This Row],[Age Band Code]]&amp;"; "&amp;S6744&amp;AS[[#This Row],[Sex Code]]</f>
        <v xml:space="preserve">Insurer Code ; Reporting Year ; Insurance Category Code ; Large Provider Entity Code ; Age Band Code ; Sex Code </v>
      </c>
      <c r="N6744" s="345" t="s">
        <v>207</v>
      </c>
      <c r="O6744" s="345" t="s">
        <v>208</v>
      </c>
      <c r="P6744" s="345" t="s">
        <v>209</v>
      </c>
      <c r="Q6744" s="345" t="s">
        <v>210</v>
      </c>
      <c r="R6744" s="345" t="s">
        <v>223</v>
      </c>
      <c r="S6744" s="345" t="s">
        <v>224</v>
      </c>
    </row>
    <row r="6745" spans="1:19" x14ac:dyDescent="0.25">
      <c r="A6745" s="311"/>
      <c r="B6745" s="312"/>
      <c r="C6745" s="312"/>
      <c r="D6745" s="312"/>
      <c r="E6745" s="312"/>
      <c r="F6745" s="312"/>
      <c r="G6745" s="328"/>
      <c r="H6745" s="453"/>
      <c r="I6745" s="334"/>
      <c r="J6745" s="314"/>
      <c r="K6745" s="454"/>
      <c r="M6745" s="349" t="str">
        <f>N6745&amp;AS[[#This Row],[Insurer Code]]&amp;"; "&amp;O6745&amp;AS[[#This Row],[Reporting Year]]&amp;"; "&amp;P6745&amp;AS[[#This Row],[Insurance Category Code]]&amp;"; "&amp;Q6745&amp;AS[[#This Row],[Large Provider Entity Code]]&amp;"; "&amp;R6745&amp;AS[[#This Row],[Age Band Code]]&amp;"; "&amp;S6745&amp;AS[[#This Row],[Sex Code]]</f>
        <v xml:space="preserve">Insurer Code ; Reporting Year ; Insurance Category Code ; Large Provider Entity Code ; Age Band Code ; Sex Code </v>
      </c>
      <c r="N6745" s="345" t="s">
        <v>207</v>
      </c>
      <c r="O6745" s="345" t="s">
        <v>208</v>
      </c>
      <c r="P6745" s="345" t="s">
        <v>209</v>
      </c>
      <c r="Q6745" s="345" t="s">
        <v>210</v>
      </c>
      <c r="R6745" s="345" t="s">
        <v>223</v>
      </c>
      <c r="S6745" s="345" t="s">
        <v>224</v>
      </c>
    </row>
    <row r="6746" spans="1:19" x14ac:dyDescent="0.25">
      <c r="A6746" s="311"/>
      <c r="B6746" s="312"/>
      <c r="C6746" s="312"/>
      <c r="D6746" s="312"/>
      <c r="E6746" s="312"/>
      <c r="F6746" s="312"/>
      <c r="G6746" s="328"/>
      <c r="H6746" s="453"/>
      <c r="I6746" s="334"/>
      <c r="J6746" s="314"/>
      <c r="K6746" s="454"/>
      <c r="M6746" s="349" t="str">
        <f>N6746&amp;AS[[#This Row],[Insurer Code]]&amp;"; "&amp;O6746&amp;AS[[#This Row],[Reporting Year]]&amp;"; "&amp;P6746&amp;AS[[#This Row],[Insurance Category Code]]&amp;"; "&amp;Q6746&amp;AS[[#This Row],[Large Provider Entity Code]]&amp;"; "&amp;R6746&amp;AS[[#This Row],[Age Band Code]]&amp;"; "&amp;S6746&amp;AS[[#This Row],[Sex Code]]</f>
        <v xml:space="preserve">Insurer Code ; Reporting Year ; Insurance Category Code ; Large Provider Entity Code ; Age Band Code ; Sex Code </v>
      </c>
      <c r="N6746" s="345" t="s">
        <v>207</v>
      </c>
      <c r="O6746" s="345" t="s">
        <v>208</v>
      </c>
      <c r="P6746" s="345" t="s">
        <v>209</v>
      </c>
      <c r="Q6746" s="345" t="s">
        <v>210</v>
      </c>
      <c r="R6746" s="345" t="s">
        <v>223</v>
      </c>
      <c r="S6746" s="345" t="s">
        <v>224</v>
      </c>
    </row>
    <row r="6747" spans="1:19" x14ac:dyDescent="0.25">
      <c r="A6747" s="311"/>
      <c r="B6747" s="312"/>
      <c r="C6747" s="312"/>
      <c r="D6747" s="312"/>
      <c r="E6747" s="312"/>
      <c r="F6747" s="312"/>
      <c r="G6747" s="328"/>
      <c r="H6747" s="453"/>
      <c r="I6747" s="334"/>
      <c r="J6747" s="314"/>
      <c r="K6747" s="454"/>
      <c r="M6747" s="349" t="str">
        <f>N6747&amp;AS[[#This Row],[Insurer Code]]&amp;"; "&amp;O6747&amp;AS[[#This Row],[Reporting Year]]&amp;"; "&amp;P6747&amp;AS[[#This Row],[Insurance Category Code]]&amp;"; "&amp;Q6747&amp;AS[[#This Row],[Large Provider Entity Code]]&amp;"; "&amp;R6747&amp;AS[[#This Row],[Age Band Code]]&amp;"; "&amp;S6747&amp;AS[[#This Row],[Sex Code]]</f>
        <v xml:space="preserve">Insurer Code ; Reporting Year ; Insurance Category Code ; Large Provider Entity Code ; Age Band Code ; Sex Code </v>
      </c>
      <c r="N6747" s="345" t="s">
        <v>207</v>
      </c>
      <c r="O6747" s="345" t="s">
        <v>208</v>
      </c>
      <c r="P6747" s="345" t="s">
        <v>209</v>
      </c>
      <c r="Q6747" s="345" t="s">
        <v>210</v>
      </c>
      <c r="R6747" s="345" t="s">
        <v>223</v>
      </c>
      <c r="S6747" s="345" t="s">
        <v>224</v>
      </c>
    </row>
    <row r="6748" spans="1:19" x14ac:dyDescent="0.25">
      <c r="A6748" s="311"/>
      <c r="B6748" s="312"/>
      <c r="C6748" s="312"/>
      <c r="D6748" s="312"/>
      <c r="E6748" s="312"/>
      <c r="F6748" s="312"/>
      <c r="G6748" s="328"/>
      <c r="H6748" s="453"/>
      <c r="I6748" s="334"/>
      <c r="J6748" s="314"/>
      <c r="K6748" s="454"/>
      <c r="M6748" s="349" t="str">
        <f>N6748&amp;AS[[#This Row],[Insurer Code]]&amp;"; "&amp;O6748&amp;AS[[#This Row],[Reporting Year]]&amp;"; "&amp;P6748&amp;AS[[#This Row],[Insurance Category Code]]&amp;"; "&amp;Q6748&amp;AS[[#This Row],[Large Provider Entity Code]]&amp;"; "&amp;R6748&amp;AS[[#This Row],[Age Band Code]]&amp;"; "&amp;S6748&amp;AS[[#This Row],[Sex Code]]</f>
        <v xml:space="preserve">Insurer Code ; Reporting Year ; Insurance Category Code ; Large Provider Entity Code ; Age Band Code ; Sex Code </v>
      </c>
      <c r="N6748" s="345" t="s">
        <v>207</v>
      </c>
      <c r="O6748" s="345" t="s">
        <v>208</v>
      </c>
      <c r="P6748" s="345" t="s">
        <v>209</v>
      </c>
      <c r="Q6748" s="345" t="s">
        <v>210</v>
      </c>
      <c r="R6748" s="345" t="s">
        <v>223</v>
      </c>
      <c r="S6748" s="345" t="s">
        <v>224</v>
      </c>
    </row>
    <row r="6749" spans="1:19" x14ac:dyDescent="0.25">
      <c r="A6749" s="311"/>
      <c r="B6749" s="312"/>
      <c r="C6749" s="312"/>
      <c r="D6749" s="312"/>
      <c r="E6749" s="312"/>
      <c r="F6749" s="312"/>
      <c r="G6749" s="328"/>
      <c r="H6749" s="453"/>
      <c r="I6749" s="334"/>
      <c r="J6749" s="314"/>
      <c r="K6749" s="454"/>
      <c r="M6749" s="349" t="str">
        <f>N6749&amp;AS[[#This Row],[Insurer Code]]&amp;"; "&amp;O6749&amp;AS[[#This Row],[Reporting Year]]&amp;"; "&amp;P6749&amp;AS[[#This Row],[Insurance Category Code]]&amp;"; "&amp;Q6749&amp;AS[[#This Row],[Large Provider Entity Code]]&amp;"; "&amp;R6749&amp;AS[[#This Row],[Age Band Code]]&amp;"; "&amp;S6749&amp;AS[[#This Row],[Sex Code]]</f>
        <v xml:space="preserve">Insurer Code ; Reporting Year ; Insurance Category Code ; Large Provider Entity Code ; Age Band Code ; Sex Code </v>
      </c>
      <c r="N6749" s="345" t="s">
        <v>207</v>
      </c>
      <c r="O6749" s="345" t="s">
        <v>208</v>
      </c>
      <c r="P6749" s="345" t="s">
        <v>209</v>
      </c>
      <c r="Q6749" s="345" t="s">
        <v>210</v>
      </c>
      <c r="R6749" s="345" t="s">
        <v>223</v>
      </c>
      <c r="S6749" s="345" t="s">
        <v>224</v>
      </c>
    </row>
    <row r="6750" spans="1:19" x14ac:dyDescent="0.25">
      <c r="A6750" s="311"/>
      <c r="B6750" s="312"/>
      <c r="C6750" s="312"/>
      <c r="D6750" s="312"/>
      <c r="E6750" s="312"/>
      <c r="F6750" s="312"/>
      <c r="G6750" s="328"/>
      <c r="H6750" s="453"/>
      <c r="I6750" s="334"/>
      <c r="J6750" s="314"/>
      <c r="K6750" s="454"/>
      <c r="M6750" s="349" t="str">
        <f>N6750&amp;AS[[#This Row],[Insurer Code]]&amp;"; "&amp;O6750&amp;AS[[#This Row],[Reporting Year]]&amp;"; "&amp;P6750&amp;AS[[#This Row],[Insurance Category Code]]&amp;"; "&amp;Q6750&amp;AS[[#This Row],[Large Provider Entity Code]]&amp;"; "&amp;R6750&amp;AS[[#This Row],[Age Band Code]]&amp;"; "&amp;S6750&amp;AS[[#This Row],[Sex Code]]</f>
        <v xml:space="preserve">Insurer Code ; Reporting Year ; Insurance Category Code ; Large Provider Entity Code ; Age Band Code ; Sex Code </v>
      </c>
      <c r="N6750" s="345" t="s">
        <v>207</v>
      </c>
      <c r="O6750" s="345" t="s">
        <v>208</v>
      </c>
      <c r="P6750" s="345" t="s">
        <v>209</v>
      </c>
      <c r="Q6750" s="345" t="s">
        <v>210</v>
      </c>
      <c r="R6750" s="345" t="s">
        <v>223</v>
      </c>
      <c r="S6750" s="345" t="s">
        <v>224</v>
      </c>
    </row>
    <row r="6751" spans="1:19" x14ac:dyDescent="0.25">
      <c r="A6751" s="311"/>
      <c r="B6751" s="312"/>
      <c r="C6751" s="312"/>
      <c r="D6751" s="312"/>
      <c r="E6751" s="312"/>
      <c r="F6751" s="312"/>
      <c r="G6751" s="328"/>
      <c r="H6751" s="453"/>
      <c r="I6751" s="334"/>
      <c r="J6751" s="314"/>
      <c r="K6751" s="454"/>
      <c r="M6751" s="349" t="str">
        <f>N6751&amp;AS[[#This Row],[Insurer Code]]&amp;"; "&amp;O6751&amp;AS[[#This Row],[Reporting Year]]&amp;"; "&amp;P6751&amp;AS[[#This Row],[Insurance Category Code]]&amp;"; "&amp;Q6751&amp;AS[[#This Row],[Large Provider Entity Code]]&amp;"; "&amp;R6751&amp;AS[[#This Row],[Age Band Code]]&amp;"; "&amp;S6751&amp;AS[[#This Row],[Sex Code]]</f>
        <v xml:space="preserve">Insurer Code ; Reporting Year ; Insurance Category Code ; Large Provider Entity Code ; Age Band Code ; Sex Code </v>
      </c>
      <c r="N6751" s="345" t="s">
        <v>207</v>
      </c>
      <c r="O6751" s="345" t="s">
        <v>208</v>
      </c>
      <c r="P6751" s="345" t="s">
        <v>209</v>
      </c>
      <c r="Q6751" s="345" t="s">
        <v>210</v>
      </c>
      <c r="R6751" s="345" t="s">
        <v>223</v>
      </c>
      <c r="S6751" s="345" t="s">
        <v>224</v>
      </c>
    </row>
    <row r="6752" spans="1:19" x14ac:dyDescent="0.25">
      <c r="A6752" s="311"/>
      <c r="B6752" s="312"/>
      <c r="C6752" s="312"/>
      <c r="D6752" s="312"/>
      <c r="E6752" s="312"/>
      <c r="F6752" s="312"/>
      <c r="G6752" s="328"/>
      <c r="H6752" s="453"/>
      <c r="I6752" s="334"/>
      <c r="J6752" s="314"/>
      <c r="K6752" s="454"/>
      <c r="M6752" s="349" t="str">
        <f>N6752&amp;AS[[#This Row],[Insurer Code]]&amp;"; "&amp;O6752&amp;AS[[#This Row],[Reporting Year]]&amp;"; "&amp;P6752&amp;AS[[#This Row],[Insurance Category Code]]&amp;"; "&amp;Q6752&amp;AS[[#This Row],[Large Provider Entity Code]]&amp;"; "&amp;R6752&amp;AS[[#This Row],[Age Band Code]]&amp;"; "&amp;S6752&amp;AS[[#This Row],[Sex Code]]</f>
        <v xml:space="preserve">Insurer Code ; Reporting Year ; Insurance Category Code ; Large Provider Entity Code ; Age Band Code ; Sex Code </v>
      </c>
      <c r="N6752" s="345" t="s">
        <v>207</v>
      </c>
      <c r="O6752" s="345" t="s">
        <v>208</v>
      </c>
      <c r="P6752" s="345" t="s">
        <v>209</v>
      </c>
      <c r="Q6752" s="345" t="s">
        <v>210</v>
      </c>
      <c r="R6752" s="345" t="s">
        <v>223</v>
      </c>
      <c r="S6752" s="345" t="s">
        <v>224</v>
      </c>
    </row>
    <row r="6753" spans="1:19" x14ac:dyDescent="0.25">
      <c r="A6753" s="311"/>
      <c r="B6753" s="312"/>
      <c r="C6753" s="312"/>
      <c r="D6753" s="312"/>
      <c r="E6753" s="312"/>
      <c r="F6753" s="312"/>
      <c r="G6753" s="328"/>
      <c r="H6753" s="453"/>
      <c r="I6753" s="334"/>
      <c r="J6753" s="314"/>
      <c r="K6753" s="454"/>
      <c r="M6753" s="349" t="str">
        <f>N6753&amp;AS[[#This Row],[Insurer Code]]&amp;"; "&amp;O6753&amp;AS[[#This Row],[Reporting Year]]&amp;"; "&amp;P6753&amp;AS[[#This Row],[Insurance Category Code]]&amp;"; "&amp;Q6753&amp;AS[[#This Row],[Large Provider Entity Code]]&amp;"; "&amp;R6753&amp;AS[[#This Row],[Age Band Code]]&amp;"; "&amp;S6753&amp;AS[[#This Row],[Sex Code]]</f>
        <v xml:space="preserve">Insurer Code ; Reporting Year ; Insurance Category Code ; Large Provider Entity Code ; Age Band Code ; Sex Code </v>
      </c>
      <c r="N6753" s="345" t="s">
        <v>207</v>
      </c>
      <c r="O6753" s="345" t="s">
        <v>208</v>
      </c>
      <c r="P6753" s="345" t="s">
        <v>209</v>
      </c>
      <c r="Q6753" s="345" t="s">
        <v>210</v>
      </c>
      <c r="R6753" s="345" t="s">
        <v>223</v>
      </c>
      <c r="S6753" s="345" t="s">
        <v>224</v>
      </c>
    </row>
    <row r="6754" spans="1:19" x14ac:dyDescent="0.25">
      <c r="A6754" s="311"/>
      <c r="B6754" s="312"/>
      <c r="C6754" s="312"/>
      <c r="D6754" s="312"/>
      <c r="E6754" s="312"/>
      <c r="F6754" s="312"/>
      <c r="G6754" s="328"/>
      <c r="H6754" s="453"/>
      <c r="I6754" s="334"/>
      <c r="J6754" s="314"/>
      <c r="K6754" s="454"/>
      <c r="M6754" s="349" t="str">
        <f>N6754&amp;AS[[#This Row],[Insurer Code]]&amp;"; "&amp;O6754&amp;AS[[#This Row],[Reporting Year]]&amp;"; "&amp;P6754&amp;AS[[#This Row],[Insurance Category Code]]&amp;"; "&amp;Q6754&amp;AS[[#This Row],[Large Provider Entity Code]]&amp;"; "&amp;R6754&amp;AS[[#This Row],[Age Band Code]]&amp;"; "&amp;S6754&amp;AS[[#This Row],[Sex Code]]</f>
        <v xml:space="preserve">Insurer Code ; Reporting Year ; Insurance Category Code ; Large Provider Entity Code ; Age Band Code ; Sex Code </v>
      </c>
      <c r="N6754" s="345" t="s">
        <v>207</v>
      </c>
      <c r="O6754" s="345" t="s">
        <v>208</v>
      </c>
      <c r="P6754" s="345" t="s">
        <v>209</v>
      </c>
      <c r="Q6754" s="345" t="s">
        <v>210</v>
      </c>
      <c r="R6754" s="345" t="s">
        <v>223</v>
      </c>
      <c r="S6754" s="345" t="s">
        <v>224</v>
      </c>
    </row>
    <row r="6755" spans="1:19" x14ac:dyDescent="0.25">
      <c r="A6755" s="311"/>
      <c r="B6755" s="312"/>
      <c r="C6755" s="312"/>
      <c r="D6755" s="312"/>
      <c r="E6755" s="312"/>
      <c r="F6755" s="312"/>
      <c r="G6755" s="328"/>
      <c r="H6755" s="453"/>
      <c r="I6755" s="334"/>
      <c r="J6755" s="314"/>
      <c r="K6755" s="454"/>
      <c r="M6755" s="349" t="str">
        <f>N6755&amp;AS[[#This Row],[Insurer Code]]&amp;"; "&amp;O6755&amp;AS[[#This Row],[Reporting Year]]&amp;"; "&amp;P6755&amp;AS[[#This Row],[Insurance Category Code]]&amp;"; "&amp;Q6755&amp;AS[[#This Row],[Large Provider Entity Code]]&amp;"; "&amp;R6755&amp;AS[[#This Row],[Age Band Code]]&amp;"; "&amp;S6755&amp;AS[[#This Row],[Sex Code]]</f>
        <v xml:space="preserve">Insurer Code ; Reporting Year ; Insurance Category Code ; Large Provider Entity Code ; Age Band Code ; Sex Code </v>
      </c>
      <c r="N6755" s="345" t="s">
        <v>207</v>
      </c>
      <c r="O6755" s="345" t="s">
        <v>208</v>
      </c>
      <c r="P6755" s="345" t="s">
        <v>209</v>
      </c>
      <c r="Q6755" s="345" t="s">
        <v>210</v>
      </c>
      <c r="R6755" s="345" t="s">
        <v>223</v>
      </c>
      <c r="S6755" s="345" t="s">
        <v>224</v>
      </c>
    </row>
    <row r="6756" spans="1:19" x14ac:dyDescent="0.25">
      <c r="A6756" s="311"/>
      <c r="B6756" s="312"/>
      <c r="C6756" s="312"/>
      <c r="D6756" s="312"/>
      <c r="E6756" s="312"/>
      <c r="F6756" s="312"/>
      <c r="G6756" s="328"/>
      <c r="H6756" s="453"/>
      <c r="I6756" s="334"/>
      <c r="J6756" s="314"/>
      <c r="K6756" s="454"/>
      <c r="M6756" s="349" t="str">
        <f>N6756&amp;AS[[#This Row],[Insurer Code]]&amp;"; "&amp;O6756&amp;AS[[#This Row],[Reporting Year]]&amp;"; "&amp;P6756&amp;AS[[#This Row],[Insurance Category Code]]&amp;"; "&amp;Q6756&amp;AS[[#This Row],[Large Provider Entity Code]]&amp;"; "&amp;R6756&amp;AS[[#This Row],[Age Band Code]]&amp;"; "&amp;S6756&amp;AS[[#This Row],[Sex Code]]</f>
        <v xml:space="preserve">Insurer Code ; Reporting Year ; Insurance Category Code ; Large Provider Entity Code ; Age Band Code ; Sex Code </v>
      </c>
      <c r="N6756" s="345" t="s">
        <v>207</v>
      </c>
      <c r="O6756" s="345" t="s">
        <v>208</v>
      </c>
      <c r="P6756" s="345" t="s">
        <v>209</v>
      </c>
      <c r="Q6756" s="345" t="s">
        <v>210</v>
      </c>
      <c r="R6756" s="345" t="s">
        <v>223</v>
      </c>
      <c r="S6756" s="345" t="s">
        <v>224</v>
      </c>
    </row>
    <row r="6757" spans="1:19" x14ac:dyDescent="0.25">
      <c r="A6757" s="311"/>
      <c r="B6757" s="312"/>
      <c r="C6757" s="312"/>
      <c r="D6757" s="312"/>
      <c r="E6757" s="312"/>
      <c r="F6757" s="312"/>
      <c r="G6757" s="328"/>
      <c r="H6757" s="453"/>
      <c r="I6757" s="334"/>
      <c r="J6757" s="314"/>
      <c r="K6757" s="454"/>
      <c r="M6757" s="349" t="str">
        <f>N6757&amp;AS[[#This Row],[Insurer Code]]&amp;"; "&amp;O6757&amp;AS[[#This Row],[Reporting Year]]&amp;"; "&amp;P6757&amp;AS[[#This Row],[Insurance Category Code]]&amp;"; "&amp;Q6757&amp;AS[[#This Row],[Large Provider Entity Code]]&amp;"; "&amp;R6757&amp;AS[[#This Row],[Age Band Code]]&amp;"; "&amp;S6757&amp;AS[[#This Row],[Sex Code]]</f>
        <v xml:space="preserve">Insurer Code ; Reporting Year ; Insurance Category Code ; Large Provider Entity Code ; Age Band Code ; Sex Code </v>
      </c>
      <c r="N6757" s="345" t="s">
        <v>207</v>
      </c>
      <c r="O6757" s="345" t="s">
        <v>208</v>
      </c>
      <c r="P6757" s="345" t="s">
        <v>209</v>
      </c>
      <c r="Q6757" s="345" t="s">
        <v>210</v>
      </c>
      <c r="R6757" s="345" t="s">
        <v>223</v>
      </c>
      <c r="S6757" s="345" t="s">
        <v>224</v>
      </c>
    </row>
    <row r="6758" spans="1:19" x14ac:dyDescent="0.25">
      <c r="A6758" s="311"/>
      <c r="B6758" s="312"/>
      <c r="C6758" s="312"/>
      <c r="D6758" s="312"/>
      <c r="E6758" s="312"/>
      <c r="F6758" s="312"/>
      <c r="G6758" s="328"/>
      <c r="H6758" s="453"/>
      <c r="I6758" s="334"/>
      <c r="J6758" s="314"/>
      <c r="K6758" s="454"/>
      <c r="M6758" s="349" t="str">
        <f>N6758&amp;AS[[#This Row],[Insurer Code]]&amp;"; "&amp;O6758&amp;AS[[#This Row],[Reporting Year]]&amp;"; "&amp;P6758&amp;AS[[#This Row],[Insurance Category Code]]&amp;"; "&amp;Q6758&amp;AS[[#This Row],[Large Provider Entity Code]]&amp;"; "&amp;R6758&amp;AS[[#This Row],[Age Band Code]]&amp;"; "&amp;S6758&amp;AS[[#This Row],[Sex Code]]</f>
        <v xml:space="preserve">Insurer Code ; Reporting Year ; Insurance Category Code ; Large Provider Entity Code ; Age Band Code ; Sex Code </v>
      </c>
      <c r="N6758" s="345" t="s">
        <v>207</v>
      </c>
      <c r="O6758" s="345" t="s">
        <v>208</v>
      </c>
      <c r="P6758" s="345" t="s">
        <v>209</v>
      </c>
      <c r="Q6758" s="345" t="s">
        <v>210</v>
      </c>
      <c r="R6758" s="345" t="s">
        <v>223</v>
      </c>
      <c r="S6758" s="345" t="s">
        <v>224</v>
      </c>
    </row>
    <row r="6759" spans="1:19" x14ac:dyDescent="0.25">
      <c r="A6759" s="311"/>
      <c r="B6759" s="312"/>
      <c r="C6759" s="312"/>
      <c r="D6759" s="312"/>
      <c r="E6759" s="312"/>
      <c r="F6759" s="312"/>
      <c r="G6759" s="328"/>
      <c r="H6759" s="453"/>
      <c r="I6759" s="334"/>
      <c r="J6759" s="314"/>
      <c r="K6759" s="454"/>
      <c r="M6759" s="349" t="str">
        <f>N6759&amp;AS[[#This Row],[Insurer Code]]&amp;"; "&amp;O6759&amp;AS[[#This Row],[Reporting Year]]&amp;"; "&amp;P6759&amp;AS[[#This Row],[Insurance Category Code]]&amp;"; "&amp;Q6759&amp;AS[[#This Row],[Large Provider Entity Code]]&amp;"; "&amp;R6759&amp;AS[[#This Row],[Age Band Code]]&amp;"; "&amp;S6759&amp;AS[[#This Row],[Sex Code]]</f>
        <v xml:space="preserve">Insurer Code ; Reporting Year ; Insurance Category Code ; Large Provider Entity Code ; Age Band Code ; Sex Code </v>
      </c>
      <c r="N6759" s="345" t="s">
        <v>207</v>
      </c>
      <c r="O6759" s="345" t="s">
        <v>208</v>
      </c>
      <c r="P6759" s="345" t="s">
        <v>209</v>
      </c>
      <c r="Q6759" s="345" t="s">
        <v>210</v>
      </c>
      <c r="R6759" s="345" t="s">
        <v>223</v>
      </c>
      <c r="S6759" s="345" t="s">
        <v>224</v>
      </c>
    </row>
    <row r="6760" spans="1:19" x14ac:dyDescent="0.25">
      <c r="A6760" s="311"/>
      <c r="B6760" s="312"/>
      <c r="C6760" s="312"/>
      <c r="D6760" s="312"/>
      <c r="E6760" s="312"/>
      <c r="F6760" s="312"/>
      <c r="G6760" s="328"/>
      <c r="H6760" s="453"/>
      <c r="I6760" s="334"/>
      <c r="J6760" s="314"/>
      <c r="K6760" s="454"/>
      <c r="M6760" s="349" t="str">
        <f>N6760&amp;AS[[#This Row],[Insurer Code]]&amp;"; "&amp;O6760&amp;AS[[#This Row],[Reporting Year]]&amp;"; "&amp;P6760&amp;AS[[#This Row],[Insurance Category Code]]&amp;"; "&amp;Q6760&amp;AS[[#This Row],[Large Provider Entity Code]]&amp;"; "&amp;R6760&amp;AS[[#This Row],[Age Band Code]]&amp;"; "&amp;S6760&amp;AS[[#This Row],[Sex Code]]</f>
        <v xml:space="preserve">Insurer Code ; Reporting Year ; Insurance Category Code ; Large Provider Entity Code ; Age Band Code ; Sex Code </v>
      </c>
      <c r="N6760" s="345" t="s">
        <v>207</v>
      </c>
      <c r="O6760" s="345" t="s">
        <v>208</v>
      </c>
      <c r="P6760" s="345" t="s">
        <v>209</v>
      </c>
      <c r="Q6760" s="345" t="s">
        <v>210</v>
      </c>
      <c r="R6760" s="345" t="s">
        <v>223</v>
      </c>
      <c r="S6760" s="345" t="s">
        <v>224</v>
      </c>
    </row>
    <row r="6761" spans="1:19" x14ac:dyDescent="0.25">
      <c r="A6761" s="311"/>
      <c r="B6761" s="312"/>
      <c r="C6761" s="312"/>
      <c r="D6761" s="312"/>
      <c r="E6761" s="312"/>
      <c r="F6761" s="312"/>
      <c r="G6761" s="328"/>
      <c r="H6761" s="453"/>
      <c r="I6761" s="334"/>
      <c r="J6761" s="314"/>
      <c r="K6761" s="454"/>
      <c r="M6761" s="349" t="str">
        <f>N6761&amp;AS[[#This Row],[Insurer Code]]&amp;"; "&amp;O6761&amp;AS[[#This Row],[Reporting Year]]&amp;"; "&amp;P6761&amp;AS[[#This Row],[Insurance Category Code]]&amp;"; "&amp;Q6761&amp;AS[[#This Row],[Large Provider Entity Code]]&amp;"; "&amp;R6761&amp;AS[[#This Row],[Age Band Code]]&amp;"; "&amp;S6761&amp;AS[[#This Row],[Sex Code]]</f>
        <v xml:space="preserve">Insurer Code ; Reporting Year ; Insurance Category Code ; Large Provider Entity Code ; Age Band Code ; Sex Code </v>
      </c>
      <c r="N6761" s="345" t="s">
        <v>207</v>
      </c>
      <c r="O6761" s="345" t="s">
        <v>208</v>
      </c>
      <c r="P6761" s="345" t="s">
        <v>209</v>
      </c>
      <c r="Q6761" s="345" t="s">
        <v>210</v>
      </c>
      <c r="R6761" s="345" t="s">
        <v>223</v>
      </c>
      <c r="S6761" s="345" t="s">
        <v>224</v>
      </c>
    </row>
    <row r="6762" spans="1:19" x14ac:dyDescent="0.25">
      <c r="A6762" s="311"/>
      <c r="B6762" s="312"/>
      <c r="C6762" s="312"/>
      <c r="D6762" s="312"/>
      <c r="E6762" s="312"/>
      <c r="F6762" s="312"/>
      <c r="G6762" s="328"/>
      <c r="H6762" s="453"/>
      <c r="I6762" s="334"/>
      <c r="J6762" s="314"/>
      <c r="K6762" s="454"/>
      <c r="M6762" s="349" t="str">
        <f>N6762&amp;AS[[#This Row],[Insurer Code]]&amp;"; "&amp;O6762&amp;AS[[#This Row],[Reporting Year]]&amp;"; "&amp;P6762&amp;AS[[#This Row],[Insurance Category Code]]&amp;"; "&amp;Q6762&amp;AS[[#This Row],[Large Provider Entity Code]]&amp;"; "&amp;R6762&amp;AS[[#This Row],[Age Band Code]]&amp;"; "&amp;S6762&amp;AS[[#This Row],[Sex Code]]</f>
        <v xml:space="preserve">Insurer Code ; Reporting Year ; Insurance Category Code ; Large Provider Entity Code ; Age Band Code ; Sex Code </v>
      </c>
      <c r="N6762" s="345" t="s">
        <v>207</v>
      </c>
      <c r="O6762" s="345" t="s">
        <v>208</v>
      </c>
      <c r="P6762" s="345" t="s">
        <v>209</v>
      </c>
      <c r="Q6762" s="345" t="s">
        <v>210</v>
      </c>
      <c r="R6762" s="345" t="s">
        <v>223</v>
      </c>
      <c r="S6762" s="345" t="s">
        <v>224</v>
      </c>
    </row>
    <row r="6763" spans="1:19" x14ac:dyDescent="0.25">
      <c r="A6763" s="311"/>
      <c r="B6763" s="312"/>
      <c r="C6763" s="312"/>
      <c r="D6763" s="312"/>
      <c r="E6763" s="312"/>
      <c r="F6763" s="312"/>
      <c r="G6763" s="328"/>
      <c r="H6763" s="453"/>
      <c r="I6763" s="334"/>
      <c r="J6763" s="314"/>
      <c r="K6763" s="454"/>
      <c r="M6763" s="349" t="str">
        <f>N6763&amp;AS[[#This Row],[Insurer Code]]&amp;"; "&amp;O6763&amp;AS[[#This Row],[Reporting Year]]&amp;"; "&amp;P6763&amp;AS[[#This Row],[Insurance Category Code]]&amp;"; "&amp;Q6763&amp;AS[[#This Row],[Large Provider Entity Code]]&amp;"; "&amp;R6763&amp;AS[[#This Row],[Age Band Code]]&amp;"; "&amp;S6763&amp;AS[[#This Row],[Sex Code]]</f>
        <v xml:space="preserve">Insurer Code ; Reporting Year ; Insurance Category Code ; Large Provider Entity Code ; Age Band Code ; Sex Code </v>
      </c>
      <c r="N6763" s="345" t="s">
        <v>207</v>
      </c>
      <c r="O6763" s="345" t="s">
        <v>208</v>
      </c>
      <c r="P6763" s="345" t="s">
        <v>209</v>
      </c>
      <c r="Q6763" s="345" t="s">
        <v>210</v>
      </c>
      <c r="R6763" s="345" t="s">
        <v>223</v>
      </c>
      <c r="S6763" s="345" t="s">
        <v>224</v>
      </c>
    </row>
    <row r="6764" spans="1:19" x14ac:dyDescent="0.25">
      <c r="A6764" s="311"/>
      <c r="B6764" s="312"/>
      <c r="C6764" s="312"/>
      <c r="D6764" s="312"/>
      <c r="E6764" s="312"/>
      <c r="F6764" s="312"/>
      <c r="G6764" s="328"/>
      <c r="H6764" s="453"/>
      <c r="I6764" s="334"/>
      <c r="J6764" s="314"/>
      <c r="K6764" s="454"/>
      <c r="M6764" s="349" t="str">
        <f>N6764&amp;AS[[#This Row],[Insurer Code]]&amp;"; "&amp;O6764&amp;AS[[#This Row],[Reporting Year]]&amp;"; "&amp;P6764&amp;AS[[#This Row],[Insurance Category Code]]&amp;"; "&amp;Q6764&amp;AS[[#This Row],[Large Provider Entity Code]]&amp;"; "&amp;R6764&amp;AS[[#This Row],[Age Band Code]]&amp;"; "&amp;S6764&amp;AS[[#This Row],[Sex Code]]</f>
        <v xml:space="preserve">Insurer Code ; Reporting Year ; Insurance Category Code ; Large Provider Entity Code ; Age Band Code ; Sex Code </v>
      </c>
      <c r="N6764" s="345" t="s">
        <v>207</v>
      </c>
      <c r="O6764" s="345" t="s">
        <v>208</v>
      </c>
      <c r="P6764" s="345" t="s">
        <v>209</v>
      </c>
      <c r="Q6764" s="345" t="s">
        <v>210</v>
      </c>
      <c r="R6764" s="345" t="s">
        <v>223</v>
      </c>
      <c r="S6764" s="345" t="s">
        <v>224</v>
      </c>
    </row>
    <row r="6765" spans="1:19" x14ac:dyDescent="0.25">
      <c r="A6765" s="311"/>
      <c r="B6765" s="312"/>
      <c r="C6765" s="312"/>
      <c r="D6765" s="312"/>
      <c r="E6765" s="312"/>
      <c r="F6765" s="312"/>
      <c r="G6765" s="328"/>
      <c r="H6765" s="453"/>
      <c r="I6765" s="334"/>
      <c r="J6765" s="314"/>
      <c r="K6765" s="454"/>
      <c r="M6765" s="349" t="str">
        <f>N6765&amp;AS[[#This Row],[Insurer Code]]&amp;"; "&amp;O6765&amp;AS[[#This Row],[Reporting Year]]&amp;"; "&amp;P6765&amp;AS[[#This Row],[Insurance Category Code]]&amp;"; "&amp;Q6765&amp;AS[[#This Row],[Large Provider Entity Code]]&amp;"; "&amp;R6765&amp;AS[[#This Row],[Age Band Code]]&amp;"; "&amp;S6765&amp;AS[[#This Row],[Sex Code]]</f>
        <v xml:space="preserve">Insurer Code ; Reporting Year ; Insurance Category Code ; Large Provider Entity Code ; Age Band Code ; Sex Code </v>
      </c>
      <c r="N6765" s="345" t="s">
        <v>207</v>
      </c>
      <c r="O6765" s="345" t="s">
        <v>208</v>
      </c>
      <c r="P6765" s="345" t="s">
        <v>209</v>
      </c>
      <c r="Q6765" s="345" t="s">
        <v>210</v>
      </c>
      <c r="R6765" s="345" t="s">
        <v>223</v>
      </c>
      <c r="S6765" s="345" t="s">
        <v>224</v>
      </c>
    </row>
    <row r="6766" spans="1:19" x14ac:dyDescent="0.25">
      <c r="A6766" s="311"/>
      <c r="B6766" s="312"/>
      <c r="C6766" s="312"/>
      <c r="D6766" s="312"/>
      <c r="E6766" s="312"/>
      <c r="F6766" s="312"/>
      <c r="G6766" s="328"/>
      <c r="H6766" s="453"/>
      <c r="I6766" s="334"/>
      <c r="J6766" s="314"/>
      <c r="K6766" s="454"/>
      <c r="M6766" s="349" t="str">
        <f>N6766&amp;AS[[#This Row],[Insurer Code]]&amp;"; "&amp;O6766&amp;AS[[#This Row],[Reporting Year]]&amp;"; "&amp;P6766&amp;AS[[#This Row],[Insurance Category Code]]&amp;"; "&amp;Q6766&amp;AS[[#This Row],[Large Provider Entity Code]]&amp;"; "&amp;R6766&amp;AS[[#This Row],[Age Band Code]]&amp;"; "&amp;S6766&amp;AS[[#This Row],[Sex Code]]</f>
        <v xml:space="preserve">Insurer Code ; Reporting Year ; Insurance Category Code ; Large Provider Entity Code ; Age Band Code ; Sex Code </v>
      </c>
      <c r="N6766" s="345" t="s">
        <v>207</v>
      </c>
      <c r="O6766" s="345" t="s">
        <v>208</v>
      </c>
      <c r="P6766" s="345" t="s">
        <v>209</v>
      </c>
      <c r="Q6766" s="345" t="s">
        <v>210</v>
      </c>
      <c r="R6766" s="345" t="s">
        <v>223</v>
      </c>
      <c r="S6766" s="345" t="s">
        <v>224</v>
      </c>
    </row>
    <row r="6767" spans="1:19" x14ac:dyDescent="0.25">
      <c r="A6767" s="311"/>
      <c r="B6767" s="312"/>
      <c r="C6767" s="312"/>
      <c r="D6767" s="312"/>
      <c r="E6767" s="312"/>
      <c r="F6767" s="312"/>
      <c r="G6767" s="328"/>
      <c r="H6767" s="453"/>
      <c r="I6767" s="334"/>
      <c r="J6767" s="314"/>
      <c r="K6767" s="454"/>
      <c r="M6767" s="349" t="str">
        <f>N6767&amp;AS[[#This Row],[Insurer Code]]&amp;"; "&amp;O6767&amp;AS[[#This Row],[Reporting Year]]&amp;"; "&amp;P6767&amp;AS[[#This Row],[Insurance Category Code]]&amp;"; "&amp;Q6767&amp;AS[[#This Row],[Large Provider Entity Code]]&amp;"; "&amp;R6767&amp;AS[[#This Row],[Age Band Code]]&amp;"; "&amp;S6767&amp;AS[[#This Row],[Sex Code]]</f>
        <v xml:space="preserve">Insurer Code ; Reporting Year ; Insurance Category Code ; Large Provider Entity Code ; Age Band Code ; Sex Code </v>
      </c>
      <c r="N6767" s="345" t="s">
        <v>207</v>
      </c>
      <c r="O6767" s="345" t="s">
        <v>208</v>
      </c>
      <c r="P6767" s="345" t="s">
        <v>209</v>
      </c>
      <c r="Q6767" s="345" t="s">
        <v>210</v>
      </c>
      <c r="R6767" s="345" t="s">
        <v>223</v>
      </c>
      <c r="S6767" s="345" t="s">
        <v>224</v>
      </c>
    </row>
    <row r="6768" spans="1:19" x14ac:dyDescent="0.25">
      <c r="A6768" s="311"/>
      <c r="B6768" s="312"/>
      <c r="C6768" s="312"/>
      <c r="D6768" s="312"/>
      <c r="E6768" s="312"/>
      <c r="F6768" s="312"/>
      <c r="G6768" s="328"/>
      <c r="H6768" s="453"/>
      <c r="I6768" s="334"/>
      <c r="J6768" s="314"/>
      <c r="K6768" s="454"/>
      <c r="M6768" s="349" t="str">
        <f>N6768&amp;AS[[#This Row],[Insurer Code]]&amp;"; "&amp;O6768&amp;AS[[#This Row],[Reporting Year]]&amp;"; "&amp;P6768&amp;AS[[#This Row],[Insurance Category Code]]&amp;"; "&amp;Q6768&amp;AS[[#This Row],[Large Provider Entity Code]]&amp;"; "&amp;R6768&amp;AS[[#This Row],[Age Band Code]]&amp;"; "&amp;S6768&amp;AS[[#This Row],[Sex Code]]</f>
        <v xml:space="preserve">Insurer Code ; Reporting Year ; Insurance Category Code ; Large Provider Entity Code ; Age Band Code ; Sex Code </v>
      </c>
      <c r="N6768" s="345" t="s">
        <v>207</v>
      </c>
      <c r="O6768" s="345" t="s">
        <v>208</v>
      </c>
      <c r="P6768" s="345" t="s">
        <v>209</v>
      </c>
      <c r="Q6768" s="345" t="s">
        <v>210</v>
      </c>
      <c r="R6768" s="345" t="s">
        <v>223</v>
      </c>
      <c r="S6768" s="345" t="s">
        <v>224</v>
      </c>
    </row>
    <row r="6769" spans="1:19" x14ac:dyDescent="0.25">
      <c r="A6769" s="311"/>
      <c r="B6769" s="312"/>
      <c r="C6769" s="312"/>
      <c r="D6769" s="312"/>
      <c r="E6769" s="312"/>
      <c r="F6769" s="312"/>
      <c r="G6769" s="328"/>
      <c r="H6769" s="453"/>
      <c r="I6769" s="334"/>
      <c r="J6769" s="314"/>
      <c r="K6769" s="454"/>
      <c r="M6769" s="349" t="str">
        <f>N6769&amp;AS[[#This Row],[Insurer Code]]&amp;"; "&amp;O6769&amp;AS[[#This Row],[Reporting Year]]&amp;"; "&amp;P6769&amp;AS[[#This Row],[Insurance Category Code]]&amp;"; "&amp;Q6769&amp;AS[[#This Row],[Large Provider Entity Code]]&amp;"; "&amp;R6769&amp;AS[[#This Row],[Age Band Code]]&amp;"; "&amp;S6769&amp;AS[[#This Row],[Sex Code]]</f>
        <v xml:space="preserve">Insurer Code ; Reporting Year ; Insurance Category Code ; Large Provider Entity Code ; Age Band Code ; Sex Code </v>
      </c>
      <c r="N6769" s="345" t="s">
        <v>207</v>
      </c>
      <c r="O6769" s="345" t="s">
        <v>208</v>
      </c>
      <c r="P6769" s="345" t="s">
        <v>209</v>
      </c>
      <c r="Q6769" s="345" t="s">
        <v>210</v>
      </c>
      <c r="R6769" s="345" t="s">
        <v>223</v>
      </c>
      <c r="S6769" s="345" t="s">
        <v>224</v>
      </c>
    </row>
    <row r="6770" spans="1:19" x14ac:dyDescent="0.25">
      <c r="A6770" s="311"/>
      <c r="B6770" s="312"/>
      <c r="C6770" s="312"/>
      <c r="D6770" s="312"/>
      <c r="E6770" s="312"/>
      <c r="F6770" s="312"/>
      <c r="G6770" s="328"/>
      <c r="H6770" s="453"/>
      <c r="I6770" s="334"/>
      <c r="J6770" s="314"/>
      <c r="K6770" s="454"/>
      <c r="M6770" s="349" t="str">
        <f>N6770&amp;AS[[#This Row],[Insurer Code]]&amp;"; "&amp;O6770&amp;AS[[#This Row],[Reporting Year]]&amp;"; "&amp;P6770&amp;AS[[#This Row],[Insurance Category Code]]&amp;"; "&amp;Q6770&amp;AS[[#This Row],[Large Provider Entity Code]]&amp;"; "&amp;R6770&amp;AS[[#This Row],[Age Band Code]]&amp;"; "&amp;S6770&amp;AS[[#This Row],[Sex Code]]</f>
        <v xml:space="preserve">Insurer Code ; Reporting Year ; Insurance Category Code ; Large Provider Entity Code ; Age Band Code ; Sex Code </v>
      </c>
      <c r="N6770" s="345" t="s">
        <v>207</v>
      </c>
      <c r="O6770" s="345" t="s">
        <v>208</v>
      </c>
      <c r="P6770" s="345" t="s">
        <v>209</v>
      </c>
      <c r="Q6770" s="345" t="s">
        <v>210</v>
      </c>
      <c r="R6770" s="345" t="s">
        <v>223</v>
      </c>
      <c r="S6770" s="345" t="s">
        <v>224</v>
      </c>
    </row>
    <row r="6771" spans="1:19" x14ac:dyDescent="0.25">
      <c r="A6771" s="311"/>
      <c r="B6771" s="312"/>
      <c r="C6771" s="312"/>
      <c r="D6771" s="312"/>
      <c r="E6771" s="312"/>
      <c r="F6771" s="312"/>
      <c r="G6771" s="328"/>
      <c r="H6771" s="453"/>
      <c r="I6771" s="334"/>
      <c r="J6771" s="314"/>
      <c r="K6771" s="454"/>
      <c r="M6771" s="349" t="str">
        <f>N6771&amp;AS[[#This Row],[Insurer Code]]&amp;"; "&amp;O6771&amp;AS[[#This Row],[Reporting Year]]&amp;"; "&amp;P6771&amp;AS[[#This Row],[Insurance Category Code]]&amp;"; "&amp;Q6771&amp;AS[[#This Row],[Large Provider Entity Code]]&amp;"; "&amp;R6771&amp;AS[[#This Row],[Age Band Code]]&amp;"; "&amp;S6771&amp;AS[[#This Row],[Sex Code]]</f>
        <v xml:space="preserve">Insurer Code ; Reporting Year ; Insurance Category Code ; Large Provider Entity Code ; Age Band Code ; Sex Code </v>
      </c>
      <c r="N6771" s="345" t="s">
        <v>207</v>
      </c>
      <c r="O6771" s="345" t="s">
        <v>208</v>
      </c>
      <c r="P6771" s="345" t="s">
        <v>209</v>
      </c>
      <c r="Q6771" s="345" t="s">
        <v>210</v>
      </c>
      <c r="R6771" s="345" t="s">
        <v>223</v>
      </c>
      <c r="S6771" s="345" t="s">
        <v>224</v>
      </c>
    </row>
    <row r="6772" spans="1:19" x14ac:dyDescent="0.25">
      <c r="A6772" s="311"/>
      <c r="B6772" s="312"/>
      <c r="C6772" s="312"/>
      <c r="D6772" s="312"/>
      <c r="E6772" s="312"/>
      <c r="F6772" s="312"/>
      <c r="G6772" s="328"/>
      <c r="H6772" s="453"/>
      <c r="I6772" s="334"/>
      <c r="J6772" s="314"/>
      <c r="K6772" s="454"/>
      <c r="M6772" s="349" t="str">
        <f>N6772&amp;AS[[#This Row],[Insurer Code]]&amp;"; "&amp;O6772&amp;AS[[#This Row],[Reporting Year]]&amp;"; "&amp;P6772&amp;AS[[#This Row],[Insurance Category Code]]&amp;"; "&amp;Q6772&amp;AS[[#This Row],[Large Provider Entity Code]]&amp;"; "&amp;R6772&amp;AS[[#This Row],[Age Band Code]]&amp;"; "&amp;S6772&amp;AS[[#This Row],[Sex Code]]</f>
        <v xml:space="preserve">Insurer Code ; Reporting Year ; Insurance Category Code ; Large Provider Entity Code ; Age Band Code ; Sex Code </v>
      </c>
      <c r="N6772" s="345" t="s">
        <v>207</v>
      </c>
      <c r="O6772" s="345" t="s">
        <v>208</v>
      </c>
      <c r="P6772" s="345" t="s">
        <v>209</v>
      </c>
      <c r="Q6772" s="345" t="s">
        <v>210</v>
      </c>
      <c r="R6772" s="345" t="s">
        <v>223</v>
      </c>
      <c r="S6772" s="345" t="s">
        <v>224</v>
      </c>
    </row>
    <row r="6773" spans="1:19" x14ac:dyDescent="0.25">
      <c r="A6773" s="311"/>
      <c r="B6773" s="312"/>
      <c r="C6773" s="312"/>
      <c r="D6773" s="312"/>
      <c r="E6773" s="312"/>
      <c r="F6773" s="312"/>
      <c r="G6773" s="328"/>
      <c r="H6773" s="453"/>
      <c r="I6773" s="334"/>
      <c r="J6773" s="314"/>
      <c r="K6773" s="454"/>
      <c r="M6773" s="349" t="str">
        <f>N6773&amp;AS[[#This Row],[Insurer Code]]&amp;"; "&amp;O6773&amp;AS[[#This Row],[Reporting Year]]&amp;"; "&amp;P6773&amp;AS[[#This Row],[Insurance Category Code]]&amp;"; "&amp;Q6773&amp;AS[[#This Row],[Large Provider Entity Code]]&amp;"; "&amp;R6773&amp;AS[[#This Row],[Age Band Code]]&amp;"; "&amp;S6773&amp;AS[[#This Row],[Sex Code]]</f>
        <v xml:space="preserve">Insurer Code ; Reporting Year ; Insurance Category Code ; Large Provider Entity Code ; Age Band Code ; Sex Code </v>
      </c>
      <c r="N6773" s="345" t="s">
        <v>207</v>
      </c>
      <c r="O6773" s="345" t="s">
        <v>208</v>
      </c>
      <c r="P6773" s="345" t="s">
        <v>209</v>
      </c>
      <c r="Q6773" s="345" t="s">
        <v>210</v>
      </c>
      <c r="R6773" s="345" t="s">
        <v>223</v>
      </c>
      <c r="S6773" s="345" t="s">
        <v>224</v>
      </c>
    </row>
    <row r="6774" spans="1:19" x14ac:dyDescent="0.25">
      <c r="A6774" s="311"/>
      <c r="B6774" s="312"/>
      <c r="C6774" s="312"/>
      <c r="D6774" s="312"/>
      <c r="E6774" s="312"/>
      <c r="F6774" s="312"/>
      <c r="G6774" s="328"/>
      <c r="H6774" s="453"/>
      <c r="I6774" s="334"/>
      <c r="J6774" s="314"/>
      <c r="K6774" s="454"/>
      <c r="M6774" s="349" t="str">
        <f>N6774&amp;AS[[#This Row],[Insurer Code]]&amp;"; "&amp;O6774&amp;AS[[#This Row],[Reporting Year]]&amp;"; "&amp;P6774&amp;AS[[#This Row],[Insurance Category Code]]&amp;"; "&amp;Q6774&amp;AS[[#This Row],[Large Provider Entity Code]]&amp;"; "&amp;R6774&amp;AS[[#This Row],[Age Band Code]]&amp;"; "&amp;S6774&amp;AS[[#This Row],[Sex Code]]</f>
        <v xml:space="preserve">Insurer Code ; Reporting Year ; Insurance Category Code ; Large Provider Entity Code ; Age Band Code ; Sex Code </v>
      </c>
      <c r="N6774" s="345" t="s">
        <v>207</v>
      </c>
      <c r="O6774" s="345" t="s">
        <v>208</v>
      </c>
      <c r="P6774" s="345" t="s">
        <v>209</v>
      </c>
      <c r="Q6774" s="345" t="s">
        <v>210</v>
      </c>
      <c r="R6774" s="345" t="s">
        <v>223</v>
      </c>
      <c r="S6774" s="345" t="s">
        <v>224</v>
      </c>
    </row>
    <row r="6775" spans="1:19" x14ac:dyDescent="0.25">
      <c r="A6775" s="311"/>
      <c r="B6775" s="312"/>
      <c r="C6775" s="312"/>
      <c r="D6775" s="312"/>
      <c r="E6775" s="312"/>
      <c r="F6775" s="312"/>
      <c r="G6775" s="328"/>
      <c r="H6775" s="453"/>
      <c r="I6775" s="334"/>
      <c r="J6775" s="314"/>
      <c r="K6775" s="454"/>
      <c r="M6775" s="349" t="str">
        <f>N6775&amp;AS[[#This Row],[Insurer Code]]&amp;"; "&amp;O6775&amp;AS[[#This Row],[Reporting Year]]&amp;"; "&amp;P6775&amp;AS[[#This Row],[Insurance Category Code]]&amp;"; "&amp;Q6775&amp;AS[[#This Row],[Large Provider Entity Code]]&amp;"; "&amp;R6775&amp;AS[[#This Row],[Age Band Code]]&amp;"; "&amp;S6775&amp;AS[[#This Row],[Sex Code]]</f>
        <v xml:space="preserve">Insurer Code ; Reporting Year ; Insurance Category Code ; Large Provider Entity Code ; Age Band Code ; Sex Code </v>
      </c>
      <c r="N6775" s="345" t="s">
        <v>207</v>
      </c>
      <c r="O6775" s="345" t="s">
        <v>208</v>
      </c>
      <c r="P6775" s="345" t="s">
        <v>209</v>
      </c>
      <c r="Q6775" s="345" t="s">
        <v>210</v>
      </c>
      <c r="R6775" s="345" t="s">
        <v>223</v>
      </c>
      <c r="S6775" s="345" t="s">
        <v>224</v>
      </c>
    </row>
    <row r="6776" spans="1:19" x14ac:dyDescent="0.25">
      <c r="A6776" s="311"/>
      <c r="B6776" s="312"/>
      <c r="C6776" s="312"/>
      <c r="D6776" s="312"/>
      <c r="E6776" s="312"/>
      <c r="F6776" s="312"/>
      <c r="G6776" s="328"/>
      <c r="H6776" s="453"/>
      <c r="I6776" s="334"/>
      <c r="J6776" s="314"/>
      <c r="K6776" s="454"/>
      <c r="M6776" s="349" t="str">
        <f>N6776&amp;AS[[#This Row],[Insurer Code]]&amp;"; "&amp;O6776&amp;AS[[#This Row],[Reporting Year]]&amp;"; "&amp;P6776&amp;AS[[#This Row],[Insurance Category Code]]&amp;"; "&amp;Q6776&amp;AS[[#This Row],[Large Provider Entity Code]]&amp;"; "&amp;R6776&amp;AS[[#This Row],[Age Band Code]]&amp;"; "&amp;S6776&amp;AS[[#This Row],[Sex Code]]</f>
        <v xml:space="preserve">Insurer Code ; Reporting Year ; Insurance Category Code ; Large Provider Entity Code ; Age Band Code ; Sex Code </v>
      </c>
      <c r="N6776" s="345" t="s">
        <v>207</v>
      </c>
      <c r="O6776" s="345" t="s">
        <v>208</v>
      </c>
      <c r="P6776" s="345" t="s">
        <v>209</v>
      </c>
      <c r="Q6776" s="345" t="s">
        <v>210</v>
      </c>
      <c r="R6776" s="345" t="s">
        <v>223</v>
      </c>
      <c r="S6776" s="345" t="s">
        <v>224</v>
      </c>
    </row>
    <row r="6777" spans="1:19" x14ac:dyDescent="0.25">
      <c r="A6777" s="311"/>
      <c r="B6777" s="312"/>
      <c r="C6777" s="312"/>
      <c r="D6777" s="312"/>
      <c r="E6777" s="312"/>
      <c r="F6777" s="312"/>
      <c r="G6777" s="328"/>
      <c r="H6777" s="453"/>
      <c r="I6777" s="334"/>
      <c r="J6777" s="314"/>
      <c r="K6777" s="454"/>
      <c r="M6777" s="349" t="str">
        <f>N6777&amp;AS[[#This Row],[Insurer Code]]&amp;"; "&amp;O6777&amp;AS[[#This Row],[Reporting Year]]&amp;"; "&amp;P6777&amp;AS[[#This Row],[Insurance Category Code]]&amp;"; "&amp;Q6777&amp;AS[[#This Row],[Large Provider Entity Code]]&amp;"; "&amp;R6777&amp;AS[[#This Row],[Age Band Code]]&amp;"; "&amp;S6777&amp;AS[[#This Row],[Sex Code]]</f>
        <v xml:space="preserve">Insurer Code ; Reporting Year ; Insurance Category Code ; Large Provider Entity Code ; Age Band Code ; Sex Code </v>
      </c>
      <c r="N6777" s="345" t="s">
        <v>207</v>
      </c>
      <c r="O6777" s="345" t="s">
        <v>208</v>
      </c>
      <c r="P6777" s="345" t="s">
        <v>209</v>
      </c>
      <c r="Q6777" s="345" t="s">
        <v>210</v>
      </c>
      <c r="R6777" s="345" t="s">
        <v>223</v>
      </c>
      <c r="S6777" s="345" t="s">
        <v>224</v>
      </c>
    </row>
    <row r="6778" spans="1:19" x14ac:dyDescent="0.25">
      <c r="A6778" s="311"/>
      <c r="B6778" s="312"/>
      <c r="C6778" s="312"/>
      <c r="D6778" s="312"/>
      <c r="E6778" s="312"/>
      <c r="F6778" s="312"/>
      <c r="G6778" s="328"/>
      <c r="H6778" s="453"/>
      <c r="I6778" s="334"/>
      <c r="J6778" s="314"/>
      <c r="K6778" s="454"/>
      <c r="M6778" s="349" t="str">
        <f>N6778&amp;AS[[#This Row],[Insurer Code]]&amp;"; "&amp;O6778&amp;AS[[#This Row],[Reporting Year]]&amp;"; "&amp;P6778&amp;AS[[#This Row],[Insurance Category Code]]&amp;"; "&amp;Q6778&amp;AS[[#This Row],[Large Provider Entity Code]]&amp;"; "&amp;R6778&amp;AS[[#This Row],[Age Band Code]]&amp;"; "&amp;S6778&amp;AS[[#This Row],[Sex Code]]</f>
        <v xml:space="preserve">Insurer Code ; Reporting Year ; Insurance Category Code ; Large Provider Entity Code ; Age Band Code ; Sex Code </v>
      </c>
      <c r="N6778" s="345" t="s">
        <v>207</v>
      </c>
      <c r="O6778" s="345" t="s">
        <v>208</v>
      </c>
      <c r="P6778" s="345" t="s">
        <v>209</v>
      </c>
      <c r="Q6778" s="345" t="s">
        <v>210</v>
      </c>
      <c r="R6778" s="345" t="s">
        <v>223</v>
      </c>
      <c r="S6778" s="345" t="s">
        <v>224</v>
      </c>
    </row>
    <row r="6779" spans="1:19" x14ac:dyDescent="0.25">
      <c r="A6779" s="311"/>
      <c r="B6779" s="312"/>
      <c r="C6779" s="312"/>
      <c r="D6779" s="312"/>
      <c r="E6779" s="312"/>
      <c r="F6779" s="312"/>
      <c r="G6779" s="328"/>
      <c r="H6779" s="453"/>
      <c r="I6779" s="334"/>
      <c r="J6779" s="314"/>
      <c r="K6779" s="454"/>
      <c r="M6779" s="349" t="str">
        <f>N6779&amp;AS[[#This Row],[Insurer Code]]&amp;"; "&amp;O6779&amp;AS[[#This Row],[Reporting Year]]&amp;"; "&amp;P6779&amp;AS[[#This Row],[Insurance Category Code]]&amp;"; "&amp;Q6779&amp;AS[[#This Row],[Large Provider Entity Code]]&amp;"; "&amp;R6779&amp;AS[[#This Row],[Age Band Code]]&amp;"; "&amp;S6779&amp;AS[[#This Row],[Sex Code]]</f>
        <v xml:space="preserve">Insurer Code ; Reporting Year ; Insurance Category Code ; Large Provider Entity Code ; Age Band Code ; Sex Code </v>
      </c>
      <c r="N6779" s="345" t="s">
        <v>207</v>
      </c>
      <c r="O6779" s="345" t="s">
        <v>208</v>
      </c>
      <c r="P6779" s="345" t="s">
        <v>209</v>
      </c>
      <c r="Q6779" s="345" t="s">
        <v>210</v>
      </c>
      <c r="R6779" s="345" t="s">
        <v>223</v>
      </c>
      <c r="S6779" s="345" t="s">
        <v>224</v>
      </c>
    </row>
    <row r="6780" spans="1:19" x14ac:dyDescent="0.25">
      <c r="A6780" s="311"/>
      <c r="B6780" s="312"/>
      <c r="C6780" s="312"/>
      <c r="D6780" s="312"/>
      <c r="E6780" s="312"/>
      <c r="F6780" s="312"/>
      <c r="G6780" s="328"/>
      <c r="H6780" s="453"/>
      <c r="I6780" s="334"/>
      <c r="J6780" s="314"/>
      <c r="K6780" s="454"/>
      <c r="M6780" s="349" t="str">
        <f>N6780&amp;AS[[#This Row],[Insurer Code]]&amp;"; "&amp;O6780&amp;AS[[#This Row],[Reporting Year]]&amp;"; "&amp;P6780&amp;AS[[#This Row],[Insurance Category Code]]&amp;"; "&amp;Q6780&amp;AS[[#This Row],[Large Provider Entity Code]]&amp;"; "&amp;R6780&amp;AS[[#This Row],[Age Band Code]]&amp;"; "&amp;S6780&amp;AS[[#This Row],[Sex Code]]</f>
        <v xml:space="preserve">Insurer Code ; Reporting Year ; Insurance Category Code ; Large Provider Entity Code ; Age Band Code ; Sex Code </v>
      </c>
      <c r="N6780" s="345" t="s">
        <v>207</v>
      </c>
      <c r="O6780" s="345" t="s">
        <v>208</v>
      </c>
      <c r="P6780" s="345" t="s">
        <v>209</v>
      </c>
      <c r="Q6780" s="345" t="s">
        <v>210</v>
      </c>
      <c r="R6780" s="345" t="s">
        <v>223</v>
      </c>
      <c r="S6780" s="345" t="s">
        <v>224</v>
      </c>
    </row>
    <row r="6781" spans="1:19" x14ac:dyDescent="0.25">
      <c r="A6781" s="311"/>
      <c r="B6781" s="312"/>
      <c r="C6781" s="312"/>
      <c r="D6781" s="312"/>
      <c r="E6781" s="312"/>
      <c r="F6781" s="312"/>
      <c r="G6781" s="328"/>
      <c r="H6781" s="453"/>
      <c r="I6781" s="334"/>
      <c r="J6781" s="314"/>
      <c r="K6781" s="454"/>
      <c r="M6781" s="349" t="str">
        <f>N6781&amp;AS[[#This Row],[Insurer Code]]&amp;"; "&amp;O6781&amp;AS[[#This Row],[Reporting Year]]&amp;"; "&amp;P6781&amp;AS[[#This Row],[Insurance Category Code]]&amp;"; "&amp;Q6781&amp;AS[[#This Row],[Large Provider Entity Code]]&amp;"; "&amp;R6781&amp;AS[[#This Row],[Age Band Code]]&amp;"; "&amp;S6781&amp;AS[[#This Row],[Sex Code]]</f>
        <v xml:space="preserve">Insurer Code ; Reporting Year ; Insurance Category Code ; Large Provider Entity Code ; Age Band Code ; Sex Code </v>
      </c>
      <c r="N6781" s="345" t="s">
        <v>207</v>
      </c>
      <c r="O6781" s="345" t="s">
        <v>208</v>
      </c>
      <c r="P6781" s="345" t="s">
        <v>209</v>
      </c>
      <c r="Q6781" s="345" t="s">
        <v>210</v>
      </c>
      <c r="R6781" s="345" t="s">
        <v>223</v>
      </c>
      <c r="S6781" s="345" t="s">
        <v>224</v>
      </c>
    </row>
    <row r="6782" spans="1:19" x14ac:dyDescent="0.25">
      <c r="A6782" s="311"/>
      <c r="B6782" s="312"/>
      <c r="C6782" s="312"/>
      <c r="D6782" s="312"/>
      <c r="E6782" s="312"/>
      <c r="F6782" s="312"/>
      <c r="G6782" s="328"/>
      <c r="H6782" s="453"/>
      <c r="I6782" s="334"/>
      <c r="J6782" s="314"/>
      <c r="K6782" s="454"/>
      <c r="M6782" s="349" t="str">
        <f>N6782&amp;AS[[#This Row],[Insurer Code]]&amp;"; "&amp;O6782&amp;AS[[#This Row],[Reporting Year]]&amp;"; "&amp;P6782&amp;AS[[#This Row],[Insurance Category Code]]&amp;"; "&amp;Q6782&amp;AS[[#This Row],[Large Provider Entity Code]]&amp;"; "&amp;R6782&amp;AS[[#This Row],[Age Band Code]]&amp;"; "&amp;S6782&amp;AS[[#This Row],[Sex Code]]</f>
        <v xml:space="preserve">Insurer Code ; Reporting Year ; Insurance Category Code ; Large Provider Entity Code ; Age Band Code ; Sex Code </v>
      </c>
      <c r="N6782" s="345" t="s">
        <v>207</v>
      </c>
      <c r="O6782" s="345" t="s">
        <v>208</v>
      </c>
      <c r="P6782" s="345" t="s">
        <v>209</v>
      </c>
      <c r="Q6782" s="345" t="s">
        <v>210</v>
      </c>
      <c r="R6782" s="345" t="s">
        <v>223</v>
      </c>
      <c r="S6782" s="345" t="s">
        <v>224</v>
      </c>
    </row>
    <row r="6783" spans="1:19" x14ac:dyDescent="0.25">
      <c r="A6783" s="311"/>
      <c r="B6783" s="312"/>
      <c r="C6783" s="312"/>
      <c r="D6783" s="312"/>
      <c r="E6783" s="312"/>
      <c r="F6783" s="312"/>
      <c r="G6783" s="328"/>
      <c r="H6783" s="453"/>
      <c r="I6783" s="334"/>
      <c r="J6783" s="314"/>
      <c r="K6783" s="454"/>
      <c r="M6783" s="349" t="str">
        <f>N6783&amp;AS[[#This Row],[Insurer Code]]&amp;"; "&amp;O6783&amp;AS[[#This Row],[Reporting Year]]&amp;"; "&amp;P6783&amp;AS[[#This Row],[Insurance Category Code]]&amp;"; "&amp;Q6783&amp;AS[[#This Row],[Large Provider Entity Code]]&amp;"; "&amp;R6783&amp;AS[[#This Row],[Age Band Code]]&amp;"; "&amp;S6783&amp;AS[[#This Row],[Sex Code]]</f>
        <v xml:space="preserve">Insurer Code ; Reporting Year ; Insurance Category Code ; Large Provider Entity Code ; Age Band Code ; Sex Code </v>
      </c>
      <c r="N6783" s="345" t="s">
        <v>207</v>
      </c>
      <c r="O6783" s="345" t="s">
        <v>208</v>
      </c>
      <c r="P6783" s="345" t="s">
        <v>209</v>
      </c>
      <c r="Q6783" s="345" t="s">
        <v>210</v>
      </c>
      <c r="R6783" s="345" t="s">
        <v>223</v>
      </c>
      <c r="S6783" s="345" t="s">
        <v>224</v>
      </c>
    </row>
    <row r="6784" spans="1:19" x14ac:dyDescent="0.25">
      <c r="A6784" s="311"/>
      <c r="B6784" s="312"/>
      <c r="C6784" s="312"/>
      <c r="D6784" s="312"/>
      <c r="E6784" s="312"/>
      <c r="F6784" s="312"/>
      <c r="G6784" s="328"/>
      <c r="H6784" s="453"/>
      <c r="I6784" s="334"/>
      <c r="J6784" s="314"/>
      <c r="K6784" s="454"/>
      <c r="M6784" s="349" t="str">
        <f>N6784&amp;AS[[#This Row],[Insurer Code]]&amp;"; "&amp;O6784&amp;AS[[#This Row],[Reporting Year]]&amp;"; "&amp;P6784&amp;AS[[#This Row],[Insurance Category Code]]&amp;"; "&amp;Q6784&amp;AS[[#This Row],[Large Provider Entity Code]]&amp;"; "&amp;R6784&amp;AS[[#This Row],[Age Band Code]]&amp;"; "&amp;S6784&amp;AS[[#This Row],[Sex Code]]</f>
        <v xml:space="preserve">Insurer Code ; Reporting Year ; Insurance Category Code ; Large Provider Entity Code ; Age Band Code ; Sex Code </v>
      </c>
      <c r="N6784" s="345" t="s">
        <v>207</v>
      </c>
      <c r="O6784" s="345" t="s">
        <v>208</v>
      </c>
      <c r="P6784" s="345" t="s">
        <v>209</v>
      </c>
      <c r="Q6784" s="345" t="s">
        <v>210</v>
      </c>
      <c r="R6784" s="345" t="s">
        <v>223</v>
      </c>
      <c r="S6784" s="345" t="s">
        <v>224</v>
      </c>
    </row>
    <row r="6785" spans="1:19" x14ac:dyDescent="0.25">
      <c r="A6785" s="311"/>
      <c r="B6785" s="312"/>
      <c r="C6785" s="312"/>
      <c r="D6785" s="312"/>
      <c r="E6785" s="312"/>
      <c r="F6785" s="312"/>
      <c r="G6785" s="328"/>
      <c r="H6785" s="453"/>
      <c r="I6785" s="334"/>
      <c r="J6785" s="314"/>
      <c r="K6785" s="454"/>
      <c r="M6785" s="349" t="str">
        <f>N6785&amp;AS[[#This Row],[Insurer Code]]&amp;"; "&amp;O6785&amp;AS[[#This Row],[Reporting Year]]&amp;"; "&amp;P6785&amp;AS[[#This Row],[Insurance Category Code]]&amp;"; "&amp;Q6785&amp;AS[[#This Row],[Large Provider Entity Code]]&amp;"; "&amp;R6785&amp;AS[[#This Row],[Age Band Code]]&amp;"; "&amp;S6785&amp;AS[[#This Row],[Sex Code]]</f>
        <v xml:space="preserve">Insurer Code ; Reporting Year ; Insurance Category Code ; Large Provider Entity Code ; Age Band Code ; Sex Code </v>
      </c>
      <c r="N6785" s="345" t="s">
        <v>207</v>
      </c>
      <c r="O6785" s="345" t="s">
        <v>208</v>
      </c>
      <c r="P6785" s="345" t="s">
        <v>209</v>
      </c>
      <c r="Q6785" s="345" t="s">
        <v>210</v>
      </c>
      <c r="R6785" s="345" t="s">
        <v>223</v>
      </c>
      <c r="S6785" s="345" t="s">
        <v>224</v>
      </c>
    </row>
    <row r="6786" spans="1:19" x14ac:dyDescent="0.25">
      <c r="A6786" s="311"/>
      <c r="B6786" s="312"/>
      <c r="C6786" s="312"/>
      <c r="D6786" s="312"/>
      <c r="E6786" s="312"/>
      <c r="F6786" s="312"/>
      <c r="G6786" s="328"/>
      <c r="H6786" s="453"/>
      <c r="I6786" s="334"/>
      <c r="J6786" s="314"/>
      <c r="K6786" s="454"/>
      <c r="M6786" s="349" t="str">
        <f>N6786&amp;AS[[#This Row],[Insurer Code]]&amp;"; "&amp;O6786&amp;AS[[#This Row],[Reporting Year]]&amp;"; "&amp;P6786&amp;AS[[#This Row],[Insurance Category Code]]&amp;"; "&amp;Q6786&amp;AS[[#This Row],[Large Provider Entity Code]]&amp;"; "&amp;R6786&amp;AS[[#This Row],[Age Band Code]]&amp;"; "&amp;S6786&amp;AS[[#This Row],[Sex Code]]</f>
        <v xml:space="preserve">Insurer Code ; Reporting Year ; Insurance Category Code ; Large Provider Entity Code ; Age Band Code ; Sex Code </v>
      </c>
      <c r="N6786" s="345" t="s">
        <v>207</v>
      </c>
      <c r="O6786" s="345" t="s">
        <v>208</v>
      </c>
      <c r="P6786" s="345" t="s">
        <v>209</v>
      </c>
      <c r="Q6786" s="345" t="s">
        <v>210</v>
      </c>
      <c r="R6786" s="345" t="s">
        <v>223</v>
      </c>
      <c r="S6786" s="345" t="s">
        <v>224</v>
      </c>
    </row>
    <row r="6787" spans="1:19" x14ac:dyDescent="0.25">
      <c r="A6787" s="311"/>
      <c r="B6787" s="312"/>
      <c r="C6787" s="312"/>
      <c r="D6787" s="312"/>
      <c r="E6787" s="312"/>
      <c r="F6787" s="312"/>
      <c r="G6787" s="328"/>
      <c r="H6787" s="453"/>
      <c r="I6787" s="334"/>
      <c r="J6787" s="314"/>
      <c r="K6787" s="454"/>
      <c r="M6787" s="349" t="str">
        <f>N6787&amp;AS[[#This Row],[Insurer Code]]&amp;"; "&amp;O6787&amp;AS[[#This Row],[Reporting Year]]&amp;"; "&amp;P6787&amp;AS[[#This Row],[Insurance Category Code]]&amp;"; "&amp;Q6787&amp;AS[[#This Row],[Large Provider Entity Code]]&amp;"; "&amp;R6787&amp;AS[[#This Row],[Age Band Code]]&amp;"; "&amp;S6787&amp;AS[[#This Row],[Sex Code]]</f>
        <v xml:space="preserve">Insurer Code ; Reporting Year ; Insurance Category Code ; Large Provider Entity Code ; Age Band Code ; Sex Code </v>
      </c>
      <c r="N6787" s="345" t="s">
        <v>207</v>
      </c>
      <c r="O6787" s="345" t="s">
        <v>208</v>
      </c>
      <c r="P6787" s="345" t="s">
        <v>209</v>
      </c>
      <c r="Q6787" s="345" t="s">
        <v>210</v>
      </c>
      <c r="R6787" s="345" t="s">
        <v>223</v>
      </c>
      <c r="S6787" s="345" t="s">
        <v>224</v>
      </c>
    </row>
    <row r="6788" spans="1:19" x14ac:dyDescent="0.25">
      <c r="A6788" s="311"/>
      <c r="B6788" s="312"/>
      <c r="C6788" s="312"/>
      <c r="D6788" s="312"/>
      <c r="E6788" s="312"/>
      <c r="F6788" s="312"/>
      <c r="G6788" s="328"/>
      <c r="H6788" s="453"/>
      <c r="I6788" s="334"/>
      <c r="J6788" s="314"/>
      <c r="K6788" s="454"/>
      <c r="M6788" s="349" t="str">
        <f>N6788&amp;AS[[#This Row],[Insurer Code]]&amp;"; "&amp;O6788&amp;AS[[#This Row],[Reporting Year]]&amp;"; "&amp;P6788&amp;AS[[#This Row],[Insurance Category Code]]&amp;"; "&amp;Q6788&amp;AS[[#This Row],[Large Provider Entity Code]]&amp;"; "&amp;R6788&amp;AS[[#This Row],[Age Band Code]]&amp;"; "&amp;S6788&amp;AS[[#This Row],[Sex Code]]</f>
        <v xml:space="preserve">Insurer Code ; Reporting Year ; Insurance Category Code ; Large Provider Entity Code ; Age Band Code ; Sex Code </v>
      </c>
      <c r="N6788" s="345" t="s">
        <v>207</v>
      </c>
      <c r="O6788" s="345" t="s">
        <v>208</v>
      </c>
      <c r="P6788" s="345" t="s">
        <v>209</v>
      </c>
      <c r="Q6788" s="345" t="s">
        <v>210</v>
      </c>
      <c r="R6788" s="345" t="s">
        <v>223</v>
      </c>
      <c r="S6788" s="345" t="s">
        <v>224</v>
      </c>
    </row>
    <row r="6789" spans="1:19" x14ac:dyDescent="0.25">
      <c r="A6789" s="311"/>
      <c r="B6789" s="312"/>
      <c r="C6789" s="312"/>
      <c r="D6789" s="312"/>
      <c r="E6789" s="312"/>
      <c r="F6789" s="312"/>
      <c r="G6789" s="328"/>
      <c r="H6789" s="453"/>
      <c r="I6789" s="334"/>
      <c r="J6789" s="314"/>
      <c r="K6789" s="454"/>
      <c r="M6789" s="349" t="str">
        <f>N6789&amp;AS[[#This Row],[Insurer Code]]&amp;"; "&amp;O6789&amp;AS[[#This Row],[Reporting Year]]&amp;"; "&amp;P6789&amp;AS[[#This Row],[Insurance Category Code]]&amp;"; "&amp;Q6789&amp;AS[[#This Row],[Large Provider Entity Code]]&amp;"; "&amp;R6789&amp;AS[[#This Row],[Age Band Code]]&amp;"; "&amp;S6789&amp;AS[[#This Row],[Sex Code]]</f>
        <v xml:space="preserve">Insurer Code ; Reporting Year ; Insurance Category Code ; Large Provider Entity Code ; Age Band Code ; Sex Code </v>
      </c>
      <c r="N6789" s="345" t="s">
        <v>207</v>
      </c>
      <c r="O6789" s="345" t="s">
        <v>208</v>
      </c>
      <c r="P6789" s="345" t="s">
        <v>209</v>
      </c>
      <c r="Q6789" s="345" t="s">
        <v>210</v>
      </c>
      <c r="R6789" s="345" t="s">
        <v>223</v>
      </c>
      <c r="S6789" s="345" t="s">
        <v>224</v>
      </c>
    </row>
    <row r="6790" spans="1:19" x14ac:dyDescent="0.25">
      <c r="A6790" s="311"/>
      <c r="B6790" s="312"/>
      <c r="C6790" s="312"/>
      <c r="D6790" s="312"/>
      <c r="E6790" s="312"/>
      <c r="F6790" s="312"/>
      <c r="G6790" s="328"/>
      <c r="H6790" s="453"/>
      <c r="I6790" s="334"/>
      <c r="J6790" s="314"/>
      <c r="K6790" s="454"/>
      <c r="M6790" s="349" t="str">
        <f>N6790&amp;AS[[#This Row],[Insurer Code]]&amp;"; "&amp;O6790&amp;AS[[#This Row],[Reporting Year]]&amp;"; "&amp;P6790&amp;AS[[#This Row],[Insurance Category Code]]&amp;"; "&amp;Q6790&amp;AS[[#This Row],[Large Provider Entity Code]]&amp;"; "&amp;R6790&amp;AS[[#This Row],[Age Band Code]]&amp;"; "&amp;S6790&amp;AS[[#This Row],[Sex Code]]</f>
        <v xml:space="preserve">Insurer Code ; Reporting Year ; Insurance Category Code ; Large Provider Entity Code ; Age Band Code ; Sex Code </v>
      </c>
      <c r="N6790" s="345" t="s">
        <v>207</v>
      </c>
      <c r="O6790" s="345" t="s">
        <v>208</v>
      </c>
      <c r="P6790" s="345" t="s">
        <v>209</v>
      </c>
      <c r="Q6790" s="345" t="s">
        <v>210</v>
      </c>
      <c r="R6790" s="345" t="s">
        <v>223</v>
      </c>
      <c r="S6790" s="345" t="s">
        <v>224</v>
      </c>
    </row>
    <row r="6791" spans="1:19" x14ac:dyDescent="0.25">
      <c r="A6791" s="311"/>
      <c r="B6791" s="312"/>
      <c r="C6791" s="312"/>
      <c r="D6791" s="312"/>
      <c r="E6791" s="312"/>
      <c r="F6791" s="312"/>
      <c r="G6791" s="328"/>
      <c r="H6791" s="453"/>
      <c r="I6791" s="334"/>
      <c r="J6791" s="314"/>
      <c r="K6791" s="454"/>
      <c r="M6791" s="349" t="str">
        <f>N6791&amp;AS[[#This Row],[Insurer Code]]&amp;"; "&amp;O6791&amp;AS[[#This Row],[Reporting Year]]&amp;"; "&amp;P6791&amp;AS[[#This Row],[Insurance Category Code]]&amp;"; "&amp;Q6791&amp;AS[[#This Row],[Large Provider Entity Code]]&amp;"; "&amp;R6791&amp;AS[[#This Row],[Age Band Code]]&amp;"; "&amp;S6791&amp;AS[[#This Row],[Sex Code]]</f>
        <v xml:space="preserve">Insurer Code ; Reporting Year ; Insurance Category Code ; Large Provider Entity Code ; Age Band Code ; Sex Code </v>
      </c>
      <c r="N6791" s="345" t="s">
        <v>207</v>
      </c>
      <c r="O6791" s="345" t="s">
        <v>208</v>
      </c>
      <c r="P6791" s="345" t="s">
        <v>209</v>
      </c>
      <c r="Q6791" s="345" t="s">
        <v>210</v>
      </c>
      <c r="R6791" s="345" t="s">
        <v>223</v>
      </c>
      <c r="S6791" s="345" t="s">
        <v>224</v>
      </c>
    </row>
    <row r="6792" spans="1:19" x14ac:dyDescent="0.25">
      <c r="A6792" s="311"/>
      <c r="B6792" s="312"/>
      <c r="C6792" s="312"/>
      <c r="D6792" s="312"/>
      <c r="E6792" s="312"/>
      <c r="F6792" s="312"/>
      <c r="G6792" s="328"/>
      <c r="H6792" s="453"/>
      <c r="I6792" s="334"/>
      <c r="J6792" s="314"/>
      <c r="K6792" s="454"/>
      <c r="M6792" s="349" t="str">
        <f>N6792&amp;AS[[#This Row],[Insurer Code]]&amp;"; "&amp;O6792&amp;AS[[#This Row],[Reporting Year]]&amp;"; "&amp;P6792&amp;AS[[#This Row],[Insurance Category Code]]&amp;"; "&amp;Q6792&amp;AS[[#This Row],[Large Provider Entity Code]]&amp;"; "&amp;R6792&amp;AS[[#This Row],[Age Band Code]]&amp;"; "&amp;S6792&amp;AS[[#This Row],[Sex Code]]</f>
        <v xml:space="preserve">Insurer Code ; Reporting Year ; Insurance Category Code ; Large Provider Entity Code ; Age Band Code ; Sex Code </v>
      </c>
      <c r="N6792" s="345" t="s">
        <v>207</v>
      </c>
      <c r="O6792" s="345" t="s">
        <v>208</v>
      </c>
      <c r="P6792" s="345" t="s">
        <v>209</v>
      </c>
      <c r="Q6792" s="345" t="s">
        <v>210</v>
      </c>
      <c r="R6792" s="345" t="s">
        <v>223</v>
      </c>
      <c r="S6792" s="345" t="s">
        <v>224</v>
      </c>
    </row>
    <row r="6793" spans="1:19" x14ac:dyDescent="0.25">
      <c r="A6793" s="311"/>
      <c r="B6793" s="312"/>
      <c r="C6793" s="312"/>
      <c r="D6793" s="312"/>
      <c r="E6793" s="312"/>
      <c r="F6793" s="312"/>
      <c r="G6793" s="328"/>
      <c r="H6793" s="453"/>
      <c r="I6793" s="334"/>
      <c r="J6793" s="314"/>
      <c r="K6793" s="454"/>
      <c r="M6793" s="349" t="str">
        <f>N6793&amp;AS[[#This Row],[Insurer Code]]&amp;"; "&amp;O6793&amp;AS[[#This Row],[Reporting Year]]&amp;"; "&amp;P6793&amp;AS[[#This Row],[Insurance Category Code]]&amp;"; "&amp;Q6793&amp;AS[[#This Row],[Large Provider Entity Code]]&amp;"; "&amp;R6793&amp;AS[[#This Row],[Age Band Code]]&amp;"; "&amp;S6793&amp;AS[[#This Row],[Sex Code]]</f>
        <v xml:space="preserve">Insurer Code ; Reporting Year ; Insurance Category Code ; Large Provider Entity Code ; Age Band Code ; Sex Code </v>
      </c>
      <c r="N6793" s="345" t="s">
        <v>207</v>
      </c>
      <c r="O6793" s="345" t="s">
        <v>208</v>
      </c>
      <c r="P6793" s="345" t="s">
        <v>209</v>
      </c>
      <c r="Q6793" s="345" t="s">
        <v>210</v>
      </c>
      <c r="R6793" s="345" t="s">
        <v>223</v>
      </c>
      <c r="S6793" s="345" t="s">
        <v>224</v>
      </c>
    </row>
    <row r="6794" spans="1:19" x14ac:dyDescent="0.25">
      <c r="A6794" s="311"/>
      <c r="B6794" s="312"/>
      <c r="C6794" s="312"/>
      <c r="D6794" s="312"/>
      <c r="E6794" s="312"/>
      <c r="F6794" s="312"/>
      <c r="G6794" s="328"/>
      <c r="H6794" s="453"/>
      <c r="I6794" s="334"/>
      <c r="J6794" s="314"/>
      <c r="K6794" s="454"/>
      <c r="M6794" s="349" t="str">
        <f>N6794&amp;AS[[#This Row],[Insurer Code]]&amp;"; "&amp;O6794&amp;AS[[#This Row],[Reporting Year]]&amp;"; "&amp;P6794&amp;AS[[#This Row],[Insurance Category Code]]&amp;"; "&amp;Q6794&amp;AS[[#This Row],[Large Provider Entity Code]]&amp;"; "&amp;R6794&amp;AS[[#This Row],[Age Band Code]]&amp;"; "&amp;S6794&amp;AS[[#This Row],[Sex Code]]</f>
        <v xml:space="preserve">Insurer Code ; Reporting Year ; Insurance Category Code ; Large Provider Entity Code ; Age Band Code ; Sex Code </v>
      </c>
      <c r="N6794" s="345" t="s">
        <v>207</v>
      </c>
      <c r="O6794" s="345" t="s">
        <v>208</v>
      </c>
      <c r="P6794" s="345" t="s">
        <v>209</v>
      </c>
      <c r="Q6794" s="345" t="s">
        <v>210</v>
      </c>
      <c r="R6794" s="345" t="s">
        <v>223</v>
      </c>
      <c r="S6794" s="345" t="s">
        <v>224</v>
      </c>
    </row>
    <row r="6795" spans="1:19" x14ac:dyDescent="0.25">
      <c r="A6795" s="311"/>
      <c r="B6795" s="312"/>
      <c r="C6795" s="312"/>
      <c r="D6795" s="312"/>
      <c r="E6795" s="312"/>
      <c r="F6795" s="312"/>
      <c r="G6795" s="328"/>
      <c r="H6795" s="453"/>
      <c r="I6795" s="334"/>
      <c r="J6795" s="314"/>
      <c r="K6795" s="454"/>
      <c r="M6795" s="349" t="str">
        <f>N6795&amp;AS[[#This Row],[Insurer Code]]&amp;"; "&amp;O6795&amp;AS[[#This Row],[Reporting Year]]&amp;"; "&amp;P6795&amp;AS[[#This Row],[Insurance Category Code]]&amp;"; "&amp;Q6795&amp;AS[[#This Row],[Large Provider Entity Code]]&amp;"; "&amp;R6795&amp;AS[[#This Row],[Age Band Code]]&amp;"; "&amp;S6795&amp;AS[[#This Row],[Sex Code]]</f>
        <v xml:space="preserve">Insurer Code ; Reporting Year ; Insurance Category Code ; Large Provider Entity Code ; Age Band Code ; Sex Code </v>
      </c>
      <c r="N6795" s="345" t="s">
        <v>207</v>
      </c>
      <c r="O6795" s="345" t="s">
        <v>208</v>
      </c>
      <c r="P6795" s="345" t="s">
        <v>209</v>
      </c>
      <c r="Q6795" s="345" t="s">
        <v>210</v>
      </c>
      <c r="R6795" s="345" t="s">
        <v>223</v>
      </c>
      <c r="S6795" s="345" t="s">
        <v>224</v>
      </c>
    </row>
    <row r="6796" spans="1:19" x14ac:dyDescent="0.25">
      <c r="A6796" s="311"/>
      <c r="B6796" s="312"/>
      <c r="C6796" s="312"/>
      <c r="D6796" s="312"/>
      <c r="E6796" s="312"/>
      <c r="F6796" s="312"/>
      <c r="G6796" s="328"/>
      <c r="H6796" s="453"/>
      <c r="I6796" s="334"/>
      <c r="J6796" s="314"/>
      <c r="K6796" s="454"/>
      <c r="M6796" s="349" t="str">
        <f>N6796&amp;AS[[#This Row],[Insurer Code]]&amp;"; "&amp;O6796&amp;AS[[#This Row],[Reporting Year]]&amp;"; "&amp;P6796&amp;AS[[#This Row],[Insurance Category Code]]&amp;"; "&amp;Q6796&amp;AS[[#This Row],[Large Provider Entity Code]]&amp;"; "&amp;R6796&amp;AS[[#This Row],[Age Band Code]]&amp;"; "&amp;S6796&amp;AS[[#This Row],[Sex Code]]</f>
        <v xml:space="preserve">Insurer Code ; Reporting Year ; Insurance Category Code ; Large Provider Entity Code ; Age Band Code ; Sex Code </v>
      </c>
      <c r="N6796" s="345" t="s">
        <v>207</v>
      </c>
      <c r="O6796" s="345" t="s">
        <v>208</v>
      </c>
      <c r="P6796" s="345" t="s">
        <v>209</v>
      </c>
      <c r="Q6796" s="345" t="s">
        <v>210</v>
      </c>
      <c r="R6796" s="345" t="s">
        <v>223</v>
      </c>
      <c r="S6796" s="345" t="s">
        <v>224</v>
      </c>
    </row>
    <row r="6797" spans="1:19" x14ac:dyDescent="0.25">
      <c r="A6797" s="311"/>
      <c r="B6797" s="312"/>
      <c r="C6797" s="312"/>
      <c r="D6797" s="312"/>
      <c r="E6797" s="312"/>
      <c r="F6797" s="312"/>
      <c r="G6797" s="328"/>
      <c r="H6797" s="453"/>
      <c r="I6797" s="334"/>
      <c r="J6797" s="314"/>
      <c r="K6797" s="454"/>
      <c r="M6797" s="349" t="str">
        <f>N6797&amp;AS[[#This Row],[Insurer Code]]&amp;"; "&amp;O6797&amp;AS[[#This Row],[Reporting Year]]&amp;"; "&amp;P6797&amp;AS[[#This Row],[Insurance Category Code]]&amp;"; "&amp;Q6797&amp;AS[[#This Row],[Large Provider Entity Code]]&amp;"; "&amp;R6797&amp;AS[[#This Row],[Age Band Code]]&amp;"; "&amp;S6797&amp;AS[[#This Row],[Sex Code]]</f>
        <v xml:space="preserve">Insurer Code ; Reporting Year ; Insurance Category Code ; Large Provider Entity Code ; Age Band Code ; Sex Code </v>
      </c>
      <c r="N6797" s="345" t="s">
        <v>207</v>
      </c>
      <c r="O6797" s="345" t="s">
        <v>208</v>
      </c>
      <c r="P6797" s="345" t="s">
        <v>209</v>
      </c>
      <c r="Q6797" s="345" t="s">
        <v>210</v>
      </c>
      <c r="R6797" s="345" t="s">
        <v>223</v>
      </c>
      <c r="S6797" s="345" t="s">
        <v>224</v>
      </c>
    </row>
    <row r="6798" spans="1:19" x14ac:dyDescent="0.25">
      <c r="A6798" s="311"/>
      <c r="B6798" s="312"/>
      <c r="C6798" s="312"/>
      <c r="D6798" s="312"/>
      <c r="E6798" s="312"/>
      <c r="F6798" s="312"/>
      <c r="G6798" s="328"/>
      <c r="H6798" s="453"/>
      <c r="I6798" s="334"/>
      <c r="J6798" s="314"/>
      <c r="K6798" s="454"/>
      <c r="M6798" s="349" t="str">
        <f>N6798&amp;AS[[#This Row],[Insurer Code]]&amp;"; "&amp;O6798&amp;AS[[#This Row],[Reporting Year]]&amp;"; "&amp;P6798&amp;AS[[#This Row],[Insurance Category Code]]&amp;"; "&amp;Q6798&amp;AS[[#This Row],[Large Provider Entity Code]]&amp;"; "&amp;R6798&amp;AS[[#This Row],[Age Band Code]]&amp;"; "&amp;S6798&amp;AS[[#This Row],[Sex Code]]</f>
        <v xml:space="preserve">Insurer Code ; Reporting Year ; Insurance Category Code ; Large Provider Entity Code ; Age Band Code ; Sex Code </v>
      </c>
      <c r="N6798" s="345" t="s">
        <v>207</v>
      </c>
      <c r="O6798" s="345" t="s">
        <v>208</v>
      </c>
      <c r="P6798" s="345" t="s">
        <v>209</v>
      </c>
      <c r="Q6798" s="345" t="s">
        <v>210</v>
      </c>
      <c r="R6798" s="345" t="s">
        <v>223</v>
      </c>
      <c r="S6798" s="345" t="s">
        <v>224</v>
      </c>
    </row>
    <row r="6799" spans="1:19" x14ac:dyDescent="0.25">
      <c r="A6799" s="311"/>
      <c r="B6799" s="312"/>
      <c r="C6799" s="312"/>
      <c r="D6799" s="312"/>
      <c r="E6799" s="312"/>
      <c r="F6799" s="312"/>
      <c r="G6799" s="328"/>
      <c r="H6799" s="453"/>
      <c r="I6799" s="334"/>
      <c r="J6799" s="314"/>
      <c r="K6799" s="454"/>
      <c r="M6799" s="349" t="str">
        <f>N6799&amp;AS[[#This Row],[Insurer Code]]&amp;"; "&amp;O6799&amp;AS[[#This Row],[Reporting Year]]&amp;"; "&amp;P6799&amp;AS[[#This Row],[Insurance Category Code]]&amp;"; "&amp;Q6799&amp;AS[[#This Row],[Large Provider Entity Code]]&amp;"; "&amp;R6799&amp;AS[[#This Row],[Age Band Code]]&amp;"; "&amp;S6799&amp;AS[[#This Row],[Sex Code]]</f>
        <v xml:space="preserve">Insurer Code ; Reporting Year ; Insurance Category Code ; Large Provider Entity Code ; Age Band Code ; Sex Code </v>
      </c>
      <c r="N6799" s="345" t="s">
        <v>207</v>
      </c>
      <c r="O6799" s="345" t="s">
        <v>208</v>
      </c>
      <c r="P6799" s="345" t="s">
        <v>209</v>
      </c>
      <c r="Q6799" s="345" t="s">
        <v>210</v>
      </c>
      <c r="R6799" s="345" t="s">
        <v>223</v>
      </c>
      <c r="S6799" s="345" t="s">
        <v>224</v>
      </c>
    </row>
    <row r="6800" spans="1:19" x14ac:dyDescent="0.25">
      <c r="A6800" s="311"/>
      <c r="B6800" s="312"/>
      <c r="C6800" s="312"/>
      <c r="D6800" s="312"/>
      <c r="E6800" s="312"/>
      <c r="F6800" s="312"/>
      <c r="G6800" s="328"/>
      <c r="H6800" s="453"/>
      <c r="I6800" s="334"/>
      <c r="J6800" s="314"/>
      <c r="K6800" s="454"/>
      <c r="M6800" s="349" t="str">
        <f>N6800&amp;AS[[#This Row],[Insurer Code]]&amp;"; "&amp;O6800&amp;AS[[#This Row],[Reporting Year]]&amp;"; "&amp;P6800&amp;AS[[#This Row],[Insurance Category Code]]&amp;"; "&amp;Q6800&amp;AS[[#This Row],[Large Provider Entity Code]]&amp;"; "&amp;R6800&amp;AS[[#This Row],[Age Band Code]]&amp;"; "&amp;S6800&amp;AS[[#This Row],[Sex Code]]</f>
        <v xml:space="preserve">Insurer Code ; Reporting Year ; Insurance Category Code ; Large Provider Entity Code ; Age Band Code ; Sex Code </v>
      </c>
      <c r="N6800" s="345" t="s">
        <v>207</v>
      </c>
      <c r="O6800" s="345" t="s">
        <v>208</v>
      </c>
      <c r="P6800" s="345" t="s">
        <v>209</v>
      </c>
      <c r="Q6800" s="345" t="s">
        <v>210</v>
      </c>
      <c r="R6800" s="345" t="s">
        <v>223</v>
      </c>
      <c r="S6800" s="345" t="s">
        <v>224</v>
      </c>
    </row>
    <row r="6801" spans="1:19" x14ac:dyDescent="0.25">
      <c r="A6801" s="311"/>
      <c r="B6801" s="312"/>
      <c r="C6801" s="312"/>
      <c r="D6801" s="312"/>
      <c r="E6801" s="312"/>
      <c r="F6801" s="312"/>
      <c r="G6801" s="328"/>
      <c r="H6801" s="453"/>
      <c r="I6801" s="334"/>
      <c r="J6801" s="314"/>
      <c r="K6801" s="454"/>
      <c r="M6801" s="349" t="str">
        <f>N6801&amp;AS[[#This Row],[Insurer Code]]&amp;"; "&amp;O6801&amp;AS[[#This Row],[Reporting Year]]&amp;"; "&amp;P6801&amp;AS[[#This Row],[Insurance Category Code]]&amp;"; "&amp;Q6801&amp;AS[[#This Row],[Large Provider Entity Code]]&amp;"; "&amp;R6801&amp;AS[[#This Row],[Age Band Code]]&amp;"; "&amp;S6801&amp;AS[[#This Row],[Sex Code]]</f>
        <v xml:space="preserve">Insurer Code ; Reporting Year ; Insurance Category Code ; Large Provider Entity Code ; Age Band Code ; Sex Code </v>
      </c>
      <c r="N6801" s="345" t="s">
        <v>207</v>
      </c>
      <c r="O6801" s="345" t="s">
        <v>208</v>
      </c>
      <c r="P6801" s="345" t="s">
        <v>209</v>
      </c>
      <c r="Q6801" s="345" t="s">
        <v>210</v>
      </c>
      <c r="R6801" s="345" t="s">
        <v>223</v>
      </c>
      <c r="S6801" s="345" t="s">
        <v>224</v>
      </c>
    </row>
    <row r="6802" spans="1:19" x14ac:dyDescent="0.25">
      <c r="A6802" s="311"/>
      <c r="B6802" s="312"/>
      <c r="C6802" s="312"/>
      <c r="D6802" s="312"/>
      <c r="E6802" s="312"/>
      <c r="F6802" s="312"/>
      <c r="G6802" s="328"/>
      <c r="H6802" s="453"/>
      <c r="I6802" s="334"/>
      <c r="J6802" s="314"/>
      <c r="K6802" s="454"/>
      <c r="M6802" s="349" t="str">
        <f>N6802&amp;AS[[#This Row],[Insurer Code]]&amp;"; "&amp;O6802&amp;AS[[#This Row],[Reporting Year]]&amp;"; "&amp;P6802&amp;AS[[#This Row],[Insurance Category Code]]&amp;"; "&amp;Q6802&amp;AS[[#This Row],[Large Provider Entity Code]]&amp;"; "&amp;R6802&amp;AS[[#This Row],[Age Band Code]]&amp;"; "&amp;S6802&amp;AS[[#This Row],[Sex Code]]</f>
        <v xml:space="preserve">Insurer Code ; Reporting Year ; Insurance Category Code ; Large Provider Entity Code ; Age Band Code ; Sex Code </v>
      </c>
      <c r="N6802" s="345" t="s">
        <v>207</v>
      </c>
      <c r="O6802" s="345" t="s">
        <v>208</v>
      </c>
      <c r="P6802" s="345" t="s">
        <v>209</v>
      </c>
      <c r="Q6802" s="345" t="s">
        <v>210</v>
      </c>
      <c r="R6802" s="345" t="s">
        <v>223</v>
      </c>
      <c r="S6802" s="345" t="s">
        <v>224</v>
      </c>
    </row>
    <row r="6803" spans="1:19" x14ac:dyDescent="0.25">
      <c r="A6803" s="311"/>
      <c r="B6803" s="312"/>
      <c r="C6803" s="312"/>
      <c r="D6803" s="312"/>
      <c r="E6803" s="312"/>
      <c r="F6803" s="312"/>
      <c r="G6803" s="328"/>
      <c r="H6803" s="453"/>
      <c r="I6803" s="334"/>
      <c r="J6803" s="314"/>
      <c r="K6803" s="454"/>
      <c r="M6803" s="349" t="str">
        <f>N6803&amp;AS[[#This Row],[Insurer Code]]&amp;"; "&amp;O6803&amp;AS[[#This Row],[Reporting Year]]&amp;"; "&amp;P6803&amp;AS[[#This Row],[Insurance Category Code]]&amp;"; "&amp;Q6803&amp;AS[[#This Row],[Large Provider Entity Code]]&amp;"; "&amp;R6803&amp;AS[[#This Row],[Age Band Code]]&amp;"; "&amp;S6803&amp;AS[[#This Row],[Sex Code]]</f>
        <v xml:space="preserve">Insurer Code ; Reporting Year ; Insurance Category Code ; Large Provider Entity Code ; Age Band Code ; Sex Code </v>
      </c>
      <c r="N6803" s="345" t="s">
        <v>207</v>
      </c>
      <c r="O6803" s="345" t="s">
        <v>208</v>
      </c>
      <c r="P6803" s="345" t="s">
        <v>209</v>
      </c>
      <c r="Q6803" s="345" t="s">
        <v>210</v>
      </c>
      <c r="R6803" s="345" t="s">
        <v>223</v>
      </c>
      <c r="S6803" s="345" t="s">
        <v>224</v>
      </c>
    </row>
    <row r="6804" spans="1:19" x14ac:dyDescent="0.25">
      <c r="A6804" s="311"/>
      <c r="B6804" s="312"/>
      <c r="C6804" s="312"/>
      <c r="D6804" s="312"/>
      <c r="E6804" s="312"/>
      <c r="F6804" s="312"/>
      <c r="G6804" s="328"/>
      <c r="H6804" s="453"/>
      <c r="I6804" s="334"/>
      <c r="J6804" s="314"/>
      <c r="K6804" s="454"/>
      <c r="M6804" s="349" t="str">
        <f>N6804&amp;AS[[#This Row],[Insurer Code]]&amp;"; "&amp;O6804&amp;AS[[#This Row],[Reporting Year]]&amp;"; "&amp;P6804&amp;AS[[#This Row],[Insurance Category Code]]&amp;"; "&amp;Q6804&amp;AS[[#This Row],[Large Provider Entity Code]]&amp;"; "&amp;R6804&amp;AS[[#This Row],[Age Band Code]]&amp;"; "&amp;S6804&amp;AS[[#This Row],[Sex Code]]</f>
        <v xml:space="preserve">Insurer Code ; Reporting Year ; Insurance Category Code ; Large Provider Entity Code ; Age Band Code ; Sex Code </v>
      </c>
      <c r="N6804" s="345" t="s">
        <v>207</v>
      </c>
      <c r="O6804" s="345" t="s">
        <v>208</v>
      </c>
      <c r="P6804" s="345" t="s">
        <v>209</v>
      </c>
      <c r="Q6804" s="345" t="s">
        <v>210</v>
      </c>
      <c r="R6804" s="345" t="s">
        <v>223</v>
      </c>
      <c r="S6804" s="345" t="s">
        <v>224</v>
      </c>
    </row>
    <row r="6805" spans="1:19" x14ac:dyDescent="0.25">
      <c r="A6805" s="311"/>
      <c r="B6805" s="312"/>
      <c r="C6805" s="312"/>
      <c r="D6805" s="312"/>
      <c r="E6805" s="312"/>
      <c r="F6805" s="312"/>
      <c r="G6805" s="328"/>
      <c r="H6805" s="453"/>
      <c r="I6805" s="334"/>
      <c r="J6805" s="314"/>
      <c r="K6805" s="454"/>
      <c r="M6805" s="349" t="str">
        <f>N6805&amp;AS[[#This Row],[Insurer Code]]&amp;"; "&amp;O6805&amp;AS[[#This Row],[Reporting Year]]&amp;"; "&amp;P6805&amp;AS[[#This Row],[Insurance Category Code]]&amp;"; "&amp;Q6805&amp;AS[[#This Row],[Large Provider Entity Code]]&amp;"; "&amp;R6805&amp;AS[[#This Row],[Age Band Code]]&amp;"; "&amp;S6805&amp;AS[[#This Row],[Sex Code]]</f>
        <v xml:space="preserve">Insurer Code ; Reporting Year ; Insurance Category Code ; Large Provider Entity Code ; Age Band Code ; Sex Code </v>
      </c>
      <c r="N6805" s="345" t="s">
        <v>207</v>
      </c>
      <c r="O6805" s="345" t="s">
        <v>208</v>
      </c>
      <c r="P6805" s="345" t="s">
        <v>209</v>
      </c>
      <c r="Q6805" s="345" t="s">
        <v>210</v>
      </c>
      <c r="R6805" s="345" t="s">
        <v>223</v>
      </c>
      <c r="S6805" s="345" t="s">
        <v>224</v>
      </c>
    </row>
    <row r="6806" spans="1:19" x14ac:dyDescent="0.25">
      <c r="A6806" s="311"/>
      <c r="B6806" s="312"/>
      <c r="C6806" s="312"/>
      <c r="D6806" s="312"/>
      <c r="E6806" s="312"/>
      <c r="F6806" s="312"/>
      <c r="G6806" s="328"/>
      <c r="H6806" s="453"/>
      <c r="I6806" s="334"/>
      <c r="J6806" s="314"/>
      <c r="K6806" s="454"/>
      <c r="M6806" s="349" t="str">
        <f>N6806&amp;AS[[#This Row],[Insurer Code]]&amp;"; "&amp;O6806&amp;AS[[#This Row],[Reporting Year]]&amp;"; "&amp;P6806&amp;AS[[#This Row],[Insurance Category Code]]&amp;"; "&amp;Q6806&amp;AS[[#This Row],[Large Provider Entity Code]]&amp;"; "&amp;R6806&amp;AS[[#This Row],[Age Band Code]]&amp;"; "&amp;S6806&amp;AS[[#This Row],[Sex Code]]</f>
        <v xml:space="preserve">Insurer Code ; Reporting Year ; Insurance Category Code ; Large Provider Entity Code ; Age Band Code ; Sex Code </v>
      </c>
      <c r="N6806" s="345" t="s">
        <v>207</v>
      </c>
      <c r="O6806" s="345" t="s">
        <v>208</v>
      </c>
      <c r="P6806" s="345" t="s">
        <v>209</v>
      </c>
      <c r="Q6806" s="345" t="s">
        <v>210</v>
      </c>
      <c r="R6806" s="345" t="s">
        <v>223</v>
      </c>
      <c r="S6806" s="345" t="s">
        <v>224</v>
      </c>
    </row>
    <row r="6807" spans="1:19" x14ac:dyDescent="0.25">
      <c r="A6807" s="311"/>
      <c r="B6807" s="312"/>
      <c r="C6807" s="312"/>
      <c r="D6807" s="312"/>
      <c r="E6807" s="312"/>
      <c r="F6807" s="312"/>
      <c r="G6807" s="328"/>
      <c r="H6807" s="453"/>
      <c r="I6807" s="334"/>
      <c r="J6807" s="314"/>
      <c r="K6807" s="454"/>
      <c r="M6807" s="349" t="str">
        <f>N6807&amp;AS[[#This Row],[Insurer Code]]&amp;"; "&amp;O6807&amp;AS[[#This Row],[Reporting Year]]&amp;"; "&amp;P6807&amp;AS[[#This Row],[Insurance Category Code]]&amp;"; "&amp;Q6807&amp;AS[[#This Row],[Large Provider Entity Code]]&amp;"; "&amp;R6807&amp;AS[[#This Row],[Age Band Code]]&amp;"; "&amp;S6807&amp;AS[[#This Row],[Sex Code]]</f>
        <v xml:space="preserve">Insurer Code ; Reporting Year ; Insurance Category Code ; Large Provider Entity Code ; Age Band Code ; Sex Code </v>
      </c>
      <c r="N6807" s="345" t="s">
        <v>207</v>
      </c>
      <c r="O6807" s="345" t="s">
        <v>208</v>
      </c>
      <c r="P6807" s="345" t="s">
        <v>209</v>
      </c>
      <c r="Q6807" s="345" t="s">
        <v>210</v>
      </c>
      <c r="R6807" s="345" t="s">
        <v>223</v>
      </c>
      <c r="S6807" s="345" t="s">
        <v>224</v>
      </c>
    </row>
    <row r="6808" spans="1:19" x14ac:dyDescent="0.25">
      <c r="A6808" s="311"/>
      <c r="B6808" s="312"/>
      <c r="C6808" s="312"/>
      <c r="D6808" s="312"/>
      <c r="E6808" s="312"/>
      <c r="F6808" s="312"/>
      <c r="G6808" s="328"/>
      <c r="H6808" s="453"/>
      <c r="I6808" s="334"/>
      <c r="J6808" s="314"/>
      <c r="K6808" s="454"/>
      <c r="M6808" s="349" t="str">
        <f>N6808&amp;AS[[#This Row],[Insurer Code]]&amp;"; "&amp;O6808&amp;AS[[#This Row],[Reporting Year]]&amp;"; "&amp;P6808&amp;AS[[#This Row],[Insurance Category Code]]&amp;"; "&amp;Q6808&amp;AS[[#This Row],[Large Provider Entity Code]]&amp;"; "&amp;R6808&amp;AS[[#This Row],[Age Band Code]]&amp;"; "&amp;S6808&amp;AS[[#This Row],[Sex Code]]</f>
        <v xml:space="preserve">Insurer Code ; Reporting Year ; Insurance Category Code ; Large Provider Entity Code ; Age Band Code ; Sex Code </v>
      </c>
      <c r="N6808" s="345" t="s">
        <v>207</v>
      </c>
      <c r="O6808" s="345" t="s">
        <v>208</v>
      </c>
      <c r="P6808" s="345" t="s">
        <v>209</v>
      </c>
      <c r="Q6808" s="345" t="s">
        <v>210</v>
      </c>
      <c r="R6808" s="345" t="s">
        <v>223</v>
      </c>
      <c r="S6808" s="345" t="s">
        <v>224</v>
      </c>
    </row>
    <row r="6809" spans="1:19" x14ac:dyDescent="0.25">
      <c r="A6809" s="311"/>
      <c r="B6809" s="312"/>
      <c r="C6809" s="312"/>
      <c r="D6809" s="312"/>
      <c r="E6809" s="312"/>
      <c r="F6809" s="312"/>
      <c r="G6809" s="328"/>
      <c r="H6809" s="453"/>
      <c r="I6809" s="334"/>
      <c r="J6809" s="314"/>
      <c r="K6809" s="454"/>
      <c r="M6809" s="349" t="str">
        <f>N6809&amp;AS[[#This Row],[Insurer Code]]&amp;"; "&amp;O6809&amp;AS[[#This Row],[Reporting Year]]&amp;"; "&amp;P6809&amp;AS[[#This Row],[Insurance Category Code]]&amp;"; "&amp;Q6809&amp;AS[[#This Row],[Large Provider Entity Code]]&amp;"; "&amp;R6809&amp;AS[[#This Row],[Age Band Code]]&amp;"; "&amp;S6809&amp;AS[[#This Row],[Sex Code]]</f>
        <v xml:space="preserve">Insurer Code ; Reporting Year ; Insurance Category Code ; Large Provider Entity Code ; Age Band Code ; Sex Code </v>
      </c>
      <c r="N6809" s="345" t="s">
        <v>207</v>
      </c>
      <c r="O6809" s="345" t="s">
        <v>208</v>
      </c>
      <c r="P6809" s="345" t="s">
        <v>209</v>
      </c>
      <c r="Q6809" s="345" t="s">
        <v>210</v>
      </c>
      <c r="R6809" s="345" t="s">
        <v>223</v>
      </c>
      <c r="S6809" s="345" t="s">
        <v>224</v>
      </c>
    </row>
    <row r="6810" spans="1:19" x14ac:dyDescent="0.25">
      <c r="A6810" s="311"/>
      <c r="B6810" s="312"/>
      <c r="C6810" s="312"/>
      <c r="D6810" s="312"/>
      <c r="E6810" s="312"/>
      <c r="F6810" s="312"/>
      <c r="G6810" s="328"/>
      <c r="H6810" s="453"/>
      <c r="I6810" s="334"/>
      <c r="J6810" s="314"/>
      <c r="K6810" s="454"/>
      <c r="M6810" s="349" t="str">
        <f>N6810&amp;AS[[#This Row],[Insurer Code]]&amp;"; "&amp;O6810&amp;AS[[#This Row],[Reporting Year]]&amp;"; "&amp;P6810&amp;AS[[#This Row],[Insurance Category Code]]&amp;"; "&amp;Q6810&amp;AS[[#This Row],[Large Provider Entity Code]]&amp;"; "&amp;R6810&amp;AS[[#This Row],[Age Band Code]]&amp;"; "&amp;S6810&amp;AS[[#This Row],[Sex Code]]</f>
        <v xml:space="preserve">Insurer Code ; Reporting Year ; Insurance Category Code ; Large Provider Entity Code ; Age Band Code ; Sex Code </v>
      </c>
      <c r="N6810" s="345" t="s">
        <v>207</v>
      </c>
      <c r="O6810" s="345" t="s">
        <v>208</v>
      </c>
      <c r="P6810" s="345" t="s">
        <v>209</v>
      </c>
      <c r="Q6810" s="345" t="s">
        <v>210</v>
      </c>
      <c r="R6810" s="345" t="s">
        <v>223</v>
      </c>
      <c r="S6810" s="345" t="s">
        <v>224</v>
      </c>
    </row>
    <row r="6811" spans="1:19" x14ac:dyDescent="0.25">
      <c r="A6811" s="311"/>
      <c r="B6811" s="312"/>
      <c r="C6811" s="312"/>
      <c r="D6811" s="312"/>
      <c r="E6811" s="312"/>
      <c r="F6811" s="312"/>
      <c r="G6811" s="328"/>
      <c r="H6811" s="453"/>
      <c r="I6811" s="334"/>
      <c r="J6811" s="314"/>
      <c r="K6811" s="454"/>
      <c r="M6811" s="349" t="str">
        <f>N6811&amp;AS[[#This Row],[Insurer Code]]&amp;"; "&amp;O6811&amp;AS[[#This Row],[Reporting Year]]&amp;"; "&amp;P6811&amp;AS[[#This Row],[Insurance Category Code]]&amp;"; "&amp;Q6811&amp;AS[[#This Row],[Large Provider Entity Code]]&amp;"; "&amp;R6811&amp;AS[[#This Row],[Age Band Code]]&amp;"; "&amp;S6811&amp;AS[[#This Row],[Sex Code]]</f>
        <v xml:space="preserve">Insurer Code ; Reporting Year ; Insurance Category Code ; Large Provider Entity Code ; Age Band Code ; Sex Code </v>
      </c>
      <c r="N6811" s="345" t="s">
        <v>207</v>
      </c>
      <c r="O6811" s="345" t="s">
        <v>208</v>
      </c>
      <c r="P6811" s="345" t="s">
        <v>209</v>
      </c>
      <c r="Q6811" s="345" t="s">
        <v>210</v>
      </c>
      <c r="R6811" s="345" t="s">
        <v>223</v>
      </c>
      <c r="S6811" s="345" t="s">
        <v>224</v>
      </c>
    </row>
    <row r="6812" spans="1:19" x14ac:dyDescent="0.25">
      <c r="A6812" s="311"/>
      <c r="B6812" s="312"/>
      <c r="C6812" s="312"/>
      <c r="D6812" s="312"/>
      <c r="E6812" s="312"/>
      <c r="F6812" s="312"/>
      <c r="G6812" s="328"/>
      <c r="H6812" s="453"/>
      <c r="I6812" s="334"/>
      <c r="J6812" s="314"/>
      <c r="K6812" s="454"/>
      <c r="M6812" s="349" t="str">
        <f>N6812&amp;AS[[#This Row],[Insurer Code]]&amp;"; "&amp;O6812&amp;AS[[#This Row],[Reporting Year]]&amp;"; "&amp;P6812&amp;AS[[#This Row],[Insurance Category Code]]&amp;"; "&amp;Q6812&amp;AS[[#This Row],[Large Provider Entity Code]]&amp;"; "&amp;R6812&amp;AS[[#This Row],[Age Band Code]]&amp;"; "&amp;S6812&amp;AS[[#This Row],[Sex Code]]</f>
        <v xml:space="preserve">Insurer Code ; Reporting Year ; Insurance Category Code ; Large Provider Entity Code ; Age Band Code ; Sex Code </v>
      </c>
      <c r="N6812" s="345" t="s">
        <v>207</v>
      </c>
      <c r="O6812" s="345" t="s">
        <v>208</v>
      </c>
      <c r="P6812" s="345" t="s">
        <v>209</v>
      </c>
      <c r="Q6812" s="345" t="s">
        <v>210</v>
      </c>
      <c r="R6812" s="345" t="s">
        <v>223</v>
      </c>
      <c r="S6812" s="345" t="s">
        <v>224</v>
      </c>
    </row>
    <row r="6813" spans="1:19" x14ac:dyDescent="0.25">
      <c r="A6813" s="311"/>
      <c r="B6813" s="312"/>
      <c r="C6813" s="312"/>
      <c r="D6813" s="312"/>
      <c r="E6813" s="312"/>
      <c r="F6813" s="312"/>
      <c r="G6813" s="328"/>
      <c r="H6813" s="453"/>
      <c r="I6813" s="334"/>
      <c r="J6813" s="314"/>
      <c r="K6813" s="454"/>
      <c r="M6813" s="349" t="str">
        <f>N6813&amp;AS[[#This Row],[Insurer Code]]&amp;"; "&amp;O6813&amp;AS[[#This Row],[Reporting Year]]&amp;"; "&amp;P6813&amp;AS[[#This Row],[Insurance Category Code]]&amp;"; "&amp;Q6813&amp;AS[[#This Row],[Large Provider Entity Code]]&amp;"; "&amp;R6813&amp;AS[[#This Row],[Age Band Code]]&amp;"; "&amp;S6813&amp;AS[[#This Row],[Sex Code]]</f>
        <v xml:space="preserve">Insurer Code ; Reporting Year ; Insurance Category Code ; Large Provider Entity Code ; Age Band Code ; Sex Code </v>
      </c>
      <c r="N6813" s="345" t="s">
        <v>207</v>
      </c>
      <c r="O6813" s="345" t="s">
        <v>208</v>
      </c>
      <c r="P6813" s="345" t="s">
        <v>209</v>
      </c>
      <c r="Q6813" s="345" t="s">
        <v>210</v>
      </c>
      <c r="R6813" s="345" t="s">
        <v>223</v>
      </c>
      <c r="S6813" s="345" t="s">
        <v>224</v>
      </c>
    </row>
    <row r="6814" spans="1:19" x14ac:dyDescent="0.25">
      <c r="A6814" s="311"/>
      <c r="B6814" s="312"/>
      <c r="C6814" s="312"/>
      <c r="D6814" s="312"/>
      <c r="E6814" s="312"/>
      <c r="F6814" s="312"/>
      <c r="G6814" s="328"/>
      <c r="H6814" s="453"/>
      <c r="I6814" s="334"/>
      <c r="J6814" s="314"/>
      <c r="K6814" s="454"/>
      <c r="M6814" s="349" t="str">
        <f>N6814&amp;AS[[#This Row],[Insurer Code]]&amp;"; "&amp;O6814&amp;AS[[#This Row],[Reporting Year]]&amp;"; "&amp;P6814&amp;AS[[#This Row],[Insurance Category Code]]&amp;"; "&amp;Q6814&amp;AS[[#This Row],[Large Provider Entity Code]]&amp;"; "&amp;R6814&amp;AS[[#This Row],[Age Band Code]]&amp;"; "&amp;S6814&amp;AS[[#This Row],[Sex Code]]</f>
        <v xml:space="preserve">Insurer Code ; Reporting Year ; Insurance Category Code ; Large Provider Entity Code ; Age Band Code ; Sex Code </v>
      </c>
      <c r="N6814" s="345" t="s">
        <v>207</v>
      </c>
      <c r="O6814" s="345" t="s">
        <v>208</v>
      </c>
      <c r="P6814" s="345" t="s">
        <v>209</v>
      </c>
      <c r="Q6814" s="345" t="s">
        <v>210</v>
      </c>
      <c r="R6814" s="345" t="s">
        <v>223</v>
      </c>
      <c r="S6814" s="345" t="s">
        <v>224</v>
      </c>
    </row>
    <row r="6815" spans="1:19" x14ac:dyDescent="0.25">
      <c r="A6815" s="311"/>
      <c r="B6815" s="312"/>
      <c r="C6815" s="312"/>
      <c r="D6815" s="312"/>
      <c r="E6815" s="312"/>
      <c r="F6815" s="312"/>
      <c r="G6815" s="328"/>
      <c r="H6815" s="453"/>
      <c r="I6815" s="334"/>
      <c r="J6815" s="314"/>
      <c r="K6815" s="454"/>
      <c r="M6815" s="349" t="str">
        <f>N6815&amp;AS[[#This Row],[Insurer Code]]&amp;"; "&amp;O6815&amp;AS[[#This Row],[Reporting Year]]&amp;"; "&amp;P6815&amp;AS[[#This Row],[Insurance Category Code]]&amp;"; "&amp;Q6815&amp;AS[[#This Row],[Large Provider Entity Code]]&amp;"; "&amp;R6815&amp;AS[[#This Row],[Age Band Code]]&amp;"; "&amp;S6815&amp;AS[[#This Row],[Sex Code]]</f>
        <v xml:space="preserve">Insurer Code ; Reporting Year ; Insurance Category Code ; Large Provider Entity Code ; Age Band Code ; Sex Code </v>
      </c>
      <c r="N6815" s="345" t="s">
        <v>207</v>
      </c>
      <c r="O6815" s="345" t="s">
        <v>208</v>
      </c>
      <c r="P6815" s="345" t="s">
        <v>209</v>
      </c>
      <c r="Q6815" s="345" t="s">
        <v>210</v>
      </c>
      <c r="R6815" s="345" t="s">
        <v>223</v>
      </c>
      <c r="S6815" s="345" t="s">
        <v>224</v>
      </c>
    </row>
    <row r="6816" spans="1:19" x14ac:dyDescent="0.25">
      <c r="A6816" s="311"/>
      <c r="B6816" s="312"/>
      <c r="C6816" s="312"/>
      <c r="D6816" s="312"/>
      <c r="E6816" s="312"/>
      <c r="F6816" s="312"/>
      <c r="G6816" s="328"/>
      <c r="H6816" s="453"/>
      <c r="I6816" s="334"/>
      <c r="J6816" s="314"/>
      <c r="K6816" s="454"/>
      <c r="M6816" s="349" t="str">
        <f>N6816&amp;AS[[#This Row],[Insurer Code]]&amp;"; "&amp;O6816&amp;AS[[#This Row],[Reporting Year]]&amp;"; "&amp;P6816&amp;AS[[#This Row],[Insurance Category Code]]&amp;"; "&amp;Q6816&amp;AS[[#This Row],[Large Provider Entity Code]]&amp;"; "&amp;R6816&amp;AS[[#This Row],[Age Band Code]]&amp;"; "&amp;S6816&amp;AS[[#This Row],[Sex Code]]</f>
        <v xml:space="preserve">Insurer Code ; Reporting Year ; Insurance Category Code ; Large Provider Entity Code ; Age Band Code ; Sex Code </v>
      </c>
      <c r="N6816" s="345" t="s">
        <v>207</v>
      </c>
      <c r="O6816" s="345" t="s">
        <v>208</v>
      </c>
      <c r="P6816" s="345" t="s">
        <v>209</v>
      </c>
      <c r="Q6816" s="345" t="s">
        <v>210</v>
      </c>
      <c r="R6816" s="345" t="s">
        <v>223</v>
      </c>
      <c r="S6816" s="345" t="s">
        <v>224</v>
      </c>
    </row>
    <row r="6817" spans="1:19" x14ac:dyDescent="0.25">
      <c r="A6817" s="311"/>
      <c r="B6817" s="312"/>
      <c r="C6817" s="312"/>
      <c r="D6817" s="312"/>
      <c r="E6817" s="312"/>
      <c r="F6817" s="312"/>
      <c r="G6817" s="328"/>
      <c r="H6817" s="453"/>
      <c r="I6817" s="334"/>
      <c r="J6817" s="314"/>
      <c r="K6817" s="454"/>
      <c r="M6817" s="349" t="str">
        <f>N6817&amp;AS[[#This Row],[Insurer Code]]&amp;"; "&amp;O6817&amp;AS[[#This Row],[Reporting Year]]&amp;"; "&amp;P6817&amp;AS[[#This Row],[Insurance Category Code]]&amp;"; "&amp;Q6817&amp;AS[[#This Row],[Large Provider Entity Code]]&amp;"; "&amp;R6817&amp;AS[[#This Row],[Age Band Code]]&amp;"; "&amp;S6817&amp;AS[[#This Row],[Sex Code]]</f>
        <v xml:space="preserve">Insurer Code ; Reporting Year ; Insurance Category Code ; Large Provider Entity Code ; Age Band Code ; Sex Code </v>
      </c>
      <c r="N6817" s="345" t="s">
        <v>207</v>
      </c>
      <c r="O6817" s="345" t="s">
        <v>208</v>
      </c>
      <c r="P6817" s="345" t="s">
        <v>209</v>
      </c>
      <c r="Q6817" s="345" t="s">
        <v>210</v>
      </c>
      <c r="R6817" s="345" t="s">
        <v>223</v>
      </c>
      <c r="S6817" s="345" t="s">
        <v>224</v>
      </c>
    </row>
    <row r="6818" spans="1:19" x14ac:dyDescent="0.25">
      <c r="A6818" s="311"/>
      <c r="B6818" s="312"/>
      <c r="C6818" s="312"/>
      <c r="D6818" s="312"/>
      <c r="E6818" s="312"/>
      <c r="F6818" s="312"/>
      <c r="G6818" s="328"/>
      <c r="H6818" s="453"/>
      <c r="I6818" s="334"/>
      <c r="J6818" s="314"/>
      <c r="K6818" s="454"/>
      <c r="M6818" s="349" t="str">
        <f>N6818&amp;AS[[#This Row],[Insurer Code]]&amp;"; "&amp;O6818&amp;AS[[#This Row],[Reporting Year]]&amp;"; "&amp;P6818&amp;AS[[#This Row],[Insurance Category Code]]&amp;"; "&amp;Q6818&amp;AS[[#This Row],[Large Provider Entity Code]]&amp;"; "&amp;R6818&amp;AS[[#This Row],[Age Band Code]]&amp;"; "&amp;S6818&amp;AS[[#This Row],[Sex Code]]</f>
        <v xml:space="preserve">Insurer Code ; Reporting Year ; Insurance Category Code ; Large Provider Entity Code ; Age Band Code ; Sex Code </v>
      </c>
      <c r="N6818" s="345" t="s">
        <v>207</v>
      </c>
      <c r="O6818" s="345" t="s">
        <v>208</v>
      </c>
      <c r="P6818" s="345" t="s">
        <v>209</v>
      </c>
      <c r="Q6818" s="345" t="s">
        <v>210</v>
      </c>
      <c r="R6818" s="345" t="s">
        <v>223</v>
      </c>
      <c r="S6818" s="345" t="s">
        <v>224</v>
      </c>
    </row>
    <row r="6819" spans="1:19" x14ac:dyDescent="0.25">
      <c r="A6819" s="311"/>
      <c r="B6819" s="312"/>
      <c r="C6819" s="312"/>
      <c r="D6819" s="312"/>
      <c r="E6819" s="312"/>
      <c r="F6819" s="312"/>
      <c r="G6819" s="328"/>
      <c r="H6819" s="453"/>
      <c r="I6819" s="334"/>
      <c r="J6819" s="314"/>
      <c r="K6819" s="454"/>
      <c r="M6819" s="349" t="str">
        <f>N6819&amp;AS[[#This Row],[Insurer Code]]&amp;"; "&amp;O6819&amp;AS[[#This Row],[Reporting Year]]&amp;"; "&amp;P6819&amp;AS[[#This Row],[Insurance Category Code]]&amp;"; "&amp;Q6819&amp;AS[[#This Row],[Large Provider Entity Code]]&amp;"; "&amp;R6819&amp;AS[[#This Row],[Age Band Code]]&amp;"; "&amp;S6819&amp;AS[[#This Row],[Sex Code]]</f>
        <v xml:space="preserve">Insurer Code ; Reporting Year ; Insurance Category Code ; Large Provider Entity Code ; Age Band Code ; Sex Code </v>
      </c>
      <c r="N6819" s="345" t="s">
        <v>207</v>
      </c>
      <c r="O6819" s="345" t="s">
        <v>208</v>
      </c>
      <c r="P6819" s="345" t="s">
        <v>209</v>
      </c>
      <c r="Q6819" s="345" t="s">
        <v>210</v>
      </c>
      <c r="R6819" s="345" t="s">
        <v>223</v>
      </c>
      <c r="S6819" s="345" t="s">
        <v>224</v>
      </c>
    </row>
    <row r="6820" spans="1:19" x14ac:dyDescent="0.25">
      <c r="A6820" s="311"/>
      <c r="B6820" s="312"/>
      <c r="C6820" s="312"/>
      <c r="D6820" s="312"/>
      <c r="E6820" s="312"/>
      <c r="F6820" s="312"/>
      <c r="G6820" s="328"/>
      <c r="H6820" s="453"/>
      <c r="I6820" s="334"/>
      <c r="J6820" s="314"/>
      <c r="K6820" s="454"/>
      <c r="M6820" s="349" t="str">
        <f>N6820&amp;AS[[#This Row],[Insurer Code]]&amp;"; "&amp;O6820&amp;AS[[#This Row],[Reporting Year]]&amp;"; "&amp;P6820&amp;AS[[#This Row],[Insurance Category Code]]&amp;"; "&amp;Q6820&amp;AS[[#This Row],[Large Provider Entity Code]]&amp;"; "&amp;R6820&amp;AS[[#This Row],[Age Band Code]]&amp;"; "&amp;S6820&amp;AS[[#This Row],[Sex Code]]</f>
        <v xml:space="preserve">Insurer Code ; Reporting Year ; Insurance Category Code ; Large Provider Entity Code ; Age Band Code ; Sex Code </v>
      </c>
      <c r="N6820" s="345" t="s">
        <v>207</v>
      </c>
      <c r="O6820" s="345" t="s">
        <v>208</v>
      </c>
      <c r="P6820" s="345" t="s">
        <v>209</v>
      </c>
      <c r="Q6820" s="345" t="s">
        <v>210</v>
      </c>
      <c r="R6820" s="345" t="s">
        <v>223</v>
      </c>
      <c r="S6820" s="345" t="s">
        <v>224</v>
      </c>
    </row>
    <row r="6821" spans="1:19" x14ac:dyDescent="0.25">
      <c r="A6821" s="311"/>
      <c r="B6821" s="312"/>
      <c r="C6821" s="312"/>
      <c r="D6821" s="312"/>
      <c r="E6821" s="312"/>
      <c r="F6821" s="312"/>
      <c r="G6821" s="328"/>
      <c r="H6821" s="453"/>
      <c r="I6821" s="334"/>
      <c r="J6821" s="314"/>
      <c r="K6821" s="454"/>
      <c r="M6821" s="349" t="str">
        <f>N6821&amp;AS[[#This Row],[Insurer Code]]&amp;"; "&amp;O6821&amp;AS[[#This Row],[Reporting Year]]&amp;"; "&amp;P6821&amp;AS[[#This Row],[Insurance Category Code]]&amp;"; "&amp;Q6821&amp;AS[[#This Row],[Large Provider Entity Code]]&amp;"; "&amp;R6821&amp;AS[[#This Row],[Age Band Code]]&amp;"; "&amp;S6821&amp;AS[[#This Row],[Sex Code]]</f>
        <v xml:space="preserve">Insurer Code ; Reporting Year ; Insurance Category Code ; Large Provider Entity Code ; Age Band Code ; Sex Code </v>
      </c>
      <c r="N6821" s="345" t="s">
        <v>207</v>
      </c>
      <c r="O6821" s="345" t="s">
        <v>208</v>
      </c>
      <c r="P6821" s="345" t="s">
        <v>209</v>
      </c>
      <c r="Q6821" s="345" t="s">
        <v>210</v>
      </c>
      <c r="R6821" s="345" t="s">
        <v>223</v>
      </c>
      <c r="S6821" s="345" t="s">
        <v>224</v>
      </c>
    </row>
    <row r="6822" spans="1:19" x14ac:dyDescent="0.25">
      <c r="A6822" s="311"/>
      <c r="B6822" s="312"/>
      <c r="C6822" s="312"/>
      <c r="D6822" s="312"/>
      <c r="E6822" s="312"/>
      <c r="F6822" s="312"/>
      <c r="G6822" s="328"/>
      <c r="H6822" s="453"/>
      <c r="I6822" s="334"/>
      <c r="J6822" s="314"/>
      <c r="K6822" s="454"/>
      <c r="M6822" s="349" t="str">
        <f>N6822&amp;AS[[#This Row],[Insurer Code]]&amp;"; "&amp;O6822&amp;AS[[#This Row],[Reporting Year]]&amp;"; "&amp;P6822&amp;AS[[#This Row],[Insurance Category Code]]&amp;"; "&amp;Q6822&amp;AS[[#This Row],[Large Provider Entity Code]]&amp;"; "&amp;R6822&amp;AS[[#This Row],[Age Band Code]]&amp;"; "&amp;S6822&amp;AS[[#This Row],[Sex Code]]</f>
        <v xml:space="preserve">Insurer Code ; Reporting Year ; Insurance Category Code ; Large Provider Entity Code ; Age Band Code ; Sex Code </v>
      </c>
      <c r="N6822" s="345" t="s">
        <v>207</v>
      </c>
      <c r="O6822" s="345" t="s">
        <v>208</v>
      </c>
      <c r="P6822" s="345" t="s">
        <v>209</v>
      </c>
      <c r="Q6822" s="345" t="s">
        <v>210</v>
      </c>
      <c r="R6822" s="345" t="s">
        <v>223</v>
      </c>
      <c r="S6822" s="345" t="s">
        <v>224</v>
      </c>
    </row>
    <row r="6823" spans="1:19" x14ac:dyDescent="0.25">
      <c r="A6823" s="311"/>
      <c r="B6823" s="312"/>
      <c r="C6823" s="312"/>
      <c r="D6823" s="312"/>
      <c r="E6823" s="312"/>
      <c r="F6823" s="312"/>
      <c r="G6823" s="328"/>
      <c r="H6823" s="453"/>
      <c r="I6823" s="334"/>
      <c r="J6823" s="314"/>
      <c r="K6823" s="454"/>
      <c r="M6823" s="349" t="str">
        <f>N6823&amp;AS[[#This Row],[Insurer Code]]&amp;"; "&amp;O6823&amp;AS[[#This Row],[Reporting Year]]&amp;"; "&amp;P6823&amp;AS[[#This Row],[Insurance Category Code]]&amp;"; "&amp;Q6823&amp;AS[[#This Row],[Large Provider Entity Code]]&amp;"; "&amp;R6823&amp;AS[[#This Row],[Age Band Code]]&amp;"; "&amp;S6823&amp;AS[[#This Row],[Sex Code]]</f>
        <v xml:space="preserve">Insurer Code ; Reporting Year ; Insurance Category Code ; Large Provider Entity Code ; Age Band Code ; Sex Code </v>
      </c>
      <c r="N6823" s="345" t="s">
        <v>207</v>
      </c>
      <c r="O6823" s="345" t="s">
        <v>208</v>
      </c>
      <c r="P6823" s="345" t="s">
        <v>209</v>
      </c>
      <c r="Q6823" s="345" t="s">
        <v>210</v>
      </c>
      <c r="R6823" s="345" t="s">
        <v>223</v>
      </c>
      <c r="S6823" s="345" t="s">
        <v>224</v>
      </c>
    </row>
    <row r="6824" spans="1:19" x14ac:dyDescent="0.25">
      <c r="A6824" s="311"/>
      <c r="B6824" s="312"/>
      <c r="C6824" s="312"/>
      <c r="D6824" s="312"/>
      <c r="E6824" s="312"/>
      <c r="F6824" s="312"/>
      <c r="G6824" s="328"/>
      <c r="H6824" s="453"/>
      <c r="I6824" s="334"/>
      <c r="J6824" s="314"/>
      <c r="K6824" s="454"/>
      <c r="M6824" s="349" t="str">
        <f>N6824&amp;AS[[#This Row],[Insurer Code]]&amp;"; "&amp;O6824&amp;AS[[#This Row],[Reporting Year]]&amp;"; "&amp;P6824&amp;AS[[#This Row],[Insurance Category Code]]&amp;"; "&amp;Q6824&amp;AS[[#This Row],[Large Provider Entity Code]]&amp;"; "&amp;R6824&amp;AS[[#This Row],[Age Band Code]]&amp;"; "&amp;S6824&amp;AS[[#This Row],[Sex Code]]</f>
        <v xml:space="preserve">Insurer Code ; Reporting Year ; Insurance Category Code ; Large Provider Entity Code ; Age Band Code ; Sex Code </v>
      </c>
      <c r="N6824" s="345" t="s">
        <v>207</v>
      </c>
      <c r="O6824" s="345" t="s">
        <v>208</v>
      </c>
      <c r="P6824" s="345" t="s">
        <v>209</v>
      </c>
      <c r="Q6824" s="345" t="s">
        <v>210</v>
      </c>
      <c r="R6824" s="345" t="s">
        <v>223</v>
      </c>
      <c r="S6824" s="345" t="s">
        <v>224</v>
      </c>
    </row>
    <row r="6825" spans="1:19" x14ac:dyDescent="0.25">
      <c r="A6825" s="311"/>
      <c r="B6825" s="312"/>
      <c r="C6825" s="312"/>
      <c r="D6825" s="312"/>
      <c r="E6825" s="312"/>
      <c r="F6825" s="312"/>
      <c r="G6825" s="328"/>
      <c r="H6825" s="453"/>
      <c r="I6825" s="334"/>
      <c r="J6825" s="314"/>
      <c r="K6825" s="454"/>
      <c r="M6825" s="349" t="str">
        <f>N6825&amp;AS[[#This Row],[Insurer Code]]&amp;"; "&amp;O6825&amp;AS[[#This Row],[Reporting Year]]&amp;"; "&amp;P6825&amp;AS[[#This Row],[Insurance Category Code]]&amp;"; "&amp;Q6825&amp;AS[[#This Row],[Large Provider Entity Code]]&amp;"; "&amp;R6825&amp;AS[[#This Row],[Age Band Code]]&amp;"; "&amp;S6825&amp;AS[[#This Row],[Sex Code]]</f>
        <v xml:space="preserve">Insurer Code ; Reporting Year ; Insurance Category Code ; Large Provider Entity Code ; Age Band Code ; Sex Code </v>
      </c>
      <c r="N6825" s="345" t="s">
        <v>207</v>
      </c>
      <c r="O6825" s="345" t="s">
        <v>208</v>
      </c>
      <c r="P6825" s="345" t="s">
        <v>209</v>
      </c>
      <c r="Q6825" s="345" t="s">
        <v>210</v>
      </c>
      <c r="R6825" s="345" t="s">
        <v>223</v>
      </c>
      <c r="S6825" s="345" t="s">
        <v>224</v>
      </c>
    </row>
    <row r="6826" spans="1:19" x14ac:dyDescent="0.25">
      <c r="A6826" s="311"/>
      <c r="B6826" s="312"/>
      <c r="C6826" s="312"/>
      <c r="D6826" s="312"/>
      <c r="E6826" s="312"/>
      <c r="F6826" s="312"/>
      <c r="G6826" s="328"/>
      <c r="H6826" s="453"/>
      <c r="I6826" s="334"/>
      <c r="J6826" s="314"/>
      <c r="K6826" s="454"/>
      <c r="M6826" s="349" t="str">
        <f>N6826&amp;AS[[#This Row],[Insurer Code]]&amp;"; "&amp;O6826&amp;AS[[#This Row],[Reporting Year]]&amp;"; "&amp;P6826&amp;AS[[#This Row],[Insurance Category Code]]&amp;"; "&amp;Q6826&amp;AS[[#This Row],[Large Provider Entity Code]]&amp;"; "&amp;R6826&amp;AS[[#This Row],[Age Band Code]]&amp;"; "&amp;S6826&amp;AS[[#This Row],[Sex Code]]</f>
        <v xml:space="preserve">Insurer Code ; Reporting Year ; Insurance Category Code ; Large Provider Entity Code ; Age Band Code ; Sex Code </v>
      </c>
      <c r="N6826" s="345" t="s">
        <v>207</v>
      </c>
      <c r="O6826" s="345" t="s">
        <v>208</v>
      </c>
      <c r="P6826" s="345" t="s">
        <v>209</v>
      </c>
      <c r="Q6826" s="345" t="s">
        <v>210</v>
      </c>
      <c r="R6826" s="345" t="s">
        <v>223</v>
      </c>
      <c r="S6826" s="345" t="s">
        <v>224</v>
      </c>
    </row>
    <row r="6827" spans="1:19" x14ac:dyDescent="0.25">
      <c r="A6827" s="311"/>
      <c r="B6827" s="312"/>
      <c r="C6827" s="312"/>
      <c r="D6827" s="312"/>
      <c r="E6827" s="312"/>
      <c r="F6827" s="312"/>
      <c r="G6827" s="328"/>
      <c r="H6827" s="453"/>
      <c r="I6827" s="334"/>
      <c r="J6827" s="314"/>
      <c r="K6827" s="454"/>
      <c r="M6827" s="349" t="str">
        <f>N6827&amp;AS[[#This Row],[Insurer Code]]&amp;"; "&amp;O6827&amp;AS[[#This Row],[Reporting Year]]&amp;"; "&amp;P6827&amp;AS[[#This Row],[Insurance Category Code]]&amp;"; "&amp;Q6827&amp;AS[[#This Row],[Large Provider Entity Code]]&amp;"; "&amp;R6827&amp;AS[[#This Row],[Age Band Code]]&amp;"; "&amp;S6827&amp;AS[[#This Row],[Sex Code]]</f>
        <v xml:space="preserve">Insurer Code ; Reporting Year ; Insurance Category Code ; Large Provider Entity Code ; Age Band Code ; Sex Code </v>
      </c>
      <c r="N6827" s="345" t="s">
        <v>207</v>
      </c>
      <c r="O6827" s="345" t="s">
        <v>208</v>
      </c>
      <c r="P6827" s="345" t="s">
        <v>209</v>
      </c>
      <c r="Q6827" s="345" t="s">
        <v>210</v>
      </c>
      <c r="R6827" s="345" t="s">
        <v>223</v>
      </c>
      <c r="S6827" s="345" t="s">
        <v>224</v>
      </c>
    </row>
    <row r="6828" spans="1:19" x14ac:dyDescent="0.25">
      <c r="A6828" s="311"/>
      <c r="B6828" s="312"/>
      <c r="C6828" s="312"/>
      <c r="D6828" s="312"/>
      <c r="E6828" s="312"/>
      <c r="F6828" s="312"/>
      <c r="G6828" s="328"/>
      <c r="H6828" s="453"/>
      <c r="I6828" s="334"/>
      <c r="J6828" s="314"/>
      <c r="K6828" s="454"/>
      <c r="M6828" s="349" t="str">
        <f>N6828&amp;AS[[#This Row],[Insurer Code]]&amp;"; "&amp;O6828&amp;AS[[#This Row],[Reporting Year]]&amp;"; "&amp;P6828&amp;AS[[#This Row],[Insurance Category Code]]&amp;"; "&amp;Q6828&amp;AS[[#This Row],[Large Provider Entity Code]]&amp;"; "&amp;R6828&amp;AS[[#This Row],[Age Band Code]]&amp;"; "&amp;S6828&amp;AS[[#This Row],[Sex Code]]</f>
        <v xml:space="preserve">Insurer Code ; Reporting Year ; Insurance Category Code ; Large Provider Entity Code ; Age Band Code ; Sex Code </v>
      </c>
      <c r="N6828" s="345" t="s">
        <v>207</v>
      </c>
      <c r="O6828" s="345" t="s">
        <v>208</v>
      </c>
      <c r="P6828" s="345" t="s">
        <v>209</v>
      </c>
      <c r="Q6828" s="345" t="s">
        <v>210</v>
      </c>
      <c r="R6828" s="345" t="s">
        <v>223</v>
      </c>
      <c r="S6828" s="345" t="s">
        <v>224</v>
      </c>
    </row>
    <row r="6829" spans="1:19" x14ac:dyDescent="0.25">
      <c r="A6829" s="311"/>
      <c r="B6829" s="312"/>
      <c r="C6829" s="312"/>
      <c r="D6829" s="312"/>
      <c r="E6829" s="312"/>
      <c r="F6829" s="312"/>
      <c r="G6829" s="328"/>
      <c r="H6829" s="453"/>
      <c r="I6829" s="334"/>
      <c r="J6829" s="314"/>
      <c r="K6829" s="454"/>
      <c r="M6829" s="349" t="str">
        <f>N6829&amp;AS[[#This Row],[Insurer Code]]&amp;"; "&amp;O6829&amp;AS[[#This Row],[Reporting Year]]&amp;"; "&amp;P6829&amp;AS[[#This Row],[Insurance Category Code]]&amp;"; "&amp;Q6829&amp;AS[[#This Row],[Large Provider Entity Code]]&amp;"; "&amp;R6829&amp;AS[[#This Row],[Age Band Code]]&amp;"; "&amp;S6829&amp;AS[[#This Row],[Sex Code]]</f>
        <v xml:space="preserve">Insurer Code ; Reporting Year ; Insurance Category Code ; Large Provider Entity Code ; Age Band Code ; Sex Code </v>
      </c>
      <c r="N6829" s="345" t="s">
        <v>207</v>
      </c>
      <c r="O6829" s="345" t="s">
        <v>208</v>
      </c>
      <c r="P6829" s="345" t="s">
        <v>209</v>
      </c>
      <c r="Q6829" s="345" t="s">
        <v>210</v>
      </c>
      <c r="R6829" s="345" t="s">
        <v>223</v>
      </c>
      <c r="S6829" s="345" t="s">
        <v>224</v>
      </c>
    </row>
    <row r="6830" spans="1:19" x14ac:dyDescent="0.25">
      <c r="A6830" s="311"/>
      <c r="B6830" s="312"/>
      <c r="C6830" s="312"/>
      <c r="D6830" s="312"/>
      <c r="E6830" s="312"/>
      <c r="F6830" s="312"/>
      <c r="G6830" s="328"/>
      <c r="H6830" s="453"/>
      <c r="I6830" s="334"/>
      <c r="J6830" s="314"/>
      <c r="K6830" s="454"/>
      <c r="M6830" s="349" t="str">
        <f>N6830&amp;AS[[#This Row],[Insurer Code]]&amp;"; "&amp;O6830&amp;AS[[#This Row],[Reporting Year]]&amp;"; "&amp;P6830&amp;AS[[#This Row],[Insurance Category Code]]&amp;"; "&amp;Q6830&amp;AS[[#This Row],[Large Provider Entity Code]]&amp;"; "&amp;R6830&amp;AS[[#This Row],[Age Band Code]]&amp;"; "&amp;S6830&amp;AS[[#This Row],[Sex Code]]</f>
        <v xml:space="preserve">Insurer Code ; Reporting Year ; Insurance Category Code ; Large Provider Entity Code ; Age Band Code ; Sex Code </v>
      </c>
      <c r="N6830" s="345" t="s">
        <v>207</v>
      </c>
      <c r="O6830" s="345" t="s">
        <v>208</v>
      </c>
      <c r="P6830" s="345" t="s">
        <v>209</v>
      </c>
      <c r="Q6830" s="345" t="s">
        <v>210</v>
      </c>
      <c r="R6830" s="345" t="s">
        <v>223</v>
      </c>
      <c r="S6830" s="345" t="s">
        <v>224</v>
      </c>
    </row>
    <row r="6831" spans="1:19" x14ac:dyDescent="0.25">
      <c r="A6831" s="311"/>
      <c r="B6831" s="312"/>
      <c r="C6831" s="312"/>
      <c r="D6831" s="312"/>
      <c r="E6831" s="312"/>
      <c r="F6831" s="312"/>
      <c r="G6831" s="328"/>
      <c r="H6831" s="453"/>
      <c r="I6831" s="334"/>
      <c r="J6831" s="314"/>
      <c r="K6831" s="454"/>
      <c r="M6831" s="349" t="str">
        <f>N6831&amp;AS[[#This Row],[Insurer Code]]&amp;"; "&amp;O6831&amp;AS[[#This Row],[Reporting Year]]&amp;"; "&amp;P6831&amp;AS[[#This Row],[Insurance Category Code]]&amp;"; "&amp;Q6831&amp;AS[[#This Row],[Large Provider Entity Code]]&amp;"; "&amp;R6831&amp;AS[[#This Row],[Age Band Code]]&amp;"; "&amp;S6831&amp;AS[[#This Row],[Sex Code]]</f>
        <v xml:space="preserve">Insurer Code ; Reporting Year ; Insurance Category Code ; Large Provider Entity Code ; Age Band Code ; Sex Code </v>
      </c>
      <c r="N6831" s="345" t="s">
        <v>207</v>
      </c>
      <c r="O6831" s="345" t="s">
        <v>208</v>
      </c>
      <c r="P6831" s="345" t="s">
        <v>209</v>
      </c>
      <c r="Q6831" s="345" t="s">
        <v>210</v>
      </c>
      <c r="R6831" s="345" t="s">
        <v>223</v>
      </c>
      <c r="S6831" s="345" t="s">
        <v>224</v>
      </c>
    </row>
    <row r="6832" spans="1:19" x14ac:dyDescent="0.25">
      <c r="A6832" s="311"/>
      <c r="B6832" s="312"/>
      <c r="C6832" s="312"/>
      <c r="D6832" s="312"/>
      <c r="E6832" s="312"/>
      <c r="F6832" s="312"/>
      <c r="G6832" s="328"/>
      <c r="H6832" s="453"/>
      <c r="I6832" s="334"/>
      <c r="J6832" s="314"/>
      <c r="K6832" s="454"/>
      <c r="M6832" s="349" t="str">
        <f>N6832&amp;AS[[#This Row],[Insurer Code]]&amp;"; "&amp;O6832&amp;AS[[#This Row],[Reporting Year]]&amp;"; "&amp;P6832&amp;AS[[#This Row],[Insurance Category Code]]&amp;"; "&amp;Q6832&amp;AS[[#This Row],[Large Provider Entity Code]]&amp;"; "&amp;R6832&amp;AS[[#This Row],[Age Band Code]]&amp;"; "&amp;S6832&amp;AS[[#This Row],[Sex Code]]</f>
        <v xml:space="preserve">Insurer Code ; Reporting Year ; Insurance Category Code ; Large Provider Entity Code ; Age Band Code ; Sex Code </v>
      </c>
      <c r="N6832" s="345" t="s">
        <v>207</v>
      </c>
      <c r="O6832" s="345" t="s">
        <v>208</v>
      </c>
      <c r="P6832" s="345" t="s">
        <v>209</v>
      </c>
      <c r="Q6832" s="345" t="s">
        <v>210</v>
      </c>
      <c r="R6832" s="345" t="s">
        <v>223</v>
      </c>
      <c r="S6832" s="345" t="s">
        <v>224</v>
      </c>
    </row>
    <row r="6833" spans="1:19" x14ac:dyDescent="0.25">
      <c r="A6833" s="311"/>
      <c r="B6833" s="312"/>
      <c r="C6833" s="312"/>
      <c r="D6833" s="312"/>
      <c r="E6833" s="312"/>
      <c r="F6833" s="312"/>
      <c r="G6833" s="328"/>
      <c r="H6833" s="453"/>
      <c r="I6833" s="334"/>
      <c r="J6833" s="314"/>
      <c r="K6833" s="454"/>
      <c r="M6833" s="349" t="str">
        <f>N6833&amp;AS[[#This Row],[Insurer Code]]&amp;"; "&amp;O6833&amp;AS[[#This Row],[Reporting Year]]&amp;"; "&amp;P6833&amp;AS[[#This Row],[Insurance Category Code]]&amp;"; "&amp;Q6833&amp;AS[[#This Row],[Large Provider Entity Code]]&amp;"; "&amp;R6833&amp;AS[[#This Row],[Age Band Code]]&amp;"; "&amp;S6833&amp;AS[[#This Row],[Sex Code]]</f>
        <v xml:space="preserve">Insurer Code ; Reporting Year ; Insurance Category Code ; Large Provider Entity Code ; Age Band Code ; Sex Code </v>
      </c>
      <c r="N6833" s="345" t="s">
        <v>207</v>
      </c>
      <c r="O6833" s="345" t="s">
        <v>208</v>
      </c>
      <c r="P6833" s="345" t="s">
        <v>209</v>
      </c>
      <c r="Q6833" s="345" t="s">
        <v>210</v>
      </c>
      <c r="R6833" s="345" t="s">
        <v>223</v>
      </c>
      <c r="S6833" s="345" t="s">
        <v>224</v>
      </c>
    </row>
    <row r="6834" spans="1:19" x14ac:dyDescent="0.25">
      <c r="A6834" s="311"/>
      <c r="B6834" s="312"/>
      <c r="C6834" s="312"/>
      <c r="D6834" s="312"/>
      <c r="E6834" s="312"/>
      <c r="F6834" s="312"/>
      <c r="G6834" s="328"/>
      <c r="H6834" s="453"/>
      <c r="I6834" s="334"/>
      <c r="J6834" s="314"/>
      <c r="K6834" s="454"/>
      <c r="M6834" s="349" t="str">
        <f>N6834&amp;AS[[#This Row],[Insurer Code]]&amp;"; "&amp;O6834&amp;AS[[#This Row],[Reporting Year]]&amp;"; "&amp;P6834&amp;AS[[#This Row],[Insurance Category Code]]&amp;"; "&amp;Q6834&amp;AS[[#This Row],[Large Provider Entity Code]]&amp;"; "&amp;R6834&amp;AS[[#This Row],[Age Band Code]]&amp;"; "&amp;S6834&amp;AS[[#This Row],[Sex Code]]</f>
        <v xml:space="preserve">Insurer Code ; Reporting Year ; Insurance Category Code ; Large Provider Entity Code ; Age Band Code ; Sex Code </v>
      </c>
      <c r="N6834" s="345" t="s">
        <v>207</v>
      </c>
      <c r="O6834" s="345" t="s">
        <v>208</v>
      </c>
      <c r="P6834" s="345" t="s">
        <v>209</v>
      </c>
      <c r="Q6834" s="345" t="s">
        <v>210</v>
      </c>
      <c r="R6834" s="345" t="s">
        <v>223</v>
      </c>
      <c r="S6834" s="345" t="s">
        <v>224</v>
      </c>
    </row>
    <row r="6835" spans="1:19" x14ac:dyDescent="0.25">
      <c r="A6835" s="311"/>
      <c r="B6835" s="312"/>
      <c r="C6835" s="312"/>
      <c r="D6835" s="312"/>
      <c r="E6835" s="312"/>
      <c r="F6835" s="312"/>
      <c r="G6835" s="328"/>
      <c r="H6835" s="453"/>
      <c r="I6835" s="334"/>
      <c r="J6835" s="314"/>
      <c r="K6835" s="454"/>
      <c r="M6835" s="349" t="str">
        <f>N6835&amp;AS[[#This Row],[Insurer Code]]&amp;"; "&amp;O6835&amp;AS[[#This Row],[Reporting Year]]&amp;"; "&amp;P6835&amp;AS[[#This Row],[Insurance Category Code]]&amp;"; "&amp;Q6835&amp;AS[[#This Row],[Large Provider Entity Code]]&amp;"; "&amp;R6835&amp;AS[[#This Row],[Age Band Code]]&amp;"; "&amp;S6835&amp;AS[[#This Row],[Sex Code]]</f>
        <v xml:space="preserve">Insurer Code ; Reporting Year ; Insurance Category Code ; Large Provider Entity Code ; Age Band Code ; Sex Code </v>
      </c>
      <c r="N6835" s="345" t="s">
        <v>207</v>
      </c>
      <c r="O6835" s="345" t="s">
        <v>208</v>
      </c>
      <c r="P6835" s="345" t="s">
        <v>209</v>
      </c>
      <c r="Q6835" s="345" t="s">
        <v>210</v>
      </c>
      <c r="R6835" s="345" t="s">
        <v>223</v>
      </c>
      <c r="S6835" s="345" t="s">
        <v>224</v>
      </c>
    </row>
    <row r="6836" spans="1:19" x14ac:dyDescent="0.25">
      <c r="A6836" s="311"/>
      <c r="B6836" s="312"/>
      <c r="C6836" s="312"/>
      <c r="D6836" s="312"/>
      <c r="E6836" s="312"/>
      <c r="F6836" s="312"/>
      <c r="G6836" s="328"/>
      <c r="H6836" s="453"/>
      <c r="I6836" s="334"/>
      <c r="J6836" s="314"/>
      <c r="K6836" s="454"/>
      <c r="M6836" s="349" t="str">
        <f>N6836&amp;AS[[#This Row],[Insurer Code]]&amp;"; "&amp;O6836&amp;AS[[#This Row],[Reporting Year]]&amp;"; "&amp;P6836&amp;AS[[#This Row],[Insurance Category Code]]&amp;"; "&amp;Q6836&amp;AS[[#This Row],[Large Provider Entity Code]]&amp;"; "&amp;R6836&amp;AS[[#This Row],[Age Band Code]]&amp;"; "&amp;S6836&amp;AS[[#This Row],[Sex Code]]</f>
        <v xml:space="preserve">Insurer Code ; Reporting Year ; Insurance Category Code ; Large Provider Entity Code ; Age Band Code ; Sex Code </v>
      </c>
      <c r="N6836" s="345" t="s">
        <v>207</v>
      </c>
      <c r="O6836" s="345" t="s">
        <v>208</v>
      </c>
      <c r="P6836" s="345" t="s">
        <v>209</v>
      </c>
      <c r="Q6836" s="345" t="s">
        <v>210</v>
      </c>
      <c r="R6836" s="345" t="s">
        <v>223</v>
      </c>
      <c r="S6836" s="345" t="s">
        <v>224</v>
      </c>
    </row>
    <row r="6837" spans="1:19" x14ac:dyDescent="0.25">
      <c r="A6837" s="311"/>
      <c r="B6837" s="312"/>
      <c r="C6837" s="312"/>
      <c r="D6837" s="312"/>
      <c r="E6837" s="312"/>
      <c r="F6837" s="312"/>
      <c r="G6837" s="328"/>
      <c r="H6837" s="453"/>
      <c r="I6837" s="334"/>
      <c r="J6837" s="314"/>
      <c r="K6837" s="454"/>
      <c r="M6837" s="349" t="str">
        <f>N6837&amp;AS[[#This Row],[Insurer Code]]&amp;"; "&amp;O6837&amp;AS[[#This Row],[Reporting Year]]&amp;"; "&amp;P6837&amp;AS[[#This Row],[Insurance Category Code]]&amp;"; "&amp;Q6837&amp;AS[[#This Row],[Large Provider Entity Code]]&amp;"; "&amp;R6837&amp;AS[[#This Row],[Age Band Code]]&amp;"; "&amp;S6837&amp;AS[[#This Row],[Sex Code]]</f>
        <v xml:space="preserve">Insurer Code ; Reporting Year ; Insurance Category Code ; Large Provider Entity Code ; Age Band Code ; Sex Code </v>
      </c>
      <c r="N6837" s="345" t="s">
        <v>207</v>
      </c>
      <c r="O6837" s="345" t="s">
        <v>208</v>
      </c>
      <c r="P6837" s="345" t="s">
        <v>209</v>
      </c>
      <c r="Q6837" s="345" t="s">
        <v>210</v>
      </c>
      <c r="R6837" s="345" t="s">
        <v>223</v>
      </c>
      <c r="S6837" s="345" t="s">
        <v>224</v>
      </c>
    </row>
    <row r="6838" spans="1:19" x14ac:dyDescent="0.25">
      <c r="A6838" s="311"/>
      <c r="B6838" s="312"/>
      <c r="C6838" s="312"/>
      <c r="D6838" s="312"/>
      <c r="E6838" s="312"/>
      <c r="F6838" s="312"/>
      <c r="G6838" s="328"/>
      <c r="H6838" s="453"/>
      <c r="I6838" s="334"/>
      <c r="J6838" s="314"/>
      <c r="K6838" s="454"/>
      <c r="M6838" s="349" t="str">
        <f>N6838&amp;AS[[#This Row],[Insurer Code]]&amp;"; "&amp;O6838&amp;AS[[#This Row],[Reporting Year]]&amp;"; "&amp;P6838&amp;AS[[#This Row],[Insurance Category Code]]&amp;"; "&amp;Q6838&amp;AS[[#This Row],[Large Provider Entity Code]]&amp;"; "&amp;R6838&amp;AS[[#This Row],[Age Band Code]]&amp;"; "&amp;S6838&amp;AS[[#This Row],[Sex Code]]</f>
        <v xml:space="preserve">Insurer Code ; Reporting Year ; Insurance Category Code ; Large Provider Entity Code ; Age Band Code ; Sex Code </v>
      </c>
      <c r="N6838" s="345" t="s">
        <v>207</v>
      </c>
      <c r="O6838" s="345" t="s">
        <v>208</v>
      </c>
      <c r="P6838" s="345" t="s">
        <v>209</v>
      </c>
      <c r="Q6838" s="345" t="s">
        <v>210</v>
      </c>
      <c r="R6838" s="345" t="s">
        <v>223</v>
      </c>
      <c r="S6838" s="345" t="s">
        <v>224</v>
      </c>
    </row>
    <row r="6839" spans="1:19" x14ac:dyDescent="0.25">
      <c r="A6839" s="311"/>
      <c r="B6839" s="312"/>
      <c r="C6839" s="312"/>
      <c r="D6839" s="312"/>
      <c r="E6839" s="312"/>
      <c r="F6839" s="312"/>
      <c r="G6839" s="328"/>
      <c r="H6839" s="453"/>
      <c r="I6839" s="334"/>
      <c r="J6839" s="314"/>
      <c r="K6839" s="454"/>
      <c r="M6839" s="349" t="str">
        <f>N6839&amp;AS[[#This Row],[Insurer Code]]&amp;"; "&amp;O6839&amp;AS[[#This Row],[Reporting Year]]&amp;"; "&amp;P6839&amp;AS[[#This Row],[Insurance Category Code]]&amp;"; "&amp;Q6839&amp;AS[[#This Row],[Large Provider Entity Code]]&amp;"; "&amp;R6839&amp;AS[[#This Row],[Age Band Code]]&amp;"; "&amp;S6839&amp;AS[[#This Row],[Sex Code]]</f>
        <v xml:space="preserve">Insurer Code ; Reporting Year ; Insurance Category Code ; Large Provider Entity Code ; Age Band Code ; Sex Code </v>
      </c>
      <c r="N6839" s="345" t="s">
        <v>207</v>
      </c>
      <c r="O6839" s="345" t="s">
        <v>208</v>
      </c>
      <c r="P6839" s="345" t="s">
        <v>209</v>
      </c>
      <c r="Q6839" s="345" t="s">
        <v>210</v>
      </c>
      <c r="R6839" s="345" t="s">
        <v>223</v>
      </c>
      <c r="S6839" s="345" t="s">
        <v>224</v>
      </c>
    </row>
    <row r="6840" spans="1:19" x14ac:dyDescent="0.25">
      <c r="A6840" s="311"/>
      <c r="B6840" s="312"/>
      <c r="C6840" s="312"/>
      <c r="D6840" s="312"/>
      <c r="E6840" s="312"/>
      <c r="F6840" s="312"/>
      <c r="G6840" s="328"/>
      <c r="H6840" s="453"/>
      <c r="I6840" s="334"/>
      <c r="J6840" s="314"/>
      <c r="K6840" s="454"/>
      <c r="M6840" s="349" t="str">
        <f>N6840&amp;AS[[#This Row],[Insurer Code]]&amp;"; "&amp;O6840&amp;AS[[#This Row],[Reporting Year]]&amp;"; "&amp;P6840&amp;AS[[#This Row],[Insurance Category Code]]&amp;"; "&amp;Q6840&amp;AS[[#This Row],[Large Provider Entity Code]]&amp;"; "&amp;R6840&amp;AS[[#This Row],[Age Band Code]]&amp;"; "&amp;S6840&amp;AS[[#This Row],[Sex Code]]</f>
        <v xml:space="preserve">Insurer Code ; Reporting Year ; Insurance Category Code ; Large Provider Entity Code ; Age Band Code ; Sex Code </v>
      </c>
      <c r="N6840" s="345" t="s">
        <v>207</v>
      </c>
      <c r="O6840" s="345" t="s">
        <v>208</v>
      </c>
      <c r="P6840" s="345" t="s">
        <v>209</v>
      </c>
      <c r="Q6840" s="345" t="s">
        <v>210</v>
      </c>
      <c r="R6840" s="345" t="s">
        <v>223</v>
      </c>
      <c r="S6840" s="345" t="s">
        <v>224</v>
      </c>
    </row>
    <row r="6841" spans="1:19" x14ac:dyDescent="0.25">
      <c r="A6841" s="311"/>
      <c r="B6841" s="312"/>
      <c r="C6841" s="312"/>
      <c r="D6841" s="312"/>
      <c r="E6841" s="312"/>
      <c r="F6841" s="312"/>
      <c r="G6841" s="328"/>
      <c r="H6841" s="453"/>
      <c r="I6841" s="334"/>
      <c r="J6841" s="314"/>
      <c r="K6841" s="454"/>
      <c r="M6841" s="349" t="str">
        <f>N6841&amp;AS[[#This Row],[Insurer Code]]&amp;"; "&amp;O6841&amp;AS[[#This Row],[Reporting Year]]&amp;"; "&amp;P6841&amp;AS[[#This Row],[Insurance Category Code]]&amp;"; "&amp;Q6841&amp;AS[[#This Row],[Large Provider Entity Code]]&amp;"; "&amp;R6841&amp;AS[[#This Row],[Age Band Code]]&amp;"; "&amp;S6841&amp;AS[[#This Row],[Sex Code]]</f>
        <v xml:space="preserve">Insurer Code ; Reporting Year ; Insurance Category Code ; Large Provider Entity Code ; Age Band Code ; Sex Code </v>
      </c>
      <c r="N6841" s="345" t="s">
        <v>207</v>
      </c>
      <c r="O6841" s="345" t="s">
        <v>208</v>
      </c>
      <c r="P6841" s="345" t="s">
        <v>209</v>
      </c>
      <c r="Q6841" s="345" t="s">
        <v>210</v>
      </c>
      <c r="R6841" s="345" t="s">
        <v>223</v>
      </c>
      <c r="S6841" s="345" t="s">
        <v>224</v>
      </c>
    </row>
    <row r="6842" spans="1:19" x14ac:dyDescent="0.25">
      <c r="A6842" s="311"/>
      <c r="B6842" s="312"/>
      <c r="C6842" s="312"/>
      <c r="D6842" s="312"/>
      <c r="E6842" s="312"/>
      <c r="F6842" s="312"/>
      <c r="G6842" s="328"/>
      <c r="H6842" s="453"/>
      <c r="I6842" s="334"/>
      <c r="J6842" s="314"/>
      <c r="K6842" s="454"/>
      <c r="M6842" s="349" t="str">
        <f>N6842&amp;AS[[#This Row],[Insurer Code]]&amp;"; "&amp;O6842&amp;AS[[#This Row],[Reporting Year]]&amp;"; "&amp;P6842&amp;AS[[#This Row],[Insurance Category Code]]&amp;"; "&amp;Q6842&amp;AS[[#This Row],[Large Provider Entity Code]]&amp;"; "&amp;R6842&amp;AS[[#This Row],[Age Band Code]]&amp;"; "&amp;S6842&amp;AS[[#This Row],[Sex Code]]</f>
        <v xml:space="preserve">Insurer Code ; Reporting Year ; Insurance Category Code ; Large Provider Entity Code ; Age Band Code ; Sex Code </v>
      </c>
      <c r="N6842" s="345" t="s">
        <v>207</v>
      </c>
      <c r="O6842" s="345" t="s">
        <v>208</v>
      </c>
      <c r="P6842" s="345" t="s">
        <v>209</v>
      </c>
      <c r="Q6842" s="345" t="s">
        <v>210</v>
      </c>
      <c r="R6842" s="345" t="s">
        <v>223</v>
      </c>
      <c r="S6842" s="345" t="s">
        <v>224</v>
      </c>
    </row>
    <row r="6843" spans="1:19" x14ac:dyDescent="0.25">
      <c r="A6843" s="311"/>
      <c r="B6843" s="312"/>
      <c r="C6843" s="312"/>
      <c r="D6843" s="312"/>
      <c r="E6843" s="312"/>
      <c r="F6843" s="312"/>
      <c r="G6843" s="328"/>
      <c r="H6843" s="453"/>
      <c r="I6843" s="334"/>
      <c r="J6843" s="314"/>
      <c r="K6843" s="454"/>
      <c r="M6843" s="349" t="str">
        <f>N6843&amp;AS[[#This Row],[Insurer Code]]&amp;"; "&amp;O6843&amp;AS[[#This Row],[Reporting Year]]&amp;"; "&amp;P6843&amp;AS[[#This Row],[Insurance Category Code]]&amp;"; "&amp;Q6843&amp;AS[[#This Row],[Large Provider Entity Code]]&amp;"; "&amp;R6843&amp;AS[[#This Row],[Age Band Code]]&amp;"; "&amp;S6843&amp;AS[[#This Row],[Sex Code]]</f>
        <v xml:space="preserve">Insurer Code ; Reporting Year ; Insurance Category Code ; Large Provider Entity Code ; Age Band Code ; Sex Code </v>
      </c>
      <c r="N6843" s="345" t="s">
        <v>207</v>
      </c>
      <c r="O6843" s="345" t="s">
        <v>208</v>
      </c>
      <c r="P6843" s="345" t="s">
        <v>209</v>
      </c>
      <c r="Q6843" s="345" t="s">
        <v>210</v>
      </c>
      <c r="R6843" s="345" t="s">
        <v>223</v>
      </c>
      <c r="S6843" s="345" t="s">
        <v>224</v>
      </c>
    </row>
    <row r="6844" spans="1:19" x14ac:dyDescent="0.25">
      <c r="A6844" s="311"/>
      <c r="B6844" s="312"/>
      <c r="C6844" s="312"/>
      <c r="D6844" s="312"/>
      <c r="E6844" s="312"/>
      <c r="F6844" s="312"/>
      <c r="G6844" s="328"/>
      <c r="H6844" s="453"/>
      <c r="I6844" s="334"/>
      <c r="J6844" s="314"/>
      <c r="K6844" s="454"/>
      <c r="M6844" s="349" t="str">
        <f>N6844&amp;AS[[#This Row],[Insurer Code]]&amp;"; "&amp;O6844&amp;AS[[#This Row],[Reporting Year]]&amp;"; "&amp;P6844&amp;AS[[#This Row],[Insurance Category Code]]&amp;"; "&amp;Q6844&amp;AS[[#This Row],[Large Provider Entity Code]]&amp;"; "&amp;R6844&amp;AS[[#This Row],[Age Band Code]]&amp;"; "&amp;S6844&amp;AS[[#This Row],[Sex Code]]</f>
        <v xml:space="preserve">Insurer Code ; Reporting Year ; Insurance Category Code ; Large Provider Entity Code ; Age Band Code ; Sex Code </v>
      </c>
      <c r="N6844" s="345" t="s">
        <v>207</v>
      </c>
      <c r="O6844" s="345" t="s">
        <v>208</v>
      </c>
      <c r="P6844" s="345" t="s">
        <v>209</v>
      </c>
      <c r="Q6844" s="345" t="s">
        <v>210</v>
      </c>
      <c r="R6844" s="345" t="s">
        <v>223</v>
      </c>
      <c r="S6844" s="345" t="s">
        <v>224</v>
      </c>
    </row>
    <row r="6845" spans="1:19" x14ac:dyDescent="0.25">
      <c r="A6845" s="311"/>
      <c r="B6845" s="312"/>
      <c r="C6845" s="312"/>
      <c r="D6845" s="312"/>
      <c r="E6845" s="312"/>
      <c r="F6845" s="312"/>
      <c r="G6845" s="328"/>
      <c r="H6845" s="453"/>
      <c r="I6845" s="334"/>
      <c r="J6845" s="314"/>
      <c r="K6845" s="454"/>
      <c r="M6845" s="349" t="str">
        <f>N6845&amp;AS[[#This Row],[Insurer Code]]&amp;"; "&amp;O6845&amp;AS[[#This Row],[Reporting Year]]&amp;"; "&amp;P6845&amp;AS[[#This Row],[Insurance Category Code]]&amp;"; "&amp;Q6845&amp;AS[[#This Row],[Large Provider Entity Code]]&amp;"; "&amp;R6845&amp;AS[[#This Row],[Age Band Code]]&amp;"; "&amp;S6845&amp;AS[[#This Row],[Sex Code]]</f>
        <v xml:space="preserve">Insurer Code ; Reporting Year ; Insurance Category Code ; Large Provider Entity Code ; Age Band Code ; Sex Code </v>
      </c>
      <c r="N6845" s="345" t="s">
        <v>207</v>
      </c>
      <c r="O6845" s="345" t="s">
        <v>208</v>
      </c>
      <c r="P6845" s="345" t="s">
        <v>209</v>
      </c>
      <c r="Q6845" s="345" t="s">
        <v>210</v>
      </c>
      <c r="R6845" s="345" t="s">
        <v>223</v>
      </c>
      <c r="S6845" s="345" t="s">
        <v>224</v>
      </c>
    </row>
    <row r="6846" spans="1:19" x14ac:dyDescent="0.25">
      <c r="A6846" s="311"/>
      <c r="B6846" s="312"/>
      <c r="C6846" s="312"/>
      <c r="D6846" s="312"/>
      <c r="E6846" s="312"/>
      <c r="F6846" s="312"/>
      <c r="G6846" s="328"/>
      <c r="H6846" s="453"/>
      <c r="I6846" s="334"/>
      <c r="J6846" s="314"/>
      <c r="K6846" s="454"/>
      <c r="M6846" s="349" t="str">
        <f>N6846&amp;AS[[#This Row],[Insurer Code]]&amp;"; "&amp;O6846&amp;AS[[#This Row],[Reporting Year]]&amp;"; "&amp;P6846&amp;AS[[#This Row],[Insurance Category Code]]&amp;"; "&amp;Q6846&amp;AS[[#This Row],[Large Provider Entity Code]]&amp;"; "&amp;R6846&amp;AS[[#This Row],[Age Band Code]]&amp;"; "&amp;S6846&amp;AS[[#This Row],[Sex Code]]</f>
        <v xml:space="preserve">Insurer Code ; Reporting Year ; Insurance Category Code ; Large Provider Entity Code ; Age Band Code ; Sex Code </v>
      </c>
      <c r="N6846" s="345" t="s">
        <v>207</v>
      </c>
      <c r="O6846" s="345" t="s">
        <v>208</v>
      </c>
      <c r="P6846" s="345" t="s">
        <v>209</v>
      </c>
      <c r="Q6846" s="345" t="s">
        <v>210</v>
      </c>
      <c r="R6846" s="345" t="s">
        <v>223</v>
      </c>
      <c r="S6846" s="345" t="s">
        <v>224</v>
      </c>
    </row>
    <row r="6847" spans="1:19" x14ac:dyDescent="0.25">
      <c r="A6847" s="311"/>
      <c r="B6847" s="312"/>
      <c r="C6847" s="312"/>
      <c r="D6847" s="312"/>
      <c r="E6847" s="312"/>
      <c r="F6847" s="312"/>
      <c r="G6847" s="328"/>
      <c r="H6847" s="453"/>
      <c r="I6847" s="334"/>
      <c r="J6847" s="314"/>
      <c r="K6847" s="454"/>
      <c r="M6847" s="349" t="str">
        <f>N6847&amp;AS[[#This Row],[Insurer Code]]&amp;"; "&amp;O6847&amp;AS[[#This Row],[Reporting Year]]&amp;"; "&amp;P6847&amp;AS[[#This Row],[Insurance Category Code]]&amp;"; "&amp;Q6847&amp;AS[[#This Row],[Large Provider Entity Code]]&amp;"; "&amp;R6847&amp;AS[[#This Row],[Age Band Code]]&amp;"; "&amp;S6847&amp;AS[[#This Row],[Sex Code]]</f>
        <v xml:space="preserve">Insurer Code ; Reporting Year ; Insurance Category Code ; Large Provider Entity Code ; Age Band Code ; Sex Code </v>
      </c>
      <c r="N6847" s="345" t="s">
        <v>207</v>
      </c>
      <c r="O6847" s="345" t="s">
        <v>208</v>
      </c>
      <c r="P6847" s="345" t="s">
        <v>209</v>
      </c>
      <c r="Q6847" s="345" t="s">
        <v>210</v>
      </c>
      <c r="R6847" s="345" t="s">
        <v>223</v>
      </c>
      <c r="S6847" s="345" t="s">
        <v>224</v>
      </c>
    </row>
    <row r="6848" spans="1:19" x14ac:dyDescent="0.25">
      <c r="A6848" s="311"/>
      <c r="B6848" s="312"/>
      <c r="C6848" s="312"/>
      <c r="D6848" s="312"/>
      <c r="E6848" s="312"/>
      <c r="F6848" s="312"/>
      <c r="G6848" s="328"/>
      <c r="H6848" s="453"/>
      <c r="I6848" s="334"/>
      <c r="J6848" s="314"/>
      <c r="K6848" s="454"/>
      <c r="M6848" s="349" t="str">
        <f>N6848&amp;AS[[#This Row],[Insurer Code]]&amp;"; "&amp;O6848&amp;AS[[#This Row],[Reporting Year]]&amp;"; "&amp;P6848&amp;AS[[#This Row],[Insurance Category Code]]&amp;"; "&amp;Q6848&amp;AS[[#This Row],[Large Provider Entity Code]]&amp;"; "&amp;R6848&amp;AS[[#This Row],[Age Band Code]]&amp;"; "&amp;S6848&amp;AS[[#This Row],[Sex Code]]</f>
        <v xml:space="preserve">Insurer Code ; Reporting Year ; Insurance Category Code ; Large Provider Entity Code ; Age Band Code ; Sex Code </v>
      </c>
      <c r="N6848" s="345" t="s">
        <v>207</v>
      </c>
      <c r="O6848" s="345" t="s">
        <v>208</v>
      </c>
      <c r="P6848" s="345" t="s">
        <v>209</v>
      </c>
      <c r="Q6848" s="345" t="s">
        <v>210</v>
      </c>
      <c r="R6848" s="345" t="s">
        <v>223</v>
      </c>
      <c r="S6848" s="345" t="s">
        <v>224</v>
      </c>
    </row>
    <row r="6849" spans="1:19" x14ac:dyDescent="0.25">
      <c r="A6849" s="311"/>
      <c r="B6849" s="312"/>
      <c r="C6849" s="312"/>
      <c r="D6849" s="312"/>
      <c r="E6849" s="312"/>
      <c r="F6849" s="312"/>
      <c r="G6849" s="328"/>
      <c r="H6849" s="453"/>
      <c r="I6849" s="334"/>
      <c r="J6849" s="314"/>
      <c r="K6849" s="454"/>
      <c r="M6849" s="349" t="str">
        <f>N6849&amp;AS[[#This Row],[Insurer Code]]&amp;"; "&amp;O6849&amp;AS[[#This Row],[Reporting Year]]&amp;"; "&amp;P6849&amp;AS[[#This Row],[Insurance Category Code]]&amp;"; "&amp;Q6849&amp;AS[[#This Row],[Large Provider Entity Code]]&amp;"; "&amp;R6849&amp;AS[[#This Row],[Age Band Code]]&amp;"; "&amp;S6849&amp;AS[[#This Row],[Sex Code]]</f>
        <v xml:space="preserve">Insurer Code ; Reporting Year ; Insurance Category Code ; Large Provider Entity Code ; Age Band Code ; Sex Code </v>
      </c>
      <c r="N6849" s="345" t="s">
        <v>207</v>
      </c>
      <c r="O6849" s="345" t="s">
        <v>208</v>
      </c>
      <c r="P6849" s="345" t="s">
        <v>209</v>
      </c>
      <c r="Q6849" s="345" t="s">
        <v>210</v>
      </c>
      <c r="R6849" s="345" t="s">
        <v>223</v>
      </c>
      <c r="S6849" s="345" t="s">
        <v>224</v>
      </c>
    </row>
    <row r="6850" spans="1:19" x14ac:dyDescent="0.25">
      <c r="A6850" s="311"/>
      <c r="B6850" s="312"/>
      <c r="C6850" s="312"/>
      <c r="D6850" s="312"/>
      <c r="E6850" s="312"/>
      <c r="F6850" s="312"/>
      <c r="G6850" s="328"/>
      <c r="H6850" s="453"/>
      <c r="I6850" s="334"/>
      <c r="J6850" s="314"/>
      <c r="K6850" s="454"/>
      <c r="M6850" s="349" t="str">
        <f>N6850&amp;AS[[#This Row],[Insurer Code]]&amp;"; "&amp;O6850&amp;AS[[#This Row],[Reporting Year]]&amp;"; "&amp;P6850&amp;AS[[#This Row],[Insurance Category Code]]&amp;"; "&amp;Q6850&amp;AS[[#This Row],[Large Provider Entity Code]]&amp;"; "&amp;R6850&amp;AS[[#This Row],[Age Band Code]]&amp;"; "&amp;S6850&amp;AS[[#This Row],[Sex Code]]</f>
        <v xml:space="preserve">Insurer Code ; Reporting Year ; Insurance Category Code ; Large Provider Entity Code ; Age Band Code ; Sex Code </v>
      </c>
      <c r="N6850" s="345" t="s">
        <v>207</v>
      </c>
      <c r="O6850" s="345" t="s">
        <v>208</v>
      </c>
      <c r="P6850" s="345" t="s">
        <v>209</v>
      </c>
      <c r="Q6850" s="345" t="s">
        <v>210</v>
      </c>
      <c r="R6850" s="345" t="s">
        <v>223</v>
      </c>
      <c r="S6850" s="345" t="s">
        <v>224</v>
      </c>
    </row>
    <row r="6851" spans="1:19" x14ac:dyDescent="0.25">
      <c r="A6851" s="311"/>
      <c r="B6851" s="312"/>
      <c r="C6851" s="312"/>
      <c r="D6851" s="312"/>
      <c r="E6851" s="312"/>
      <c r="F6851" s="312"/>
      <c r="G6851" s="328"/>
      <c r="H6851" s="453"/>
      <c r="I6851" s="334"/>
      <c r="J6851" s="314"/>
      <c r="K6851" s="454"/>
      <c r="M6851" s="349" t="str">
        <f>N6851&amp;AS[[#This Row],[Insurer Code]]&amp;"; "&amp;O6851&amp;AS[[#This Row],[Reporting Year]]&amp;"; "&amp;P6851&amp;AS[[#This Row],[Insurance Category Code]]&amp;"; "&amp;Q6851&amp;AS[[#This Row],[Large Provider Entity Code]]&amp;"; "&amp;R6851&amp;AS[[#This Row],[Age Band Code]]&amp;"; "&amp;S6851&amp;AS[[#This Row],[Sex Code]]</f>
        <v xml:space="preserve">Insurer Code ; Reporting Year ; Insurance Category Code ; Large Provider Entity Code ; Age Band Code ; Sex Code </v>
      </c>
      <c r="N6851" s="345" t="s">
        <v>207</v>
      </c>
      <c r="O6851" s="345" t="s">
        <v>208</v>
      </c>
      <c r="P6851" s="345" t="s">
        <v>209</v>
      </c>
      <c r="Q6851" s="345" t="s">
        <v>210</v>
      </c>
      <c r="R6851" s="345" t="s">
        <v>223</v>
      </c>
      <c r="S6851" s="345" t="s">
        <v>224</v>
      </c>
    </row>
    <row r="6852" spans="1:19" x14ac:dyDescent="0.25">
      <c r="A6852" s="311"/>
      <c r="B6852" s="312"/>
      <c r="C6852" s="312"/>
      <c r="D6852" s="312"/>
      <c r="E6852" s="312"/>
      <c r="F6852" s="312"/>
      <c r="G6852" s="328"/>
      <c r="H6852" s="453"/>
      <c r="I6852" s="334"/>
      <c r="J6852" s="314"/>
      <c r="K6852" s="454"/>
      <c r="M6852" s="349" t="str">
        <f>N6852&amp;AS[[#This Row],[Insurer Code]]&amp;"; "&amp;O6852&amp;AS[[#This Row],[Reporting Year]]&amp;"; "&amp;P6852&amp;AS[[#This Row],[Insurance Category Code]]&amp;"; "&amp;Q6852&amp;AS[[#This Row],[Large Provider Entity Code]]&amp;"; "&amp;R6852&amp;AS[[#This Row],[Age Band Code]]&amp;"; "&amp;S6852&amp;AS[[#This Row],[Sex Code]]</f>
        <v xml:space="preserve">Insurer Code ; Reporting Year ; Insurance Category Code ; Large Provider Entity Code ; Age Band Code ; Sex Code </v>
      </c>
      <c r="N6852" s="345" t="s">
        <v>207</v>
      </c>
      <c r="O6852" s="345" t="s">
        <v>208</v>
      </c>
      <c r="P6852" s="345" t="s">
        <v>209</v>
      </c>
      <c r="Q6852" s="345" t="s">
        <v>210</v>
      </c>
      <c r="R6852" s="345" t="s">
        <v>223</v>
      </c>
      <c r="S6852" s="345" t="s">
        <v>224</v>
      </c>
    </row>
    <row r="6853" spans="1:19" x14ac:dyDescent="0.25">
      <c r="A6853" s="311"/>
      <c r="B6853" s="312"/>
      <c r="C6853" s="312"/>
      <c r="D6853" s="312"/>
      <c r="E6853" s="312"/>
      <c r="F6853" s="312"/>
      <c r="G6853" s="328"/>
      <c r="H6853" s="453"/>
      <c r="I6853" s="334"/>
      <c r="J6853" s="314"/>
      <c r="K6853" s="454"/>
      <c r="M6853" s="349" t="str">
        <f>N6853&amp;AS[[#This Row],[Insurer Code]]&amp;"; "&amp;O6853&amp;AS[[#This Row],[Reporting Year]]&amp;"; "&amp;P6853&amp;AS[[#This Row],[Insurance Category Code]]&amp;"; "&amp;Q6853&amp;AS[[#This Row],[Large Provider Entity Code]]&amp;"; "&amp;R6853&amp;AS[[#This Row],[Age Band Code]]&amp;"; "&amp;S6853&amp;AS[[#This Row],[Sex Code]]</f>
        <v xml:space="preserve">Insurer Code ; Reporting Year ; Insurance Category Code ; Large Provider Entity Code ; Age Band Code ; Sex Code </v>
      </c>
      <c r="N6853" s="345" t="s">
        <v>207</v>
      </c>
      <c r="O6853" s="345" t="s">
        <v>208</v>
      </c>
      <c r="P6853" s="345" t="s">
        <v>209</v>
      </c>
      <c r="Q6853" s="345" t="s">
        <v>210</v>
      </c>
      <c r="R6853" s="345" t="s">
        <v>223</v>
      </c>
      <c r="S6853" s="345" t="s">
        <v>224</v>
      </c>
    </row>
    <row r="6854" spans="1:19" x14ac:dyDescent="0.25">
      <c r="A6854" s="311"/>
      <c r="B6854" s="312"/>
      <c r="C6854" s="312"/>
      <c r="D6854" s="312"/>
      <c r="E6854" s="312"/>
      <c r="F6854" s="312"/>
      <c r="G6854" s="328"/>
      <c r="H6854" s="453"/>
      <c r="I6854" s="334"/>
      <c r="J6854" s="314"/>
      <c r="K6854" s="454"/>
      <c r="M6854" s="349" t="str">
        <f>N6854&amp;AS[[#This Row],[Insurer Code]]&amp;"; "&amp;O6854&amp;AS[[#This Row],[Reporting Year]]&amp;"; "&amp;P6854&amp;AS[[#This Row],[Insurance Category Code]]&amp;"; "&amp;Q6854&amp;AS[[#This Row],[Large Provider Entity Code]]&amp;"; "&amp;R6854&amp;AS[[#This Row],[Age Band Code]]&amp;"; "&amp;S6854&amp;AS[[#This Row],[Sex Code]]</f>
        <v xml:space="preserve">Insurer Code ; Reporting Year ; Insurance Category Code ; Large Provider Entity Code ; Age Band Code ; Sex Code </v>
      </c>
      <c r="N6854" s="345" t="s">
        <v>207</v>
      </c>
      <c r="O6854" s="345" t="s">
        <v>208</v>
      </c>
      <c r="P6854" s="345" t="s">
        <v>209</v>
      </c>
      <c r="Q6854" s="345" t="s">
        <v>210</v>
      </c>
      <c r="R6854" s="345" t="s">
        <v>223</v>
      </c>
      <c r="S6854" s="345" t="s">
        <v>224</v>
      </c>
    </row>
    <row r="6855" spans="1:19" x14ac:dyDescent="0.25">
      <c r="A6855" s="311"/>
      <c r="B6855" s="312"/>
      <c r="C6855" s="312"/>
      <c r="D6855" s="312"/>
      <c r="E6855" s="312"/>
      <c r="F6855" s="312"/>
      <c r="G6855" s="328"/>
      <c r="H6855" s="453"/>
      <c r="I6855" s="334"/>
      <c r="J6855" s="314"/>
      <c r="K6855" s="454"/>
      <c r="M6855" s="349" t="str">
        <f>N6855&amp;AS[[#This Row],[Insurer Code]]&amp;"; "&amp;O6855&amp;AS[[#This Row],[Reporting Year]]&amp;"; "&amp;P6855&amp;AS[[#This Row],[Insurance Category Code]]&amp;"; "&amp;Q6855&amp;AS[[#This Row],[Large Provider Entity Code]]&amp;"; "&amp;R6855&amp;AS[[#This Row],[Age Band Code]]&amp;"; "&amp;S6855&amp;AS[[#This Row],[Sex Code]]</f>
        <v xml:space="preserve">Insurer Code ; Reporting Year ; Insurance Category Code ; Large Provider Entity Code ; Age Band Code ; Sex Code </v>
      </c>
      <c r="N6855" s="345" t="s">
        <v>207</v>
      </c>
      <c r="O6855" s="345" t="s">
        <v>208</v>
      </c>
      <c r="P6855" s="345" t="s">
        <v>209</v>
      </c>
      <c r="Q6855" s="345" t="s">
        <v>210</v>
      </c>
      <c r="R6855" s="345" t="s">
        <v>223</v>
      </c>
      <c r="S6855" s="345" t="s">
        <v>224</v>
      </c>
    </row>
    <row r="6856" spans="1:19" x14ac:dyDescent="0.25">
      <c r="A6856" s="311"/>
      <c r="B6856" s="312"/>
      <c r="C6856" s="312"/>
      <c r="D6856" s="312"/>
      <c r="E6856" s="312"/>
      <c r="F6856" s="312"/>
      <c r="G6856" s="328"/>
      <c r="H6856" s="453"/>
      <c r="I6856" s="334"/>
      <c r="J6856" s="314"/>
      <c r="K6856" s="454"/>
      <c r="M6856" s="349" t="str">
        <f>N6856&amp;AS[[#This Row],[Insurer Code]]&amp;"; "&amp;O6856&amp;AS[[#This Row],[Reporting Year]]&amp;"; "&amp;P6856&amp;AS[[#This Row],[Insurance Category Code]]&amp;"; "&amp;Q6856&amp;AS[[#This Row],[Large Provider Entity Code]]&amp;"; "&amp;R6856&amp;AS[[#This Row],[Age Band Code]]&amp;"; "&amp;S6856&amp;AS[[#This Row],[Sex Code]]</f>
        <v xml:space="preserve">Insurer Code ; Reporting Year ; Insurance Category Code ; Large Provider Entity Code ; Age Band Code ; Sex Code </v>
      </c>
      <c r="N6856" s="345" t="s">
        <v>207</v>
      </c>
      <c r="O6856" s="345" t="s">
        <v>208</v>
      </c>
      <c r="P6856" s="345" t="s">
        <v>209</v>
      </c>
      <c r="Q6856" s="345" t="s">
        <v>210</v>
      </c>
      <c r="R6856" s="345" t="s">
        <v>223</v>
      </c>
      <c r="S6856" s="345" t="s">
        <v>224</v>
      </c>
    </row>
    <row r="6857" spans="1:19" x14ac:dyDescent="0.25">
      <c r="A6857" s="311"/>
      <c r="B6857" s="312"/>
      <c r="C6857" s="312"/>
      <c r="D6857" s="312"/>
      <c r="E6857" s="312"/>
      <c r="F6857" s="312"/>
      <c r="G6857" s="328"/>
      <c r="H6857" s="453"/>
      <c r="I6857" s="334"/>
      <c r="J6857" s="314"/>
      <c r="K6857" s="454"/>
      <c r="M6857" s="349" t="str">
        <f>N6857&amp;AS[[#This Row],[Insurer Code]]&amp;"; "&amp;O6857&amp;AS[[#This Row],[Reporting Year]]&amp;"; "&amp;P6857&amp;AS[[#This Row],[Insurance Category Code]]&amp;"; "&amp;Q6857&amp;AS[[#This Row],[Large Provider Entity Code]]&amp;"; "&amp;R6857&amp;AS[[#This Row],[Age Band Code]]&amp;"; "&amp;S6857&amp;AS[[#This Row],[Sex Code]]</f>
        <v xml:space="preserve">Insurer Code ; Reporting Year ; Insurance Category Code ; Large Provider Entity Code ; Age Band Code ; Sex Code </v>
      </c>
      <c r="N6857" s="345" t="s">
        <v>207</v>
      </c>
      <c r="O6857" s="345" t="s">
        <v>208</v>
      </c>
      <c r="P6857" s="345" t="s">
        <v>209</v>
      </c>
      <c r="Q6857" s="345" t="s">
        <v>210</v>
      </c>
      <c r="R6857" s="345" t="s">
        <v>223</v>
      </c>
      <c r="S6857" s="345" t="s">
        <v>224</v>
      </c>
    </row>
    <row r="6858" spans="1:19" x14ac:dyDescent="0.25">
      <c r="A6858" s="311"/>
      <c r="B6858" s="312"/>
      <c r="C6858" s="312"/>
      <c r="D6858" s="312"/>
      <c r="E6858" s="312"/>
      <c r="F6858" s="312"/>
      <c r="G6858" s="328"/>
      <c r="H6858" s="453"/>
      <c r="I6858" s="334"/>
      <c r="J6858" s="314"/>
      <c r="K6858" s="454"/>
      <c r="M6858" s="349" t="str">
        <f>N6858&amp;AS[[#This Row],[Insurer Code]]&amp;"; "&amp;O6858&amp;AS[[#This Row],[Reporting Year]]&amp;"; "&amp;P6858&amp;AS[[#This Row],[Insurance Category Code]]&amp;"; "&amp;Q6858&amp;AS[[#This Row],[Large Provider Entity Code]]&amp;"; "&amp;R6858&amp;AS[[#This Row],[Age Band Code]]&amp;"; "&amp;S6858&amp;AS[[#This Row],[Sex Code]]</f>
        <v xml:space="preserve">Insurer Code ; Reporting Year ; Insurance Category Code ; Large Provider Entity Code ; Age Band Code ; Sex Code </v>
      </c>
      <c r="N6858" s="345" t="s">
        <v>207</v>
      </c>
      <c r="O6858" s="345" t="s">
        <v>208</v>
      </c>
      <c r="P6858" s="345" t="s">
        <v>209</v>
      </c>
      <c r="Q6858" s="345" t="s">
        <v>210</v>
      </c>
      <c r="R6858" s="345" t="s">
        <v>223</v>
      </c>
      <c r="S6858" s="345" t="s">
        <v>224</v>
      </c>
    </row>
    <row r="6859" spans="1:19" x14ac:dyDescent="0.25">
      <c r="A6859" s="311"/>
      <c r="B6859" s="312"/>
      <c r="C6859" s="312"/>
      <c r="D6859" s="312"/>
      <c r="E6859" s="312"/>
      <c r="F6859" s="312"/>
      <c r="G6859" s="328"/>
      <c r="H6859" s="453"/>
      <c r="I6859" s="334"/>
      <c r="J6859" s="314"/>
      <c r="K6859" s="454"/>
      <c r="M6859" s="349" t="str">
        <f>N6859&amp;AS[[#This Row],[Insurer Code]]&amp;"; "&amp;O6859&amp;AS[[#This Row],[Reporting Year]]&amp;"; "&amp;P6859&amp;AS[[#This Row],[Insurance Category Code]]&amp;"; "&amp;Q6859&amp;AS[[#This Row],[Large Provider Entity Code]]&amp;"; "&amp;R6859&amp;AS[[#This Row],[Age Band Code]]&amp;"; "&amp;S6859&amp;AS[[#This Row],[Sex Code]]</f>
        <v xml:space="preserve">Insurer Code ; Reporting Year ; Insurance Category Code ; Large Provider Entity Code ; Age Band Code ; Sex Code </v>
      </c>
      <c r="N6859" s="345" t="s">
        <v>207</v>
      </c>
      <c r="O6859" s="345" t="s">
        <v>208</v>
      </c>
      <c r="P6859" s="345" t="s">
        <v>209</v>
      </c>
      <c r="Q6859" s="345" t="s">
        <v>210</v>
      </c>
      <c r="R6859" s="345" t="s">
        <v>223</v>
      </c>
      <c r="S6859" s="345" t="s">
        <v>224</v>
      </c>
    </row>
    <row r="6860" spans="1:19" x14ac:dyDescent="0.25">
      <c r="A6860" s="311"/>
      <c r="B6860" s="312"/>
      <c r="C6860" s="312"/>
      <c r="D6860" s="312"/>
      <c r="E6860" s="312"/>
      <c r="F6860" s="312"/>
      <c r="G6860" s="328"/>
      <c r="H6860" s="453"/>
      <c r="I6860" s="334"/>
      <c r="J6860" s="314"/>
      <c r="K6860" s="454"/>
      <c r="M6860" s="349" t="str">
        <f>N6860&amp;AS[[#This Row],[Insurer Code]]&amp;"; "&amp;O6860&amp;AS[[#This Row],[Reporting Year]]&amp;"; "&amp;P6860&amp;AS[[#This Row],[Insurance Category Code]]&amp;"; "&amp;Q6860&amp;AS[[#This Row],[Large Provider Entity Code]]&amp;"; "&amp;R6860&amp;AS[[#This Row],[Age Band Code]]&amp;"; "&amp;S6860&amp;AS[[#This Row],[Sex Code]]</f>
        <v xml:space="preserve">Insurer Code ; Reporting Year ; Insurance Category Code ; Large Provider Entity Code ; Age Band Code ; Sex Code </v>
      </c>
      <c r="N6860" s="345" t="s">
        <v>207</v>
      </c>
      <c r="O6860" s="345" t="s">
        <v>208</v>
      </c>
      <c r="P6860" s="345" t="s">
        <v>209</v>
      </c>
      <c r="Q6860" s="345" t="s">
        <v>210</v>
      </c>
      <c r="R6860" s="345" t="s">
        <v>223</v>
      </c>
      <c r="S6860" s="345" t="s">
        <v>224</v>
      </c>
    </row>
    <row r="6861" spans="1:19" x14ac:dyDescent="0.25">
      <c r="A6861" s="311"/>
      <c r="B6861" s="312"/>
      <c r="C6861" s="312"/>
      <c r="D6861" s="312"/>
      <c r="E6861" s="312"/>
      <c r="F6861" s="312"/>
      <c r="G6861" s="328"/>
      <c r="H6861" s="453"/>
      <c r="I6861" s="334"/>
      <c r="J6861" s="314"/>
      <c r="K6861" s="454"/>
      <c r="M6861" s="349" t="str">
        <f>N6861&amp;AS[[#This Row],[Insurer Code]]&amp;"; "&amp;O6861&amp;AS[[#This Row],[Reporting Year]]&amp;"; "&amp;P6861&amp;AS[[#This Row],[Insurance Category Code]]&amp;"; "&amp;Q6861&amp;AS[[#This Row],[Large Provider Entity Code]]&amp;"; "&amp;R6861&amp;AS[[#This Row],[Age Band Code]]&amp;"; "&amp;S6861&amp;AS[[#This Row],[Sex Code]]</f>
        <v xml:space="preserve">Insurer Code ; Reporting Year ; Insurance Category Code ; Large Provider Entity Code ; Age Band Code ; Sex Code </v>
      </c>
      <c r="N6861" s="345" t="s">
        <v>207</v>
      </c>
      <c r="O6861" s="345" t="s">
        <v>208</v>
      </c>
      <c r="P6861" s="345" t="s">
        <v>209</v>
      </c>
      <c r="Q6861" s="345" t="s">
        <v>210</v>
      </c>
      <c r="R6861" s="345" t="s">
        <v>223</v>
      </c>
      <c r="S6861" s="345" t="s">
        <v>224</v>
      </c>
    </row>
    <row r="6862" spans="1:19" x14ac:dyDescent="0.25">
      <c r="A6862" s="311"/>
      <c r="B6862" s="312"/>
      <c r="C6862" s="312"/>
      <c r="D6862" s="312"/>
      <c r="E6862" s="312"/>
      <c r="F6862" s="312"/>
      <c r="G6862" s="328"/>
      <c r="H6862" s="453"/>
      <c r="I6862" s="334"/>
      <c r="J6862" s="314"/>
      <c r="K6862" s="454"/>
      <c r="M6862" s="349" t="str">
        <f>N6862&amp;AS[[#This Row],[Insurer Code]]&amp;"; "&amp;O6862&amp;AS[[#This Row],[Reporting Year]]&amp;"; "&amp;P6862&amp;AS[[#This Row],[Insurance Category Code]]&amp;"; "&amp;Q6862&amp;AS[[#This Row],[Large Provider Entity Code]]&amp;"; "&amp;R6862&amp;AS[[#This Row],[Age Band Code]]&amp;"; "&amp;S6862&amp;AS[[#This Row],[Sex Code]]</f>
        <v xml:space="preserve">Insurer Code ; Reporting Year ; Insurance Category Code ; Large Provider Entity Code ; Age Band Code ; Sex Code </v>
      </c>
      <c r="N6862" s="345" t="s">
        <v>207</v>
      </c>
      <c r="O6862" s="345" t="s">
        <v>208</v>
      </c>
      <c r="P6862" s="345" t="s">
        <v>209</v>
      </c>
      <c r="Q6862" s="345" t="s">
        <v>210</v>
      </c>
      <c r="R6862" s="345" t="s">
        <v>223</v>
      </c>
      <c r="S6862" s="345" t="s">
        <v>224</v>
      </c>
    </row>
    <row r="6863" spans="1:19" x14ac:dyDescent="0.25">
      <c r="A6863" s="311"/>
      <c r="B6863" s="312"/>
      <c r="C6863" s="312"/>
      <c r="D6863" s="312"/>
      <c r="E6863" s="312"/>
      <c r="F6863" s="312"/>
      <c r="G6863" s="328"/>
      <c r="H6863" s="453"/>
      <c r="I6863" s="334"/>
      <c r="J6863" s="314"/>
      <c r="K6863" s="454"/>
      <c r="M6863" s="349" t="str">
        <f>N6863&amp;AS[[#This Row],[Insurer Code]]&amp;"; "&amp;O6863&amp;AS[[#This Row],[Reporting Year]]&amp;"; "&amp;P6863&amp;AS[[#This Row],[Insurance Category Code]]&amp;"; "&amp;Q6863&amp;AS[[#This Row],[Large Provider Entity Code]]&amp;"; "&amp;R6863&amp;AS[[#This Row],[Age Band Code]]&amp;"; "&amp;S6863&amp;AS[[#This Row],[Sex Code]]</f>
        <v xml:space="preserve">Insurer Code ; Reporting Year ; Insurance Category Code ; Large Provider Entity Code ; Age Band Code ; Sex Code </v>
      </c>
      <c r="N6863" s="345" t="s">
        <v>207</v>
      </c>
      <c r="O6863" s="345" t="s">
        <v>208</v>
      </c>
      <c r="P6863" s="345" t="s">
        <v>209</v>
      </c>
      <c r="Q6863" s="345" t="s">
        <v>210</v>
      </c>
      <c r="R6863" s="345" t="s">
        <v>223</v>
      </c>
      <c r="S6863" s="345" t="s">
        <v>224</v>
      </c>
    </row>
    <row r="6864" spans="1:19" x14ac:dyDescent="0.25">
      <c r="A6864" s="311"/>
      <c r="B6864" s="312"/>
      <c r="C6864" s="312"/>
      <c r="D6864" s="312"/>
      <c r="E6864" s="312"/>
      <c r="F6864" s="312"/>
      <c r="G6864" s="328"/>
      <c r="H6864" s="453"/>
      <c r="I6864" s="334"/>
      <c r="J6864" s="314"/>
      <c r="K6864" s="454"/>
      <c r="M6864" s="349" t="str">
        <f>N6864&amp;AS[[#This Row],[Insurer Code]]&amp;"; "&amp;O6864&amp;AS[[#This Row],[Reporting Year]]&amp;"; "&amp;P6864&amp;AS[[#This Row],[Insurance Category Code]]&amp;"; "&amp;Q6864&amp;AS[[#This Row],[Large Provider Entity Code]]&amp;"; "&amp;R6864&amp;AS[[#This Row],[Age Band Code]]&amp;"; "&amp;S6864&amp;AS[[#This Row],[Sex Code]]</f>
        <v xml:space="preserve">Insurer Code ; Reporting Year ; Insurance Category Code ; Large Provider Entity Code ; Age Band Code ; Sex Code </v>
      </c>
      <c r="N6864" s="345" t="s">
        <v>207</v>
      </c>
      <c r="O6864" s="345" t="s">
        <v>208</v>
      </c>
      <c r="P6864" s="345" t="s">
        <v>209</v>
      </c>
      <c r="Q6864" s="345" t="s">
        <v>210</v>
      </c>
      <c r="R6864" s="345" t="s">
        <v>223</v>
      </c>
      <c r="S6864" s="345" t="s">
        <v>224</v>
      </c>
    </row>
    <row r="6865" spans="1:19" x14ac:dyDescent="0.25">
      <c r="A6865" s="311"/>
      <c r="B6865" s="312"/>
      <c r="C6865" s="312"/>
      <c r="D6865" s="312"/>
      <c r="E6865" s="312"/>
      <c r="F6865" s="312"/>
      <c r="G6865" s="328"/>
      <c r="H6865" s="453"/>
      <c r="I6865" s="334"/>
      <c r="J6865" s="314"/>
      <c r="K6865" s="454"/>
      <c r="M6865" s="349" t="str">
        <f>N6865&amp;AS[[#This Row],[Insurer Code]]&amp;"; "&amp;O6865&amp;AS[[#This Row],[Reporting Year]]&amp;"; "&amp;P6865&amp;AS[[#This Row],[Insurance Category Code]]&amp;"; "&amp;Q6865&amp;AS[[#This Row],[Large Provider Entity Code]]&amp;"; "&amp;R6865&amp;AS[[#This Row],[Age Band Code]]&amp;"; "&amp;S6865&amp;AS[[#This Row],[Sex Code]]</f>
        <v xml:space="preserve">Insurer Code ; Reporting Year ; Insurance Category Code ; Large Provider Entity Code ; Age Band Code ; Sex Code </v>
      </c>
      <c r="N6865" s="345" t="s">
        <v>207</v>
      </c>
      <c r="O6865" s="345" t="s">
        <v>208</v>
      </c>
      <c r="P6865" s="345" t="s">
        <v>209</v>
      </c>
      <c r="Q6865" s="345" t="s">
        <v>210</v>
      </c>
      <c r="R6865" s="345" t="s">
        <v>223</v>
      </c>
      <c r="S6865" s="345" t="s">
        <v>224</v>
      </c>
    </row>
    <row r="6866" spans="1:19" x14ac:dyDescent="0.25">
      <c r="A6866" s="311"/>
      <c r="B6866" s="312"/>
      <c r="C6866" s="312"/>
      <c r="D6866" s="312"/>
      <c r="E6866" s="312"/>
      <c r="F6866" s="312"/>
      <c r="G6866" s="328"/>
      <c r="H6866" s="453"/>
      <c r="I6866" s="334"/>
      <c r="J6866" s="314"/>
      <c r="K6866" s="454"/>
      <c r="M6866" s="349" t="str">
        <f>N6866&amp;AS[[#This Row],[Insurer Code]]&amp;"; "&amp;O6866&amp;AS[[#This Row],[Reporting Year]]&amp;"; "&amp;P6866&amp;AS[[#This Row],[Insurance Category Code]]&amp;"; "&amp;Q6866&amp;AS[[#This Row],[Large Provider Entity Code]]&amp;"; "&amp;R6866&amp;AS[[#This Row],[Age Band Code]]&amp;"; "&amp;S6866&amp;AS[[#This Row],[Sex Code]]</f>
        <v xml:space="preserve">Insurer Code ; Reporting Year ; Insurance Category Code ; Large Provider Entity Code ; Age Band Code ; Sex Code </v>
      </c>
      <c r="N6866" s="345" t="s">
        <v>207</v>
      </c>
      <c r="O6866" s="345" t="s">
        <v>208</v>
      </c>
      <c r="P6866" s="345" t="s">
        <v>209</v>
      </c>
      <c r="Q6866" s="345" t="s">
        <v>210</v>
      </c>
      <c r="R6866" s="345" t="s">
        <v>223</v>
      </c>
      <c r="S6866" s="345" t="s">
        <v>224</v>
      </c>
    </row>
    <row r="6867" spans="1:19" x14ac:dyDescent="0.25">
      <c r="A6867" s="311"/>
      <c r="B6867" s="312"/>
      <c r="C6867" s="312"/>
      <c r="D6867" s="312"/>
      <c r="E6867" s="312"/>
      <c r="F6867" s="312"/>
      <c r="G6867" s="328"/>
      <c r="H6867" s="453"/>
      <c r="I6867" s="334"/>
      <c r="J6867" s="314"/>
      <c r="K6867" s="454"/>
      <c r="M6867" s="349" t="str">
        <f>N6867&amp;AS[[#This Row],[Insurer Code]]&amp;"; "&amp;O6867&amp;AS[[#This Row],[Reporting Year]]&amp;"; "&amp;P6867&amp;AS[[#This Row],[Insurance Category Code]]&amp;"; "&amp;Q6867&amp;AS[[#This Row],[Large Provider Entity Code]]&amp;"; "&amp;R6867&amp;AS[[#This Row],[Age Band Code]]&amp;"; "&amp;S6867&amp;AS[[#This Row],[Sex Code]]</f>
        <v xml:space="preserve">Insurer Code ; Reporting Year ; Insurance Category Code ; Large Provider Entity Code ; Age Band Code ; Sex Code </v>
      </c>
      <c r="N6867" s="345" t="s">
        <v>207</v>
      </c>
      <c r="O6867" s="345" t="s">
        <v>208</v>
      </c>
      <c r="P6867" s="345" t="s">
        <v>209</v>
      </c>
      <c r="Q6867" s="345" t="s">
        <v>210</v>
      </c>
      <c r="R6867" s="345" t="s">
        <v>223</v>
      </c>
      <c r="S6867" s="345" t="s">
        <v>224</v>
      </c>
    </row>
    <row r="6868" spans="1:19" x14ac:dyDescent="0.25">
      <c r="A6868" s="311"/>
      <c r="B6868" s="312"/>
      <c r="C6868" s="312"/>
      <c r="D6868" s="312"/>
      <c r="E6868" s="312"/>
      <c r="F6868" s="312"/>
      <c r="G6868" s="328"/>
      <c r="H6868" s="453"/>
      <c r="I6868" s="334"/>
      <c r="J6868" s="314"/>
      <c r="K6868" s="454"/>
      <c r="M6868" s="349" t="str">
        <f>N6868&amp;AS[[#This Row],[Insurer Code]]&amp;"; "&amp;O6868&amp;AS[[#This Row],[Reporting Year]]&amp;"; "&amp;P6868&amp;AS[[#This Row],[Insurance Category Code]]&amp;"; "&amp;Q6868&amp;AS[[#This Row],[Large Provider Entity Code]]&amp;"; "&amp;R6868&amp;AS[[#This Row],[Age Band Code]]&amp;"; "&amp;S6868&amp;AS[[#This Row],[Sex Code]]</f>
        <v xml:space="preserve">Insurer Code ; Reporting Year ; Insurance Category Code ; Large Provider Entity Code ; Age Band Code ; Sex Code </v>
      </c>
      <c r="N6868" s="345" t="s">
        <v>207</v>
      </c>
      <c r="O6868" s="345" t="s">
        <v>208</v>
      </c>
      <c r="P6868" s="345" t="s">
        <v>209</v>
      </c>
      <c r="Q6868" s="345" t="s">
        <v>210</v>
      </c>
      <c r="R6868" s="345" t="s">
        <v>223</v>
      </c>
      <c r="S6868" s="345" t="s">
        <v>224</v>
      </c>
    </row>
    <row r="6869" spans="1:19" x14ac:dyDescent="0.25">
      <c r="A6869" s="311"/>
      <c r="B6869" s="312"/>
      <c r="C6869" s="312"/>
      <c r="D6869" s="312"/>
      <c r="E6869" s="312"/>
      <c r="F6869" s="312"/>
      <c r="G6869" s="328"/>
      <c r="H6869" s="453"/>
      <c r="I6869" s="334"/>
      <c r="J6869" s="314"/>
      <c r="K6869" s="454"/>
      <c r="M6869" s="349" t="str">
        <f>N6869&amp;AS[[#This Row],[Insurer Code]]&amp;"; "&amp;O6869&amp;AS[[#This Row],[Reporting Year]]&amp;"; "&amp;P6869&amp;AS[[#This Row],[Insurance Category Code]]&amp;"; "&amp;Q6869&amp;AS[[#This Row],[Large Provider Entity Code]]&amp;"; "&amp;R6869&amp;AS[[#This Row],[Age Band Code]]&amp;"; "&amp;S6869&amp;AS[[#This Row],[Sex Code]]</f>
        <v xml:space="preserve">Insurer Code ; Reporting Year ; Insurance Category Code ; Large Provider Entity Code ; Age Band Code ; Sex Code </v>
      </c>
      <c r="N6869" s="345" t="s">
        <v>207</v>
      </c>
      <c r="O6869" s="345" t="s">
        <v>208</v>
      </c>
      <c r="P6869" s="345" t="s">
        <v>209</v>
      </c>
      <c r="Q6869" s="345" t="s">
        <v>210</v>
      </c>
      <c r="R6869" s="345" t="s">
        <v>223</v>
      </c>
      <c r="S6869" s="345" t="s">
        <v>224</v>
      </c>
    </row>
    <row r="6870" spans="1:19" x14ac:dyDescent="0.25">
      <c r="A6870" s="311"/>
      <c r="B6870" s="312"/>
      <c r="C6870" s="312"/>
      <c r="D6870" s="312"/>
      <c r="E6870" s="312"/>
      <c r="F6870" s="312"/>
      <c r="G6870" s="328"/>
      <c r="H6870" s="453"/>
      <c r="I6870" s="334"/>
      <c r="J6870" s="314"/>
      <c r="K6870" s="454"/>
      <c r="M6870" s="349" t="str">
        <f>N6870&amp;AS[[#This Row],[Insurer Code]]&amp;"; "&amp;O6870&amp;AS[[#This Row],[Reporting Year]]&amp;"; "&amp;P6870&amp;AS[[#This Row],[Insurance Category Code]]&amp;"; "&amp;Q6870&amp;AS[[#This Row],[Large Provider Entity Code]]&amp;"; "&amp;R6870&amp;AS[[#This Row],[Age Band Code]]&amp;"; "&amp;S6870&amp;AS[[#This Row],[Sex Code]]</f>
        <v xml:space="preserve">Insurer Code ; Reporting Year ; Insurance Category Code ; Large Provider Entity Code ; Age Band Code ; Sex Code </v>
      </c>
      <c r="N6870" s="345" t="s">
        <v>207</v>
      </c>
      <c r="O6870" s="345" t="s">
        <v>208</v>
      </c>
      <c r="P6870" s="345" t="s">
        <v>209</v>
      </c>
      <c r="Q6870" s="345" t="s">
        <v>210</v>
      </c>
      <c r="R6870" s="345" t="s">
        <v>223</v>
      </c>
      <c r="S6870" s="345" t="s">
        <v>224</v>
      </c>
    </row>
    <row r="6871" spans="1:19" x14ac:dyDescent="0.25">
      <c r="A6871" s="311"/>
      <c r="B6871" s="312"/>
      <c r="C6871" s="312"/>
      <c r="D6871" s="312"/>
      <c r="E6871" s="312"/>
      <c r="F6871" s="312"/>
      <c r="G6871" s="328"/>
      <c r="H6871" s="453"/>
      <c r="I6871" s="334"/>
      <c r="J6871" s="314"/>
      <c r="K6871" s="454"/>
      <c r="M6871" s="349" t="str">
        <f>N6871&amp;AS[[#This Row],[Insurer Code]]&amp;"; "&amp;O6871&amp;AS[[#This Row],[Reporting Year]]&amp;"; "&amp;P6871&amp;AS[[#This Row],[Insurance Category Code]]&amp;"; "&amp;Q6871&amp;AS[[#This Row],[Large Provider Entity Code]]&amp;"; "&amp;R6871&amp;AS[[#This Row],[Age Band Code]]&amp;"; "&amp;S6871&amp;AS[[#This Row],[Sex Code]]</f>
        <v xml:space="preserve">Insurer Code ; Reporting Year ; Insurance Category Code ; Large Provider Entity Code ; Age Band Code ; Sex Code </v>
      </c>
      <c r="N6871" s="345" t="s">
        <v>207</v>
      </c>
      <c r="O6871" s="345" t="s">
        <v>208</v>
      </c>
      <c r="P6871" s="345" t="s">
        <v>209</v>
      </c>
      <c r="Q6871" s="345" t="s">
        <v>210</v>
      </c>
      <c r="R6871" s="345" t="s">
        <v>223</v>
      </c>
      <c r="S6871" s="345" t="s">
        <v>224</v>
      </c>
    </row>
    <row r="6872" spans="1:19" x14ac:dyDescent="0.25">
      <c r="A6872" s="311"/>
      <c r="B6872" s="312"/>
      <c r="C6872" s="312"/>
      <c r="D6872" s="312"/>
      <c r="E6872" s="312"/>
      <c r="F6872" s="312"/>
      <c r="G6872" s="328"/>
      <c r="H6872" s="453"/>
      <c r="I6872" s="334"/>
      <c r="J6872" s="314"/>
      <c r="K6872" s="454"/>
      <c r="M6872" s="349" t="str">
        <f>N6872&amp;AS[[#This Row],[Insurer Code]]&amp;"; "&amp;O6872&amp;AS[[#This Row],[Reporting Year]]&amp;"; "&amp;P6872&amp;AS[[#This Row],[Insurance Category Code]]&amp;"; "&amp;Q6872&amp;AS[[#This Row],[Large Provider Entity Code]]&amp;"; "&amp;R6872&amp;AS[[#This Row],[Age Band Code]]&amp;"; "&amp;S6872&amp;AS[[#This Row],[Sex Code]]</f>
        <v xml:space="preserve">Insurer Code ; Reporting Year ; Insurance Category Code ; Large Provider Entity Code ; Age Band Code ; Sex Code </v>
      </c>
      <c r="N6872" s="345" t="s">
        <v>207</v>
      </c>
      <c r="O6872" s="345" t="s">
        <v>208</v>
      </c>
      <c r="P6872" s="345" t="s">
        <v>209</v>
      </c>
      <c r="Q6872" s="345" t="s">
        <v>210</v>
      </c>
      <c r="R6872" s="345" t="s">
        <v>223</v>
      </c>
      <c r="S6872" s="345" t="s">
        <v>224</v>
      </c>
    </row>
    <row r="6873" spans="1:19" x14ac:dyDescent="0.25">
      <c r="A6873" s="311"/>
      <c r="B6873" s="312"/>
      <c r="C6873" s="312"/>
      <c r="D6873" s="312"/>
      <c r="E6873" s="312"/>
      <c r="F6873" s="312"/>
      <c r="G6873" s="328"/>
      <c r="H6873" s="453"/>
      <c r="I6873" s="334"/>
      <c r="J6873" s="314"/>
      <c r="K6873" s="454"/>
      <c r="M6873" s="349" t="str">
        <f>N6873&amp;AS[[#This Row],[Insurer Code]]&amp;"; "&amp;O6873&amp;AS[[#This Row],[Reporting Year]]&amp;"; "&amp;P6873&amp;AS[[#This Row],[Insurance Category Code]]&amp;"; "&amp;Q6873&amp;AS[[#This Row],[Large Provider Entity Code]]&amp;"; "&amp;R6873&amp;AS[[#This Row],[Age Band Code]]&amp;"; "&amp;S6873&amp;AS[[#This Row],[Sex Code]]</f>
        <v xml:space="preserve">Insurer Code ; Reporting Year ; Insurance Category Code ; Large Provider Entity Code ; Age Band Code ; Sex Code </v>
      </c>
      <c r="N6873" s="345" t="s">
        <v>207</v>
      </c>
      <c r="O6873" s="345" t="s">
        <v>208</v>
      </c>
      <c r="P6873" s="345" t="s">
        <v>209</v>
      </c>
      <c r="Q6873" s="345" t="s">
        <v>210</v>
      </c>
      <c r="R6873" s="345" t="s">
        <v>223</v>
      </c>
      <c r="S6873" s="345" t="s">
        <v>224</v>
      </c>
    </row>
    <row r="6874" spans="1:19" x14ac:dyDescent="0.25">
      <c r="A6874" s="311"/>
      <c r="B6874" s="312"/>
      <c r="C6874" s="312"/>
      <c r="D6874" s="312"/>
      <c r="E6874" s="312"/>
      <c r="F6874" s="312"/>
      <c r="G6874" s="328"/>
      <c r="H6874" s="453"/>
      <c r="I6874" s="334"/>
      <c r="J6874" s="314"/>
      <c r="K6874" s="454"/>
      <c r="M6874" s="349" t="str">
        <f>N6874&amp;AS[[#This Row],[Insurer Code]]&amp;"; "&amp;O6874&amp;AS[[#This Row],[Reporting Year]]&amp;"; "&amp;P6874&amp;AS[[#This Row],[Insurance Category Code]]&amp;"; "&amp;Q6874&amp;AS[[#This Row],[Large Provider Entity Code]]&amp;"; "&amp;R6874&amp;AS[[#This Row],[Age Band Code]]&amp;"; "&amp;S6874&amp;AS[[#This Row],[Sex Code]]</f>
        <v xml:space="preserve">Insurer Code ; Reporting Year ; Insurance Category Code ; Large Provider Entity Code ; Age Band Code ; Sex Code </v>
      </c>
      <c r="N6874" s="345" t="s">
        <v>207</v>
      </c>
      <c r="O6874" s="345" t="s">
        <v>208</v>
      </c>
      <c r="P6874" s="345" t="s">
        <v>209</v>
      </c>
      <c r="Q6874" s="345" t="s">
        <v>210</v>
      </c>
      <c r="R6874" s="345" t="s">
        <v>223</v>
      </c>
      <c r="S6874" s="345" t="s">
        <v>224</v>
      </c>
    </row>
    <row r="6875" spans="1:19" x14ac:dyDescent="0.25">
      <c r="A6875" s="311"/>
      <c r="B6875" s="312"/>
      <c r="C6875" s="312"/>
      <c r="D6875" s="312"/>
      <c r="E6875" s="312"/>
      <c r="F6875" s="312"/>
      <c r="G6875" s="328"/>
      <c r="H6875" s="453"/>
      <c r="I6875" s="334"/>
      <c r="J6875" s="314"/>
      <c r="K6875" s="454"/>
      <c r="M6875" s="349" t="str">
        <f>N6875&amp;AS[[#This Row],[Insurer Code]]&amp;"; "&amp;O6875&amp;AS[[#This Row],[Reporting Year]]&amp;"; "&amp;P6875&amp;AS[[#This Row],[Insurance Category Code]]&amp;"; "&amp;Q6875&amp;AS[[#This Row],[Large Provider Entity Code]]&amp;"; "&amp;R6875&amp;AS[[#This Row],[Age Band Code]]&amp;"; "&amp;S6875&amp;AS[[#This Row],[Sex Code]]</f>
        <v xml:space="preserve">Insurer Code ; Reporting Year ; Insurance Category Code ; Large Provider Entity Code ; Age Band Code ; Sex Code </v>
      </c>
      <c r="N6875" s="345" t="s">
        <v>207</v>
      </c>
      <c r="O6875" s="345" t="s">
        <v>208</v>
      </c>
      <c r="P6875" s="345" t="s">
        <v>209</v>
      </c>
      <c r="Q6875" s="345" t="s">
        <v>210</v>
      </c>
      <c r="R6875" s="345" t="s">
        <v>223</v>
      </c>
      <c r="S6875" s="345" t="s">
        <v>224</v>
      </c>
    </row>
    <row r="6876" spans="1:19" x14ac:dyDescent="0.25">
      <c r="A6876" s="311"/>
      <c r="B6876" s="312"/>
      <c r="C6876" s="312"/>
      <c r="D6876" s="312"/>
      <c r="E6876" s="312"/>
      <c r="F6876" s="312"/>
      <c r="G6876" s="328"/>
      <c r="H6876" s="453"/>
      <c r="I6876" s="334"/>
      <c r="J6876" s="314"/>
      <c r="K6876" s="454"/>
      <c r="M6876" s="349" t="str">
        <f>N6876&amp;AS[[#This Row],[Insurer Code]]&amp;"; "&amp;O6876&amp;AS[[#This Row],[Reporting Year]]&amp;"; "&amp;P6876&amp;AS[[#This Row],[Insurance Category Code]]&amp;"; "&amp;Q6876&amp;AS[[#This Row],[Large Provider Entity Code]]&amp;"; "&amp;R6876&amp;AS[[#This Row],[Age Band Code]]&amp;"; "&amp;S6876&amp;AS[[#This Row],[Sex Code]]</f>
        <v xml:space="preserve">Insurer Code ; Reporting Year ; Insurance Category Code ; Large Provider Entity Code ; Age Band Code ; Sex Code </v>
      </c>
      <c r="N6876" s="345" t="s">
        <v>207</v>
      </c>
      <c r="O6876" s="345" t="s">
        <v>208</v>
      </c>
      <c r="P6876" s="345" t="s">
        <v>209</v>
      </c>
      <c r="Q6876" s="345" t="s">
        <v>210</v>
      </c>
      <c r="R6876" s="345" t="s">
        <v>223</v>
      </c>
      <c r="S6876" s="345" t="s">
        <v>224</v>
      </c>
    </row>
    <row r="6877" spans="1:19" x14ac:dyDescent="0.25">
      <c r="A6877" s="311"/>
      <c r="B6877" s="312"/>
      <c r="C6877" s="312"/>
      <c r="D6877" s="312"/>
      <c r="E6877" s="312"/>
      <c r="F6877" s="312"/>
      <c r="G6877" s="328"/>
      <c r="H6877" s="453"/>
      <c r="I6877" s="334"/>
      <c r="J6877" s="314"/>
      <c r="K6877" s="454"/>
      <c r="M6877" s="349" t="str">
        <f>N6877&amp;AS[[#This Row],[Insurer Code]]&amp;"; "&amp;O6877&amp;AS[[#This Row],[Reporting Year]]&amp;"; "&amp;P6877&amp;AS[[#This Row],[Insurance Category Code]]&amp;"; "&amp;Q6877&amp;AS[[#This Row],[Large Provider Entity Code]]&amp;"; "&amp;R6877&amp;AS[[#This Row],[Age Band Code]]&amp;"; "&amp;S6877&amp;AS[[#This Row],[Sex Code]]</f>
        <v xml:space="preserve">Insurer Code ; Reporting Year ; Insurance Category Code ; Large Provider Entity Code ; Age Band Code ; Sex Code </v>
      </c>
      <c r="N6877" s="345" t="s">
        <v>207</v>
      </c>
      <c r="O6877" s="345" t="s">
        <v>208</v>
      </c>
      <c r="P6877" s="345" t="s">
        <v>209</v>
      </c>
      <c r="Q6877" s="345" t="s">
        <v>210</v>
      </c>
      <c r="R6877" s="345" t="s">
        <v>223</v>
      </c>
      <c r="S6877" s="345" t="s">
        <v>224</v>
      </c>
    </row>
    <row r="6878" spans="1:19" x14ac:dyDescent="0.25">
      <c r="A6878" s="311"/>
      <c r="B6878" s="312"/>
      <c r="C6878" s="312"/>
      <c r="D6878" s="312"/>
      <c r="E6878" s="312"/>
      <c r="F6878" s="312"/>
      <c r="G6878" s="328"/>
      <c r="H6878" s="453"/>
      <c r="I6878" s="334"/>
      <c r="J6878" s="314"/>
      <c r="K6878" s="454"/>
      <c r="M6878" s="349" t="str">
        <f>N6878&amp;AS[[#This Row],[Insurer Code]]&amp;"; "&amp;O6878&amp;AS[[#This Row],[Reporting Year]]&amp;"; "&amp;P6878&amp;AS[[#This Row],[Insurance Category Code]]&amp;"; "&amp;Q6878&amp;AS[[#This Row],[Large Provider Entity Code]]&amp;"; "&amp;R6878&amp;AS[[#This Row],[Age Band Code]]&amp;"; "&amp;S6878&amp;AS[[#This Row],[Sex Code]]</f>
        <v xml:space="preserve">Insurer Code ; Reporting Year ; Insurance Category Code ; Large Provider Entity Code ; Age Band Code ; Sex Code </v>
      </c>
      <c r="N6878" s="345" t="s">
        <v>207</v>
      </c>
      <c r="O6878" s="345" t="s">
        <v>208</v>
      </c>
      <c r="P6878" s="345" t="s">
        <v>209</v>
      </c>
      <c r="Q6878" s="345" t="s">
        <v>210</v>
      </c>
      <c r="R6878" s="345" t="s">
        <v>223</v>
      </c>
      <c r="S6878" s="345" t="s">
        <v>224</v>
      </c>
    </row>
    <row r="6879" spans="1:19" x14ac:dyDescent="0.25">
      <c r="A6879" s="311"/>
      <c r="B6879" s="312"/>
      <c r="C6879" s="312"/>
      <c r="D6879" s="312"/>
      <c r="E6879" s="312"/>
      <c r="F6879" s="312"/>
      <c r="G6879" s="328"/>
      <c r="H6879" s="453"/>
      <c r="I6879" s="334"/>
      <c r="J6879" s="314"/>
      <c r="K6879" s="454"/>
      <c r="M6879" s="349" t="str">
        <f>N6879&amp;AS[[#This Row],[Insurer Code]]&amp;"; "&amp;O6879&amp;AS[[#This Row],[Reporting Year]]&amp;"; "&amp;P6879&amp;AS[[#This Row],[Insurance Category Code]]&amp;"; "&amp;Q6879&amp;AS[[#This Row],[Large Provider Entity Code]]&amp;"; "&amp;R6879&amp;AS[[#This Row],[Age Band Code]]&amp;"; "&amp;S6879&amp;AS[[#This Row],[Sex Code]]</f>
        <v xml:space="preserve">Insurer Code ; Reporting Year ; Insurance Category Code ; Large Provider Entity Code ; Age Band Code ; Sex Code </v>
      </c>
      <c r="N6879" s="345" t="s">
        <v>207</v>
      </c>
      <c r="O6879" s="345" t="s">
        <v>208</v>
      </c>
      <c r="P6879" s="345" t="s">
        <v>209</v>
      </c>
      <c r="Q6879" s="345" t="s">
        <v>210</v>
      </c>
      <c r="R6879" s="345" t="s">
        <v>223</v>
      </c>
      <c r="S6879" s="345" t="s">
        <v>224</v>
      </c>
    </row>
    <row r="6880" spans="1:19" x14ac:dyDescent="0.25">
      <c r="A6880" s="311"/>
      <c r="B6880" s="312"/>
      <c r="C6880" s="312"/>
      <c r="D6880" s="312"/>
      <c r="E6880" s="312"/>
      <c r="F6880" s="312"/>
      <c r="G6880" s="328"/>
      <c r="H6880" s="453"/>
      <c r="I6880" s="334"/>
      <c r="J6880" s="314"/>
      <c r="K6880" s="454"/>
      <c r="M6880" s="349" t="str">
        <f>N6880&amp;AS[[#This Row],[Insurer Code]]&amp;"; "&amp;O6880&amp;AS[[#This Row],[Reporting Year]]&amp;"; "&amp;P6880&amp;AS[[#This Row],[Insurance Category Code]]&amp;"; "&amp;Q6880&amp;AS[[#This Row],[Large Provider Entity Code]]&amp;"; "&amp;R6880&amp;AS[[#This Row],[Age Band Code]]&amp;"; "&amp;S6880&amp;AS[[#This Row],[Sex Code]]</f>
        <v xml:space="preserve">Insurer Code ; Reporting Year ; Insurance Category Code ; Large Provider Entity Code ; Age Band Code ; Sex Code </v>
      </c>
      <c r="N6880" s="345" t="s">
        <v>207</v>
      </c>
      <c r="O6880" s="345" t="s">
        <v>208</v>
      </c>
      <c r="P6880" s="345" t="s">
        <v>209</v>
      </c>
      <c r="Q6880" s="345" t="s">
        <v>210</v>
      </c>
      <c r="R6880" s="345" t="s">
        <v>223</v>
      </c>
      <c r="S6880" s="345" t="s">
        <v>224</v>
      </c>
    </row>
    <row r="6881" spans="1:19" x14ac:dyDescent="0.25">
      <c r="A6881" s="311"/>
      <c r="B6881" s="312"/>
      <c r="C6881" s="312"/>
      <c r="D6881" s="312"/>
      <c r="E6881" s="312"/>
      <c r="F6881" s="312"/>
      <c r="G6881" s="328"/>
      <c r="H6881" s="453"/>
      <c r="I6881" s="334"/>
      <c r="J6881" s="314"/>
      <c r="K6881" s="454"/>
      <c r="M6881" s="349" t="str">
        <f>N6881&amp;AS[[#This Row],[Insurer Code]]&amp;"; "&amp;O6881&amp;AS[[#This Row],[Reporting Year]]&amp;"; "&amp;P6881&amp;AS[[#This Row],[Insurance Category Code]]&amp;"; "&amp;Q6881&amp;AS[[#This Row],[Large Provider Entity Code]]&amp;"; "&amp;R6881&amp;AS[[#This Row],[Age Band Code]]&amp;"; "&amp;S6881&amp;AS[[#This Row],[Sex Code]]</f>
        <v xml:space="preserve">Insurer Code ; Reporting Year ; Insurance Category Code ; Large Provider Entity Code ; Age Band Code ; Sex Code </v>
      </c>
      <c r="N6881" s="345" t="s">
        <v>207</v>
      </c>
      <c r="O6881" s="345" t="s">
        <v>208</v>
      </c>
      <c r="P6881" s="345" t="s">
        <v>209</v>
      </c>
      <c r="Q6881" s="345" t="s">
        <v>210</v>
      </c>
      <c r="R6881" s="345" t="s">
        <v>223</v>
      </c>
      <c r="S6881" s="345" t="s">
        <v>224</v>
      </c>
    </row>
    <row r="6882" spans="1:19" x14ac:dyDescent="0.25">
      <c r="A6882" s="311"/>
      <c r="B6882" s="312"/>
      <c r="C6882" s="312"/>
      <c r="D6882" s="312"/>
      <c r="E6882" s="312"/>
      <c r="F6882" s="312"/>
      <c r="G6882" s="328"/>
      <c r="H6882" s="453"/>
      <c r="I6882" s="334"/>
      <c r="J6882" s="314"/>
      <c r="K6882" s="454"/>
      <c r="M6882" s="349" t="str">
        <f>N6882&amp;AS[[#This Row],[Insurer Code]]&amp;"; "&amp;O6882&amp;AS[[#This Row],[Reporting Year]]&amp;"; "&amp;P6882&amp;AS[[#This Row],[Insurance Category Code]]&amp;"; "&amp;Q6882&amp;AS[[#This Row],[Large Provider Entity Code]]&amp;"; "&amp;R6882&amp;AS[[#This Row],[Age Band Code]]&amp;"; "&amp;S6882&amp;AS[[#This Row],[Sex Code]]</f>
        <v xml:space="preserve">Insurer Code ; Reporting Year ; Insurance Category Code ; Large Provider Entity Code ; Age Band Code ; Sex Code </v>
      </c>
      <c r="N6882" s="345" t="s">
        <v>207</v>
      </c>
      <c r="O6882" s="345" t="s">
        <v>208</v>
      </c>
      <c r="P6882" s="345" t="s">
        <v>209</v>
      </c>
      <c r="Q6882" s="345" t="s">
        <v>210</v>
      </c>
      <c r="R6882" s="345" t="s">
        <v>223</v>
      </c>
      <c r="S6882" s="345" t="s">
        <v>224</v>
      </c>
    </row>
    <row r="6883" spans="1:19" x14ac:dyDescent="0.25">
      <c r="A6883" s="311"/>
      <c r="B6883" s="312"/>
      <c r="C6883" s="312"/>
      <c r="D6883" s="312"/>
      <c r="E6883" s="312"/>
      <c r="F6883" s="312"/>
      <c r="G6883" s="328"/>
      <c r="H6883" s="453"/>
      <c r="I6883" s="334"/>
      <c r="J6883" s="314"/>
      <c r="K6883" s="454"/>
      <c r="M6883" s="349" t="str">
        <f>N6883&amp;AS[[#This Row],[Insurer Code]]&amp;"; "&amp;O6883&amp;AS[[#This Row],[Reporting Year]]&amp;"; "&amp;P6883&amp;AS[[#This Row],[Insurance Category Code]]&amp;"; "&amp;Q6883&amp;AS[[#This Row],[Large Provider Entity Code]]&amp;"; "&amp;R6883&amp;AS[[#This Row],[Age Band Code]]&amp;"; "&amp;S6883&amp;AS[[#This Row],[Sex Code]]</f>
        <v xml:space="preserve">Insurer Code ; Reporting Year ; Insurance Category Code ; Large Provider Entity Code ; Age Band Code ; Sex Code </v>
      </c>
      <c r="N6883" s="345" t="s">
        <v>207</v>
      </c>
      <c r="O6883" s="345" t="s">
        <v>208</v>
      </c>
      <c r="P6883" s="345" t="s">
        <v>209</v>
      </c>
      <c r="Q6883" s="345" t="s">
        <v>210</v>
      </c>
      <c r="R6883" s="345" t="s">
        <v>223</v>
      </c>
      <c r="S6883" s="345" t="s">
        <v>224</v>
      </c>
    </row>
    <row r="6884" spans="1:19" x14ac:dyDescent="0.25">
      <c r="A6884" s="311"/>
      <c r="B6884" s="312"/>
      <c r="C6884" s="312"/>
      <c r="D6884" s="312"/>
      <c r="E6884" s="312"/>
      <c r="F6884" s="312"/>
      <c r="G6884" s="328"/>
      <c r="H6884" s="453"/>
      <c r="I6884" s="334"/>
      <c r="J6884" s="314"/>
      <c r="K6884" s="454"/>
      <c r="M6884" s="349" t="str">
        <f>N6884&amp;AS[[#This Row],[Insurer Code]]&amp;"; "&amp;O6884&amp;AS[[#This Row],[Reporting Year]]&amp;"; "&amp;P6884&amp;AS[[#This Row],[Insurance Category Code]]&amp;"; "&amp;Q6884&amp;AS[[#This Row],[Large Provider Entity Code]]&amp;"; "&amp;R6884&amp;AS[[#This Row],[Age Band Code]]&amp;"; "&amp;S6884&amp;AS[[#This Row],[Sex Code]]</f>
        <v xml:space="preserve">Insurer Code ; Reporting Year ; Insurance Category Code ; Large Provider Entity Code ; Age Band Code ; Sex Code </v>
      </c>
      <c r="N6884" s="345" t="s">
        <v>207</v>
      </c>
      <c r="O6884" s="345" t="s">
        <v>208</v>
      </c>
      <c r="P6884" s="345" t="s">
        <v>209</v>
      </c>
      <c r="Q6884" s="345" t="s">
        <v>210</v>
      </c>
      <c r="R6884" s="345" t="s">
        <v>223</v>
      </c>
      <c r="S6884" s="345" t="s">
        <v>224</v>
      </c>
    </row>
    <row r="6885" spans="1:19" x14ac:dyDescent="0.25">
      <c r="A6885" s="311"/>
      <c r="B6885" s="312"/>
      <c r="C6885" s="312"/>
      <c r="D6885" s="312"/>
      <c r="E6885" s="312"/>
      <c r="F6885" s="312"/>
      <c r="G6885" s="328"/>
      <c r="H6885" s="453"/>
      <c r="I6885" s="334"/>
      <c r="J6885" s="314"/>
      <c r="K6885" s="454"/>
      <c r="M6885" s="349" t="str">
        <f>N6885&amp;AS[[#This Row],[Insurer Code]]&amp;"; "&amp;O6885&amp;AS[[#This Row],[Reporting Year]]&amp;"; "&amp;P6885&amp;AS[[#This Row],[Insurance Category Code]]&amp;"; "&amp;Q6885&amp;AS[[#This Row],[Large Provider Entity Code]]&amp;"; "&amp;R6885&amp;AS[[#This Row],[Age Band Code]]&amp;"; "&amp;S6885&amp;AS[[#This Row],[Sex Code]]</f>
        <v xml:space="preserve">Insurer Code ; Reporting Year ; Insurance Category Code ; Large Provider Entity Code ; Age Band Code ; Sex Code </v>
      </c>
      <c r="N6885" s="345" t="s">
        <v>207</v>
      </c>
      <c r="O6885" s="345" t="s">
        <v>208</v>
      </c>
      <c r="P6885" s="345" t="s">
        <v>209</v>
      </c>
      <c r="Q6885" s="345" t="s">
        <v>210</v>
      </c>
      <c r="R6885" s="345" t="s">
        <v>223</v>
      </c>
      <c r="S6885" s="345" t="s">
        <v>224</v>
      </c>
    </row>
    <row r="6886" spans="1:19" x14ac:dyDescent="0.25">
      <c r="A6886" s="311"/>
      <c r="B6886" s="312"/>
      <c r="C6886" s="312"/>
      <c r="D6886" s="312"/>
      <c r="E6886" s="312"/>
      <c r="F6886" s="312"/>
      <c r="G6886" s="328"/>
      <c r="H6886" s="453"/>
      <c r="I6886" s="334"/>
      <c r="J6886" s="314"/>
      <c r="K6886" s="454"/>
      <c r="M6886" s="349" t="str">
        <f>N6886&amp;AS[[#This Row],[Insurer Code]]&amp;"; "&amp;O6886&amp;AS[[#This Row],[Reporting Year]]&amp;"; "&amp;P6886&amp;AS[[#This Row],[Insurance Category Code]]&amp;"; "&amp;Q6886&amp;AS[[#This Row],[Large Provider Entity Code]]&amp;"; "&amp;R6886&amp;AS[[#This Row],[Age Band Code]]&amp;"; "&amp;S6886&amp;AS[[#This Row],[Sex Code]]</f>
        <v xml:space="preserve">Insurer Code ; Reporting Year ; Insurance Category Code ; Large Provider Entity Code ; Age Band Code ; Sex Code </v>
      </c>
      <c r="N6886" s="345" t="s">
        <v>207</v>
      </c>
      <c r="O6886" s="345" t="s">
        <v>208</v>
      </c>
      <c r="P6886" s="345" t="s">
        <v>209</v>
      </c>
      <c r="Q6886" s="345" t="s">
        <v>210</v>
      </c>
      <c r="R6886" s="345" t="s">
        <v>223</v>
      </c>
      <c r="S6886" s="345" t="s">
        <v>224</v>
      </c>
    </row>
    <row r="6887" spans="1:19" x14ac:dyDescent="0.25">
      <c r="A6887" s="311"/>
      <c r="B6887" s="312"/>
      <c r="C6887" s="312"/>
      <c r="D6887" s="312"/>
      <c r="E6887" s="312"/>
      <c r="F6887" s="312"/>
      <c r="G6887" s="328"/>
      <c r="H6887" s="453"/>
      <c r="I6887" s="334"/>
      <c r="J6887" s="314"/>
      <c r="K6887" s="454"/>
      <c r="M6887" s="349" t="str">
        <f>N6887&amp;AS[[#This Row],[Insurer Code]]&amp;"; "&amp;O6887&amp;AS[[#This Row],[Reporting Year]]&amp;"; "&amp;P6887&amp;AS[[#This Row],[Insurance Category Code]]&amp;"; "&amp;Q6887&amp;AS[[#This Row],[Large Provider Entity Code]]&amp;"; "&amp;R6887&amp;AS[[#This Row],[Age Band Code]]&amp;"; "&amp;S6887&amp;AS[[#This Row],[Sex Code]]</f>
        <v xml:space="preserve">Insurer Code ; Reporting Year ; Insurance Category Code ; Large Provider Entity Code ; Age Band Code ; Sex Code </v>
      </c>
      <c r="N6887" s="345" t="s">
        <v>207</v>
      </c>
      <c r="O6887" s="345" t="s">
        <v>208</v>
      </c>
      <c r="P6887" s="345" t="s">
        <v>209</v>
      </c>
      <c r="Q6887" s="345" t="s">
        <v>210</v>
      </c>
      <c r="R6887" s="345" t="s">
        <v>223</v>
      </c>
      <c r="S6887" s="345" t="s">
        <v>224</v>
      </c>
    </row>
    <row r="6888" spans="1:19" x14ac:dyDescent="0.25">
      <c r="A6888" s="311"/>
      <c r="B6888" s="312"/>
      <c r="C6888" s="312"/>
      <c r="D6888" s="312"/>
      <c r="E6888" s="312"/>
      <c r="F6888" s="312"/>
      <c r="G6888" s="328"/>
      <c r="H6888" s="453"/>
      <c r="I6888" s="334"/>
      <c r="J6888" s="314"/>
      <c r="K6888" s="454"/>
      <c r="M6888" s="349" t="str">
        <f>N6888&amp;AS[[#This Row],[Insurer Code]]&amp;"; "&amp;O6888&amp;AS[[#This Row],[Reporting Year]]&amp;"; "&amp;P6888&amp;AS[[#This Row],[Insurance Category Code]]&amp;"; "&amp;Q6888&amp;AS[[#This Row],[Large Provider Entity Code]]&amp;"; "&amp;R6888&amp;AS[[#This Row],[Age Band Code]]&amp;"; "&amp;S6888&amp;AS[[#This Row],[Sex Code]]</f>
        <v xml:space="preserve">Insurer Code ; Reporting Year ; Insurance Category Code ; Large Provider Entity Code ; Age Band Code ; Sex Code </v>
      </c>
      <c r="N6888" s="345" t="s">
        <v>207</v>
      </c>
      <c r="O6888" s="345" t="s">
        <v>208</v>
      </c>
      <c r="P6888" s="345" t="s">
        <v>209</v>
      </c>
      <c r="Q6888" s="345" t="s">
        <v>210</v>
      </c>
      <c r="R6888" s="345" t="s">
        <v>223</v>
      </c>
      <c r="S6888" s="345" t="s">
        <v>224</v>
      </c>
    </row>
    <row r="6889" spans="1:19" x14ac:dyDescent="0.25">
      <c r="A6889" s="311"/>
      <c r="B6889" s="312"/>
      <c r="C6889" s="312"/>
      <c r="D6889" s="312"/>
      <c r="E6889" s="312"/>
      <c r="F6889" s="312"/>
      <c r="G6889" s="328"/>
      <c r="H6889" s="453"/>
      <c r="I6889" s="334"/>
      <c r="J6889" s="314"/>
      <c r="K6889" s="454"/>
      <c r="M6889" s="349" t="str">
        <f>N6889&amp;AS[[#This Row],[Insurer Code]]&amp;"; "&amp;O6889&amp;AS[[#This Row],[Reporting Year]]&amp;"; "&amp;P6889&amp;AS[[#This Row],[Insurance Category Code]]&amp;"; "&amp;Q6889&amp;AS[[#This Row],[Large Provider Entity Code]]&amp;"; "&amp;R6889&amp;AS[[#This Row],[Age Band Code]]&amp;"; "&amp;S6889&amp;AS[[#This Row],[Sex Code]]</f>
        <v xml:space="preserve">Insurer Code ; Reporting Year ; Insurance Category Code ; Large Provider Entity Code ; Age Band Code ; Sex Code </v>
      </c>
      <c r="N6889" s="345" t="s">
        <v>207</v>
      </c>
      <c r="O6889" s="345" t="s">
        <v>208</v>
      </c>
      <c r="P6889" s="345" t="s">
        <v>209</v>
      </c>
      <c r="Q6889" s="345" t="s">
        <v>210</v>
      </c>
      <c r="R6889" s="345" t="s">
        <v>223</v>
      </c>
      <c r="S6889" s="345" t="s">
        <v>224</v>
      </c>
    </row>
    <row r="6890" spans="1:19" x14ac:dyDescent="0.25">
      <c r="A6890" s="311"/>
      <c r="B6890" s="312"/>
      <c r="C6890" s="312"/>
      <c r="D6890" s="312"/>
      <c r="E6890" s="312"/>
      <c r="F6890" s="312"/>
      <c r="G6890" s="328"/>
      <c r="H6890" s="453"/>
      <c r="I6890" s="334"/>
      <c r="J6890" s="314"/>
      <c r="K6890" s="454"/>
      <c r="M6890" s="349" t="str">
        <f>N6890&amp;AS[[#This Row],[Insurer Code]]&amp;"; "&amp;O6890&amp;AS[[#This Row],[Reporting Year]]&amp;"; "&amp;P6890&amp;AS[[#This Row],[Insurance Category Code]]&amp;"; "&amp;Q6890&amp;AS[[#This Row],[Large Provider Entity Code]]&amp;"; "&amp;R6890&amp;AS[[#This Row],[Age Band Code]]&amp;"; "&amp;S6890&amp;AS[[#This Row],[Sex Code]]</f>
        <v xml:space="preserve">Insurer Code ; Reporting Year ; Insurance Category Code ; Large Provider Entity Code ; Age Band Code ; Sex Code </v>
      </c>
      <c r="N6890" s="345" t="s">
        <v>207</v>
      </c>
      <c r="O6890" s="345" t="s">
        <v>208</v>
      </c>
      <c r="P6890" s="345" t="s">
        <v>209</v>
      </c>
      <c r="Q6890" s="345" t="s">
        <v>210</v>
      </c>
      <c r="R6890" s="345" t="s">
        <v>223</v>
      </c>
      <c r="S6890" s="345" t="s">
        <v>224</v>
      </c>
    </row>
    <row r="6891" spans="1:19" x14ac:dyDescent="0.25">
      <c r="A6891" s="311"/>
      <c r="B6891" s="312"/>
      <c r="C6891" s="312"/>
      <c r="D6891" s="312"/>
      <c r="E6891" s="312"/>
      <c r="F6891" s="312"/>
      <c r="G6891" s="328"/>
      <c r="H6891" s="453"/>
      <c r="I6891" s="334"/>
      <c r="J6891" s="314"/>
      <c r="K6891" s="454"/>
      <c r="M6891" s="349" t="str">
        <f>N6891&amp;AS[[#This Row],[Insurer Code]]&amp;"; "&amp;O6891&amp;AS[[#This Row],[Reporting Year]]&amp;"; "&amp;P6891&amp;AS[[#This Row],[Insurance Category Code]]&amp;"; "&amp;Q6891&amp;AS[[#This Row],[Large Provider Entity Code]]&amp;"; "&amp;R6891&amp;AS[[#This Row],[Age Band Code]]&amp;"; "&amp;S6891&amp;AS[[#This Row],[Sex Code]]</f>
        <v xml:space="preserve">Insurer Code ; Reporting Year ; Insurance Category Code ; Large Provider Entity Code ; Age Band Code ; Sex Code </v>
      </c>
      <c r="N6891" s="345" t="s">
        <v>207</v>
      </c>
      <c r="O6891" s="345" t="s">
        <v>208</v>
      </c>
      <c r="P6891" s="345" t="s">
        <v>209</v>
      </c>
      <c r="Q6891" s="345" t="s">
        <v>210</v>
      </c>
      <c r="R6891" s="345" t="s">
        <v>223</v>
      </c>
      <c r="S6891" s="345" t="s">
        <v>224</v>
      </c>
    </row>
    <row r="6892" spans="1:19" x14ac:dyDescent="0.25">
      <c r="A6892" s="311"/>
      <c r="B6892" s="312"/>
      <c r="C6892" s="312"/>
      <c r="D6892" s="312"/>
      <c r="E6892" s="312"/>
      <c r="F6892" s="312"/>
      <c r="G6892" s="328"/>
      <c r="H6892" s="453"/>
      <c r="I6892" s="334"/>
      <c r="J6892" s="314"/>
      <c r="K6892" s="454"/>
      <c r="M6892" s="349" t="str">
        <f>N6892&amp;AS[[#This Row],[Insurer Code]]&amp;"; "&amp;O6892&amp;AS[[#This Row],[Reporting Year]]&amp;"; "&amp;P6892&amp;AS[[#This Row],[Insurance Category Code]]&amp;"; "&amp;Q6892&amp;AS[[#This Row],[Large Provider Entity Code]]&amp;"; "&amp;R6892&amp;AS[[#This Row],[Age Band Code]]&amp;"; "&amp;S6892&amp;AS[[#This Row],[Sex Code]]</f>
        <v xml:space="preserve">Insurer Code ; Reporting Year ; Insurance Category Code ; Large Provider Entity Code ; Age Band Code ; Sex Code </v>
      </c>
      <c r="N6892" s="345" t="s">
        <v>207</v>
      </c>
      <c r="O6892" s="345" t="s">
        <v>208</v>
      </c>
      <c r="P6892" s="345" t="s">
        <v>209</v>
      </c>
      <c r="Q6892" s="345" t="s">
        <v>210</v>
      </c>
      <c r="R6892" s="345" t="s">
        <v>223</v>
      </c>
      <c r="S6892" s="345" t="s">
        <v>224</v>
      </c>
    </row>
    <row r="6893" spans="1:19" x14ac:dyDescent="0.25">
      <c r="A6893" s="311"/>
      <c r="B6893" s="312"/>
      <c r="C6893" s="312"/>
      <c r="D6893" s="312"/>
      <c r="E6893" s="312"/>
      <c r="F6893" s="312"/>
      <c r="G6893" s="328"/>
      <c r="H6893" s="453"/>
      <c r="I6893" s="334"/>
      <c r="J6893" s="314"/>
      <c r="K6893" s="454"/>
      <c r="M6893" s="349" t="str">
        <f>N6893&amp;AS[[#This Row],[Insurer Code]]&amp;"; "&amp;O6893&amp;AS[[#This Row],[Reporting Year]]&amp;"; "&amp;P6893&amp;AS[[#This Row],[Insurance Category Code]]&amp;"; "&amp;Q6893&amp;AS[[#This Row],[Large Provider Entity Code]]&amp;"; "&amp;R6893&amp;AS[[#This Row],[Age Band Code]]&amp;"; "&amp;S6893&amp;AS[[#This Row],[Sex Code]]</f>
        <v xml:space="preserve">Insurer Code ; Reporting Year ; Insurance Category Code ; Large Provider Entity Code ; Age Band Code ; Sex Code </v>
      </c>
      <c r="N6893" s="345" t="s">
        <v>207</v>
      </c>
      <c r="O6893" s="345" t="s">
        <v>208</v>
      </c>
      <c r="P6893" s="345" t="s">
        <v>209</v>
      </c>
      <c r="Q6893" s="345" t="s">
        <v>210</v>
      </c>
      <c r="R6893" s="345" t="s">
        <v>223</v>
      </c>
      <c r="S6893" s="345" t="s">
        <v>224</v>
      </c>
    </row>
    <row r="6894" spans="1:19" x14ac:dyDescent="0.25">
      <c r="A6894" s="311"/>
      <c r="B6894" s="312"/>
      <c r="C6894" s="312"/>
      <c r="D6894" s="312"/>
      <c r="E6894" s="312"/>
      <c r="F6894" s="312"/>
      <c r="G6894" s="328"/>
      <c r="H6894" s="453"/>
      <c r="I6894" s="334"/>
      <c r="J6894" s="314"/>
      <c r="K6894" s="454"/>
      <c r="M6894" s="349" t="str">
        <f>N6894&amp;AS[[#This Row],[Insurer Code]]&amp;"; "&amp;O6894&amp;AS[[#This Row],[Reporting Year]]&amp;"; "&amp;P6894&amp;AS[[#This Row],[Insurance Category Code]]&amp;"; "&amp;Q6894&amp;AS[[#This Row],[Large Provider Entity Code]]&amp;"; "&amp;R6894&amp;AS[[#This Row],[Age Band Code]]&amp;"; "&amp;S6894&amp;AS[[#This Row],[Sex Code]]</f>
        <v xml:space="preserve">Insurer Code ; Reporting Year ; Insurance Category Code ; Large Provider Entity Code ; Age Band Code ; Sex Code </v>
      </c>
      <c r="N6894" s="345" t="s">
        <v>207</v>
      </c>
      <c r="O6894" s="345" t="s">
        <v>208</v>
      </c>
      <c r="P6894" s="345" t="s">
        <v>209</v>
      </c>
      <c r="Q6894" s="345" t="s">
        <v>210</v>
      </c>
      <c r="R6894" s="345" t="s">
        <v>223</v>
      </c>
      <c r="S6894" s="345" t="s">
        <v>224</v>
      </c>
    </row>
    <row r="6895" spans="1:19" x14ac:dyDescent="0.25">
      <c r="A6895" s="311"/>
      <c r="B6895" s="312"/>
      <c r="C6895" s="312"/>
      <c r="D6895" s="312"/>
      <c r="E6895" s="312"/>
      <c r="F6895" s="312"/>
      <c r="G6895" s="328"/>
      <c r="H6895" s="453"/>
      <c r="I6895" s="334"/>
      <c r="J6895" s="314"/>
      <c r="K6895" s="454"/>
      <c r="M6895" s="349" t="str">
        <f>N6895&amp;AS[[#This Row],[Insurer Code]]&amp;"; "&amp;O6895&amp;AS[[#This Row],[Reporting Year]]&amp;"; "&amp;P6895&amp;AS[[#This Row],[Insurance Category Code]]&amp;"; "&amp;Q6895&amp;AS[[#This Row],[Large Provider Entity Code]]&amp;"; "&amp;R6895&amp;AS[[#This Row],[Age Band Code]]&amp;"; "&amp;S6895&amp;AS[[#This Row],[Sex Code]]</f>
        <v xml:space="preserve">Insurer Code ; Reporting Year ; Insurance Category Code ; Large Provider Entity Code ; Age Band Code ; Sex Code </v>
      </c>
      <c r="N6895" s="345" t="s">
        <v>207</v>
      </c>
      <c r="O6895" s="345" t="s">
        <v>208</v>
      </c>
      <c r="P6895" s="345" t="s">
        <v>209</v>
      </c>
      <c r="Q6895" s="345" t="s">
        <v>210</v>
      </c>
      <c r="R6895" s="345" t="s">
        <v>223</v>
      </c>
      <c r="S6895" s="345" t="s">
        <v>224</v>
      </c>
    </row>
    <row r="6896" spans="1:19" x14ac:dyDescent="0.25">
      <c r="A6896" s="311"/>
      <c r="B6896" s="312"/>
      <c r="C6896" s="312"/>
      <c r="D6896" s="312"/>
      <c r="E6896" s="312"/>
      <c r="F6896" s="312"/>
      <c r="G6896" s="328"/>
      <c r="H6896" s="453"/>
      <c r="I6896" s="334"/>
      <c r="J6896" s="314"/>
      <c r="K6896" s="454"/>
      <c r="M6896" s="349" t="str">
        <f>N6896&amp;AS[[#This Row],[Insurer Code]]&amp;"; "&amp;O6896&amp;AS[[#This Row],[Reporting Year]]&amp;"; "&amp;P6896&amp;AS[[#This Row],[Insurance Category Code]]&amp;"; "&amp;Q6896&amp;AS[[#This Row],[Large Provider Entity Code]]&amp;"; "&amp;R6896&amp;AS[[#This Row],[Age Band Code]]&amp;"; "&amp;S6896&amp;AS[[#This Row],[Sex Code]]</f>
        <v xml:space="preserve">Insurer Code ; Reporting Year ; Insurance Category Code ; Large Provider Entity Code ; Age Band Code ; Sex Code </v>
      </c>
      <c r="N6896" s="345" t="s">
        <v>207</v>
      </c>
      <c r="O6896" s="345" t="s">
        <v>208</v>
      </c>
      <c r="P6896" s="345" t="s">
        <v>209</v>
      </c>
      <c r="Q6896" s="345" t="s">
        <v>210</v>
      </c>
      <c r="R6896" s="345" t="s">
        <v>223</v>
      </c>
      <c r="S6896" s="345" t="s">
        <v>224</v>
      </c>
    </row>
    <row r="6897" spans="1:19" x14ac:dyDescent="0.25">
      <c r="A6897" s="311"/>
      <c r="B6897" s="312"/>
      <c r="C6897" s="312"/>
      <c r="D6897" s="312"/>
      <c r="E6897" s="312"/>
      <c r="F6897" s="312"/>
      <c r="G6897" s="328"/>
      <c r="H6897" s="453"/>
      <c r="I6897" s="334"/>
      <c r="J6897" s="314"/>
      <c r="K6897" s="454"/>
      <c r="M6897" s="349" t="str">
        <f>N6897&amp;AS[[#This Row],[Insurer Code]]&amp;"; "&amp;O6897&amp;AS[[#This Row],[Reporting Year]]&amp;"; "&amp;P6897&amp;AS[[#This Row],[Insurance Category Code]]&amp;"; "&amp;Q6897&amp;AS[[#This Row],[Large Provider Entity Code]]&amp;"; "&amp;R6897&amp;AS[[#This Row],[Age Band Code]]&amp;"; "&amp;S6897&amp;AS[[#This Row],[Sex Code]]</f>
        <v xml:space="preserve">Insurer Code ; Reporting Year ; Insurance Category Code ; Large Provider Entity Code ; Age Band Code ; Sex Code </v>
      </c>
      <c r="N6897" s="345" t="s">
        <v>207</v>
      </c>
      <c r="O6897" s="345" t="s">
        <v>208</v>
      </c>
      <c r="P6897" s="345" t="s">
        <v>209</v>
      </c>
      <c r="Q6897" s="345" t="s">
        <v>210</v>
      </c>
      <c r="R6897" s="345" t="s">
        <v>223</v>
      </c>
      <c r="S6897" s="345" t="s">
        <v>224</v>
      </c>
    </row>
    <row r="6898" spans="1:19" x14ac:dyDescent="0.25">
      <c r="A6898" s="311"/>
      <c r="B6898" s="312"/>
      <c r="C6898" s="312"/>
      <c r="D6898" s="312"/>
      <c r="E6898" s="312"/>
      <c r="F6898" s="312"/>
      <c r="G6898" s="328"/>
      <c r="H6898" s="453"/>
      <c r="I6898" s="334"/>
      <c r="J6898" s="314"/>
      <c r="K6898" s="454"/>
      <c r="M6898" s="349" t="str">
        <f>N6898&amp;AS[[#This Row],[Insurer Code]]&amp;"; "&amp;O6898&amp;AS[[#This Row],[Reporting Year]]&amp;"; "&amp;P6898&amp;AS[[#This Row],[Insurance Category Code]]&amp;"; "&amp;Q6898&amp;AS[[#This Row],[Large Provider Entity Code]]&amp;"; "&amp;R6898&amp;AS[[#This Row],[Age Band Code]]&amp;"; "&amp;S6898&amp;AS[[#This Row],[Sex Code]]</f>
        <v xml:space="preserve">Insurer Code ; Reporting Year ; Insurance Category Code ; Large Provider Entity Code ; Age Band Code ; Sex Code </v>
      </c>
      <c r="N6898" s="345" t="s">
        <v>207</v>
      </c>
      <c r="O6898" s="345" t="s">
        <v>208</v>
      </c>
      <c r="P6898" s="345" t="s">
        <v>209</v>
      </c>
      <c r="Q6898" s="345" t="s">
        <v>210</v>
      </c>
      <c r="R6898" s="345" t="s">
        <v>223</v>
      </c>
      <c r="S6898" s="345" t="s">
        <v>224</v>
      </c>
    </row>
    <row r="6899" spans="1:19" x14ac:dyDescent="0.25">
      <c r="A6899" s="311"/>
      <c r="B6899" s="312"/>
      <c r="C6899" s="312"/>
      <c r="D6899" s="312"/>
      <c r="E6899" s="312"/>
      <c r="F6899" s="312"/>
      <c r="G6899" s="328"/>
      <c r="H6899" s="453"/>
      <c r="I6899" s="334"/>
      <c r="J6899" s="314"/>
      <c r="K6899" s="454"/>
      <c r="M6899" s="349" t="str">
        <f>N6899&amp;AS[[#This Row],[Insurer Code]]&amp;"; "&amp;O6899&amp;AS[[#This Row],[Reporting Year]]&amp;"; "&amp;P6899&amp;AS[[#This Row],[Insurance Category Code]]&amp;"; "&amp;Q6899&amp;AS[[#This Row],[Large Provider Entity Code]]&amp;"; "&amp;R6899&amp;AS[[#This Row],[Age Band Code]]&amp;"; "&amp;S6899&amp;AS[[#This Row],[Sex Code]]</f>
        <v xml:space="preserve">Insurer Code ; Reporting Year ; Insurance Category Code ; Large Provider Entity Code ; Age Band Code ; Sex Code </v>
      </c>
      <c r="N6899" s="345" t="s">
        <v>207</v>
      </c>
      <c r="O6899" s="345" t="s">
        <v>208</v>
      </c>
      <c r="P6899" s="345" t="s">
        <v>209</v>
      </c>
      <c r="Q6899" s="345" t="s">
        <v>210</v>
      </c>
      <c r="R6899" s="345" t="s">
        <v>223</v>
      </c>
      <c r="S6899" s="345" t="s">
        <v>224</v>
      </c>
    </row>
    <row r="6900" spans="1:19" x14ac:dyDescent="0.25">
      <c r="A6900" s="311"/>
      <c r="B6900" s="312"/>
      <c r="C6900" s="312"/>
      <c r="D6900" s="312"/>
      <c r="E6900" s="312"/>
      <c r="F6900" s="312"/>
      <c r="G6900" s="328"/>
      <c r="H6900" s="453"/>
      <c r="I6900" s="334"/>
      <c r="J6900" s="314"/>
      <c r="K6900" s="454"/>
      <c r="M6900" s="349" t="str">
        <f>N6900&amp;AS[[#This Row],[Insurer Code]]&amp;"; "&amp;O6900&amp;AS[[#This Row],[Reporting Year]]&amp;"; "&amp;P6900&amp;AS[[#This Row],[Insurance Category Code]]&amp;"; "&amp;Q6900&amp;AS[[#This Row],[Large Provider Entity Code]]&amp;"; "&amp;R6900&amp;AS[[#This Row],[Age Band Code]]&amp;"; "&amp;S6900&amp;AS[[#This Row],[Sex Code]]</f>
        <v xml:space="preserve">Insurer Code ; Reporting Year ; Insurance Category Code ; Large Provider Entity Code ; Age Band Code ; Sex Code </v>
      </c>
      <c r="N6900" s="345" t="s">
        <v>207</v>
      </c>
      <c r="O6900" s="345" t="s">
        <v>208</v>
      </c>
      <c r="P6900" s="345" t="s">
        <v>209</v>
      </c>
      <c r="Q6900" s="345" t="s">
        <v>210</v>
      </c>
      <c r="R6900" s="345" t="s">
        <v>223</v>
      </c>
      <c r="S6900" s="345" t="s">
        <v>224</v>
      </c>
    </row>
    <row r="6901" spans="1:19" x14ac:dyDescent="0.25">
      <c r="A6901" s="311"/>
      <c r="B6901" s="312"/>
      <c r="C6901" s="312"/>
      <c r="D6901" s="312"/>
      <c r="E6901" s="312"/>
      <c r="F6901" s="312"/>
      <c r="G6901" s="328"/>
      <c r="H6901" s="453"/>
      <c r="I6901" s="334"/>
      <c r="J6901" s="314"/>
      <c r="K6901" s="454"/>
      <c r="M6901" s="349" t="str">
        <f>N6901&amp;AS[[#This Row],[Insurer Code]]&amp;"; "&amp;O6901&amp;AS[[#This Row],[Reporting Year]]&amp;"; "&amp;P6901&amp;AS[[#This Row],[Insurance Category Code]]&amp;"; "&amp;Q6901&amp;AS[[#This Row],[Large Provider Entity Code]]&amp;"; "&amp;R6901&amp;AS[[#This Row],[Age Band Code]]&amp;"; "&amp;S6901&amp;AS[[#This Row],[Sex Code]]</f>
        <v xml:space="preserve">Insurer Code ; Reporting Year ; Insurance Category Code ; Large Provider Entity Code ; Age Band Code ; Sex Code </v>
      </c>
      <c r="N6901" s="345" t="s">
        <v>207</v>
      </c>
      <c r="O6901" s="345" t="s">
        <v>208</v>
      </c>
      <c r="P6901" s="345" t="s">
        <v>209</v>
      </c>
      <c r="Q6901" s="345" t="s">
        <v>210</v>
      </c>
      <c r="R6901" s="345" t="s">
        <v>223</v>
      </c>
      <c r="S6901" s="345" t="s">
        <v>224</v>
      </c>
    </row>
    <row r="6902" spans="1:19" x14ac:dyDescent="0.25">
      <c r="A6902" s="311"/>
      <c r="B6902" s="312"/>
      <c r="C6902" s="312"/>
      <c r="D6902" s="312"/>
      <c r="E6902" s="312"/>
      <c r="F6902" s="312"/>
      <c r="G6902" s="328"/>
      <c r="H6902" s="453"/>
      <c r="I6902" s="334"/>
      <c r="J6902" s="314"/>
      <c r="K6902" s="454"/>
      <c r="M6902" s="349" t="str">
        <f>N6902&amp;AS[[#This Row],[Insurer Code]]&amp;"; "&amp;O6902&amp;AS[[#This Row],[Reporting Year]]&amp;"; "&amp;P6902&amp;AS[[#This Row],[Insurance Category Code]]&amp;"; "&amp;Q6902&amp;AS[[#This Row],[Large Provider Entity Code]]&amp;"; "&amp;R6902&amp;AS[[#This Row],[Age Band Code]]&amp;"; "&amp;S6902&amp;AS[[#This Row],[Sex Code]]</f>
        <v xml:space="preserve">Insurer Code ; Reporting Year ; Insurance Category Code ; Large Provider Entity Code ; Age Band Code ; Sex Code </v>
      </c>
      <c r="N6902" s="345" t="s">
        <v>207</v>
      </c>
      <c r="O6902" s="345" t="s">
        <v>208</v>
      </c>
      <c r="P6902" s="345" t="s">
        <v>209</v>
      </c>
      <c r="Q6902" s="345" t="s">
        <v>210</v>
      </c>
      <c r="R6902" s="345" t="s">
        <v>223</v>
      </c>
      <c r="S6902" s="345" t="s">
        <v>224</v>
      </c>
    </row>
    <row r="6903" spans="1:19" x14ac:dyDescent="0.25">
      <c r="A6903" s="311"/>
      <c r="B6903" s="312"/>
      <c r="C6903" s="312"/>
      <c r="D6903" s="312"/>
      <c r="E6903" s="312"/>
      <c r="F6903" s="312"/>
      <c r="G6903" s="328"/>
      <c r="H6903" s="453"/>
      <c r="I6903" s="334"/>
      <c r="J6903" s="314"/>
      <c r="K6903" s="454"/>
      <c r="M6903" s="349" t="str">
        <f>N6903&amp;AS[[#This Row],[Insurer Code]]&amp;"; "&amp;O6903&amp;AS[[#This Row],[Reporting Year]]&amp;"; "&amp;P6903&amp;AS[[#This Row],[Insurance Category Code]]&amp;"; "&amp;Q6903&amp;AS[[#This Row],[Large Provider Entity Code]]&amp;"; "&amp;R6903&amp;AS[[#This Row],[Age Band Code]]&amp;"; "&amp;S6903&amp;AS[[#This Row],[Sex Code]]</f>
        <v xml:space="preserve">Insurer Code ; Reporting Year ; Insurance Category Code ; Large Provider Entity Code ; Age Band Code ; Sex Code </v>
      </c>
      <c r="N6903" s="345" t="s">
        <v>207</v>
      </c>
      <c r="O6903" s="345" t="s">
        <v>208</v>
      </c>
      <c r="P6903" s="345" t="s">
        <v>209</v>
      </c>
      <c r="Q6903" s="345" t="s">
        <v>210</v>
      </c>
      <c r="R6903" s="345" t="s">
        <v>223</v>
      </c>
      <c r="S6903" s="345" t="s">
        <v>224</v>
      </c>
    </row>
    <row r="6904" spans="1:19" x14ac:dyDescent="0.25">
      <c r="A6904" s="311"/>
      <c r="B6904" s="312"/>
      <c r="C6904" s="312"/>
      <c r="D6904" s="312"/>
      <c r="E6904" s="312"/>
      <c r="F6904" s="312"/>
      <c r="G6904" s="328"/>
      <c r="H6904" s="453"/>
      <c r="I6904" s="334"/>
      <c r="J6904" s="314"/>
      <c r="K6904" s="454"/>
      <c r="M6904" s="349" t="str">
        <f>N6904&amp;AS[[#This Row],[Insurer Code]]&amp;"; "&amp;O6904&amp;AS[[#This Row],[Reporting Year]]&amp;"; "&amp;P6904&amp;AS[[#This Row],[Insurance Category Code]]&amp;"; "&amp;Q6904&amp;AS[[#This Row],[Large Provider Entity Code]]&amp;"; "&amp;R6904&amp;AS[[#This Row],[Age Band Code]]&amp;"; "&amp;S6904&amp;AS[[#This Row],[Sex Code]]</f>
        <v xml:space="preserve">Insurer Code ; Reporting Year ; Insurance Category Code ; Large Provider Entity Code ; Age Band Code ; Sex Code </v>
      </c>
      <c r="N6904" s="345" t="s">
        <v>207</v>
      </c>
      <c r="O6904" s="345" t="s">
        <v>208</v>
      </c>
      <c r="P6904" s="345" t="s">
        <v>209</v>
      </c>
      <c r="Q6904" s="345" t="s">
        <v>210</v>
      </c>
      <c r="R6904" s="345" t="s">
        <v>223</v>
      </c>
      <c r="S6904" s="345" t="s">
        <v>224</v>
      </c>
    </row>
    <row r="6905" spans="1:19" x14ac:dyDescent="0.25">
      <c r="A6905" s="311"/>
      <c r="B6905" s="312"/>
      <c r="C6905" s="312"/>
      <c r="D6905" s="312"/>
      <c r="E6905" s="312"/>
      <c r="F6905" s="312"/>
      <c r="G6905" s="328"/>
      <c r="H6905" s="453"/>
      <c r="I6905" s="334"/>
      <c r="J6905" s="314"/>
      <c r="K6905" s="454"/>
      <c r="M6905" s="349" t="str">
        <f>N6905&amp;AS[[#This Row],[Insurer Code]]&amp;"; "&amp;O6905&amp;AS[[#This Row],[Reporting Year]]&amp;"; "&amp;P6905&amp;AS[[#This Row],[Insurance Category Code]]&amp;"; "&amp;Q6905&amp;AS[[#This Row],[Large Provider Entity Code]]&amp;"; "&amp;R6905&amp;AS[[#This Row],[Age Band Code]]&amp;"; "&amp;S6905&amp;AS[[#This Row],[Sex Code]]</f>
        <v xml:space="preserve">Insurer Code ; Reporting Year ; Insurance Category Code ; Large Provider Entity Code ; Age Band Code ; Sex Code </v>
      </c>
      <c r="N6905" s="345" t="s">
        <v>207</v>
      </c>
      <c r="O6905" s="345" t="s">
        <v>208</v>
      </c>
      <c r="P6905" s="345" t="s">
        <v>209</v>
      </c>
      <c r="Q6905" s="345" t="s">
        <v>210</v>
      </c>
      <c r="R6905" s="345" t="s">
        <v>223</v>
      </c>
      <c r="S6905" s="345" t="s">
        <v>224</v>
      </c>
    </row>
    <row r="6906" spans="1:19" x14ac:dyDescent="0.25">
      <c r="A6906" s="311"/>
      <c r="B6906" s="312"/>
      <c r="C6906" s="312"/>
      <c r="D6906" s="312"/>
      <c r="E6906" s="312"/>
      <c r="F6906" s="312"/>
      <c r="G6906" s="328"/>
      <c r="H6906" s="453"/>
      <c r="I6906" s="334"/>
      <c r="J6906" s="314"/>
      <c r="K6906" s="454"/>
      <c r="M6906" s="349" t="str">
        <f>N6906&amp;AS[[#This Row],[Insurer Code]]&amp;"; "&amp;O6906&amp;AS[[#This Row],[Reporting Year]]&amp;"; "&amp;P6906&amp;AS[[#This Row],[Insurance Category Code]]&amp;"; "&amp;Q6906&amp;AS[[#This Row],[Large Provider Entity Code]]&amp;"; "&amp;R6906&amp;AS[[#This Row],[Age Band Code]]&amp;"; "&amp;S6906&amp;AS[[#This Row],[Sex Code]]</f>
        <v xml:space="preserve">Insurer Code ; Reporting Year ; Insurance Category Code ; Large Provider Entity Code ; Age Band Code ; Sex Code </v>
      </c>
      <c r="N6906" s="345" t="s">
        <v>207</v>
      </c>
      <c r="O6906" s="345" t="s">
        <v>208</v>
      </c>
      <c r="P6906" s="345" t="s">
        <v>209</v>
      </c>
      <c r="Q6906" s="345" t="s">
        <v>210</v>
      </c>
      <c r="R6906" s="345" t="s">
        <v>223</v>
      </c>
      <c r="S6906" s="345" t="s">
        <v>224</v>
      </c>
    </row>
    <row r="6907" spans="1:19" x14ac:dyDescent="0.25">
      <c r="A6907" s="311"/>
      <c r="B6907" s="312"/>
      <c r="C6907" s="312"/>
      <c r="D6907" s="312"/>
      <c r="E6907" s="312"/>
      <c r="F6907" s="312"/>
      <c r="G6907" s="328"/>
      <c r="H6907" s="453"/>
      <c r="I6907" s="334"/>
      <c r="J6907" s="314"/>
      <c r="K6907" s="454"/>
      <c r="M6907" s="349" t="str">
        <f>N6907&amp;AS[[#This Row],[Insurer Code]]&amp;"; "&amp;O6907&amp;AS[[#This Row],[Reporting Year]]&amp;"; "&amp;P6907&amp;AS[[#This Row],[Insurance Category Code]]&amp;"; "&amp;Q6907&amp;AS[[#This Row],[Large Provider Entity Code]]&amp;"; "&amp;R6907&amp;AS[[#This Row],[Age Band Code]]&amp;"; "&amp;S6907&amp;AS[[#This Row],[Sex Code]]</f>
        <v xml:space="preserve">Insurer Code ; Reporting Year ; Insurance Category Code ; Large Provider Entity Code ; Age Band Code ; Sex Code </v>
      </c>
      <c r="N6907" s="345" t="s">
        <v>207</v>
      </c>
      <c r="O6907" s="345" t="s">
        <v>208</v>
      </c>
      <c r="P6907" s="345" t="s">
        <v>209</v>
      </c>
      <c r="Q6907" s="345" t="s">
        <v>210</v>
      </c>
      <c r="R6907" s="345" t="s">
        <v>223</v>
      </c>
      <c r="S6907" s="345" t="s">
        <v>224</v>
      </c>
    </row>
    <row r="6908" spans="1:19" x14ac:dyDescent="0.25">
      <c r="A6908" s="311"/>
      <c r="B6908" s="312"/>
      <c r="C6908" s="312"/>
      <c r="D6908" s="312"/>
      <c r="E6908" s="312"/>
      <c r="F6908" s="312"/>
      <c r="G6908" s="328"/>
      <c r="H6908" s="453"/>
      <c r="I6908" s="334"/>
      <c r="J6908" s="314"/>
      <c r="K6908" s="454"/>
      <c r="M6908" s="349" t="str">
        <f>N6908&amp;AS[[#This Row],[Insurer Code]]&amp;"; "&amp;O6908&amp;AS[[#This Row],[Reporting Year]]&amp;"; "&amp;P6908&amp;AS[[#This Row],[Insurance Category Code]]&amp;"; "&amp;Q6908&amp;AS[[#This Row],[Large Provider Entity Code]]&amp;"; "&amp;R6908&amp;AS[[#This Row],[Age Band Code]]&amp;"; "&amp;S6908&amp;AS[[#This Row],[Sex Code]]</f>
        <v xml:space="preserve">Insurer Code ; Reporting Year ; Insurance Category Code ; Large Provider Entity Code ; Age Band Code ; Sex Code </v>
      </c>
      <c r="N6908" s="345" t="s">
        <v>207</v>
      </c>
      <c r="O6908" s="345" t="s">
        <v>208</v>
      </c>
      <c r="P6908" s="345" t="s">
        <v>209</v>
      </c>
      <c r="Q6908" s="345" t="s">
        <v>210</v>
      </c>
      <c r="R6908" s="345" t="s">
        <v>223</v>
      </c>
      <c r="S6908" s="345" t="s">
        <v>224</v>
      </c>
    </row>
    <row r="6909" spans="1:19" x14ac:dyDescent="0.25">
      <c r="A6909" s="311"/>
      <c r="B6909" s="312"/>
      <c r="C6909" s="312"/>
      <c r="D6909" s="312"/>
      <c r="E6909" s="312"/>
      <c r="F6909" s="312"/>
      <c r="G6909" s="328"/>
      <c r="H6909" s="453"/>
      <c r="I6909" s="334"/>
      <c r="J6909" s="314"/>
      <c r="K6909" s="454"/>
      <c r="M6909" s="349" t="str">
        <f>N6909&amp;AS[[#This Row],[Insurer Code]]&amp;"; "&amp;O6909&amp;AS[[#This Row],[Reporting Year]]&amp;"; "&amp;P6909&amp;AS[[#This Row],[Insurance Category Code]]&amp;"; "&amp;Q6909&amp;AS[[#This Row],[Large Provider Entity Code]]&amp;"; "&amp;R6909&amp;AS[[#This Row],[Age Band Code]]&amp;"; "&amp;S6909&amp;AS[[#This Row],[Sex Code]]</f>
        <v xml:space="preserve">Insurer Code ; Reporting Year ; Insurance Category Code ; Large Provider Entity Code ; Age Band Code ; Sex Code </v>
      </c>
      <c r="N6909" s="345" t="s">
        <v>207</v>
      </c>
      <c r="O6909" s="345" t="s">
        <v>208</v>
      </c>
      <c r="P6909" s="345" t="s">
        <v>209</v>
      </c>
      <c r="Q6909" s="345" t="s">
        <v>210</v>
      </c>
      <c r="R6909" s="345" t="s">
        <v>223</v>
      </c>
      <c r="S6909" s="345" t="s">
        <v>224</v>
      </c>
    </row>
    <row r="6910" spans="1:19" x14ac:dyDescent="0.25">
      <c r="A6910" s="311"/>
      <c r="B6910" s="312"/>
      <c r="C6910" s="312"/>
      <c r="D6910" s="312"/>
      <c r="E6910" s="312"/>
      <c r="F6910" s="312"/>
      <c r="G6910" s="328"/>
      <c r="H6910" s="453"/>
      <c r="I6910" s="334"/>
      <c r="J6910" s="314"/>
      <c r="K6910" s="454"/>
      <c r="M6910" s="349" t="str">
        <f>N6910&amp;AS[[#This Row],[Insurer Code]]&amp;"; "&amp;O6910&amp;AS[[#This Row],[Reporting Year]]&amp;"; "&amp;P6910&amp;AS[[#This Row],[Insurance Category Code]]&amp;"; "&amp;Q6910&amp;AS[[#This Row],[Large Provider Entity Code]]&amp;"; "&amp;R6910&amp;AS[[#This Row],[Age Band Code]]&amp;"; "&amp;S6910&amp;AS[[#This Row],[Sex Code]]</f>
        <v xml:space="preserve">Insurer Code ; Reporting Year ; Insurance Category Code ; Large Provider Entity Code ; Age Band Code ; Sex Code </v>
      </c>
      <c r="N6910" s="345" t="s">
        <v>207</v>
      </c>
      <c r="O6910" s="345" t="s">
        <v>208</v>
      </c>
      <c r="P6910" s="345" t="s">
        <v>209</v>
      </c>
      <c r="Q6910" s="345" t="s">
        <v>210</v>
      </c>
      <c r="R6910" s="345" t="s">
        <v>223</v>
      </c>
      <c r="S6910" s="345" t="s">
        <v>224</v>
      </c>
    </row>
    <row r="6911" spans="1:19" x14ac:dyDescent="0.25">
      <c r="A6911" s="311"/>
      <c r="B6911" s="312"/>
      <c r="C6911" s="312"/>
      <c r="D6911" s="312"/>
      <c r="E6911" s="312"/>
      <c r="F6911" s="312"/>
      <c r="G6911" s="328"/>
      <c r="H6911" s="453"/>
      <c r="I6911" s="334"/>
      <c r="J6911" s="314"/>
      <c r="K6911" s="454"/>
      <c r="M6911" s="349" t="str">
        <f>N6911&amp;AS[[#This Row],[Insurer Code]]&amp;"; "&amp;O6911&amp;AS[[#This Row],[Reporting Year]]&amp;"; "&amp;P6911&amp;AS[[#This Row],[Insurance Category Code]]&amp;"; "&amp;Q6911&amp;AS[[#This Row],[Large Provider Entity Code]]&amp;"; "&amp;R6911&amp;AS[[#This Row],[Age Band Code]]&amp;"; "&amp;S6911&amp;AS[[#This Row],[Sex Code]]</f>
        <v xml:space="preserve">Insurer Code ; Reporting Year ; Insurance Category Code ; Large Provider Entity Code ; Age Band Code ; Sex Code </v>
      </c>
      <c r="N6911" s="345" t="s">
        <v>207</v>
      </c>
      <c r="O6911" s="345" t="s">
        <v>208</v>
      </c>
      <c r="P6911" s="345" t="s">
        <v>209</v>
      </c>
      <c r="Q6911" s="345" t="s">
        <v>210</v>
      </c>
      <c r="R6911" s="345" t="s">
        <v>223</v>
      </c>
      <c r="S6911" s="345" t="s">
        <v>224</v>
      </c>
    </row>
    <row r="6912" spans="1:19" x14ac:dyDescent="0.25">
      <c r="A6912" s="311"/>
      <c r="B6912" s="312"/>
      <c r="C6912" s="312"/>
      <c r="D6912" s="312"/>
      <c r="E6912" s="312"/>
      <c r="F6912" s="312"/>
      <c r="G6912" s="328"/>
      <c r="H6912" s="453"/>
      <c r="I6912" s="334"/>
      <c r="J6912" s="314"/>
      <c r="K6912" s="454"/>
      <c r="M6912" s="349" t="str">
        <f>N6912&amp;AS[[#This Row],[Insurer Code]]&amp;"; "&amp;O6912&amp;AS[[#This Row],[Reporting Year]]&amp;"; "&amp;P6912&amp;AS[[#This Row],[Insurance Category Code]]&amp;"; "&amp;Q6912&amp;AS[[#This Row],[Large Provider Entity Code]]&amp;"; "&amp;R6912&amp;AS[[#This Row],[Age Band Code]]&amp;"; "&amp;S6912&amp;AS[[#This Row],[Sex Code]]</f>
        <v xml:space="preserve">Insurer Code ; Reporting Year ; Insurance Category Code ; Large Provider Entity Code ; Age Band Code ; Sex Code </v>
      </c>
      <c r="N6912" s="345" t="s">
        <v>207</v>
      </c>
      <c r="O6912" s="345" t="s">
        <v>208</v>
      </c>
      <c r="P6912" s="345" t="s">
        <v>209</v>
      </c>
      <c r="Q6912" s="345" t="s">
        <v>210</v>
      </c>
      <c r="R6912" s="345" t="s">
        <v>223</v>
      </c>
      <c r="S6912" s="345" t="s">
        <v>224</v>
      </c>
    </row>
    <row r="6913" spans="1:19" x14ac:dyDescent="0.25">
      <c r="A6913" s="311"/>
      <c r="B6913" s="312"/>
      <c r="C6913" s="312"/>
      <c r="D6913" s="312"/>
      <c r="E6913" s="312"/>
      <c r="F6913" s="312"/>
      <c r="G6913" s="328"/>
      <c r="H6913" s="453"/>
      <c r="I6913" s="334"/>
      <c r="J6913" s="314"/>
      <c r="K6913" s="454"/>
      <c r="M6913" s="349" t="str">
        <f>N6913&amp;AS[[#This Row],[Insurer Code]]&amp;"; "&amp;O6913&amp;AS[[#This Row],[Reporting Year]]&amp;"; "&amp;P6913&amp;AS[[#This Row],[Insurance Category Code]]&amp;"; "&amp;Q6913&amp;AS[[#This Row],[Large Provider Entity Code]]&amp;"; "&amp;R6913&amp;AS[[#This Row],[Age Band Code]]&amp;"; "&amp;S6913&amp;AS[[#This Row],[Sex Code]]</f>
        <v xml:space="preserve">Insurer Code ; Reporting Year ; Insurance Category Code ; Large Provider Entity Code ; Age Band Code ; Sex Code </v>
      </c>
      <c r="N6913" s="345" t="s">
        <v>207</v>
      </c>
      <c r="O6913" s="345" t="s">
        <v>208</v>
      </c>
      <c r="P6913" s="345" t="s">
        <v>209</v>
      </c>
      <c r="Q6913" s="345" t="s">
        <v>210</v>
      </c>
      <c r="R6913" s="345" t="s">
        <v>223</v>
      </c>
      <c r="S6913" s="345" t="s">
        <v>224</v>
      </c>
    </row>
    <row r="6914" spans="1:19" x14ac:dyDescent="0.25">
      <c r="A6914" s="311"/>
      <c r="B6914" s="312"/>
      <c r="C6914" s="312"/>
      <c r="D6914" s="312"/>
      <c r="E6914" s="312"/>
      <c r="F6914" s="312"/>
      <c r="G6914" s="328"/>
      <c r="H6914" s="453"/>
      <c r="I6914" s="334"/>
      <c r="J6914" s="314"/>
      <c r="K6914" s="454"/>
      <c r="M6914" s="349" t="str">
        <f>N6914&amp;AS[[#This Row],[Insurer Code]]&amp;"; "&amp;O6914&amp;AS[[#This Row],[Reporting Year]]&amp;"; "&amp;P6914&amp;AS[[#This Row],[Insurance Category Code]]&amp;"; "&amp;Q6914&amp;AS[[#This Row],[Large Provider Entity Code]]&amp;"; "&amp;R6914&amp;AS[[#This Row],[Age Band Code]]&amp;"; "&amp;S6914&amp;AS[[#This Row],[Sex Code]]</f>
        <v xml:space="preserve">Insurer Code ; Reporting Year ; Insurance Category Code ; Large Provider Entity Code ; Age Band Code ; Sex Code </v>
      </c>
      <c r="N6914" s="345" t="s">
        <v>207</v>
      </c>
      <c r="O6914" s="345" t="s">
        <v>208</v>
      </c>
      <c r="P6914" s="345" t="s">
        <v>209</v>
      </c>
      <c r="Q6914" s="345" t="s">
        <v>210</v>
      </c>
      <c r="R6914" s="345" t="s">
        <v>223</v>
      </c>
      <c r="S6914" s="345" t="s">
        <v>224</v>
      </c>
    </row>
    <row r="6915" spans="1:19" x14ac:dyDescent="0.25">
      <c r="A6915" s="311"/>
      <c r="B6915" s="312"/>
      <c r="C6915" s="312"/>
      <c r="D6915" s="312"/>
      <c r="E6915" s="312"/>
      <c r="F6915" s="312"/>
      <c r="G6915" s="328"/>
      <c r="H6915" s="453"/>
      <c r="I6915" s="334"/>
      <c r="J6915" s="314"/>
      <c r="K6915" s="454"/>
      <c r="M6915" s="349" t="str">
        <f>N6915&amp;AS[[#This Row],[Insurer Code]]&amp;"; "&amp;O6915&amp;AS[[#This Row],[Reporting Year]]&amp;"; "&amp;P6915&amp;AS[[#This Row],[Insurance Category Code]]&amp;"; "&amp;Q6915&amp;AS[[#This Row],[Large Provider Entity Code]]&amp;"; "&amp;R6915&amp;AS[[#This Row],[Age Band Code]]&amp;"; "&amp;S6915&amp;AS[[#This Row],[Sex Code]]</f>
        <v xml:space="preserve">Insurer Code ; Reporting Year ; Insurance Category Code ; Large Provider Entity Code ; Age Band Code ; Sex Code </v>
      </c>
      <c r="N6915" s="345" t="s">
        <v>207</v>
      </c>
      <c r="O6915" s="345" t="s">
        <v>208</v>
      </c>
      <c r="P6915" s="345" t="s">
        <v>209</v>
      </c>
      <c r="Q6915" s="345" t="s">
        <v>210</v>
      </c>
      <c r="R6915" s="345" t="s">
        <v>223</v>
      </c>
      <c r="S6915" s="345" t="s">
        <v>224</v>
      </c>
    </row>
    <row r="6916" spans="1:19" x14ac:dyDescent="0.25">
      <c r="A6916" s="311"/>
      <c r="B6916" s="312"/>
      <c r="C6916" s="312"/>
      <c r="D6916" s="312"/>
      <c r="E6916" s="312"/>
      <c r="F6916" s="312"/>
      <c r="G6916" s="328"/>
      <c r="H6916" s="453"/>
      <c r="I6916" s="334"/>
      <c r="J6916" s="314"/>
      <c r="K6916" s="454"/>
      <c r="M6916" s="349" t="str">
        <f>N6916&amp;AS[[#This Row],[Insurer Code]]&amp;"; "&amp;O6916&amp;AS[[#This Row],[Reporting Year]]&amp;"; "&amp;P6916&amp;AS[[#This Row],[Insurance Category Code]]&amp;"; "&amp;Q6916&amp;AS[[#This Row],[Large Provider Entity Code]]&amp;"; "&amp;R6916&amp;AS[[#This Row],[Age Band Code]]&amp;"; "&amp;S6916&amp;AS[[#This Row],[Sex Code]]</f>
        <v xml:space="preserve">Insurer Code ; Reporting Year ; Insurance Category Code ; Large Provider Entity Code ; Age Band Code ; Sex Code </v>
      </c>
      <c r="N6916" s="345" t="s">
        <v>207</v>
      </c>
      <c r="O6916" s="345" t="s">
        <v>208</v>
      </c>
      <c r="P6916" s="345" t="s">
        <v>209</v>
      </c>
      <c r="Q6916" s="345" t="s">
        <v>210</v>
      </c>
      <c r="R6916" s="345" t="s">
        <v>223</v>
      </c>
      <c r="S6916" s="345" t="s">
        <v>224</v>
      </c>
    </row>
    <row r="6917" spans="1:19" x14ac:dyDescent="0.25">
      <c r="A6917" s="311"/>
      <c r="B6917" s="312"/>
      <c r="C6917" s="312"/>
      <c r="D6917" s="312"/>
      <c r="E6917" s="312"/>
      <c r="F6917" s="312"/>
      <c r="G6917" s="328"/>
      <c r="H6917" s="453"/>
      <c r="I6917" s="334"/>
      <c r="J6917" s="314"/>
      <c r="K6917" s="454"/>
      <c r="M6917" s="349" t="str">
        <f>N6917&amp;AS[[#This Row],[Insurer Code]]&amp;"; "&amp;O6917&amp;AS[[#This Row],[Reporting Year]]&amp;"; "&amp;P6917&amp;AS[[#This Row],[Insurance Category Code]]&amp;"; "&amp;Q6917&amp;AS[[#This Row],[Large Provider Entity Code]]&amp;"; "&amp;R6917&amp;AS[[#This Row],[Age Band Code]]&amp;"; "&amp;S6917&amp;AS[[#This Row],[Sex Code]]</f>
        <v xml:space="preserve">Insurer Code ; Reporting Year ; Insurance Category Code ; Large Provider Entity Code ; Age Band Code ; Sex Code </v>
      </c>
      <c r="N6917" s="345" t="s">
        <v>207</v>
      </c>
      <c r="O6917" s="345" t="s">
        <v>208</v>
      </c>
      <c r="P6917" s="345" t="s">
        <v>209</v>
      </c>
      <c r="Q6917" s="345" t="s">
        <v>210</v>
      </c>
      <c r="R6917" s="345" t="s">
        <v>223</v>
      </c>
      <c r="S6917" s="345" t="s">
        <v>224</v>
      </c>
    </row>
    <row r="6918" spans="1:19" x14ac:dyDescent="0.25">
      <c r="A6918" s="311"/>
      <c r="B6918" s="312"/>
      <c r="C6918" s="312"/>
      <c r="D6918" s="312"/>
      <c r="E6918" s="312"/>
      <c r="F6918" s="312"/>
      <c r="G6918" s="328"/>
      <c r="H6918" s="453"/>
      <c r="I6918" s="334"/>
      <c r="J6918" s="314"/>
      <c r="K6918" s="454"/>
      <c r="M6918" s="349" t="str">
        <f>N6918&amp;AS[[#This Row],[Insurer Code]]&amp;"; "&amp;O6918&amp;AS[[#This Row],[Reporting Year]]&amp;"; "&amp;P6918&amp;AS[[#This Row],[Insurance Category Code]]&amp;"; "&amp;Q6918&amp;AS[[#This Row],[Large Provider Entity Code]]&amp;"; "&amp;R6918&amp;AS[[#This Row],[Age Band Code]]&amp;"; "&amp;S6918&amp;AS[[#This Row],[Sex Code]]</f>
        <v xml:space="preserve">Insurer Code ; Reporting Year ; Insurance Category Code ; Large Provider Entity Code ; Age Band Code ; Sex Code </v>
      </c>
      <c r="N6918" s="345" t="s">
        <v>207</v>
      </c>
      <c r="O6918" s="345" t="s">
        <v>208</v>
      </c>
      <c r="P6918" s="345" t="s">
        <v>209</v>
      </c>
      <c r="Q6918" s="345" t="s">
        <v>210</v>
      </c>
      <c r="R6918" s="345" t="s">
        <v>223</v>
      </c>
      <c r="S6918" s="345" t="s">
        <v>224</v>
      </c>
    </row>
    <row r="6919" spans="1:19" x14ac:dyDescent="0.25">
      <c r="A6919" s="311"/>
      <c r="B6919" s="312"/>
      <c r="C6919" s="312"/>
      <c r="D6919" s="312"/>
      <c r="E6919" s="312"/>
      <c r="F6919" s="312"/>
      <c r="G6919" s="328"/>
      <c r="H6919" s="453"/>
      <c r="I6919" s="334"/>
      <c r="J6919" s="314"/>
      <c r="K6919" s="454"/>
      <c r="M6919" s="349" t="str">
        <f>N6919&amp;AS[[#This Row],[Insurer Code]]&amp;"; "&amp;O6919&amp;AS[[#This Row],[Reporting Year]]&amp;"; "&amp;P6919&amp;AS[[#This Row],[Insurance Category Code]]&amp;"; "&amp;Q6919&amp;AS[[#This Row],[Large Provider Entity Code]]&amp;"; "&amp;R6919&amp;AS[[#This Row],[Age Band Code]]&amp;"; "&amp;S6919&amp;AS[[#This Row],[Sex Code]]</f>
        <v xml:space="preserve">Insurer Code ; Reporting Year ; Insurance Category Code ; Large Provider Entity Code ; Age Band Code ; Sex Code </v>
      </c>
      <c r="N6919" s="345" t="s">
        <v>207</v>
      </c>
      <c r="O6919" s="345" t="s">
        <v>208</v>
      </c>
      <c r="P6919" s="345" t="s">
        <v>209</v>
      </c>
      <c r="Q6919" s="345" t="s">
        <v>210</v>
      </c>
      <c r="R6919" s="345" t="s">
        <v>223</v>
      </c>
      <c r="S6919" s="345" t="s">
        <v>224</v>
      </c>
    </row>
    <row r="6920" spans="1:19" x14ac:dyDescent="0.25">
      <c r="A6920" s="311"/>
      <c r="B6920" s="312"/>
      <c r="C6920" s="312"/>
      <c r="D6920" s="312"/>
      <c r="E6920" s="312"/>
      <c r="F6920" s="312"/>
      <c r="G6920" s="328"/>
      <c r="H6920" s="453"/>
      <c r="I6920" s="334"/>
      <c r="J6920" s="314"/>
      <c r="K6920" s="454"/>
      <c r="M6920" s="349" t="str">
        <f>N6920&amp;AS[[#This Row],[Insurer Code]]&amp;"; "&amp;O6920&amp;AS[[#This Row],[Reporting Year]]&amp;"; "&amp;P6920&amp;AS[[#This Row],[Insurance Category Code]]&amp;"; "&amp;Q6920&amp;AS[[#This Row],[Large Provider Entity Code]]&amp;"; "&amp;R6920&amp;AS[[#This Row],[Age Band Code]]&amp;"; "&amp;S6920&amp;AS[[#This Row],[Sex Code]]</f>
        <v xml:space="preserve">Insurer Code ; Reporting Year ; Insurance Category Code ; Large Provider Entity Code ; Age Band Code ; Sex Code </v>
      </c>
      <c r="N6920" s="345" t="s">
        <v>207</v>
      </c>
      <c r="O6920" s="345" t="s">
        <v>208</v>
      </c>
      <c r="P6920" s="345" t="s">
        <v>209</v>
      </c>
      <c r="Q6920" s="345" t="s">
        <v>210</v>
      </c>
      <c r="R6920" s="345" t="s">
        <v>223</v>
      </c>
      <c r="S6920" s="345" t="s">
        <v>224</v>
      </c>
    </row>
    <row r="6921" spans="1:19" x14ac:dyDescent="0.25">
      <c r="A6921" s="311"/>
      <c r="B6921" s="312"/>
      <c r="C6921" s="312"/>
      <c r="D6921" s="312"/>
      <c r="E6921" s="312"/>
      <c r="F6921" s="312"/>
      <c r="G6921" s="328"/>
      <c r="H6921" s="453"/>
      <c r="I6921" s="334"/>
      <c r="J6921" s="314"/>
      <c r="K6921" s="454"/>
      <c r="M6921" s="349" t="str">
        <f>N6921&amp;AS[[#This Row],[Insurer Code]]&amp;"; "&amp;O6921&amp;AS[[#This Row],[Reporting Year]]&amp;"; "&amp;P6921&amp;AS[[#This Row],[Insurance Category Code]]&amp;"; "&amp;Q6921&amp;AS[[#This Row],[Large Provider Entity Code]]&amp;"; "&amp;R6921&amp;AS[[#This Row],[Age Band Code]]&amp;"; "&amp;S6921&amp;AS[[#This Row],[Sex Code]]</f>
        <v xml:space="preserve">Insurer Code ; Reporting Year ; Insurance Category Code ; Large Provider Entity Code ; Age Band Code ; Sex Code </v>
      </c>
      <c r="N6921" s="345" t="s">
        <v>207</v>
      </c>
      <c r="O6921" s="345" t="s">
        <v>208</v>
      </c>
      <c r="P6921" s="345" t="s">
        <v>209</v>
      </c>
      <c r="Q6921" s="345" t="s">
        <v>210</v>
      </c>
      <c r="R6921" s="345" t="s">
        <v>223</v>
      </c>
      <c r="S6921" s="345" t="s">
        <v>224</v>
      </c>
    </row>
    <row r="6922" spans="1:19" x14ac:dyDescent="0.25">
      <c r="A6922" s="311"/>
      <c r="B6922" s="312"/>
      <c r="C6922" s="312"/>
      <c r="D6922" s="312"/>
      <c r="E6922" s="312"/>
      <c r="F6922" s="312"/>
      <c r="G6922" s="328"/>
      <c r="H6922" s="453"/>
      <c r="I6922" s="334"/>
      <c r="J6922" s="314"/>
      <c r="K6922" s="454"/>
      <c r="M6922" s="349" t="str">
        <f>N6922&amp;AS[[#This Row],[Insurer Code]]&amp;"; "&amp;O6922&amp;AS[[#This Row],[Reporting Year]]&amp;"; "&amp;P6922&amp;AS[[#This Row],[Insurance Category Code]]&amp;"; "&amp;Q6922&amp;AS[[#This Row],[Large Provider Entity Code]]&amp;"; "&amp;R6922&amp;AS[[#This Row],[Age Band Code]]&amp;"; "&amp;S6922&amp;AS[[#This Row],[Sex Code]]</f>
        <v xml:space="preserve">Insurer Code ; Reporting Year ; Insurance Category Code ; Large Provider Entity Code ; Age Band Code ; Sex Code </v>
      </c>
      <c r="N6922" s="345" t="s">
        <v>207</v>
      </c>
      <c r="O6922" s="345" t="s">
        <v>208</v>
      </c>
      <c r="P6922" s="345" t="s">
        <v>209</v>
      </c>
      <c r="Q6922" s="345" t="s">
        <v>210</v>
      </c>
      <c r="R6922" s="345" t="s">
        <v>223</v>
      </c>
      <c r="S6922" s="345" t="s">
        <v>224</v>
      </c>
    </row>
    <row r="6923" spans="1:19" x14ac:dyDescent="0.25">
      <c r="A6923" s="311"/>
      <c r="B6923" s="312"/>
      <c r="C6923" s="312"/>
      <c r="D6923" s="312"/>
      <c r="E6923" s="312"/>
      <c r="F6923" s="312"/>
      <c r="G6923" s="328"/>
      <c r="H6923" s="453"/>
      <c r="I6923" s="334"/>
      <c r="J6923" s="314"/>
      <c r="K6923" s="454"/>
      <c r="M6923" s="349" t="str">
        <f>N6923&amp;AS[[#This Row],[Insurer Code]]&amp;"; "&amp;O6923&amp;AS[[#This Row],[Reporting Year]]&amp;"; "&amp;P6923&amp;AS[[#This Row],[Insurance Category Code]]&amp;"; "&amp;Q6923&amp;AS[[#This Row],[Large Provider Entity Code]]&amp;"; "&amp;R6923&amp;AS[[#This Row],[Age Band Code]]&amp;"; "&amp;S6923&amp;AS[[#This Row],[Sex Code]]</f>
        <v xml:space="preserve">Insurer Code ; Reporting Year ; Insurance Category Code ; Large Provider Entity Code ; Age Band Code ; Sex Code </v>
      </c>
      <c r="N6923" s="345" t="s">
        <v>207</v>
      </c>
      <c r="O6923" s="345" t="s">
        <v>208</v>
      </c>
      <c r="P6923" s="345" t="s">
        <v>209</v>
      </c>
      <c r="Q6923" s="345" t="s">
        <v>210</v>
      </c>
      <c r="R6923" s="345" t="s">
        <v>223</v>
      </c>
      <c r="S6923" s="345" t="s">
        <v>224</v>
      </c>
    </row>
    <row r="6924" spans="1:19" x14ac:dyDescent="0.25">
      <c r="A6924" s="311"/>
      <c r="B6924" s="312"/>
      <c r="C6924" s="312"/>
      <c r="D6924" s="312"/>
      <c r="E6924" s="312"/>
      <c r="F6924" s="312"/>
      <c r="G6924" s="328"/>
      <c r="H6924" s="453"/>
      <c r="I6924" s="334"/>
      <c r="J6924" s="314"/>
      <c r="K6924" s="454"/>
      <c r="M6924" s="349" t="str">
        <f>N6924&amp;AS[[#This Row],[Insurer Code]]&amp;"; "&amp;O6924&amp;AS[[#This Row],[Reporting Year]]&amp;"; "&amp;P6924&amp;AS[[#This Row],[Insurance Category Code]]&amp;"; "&amp;Q6924&amp;AS[[#This Row],[Large Provider Entity Code]]&amp;"; "&amp;R6924&amp;AS[[#This Row],[Age Band Code]]&amp;"; "&amp;S6924&amp;AS[[#This Row],[Sex Code]]</f>
        <v xml:space="preserve">Insurer Code ; Reporting Year ; Insurance Category Code ; Large Provider Entity Code ; Age Band Code ; Sex Code </v>
      </c>
      <c r="N6924" s="345" t="s">
        <v>207</v>
      </c>
      <c r="O6924" s="345" t="s">
        <v>208</v>
      </c>
      <c r="P6924" s="345" t="s">
        <v>209</v>
      </c>
      <c r="Q6924" s="345" t="s">
        <v>210</v>
      </c>
      <c r="R6924" s="345" t="s">
        <v>223</v>
      </c>
      <c r="S6924" s="345" t="s">
        <v>224</v>
      </c>
    </row>
    <row r="6925" spans="1:19" x14ac:dyDescent="0.25">
      <c r="A6925" s="311"/>
      <c r="B6925" s="312"/>
      <c r="C6925" s="312"/>
      <c r="D6925" s="312"/>
      <c r="E6925" s="312"/>
      <c r="F6925" s="312"/>
      <c r="G6925" s="328"/>
      <c r="H6925" s="453"/>
      <c r="I6925" s="334"/>
      <c r="J6925" s="314"/>
      <c r="K6925" s="454"/>
      <c r="M6925" s="349" t="str">
        <f>N6925&amp;AS[[#This Row],[Insurer Code]]&amp;"; "&amp;O6925&amp;AS[[#This Row],[Reporting Year]]&amp;"; "&amp;P6925&amp;AS[[#This Row],[Insurance Category Code]]&amp;"; "&amp;Q6925&amp;AS[[#This Row],[Large Provider Entity Code]]&amp;"; "&amp;R6925&amp;AS[[#This Row],[Age Band Code]]&amp;"; "&amp;S6925&amp;AS[[#This Row],[Sex Code]]</f>
        <v xml:space="preserve">Insurer Code ; Reporting Year ; Insurance Category Code ; Large Provider Entity Code ; Age Band Code ; Sex Code </v>
      </c>
      <c r="N6925" s="345" t="s">
        <v>207</v>
      </c>
      <c r="O6925" s="345" t="s">
        <v>208</v>
      </c>
      <c r="P6925" s="345" t="s">
        <v>209</v>
      </c>
      <c r="Q6925" s="345" t="s">
        <v>210</v>
      </c>
      <c r="R6925" s="345" t="s">
        <v>223</v>
      </c>
      <c r="S6925" s="345" t="s">
        <v>224</v>
      </c>
    </row>
    <row r="6926" spans="1:19" x14ac:dyDescent="0.25">
      <c r="A6926" s="311"/>
      <c r="B6926" s="312"/>
      <c r="C6926" s="312"/>
      <c r="D6926" s="312"/>
      <c r="E6926" s="312"/>
      <c r="F6926" s="312"/>
      <c r="G6926" s="328"/>
      <c r="H6926" s="453"/>
      <c r="I6926" s="334"/>
      <c r="J6926" s="314"/>
      <c r="K6926" s="454"/>
      <c r="M6926" s="349" t="str">
        <f>N6926&amp;AS[[#This Row],[Insurer Code]]&amp;"; "&amp;O6926&amp;AS[[#This Row],[Reporting Year]]&amp;"; "&amp;P6926&amp;AS[[#This Row],[Insurance Category Code]]&amp;"; "&amp;Q6926&amp;AS[[#This Row],[Large Provider Entity Code]]&amp;"; "&amp;R6926&amp;AS[[#This Row],[Age Band Code]]&amp;"; "&amp;S6926&amp;AS[[#This Row],[Sex Code]]</f>
        <v xml:space="preserve">Insurer Code ; Reporting Year ; Insurance Category Code ; Large Provider Entity Code ; Age Band Code ; Sex Code </v>
      </c>
      <c r="N6926" s="345" t="s">
        <v>207</v>
      </c>
      <c r="O6926" s="345" t="s">
        <v>208</v>
      </c>
      <c r="P6926" s="345" t="s">
        <v>209</v>
      </c>
      <c r="Q6926" s="345" t="s">
        <v>210</v>
      </c>
      <c r="R6926" s="345" t="s">
        <v>223</v>
      </c>
      <c r="S6926" s="345" t="s">
        <v>224</v>
      </c>
    </row>
    <row r="6927" spans="1:19" x14ac:dyDescent="0.25">
      <c r="A6927" s="311"/>
      <c r="B6927" s="312"/>
      <c r="C6927" s="312"/>
      <c r="D6927" s="312"/>
      <c r="E6927" s="312"/>
      <c r="F6927" s="312"/>
      <c r="G6927" s="328"/>
      <c r="H6927" s="453"/>
      <c r="I6927" s="334"/>
      <c r="J6927" s="314"/>
      <c r="K6927" s="454"/>
      <c r="M6927" s="349" t="str">
        <f>N6927&amp;AS[[#This Row],[Insurer Code]]&amp;"; "&amp;O6927&amp;AS[[#This Row],[Reporting Year]]&amp;"; "&amp;P6927&amp;AS[[#This Row],[Insurance Category Code]]&amp;"; "&amp;Q6927&amp;AS[[#This Row],[Large Provider Entity Code]]&amp;"; "&amp;R6927&amp;AS[[#This Row],[Age Band Code]]&amp;"; "&amp;S6927&amp;AS[[#This Row],[Sex Code]]</f>
        <v xml:space="preserve">Insurer Code ; Reporting Year ; Insurance Category Code ; Large Provider Entity Code ; Age Band Code ; Sex Code </v>
      </c>
      <c r="N6927" s="345" t="s">
        <v>207</v>
      </c>
      <c r="O6927" s="345" t="s">
        <v>208</v>
      </c>
      <c r="P6927" s="345" t="s">
        <v>209</v>
      </c>
      <c r="Q6927" s="345" t="s">
        <v>210</v>
      </c>
      <c r="R6927" s="345" t="s">
        <v>223</v>
      </c>
      <c r="S6927" s="345" t="s">
        <v>224</v>
      </c>
    </row>
    <row r="6928" spans="1:19" x14ac:dyDescent="0.25">
      <c r="A6928" s="311"/>
      <c r="B6928" s="312"/>
      <c r="C6928" s="312"/>
      <c r="D6928" s="312"/>
      <c r="E6928" s="312"/>
      <c r="F6928" s="312"/>
      <c r="G6928" s="328"/>
      <c r="H6928" s="453"/>
      <c r="I6928" s="334"/>
      <c r="J6928" s="314"/>
      <c r="K6928" s="454"/>
      <c r="M6928" s="349" t="str">
        <f>N6928&amp;AS[[#This Row],[Insurer Code]]&amp;"; "&amp;O6928&amp;AS[[#This Row],[Reporting Year]]&amp;"; "&amp;P6928&amp;AS[[#This Row],[Insurance Category Code]]&amp;"; "&amp;Q6928&amp;AS[[#This Row],[Large Provider Entity Code]]&amp;"; "&amp;R6928&amp;AS[[#This Row],[Age Band Code]]&amp;"; "&amp;S6928&amp;AS[[#This Row],[Sex Code]]</f>
        <v xml:space="preserve">Insurer Code ; Reporting Year ; Insurance Category Code ; Large Provider Entity Code ; Age Band Code ; Sex Code </v>
      </c>
      <c r="N6928" s="345" t="s">
        <v>207</v>
      </c>
      <c r="O6928" s="345" t="s">
        <v>208</v>
      </c>
      <c r="P6928" s="345" t="s">
        <v>209</v>
      </c>
      <c r="Q6928" s="345" t="s">
        <v>210</v>
      </c>
      <c r="R6928" s="345" t="s">
        <v>223</v>
      </c>
      <c r="S6928" s="345" t="s">
        <v>224</v>
      </c>
    </row>
    <row r="6929" spans="1:19" x14ac:dyDescent="0.25">
      <c r="A6929" s="311"/>
      <c r="B6929" s="312"/>
      <c r="C6929" s="312"/>
      <c r="D6929" s="312"/>
      <c r="E6929" s="312"/>
      <c r="F6929" s="312"/>
      <c r="G6929" s="328"/>
      <c r="H6929" s="453"/>
      <c r="I6929" s="334"/>
      <c r="J6929" s="314"/>
      <c r="K6929" s="454"/>
      <c r="M6929" s="349" t="str">
        <f>N6929&amp;AS[[#This Row],[Insurer Code]]&amp;"; "&amp;O6929&amp;AS[[#This Row],[Reporting Year]]&amp;"; "&amp;P6929&amp;AS[[#This Row],[Insurance Category Code]]&amp;"; "&amp;Q6929&amp;AS[[#This Row],[Large Provider Entity Code]]&amp;"; "&amp;R6929&amp;AS[[#This Row],[Age Band Code]]&amp;"; "&amp;S6929&amp;AS[[#This Row],[Sex Code]]</f>
        <v xml:space="preserve">Insurer Code ; Reporting Year ; Insurance Category Code ; Large Provider Entity Code ; Age Band Code ; Sex Code </v>
      </c>
      <c r="N6929" s="345" t="s">
        <v>207</v>
      </c>
      <c r="O6929" s="345" t="s">
        <v>208</v>
      </c>
      <c r="P6929" s="345" t="s">
        <v>209</v>
      </c>
      <c r="Q6929" s="345" t="s">
        <v>210</v>
      </c>
      <c r="R6929" s="345" t="s">
        <v>223</v>
      </c>
      <c r="S6929" s="345" t="s">
        <v>224</v>
      </c>
    </row>
    <row r="6930" spans="1:19" x14ac:dyDescent="0.25">
      <c r="A6930" s="311"/>
      <c r="B6930" s="312"/>
      <c r="C6930" s="312"/>
      <c r="D6930" s="312"/>
      <c r="E6930" s="312"/>
      <c r="F6930" s="312"/>
      <c r="G6930" s="328"/>
      <c r="H6930" s="453"/>
      <c r="I6930" s="334"/>
      <c r="J6930" s="314"/>
      <c r="K6930" s="454"/>
      <c r="M6930" s="349" t="str">
        <f>N6930&amp;AS[[#This Row],[Insurer Code]]&amp;"; "&amp;O6930&amp;AS[[#This Row],[Reporting Year]]&amp;"; "&amp;P6930&amp;AS[[#This Row],[Insurance Category Code]]&amp;"; "&amp;Q6930&amp;AS[[#This Row],[Large Provider Entity Code]]&amp;"; "&amp;R6930&amp;AS[[#This Row],[Age Band Code]]&amp;"; "&amp;S6930&amp;AS[[#This Row],[Sex Code]]</f>
        <v xml:space="preserve">Insurer Code ; Reporting Year ; Insurance Category Code ; Large Provider Entity Code ; Age Band Code ; Sex Code </v>
      </c>
      <c r="N6930" s="345" t="s">
        <v>207</v>
      </c>
      <c r="O6930" s="345" t="s">
        <v>208</v>
      </c>
      <c r="P6930" s="345" t="s">
        <v>209</v>
      </c>
      <c r="Q6930" s="345" t="s">
        <v>210</v>
      </c>
      <c r="R6930" s="345" t="s">
        <v>223</v>
      </c>
      <c r="S6930" s="345" t="s">
        <v>224</v>
      </c>
    </row>
    <row r="6931" spans="1:19" x14ac:dyDescent="0.25">
      <c r="A6931" s="311"/>
      <c r="B6931" s="312"/>
      <c r="C6931" s="312"/>
      <c r="D6931" s="312"/>
      <c r="E6931" s="312"/>
      <c r="F6931" s="312"/>
      <c r="G6931" s="328"/>
      <c r="H6931" s="453"/>
      <c r="I6931" s="334"/>
      <c r="J6931" s="314"/>
      <c r="K6931" s="454"/>
      <c r="M6931" s="349" t="str">
        <f>N6931&amp;AS[[#This Row],[Insurer Code]]&amp;"; "&amp;O6931&amp;AS[[#This Row],[Reporting Year]]&amp;"; "&amp;P6931&amp;AS[[#This Row],[Insurance Category Code]]&amp;"; "&amp;Q6931&amp;AS[[#This Row],[Large Provider Entity Code]]&amp;"; "&amp;R6931&amp;AS[[#This Row],[Age Band Code]]&amp;"; "&amp;S6931&amp;AS[[#This Row],[Sex Code]]</f>
        <v xml:space="preserve">Insurer Code ; Reporting Year ; Insurance Category Code ; Large Provider Entity Code ; Age Band Code ; Sex Code </v>
      </c>
      <c r="N6931" s="345" t="s">
        <v>207</v>
      </c>
      <c r="O6931" s="345" t="s">
        <v>208</v>
      </c>
      <c r="P6931" s="345" t="s">
        <v>209</v>
      </c>
      <c r="Q6931" s="345" t="s">
        <v>210</v>
      </c>
      <c r="R6931" s="345" t="s">
        <v>223</v>
      </c>
      <c r="S6931" s="345" t="s">
        <v>224</v>
      </c>
    </row>
    <row r="6932" spans="1:19" x14ac:dyDescent="0.25">
      <c r="A6932" s="311"/>
      <c r="B6932" s="312"/>
      <c r="C6932" s="312"/>
      <c r="D6932" s="312"/>
      <c r="E6932" s="312"/>
      <c r="F6932" s="312"/>
      <c r="G6932" s="328"/>
      <c r="H6932" s="453"/>
      <c r="I6932" s="334"/>
      <c r="J6932" s="314"/>
      <c r="K6932" s="454"/>
      <c r="M6932" s="349" t="str">
        <f>N6932&amp;AS[[#This Row],[Insurer Code]]&amp;"; "&amp;O6932&amp;AS[[#This Row],[Reporting Year]]&amp;"; "&amp;P6932&amp;AS[[#This Row],[Insurance Category Code]]&amp;"; "&amp;Q6932&amp;AS[[#This Row],[Large Provider Entity Code]]&amp;"; "&amp;R6932&amp;AS[[#This Row],[Age Band Code]]&amp;"; "&amp;S6932&amp;AS[[#This Row],[Sex Code]]</f>
        <v xml:space="preserve">Insurer Code ; Reporting Year ; Insurance Category Code ; Large Provider Entity Code ; Age Band Code ; Sex Code </v>
      </c>
      <c r="N6932" s="345" t="s">
        <v>207</v>
      </c>
      <c r="O6932" s="345" t="s">
        <v>208</v>
      </c>
      <c r="P6932" s="345" t="s">
        <v>209</v>
      </c>
      <c r="Q6932" s="345" t="s">
        <v>210</v>
      </c>
      <c r="R6932" s="345" t="s">
        <v>223</v>
      </c>
      <c r="S6932" s="345" t="s">
        <v>224</v>
      </c>
    </row>
    <row r="6933" spans="1:19" x14ac:dyDescent="0.25">
      <c r="A6933" s="311"/>
      <c r="B6933" s="312"/>
      <c r="C6933" s="312"/>
      <c r="D6933" s="312"/>
      <c r="E6933" s="312"/>
      <c r="F6933" s="312"/>
      <c r="G6933" s="328"/>
      <c r="H6933" s="453"/>
      <c r="I6933" s="334"/>
      <c r="J6933" s="314"/>
      <c r="K6933" s="454"/>
      <c r="M6933" s="349" t="str">
        <f>N6933&amp;AS[[#This Row],[Insurer Code]]&amp;"; "&amp;O6933&amp;AS[[#This Row],[Reporting Year]]&amp;"; "&amp;P6933&amp;AS[[#This Row],[Insurance Category Code]]&amp;"; "&amp;Q6933&amp;AS[[#This Row],[Large Provider Entity Code]]&amp;"; "&amp;R6933&amp;AS[[#This Row],[Age Band Code]]&amp;"; "&amp;S6933&amp;AS[[#This Row],[Sex Code]]</f>
        <v xml:space="preserve">Insurer Code ; Reporting Year ; Insurance Category Code ; Large Provider Entity Code ; Age Band Code ; Sex Code </v>
      </c>
      <c r="N6933" s="345" t="s">
        <v>207</v>
      </c>
      <c r="O6933" s="345" t="s">
        <v>208</v>
      </c>
      <c r="P6933" s="345" t="s">
        <v>209</v>
      </c>
      <c r="Q6933" s="345" t="s">
        <v>210</v>
      </c>
      <c r="R6933" s="345" t="s">
        <v>223</v>
      </c>
      <c r="S6933" s="345" t="s">
        <v>224</v>
      </c>
    </row>
    <row r="6934" spans="1:19" x14ac:dyDescent="0.25">
      <c r="A6934" s="311"/>
      <c r="B6934" s="312"/>
      <c r="C6934" s="312"/>
      <c r="D6934" s="312"/>
      <c r="E6934" s="312"/>
      <c r="F6934" s="312"/>
      <c r="G6934" s="328"/>
      <c r="H6934" s="453"/>
      <c r="I6934" s="334"/>
      <c r="J6934" s="314"/>
      <c r="K6934" s="454"/>
      <c r="M6934" s="349" t="str">
        <f>N6934&amp;AS[[#This Row],[Insurer Code]]&amp;"; "&amp;O6934&amp;AS[[#This Row],[Reporting Year]]&amp;"; "&amp;P6934&amp;AS[[#This Row],[Insurance Category Code]]&amp;"; "&amp;Q6934&amp;AS[[#This Row],[Large Provider Entity Code]]&amp;"; "&amp;R6934&amp;AS[[#This Row],[Age Band Code]]&amp;"; "&amp;S6934&amp;AS[[#This Row],[Sex Code]]</f>
        <v xml:space="preserve">Insurer Code ; Reporting Year ; Insurance Category Code ; Large Provider Entity Code ; Age Band Code ; Sex Code </v>
      </c>
      <c r="N6934" s="345" t="s">
        <v>207</v>
      </c>
      <c r="O6934" s="345" t="s">
        <v>208</v>
      </c>
      <c r="P6934" s="345" t="s">
        <v>209</v>
      </c>
      <c r="Q6934" s="345" t="s">
        <v>210</v>
      </c>
      <c r="R6934" s="345" t="s">
        <v>223</v>
      </c>
      <c r="S6934" s="345" t="s">
        <v>224</v>
      </c>
    </row>
    <row r="6935" spans="1:19" x14ac:dyDescent="0.25">
      <c r="A6935" s="311"/>
      <c r="B6935" s="312"/>
      <c r="C6935" s="312"/>
      <c r="D6935" s="312"/>
      <c r="E6935" s="312"/>
      <c r="F6935" s="312"/>
      <c r="G6935" s="328"/>
      <c r="H6935" s="453"/>
      <c r="I6935" s="334"/>
      <c r="J6935" s="314"/>
      <c r="K6935" s="454"/>
      <c r="M6935" s="349" t="str">
        <f>N6935&amp;AS[[#This Row],[Insurer Code]]&amp;"; "&amp;O6935&amp;AS[[#This Row],[Reporting Year]]&amp;"; "&amp;P6935&amp;AS[[#This Row],[Insurance Category Code]]&amp;"; "&amp;Q6935&amp;AS[[#This Row],[Large Provider Entity Code]]&amp;"; "&amp;R6935&amp;AS[[#This Row],[Age Band Code]]&amp;"; "&amp;S6935&amp;AS[[#This Row],[Sex Code]]</f>
        <v xml:space="preserve">Insurer Code ; Reporting Year ; Insurance Category Code ; Large Provider Entity Code ; Age Band Code ; Sex Code </v>
      </c>
      <c r="N6935" s="345" t="s">
        <v>207</v>
      </c>
      <c r="O6935" s="345" t="s">
        <v>208</v>
      </c>
      <c r="P6935" s="345" t="s">
        <v>209</v>
      </c>
      <c r="Q6935" s="345" t="s">
        <v>210</v>
      </c>
      <c r="R6935" s="345" t="s">
        <v>223</v>
      </c>
      <c r="S6935" s="345" t="s">
        <v>224</v>
      </c>
    </row>
    <row r="6936" spans="1:19" x14ac:dyDescent="0.25">
      <c r="A6936" s="311"/>
      <c r="B6936" s="312"/>
      <c r="C6936" s="312"/>
      <c r="D6936" s="312"/>
      <c r="E6936" s="312"/>
      <c r="F6936" s="312"/>
      <c r="G6936" s="328"/>
      <c r="H6936" s="453"/>
      <c r="I6936" s="334"/>
      <c r="J6936" s="314"/>
      <c r="K6936" s="454"/>
      <c r="M6936" s="349" t="str">
        <f>N6936&amp;AS[[#This Row],[Insurer Code]]&amp;"; "&amp;O6936&amp;AS[[#This Row],[Reporting Year]]&amp;"; "&amp;P6936&amp;AS[[#This Row],[Insurance Category Code]]&amp;"; "&amp;Q6936&amp;AS[[#This Row],[Large Provider Entity Code]]&amp;"; "&amp;R6936&amp;AS[[#This Row],[Age Band Code]]&amp;"; "&amp;S6936&amp;AS[[#This Row],[Sex Code]]</f>
        <v xml:space="preserve">Insurer Code ; Reporting Year ; Insurance Category Code ; Large Provider Entity Code ; Age Band Code ; Sex Code </v>
      </c>
      <c r="N6936" s="345" t="s">
        <v>207</v>
      </c>
      <c r="O6936" s="345" t="s">
        <v>208</v>
      </c>
      <c r="P6936" s="345" t="s">
        <v>209</v>
      </c>
      <c r="Q6936" s="345" t="s">
        <v>210</v>
      </c>
      <c r="R6936" s="345" t="s">
        <v>223</v>
      </c>
      <c r="S6936" s="345" t="s">
        <v>224</v>
      </c>
    </row>
    <row r="6937" spans="1:19" x14ac:dyDescent="0.25">
      <c r="A6937" s="311"/>
      <c r="B6937" s="312"/>
      <c r="C6937" s="312"/>
      <c r="D6937" s="312"/>
      <c r="E6937" s="312"/>
      <c r="F6937" s="312"/>
      <c r="G6937" s="328"/>
      <c r="H6937" s="453"/>
      <c r="I6937" s="334"/>
      <c r="J6937" s="314"/>
      <c r="K6937" s="454"/>
      <c r="M6937" s="349" t="str">
        <f>N6937&amp;AS[[#This Row],[Insurer Code]]&amp;"; "&amp;O6937&amp;AS[[#This Row],[Reporting Year]]&amp;"; "&amp;P6937&amp;AS[[#This Row],[Insurance Category Code]]&amp;"; "&amp;Q6937&amp;AS[[#This Row],[Large Provider Entity Code]]&amp;"; "&amp;R6937&amp;AS[[#This Row],[Age Band Code]]&amp;"; "&amp;S6937&amp;AS[[#This Row],[Sex Code]]</f>
        <v xml:space="preserve">Insurer Code ; Reporting Year ; Insurance Category Code ; Large Provider Entity Code ; Age Band Code ; Sex Code </v>
      </c>
      <c r="N6937" s="345" t="s">
        <v>207</v>
      </c>
      <c r="O6937" s="345" t="s">
        <v>208</v>
      </c>
      <c r="P6937" s="345" t="s">
        <v>209</v>
      </c>
      <c r="Q6937" s="345" t="s">
        <v>210</v>
      </c>
      <c r="R6937" s="345" t="s">
        <v>223</v>
      </c>
      <c r="S6937" s="345" t="s">
        <v>224</v>
      </c>
    </row>
    <row r="6938" spans="1:19" x14ac:dyDescent="0.25">
      <c r="A6938" s="311"/>
      <c r="B6938" s="312"/>
      <c r="C6938" s="312"/>
      <c r="D6938" s="312"/>
      <c r="E6938" s="312"/>
      <c r="F6938" s="312"/>
      <c r="G6938" s="328"/>
      <c r="H6938" s="453"/>
      <c r="I6938" s="334"/>
      <c r="J6938" s="314"/>
      <c r="K6938" s="454"/>
      <c r="M6938" s="349" t="str">
        <f>N6938&amp;AS[[#This Row],[Insurer Code]]&amp;"; "&amp;O6938&amp;AS[[#This Row],[Reporting Year]]&amp;"; "&amp;P6938&amp;AS[[#This Row],[Insurance Category Code]]&amp;"; "&amp;Q6938&amp;AS[[#This Row],[Large Provider Entity Code]]&amp;"; "&amp;R6938&amp;AS[[#This Row],[Age Band Code]]&amp;"; "&amp;S6938&amp;AS[[#This Row],[Sex Code]]</f>
        <v xml:space="preserve">Insurer Code ; Reporting Year ; Insurance Category Code ; Large Provider Entity Code ; Age Band Code ; Sex Code </v>
      </c>
      <c r="N6938" s="345" t="s">
        <v>207</v>
      </c>
      <c r="O6938" s="345" t="s">
        <v>208</v>
      </c>
      <c r="P6938" s="345" t="s">
        <v>209</v>
      </c>
      <c r="Q6938" s="345" t="s">
        <v>210</v>
      </c>
      <c r="R6938" s="345" t="s">
        <v>223</v>
      </c>
      <c r="S6938" s="345" t="s">
        <v>224</v>
      </c>
    </row>
    <row r="6939" spans="1:19" x14ac:dyDescent="0.25">
      <c r="A6939" s="311"/>
      <c r="B6939" s="312"/>
      <c r="C6939" s="312"/>
      <c r="D6939" s="312"/>
      <c r="E6939" s="312"/>
      <c r="F6939" s="312"/>
      <c r="G6939" s="328"/>
      <c r="H6939" s="453"/>
      <c r="I6939" s="334"/>
      <c r="J6939" s="314"/>
      <c r="K6939" s="454"/>
      <c r="M6939" s="349" t="str">
        <f>N6939&amp;AS[[#This Row],[Insurer Code]]&amp;"; "&amp;O6939&amp;AS[[#This Row],[Reporting Year]]&amp;"; "&amp;P6939&amp;AS[[#This Row],[Insurance Category Code]]&amp;"; "&amp;Q6939&amp;AS[[#This Row],[Large Provider Entity Code]]&amp;"; "&amp;R6939&amp;AS[[#This Row],[Age Band Code]]&amp;"; "&amp;S6939&amp;AS[[#This Row],[Sex Code]]</f>
        <v xml:space="preserve">Insurer Code ; Reporting Year ; Insurance Category Code ; Large Provider Entity Code ; Age Band Code ; Sex Code </v>
      </c>
      <c r="N6939" s="345" t="s">
        <v>207</v>
      </c>
      <c r="O6939" s="345" t="s">
        <v>208</v>
      </c>
      <c r="P6939" s="345" t="s">
        <v>209</v>
      </c>
      <c r="Q6939" s="345" t="s">
        <v>210</v>
      </c>
      <c r="R6939" s="345" t="s">
        <v>223</v>
      </c>
      <c r="S6939" s="345" t="s">
        <v>224</v>
      </c>
    </row>
    <row r="6940" spans="1:19" x14ac:dyDescent="0.25">
      <c r="A6940" s="311"/>
      <c r="B6940" s="312"/>
      <c r="C6940" s="312"/>
      <c r="D6940" s="312"/>
      <c r="E6940" s="312"/>
      <c r="F6940" s="312"/>
      <c r="G6940" s="328"/>
      <c r="H6940" s="453"/>
      <c r="I6940" s="334"/>
      <c r="J6940" s="314"/>
      <c r="K6940" s="454"/>
      <c r="M6940" s="349" t="str">
        <f>N6940&amp;AS[[#This Row],[Insurer Code]]&amp;"; "&amp;O6940&amp;AS[[#This Row],[Reporting Year]]&amp;"; "&amp;P6940&amp;AS[[#This Row],[Insurance Category Code]]&amp;"; "&amp;Q6940&amp;AS[[#This Row],[Large Provider Entity Code]]&amp;"; "&amp;R6940&amp;AS[[#This Row],[Age Band Code]]&amp;"; "&amp;S6940&amp;AS[[#This Row],[Sex Code]]</f>
        <v xml:space="preserve">Insurer Code ; Reporting Year ; Insurance Category Code ; Large Provider Entity Code ; Age Band Code ; Sex Code </v>
      </c>
      <c r="N6940" s="345" t="s">
        <v>207</v>
      </c>
      <c r="O6940" s="345" t="s">
        <v>208</v>
      </c>
      <c r="P6940" s="345" t="s">
        <v>209</v>
      </c>
      <c r="Q6940" s="345" t="s">
        <v>210</v>
      </c>
      <c r="R6940" s="345" t="s">
        <v>223</v>
      </c>
      <c r="S6940" s="345" t="s">
        <v>224</v>
      </c>
    </row>
    <row r="6941" spans="1:19" x14ac:dyDescent="0.25">
      <c r="A6941" s="311"/>
      <c r="B6941" s="312"/>
      <c r="C6941" s="312"/>
      <c r="D6941" s="312"/>
      <c r="E6941" s="312"/>
      <c r="F6941" s="312"/>
      <c r="G6941" s="328"/>
      <c r="H6941" s="453"/>
      <c r="I6941" s="334"/>
      <c r="J6941" s="314"/>
      <c r="K6941" s="454"/>
      <c r="M6941" s="349" t="str">
        <f>N6941&amp;AS[[#This Row],[Insurer Code]]&amp;"; "&amp;O6941&amp;AS[[#This Row],[Reporting Year]]&amp;"; "&amp;P6941&amp;AS[[#This Row],[Insurance Category Code]]&amp;"; "&amp;Q6941&amp;AS[[#This Row],[Large Provider Entity Code]]&amp;"; "&amp;R6941&amp;AS[[#This Row],[Age Band Code]]&amp;"; "&amp;S6941&amp;AS[[#This Row],[Sex Code]]</f>
        <v xml:space="preserve">Insurer Code ; Reporting Year ; Insurance Category Code ; Large Provider Entity Code ; Age Band Code ; Sex Code </v>
      </c>
      <c r="N6941" s="345" t="s">
        <v>207</v>
      </c>
      <c r="O6941" s="345" t="s">
        <v>208</v>
      </c>
      <c r="P6941" s="345" t="s">
        <v>209</v>
      </c>
      <c r="Q6941" s="345" t="s">
        <v>210</v>
      </c>
      <c r="R6941" s="345" t="s">
        <v>223</v>
      </c>
      <c r="S6941" s="345" t="s">
        <v>224</v>
      </c>
    </row>
    <row r="6942" spans="1:19" x14ac:dyDescent="0.25">
      <c r="A6942" s="311"/>
      <c r="B6942" s="312"/>
      <c r="C6942" s="312"/>
      <c r="D6942" s="312"/>
      <c r="E6942" s="312"/>
      <c r="F6942" s="312"/>
      <c r="G6942" s="328"/>
      <c r="H6942" s="453"/>
      <c r="I6942" s="334"/>
      <c r="J6942" s="314"/>
      <c r="K6942" s="454"/>
      <c r="M6942" s="349" t="str">
        <f>N6942&amp;AS[[#This Row],[Insurer Code]]&amp;"; "&amp;O6942&amp;AS[[#This Row],[Reporting Year]]&amp;"; "&amp;P6942&amp;AS[[#This Row],[Insurance Category Code]]&amp;"; "&amp;Q6942&amp;AS[[#This Row],[Large Provider Entity Code]]&amp;"; "&amp;R6942&amp;AS[[#This Row],[Age Band Code]]&amp;"; "&amp;S6942&amp;AS[[#This Row],[Sex Code]]</f>
        <v xml:space="preserve">Insurer Code ; Reporting Year ; Insurance Category Code ; Large Provider Entity Code ; Age Band Code ; Sex Code </v>
      </c>
      <c r="N6942" s="345" t="s">
        <v>207</v>
      </c>
      <c r="O6942" s="345" t="s">
        <v>208</v>
      </c>
      <c r="P6942" s="345" t="s">
        <v>209</v>
      </c>
      <c r="Q6942" s="345" t="s">
        <v>210</v>
      </c>
      <c r="R6942" s="345" t="s">
        <v>223</v>
      </c>
      <c r="S6942" s="345" t="s">
        <v>224</v>
      </c>
    </row>
    <row r="6943" spans="1:19" x14ac:dyDescent="0.25">
      <c r="A6943" s="311"/>
      <c r="B6943" s="312"/>
      <c r="C6943" s="312"/>
      <c r="D6943" s="312"/>
      <c r="E6943" s="312"/>
      <c r="F6943" s="312"/>
      <c r="G6943" s="328"/>
      <c r="H6943" s="453"/>
      <c r="I6943" s="334"/>
      <c r="J6943" s="314"/>
      <c r="K6943" s="454"/>
      <c r="M6943" s="349" t="str">
        <f>N6943&amp;AS[[#This Row],[Insurer Code]]&amp;"; "&amp;O6943&amp;AS[[#This Row],[Reporting Year]]&amp;"; "&amp;P6943&amp;AS[[#This Row],[Insurance Category Code]]&amp;"; "&amp;Q6943&amp;AS[[#This Row],[Large Provider Entity Code]]&amp;"; "&amp;R6943&amp;AS[[#This Row],[Age Band Code]]&amp;"; "&amp;S6943&amp;AS[[#This Row],[Sex Code]]</f>
        <v xml:space="preserve">Insurer Code ; Reporting Year ; Insurance Category Code ; Large Provider Entity Code ; Age Band Code ; Sex Code </v>
      </c>
      <c r="N6943" s="345" t="s">
        <v>207</v>
      </c>
      <c r="O6943" s="345" t="s">
        <v>208</v>
      </c>
      <c r="P6943" s="345" t="s">
        <v>209</v>
      </c>
      <c r="Q6943" s="345" t="s">
        <v>210</v>
      </c>
      <c r="R6943" s="345" t="s">
        <v>223</v>
      </c>
      <c r="S6943" s="345" t="s">
        <v>224</v>
      </c>
    </row>
    <row r="6944" spans="1:19" x14ac:dyDescent="0.25">
      <c r="A6944" s="311"/>
      <c r="B6944" s="312"/>
      <c r="C6944" s="312"/>
      <c r="D6944" s="312"/>
      <c r="E6944" s="312"/>
      <c r="F6944" s="312"/>
      <c r="G6944" s="328"/>
      <c r="H6944" s="453"/>
      <c r="I6944" s="334"/>
      <c r="J6944" s="314"/>
      <c r="K6944" s="454"/>
      <c r="M6944" s="349" t="str">
        <f>N6944&amp;AS[[#This Row],[Insurer Code]]&amp;"; "&amp;O6944&amp;AS[[#This Row],[Reporting Year]]&amp;"; "&amp;P6944&amp;AS[[#This Row],[Insurance Category Code]]&amp;"; "&amp;Q6944&amp;AS[[#This Row],[Large Provider Entity Code]]&amp;"; "&amp;R6944&amp;AS[[#This Row],[Age Band Code]]&amp;"; "&amp;S6944&amp;AS[[#This Row],[Sex Code]]</f>
        <v xml:space="preserve">Insurer Code ; Reporting Year ; Insurance Category Code ; Large Provider Entity Code ; Age Band Code ; Sex Code </v>
      </c>
      <c r="N6944" s="345" t="s">
        <v>207</v>
      </c>
      <c r="O6944" s="345" t="s">
        <v>208</v>
      </c>
      <c r="P6944" s="345" t="s">
        <v>209</v>
      </c>
      <c r="Q6944" s="345" t="s">
        <v>210</v>
      </c>
      <c r="R6944" s="345" t="s">
        <v>223</v>
      </c>
      <c r="S6944" s="345" t="s">
        <v>224</v>
      </c>
    </row>
    <row r="6945" spans="1:19" x14ac:dyDescent="0.25">
      <c r="A6945" s="311"/>
      <c r="B6945" s="312"/>
      <c r="C6945" s="312"/>
      <c r="D6945" s="312"/>
      <c r="E6945" s="312"/>
      <c r="F6945" s="312"/>
      <c r="G6945" s="328"/>
      <c r="H6945" s="453"/>
      <c r="I6945" s="334"/>
      <c r="J6945" s="314"/>
      <c r="K6945" s="454"/>
      <c r="M6945" s="349" t="str">
        <f>N6945&amp;AS[[#This Row],[Insurer Code]]&amp;"; "&amp;O6945&amp;AS[[#This Row],[Reporting Year]]&amp;"; "&amp;P6945&amp;AS[[#This Row],[Insurance Category Code]]&amp;"; "&amp;Q6945&amp;AS[[#This Row],[Large Provider Entity Code]]&amp;"; "&amp;R6945&amp;AS[[#This Row],[Age Band Code]]&amp;"; "&amp;S6945&amp;AS[[#This Row],[Sex Code]]</f>
        <v xml:space="preserve">Insurer Code ; Reporting Year ; Insurance Category Code ; Large Provider Entity Code ; Age Band Code ; Sex Code </v>
      </c>
      <c r="N6945" s="345" t="s">
        <v>207</v>
      </c>
      <c r="O6945" s="345" t="s">
        <v>208</v>
      </c>
      <c r="P6945" s="345" t="s">
        <v>209</v>
      </c>
      <c r="Q6945" s="345" t="s">
        <v>210</v>
      </c>
      <c r="R6945" s="345" t="s">
        <v>223</v>
      </c>
      <c r="S6945" s="345" t="s">
        <v>224</v>
      </c>
    </row>
    <row r="6946" spans="1:19" x14ac:dyDescent="0.25">
      <c r="A6946" s="311"/>
      <c r="B6946" s="312"/>
      <c r="C6946" s="312"/>
      <c r="D6946" s="312"/>
      <c r="E6946" s="312"/>
      <c r="F6946" s="312"/>
      <c r="G6946" s="328"/>
      <c r="H6946" s="453"/>
      <c r="I6946" s="334"/>
      <c r="J6946" s="314"/>
      <c r="K6946" s="454"/>
      <c r="M6946" s="349" t="str">
        <f>N6946&amp;AS[[#This Row],[Insurer Code]]&amp;"; "&amp;O6946&amp;AS[[#This Row],[Reporting Year]]&amp;"; "&amp;P6946&amp;AS[[#This Row],[Insurance Category Code]]&amp;"; "&amp;Q6946&amp;AS[[#This Row],[Large Provider Entity Code]]&amp;"; "&amp;R6946&amp;AS[[#This Row],[Age Band Code]]&amp;"; "&amp;S6946&amp;AS[[#This Row],[Sex Code]]</f>
        <v xml:space="preserve">Insurer Code ; Reporting Year ; Insurance Category Code ; Large Provider Entity Code ; Age Band Code ; Sex Code </v>
      </c>
      <c r="N6946" s="345" t="s">
        <v>207</v>
      </c>
      <c r="O6946" s="345" t="s">
        <v>208</v>
      </c>
      <c r="P6946" s="345" t="s">
        <v>209</v>
      </c>
      <c r="Q6946" s="345" t="s">
        <v>210</v>
      </c>
      <c r="R6946" s="345" t="s">
        <v>223</v>
      </c>
      <c r="S6946" s="345" t="s">
        <v>224</v>
      </c>
    </row>
    <row r="6947" spans="1:19" x14ac:dyDescent="0.25">
      <c r="A6947" s="311"/>
      <c r="B6947" s="312"/>
      <c r="C6947" s="312"/>
      <c r="D6947" s="312"/>
      <c r="E6947" s="312"/>
      <c r="F6947" s="312"/>
      <c r="G6947" s="328"/>
      <c r="H6947" s="453"/>
      <c r="I6947" s="334"/>
      <c r="J6947" s="314"/>
      <c r="K6947" s="454"/>
      <c r="M6947" s="349" t="str">
        <f>N6947&amp;AS[[#This Row],[Insurer Code]]&amp;"; "&amp;O6947&amp;AS[[#This Row],[Reporting Year]]&amp;"; "&amp;P6947&amp;AS[[#This Row],[Insurance Category Code]]&amp;"; "&amp;Q6947&amp;AS[[#This Row],[Large Provider Entity Code]]&amp;"; "&amp;R6947&amp;AS[[#This Row],[Age Band Code]]&amp;"; "&amp;S6947&amp;AS[[#This Row],[Sex Code]]</f>
        <v xml:space="preserve">Insurer Code ; Reporting Year ; Insurance Category Code ; Large Provider Entity Code ; Age Band Code ; Sex Code </v>
      </c>
      <c r="N6947" s="345" t="s">
        <v>207</v>
      </c>
      <c r="O6947" s="345" t="s">
        <v>208</v>
      </c>
      <c r="P6947" s="345" t="s">
        <v>209</v>
      </c>
      <c r="Q6947" s="345" t="s">
        <v>210</v>
      </c>
      <c r="R6947" s="345" t="s">
        <v>223</v>
      </c>
      <c r="S6947" s="345" t="s">
        <v>224</v>
      </c>
    </row>
    <row r="6948" spans="1:19" x14ac:dyDescent="0.25">
      <c r="A6948" s="311"/>
      <c r="B6948" s="312"/>
      <c r="C6948" s="312"/>
      <c r="D6948" s="312"/>
      <c r="E6948" s="312"/>
      <c r="F6948" s="312"/>
      <c r="G6948" s="328"/>
      <c r="H6948" s="453"/>
      <c r="I6948" s="334"/>
      <c r="J6948" s="314"/>
      <c r="K6948" s="454"/>
      <c r="M6948" s="349" t="str">
        <f>N6948&amp;AS[[#This Row],[Insurer Code]]&amp;"; "&amp;O6948&amp;AS[[#This Row],[Reporting Year]]&amp;"; "&amp;P6948&amp;AS[[#This Row],[Insurance Category Code]]&amp;"; "&amp;Q6948&amp;AS[[#This Row],[Large Provider Entity Code]]&amp;"; "&amp;R6948&amp;AS[[#This Row],[Age Band Code]]&amp;"; "&amp;S6948&amp;AS[[#This Row],[Sex Code]]</f>
        <v xml:space="preserve">Insurer Code ; Reporting Year ; Insurance Category Code ; Large Provider Entity Code ; Age Band Code ; Sex Code </v>
      </c>
      <c r="N6948" s="345" t="s">
        <v>207</v>
      </c>
      <c r="O6948" s="345" t="s">
        <v>208</v>
      </c>
      <c r="P6948" s="345" t="s">
        <v>209</v>
      </c>
      <c r="Q6948" s="345" t="s">
        <v>210</v>
      </c>
      <c r="R6948" s="345" t="s">
        <v>223</v>
      </c>
      <c r="S6948" s="345" t="s">
        <v>224</v>
      </c>
    </row>
    <row r="6949" spans="1:19" x14ac:dyDescent="0.25">
      <c r="A6949" s="311"/>
      <c r="B6949" s="312"/>
      <c r="C6949" s="312"/>
      <c r="D6949" s="312"/>
      <c r="E6949" s="312"/>
      <c r="F6949" s="312"/>
      <c r="G6949" s="328"/>
      <c r="H6949" s="453"/>
      <c r="I6949" s="334"/>
      <c r="J6949" s="314"/>
      <c r="K6949" s="454"/>
      <c r="M6949" s="349" t="str">
        <f>N6949&amp;AS[[#This Row],[Insurer Code]]&amp;"; "&amp;O6949&amp;AS[[#This Row],[Reporting Year]]&amp;"; "&amp;P6949&amp;AS[[#This Row],[Insurance Category Code]]&amp;"; "&amp;Q6949&amp;AS[[#This Row],[Large Provider Entity Code]]&amp;"; "&amp;R6949&amp;AS[[#This Row],[Age Band Code]]&amp;"; "&amp;S6949&amp;AS[[#This Row],[Sex Code]]</f>
        <v xml:space="preserve">Insurer Code ; Reporting Year ; Insurance Category Code ; Large Provider Entity Code ; Age Band Code ; Sex Code </v>
      </c>
      <c r="N6949" s="345" t="s">
        <v>207</v>
      </c>
      <c r="O6949" s="345" t="s">
        <v>208</v>
      </c>
      <c r="P6949" s="345" t="s">
        <v>209</v>
      </c>
      <c r="Q6949" s="345" t="s">
        <v>210</v>
      </c>
      <c r="R6949" s="345" t="s">
        <v>223</v>
      </c>
      <c r="S6949" s="345" t="s">
        <v>224</v>
      </c>
    </row>
    <row r="6950" spans="1:19" x14ac:dyDescent="0.25">
      <c r="A6950" s="311"/>
      <c r="B6950" s="312"/>
      <c r="C6950" s="312"/>
      <c r="D6950" s="312"/>
      <c r="E6950" s="312"/>
      <c r="F6950" s="312"/>
      <c r="G6950" s="328"/>
      <c r="H6950" s="453"/>
      <c r="I6950" s="334"/>
      <c r="J6950" s="314"/>
      <c r="K6950" s="454"/>
      <c r="M6950" s="349" t="str">
        <f>N6950&amp;AS[[#This Row],[Insurer Code]]&amp;"; "&amp;O6950&amp;AS[[#This Row],[Reporting Year]]&amp;"; "&amp;P6950&amp;AS[[#This Row],[Insurance Category Code]]&amp;"; "&amp;Q6950&amp;AS[[#This Row],[Large Provider Entity Code]]&amp;"; "&amp;R6950&amp;AS[[#This Row],[Age Band Code]]&amp;"; "&amp;S6950&amp;AS[[#This Row],[Sex Code]]</f>
        <v xml:space="preserve">Insurer Code ; Reporting Year ; Insurance Category Code ; Large Provider Entity Code ; Age Band Code ; Sex Code </v>
      </c>
      <c r="N6950" s="345" t="s">
        <v>207</v>
      </c>
      <c r="O6950" s="345" t="s">
        <v>208</v>
      </c>
      <c r="P6950" s="345" t="s">
        <v>209</v>
      </c>
      <c r="Q6950" s="345" t="s">
        <v>210</v>
      </c>
      <c r="R6950" s="345" t="s">
        <v>223</v>
      </c>
      <c r="S6950" s="345" t="s">
        <v>224</v>
      </c>
    </row>
    <row r="6951" spans="1:19" x14ac:dyDescent="0.25">
      <c r="A6951" s="311"/>
      <c r="B6951" s="312"/>
      <c r="C6951" s="312"/>
      <c r="D6951" s="312"/>
      <c r="E6951" s="312"/>
      <c r="F6951" s="312"/>
      <c r="G6951" s="328"/>
      <c r="H6951" s="453"/>
      <c r="I6951" s="334"/>
      <c r="J6951" s="314"/>
      <c r="K6951" s="454"/>
      <c r="M6951" s="349" t="str">
        <f>N6951&amp;AS[[#This Row],[Insurer Code]]&amp;"; "&amp;O6951&amp;AS[[#This Row],[Reporting Year]]&amp;"; "&amp;P6951&amp;AS[[#This Row],[Insurance Category Code]]&amp;"; "&amp;Q6951&amp;AS[[#This Row],[Large Provider Entity Code]]&amp;"; "&amp;R6951&amp;AS[[#This Row],[Age Band Code]]&amp;"; "&amp;S6951&amp;AS[[#This Row],[Sex Code]]</f>
        <v xml:space="preserve">Insurer Code ; Reporting Year ; Insurance Category Code ; Large Provider Entity Code ; Age Band Code ; Sex Code </v>
      </c>
      <c r="N6951" s="345" t="s">
        <v>207</v>
      </c>
      <c r="O6951" s="345" t="s">
        <v>208</v>
      </c>
      <c r="P6951" s="345" t="s">
        <v>209</v>
      </c>
      <c r="Q6951" s="345" t="s">
        <v>210</v>
      </c>
      <c r="R6951" s="345" t="s">
        <v>223</v>
      </c>
      <c r="S6951" s="345" t="s">
        <v>224</v>
      </c>
    </row>
    <row r="6952" spans="1:19" x14ac:dyDescent="0.25">
      <c r="A6952" s="311"/>
      <c r="B6952" s="312"/>
      <c r="C6952" s="312"/>
      <c r="D6952" s="312"/>
      <c r="E6952" s="312"/>
      <c r="F6952" s="312"/>
      <c r="G6952" s="328"/>
      <c r="H6952" s="453"/>
      <c r="I6952" s="334"/>
      <c r="J6952" s="314"/>
      <c r="K6952" s="454"/>
      <c r="M6952" s="349" t="str">
        <f>N6952&amp;AS[[#This Row],[Insurer Code]]&amp;"; "&amp;O6952&amp;AS[[#This Row],[Reporting Year]]&amp;"; "&amp;P6952&amp;AS[[#This Row],[Insurance Category Code]]&amp;"; "&amp;Q6952&amp;AS[[#This Row],[Large Provider Entity Code]]&amp;"; "&amp;R6952&amp;AS[[#This Row],[Age Band Code]]&amp;"; "&amp;S6952&amp;AS[[#This Row],[Sex Code]]</f>
        <v xml:space="preserve">Insurer Code ; Reporting Year ; Insurance Category Code ; Large Provider Entity Code ; Age Band Code ; Sex Code </v>
      </c>
      <c r="N6952" s="345" t="s">
        <v>207</v>
      </c>
      <c r="O6952" s="345" t="s">
        <v>208</v>
      </c>
      <c r="P6952" s="345" t="s">
        <v>209</v>
      </c>
      <c r="Q6952" s="345" t="s">
        <v>210</v>
      </c>
      <c r="R6952" s="345" t="s">
        <v>223</v>
      </c>
      <c r="S6952" s="345" t="s">
        <v>224</v>
      </c>
    </row>
    <row r="6953" spans="1:19" x14ac:dyDescent="0.25">
      <c r="A6953" s="311"/>
      <c r="B6953" s="312"/>
      <c r="C6953" s="312"/>
      <c r="D6953" s="312"/>
      <c r="E6953" s="312"/>
      <c r="F6953" s="312"/>
      <c r="G6953" s="328"/>
      <c r="H6953" s="453"/>
      <c r="I6953" s="334"/>
      <c r="J6953" s="314"/>
      <c r="K6953" s="454"/>
      <c r="M6953" s="349" t="str">
        <f>N6953&amp;AS[[#This Row],[Insurer Code]]&amp;"; "&amp;O6953&amp;AS[[#This Row],[Reporting Year]]&amp;"; "&amp;P6953&amp;AS[[#This Row],[Insurance Category Code]]&amp;"; "&amp;Q6953&amp;AS[[#This Row],[Large Provider Entity Code]]&amp;"; "&amp;R6953&amp;AS[[#This Row],[Age Band Code]]&amp;"; "&amp;S6953&amp;AS[[#This Row],[Sex Code]]</f>
        <v xml:space="preserve">Insurer Code ; Reporting Year ; Insurance Category Code ; Large Provider Entity Code ; Age Band Code ; Sex Code </v>
      </c>
      <c r="N6953" s="345" t="s">
        <v>207</v>
      </c>
      <c r="O6953" s="345" t="s">
        <v>208</v>
      </c>
      <c r="P6953" s="345" t="s">
        <v>209</v>
      </c>
      <c r="Q6953" s="345" t="s">
        <v>210</v>
      </c>
      <c r="R6953" s="345" t="s">
        <v>223</v>
      </c>
      <c r="S6953" s="345" t="s">
        <v>224</v>
      </c>
    </row>
    <row r="6954" spans="1:19" x14ac:dyDescent="0.25">
      <c r="A6954" s="311"/>
      <c r="B6954" s="312"/>
      <c r="C6954" s="312"/>
      <c r="D6954" s="312"/>
      <c r="E6954" s="312"/>
      <c r="F6954" s="312"/>
      <c r="G6954" s="328"/>
      <c r="H6954" s="453"/>
      <c r="I6954" s="334"/>
      <c r="J6954" s="314"/>
      <c r="K6954" s="454"/>
      <c r="M6954" s="349" t="str">
        <f>N6954&amp;AS[[#This Row],[Insurer Code]]&amp;"; "&amp;O6954&amp;AS[[#This Row],[Reporting Year]]&amp;"; "&amp;P6954&amp;AS[[#This Row],[Insurance Category Code]]&amp;"; "&amp;Q6954&amp;AS[[#This Row],[Large Provider Entity Code]]&amp;"; "&amp;R6954&amp;AS[[#This Row],[Age Band Code]]&amp;"; "&amp;S6954&amp;AS[[#This Row],[Sex Code]]</f>
        <v xml:space="preserve">Insurer Code ; Reporting Year ; Insurance Category Code ; Large Provider Entity Code ; Age Band Code ; Sex Code </v>
      </c>
      <c r="N6954" s="345" t="s">
        <v>207</v>
      </c>
      <c r="O6954" s="345" t="s">
        <v>208</v>
      </c>
      <c r="P6954" s="345" t="s">
        <v>209</v>
      </c>
      <c r="Q6954" s="345" t="s">
        <v>210</v>
      </c>
      <c r="R6954" s="345" t="s">
        <v>223</v>
      </c>
      <c r="S6954" s="345" t="s">
        <v>224</v>
      </c>
    </row>
    <row r="6955" spans="1:19" x14ac:dyDescent="0.25">
      <c r="A6955" s="311"/>
      <c r="B6955" s="312"/>
      <c r="C6955" s="312"/>
      <c r="D6955" s="312"/>
      <c r="E6955" s="312"/>
      <c r="F6955" s="312"/>
      <c r="G6955" s="328"/>
      <c r="H6955" s="453"/>
      <c r="I6955" s="334"/>
      <c r="J6955" s="314"/>
      <c r="K6955" s="454"/>
      <c r="M6955" s="349" t="str">
        <f>N6955&amp;AS[[#This Row],[Insurer Code]]&amp;"; "&amp;O6955&amp;AS[[#This Row],[Reporting Year]]&amp;"; "&amp;P6955&amp;AS[[#This Row],[Insurance Category Code]]&amp;"; "&amp;Q6955&amp;AS[[#This Row],[Large Provider Entity Code]]&amp;"; "&amp;R6955&amp;AS[[#This Row],[Age Band Code]]&amp;"; "&amp;S6955&amp;AS[[#This Row],[Sex Code]]</f>
        <v xml:space="preserve">Insurer Code ; Reporting Year ; Insurance Category Code ; Large Provider Entity Code ; Age Band Code ; Sex Code </v>
      </c>
      <c r="N6955" s="345" t="s">
        <v>207</v>
      </c>
      <c r="O6955" s="345" t="s">
        <v>208</v>
      </c>
      <c r="P6955" s="345" t="s">
        <v>209</v>
      </c>
      <c r="Q6955" s="345" t="s">
        <v>210</v>
      </c>
      <c r="R6955" s="345" t="s">
        <v>223</v>
      </c>
      <c r="S6955" s="345" t="s">
        <v>224</v>
      </c>
    </row>
    <row r="6956" spans="1:19" x14ac:dyDescent="0.25">
      <c r="A6956" s="311"/>
      <c r="B6956" s="312"/>
      <c r="C6956" s="312"/>
      <c r="D6956" s="312"/>
      <c r="E6956" s="312"/>
      <c r="F6956" s="312"/>
      <c r="G6956" s="328"/>
      <c r="H6956" s="453"/>
      <c r="I6956" s="334"/>
      <c r="J6956" s="314"/>
      <c r="K6956" s="454"/>
      <c r="M6956" s="349" t="str">
        <f>N6956&amp;AS[[#This Row],[Insurer Code]]&amp;"; "&amp;O6956&amp;AS[[#This Row],[Reporting Year]]&amp;"; "&amp;P6956&amp;AS[[#This Row],[Insurance Category Code]]&amp;"; "&amp;Q6956&amp;AS[[#This Row],[Large Provider Entity Code]]&amp;"; "&amp;R6956&amp;AS[[#This Row],[Age Band Code]]&amp;"; "&amp;S6956&amp;AS[[#This Row],[Sex Code]]</f>
        <v xml:space="preserve">Insurer Code ; Reporting Year ; Insurance Category Code ; Large Provider Entity Code ; Age Band Code ; Sex Code </v>
      </c>
      <c r="N6956" s="345" t="s">
        <v>207</v>
      </c>
      <c r="O6956" s="345" t="s">
        <v>208</v>
      </c>
      <c r="P6956" s="345" t="s">
        <v>209</v>
      </c>
      <c r="Q6956" s="345" t="s">
        <v>210</v>
      </c>
      <c r="R6956" s="345" t="s">
        <v>223</v>
      </c>
      <c r="S6956" s="345" t="s">
        <v>224</v>
      </c>
    </row>
    <row r="6957" spans="1:19" x14ac:dyDescent="0.25">
      <c r="A6957" s="311"/>
      <c r="B6957" s="312"/>
      <c r="C6957" s="312"/>
      <c r="D6957" s="312"/>
      <c r="E6957" s="312"/>
      <c r="F6957" s="312"/>
      <c r="G6957" s="328"/>
      <c r="H6957" s="453"/>
      <c r="I6957" s="334"/>
      <c r="J6957" s="314"/>
      <c r="K6957" s="454"/>
      <c r="M6957" s="349" t="str">
        <f>N6957&amp;AS[[#This Row],[Insurer Code]]&amp;"; "&amp;O6957&amp;AS[[#This Row],[Reporting Year]]&amp;"; "&amp;P6957&amp;AS[[#This Row],[Insurance Category Code]]&amp;"; "&amp;Q6957&amp;AS[[#This Row],[Large Provider Entity Code]]&amp;"; "&amp;R6957&amp;AS[[#This Row],[Age Band Code]]&amp;"; "&amp;S6957&amp;AS[[#This Row],[Sex Code]]</f>
        <v xml:space="preserve">Insurer Code ; Reporting Year ; Insurance Category Code ; Large Provider Entity Code ; Age Band Code ; Sex Code </v>
      </c>
      <c r="N6957" s="345" t="s">
        <v>207</v>
      </c>
      <c r="O6957" s="345" t="s">
        <v>208</v>
      </c>
      <c r="P6957" s="345" t="s">
        <v>209</v>
      </c>
      <c r="Q6957" s="345" t="s">
        <v>210</v>
      </c>
      <c r="R6957" s="345" t="s">
        <v>223</v>
      </c>
      <c r="S6957" s="345" t="s">
        <v>224</v>
      </c>
    </row>
    <row r="6958" spans="1:19" x14ac:dyDescent="0.25">
      <c r="A6958" s="311"/>
      <c r="B6958" s="312"/>
      <c r="C6958" s="312"/>
      <c r="D6958" s="312"/>
      <c r="E6958" s="312"/>
      <c r="F6958" s="312"/>
      <c r="G6958" s="328"/>
      <c r="H6958" s="453"/>
      <c r="I6958" s="334"/>
      <c r="J6958" s="314"/>
      <c r="K6958" s="454"/>
      <c r="M6958" s="349" t="str">
        <f>N6958&amp;AS[[#This Row],[Insurer Code]]&amp;"; "&amp;O6958&amp;AS[[#This Row],[Reporting Year]]&amp;"; "&amp;P6958&amp;AS[[#This Row],[Insurance Category Code]]&amp;"; "&amp;Q6958&amp;AS[[#This Row],[Large Provider Entity Code]]&amp;"; "&amp;R6958&amp;AS[[#This Row],[Age Band Code]]&amp;"; "&amp;S6958&amp;AS[[#This Row],[Sex Code]]</f>
        <v xml:space="preserve">Insurer Code ; Reporting Year ; Insurance Category Code ; Large Provider Entity Code ; Age Band Code ; Sex Code </v>
      </c>
      <c r="N6958" s="345" t="s">
        <v>207</v>
      </c>
      <c r="O6958" s="345" t="s">
        <v>208</v>
      </c>
      <c r="P6958" s="345" t="s">
        <v>209</v>
      </c>
      <c r="Q6958" s="345" t="s">
        <v>210</v>
      </c>
      <c r="R6958" s="345" t="s">
        <v>223</v>
      </c>
      <c r="S6958" s="345" t="s">
        <v>224</v>
      </c>
    </row>
    <row r="6959" spans="1:19" x14ac:dyDescent="0.25">
      <c r="A6959" s="311"/>
      <c r="B6959" s="312"/>
      <c r="C6959" s="312"/>
      <c r="D6959" s="312"/>
      <c r="E6959" s="312"/>
      <c r="F6959" s="312"/>
      <c r="G6959" s="328"/>
      <c r="H6959" s="453"/>
      <c r="I6959" s="334"/>
      <c r="J6959" s="314"/>
      <c r="K6959" s="454"/>
      <c r="M6959" s="349" t="str">
        <f>N6959&amp;AS[[#This Row],[Insurer Code]]&amp;"; "&amp;O6959&amp;AS[[#This Row],[Reporting Year]]&amp;"; "&amp;P6959&amp;AS[[#This Row],[Insurance Category Code]]&amp;"; "&amp;Q6959&amp;AS[[#This Row],[Large Provider Entity Code]]&amp;"; "&amp;R6959&amp;AS[[#This Row],[Age Band Code]]&amp;"; "&amp;S6959&amp;AS[[#This Row],[Sex Code]]</f>
        <v xml:space="preserve">Insurer Code ; Reporting Year ; Insurance Category Code ; Large Provider Entity Code ; Age Band Code ; Sex Code </v>
      </c>
      <c r="N6959" s="345" t="s">
        <v>207</v>
      </c>
      <c r="O6959" s="345" t="s">
        <v>208</v>
      </c>
      <c r="P6959" s="345" t="s">
        <v>209</v>
      </c>
      <c r="Q6959" s="345" t="s">
        <v>210</v>
      </c>
      <c r="R6959" s="345" t="s">
        <v>223</v>
      </c>
      <c r="S6959" s="345" t="s">
        <v>224</v>
      </c>
    </row>
    <row r="6960" spans="1:19" x14ac:dyDescent="0.25">
      <c r="A6960" s="311"/>
      <c r="B6960" s="312"/>
      <c r="C6960" s="312"/>
      <c r="D6960" s="312"/>
      <c r="E6960" s="312"/>
      <c r="F6960" s="312"/>
      <c r="G6960" s="328"/>
      <c r="H6960" s="453"/>
      <c r="I6960" s="334"/>
      <c r="J6960" s="314"/>
      <c r="K6960" s="454"/>
      <c r="M6960" s="349" t="str">
        <f>N6960&amp;AS[[#This Row],[Insurer Code]]&amp;"; "&amp;O6960&amp;AS[[#This Row],[Reporting Year]]&amp;"; "&amp;P6960&amp;AS[[#This Row],[Insurance Category Code]]&amp;"; "&amp;Q6960&amp;AS[[#This Row],[Large Provider Entity Code]]&amp;"; "&amp;R6960&amp;AS[[#This Row],[Age Band Code]]&amp;"; "&amp;S6960&amp;AS[[#This Row],[Sex Code]]</f>
        <v xml:space="preserve">Insurer Code ; Reporting Year ; Insurance Category Code ; Large Provider Entity Code ; Age Band Code ; Sex Code </v>
      </c>
      <c r="N6960" s="345" t="s">
        <v>207</v>
      </c>
      <c r="O6960" s="345" t="s">
        <v>208</v>
      </c>
      <c r="P6960" s="345" t="s">
        <v>209</v>
      </c>
      <c r="Q6960" s="345" t="s">
        <v>210</v>
      </c>
      <c r="R6960" s="345" t="s">
        <v>223</v>
      </c>
      <c r="S6960" s="345" t="s">
        <v>224</v>
      </c>
    </row>
    <row r="6961" spans="1:19" x14ac:dyDescent="0.25">
      <c r="A6961" s="311"/>
      <c r="B6961" s="312"/>
      <c r="C6961" s="312"/>
      <c r="D6961" s="312"/>
      <c r="E6961" s="312"/>
      <c r="F6961" s="312"/>
      <c r="G6961" s="328"/>
      <c r="H6961" s="453"/>
      <c r="I6961" s="334"/>
      <c r="J6961" s="314"/>
      <c r="K6961" s="454"/>
      <c r="M6961" s="349" t="str">
        <f>N6961&amp;AS[[#This Row],[Insurer Code]]&amp;"; "&amp;O6961&amp;AS[[#This Row],[Reporting Year]]&amp;"; "&amp;P6961&amp;AS[[#This Row],[Insurance Category Code]]&amp;"; "&amp;Q6961&amp;AS[[#This Row],[Large Provider Entity Code]]&amp;"; "&amp;R6961&amp;AS[[#This Row],[Age Band Code]]&amp;"; "&amp;S6961&amp;AS[[#This Row],[Sex Code]]</f>
        <v xml:space="preserve">Insurer Code ; Reporting Year ; Insurance Category Code ; Large Provider Entity Code ; Age Band Code ; Sex Code </v>
      </c>
      <c r="N6961" s="345" t="s">
        <v>207</v>
      </c>
      <c r="O6961" s="345" t="s">
        <v>208</v>
      </c>
      <c r="P6961" s="345" t="s">
        <v>209</v>
      </c>
      <c r="Q6961" s="345" t="s">
        <v>210</v>
      </c>
      <c r="R6961" s="345" t="s">
        <v>223</v>
      </c>
      <c r="S6961" s="345" t="s">
        <v>224</v>
      </c>
    </row>
    <row r="6962" spans="1:19" x14ac:dyDescent="0.25">
      <c r="A6962" s="311"/>
      <c r="B6962" s="312"/>
      <c r="C6962" s="312"/>
      <c r="D6962" s="312"/>
      <c r="E6962" s="312"/>
      <c r="F6962" s="312"/>
      <c r="G6962" s="328"/>
      <c r="H6962" s="453"/>
      <c r="I6962" s="334"/>
      <c r="J6962" s="314"/>
      <c r="K6962" s="454"/>
      <c r="M6962" s="349" t="str">
        <f>N6962&amp;AS[[#This Row],[Insurer Code]]&amp;"; "&amp;O6962&amp;AS[[#This Row],[Reporting Year]]&amp;"; "&amp;P6962&amp;AS[[#This Row],[Insurance Category Code]]&amp;"; "&amp;Q6962&amp;AS[[#This Row],[Large Provider Entity Code]]&amp;"; "&amp;R6962&amp;AS[[#This Row],[Age Band Code]]&amp;"; "&amp;S6962&amp;AS[[#This Row],[Sex Code]]</f>
        <v xml:space="preserve">Insurer Code ; Reporting Year ; Insurance Category Code ; Large Provider Entity Code ; Age Band Code ; Sex Code </v>
      </c>
      <c r="N6962" s="345" t="s">
        <v>207</v>
      </c>
      <c r="O6962" s="345" t="s">
        <v>208</v>
      </c>
      <c r="P6962" s="345" t="s">
        <v>209</v>
      </c>
      <c r="Q6962" s="345" t="s">
        <v>210</v>
      </c>
      <c r="R6962" s="345" t="s">
        <v>223</v>
      </c>
      <c r="S6962" s="345" t="s">
        <v>224</v>
      </c>
    </row>
    <row r="6963" spans="1:19" x14ac:dyDescent="0.25">
      <c r="A6963" s="311"/>
      <c r="B6963" s="312"/>
      <c r="C6963" s="312"/>
      <c r="D6963" s="312"/>
      <c r="E6963" s="312"/>
      <c r="F6963" s="312"/>
      <c r="G6963" s="328"/>
      <c r="H6963" s="453"/>
      <c r="I6963" s="334"/>
      <c r="J6963" s="314"/>
      <c r="K6963" s="454"/>
      <c r="M6963" s="349" t="str">
        <f>N6963&amp;AS[[#This Row],[Insurer Code]]&amp;"; "&amp;O6963&amp;AS[[#This Row],[Reporting Year]]&amp;"; "&amp;P6963&amp;AS[[#This Row],[Insurance Category Code]]&amp;"; "&amp;Q6963&amp;AS[[#This Row],[Large Provider Entity Code]]&amp;"; "&amp;R6963&amp;AS[[#This Row],[Age Band Code]]&amp;"; "&amp;S6963&amp;AS[[#This Row],[Sex Code]]</f>
        <v xml:space="preserve">Insurer Code ; Reporting Year ; Insurance Category Code ; Large Provider Entity Code ; Age Band Code ; Sex Code </v>
      </c>
      <c r="N6963" s="345" t="s">
        <v>207</v>
      </c>
      <c r="O6963" s="345" t="s">
        <v>208</v>
      </c>
      <c r="P6963" s="345" t="s">
        <v>209</v>
      </c>
      <c r="Q6963" s="345" t="s">
        <v>210</v>
      </c>
      <c r="R6963" s="345" t="s">
        <v>223</v>
      </c>
      <c r="S6963" s="345" t="s">
        <v>224</v>
      </c>
    </row>
    <row r="6964" spans="1:19" x14ac:dyDescent="0.25">
      <c r="A6964" s="311"/>
      <c r="B6964" s="312"/>
      <c r="C6964" s="312"/>
      <c r="D6964" s="312"/>
      <c r="E6964" s="312"/>
      <c r="F6964" s="312"/>
      <c r="G6964" s="328"/>
      <c r="H6964" s="453"/>
      <c r="I6964" s="334"/>
      <c r="J6964" s="314"/>
      <c r="K6964" s="454"/>
      <c r="M6964" s="349" t="str">
        <f>N6964&amp;AS[[#This Row],[Insurer Code]]&amp;"; "&amp;O6964&amp;AS[[#This Row],[Reporting Year]]&amp;"; "&amp;P6964&amp;AS[[#This Row],[Insurance Category Code]]&amp;"; "&amp;Q6964&amp;AS[[#This Row],[Large Provider Entity Code]]&amp;"; "&amp;R6964&amp;AS[[#This Row],[Age Band Code]]&amp;"; "&amp;S6964&amp;AS[[#This Row],[Sex Code]]</f>
        <v xml:space="preserve">Insurer Code ; Reporting Year ; Insurance Category Code ; Large Provider Entity Code ; Age Band Code ; Sex Code </v>
      </c>
      <c r="N6964" s="345" t="s">
        <v>207</v>
      </c>
      <c r="O6964" s="345" t="s">
        <v>208</v>
      </c>
      <c r="P6964" s="345" t="s">
        <v>209</v>
      </c>
      <c r="Q6964" s="345" t="s">
        <v>210</v>
      </c>
      <c r="R6964" s="345" t="s">
        <v>223</v>
      </c>
      <c r="S6964" s="345" t="s">
        <v>224</v>
      </c>
    </row>
    <row r="6965" spans="1:19" x14ac:dyDescent="0.25">
      <c r="A6965" s="311"/>
      <c r="B6965" s="312"/>
      <c r="C6965" s="312"/>
      <c r="D6965" s="312"/>
      <c r="E6965" s="312"/>
      <c r="F6965" s="312"/>
      <c r="G6965" s="328"/>
      <c r="H6965" s="453"/>
      <c r="I6965" s="334"/>
      <c r="J6965" s="314"/>
      <c r="K6965" s="454"/>
      <c r="M6965" s="349" t="str">
        <f>N6965&amp;AS[[#This Row],[Insurer Code]]&amp;"; "&amp;O6965&amp;AS[[#This Row],[Reporting Year]]&amp;"; "&amp;P6965&amp;AS[[#This Row],[Insurance Category Code]]&amp;"; "&amp;Q6965&amp;AS[[#This Row],[Large Provider Entity Code]]&amp;"; "&amp;R6965&amp;AS[[#This Row],[Age Band Code]]&amp;"; "&amp;S6965&amp;AS[[#This Row],[Sex Code]]</f>
        <v xml:space="preserve">Insurer Code ; Reporting Year ; Insurance Category Code ; Large Provider Entity Code ; Age Band Code ; Sex Code </v>
      </c>
      <c r="N6965" s="345" t="s">
        <v>207</v>
      </c>
      <c r="O6965" s="345" t="s">
        <v>208</v>
      </c>
      <c r="P6965" s="345" t="s">
        <v>209</v>
      </c>
      <c r="Q6965" s="345" t="s">
        <v>210</v>
      </c>
      <c r="R6965" s="345" t="s">
        <v>223</v>
      </c>
      <c r="S6965" s="345" t="s">
        <v>224</v>
      </c>
    </row>
    <row r="6966" spans="1:19" x14ac:dyDescent="0.25">
      <c r="A6966" s="311"/>
      <c r="B6966" s="312"/>
      <c r="C6966" s="312"/>
      <c r="D6966" s="312"/>
      <c r="E6966" s="312"/>
      <c r="F6966" s="312"/>
      <c r="G6966" s="328"/>
      <c r="H6966" s="453"/>
      <c r="I6966" s="334"/>
      <c r="J6966" s="314"/>
      <c r="K6966" s="454"/>
      <c r="M6966" s="349" t="str">
        <f>N6966&amp;AS[[#This Row],[Insurer Code]]&amp;"; "&amp;O6966&amp;AS[[#This Row],[Reporting Year]]&amp;"; "&amp;P6966&amp;AS[[#This Row],[Insurance Category Code]]&amp;"; "&amp;Q6966&amp;AS[[#This Row],[Large Provider Entity Code]]&amp;"; "&amp;R6966&amp;AS[[#This Row],[Age Band Code]]&amp;"; "&amp;S6966&amp;AS[[#This Row],[Sex Code]]</f>
        <v xml:space="preserve">Insurer Code ; Reporting Year ; Insurance Category Code ; Large Provider Entity Code ; Age Band Code ; Sex Code </v>
      </c>
      <c r="N6966" s="345" t="s">
        <v>207</v>
      </c>
      <c r="O6966" s="345" t="s">
        <v>208</v>
      </c>
      <c r="P6966" s="345" t="s">
        <v>209</v>
      </c>
      <c r="Q6966" s="345" t="s">
        <v>210</v>
      </c>
      <c r="R6966" s="345" t="s">
        <v>223</v>
      </c>
      <c r="S6966" s="345" t="s">
        <v>224</v>
      </c>
    </row>
    <row r="6967" spans="1:19" x14ac:dyDescent="0.25">
      <c r="A6967" s="311"/>
      <c r="B6967" s="312"/>
      <c r="C6967" s="312"/>
      <c r="D6967" s="312"/>
      <c r="E6967" s="312"/>
      <c r="F6967" s="312"/>
      <c r="G6967" s="328"/>
      <c r="H6967" s="453"/>
      <c r="I6967" s="334"/>
      <c r="J6967" s="314"/>
      <c r="K6967" s="454"/>
      <c r="M6967" s="349" t="str">
        <f>N6967&amp;AS[[#This Row],[Insurer Code]]&amp;"; "&amp;O6967&amp;AS[[#This Row],[Reporting Year]]&amp;"; "&amp;P6967&amp;AS[[#This Row],[Insurance Category Code]]&amp;"; "&amp;Q6967&amp;AS[[#This Row],[Large Provider Entity Code]]&amp;"; "&amp;R6967&amp;AS[[#This Row],[Age Band Code]]&amp;"; "&amp;S6967&amp;AS[[#This Row],[Sex Code]]</f>
        <v xml:space="preserve">Insurer Code ; Reporting Year ; Insurance Category Code ; Large Provider Entity Code ; Age Band Code ; Sex Code </v>
      </c>
      <c r="N6967" s="345" t="s">
        <v>207</v>
      </c>
      <c r="O6967" s="345" t="s">
        <v>208</v>
      </c>
      <c r="P6967" s="345" t="s">
        <v>209</v>
      </c>
      <c r="Q6967" s="345" t="s">
        <v>210</v>
      </c>
      <c r="R6967" s="345" t="s">
        <v>223</v>
      </c>
      <c r="S6967" s="345" t="s">
        <v>224</v>
      </c>
    </row>
    <row r="6968" spans="1:19" x14ac:dyDescent="0.25">
      <c r="A6968" s="311"/>
      <c r="B6968" s="312"/>
      <c r="C6968" s="312"/>
      <c r="D6968" s="312"/>
      <c r="E6968" s="312"/>
      <c r="F6968" s="312"/>
      <c r="G6968" s="328"/>
      <c r="H6968" s="453"/>
      <c r="I6968" s="334"/>
      <c r="J6968" s="314"/>
      <c r="K6968" s="454"/>
      <c r="M6968" s="349" t="str">
        <f>N6968&amp;AS[[#This Row],[Insurer Code]]&amp;"; "&amp;O6968&amp;AS[[#This Row],[Reporting Year]]&amp;"; "&amp;P6968&amp;AS[[#This Row],[Insurance Category Code]]&amp;"; "&amp;Q6968&amp;AS[[#This Row],[Large Provider Entity Code]]&amp;"; "&amp;R6968&amp;AS[[#This Row],[Age Band Code]]&amp;"; "&amp;S6968&amp;AS[[#This Row],[Sex Code]]</f>
        <v xml:space="preserve">Insurer Code ; Reporting Year ; Insurance Category Code ; Large Provider Entity Code ; Age Band Code ; Sex Code </v>
      </c>
      <c r="N6968" s="345" t="s">
        <v>207</v>
      </c>
      <c r="O6968" s="345" t="s">
        <v>208</v>
      </c>
      <c r="P6968" s="345" t="s">
        <v>209</v>
      </c>
      <c r="Q6968" s="345" t="s">
        <v>210</v>
      </c>
      <c r="R6968" s="345" t="s">
        <v>223</v>
      </c>
      <c r="S6968" s="345" t="s">
        <v>224</v>
      </c>
    </row>
    <row r="6969" spans="1:19" x14ac:dyDescent="0.25">
      <c r="A6969" s="311"/>
      <c r="B6969" s="312"/>
      <c r="C6969" s="312"/>
      <c r="D6969" s="312"/>
      <c r="E6969" s="312"/>
      <c r="F6969" s="312"/>
      <c r="G6969" s="328"/>
      <c r="H6969" s="453"/>
      <c r="I6969" s="334"/>
      <c r="J6969" s="314"/>
      <c r="K6969" s="454"/>
      <c r="M6969" s="349" t="str">
        <f>N6969&amp;AS[[#This Row],[Insurer Code]]&amp;"; "&amp;O6969&amp;AS[[#This Row],[Reporting Year]]&amp;"; "&amp;P6969&amp;AS[[#This Row],[Insurance Category Code]]&amp;"; "&amp;Q6969&amp;AS[[#This Row],[Large Provider Entity Code]]&amp;"; "&amp;R6969&amp;AS[[#This Row],[Age Band Code]]&amp;"; "&amp;S6969&amp;AS[[#This Row],[Sex Code]]</f>
        <v xml:space="preserve">Insurer Code ; Reporting Year ; Insurance Category Code ; Large Provider Entity Code ; Age Band Code ; Sex Code </v>
      </c>
      <c r="N6969" s="345" t="s">
        <v>207</v>
      </c>
      <c r="O6969" s="345" t="s">
        <v>208</v>
      </c>
      <c r="P6969" s="345" t="s">
        <v>209</v>
      </c>
      <c r="Q6969" s="345" t="s">
        <v>210</v>
      </c>
      <c r="R6969" s="345" t="s">
        <v>223</v>
      </c>
      <c r="S6969" s="345" t="s">
        <v>224</v>
      </c>
    </row>
    <row r="6970" spans="1:19" x14ac:dyDescent="0.25">
      <c r="A6970" s="311"/>
      <c r="B6970" s="312"/>
      <c r="C6970" s="312"/>
      <c r="D6970" s="312"/>
      <c r="E6970" s="312"/>
      <c r="F6970" s="312"/>
      <c r="G6970" s="328"/>
      <c r="H6970" s="453"/>
      <c r="I6970" s="334"/>
      <c r="J6970" s="314"/>
      <c r="K6970" s="454"/>
      <c r="M6970" s="349" t="str">
        <f>N6970&amp;AS[[#This Row],[Insurer Code]]&amp;"; "&amp;O6970&amp;AS[[#This Row],[Reporting Year]]&amp;"; "&amp;P6970&amp;AS[[#This Row],[Insurance Category Code]]&amp;"; "&amp;Q6970&amp;AS[[#This Row],[Large Provider Entity Code]]&amp;"; "&amp;R6970&amp;AS[[#This Row],[Age Band Code]]&amp;"; "&amp;S6970&amp;AS[[#This Row],[Sex Code]]</f>
        <v xml:space="preserve">Insurer Code ; Reporting Year ; Insurance Category Code ; Large Provider Entity Code ; Age Band Code ; Sex Code </v>
      </c>
      <c r="N6970" s="345" t="s">
        <v>207</v>
      </c>
      <c r="O6970" s="345" t="s">
        <v>208</v>
      </c>
      <c r="P6970" s="345" t="s">
        <v>209</v>
      </c>
      <c r="Q6970" s="345" t="s">
        <v>210</v>
      </c>
      <c r="R6970" s="345" t="s">
        <v>223</v>
      </c>
      <c r="S6970" s="345" t="s">
        <v>224</v>
      </c>
    </row>
    <row r="6971" spans="1:19" x14ac:dyDescent="0.25">
      <c r="A6971" s="311"/>
      <c r="B6971" s="312"/>
      <c r="C6971" s="312"/>
      <c r="D6971" s="312"/>
      <c r="E6971" s="312"/>
      <c r="F6971" s="312"/>
      <c r="G6971" s="328"/>
      <c r="H6971" s="453"/>
      <c r="I6971" s="334"/>
      <c r="J6971" s="314"/>
      <c r="K6971" s="454"/>
      <c r="M6971" s="349" t="str">
        <f>N6971&amp;AS[[#This Row],[Insurer Code]]&amp;"; "&amp;O6971&amp;AS[[#This Row],[Reporting Year]]&amp;"; "&amp;P6971&amp;AS[[#This Row],[Insurance Category Code]]&amp;"; "&amp;Q6971&amp;AS[[#This Row],[Large Provider Entity Code]]&amp;"; "&amp;R6971&amp;AS[[#This Row],[Age Band Code]]&amp;"; "&amp;S6971&amp;AS[[#This Row],[Sex Code]]</f>
        <v xml:space="preserve">Insurer Code ; Reporting Year ; Insurance Category Code ; Large Provider Entity Code ; Age Band Code ; Sex Code </v>
      </c>
      <c r="N6971" s="345" t="s">
        <v>207</v>
      </c>
      <c r="O6971" s="345" t="s">
        <v>208</v>
      </c>
      <c r="P6971" s="345" t="s">
        <v>209</v>
      </c>
      <c r="Q6971" s="345" t="s">
        <v>210</v>
      </c>
      <c r="R6971" s="345" t="s">
        <v>223</v>
      </c>
      <c r="S6971" s="345" t="s">
        <v>224</v>
      </c>
    </row>
    <row r="6972" spans="1:19" x14ac:dyDescent="0.25">
      <c r="A6972" s="311"/>
      <c r="B6972" s="312"/>
      <c r="C6972" s="312"/>
      <c r="D6972" s="312"/>
      <c r="E6972" s="312"/>
      <c r="F6972" s="312"/>
      <c r="G6972" s="328"/>
      <c r="H6972" s="453"/>
      <c r="I6972" s="334"/>
      <c r="J6972" s="314"/>
      <c r="K6972" s="454"/>
      <c r="M6972" s="349" t="str">
        <f>N6972&amp;AS[[#This Row],[Insurer Code]]&amp;"; "&amp;O6972&amp;AS[[#This Row],[Reporting Year]]&amp;"; "&amp;P6972&amp;AS[[#This Row],[Insurance Category Code]]&amp;"; "&amp;Q6972&amp;AS[[#This Row],[Large Provider Entity Code]]&amp;"; "&amp;R6972&amp;AS[[#This Row],[Age Band Code]]&amp;"; "&amp;S6972&amp;AS[[#This Row],[Sex Code]]</f>
        <v xml:space="preserve">Insurer Code ; Reporting Year ; Insurance Category Code ; Large Provider Entity Code ; Age Band Code ; Sex Code </v>
      </c>
      <c r="N6972" s="345" t="s">
        <v>207</v>
      </c>
      <c r="O6972" s="345" t="s">
        <v>208</v>
      </c>
      <c r="P6972" s="345" t="s">
        <v>209</v>
      </c>
      <c r="Q6972" s="345" t="s">
        <v>210</v>
      </c>
      <c r="R6972" s="345" t="s">
        <v>223</v>
      </c>
      <c r="S6972" s="345" t="s">
        <v>224</v>
      </c>
    </row>
    <row r="6973" spans="1:19" x14ac:dyDescent="0.25">
      <c r="A6973" s="311"/>
      <c r="B6973" s="312"/>
      <c r="C6973" s="312"/>
      <c r="D6973" s="312"/>
      <c r="E6973" s="312"/>
      <c r="F6973" s="312"/>
      <c r="G6973" s="328"/>
      <c r="H6973" s="453"/>
      <c r="I6973" s="334"/>
      <c r="J6973" s="314"/>
      <c r="K6973" s="454"/>
      <c r="M6973" s="349" t="str">
        <f>N6973&amp;AS[[#This Row],[Insurer Code]]&amp;"; "&amp;O6973&amp;AS[[#This Row],[Reporting Year]]&amp;"; "&amp;P6973&amp;AS[[#This Row],[Insurance Category Code]]&amp;"; "&amp;Q6973&amp;AS[[#This Row],[Large Provider Entity Code]]&amp;"; "&amp;R6973&amp;AS[[#This Row],[Age Band Code]]&amp;"; "&amp;S6973&amp;AS[[#This Row],[Sex Code]]</f>
        <v xml:space="preserve">Insurer Code ; Reporting Year ; Insurance Category Code ; Large Provider Entity Code ; Age Band Code ; Sex Code </v>
      </c>
      <c r="N6973" s="345" t="s">
        <v>207</v>
      </c>
      <c r="O6973" s="345" t="s">
        <v>208</v>
      </c>
      <c r="P6973" s="345" t="s">
        <v>209</v>
      </c>
      <c r="Q6973" s="345" t="s">
        <v>210</v>
      </c>
      <c r="R6973" s="345" t="s">
        <v>223</v>
      </c>
      <c r="S6973" s="345" t="s">
        <v>224</v>
      </c>
    </row>
    <row r="6974" spans="1:19" x14ac:dyDescent="0.25">
      <c r="A6974" s="311"/>
      <c r="B6974" s="312"/>
      <c r="C6974" s="312"/>
      <c r="D6974" s="312"/>
      <c r="E6974" s="312"/>
      <c r="F6974" s="312"/>
      <c r="G6974" s="328"/>
      <c r="H6974" s="453"/>
      <c r="I6974" s="334"/>
      <c r="J6974" s="314"/>
      <c r="K6974" s="454"/>
      <c r="M6974" s="349" t="str">
        <f>N6974&amp;AS[[#This Row],[Insurer Code]]&amp;"; "&amp;O6974&amp;AS[[#This Row],[Reporting Year]]&amp;"; "&amp;P6974&amp;AS[[#This Row],[Insurance Category Code]]&amp;"; "&amp;Q6974&amp;AS[[#This Row],[Large Provider Entity Code]]&amp;"; "&amp;R6974&amp;AS[[#This Row],[Age Band Code]]&amp;"; "&amp;S6974&amp;AS[[#This Row],[Sex Code]]</f>
        <v xml:space="preserve">Insurer Code ; Reporting Year ; Insurance Category Code ; Large Provider Entity Code ; Age Band Code ; Sex Code </v>
      </c>
      <c r="N6974" s="345" t="s">
        <v>207</v>
      </c>
      <c r="O6974" s="345" t="s">
        <v>208</v>
      </c>
      <c r="P6974" s="345" t="s">
        <v>209</v>
      </c>
      <c r="Q6974" s="345" t="s">
        <v>210</v>
      </c>
      <c r="R6974" s="345" t="s">
        <v>223</v>
      </c>
      <c r="S6974" s="345" t="s">
        <v>224</v>
      </c>
    </row>
    <row r="6975" spans="1:19" x14ac:dyDescent="0.25">
      <c r="A6975" s="311"/>
      <c r="B6975" s="312"/>
      <c r="C6975" s="312"/>
      <c r="D6975" s="312"/>
      <c r="E6975" s="312"/>
      <c r="F6975" s="312"/>
      <c r="G6975" s="328"/>
      <c r="H6975" s="453"/>
      <c r="I6975" s="334"/>
      <c r="J6975" s="314"/>
      <c r="K6975" s="454"/>
      <c r="M6975" s="349" t="str">
        <f>N6975&amp;AS[[#This Row],[Insurer Code]]&amp;"; "&amp;O6975&amp;AS[[#This Row],[Reporting Year]]&amp;"; "&amp;P6975&amp;AS[[#This Row],[Insurance Category Code]]&amp;"; "&amp;Q6975&amp;AS[[#This Row],[Large Provider Entity Code]]&amp;"; "&amp;R6975&amp;AS[[#This Row],[Age Band Code]]&amp;"; "&amp;S6975&amp;AS[[#This Row],[Sex Code]]</f>
        <v xml:space="preserve">Insurer Code ; Reporting Year ; Insurance Category Code ; Large Provider Entity Code ; Age Band Code ; Sex Code </v>
      </c>
      <c r="N6975" s="345" t="s">
        <v>207</v>
      </c>
      <c r="O6975" s="345" t="s">
        <v>208</v>
      </c>
      <c r="P6975" s="345" t="s">
        <v>209</v>
      </c>
      <c r="Q6975" s="345" t="s">
        <v>210</v>
      </c>
      <c r="R6975" s="345" t="s">
        <v>223</v>
      </c>
      <c r="S6975" s="345" t="s">
        <v>224</v>
      </c>
    </row>
    <row r="6976" spans="1:19" x14ac:dyDescent="0.25">
      <c r="A6976" s="311"/>
      <c r="B6976" s="312"/>
      <c r="C6976" s="312"/>
      <c r="D6976" s="312"/>
      <c r="E6976" s="312"/>
      <c r="F6976" s="312"/>
      <c r="G6976" s="328"/>
      <c r="H6976" s="453"/>
      <c r="I6976" s="334"/>
      <c r="J6976" s="314"/>
      <c r="K6976" s="454"/>
      <c r="M6976" s="349" t="str">
        <f>N6976&amp;AS[[#This Row],[Insurer Code]]&amp;"; "&amp;O6976&amp;AS[[#This Row],[Reporting Year]]&amp;"; "&amp;P6976&amp;AS[[#This Row],[Insurance Category Code]]&amp;"; "&amp;Q6976&amp;AS[[#This Row],[Large Provider Entity Code]]&amp;"; "&amp;R6976&amp;AS[[#This Row],[Age Band Code]]&amp;"; "&amp;S6976&amp;AS[[#This Row],[Sex Code]]</f>
        <v xml:space="preserve">Insurer Code ; Reporting Year ; Insurance Category Code ; Large Provider Entity Code ; Age Band Code ; Sex Code </v>
      </c>
      <c r="N6976" s="345" t="s">
        <v>207</v>
      </c>
      <c r="O6976" s="345" t="s">
        <v>208</v>
      </c>
      <c r="P6976" s="345" t="s">
        <v>209</v>
      </c>
      <c r="Q6976" s="345" t="s">
        <v>210</v>
      </c>
      <c r="R6976" s="345" t="s">
        <v>223</v>
      </c>
      <c r="S6976" s="345" t="s">
        <v>224</v>
      </c>
    </row>
    <row r="6977" spans="1:19" x14ac:dyDescent="0.25">
      <c r="A6977" s="311"/>
      <c r="B6977" s="312"/>
      <c r="C6977" s="312"/>
      <c r="D6977" s="312"/>
      <c r="E6977" s="312"/>
      <c r="F6977" s="312"/>
      <c r="G6977" s="328"/>
      <c r="H6977" s="453"/>
      <c r="I6977" s="334"/>
      <c r="J6977" s="314"/>
      <c r="K6977" s="454"/>
      <c r="M6977" s="349" t="str">
        <f>N6977&amp;AS[[#This Row],[Insurer Code]]&amp;"; "&amp;O6977&amp;AS[[#This Row],[Reporting Year]]&amp;"; "&amp;P6977&amp;AS[[#This Row],[Insurance Category Code]]&amp;"; "&amp;Q6977&amp;AS[[#This Row],[Large Provider Entity Code]]&amp;"; "&amp;R6977&amp;AS[[#This Row],[Age Band Code]]&amp;"; "&amp;S6977&amp;AS[[#This Row],[Sex Code]]</f>
        <v xml:space="preserve">Insurer Code ; Reporting Year ; Insurance Category Code ; Large Provider Entity Code ; Age Band Code ; Sex Code </v>
      </c>
      <c r="N6977" s="345" t="s">
        <v>207</v>
      </c>
      <c r="O6977" s="345" t="s">
        <v>208</v>
      </c>
      <c r="P6977" s="345" t="s">
        <v>209</v>
      </c>
      <c r="Q6977" s="345" t="s">
        <v>210</v>
      </c>
      <c r="R6977" s="345" t="s">
        <v>223</v>
      </c>
      <c r="S6977" s="345" t="s">
        <v>224</v>
      </c>
    </row>
    <row r="6978" spans="1:19" x14ac:dyDescent="0.25">
      <c r="A6978" s="311"/>
      <c r="B6978" s="312"/>
      <c r="C6978" s="312"/>
      <c r="D6978" s="312"/>
      <c r="E6978" s="312"/>
      <c r="F6978" s="312"/>
      <c r="G6978" s="328"/>
      <c r="H6978" s="453"/>
      <c r="I6978" s="334"/>
      <c r="J6978" s="314"/>
      <c r="K6978" s="454"/>
      <c r="M6978" s="349" t="str">
        <f>N6978&amp;AS[[#This Row],[Insurer Code]]&amp;"; "&amp;O6978&amp;AS[[#This Row],[Reporting Year]]&amp;"; "&amp;P6978&amp;AS[[#This Row],[Insurance Category Code]]&amp;"; "&amp;Q6978&amp;AS[[#This Row],[Large Provider Entity Code]]&amp;"; "&amp;R6978&amp;AS[[#This Row],[Age Band Code]]&amp;"; "&amp;S6978&amp;AS[[#This Row],[Sex Code]]</f>
        <v xml:space="preserve">Insurer Code ; Reporting Year ; Insurance Category Code ; Large Provider Entity Code ; Age Band Code ; Sex Code </v>
      </c>
      <c r="N6978" s="345" t="s">
        <v>207</v>
      </c>
      <c r="O6978" s="345" t="s">
        <v>208</v>
      </c>
      <c r="P6978" s="345" t="s">
        <v>209</v>
      </c>
      <c r="Q6978" s="345" t="s">
        <v>210</v>
      </c>
      <c r="R6978" s="345" t="s">
        <v>223</v>
      </c>
      <c r="S6978" s="345" t="s">
        <v>224</v>
      </c>
    </row>
    <row r="6979" spans="1:19" x14ac:dyDescent="0.25">
      <c r="A6979" s="311"/>
      <c r="B6979" s="312"/>
      <c r="C6979" s="312"/>
      <c r="D6979" s="312"/>
      <c r="E6979" s="312"/>
      <c r="F6979" s="312"/>
      <c r="G6979" s="328"/>
      <c r="H6979" s="453"/>
      <c r="I6979" s="334"/>
      <c r="J6979" s="314"/>
      <c r="K6979" s="454"/>
      <c r="M6979" s="349" t="str">
        <f>N6979&amp;AS[[#This Row],[Insurer Code]]&amp;"; "&amp;O6979&amp;AS[[#This Row],[Reporting Year]]&amp;"; "&amp;P6979&amp;AS[[#This Row],[Insurance Category Code]]&amp;"; "&amp;Q6979&amp;AS[[#This Row],[Large Provider Entity Code]]&amp;"; "&amp;R6979&amp;AS[[#This Row],[Age Band Code]]&amp;"; "&amp;S6979&amp;AS[[#This Row],[Sex Code]]</f>
        <v xml:space="preserve">Insurer Code ; Reporting Year ; Insurance Category Code ; Large Provider Entity Code ; Age Band Code ; Sex Code </v>
      </c>
      <c r="N6979" s="345" t="s">
        <v>207</v>
      </c>
      <c r="O6979" s="345" t="s">
        <v>208</v>
      </c>
      <c r="P6979" s="345" t="s">
        <v>209</v>
      </c>
      <c r="Q6979" s="345" t="s">
        <v>210</v>
      </c>
      <c r="R6979" s="345" t="s">
        <v>223</v>
      </c>
      <c r="S6979" s="345" t="s">
        <v>224</v>
      </c>
    </row>
    <row r="6980" spans="1:19" x14ac:dyDescent="0.25">
      <c r="A6980" s="311"/>
      <c r="B6980" s="312"/>
      <c r="C6980" s="312"/>
      <c r="D6980" s="312"/>
      <c r="E6980" s="312"/>
      <c r="F6980" s="312"/>
      <c r="G6980" s="328"/>
      <c r="H6980" s="453"/>
      <c r="I6980" s="334"/>
      <c r="J6980" s="314"/>
      <c r="K6980" s="454"/>
      <c r="M6980" s="349" t="str">
        <f>N6980&amp;AS[[#This Row],[Insurer Code]]&amp;"; "&amp;O6980&amp;AS[[#This Row],[Reporting Year]]&amp;"; "&amp;P6980&amp;AS[[#This Row],[Insurance Category Code]]&amp;"; "&amp;Q6980&amp;AS[[#This Row],[Large Provider Entity Code]]&amp;"; "&amp;R6980&amp;AS[[#This Row],[Age Band Code]]&amp;"; "&amp;S6980&amp;AS[[#This Row],[Sex Code]]</f>
        <v xml:space="preserve">Insurer Code ; Reporting Year ; Insurance Category Code ; Large Provider Entity Code ; Age Band Code ; Sex Code </v>
      </c>
      <c r="N6980" s="345" t="s">
        <v>207</v>
      </c>
      <c r="O6980" s="345" t="s">
        <v>208</v>
      </c>
      <c r="P6980" s="345" t="s">
        <v>209</v>
      </c>
      <c r="Q6980" s="345" t="s">
        <v>210</v>
      </c>
      <c r="R6980" s="345" t="s">
        <v>223</v>
      </c>
      <c r="S6980" s="345" t="s">
        <v>224</v>
      </c>
    </row>
    <row r="6981" spans="1:19" x14ac:dyDescent="0.25">
      <c r="A6981" s="311"/>
      <c r="B6981" s="312"/>
      <c r="C6981" s="312"/>
      <c r="D6981" s="312"/>
      <c r="E6981" s="312"/>
      <c r="F6981" s="312"/>
      <c r="G6981" s="328"/>
      <c r="H6981" s="453"/>
      <c r="I6981" s="334"/>
      <c r="J6981" s="314"/>
      <c r="K6981" s="454"/>
      <c r="M6981" s="349" t="str">
        <f>N6981&amp;AS[[#This Row],[Insurer Code]]&amp;"; "&amp;O6981&amp;AS[[#This Row],[Reporting Year]]&amp;"; "&amp;P6981&amp;AS[[#This Row],[Insurance Category Code]]&amp;"; "&amp;Q6981&amp;AS[[#This Row],[Large Provider Entity Code]]&amp;"; "&amp;R6981&amp;AS[[#This Row],[Age Band Code]]&amp;"; "&amp;S6981&amp;AS[[#This Row],[Sex Code]]</f>
        <v xml:space="preserve">Insurer Code ; Reporting Year ; Insurance Category Code ; Large Provider Entity Code ; Age Band Code ; Sex Code </v>
      </c>
      <c r="N6981" s="345" t="s">
        <v>207</v>
      </c>
      <c r="O6981" s="345" t="s">
        <v>208</v>
      </c>
      <c r="P6981" s="345" t="s">
        <v>209</v>
      </c>
      <c r="Q6981" s="345" t="s">
        <v>210</v>
      </c>
      <c r="R6981" s="345" t="s">
        <v>223</v>
      </c>
      <c r="S6981" s="345" t="s">
        <v>224</v>
      </c>
    </row>
    <row r="6982" spans="1:19" x14ac:dyDescent="0.25">
      <c r="A6982" s="311"/>
      <c r="B6982" s="312"/>
      <c r="C6982" s="312"/>
      <c r="D6982" s="312"/>
      <c r="E6982" s="312"/>
      <c r="F6982" s="312"/>
      <c r="G6982" s="328"/>
      <c r="H6982" s="453"/>
      <c r="I6982" s="334"/>
      <c r="J6982" s="314"/>
      <c r="K6982" s="454"/>
      <c r="M6982" s="349" t="str">
        <f>N6982&amp;AS[[#This Row],[Insurer Code]]&amp;"; "&amp;O6982&amp;AS[[#This Row],[Reporting Year]]&amp;"; "&amp;P6982&amp;AS[[#This Row],[Insurance Category Code]]&amp;"; "&amp;Q6982&amp;AS[[#This Row],[Large Provider Entity Code]]&amp;"; "&amp;R6982&amp;AS[[#This Row],[Age Band Code]]&amp;"; "&amp;S6982&amp;AS[[#This Row],[Sex Code]]</f>
        <v xml:space="preserve">Insurer Code ; Reporting Year ; Insurance Category Code ; Large Provider Entity Code ; Age Band Code ; Sex Code </v>
      </c>
      <c r="N6982" s="345" t="s">
        <v>207</v>
      </c>
      <c r="O6982" s="345" t="s">
        <v>208</v>
      </c>
      <c r="P6982" s="345" t="s">
        <v>209</v>
      </c>
      <c r="Q6982" s="345" t="s">
        <v>210</v>
      </c>
      <c r="R6982" s="345" t="s">
        <v>223</v>
      </c>
      <c r="S6982" s="345" t="s">
        <v>224</v>
      </c>
    </row>
    <row r="6983" spans="1:19" x14ac:dyDescent="0.25">
      <c r="A6983" s="311"/>
      <c r="B6983" s="312"/>
      <c r="C6983" s="312"/>
      <c r="D6983" s="312"/>
      <c r="E6983" s="312"/>
      <c r="F6983" s="312"/>
      <c r="G6983" s="328"/>
      <c r="H6983" s="453"/>
      <c r="I6983" s="334"/>
      <c r="J6983" s="314"/>
      <c r="K6983" s="454"/>
      <c r="M6983" s="349" t="str">
        <f>N6983&amp;AS[[#This Row],[Insurer Code]]&amp;"; "&amp;O6983&amp;AS[[#This Row],[Reporting Year]]&amp;"; "&amp;P6983&amp;AS[[#This Row],[Insurance Category Code]]&amp;"; "&amp;Q6983&amp;AS[[#This Row],[Large Provider Entity Code]]&amp;"; "&amp;R6983&amp;AS[[#This Row],[Age Band Code]]&amp;"; "&amp;S6983&amp;AS[[#This Row],[Sex Code]]</f>
        <v xml:space="preserve">Insurer Code ; Reporting Year ; Insurance Category Code ; Large Provider Entity Code ; Age Band Code ; Sex Code </v>
      </c>
      <c r="N6983" s="345" t="s">
        <v>207</v>
      </c>
      <c r="O6983" s="345" t="s">
        <v>208</v>
      </c>
      <c r="P6983" s="345" t="s">
        <v>209</v>
      </c>
      <c r="Q6983" s="345" t="s">
        <v>210</v>
      </c>
      <c r="R6983" s="345" t="s">
        <v>223</v>
      </c>
      <c r="S6983" s="345" t="s">
        <v>224</v>
      </c>
    </row>
    <row r="6984" spans="1:19" x14ac:dyDescent="0.25">
      <c r="A6984" s="311"/>
      <c r="B6984" s="312"/>
      <c r="C6984" s="312"/>
      <c r="D6984" s="312"/>
      <c r="E6984" s="312"/>
      <c r="F6984" s="312"/>
      <c r="G6984" s="328"/>
      <c r="H6984" s="453"/>
      <c r="I6984" s="334"/>
      <c r="J6984" s="314"/>
      <c r="K6984" s="454"/>
      <c r="M6984" s="349" t="str">
        <f>N6984&amp;AS[[#This Row],[Insurer Code]]&amp;"; "&amp;O6984&amp;AS[[#This Row],[Reporting Year]]&amp;"; "&amp;P6984&amp;AS[[#This Row],[Insurance Category Code]]&amp;"; "&amp;Q6984&amp;AS[[#This Row],[Large Provider Entity Code]]&amp;"; "&amp;R6984&amp;AS[[#This Row],[Age Band Code]]&amp;"; "&amp;S6984&amp;AS[[#This Row],[Sex Code]]</f>
        <v xml:space="preserve">Insurer Code ; Reporting Year ; Insurance Category Code ; Large Provider Entity Code ; Age Band Code ; Sex Code </v>
      </c>
      <c r="N6984" s="345" t="s">
        <v>207</v>
      </c>
      <c r="O6984" s="345" t="s">
        <v>208</v>
      </c>
      <c r="P6984" s="345" t="s">
        <v>209</v>
      </c>
      <c r="Q6984" s="345" t="s">
        <v>210</v>
      </c>
      <c r="R6984" s="345" t="s">
        <v>223</v>
      </c>
      <c r="S6984" s="345" t="s">
        <v>224</v>
      </c>
    </row>
    <row r="6985" spans="1:19" x14ac:dyDescent="0.25">
      <c r="A6985" s="311"/>
      <c r="B6985" s="312"/>
      <c r="C6985" s="312"/>
      <c r="D6985" s="312"/>
      <c r="E6985" s="312"/>
      <c r="F6985" s="312"/>
      <c r="G6985" s="328"/>
      <c r="H6985" s="453"/>
      <c r="I6985" s="334"/>
      <c r="J6985" s="314"/>
      <c r="K6985" s="454"/>
      <c r="M6985" s="349" t="str">
        <f>N6985&amp;AS[[#This Row],[Insurer Code]]&amp;"; "&amp;O6985&amp;AS[[#This Row],[Reporting Year]]&amp;"; "&amp;P6985&amp;AS[[#This Row],[Insurance Category Code]]&amp;"; "&amp;Q6985&amp;AS[[#This Row],[Large Provider Entity Code]]&amp;"; "&amp;R6985&amp;AS[[#This Row],[Age Band Code]]&amp;"; "&amp;S6985&amp;AS[[#This Row],[Sex Code]]</f>
        <v xml:space="preserve">Insurer Code ; Reporting Year ; Insurance Category Code ; Large Provider Entity Code ; Age Band Code ; Sex Code </v>
      </c>
      <c r="N6985" s="345" t="s">
        <v>207</v>
      </c>
      <c r="O6985" s="345" t="s">
        <v>208</v>
      </c>
      <c r="P6985" s="345" t="s">
        <v>209</v>
      </c>
      <c r="Q6985" s="345" t="s">
        <v>210</v>
      </c>
      <c r="R6985" s="345" t="s">
        <v>223</v>
      </c>
      <c r="S6985" s="345" t="s">
        <v>224</v>
      </c>
    </row>
    <row r="6986" spans="1:19" x14ac:dyDescent="0.25">
      <c r="A6986" s="311"/>
      <c r="B6986" s="312"/>
      <c r="C6986" s="312"/>
      <c r="D6986" s="312"/>
      <c r="E6986" s="312"/>
      <c r="F6986" s="312"/>
      <c r="G6986" s="328"/>
      <c r="H6986" s="453"/>
      <c r="I6986" s="334"/>
      <c r="J6986" s="314"/>
      <c r="K6986" s="454"/>
      <c r="M6986" s="349" t="str">
        <f>N6986&amp;AS[[#This Row],[Insurer Code]]&amp;"; "&amp;O6986&amp;AS[[#This Row],[Reporting Year]]&amp;"; "&amp;P6986&amp;AS[[#This Row],[Insurance Category Code]]&amp;"; "&amp;Q6986&amp;AS[[#This Row],[Large Provider Entity Code]]&amp;"; "&amp;R6986&amp;AS[[#This Row],[Age Band Code]]&amp;"; "&amp;S6986&amp;AS[[#This Row],[Sex Code]]</f>
        <v xml:space="preserve">Insurer Code ; Reporting Year ; Insurance Category Code ; Large Provider Entity Code ; Age Band Code ; Sex Code </v>
      </c>
      <c r="N6986" s="345" t="s">
        <v>207</v>
      </c>
      <c r="O6986" s="345" t="s">
        <v>208</v>
      </c>
      <c r="P6986" s="345" t="s">
        <v>209</v>
      </c>
      <c r="Q6986" s="345" t="s">
        <v>210</v>
      </c>
      <c r="R6986" s="345" t="s">
        <v>223</v>
      </c>
      <c r="S6986" s="345" t="s">
        <v>224</v>
      </c>
    </row>
    <row r="6987" spans="1:19" x14ac:dyDescent="0.25">
      <c r="A6987" s="311"/>
      <c r="B6987" s="312"/>
      <c r="C6987" s="312"/>
      <c r="D6987" s="312"/>
      <c r="E6987" s="312"/>
      <c r="F6987" s="312"/>
      <c r="G6987" s="328"/>
      <c r="H6987" s="453"/>
      <c r="I6987" s="334"/>
      <c r="J6987" s="314"/>
      <c r="K6987" s="454"/>
      <c r="M6987" s="349" t="str">
        <f>N6987&amp;AS[[#This Row],[Insurer Code]]&amp;"; "&amp;O6987&amp;AS[[#This Row],[Reporting Year]]&amp;"; "&amp;P6987&amp;AS[[#This Row],[Insurance Category Code]]&amp;"; "&amp;Q6987&amp;AS[[#This Row],[Large Provider Entity Code]]&amp;"; "&amp;R6987&amp;AS[[#This Row],[Age Band Code]]&amp;"; "&amp;S6987&amp;AS[[#This Row],[Sex Code]]</f>
        <v xml:space="preserve">Insurer Code ; Reporting Year ; Insurance Category Code ; Large Provider Entity Code ; Age Band Code ; Sex Code </v>
      </c>
      <c r="N6987" s="345" t="s">
        <v>207</v>
      </c>
      <c r="O6987" s="345" t="s">
        <v>208</v>
      </c>
      <c r="P6987" s="345" t="s">
        <v>209</v>
      </c>
      <c r="Q6987" s="345" t="s">
        <v>210</v>
      </c>
      <c r="R6987" s="345" t="s">
        <v>223</v>
      </c>
      <c r="S6987" s="345" t="s">
        <v>224</v>
      </c>
    </row>
    <row r="6988" spans="1:19" x14ac:dyDescent="0.25">
      <c r="A6988" s="311"/>
      <c r="B6988" s="312"/>
      <c r="C6988" s="312"/>
      <c r="D6988" s="312"/>
      <c r="E6988" s="312"/>
      <c r="F6988" s="312"/>
      <c r="G6988" s="328"/>
      <c r="H6988" s="453"/>
      <c r="I6988" s="334"/>
      <c r="J6988" s="314"/>
      <c r="K6988" s="454"/>
      <c r="M6988" s="349" t="str">
        <f>N6988&amp;AS[[#This Row],[Insurer Code]]&amp;"; "&amp;O6988&amp;AS[[#This Row],[Reporting Year]]&amp;"; "&amp;P6988&amp;AS[[#This Row],[Insurance Category Code]]&amp;"; "&amp;Q6988&amp;AS[[#This Row],[Large Provider Entity Code]]&amp;"; "&amp;R6988&amp;AS[[#This Row],[Age Band Code]]&amp;"; "&amp;S6988&amp;AS[[#This Row],[Sex Code]]</f>
        <v xml:space="preserve">Insurer Code ; Reporting Year ; Insurance Category Code ; Large Provider Entity Code ; Age Band Code ; Sex Code </v>
      </c>
      <c r="N6988" s="345" t="s">
        <v>207</v>
      </c>
      <c r="O6988" s="345" t="s">
        <v>208</v>
      </c>
      <c r="P6988" s="345" t="s">
        <v>209</v>
      </c>
      <c r="Q6988" s="345" t="s">
        <v>210</v>
      </c>
      <c r="R6988" s="345" t="s">
        <v>223</v>
      </c>
      <c r="S6988" s="345" t="s">
        <v>224</v>
      </c>
    </row>
    <row r="6989" spans="1:19" x14ac:dyDescent="0.25">
      <c r="A6989" s="311"/>
      <c r="B6989" s="312"/>
      <c r="C6989" s="312"/>
      <c r="D6989" s="312"/>
      <c r="E6989" s="312"/>
      <c r="F6989" s="312"/>
      <c r="G6989" s="328"/>
      <c r="H6989" s="453"/>
      <c r="I6989" s="334"/>
      <c r="J6989" s="314"/>
      <c r="K6989" s="454"/>
      <c r="M6989" s="349" t="str">
        <f>N6989&amp;AS[[#This Row],[Insurer Code]]&amp;"; "&amp;O6989&amp;AS[[#This Row],[Reporting Year]]&amp;"; "&amp;P6989&amp;AS[[#This Row],[Insurance Category Code]]&amp;"; "&amp;Q6989&amp;AS[[#This Row],[Large Provider Entity Code]]&amp;"; "&amp;R6989&amp;AS[[#This Row],[Age Band Code]]&amp;"; "&amp;S6989&amp;AS[[#This Row],[Sex Code]]</f>
        <v xml:space="preserve">Insurer Code ; Reporting Year ; Insurance Category Code ; Large Provider Entity Code ; Age Band Code ; Sex Code </v>
      </c>
      <c r="N6989" s="345" t="s">
        <v>207</v>
      </c>
      <c r="O6989" s="345" t="s">
        <v>208</v>
      </c>
      <c r="P6989" s="345" t="s">
        <v>209</v>
      </c>
      <c r="Q6989" s="345" t="s">
        <v>210</v>
      </c>
      <c r="R6989" s="345" t="s">
        <v>223</v>
      </c>
      <c r="S6989" s="345" t="s">
        <v>224</v>
      </c>
    </row>
    <row r="6990" spans="1:19" x14ac:dyDescent="0.25">
      <c r="A6990" s="311"/>
      <c r="B6990" s="312"/>
      <c r="C6990" s="312"/>
      <c r="D6990" s="312"/>
      <c r="E6990" s="312"/>
      <c r="F6990" s="312"/>
      <c r="G6990" s="328"/>
      <c r="H6990" s="453"/>
      <c r="I6990" s="334"/>
      <c r="J6990" s="314"/>
      <c r="K6990" s="454"/>
      <c r="M6990" s="349" t="str">
        <f>N6990&amp;AS[[#This Row],[Insurer Code]]&amp;"; "&amp;O6990&amp;AS[[#This Row],[Reporting Year]]&amp;"; "&amp;P6990&amp;AS[[#This Row],[Insurance Category Code]]&amp;"; "&amp;Q6990&amp;AS[[#This Row],[Large Provider Entity Code]]&amp;"; "&amp;R6990&amp;AS[[#This Row],[Age Band Code]]&amp;"; "&amp;S6990&amp;AS[[#This Row],[Sex Code]]</f>
        <v xml:space="preserve">Insurer Code ; Reporting Year ; Insurance Category Code ; Large Provider Entity Code ; Age Band Code ; Sex Code </v>
      </c>
      <c r="N6990" s="345" t="s">
        <v>207</v>
      </c>
      <c r="O6990" s="345" t="s">
        <v>208</v>
      </c>
      <c r="P6990" s="345" t="s">
        <v>209</v>
      </c>
      <c r="Q6990" s="345" t="s">
        <v>210</v>
      </c>
      <c r="R6990" s="345" t="s">
        <v>223</v>
      </c>
      <c r="S6990" s="345" t="s">
        <v>224</v>
      </c>
    </row>
    <row r="6991" spans="1:19" x14ac:dyDescent="0.25">
      <c r="A6991" s="311"/>
      <c r="B6991" s="312"/>
      <c r="C6991" s="312"/>
      <c r="D6991" s="312"/>
      <c r="E6991" s="312"/>
      <c r="F6991" s="312"/>
      <c r="G6991" s="328"/>
      <c r="H6991" s="453"/>
      <c r="I6991" s="334"/>
      <c r="J6991" s="314"/>
      <c r="K6991" s="454"/>
      <c r="M6991" s="349" t="str">
        <f>N6991&amp;AS[[#This Row],[Insurer Code]]&amp;"; "&amp;O6991&amp;AS[[#This Row],[Reporting Year]]&amp;"; "&amp;P6991&amp;AS[[#This Row],[Insurance Category Code]]&amp;"; "&amp;Q6991&amp;AS[[#This Row],[Large Provider Entity Code]]&amp;"; "&amp;R6991&amp;AS[[#This Row],[Age Band Code]]&amp;"; "&amp;S6991&amp;AS[[#This Row],[Sex Code]]</f>
        <v xml:space="preserve">Insurer Code ; Reporting Year ; Insurance Category Code ; Large Provider Entity Code ; Age Band Code ; Sex Code </v>
      </c>
      <c r="N6991" s="345" t="s">
        <v>207</v>
      </c>
      <c r="O6991" s="345" t="s">
        <v>208</v>
      </c>
      <c r="P6991" s="345" t="s">
        <v>209</v>
      </c>
      <c r="Q6991" s="345" t="s">
        <v>210</v>
      </c>
      <c r="R6991" s="345" t="s">
        <v>223</v>
      </c>
      <c r="S6991" s="345" t="s">
        <v>224</v>
      </c>
    </row>
    <row r="6992" spans="1:19" x14ac:dyDescent="0.25">
      <c r="A6992" s="311"/>
      <c r="B6992" s="312"/>
      <c r="C6992" s="312"/>
      <c r="D6992" s="312"/>
      <c r="E6992" s="312"/>
      <c r="F6992" s="312"/>
      <c r="G6992" s="328"/>
      <c r="H6992" s="453"/>
      <c r="I6992" s="334"/>
      <c r="J6992" s="314"/>
      <c r="K6992" s="454"/>
      <c r="M6992" s="349" t="str">
        <f>N6992&amp;AS[[#This Row],[Insurer Code]]&amp;"; "&amp;O6992&amp;AS[[#This Row],[Reporting Year]]&amp;"; "&amp;P6992&amp;AS[[#This Row],[Insurance Category Code]]&amp;"; "&amp;Q6992&amp;AS[[#This Row],[Large Provider Entity Code]]&amp;"; "&amp;R6992&amp;AS[[#This Row],[Age Band Code]]&amp;"; "&amp;S6992&amp;AS[[#This Row],[Sex Code]]</f>
        <v xml:space="preserve">Insurer Code ; Reporting Year ; Insurance Category Code ; Large Provider Entity Code ; Age Band Code ; Sex Code </v>
      </c>
      <c r="N6992" s="345" t="s">
        <v>207</v>
      </c>
      <c r="O6992" s="345" t="s">
        <v>208</v>
      </c>
      <c r="P6992" s="345" t="s">
        <v>209</v>
      </c>
      <c r="Q6992" s="345" t="s">
        <v>210</v>
      </c>
      <c r="R6992" s="345" t="s">
        <v>223</v>
      </c>
      <c r="S6992" s="345" t="s">
        <v>224</v>
      </c>
    </row>
    <row r="6993" spans="1:19" x14ac:dyDescent="0.25">
      <c r="A6993" s="311"/>
      <c r="B6993" s="312"/>
      <c r="C6993" s="312"/>
      <c r="D6993" s="312"/>
      <c r="E6993" s="312"/>
      <c r="F6993" s="312"/>
      <c r="G6993" s="328"/>
      <c r="H6993" s="453"/>
      <c r="I6993" s="334"/>
      <c r="J6993" s="314"/>
      <c r="K6993" s="454"/>
      <c r="M6993" s="349" t="str">
        <f>N6993&amp;AS[[#This Row],[Insurer Code]]&amp;"; "&amp;O6993&amp;AS[[#This Row],[Reporting Year]]&amp;"; "&amp;P6993&amp;AS[[#This Row],[Insurance Category Code]]&amp;"; "&amp;Q6993&amp;AS[[#This Row],[Large Provider Entity Code]]&amp;"; "&amp;R6993&amp;AS[[#This Row],[Age Band Code]]&amp;"; "&amp;S6993&amp;AS[[#This Row],[Sex Code]]</f>
        <v xml:space="preserve">Insurer Code ; Reporting Year ; Insurance Category Code ; Large Provider Entity Code ; Age Band Code ; Sex Code </v>
      </c>
      <c r="N6993" s="345" t="s">
        <v>207</v>
      </c>
      <c r="O6993" s="345" t="s">
        <v>208</v>
      </c>
      <c r="P6993" s="345" t="s">
        <v>209</v>
      </c>
      <c r="Q6993" s="345" t="s">
        <v>210</v>
      </c>
      <c r="R6993" s="345" t="s">
        <v>223</v>
      </c>
      <c r="S6993" s="345" t="s">
        <v>224</v>
      </c>
    </row>
    <row r="6994" spans="1:19" x14ac:dyDescent="0.25">
      <c r="A6994" s="311"/>
      <c r="B6994" s="312"/>
      <c r="C6994" s="312"/>
      <c r="D6994" s="312"/>
      <c r="E6994" s="312"/>
      <c r="F6994" s="312"/>
      <c r="G6994" s="328"/>
      <c r="H6994" s="453"/>
      <c r="I6994" s="334"/>
      <c r="J6994" s="314"/>
      <c r="K6994" s="454"/>
      <c r="M6994" s="349" t="str">
        <f>N6994&amp;AS[[#This Row],[Insurer Code]]&amp;"; "&amp;O6994&amp;AS[[#This Row],[Reporting Year]]&amp;"; "&amp;P6994&amp;AS[[#This Row],[Insurance Category Code]]&amp;"; "&amp;Q6994&amp;AS[[#This Row],[Large Provider Entity Code]]&amp;"; "&amp;R6994&amp;AS[[#This Row],[Age Band Code]]&amp;"; "&amp;S6994&amp;AS[[#This Row],[Sex Code]]</f>
        <v xml:space="preserve">Insurer Code ; Reporting Year ; Insurance Category Code ; Large Provider Entity Code ; Age Band Code ; Sex Code </v>
      </c>
      <c r="N6994" s="345" t="s">
        <v>207</v>
      </c>
      <c r="O6994" s="345" t="s">
        <v>208</v>
      </c>
      <c r="P6994" s="345" t="s">
        <v>209</v>
      </c>
      <c r="Q6994" s="345" t="s">
        <v>210</v>
      </c>
      <c r="R6994" s="345" t="s">
        <v>223</v>
      </c>
      <c r="S6994" s="345" t="s">
        <v>224</v>
      </c>
    </row>
    <row r="6995" spans="1:19" x14ac:dyDescent="0.25">
      <c r="A6995" s="311"/>
      <c r="B6995" s="312"/>
      <c r="C6995" s="312"/>
      <c r="D6995" s="312"/>
      <c r="E6995" s="312"/>
      <c r="F6995" s="312"/>
      <c r="G6995" s="328"/>
      <c r="H6995" s="453"/>
      <c r="I6995" s="334"/>
      <c r="J6995" s="314"/>
      <c r="K6995" s="454"/>
      <c r="M6995" s="349" t="str">
        <f>N6995&amp;AS[[#This Row],[Insurer Code]]&amp;"; "&amp;O6995&amp;AS[[#This Row],[Reporting Year]]&amp;"; "&amp;P6995&amp;AS[[#This Row],[Insurance Category Code]]&amp;"; "&amp;Q6995&amp;AS[[#This Row],[Large Provider Entity Code]]&amp;"; "&amp;R6995&amp;AS[[#This Row],[Age Band Code]]&amp;"; "&amp;S6995&amp;AS[[#This Row],[Sex Code]]</f>
        <v xml:space="preserve">Insurer Code ; Reporting Year ; Insurance Category Code ; Large Provider Entity Code ; Age Band Code ; Sex Code </v>
      </c>
      <c r="N6995" s="345" t="s">
        <v>207</v>
      </c>
      <c r="O6995" s="345" t="s">
        <v>208</v>
      </c>
      <c r="P6995" s="345" t="s">
        <v>209</v>
      </c>
      <c r="Q6995" s="345" t="s">
        <v>210</v>
      </c>
      <c r="R6995" s="345" t="s">
        <v>223</v>
      </c>
      <c r="S6995" s="345" t="s">
        <v>224</v>
      </c>
    </row>
    <row r="6996" spans="1:19" x14ac:dyDescent="0.25">
      <c r="A6996" s="311"/>
      <c r="B6996" s="312"/>
      <c r="C6996" s="312"/>
      <c r="D6996" s="312"/>
      <c r="E6996" s="312"/>
      <c r="F6996" s="312"/>
      <c r="G6996" s="328"/>
      <c r="H6996" s="453"/>
      <c r="I6996" s="334"/>
      <c r="J6996" s="314"/>
      <c r="K6996" s="454"/>
      <c r="M6996" s="349" t="str">
        <f>N6996&amp;AS[[#This Row],[Insurer Code]]&amp;"; "&amp;O6996&amp;AS[[#This Row],[Reporting Year]]&amp;"; "&amp;P6996&amp;AS[[#This Row],[Insurance Category Code]]&amp;"; "&amp;Q6996&amp;AS[[#This Row],[Large Provider Entity Code]]&amp;"; "&amp;R6996&amp;AS[[#This Row],[Age Band Code]]&amp;"; "&amp;S6996&amp;AS[[#This Row],[Sex Code]]</f>
        <v xml:space="preserve">Insurer Code ; Reporting Year ; Insurance Category Code ; Large Provider Entity Code ; Age Band Code ; Sex Code </v>
      </c>
      <c r="N6996" s="345" t="s">
        <v>207</v>
      </c>
      <c r="O6996" s="345" t="s">
        <v>208</v>
      </c>
      <c r="P6996" s="345" t="s">
        <v>209</v>
      </c>
      <c r="Q6996" s="345" t="s">
        <v>210</v>
      </c>
      <c r="R6996" s="345" t="s">
        <v>223</v>
      </c>
      <c r="S6996" s="345" t="s">
        <v>224</v>
      </c>
    </row>
    <row r="6997" spans="1:19" x14ac:dyDescent="0.25">
      <c r="A6997" s="311"/>
      <c r="B6997" s="312"/>
      <c r="C6997" s="312"/>
      <c r="D6997" s="312"/>
      <c r="E6997" s="312"/>
      <c r="F6997" s="312"/>
      <c r="G6997" s="328"/>
      <c r="H6997" s="453"/>
      <c r="I6997" s="334"/>
      <c r="J6997" s="314"/>
      <c r="K6997" s="454"/>
      <c r="M6997" s="349" t="str">
        <f>N6997&amp;AS[[#This Row],[Insurer Code]]&amp;"; "&amp;O6997&amp;AS[[#This Row],[Reporting Year]]&amp;"; "&amp;P6997&amp;AS[[#This Row],[Insurance Category Code]]&amp;"; "&amp;Q6997&amp;AS[[#This Row],[Large Provider Entity Code]]&amp;"; "&amp;R6997&amp;AS[[#This Row],[Age Band Code]]&amp;"; "&amp;S6997&amp;AS[[#This Row],[Sex Code]]</f>
        <v xml:space="preserve">Insurer Code ; Reporting Year ; Insurance Category Code ; Large Provider Entity Code ; Age Band Code ; Sex Code </v>
      </c>
      <c r="N6997" s="345" t="s">
        <v>207</v>
      </c>
      <c r="O6997" s="345" t="s">
        <v>208</v>
      </c>
      <c r="P6997" s="345" t="s">
        <v>209</v>
      </c>
      <c r="Q6997" s="345" t="s">
        <v>210</v>
      </c>
      <c r="R6997" s="345" t="s">
        <v>223</v>
      </c>
      <c r="S6997" s="345" t="s">
        <v>224</v>
      </c>
    </row>
    <row r="6998" spans="1:19" x14ac:dyDescent="0.25">
      <c r="A6998" s="311"/>
      <c r="B6998" s="312"/>
      <c r="C6998" s="312"/>
      <c r="D6998" s="312"/>
      <c r="E6998" s="312"/>
      <c r="F6998" s="312"/>
      <c r="G6998" s="328"/>
      <c r="H6998" s="453"/>
      <c r="I6998" s="334"/>
      <c r="J6998" s="314"/>
      <c r="K6998" s="454"/>
      <c r="M6998" s="349" t="str">
        <f>N6998&amp;AS[[#This Row],[Insurer Code]]&amp;"; "&amp;O6998&amp;AS[[#This Row],[Reporting Year]]&amp;"; "&amp;P6998&amp;AS[[#This Row],[Insurance Category Code]]&amp;"; "&amp;Q6998&amp;AS[[#This Row],[Large Provider Entity Code]]&amp;"; "&amp;R6998&amp;AS[[#This Row],[Age Band Code]]&amp;"; "&amp;S6998&amp;AS[[#This Row],[Sex Code]]</f>
        <v xml:space="preserve">Insurer Code ; Reporting Year ; Insurance Category Code ; Large Provider Entity Code ; Age Band Code ; Sex Code </v>
      </c>
      <c r="N6998" s="345" t="s">
        <v>207</v>
      </c>
      <c r="O6998" s="345" t="s">
        <v>208</v>
      </c>
      <c r="P6998" s="345" t="s">
        <v>209</v>
      </c>
      <c r="Q6998" s="345" t="s">
        <v>210</v>
      </c>
      <c r="R6998" s="345" t="s">
        <v>223</v>
      </c>
      <c r="S6998" s="345" t="s">
        <v>224</v>
      </c>
    </row>
    <row r="6999" spans="1:19" x14ac:dyDescent="0.25">
      <c r="A6999" s="311"/>
      <c r="B6999" s="312"/>
      <c r="C6999" s="312"/>
      <c r="D6999" s="312"/>
      <c r="E6999" s="312"/>
      <c r="F6999" s="312"/>
      <c r="G6999" s="328"/>
      <c r="H6999" s="453"/>
      <c r="I6999" s="334"/>
      <c r="J6999" s="314"/>
      <c r="K6999" s="454"/>
      <c r="M6999" s="349" t="str">
        <f>N6999&amp;AS[[#This Row],[Insurer Code]]&amp;"; "&amp;O6999&amp;AS[[#This Row],[Reporting Year]]&amp;"; "&amp;P6999&amp;AS[[#This Row],[Insurance Category Code]]&amp;"; "&amp;Q6999&amp;AS[[#This Row],[Large Provider Entity Code]]&amp;"; "&amp;R6999&amp;AS[[#This Row],[Age Band Code]]&amp;"; "&amp;S6999&amp;AS[[#This Row],[Sex Code]]</f>
        <v xml:space="preserve">Insurer Code ; Reporting Year ; Insurance Category Code ; Large Provider Entity Code ; Age Band Code ; Sex Code </v>
      </c>
      <c r="N6999" s="345" t="s">
        <v>207</v>
      </c>
      <c r="O6999" s="345" t="s">
        <v>208</v>
      </c>
      <c r="P6999" s="345" t="s">
        <v>209</v>
      </c>
      <c r="Q6999" s="345" t="s">
        <v>210</v>
      </c>
      <c r="R6999" s="345" t="s">
        <v>223</v>
      </c>
      <c r="S6999" s="345" t="s">
        <v>224</v>
      </c>
    </row>
    <row r="7000" spans="1:19" x14ac:dyDescent="0.25">
      <c r="A7000" s="311"/>
      <c r="B7000" s="312"/>
      <c r="C7000" s="312"/>
      <c r="D7000" s="312"/>
      <c r="E7000" s="312"/>
      <c r="F7000" s="312"/>
      <c r="G7000" s="328"/>
      <c r="H7000" s="453"/>
      <c r="I7000" s="334"/>
      <c r="J7000" s="314"/>
      <c r="K7000" s="454"/>
      <c r="M7000" s="349" t="str">
        <f>N7000&amp;AS[[#This Row],[Insurer Code]]&amp;"; "&amp;O7000&amp;AS[[#This Row],[Reporting Year]]&amp;"; "&amp;P7000&amp;AS[[#This Row],[Insurance Category Code]]&amp;"; "&amp;Q7000&amp;AS[[#This Row],[Large Provider Entity Code]]&amp;"; "&amp;R7000&amp;AS[[#This Row],[Age Band Code]]&amp;"; "&amp;S7000&amp;AS[[#This Row],[Sex Code]]</f>
        <v xml:space="preserve">Insurer Code ; Reporting Year ; Insurance Category Code ; Large Provider Entity Code ; Age Band Code ; Sex Code </v>
      </c>
      <c r="N7000" s="345" t="s">
        <v>207</v>
      </c>
      <c r="O7000" s="345" t="s">
        <v>208</v>
      </c>
      <c r="P7000" s="345" t="s">
        <v>209</v>
      </c>
      <c r="Q7000" s="345" t="s">
        <v>210</v>
      </c>
      <c r="R7000" s="345" t="s">
        <v>223</v>
      </c>
      <c r="S7000" s="345" t="s">
        <v>224</v>
      </c>
    </row>
    <row r="7001" spans="1:19" x14ac:dyDescent="0.25">
      <c r="A7001" s="311"/>
      <c r="B7001" s="312"/>
      <c r="C7001" s="312"/>
      <c r="D7001" s="312"/>
      <c r="E7001" s="312"/>
      <c r="F7001" s="312"/>
      <c r="G7001" s="328"/>
      <c r="H7001" s="453"/>
      <c r="I7001" s="334"/>
      <c r="J7001" s="314"/>
      <c r="K7001" s="454"/>
      <c r="M7001" s="349" t="str">
        <f>N7001&amp;AS[[#This Row],[Insurer Code]]&amp;"; "&amp;O7001&amp;AS[[#This Row],[Reporting Year]]&amp;"; "&amp;P7001&amp;AS[[#This Row],[Insurance Category Code]]&amp;"; "&amp;Q7001&amp;AS[[#This Row],[Large Provider Entity Code]]&amp;"; "&amp;R7001&amp;AS[[#This Row],[Age Band Code]]&amp;"; "&amp;S7001&amp;AS[[#This Row],[Sex Code]]</f>
        <v xml:space="preserve">Insurer Code ; Reporting Year ; Insurance Category Code ; Large Provider Entity Code ; Age Band Code ; Sex Code </v>
      </c>
      <c r="N7001" s="345" t="s">
        <v>207</v>
      </c>
      <c r="O7001" s="345" t="s">
        <v>208</v>
      </c>
      <c r="P7001" s="345" t="s">
        <v>209</v>
      </c>
      <c r="Q7001" s="345" t="s">
        <v>210</v>
      </c>
      <c r="R7001" s="345" t="s">
        <v>223</v>
      </c>
      <c r="S7001" s="345" t="s">
        <v>224</v>
      </c>
    </row>
    <row r="7002" spans="1:19" x14ac:dyDescent="0.25">
      <c r="A7002" s="311"/>
      <c r="B7002" s="312"/>
      <c r="C7002" s="312"/>
      <c r="D7002" s="312"/>
      <c r="E7002" s="312"/>
      <c r="F7002" s="312"/>
      <c r="G7002" s="328"/>
      <c r="H7002" s="453"/>
      <c r="I7002" s="334"/>
      <c r="J7002" s="314"/>
      <c r="K7002" s="454"/>
      <c r="M7002" s="349" t="str">
        <f>N7002&amp;AS[[#This Row],[Insurer Code]]&amp;"; "&amp;O7002&amp;AS[[#This Row],[Reporting Year]]&amp;"; "&amp;P7002&amp;AS[[#This Row],[Insurance Category Code]]&amp;"; "&amp;Q7002&amp;AS[[#This Row],[Large Provider Entity Code]]&amp;"; "&amp;R7002&amp;AS[[#This Row],[Age Band Code]]&amp;"; "&amp;S7002&amp;AS[[#This Row],[Sex Code]]</f>
        <v xml:space="preserve">Insurer Code ; Reporting Year ; Insurance Category Code ; Large Provider Entity Code ; Age Band Code ; Sex Code </v>
      </c>
      <c r="N7002" s="345" t="s">
        <v>207</v>
      </c>
      <c r="O7002" s="345" t="s">
        <v>208</v>
      </c>
      <c r="P7002" s="345" t="s">
        <v>209</v>
      </c>
      <c r="Q7002" s="345" t="s">
        <v>210</v>
      </c>
      <c r="R7002" s="345" t="s">
        <v>223</v>
      </c>
      <c r="S7002" s="345" t="s">
        <v>224</v>
      </c>
    </row>
    <row r="7003" spans="1:19" x14ac:dyDescent="0.25">
      <c r="A7003" s="311"/>
      <c r="B7003" s="312"/>
      <c r="C7003" s="312"/>
      <c r="D7003" s="312"/>
      <c r="E7003" s="312"/>
      <c r="F7003" s="312"/>
      <c r="G7003" s="328"/>
      <c r="H7003" s="453"/>
      <c r="I7003" s="334"/>
      <c r="J7003" s="314"/>
      <c r="K7003" s="454"/>
      <c r="M7003" s="349" t="str">
        <f>N7003&amp;AS[[#This Row],[Insurer Code]]&amp;"; "&amp;O7003&amp;AS[[#This Row],[Reporting Year]]&amp;"; "&amp;P7003&amp;AS[[#This Row],[Insurance Category Code]]&amp;"; "&amp;Q7003&amp;AS[[#This Row],[Large Provider Entity Code]]&amp;"; "&amp;R7003&amp;AS[[#This Row],[Age Band Code]]&amp;"; "&amp;S7003&amp;AS[[#This Row],[Sex Code]]</f>
        <v xml:space="preserve">Insurer Code ; Reporting Year ; Insurance Category Code ; Large Provider Entity Code ; Age Band Code ; Sex Code </v>
      </c>
      <c r="N7003" s="345" t="s">
        <v>207</v>
      </c>
      <c r="O7003" s="345" t="s">
        <v>208</v>
      </c>
      <c r="P7003" s="345" t="s">
        <v>209</v>
      </c>
      <c r="Q7003" s="345" t="s">
        <v>210</v>
      </c>
      <c r="R7003" s="345" t="s">
        <v>223</v>
      </c>
      <c r="S7003" s="345" t="s">
        <v>224</v>
      </c>
    </row>
    <row r="7004" spans="1:19" x14ac:dyDescent="0.25">
      <c r="A7004" s="311"/>
      <c r="B7004" s="312"/>
      <c r="C7004" s="312"/>
      <c r="D7004" s="312"/>
      <c r="E7004" s="312"/>
      <c r="F7004" s="312"/>
      <c r="G7004" s="328"/>
      <c r="H7004" s="453"/>
      <c r="I7004" s="334"/>
      <c r="J7004" s="314"/>
      <c r="K7004" s="454"/>
      <c r="M7004" s="349" t="str">
        <f>N7004&amp;AS[[#This Row],[Insurer Code]]&amp;"; "&amp;O7004&amp;AS[[#This Row],[Reporting Year]]&amp;"; "&amp;P7004&amp;AS[[#This Row],[Insurance Category Code]]&amp;"; "&amp;Q7004&amp;AS[[#This Row],[Large Provider Entity Code]]&amp;"; "&amp;R7004&amp;AS[[#This Row],[Age Band Code]]&amp;"; "&amp;S7004&amp;AS[[#This Row],[Sex Code]]</f>
        <v xml:space="preserve">Insurer Code ; Reporting Year ; Insurance Category Code ; Large Provider Entity Code ; Age Band Code ; Sex Code </v>
      </c>
      <c r="N7004" s="345" t="s">
        <v>207</v>
      </c>
      <c r="O7004" s="345" t="s">
        <v>208</v>
      </c>
      <c r="P7004" s="345" t="s">
        <v>209</v>
      </c>
      <c r="Q7004" s="345" t="s">
        <v>210</v>
      </c>
      <c r="R7004" s="345" t="s">
        <v>223</v>
      </c>
      <c r="S7004" s="345" t="s">
        <v>224</v>
      </c>
    </row>
    <row r="7005" spans="1:19" x14ac:dyDescent="0.25">
      <c r="A7005" s="311"/>
      <c r="B7005" s="312"/>
      <c r="C7005" s="312"/>
      <c r="D7005" s="312"/>
      <c r="E7005" s="312"/>
      <c r="F7005" s="312"/>
      <c r="G7005" s="328"/>
      <c r="H7005" s="453"/>
      <c r="I7005" s="334"/>
      <c r="J7005" s="314"/>
      <c r="K7005" s="454"/>
      <c r="M7005" s="349" t="str">
        <f>N7005&amp;AS[[#This Row],[Insurer Code]]&amp;"; "&amp;O7005&amp;AS[[#This Row],[Reporting Year]]&amp;"; "&amp;P7005&amp;AS[[#This Row],[Insurance Category Code]]&amp;"; "&amp;Q7005&amp;AS[[#This Row],[Large Provider Entity Code]]&amp;"; "&amp;R7005&amp;AS[[#This Row],[Age Band Code]]&amp;"; "&amp;S7005&amp;AS[[#This Row],[Sex Code]]</f>
        <v xml:space="preserve">Insurer Code ; Reporting Year ; Insurance Category Code ; Large Provider Entity Code ; Age Band Code ; Sex Code </v>
      </c>
      <c r="N7005" s="345" t="s">
        <v>207</v>
      </c>
      <c r="O7005" s="345" t="s">
        <v>208</v>
      </c>
      <c r="P7005" s="345" t="s">
        <v>209</v>
      </c>
      <c r="Q7005" s="345" t="s">
        <v>210</v>
      </c>
      <c r="R7005" s="345" t="s">
        <v>223</v>
      </c>
      <c r="S7005" s="345" t="s">
        <v>224</v>
      </c>
    </row>
    <row r="7006" spans="1:19" x14ac:dyDescent="0.25">
      <c r="A7006" s="311"/>
      <c r="B7006" s="312"/>
      <c r="C7006" s="312"/>
      <c r="D7006" s="312"/>
      <c r="E7006" s="312"/>
      <c r="F7006" s="312"/>
      <c r="G7006" s="328"/>
      <c r="H7006" s="453"/>
      <c r="I7006" s="334"/>
      <c r="J7006" s="314"/>
      <c r="K7006" s="454"/>
      <c r="M7006" s="349" t="str">
        <f>N7006&amp;AS[[#This Row],[Insurer Code]]&amp;"; "&amp;O7006&amp;AS[[#This Row],[Reporting Year]]&amp;"; "&amp;P7006&amp;AS[[#This Row],[Insurance Category Code]]&amp;"; "&amp;Q7006&amp;AS[[#This Row],[Large Provider Entity Code]]&amp;"; "&amp;R7006&amp;AS[[#This Row],[Age Band Code]]&amp;"; "&amp;S7006&amp;AS[[#This Row],[Sex Code]]</f>
        <v xml:space="preserve">Insurer Code ; Reporting Year ; Insurance Category Code ; Large Provider Entity Code ; Age Band Code ; Sex Code </v>
      </c>
      <c r="N7006" s="345" t="s">
        <v>207</v>
      </c>
      <c r="O7006" s="345" t="s">
        <v>208</v>
      </c>
      <c r="P7006" s="345" t="s">
        <v>209</v>
      </c>
      <c r="Q7006" s="345" t="s">
        <v>210</v>
      </c>
      <c r="R7006" s="345" t="s">
        <v>223</v>
      </c>
      <c r="S7006" s="345" t="s">
        <v>224</v>
      </c>
    </row>
    <row r="7007" spans="1:19" x14ac:dyDescent="0.25">
      <c r="A7007" s="311"/>
      <c r="B7007" s="312"/>
      <c r="C7007" s="312"/>
      <c r="D7007" s="312"/>
      <c r="E7007" s="312"/>
      <c r="F7007" s="312"/>
      <c r="G7007" s="328"/>
      <c r="H7007" s="453"/>
      <c r="I7007" s="334"/>
      <c r="J7007" s="314"/>
      <c r="K7007" s="454"/>
      <c r="M7007" s="349" t="str">
        <f>N7007&amp;AS[[#This Row],[Insurer Code]]&amp;"; "&amp;O7007&amp;AS[[#This Row],[Reporting Year]]&amp;"; "&amp;P7007&amp;AS[[#This Row],[Insurance Category Code]]&amp;"; "&amp;Q7007&amp;AS[[#This Row],[Large Provider Entity Code]]&amp;"; "&amp;R7007&amp;AS[[#This Row],[Age Band Code]]&amp;"; "&amp;S7007&amp;AS[[#This Row],[Sex Code]]</f>
        <v xml:space="preserve">Insurer Code ; Reporting Year ; Insurance Category Code ; Large Provider Entity Code ; Age Band Code ; Sex Code </v>
      </c>
      <c r="N7007" s="345" t="s">
        <v>207</v>
      </c>
      <c r="O7007" s="345" t="s">
        <v>208</v>
      </c>
      <c r="P7007" s="345" t="s">
        <v>209</v>
      </c>
      <c r="Q7007" s="345" t="s">
        <v>210</v>
      </c>
      <c r="R7007" s="345" t="s">
        <v>223</v>
      </c>
      <c r="S7007" s="345" t="s">
        <v>224</v>
      </c>
    </row>
    <row r="7008" spans="1:19" x14ac:dyDescent="0.25">
      <c r="A7008" s="311"/>
      <c r="B7008" s="312"/>
      <c r="C7008" s="312"/>
      <c r="D7008" s="312"/>
      <c r="E7008" s="312"/>
      <c r="F7008" s="312"/>
      <c r="G7008" s="328"/>
      <c r="H7008" s="453"/>
      <c r="I7008" s="334"/>
      <c r="J7008" s="314"/>
      <c r="K7008" s="454"/>
      <c r="M7008" s="349" t="str">
        <f>N7008&amp;AS[[#This Row],[Insurer Code]]&amp;"; "&amp;O7008&amp;AS[[#This Row],[Reporting Year]]&amp;"; "&amp;P7008&amp;AS[[#This Row],[Insurance Category Code]]&amp;"; "&amp;Q7008&amp;AS[[#This Row],[Large Provider Entity Code]]&amp;"; "&amp;R7008&amp;AS[[#This Row],[Age Band Code]]&amp;"; "&amp;S7008&amp;AS[[#This Row],[Sex Code]]</f>
        <v xml:space="preserve">Insurer Code ; Reporting Year ; Insurance Category Code ; Large Provider Entity Code ; Age Band Code ; Sex Code </v>
      </c>
      <c r="N7008" s="345" t="s">
        <v>207</v>
      </c>
      <c r="O7008" s="345" t="s">
        <v>208</v>
      </c>
      <c r="P7008" s="345" t="s">
        <v>209</v>
      </c>
      <c r="Q7008" s="345" t="s">
        <v>210</v>
      </c>
      <c r="R7008" s="345" t="s">
        <v>223</v>
      </c>
      <c r="S7008" s="345" t="s">
        <v>224</v>
      </c>
    </row>
    <row r="7009" spans="1:19" x14ac:dyDescent="0.25">
      <c r="A7009" s="311"/>
      <c r="B7009" s="312"/>
      <c r="C7009" s="312"/>
      <c r="D7009" s="312"/>
      <c r="E7009" s="312"/>
      <c r="F7009" s="312"/>
      <c r="G7009" s="328"/>
      <c r="H7009" s="453"/>
      <c r="I7009" s="334"/>
      <c r="J7009" s="314"/>
      <c r="K7009" s="454"/>
      <c r="M7009" s="349" t="str">
        <f>N7009&amp;AS[[#This Row],[Insurer Code]]&amp;"; "&amp;O7009&amp;AS[[#This Row],[Reporting Year]]&amp;"; "&amp;P7009&amp;AS[[#This Row],[Insurance Category Code]]&amp;"; "&amp;Q7009&amp;AS[[#This Row],[Large Provider Entity Code]]&amp;"; "&amp;R7009&amp;AS[[#This Row],[Age Band Code]]&amp;"; "&amp;S7009&amp;AS[[#This Row],[Sex Code]]</f>
        <v xml:space="preserve">Insurer Code ; Reporting Year ; Insurance Category Code ; Large Provider Entity Code ; Age Band Code ; Sex Code </v>
      </c>
      <c r="N7009" s="345" t="s">
        <v>207</v>
      </c>
      <c r="O7009" s="345" t="s">
        <v>208</v>
      </c>
      <c r="P7009" s="345" t="s">
        <v>209</v>
      </c>
      <c r="Q7009" s="345" t="s">
        <v>210</v>
      </c>
      <c r="R7009" s="345" t="s">
        <v>223</v>
      </c>
      <c r="S7009" s="345" t="s">
        <v>224</v>
      </c>
    </row>
    <row r="7010" spans="1:19" x14ac:dyDescent="0.25">
      <c r="A7010" s="311"/>
      <c r="B7010" s="312"/>
      <c r="C7010" s="312"/>
      <c r="D7010" s="312"/>
      <c r="E7010" s="312"/>
      <c r="F7010" s="312"/>
      <c r="G7010" s="328"/>
      <c r="H7010" s="453"/>
      <c r="I7010" s="334"/>
      <c r="J7010" s="314"/>
      <c r="K7010" s="454"/>
      <c r="M7010" s="349" t="str">
        <f>N7010&amp;AS[[#This Row],[Insurer Code]]&amp;"; "&amp;O7010&amp;AS[[#This Row],[Reporting Year]]&amp;"; "&amp;P7010&amp;AS[[#This Row],[Insurance Category Code]]&amp;"; "&amp;Q7010&amp;AS[[#This Row],[Large Provider Entity Code]]&amp;"; "&amp;R7010&amp;AS[[#This Row],[Age Band Code]]&amp;"; "&amp;S7010&amp;AS[[#This Row],[Sex Code]]</f>
        <v xml:space="preserve">Insurer Code ; Reporting Year ; Insurance Category Code ; Large Provider Entity Code ; Age Band Code ; Sex Code </v>
      </c>
      <c r="N7010" s="345" t="s">
        <v>207</v>
      </c>
      <c r="O7010" s="345" t="s">
        <v>208</v>
      </c>
      <c r="P7010" s="345" t="s">
        <v>209</v>
      </c>
      <c r="Q7010" s="345" t="s">
        <v>210</v>
      </c>
      <c r="R7010" s="345" t="s">
        <v>223</v>
      </c>
      <c r="S7010" s="345" t="s">
        <v>224</v>
      </c>
    </row>
    <row r="7011" spans="1:19" x14ac:dyDescent="0.25">
      <c r="A7011" s="311"/>
      <c r="B7011" s="312"/>
      <c r="C7011" s="312"/>
      <c r="D7011" s="312"/>
      <c r="E7011" s="312"/>
      <c r="F7011" s="312"/>
      <c r="G7011" s="328"/>
      <c r="H7011" s="453"/>
      <c r="I7011" s="334"/>
      <c r="J7011" s="314"/>
      <c r="K7011" s="454"/>
      <c r="M7011" s="349" t="str">
        <f>N7011&amp;AS[[#This Row],[Insurer Code]]&amp;"; "&amp;O7011&amp;AS[[#This Row],[Reporting Year]]&amp;"; "&amp;P7011&amp;AS[[#This Row],[Insurance Category Code]]&amp;"; "&amp;Q7011&amp;AS[[#This Row],[Large Provider Entity Code]]&amp;"; "&amp;R7011&amp;AS[[#This Row],[Age Band Code]]&amp;"; "&amp;S7011&amp;AS[[#This Row],[Sex Code]]</f>
        <v xml:space="preserve">Insurer Code ; Reporting Year ; Insurance Category Code ; Large Provider Entity Code ; Age Band Code ; Sex Code </v>
      </c>
      <c r="N7011" s="345" t="s">
        <v>207</v>
      </c>
      <c r="O7011" s="345" t="s">
        <v>208</v>
      </c>
      <c r="P7011" s="345" t="s">
        <v>209</v>
      </c>
      <c r="Q7011" s="345" t="s">
        <v>210</v>
      </c>
      <c r="R7011" s="345" t="s">
        <v>223</v>
      </c>
      <c r="S7011" s="345" t="s">
        <v>224</v>
      </c>
    </row>
    <row r="7012" spans="1:19" x14ac:dyDescent="0.25">
      <c r="A7012" s="311"/>
      <c r="B7012" s="312"/>
      <c r="C7012" s="312"/>
      <c r="D7012" s="312"/>
      <c r="E7012" s="312"/>
      <c r="F7012" s="312"/>
      <c r="G7012" s="328"/>
      <c r="H7012" s="453"/>
      <c r="I7012" s="334"/>
      <c r="J7012" s="314"/>
      <c r="K7012" s="454"/>
      <c r="M7012" s="349" t="str">
        <f>N7012&amp;AS[[#This Row],[Insurer Code]]&amp;"; "&amp;O7012&amp;AS[[#This Row],[Reporting Year]]&amp;"; "&amp;P7012&amp;AS[[#This Row],[Insurance Category Code]]&amp;"; "&amp;Q7012&amp;AS[[#This Row],[Large Provider Entity Code]]&amp;"; "&amp;R7012&amp;AS[[#This Row],[Age Band Code]]&amp;"; "&amp;S7012&amp;AS[[#This Row],[Sex Code]]</f>
        <v xml:space="preserve">Insurer Code ; Reporting Year ; Insurance Category Code ; Large Provider Entity Code ; Age Band Code ; Sex Code </v>
      </c>
      <c r="N7012" s="345" t="s">
        <v>207</v>
      </c>
      <c r="O7012" s="345" t="s">
        <v>208</v>
      </c>
      <c r="P7012" s="345" t="s">
        <v>209</v>
      </c>
      <c r="Q7012" s="345" t="s">
        <v>210</v>
      </c>
      <c r="R7012" s="345" t="s">
        <v>223</v>
      </c>
      <c r="S7012" s="345" t="s">
        <v>224</v>
      </c>
    </row>
    <row r="7013" spans="1:19" x14ac:dyDescent="0.25">
      <c r="A7013" s="311"/>
      <c r="B7013" s="312"/>
      <c r="C7013" s="312"/>
      <c r="D7013" s="312"/>
      <c r="E7013" s="312"/>
      <c r="F7013" s="312"/>
      <c r="G7013" s="328"/>
      <c r="H7013" s="453"/>
      <c r="I7013" s="334"/>
      <c r="J7013" s="314"/>
      <c r="K7013" s="454"/>
      <c r="M7013" s="349" t="str">
        <f>N7013&amp;AS[[#This Row],[Insurer Code]]&amp;"; "&amp;O7013&amp;AS[[#This Row],[Reporting Year]]&amp;"; "&amp;P7013&amp;AS[[#This Row],[Insurance Category Code]]&amp;"; "&amp;Q7013&amp;AS[[#This Row],[Large Provider Entity Code]]&amp;"; "&amp;R7013&amp;AS[[#This Row],[Age Band Code]]&amp;"; "&amp;S7013&amp;AS[[#This Row],[Sex Code]]</f>
        <v xml:space="preserve">Insurer Code ; Reporting Year ; Insurance Category Code ; Large Provider Entity Code ; Age Band Code ; Sex Code </v>
      </c>
      <c r="N7013" s="345" t="s">
        <v>207</v>
      </c>
      <c r="O7013" s="345" t="s">
        <v>208</v>
      </c>
      <c r="P7013" s="345" t="s">
        <v>209</v>
      </c>
      <c r="Q7013" s="345" t="s">
        <v>210</v>
      </c>
      <c r="R7013" s="345" t="s">
        <v>223</v>
      </c>
      <c r="S7013" s="345" t="s">
        <v>224</v>
      </c>
    </row>
    <row r="7014" spans="1:19" x14ac:dyDescent="0.25">
      <c r="A7014" s="311"/>
      <c r="B7014" s="312"/>
      <c r="C7014" s="312"/>
      <c r="D7014" s="312"/>
      <c r="E7014" s="312"/>
      <c r="F7014" s="312"/>
      <c r="G7014" s="328"/>
      <c r="H7014" s="453"/>
      <c r="I7014" s="334"/>
      <c r="J7014" s="314"/>
      <c r="K7014" s="454"/>
      <c r="M7014" s="349" t="str">
        <f>N7014&amp;AS[[#This Row],[Insurer Code]]&amp;"; "&amp;O7014&amp;AS[[#This Row],[Reporting Year]]&amp;"; "&amp;P7014&amp;AS[[#This Row],[Insurance Category Code]]&amp;"; "&amp;Q7014&amp;AS[[#This Row],[Large Provider Entity Code]]&amp;"; "&amp;R7014&amp;AS[[#This Row],[Age Band Code]]&amp;"; "&amp;S7014&amp;AS[[#This Row],[Sex Code]]</f>
        <v xml:space="preserve">Insurer Code ; Reporting Year ; Insurance Category Code ; Large Provider Entity Code ; Age Band Code ; Sex Code </v>
      </c>
      <c r="N7014" s="345" t="s">
        <v>207</v>
      </c>
      <c r="O7014" s="345" t="s">
        <v>208</v>
      </c>
      <c r="P7014" s="345" t="s">
        <v>209</v>
      </c>
      <c r="Q7014" s="345" t="s">
        <v>210</v>
      </c>
      <c r="R7014" s="345" t="s">
        <v>223</v>
      </c>
      <c r="S7014" s="345" t="s">
        <v>224</v>
      </c>
    </row>
    <row r="7015" spans="1:19" x14ac:dyDescent="0.25">
      <c r="A7015" s="311"/>
      <c r="B7015" s="312"/>
      <c r="C7015" s="312"/>
      <c r="D7015" s="312"/>
      <c r="E7015" s="312"/>
      <c r="F7015" s="312"/>
      <c r="G7015" s="328"/>
      <c r="H7015" s="453"/>
      <c r="I7015" s="334"/>
      <c r="J7015" s="314"/>
      <c r="K7015" s="454"/>
      <c r="M7015" s="349" t="str">
        <f>N7015&amp;AS[[#This Row],[Insurer Code]]&amp;"; "&amp;O7015&amp;AS[[#This Row],[Reporting Year]]&amp;"; "&amp;P7015&amp;AS[[#This Row],[Insurance Category Code]]&amp;"; "&amp;Q7015&amp;AS[[#This Row],[Large Provider Entity Code]]&amp;"; "&amp;R7015&amp;AS[[#This Row],[Age Band Code]]&amp;"; "&amp;S7015&amp;AS[[#This Row],[Sex Code]]</f>
        <v xml:space="preserve">Insurer Code ; Reporting Year ; Insurance Category Code ; Large Provider Entity Code ; Age Band Code ; Sex Code </v>
      </c>
      <c r="N7015" s="345" t="s">
        <v>207</v>
      </c>
      <c r="O7015" s="345" t="s">
        <v>208</v>
      </c>
      <c r="P7015" s="345" t="s">
        <v>209</v>
      </c>
      <c r="Q7015" s="345" t="s">
        <v>210</v>
      </c>
      <c r="R7015" s="345" t="s">
        <v>223</v>
      </c>
      <c r="S7015" s="345" t="s">
        <v>224</v>
      </c>
    </row>
    <row r="7016" spans="1:19" x14ac:dyDescent="0.25">
      <c r="A7016" s="311"/>
      <c r="B7016" s="312"/>
      <c r="C7016" s="312"/>
      <c r="D7016" s="312"/>
      <c r="E7016" s="312"/>
      <c r="F7016" s="312"/>
      <c r="G7016" s="328"/>
      <c r="H7016" s="453"/>
      <c r="I7016" s="334"/>
      <c r="J7016" s="314"/>
      <c r="K7016" s="454"/>
      <c r="M7016" s="349" t="str">
        <f>N7016&amp;AS[[#This Row],[Insurer Code]]&amp;"; "&amp;O7016&amp;AS[[#This Row],[Reporting Year]]&amp;"; "&amp;P7016&amp;AS[[#This Row],[Insurance Category Code]]&amp;"; "&amp;Q7016&amp;AS[[#This Row],[Large Provider Entity Code]]&amp;"; "&amp;R7016&amp;AS[[#This Row],[Age Band Code]]&amp;"; "&amp;S7016&amp;AS[[#This Row],[Sex Code]]</f>
        <v xml:space="preserve">Insurer Code ; Reporting Year ; Insurance Category Code ; Large Provider Entity Code ; Age Band Code ; Sex Code </v>
      </c>
      <c r="N7016" s="345" t="s">
        <v>207</v>
      </c>
      <c r="O7016" s="345" t="s">
        <v>208</v>
      </c>
      <c r="P7016" s="345" t="s">
        <v>209</v>
      </c>
      <c r="Q7016" s="345" t="s">
        <v>210</v>
      </c>
      <c r="R7016" s="345" t="s">
        <v>223</v>
      </c>
      <c r="S7016" s="345" t="s">
        <v>224</v>
      </c>
    </row>
    <row r="7017" spans="1:19" x14ac:dyDescent="0.25">
      <c r="A7017" s="311"/>
      <c r="B7017" s="312"/>
      <c r="C7017" s="312"/>
      <c r="D7017" s="312"/>
      <c r="E7017" s="312"/>
      <c r="F7017" s="312"/>
      <c r="G7017" s="328"/>
      <c r="H7017" s="453"/>
      <c r="I7017" s="334"/>
      <c r="J7017" s="314"/>
      <c r="K7017" s="454"/>
      <c r="M7017" s="349" t="str">
        <f>N7017&amp;AS[[#This Row],[Insurer Code]]&amp;"; "&amp;O7017&amp;AS[[#This Row],[Reporting Year]]&amp;"; "&amp;P7017&amp;AS[[#This Row],[Insurance Category Code]]&amp;"; "&amp;Q7017&amp;AS[[#This Row],[Large Provider Entity Code]]&amp;"; "&amp;R7017&amp;AS[[#This Row],[Age Band Code]]&amp;"; "&amp;S7017&amp;AS[[#This Row],[Sex Code]]</f>
        <v xml:space="preserve">Insurer Code ; Reporting Year ; Insurance Category Code ; Large Provider Entity Code ; Age Band Code ; Sex Code </v>
      </c>
      <c r="N7017" s="345" t="s">
        <v>207</v>
      </c>
      <c r="O7017" s="345" t="s">
        <v>208</v>
      </c>
      <c r="P7017" s="345" t="s">
        <v>209</v>
      </c>
      <c r="Q7017" s="345" t="s">
        <v>210</v>
      </c>
      <c r="R7017" s="345" t="s">
        <v>223</v>
      </c>
      <c r="S7017" s="345" t="s">
        <v>224</v>
      </c>
    </row>
    <row r="7018" spans="1:19" x14ac:dyDescent="0.25">
      <c r="A7018" s="311"/>
      <c r="B7018" s="312"/>
      <c r="C7018" s="312"/>
      <c r="D7018" s="312"/>
      <c r="E7018" s="312"/>
      <c r="F7018" s="312"/>
      <c r="G7018" s="328"/>
      <c r="H7018" s="453"/>
      <c r="I7018" s="334"/>
      <c r="J7018" s="314"/>
      <c r="K7018" s="454"/>
      <c r="M7018" s="349" t="str">
        <f>N7018&amp;AS[[#This Row],[Insurer Code]]&amp;"; "&amp;O7018&amp;AS[[#This Row],[Reporting Year]]&amp;"; "&amp;P7018&amp;AS[[#This Row],[Insurance Category Code]]&amp;"; "&amp;Q7018&amp;AS[[#This Row],[Large Provider Entity Code]]&amp;"; "&amp;R7018&amp;AS[[#This Row],[Age Band Code]]&amp;"; "&amp;S7018&amp;AS[[#This Row],[Sex Code]]</f>
        <v xml:space="preserve">Insurer Code ; Reporting Year ; Insurance Category Code ; Large Provider Entity Code ; Age Band Code ; Sex Code </v>
      </c>
      <c r="N7018" s="345" t="s">
        <v>207</v>
      </c>
      <c r="O7018" s="345" t="s">
        <v>208</v>
      </c>
      <c r="P7018" s="345" t="s">
        <v>209</v>
      </c>
      <c r="Q7018" s="345" t="s">
        <v>210</v>
      </c>
      <c r="R7018" s="345" t="s">
        <v>223</v>
      </c>
      <c r="S7018" s="345" t="s">
        <v>224</v>
      </c>
    </row>
    <row r="7019" spans="1:19" x14ac:dyDescent="0.25">
      <c r="A7019" s="311"/>
      <c r="B7019" s="312"/>
      <c r="C7019" s="312"/>
      <c r="D7019" s="312"/>
      <c r="E7019" s="312"/>
      <c r="F7019" s="312"/>
      <c r="G7019" s="328"/>
      <c r="H7019" s="453"/>
      <c r="I7019" s="334"/>
      <c r="J7019" s="314"/>
      <c r="K7019" s="454"/>
      <c r="M7019" s="349" t="str">
        <f>N7019&amp;AS[[#This Row],[Insurer Code]]&amp;"; "&amp;O7019&amp;AS[[#This Row],[Reporting Year]]&amp;"; "&amp;P7019&amp;AS[[#This Row],[Insurance Category Code]]&amp;"; "&amp;Q7019&amp;AS[[#This Row],[Large Provider Entity Code]]&amp;"; "&amp;R7019&amp;AS[[#This Row],[Age Band Code]]&amp;"; "&amp;S7019&amp;AS[[#This Row],[Sex Code]]</f>
        <v xml:space="preserve">Insurer Code ; Reporting Year ; Insurance Category Code ; Large Provider Entity Code ; Age Band Code ; Sex Code </v>
      </c>
      <c r="N7019" s="345" t="s">
        <v>207</v>
      </c>
      <c r="O7019" s="345" t="s">
        <v>208</v>
      </c>
      <c r="P7019" s="345" t="s">
        <v>209</v>
      </c>
      <c r="Q7019" s="345" t="s">
        <v>210</v>
      </c>
      <c r="R7019" s="345" t="s">
        <v>223</v>
      </c>
      <c r="S7019" s="345" t="s">
        <v>224</v>
      </c>
    </row>
    <row r="7020" spans="1:19" x14ac:dyDescent="0.25">
      <c r="A7020" s="311"/>
      <c r="B7020" s="312"/>
      <c r="C7020" s="312"/>
      <c r="D7020" s="312"/>
      <c r="E7020" s="312"/>
      <c r="F7020" s="312"/>
      <c r="G7020" s="328"/>
      <c r="H7020" s="453"/>
      <c r="I7020" s="334"/>
      <c r="J7020" s="314"/>
      <c r="K7020" s="454"/>
      <c r="M7020" s="349" t="str">
        <f>N7020&amp;AS[[#This Row],[Insurer Code]]&amp;"; "&amp;O7020&amp;AS[[#This Row],[Reporting Year]]&amp;"; "&amp;P7020&amp;AS[[#This Row],[Insurance Category Code]]&amp;"; "&amp;Q7020&amp;AS[[#This Row],[Large Provider Entity Code]]&amp;"; "&amp;R7020&amp;AS[[#This Row],[Age Band Code]]&amp;"; "&amp;S7020&amp;AS[[#This Row],[Sex Code]]</f>
        <v xml:space="preserve">Insurer Code ; Reporting Year ; Insurance Category Code ; Large Provider Entity Code ; Age Band Code ; Sex Code </v>
      </c>
      <c r="N7020" s="345" t="s">
        <v>207</v>
      </c>
      <c r="O7020" s="345" t="s">
        <v>208</v>
      </c>
      <c r="P7020" s="345" t="s">
        <v>209</v>
      </c>
      <c r="Q7020" s="345" t="s">
        <v>210</v>
      </c>
      <c r="R7020" s="345" t="s">
        <v>223</v>
      </c>
      <c r="S7020" s="345" t="s">
        <v>224</v>
      </c>
    </row>
    <row r="7021" spans="1:19" x14ac:dyDescent="0.25">
      <c r="A7021" s="311"/>
      <c r="B7021" s="312"/>
      <c r="C7021" s="312"/>
      <c r="D7021" s="312"/>
      <c r="E7021" s="312"/>
      <c r="F7021" s="312"/>
      <c r="G7021" s="328"/>
      <c r="H7021" s="453"/>
      <c r="I7021" s="334"/>
      <c r="J7021" s="314"/>
      <c r="K7021" s="454"/>
      <c r="M7021" s="349" t="str">
        <f>N7021&amp;AS[[#This Row],[Insurer Code]]&amp;"; "&amp;O7021&amp;AS[[#This Row],[Reporting Year]]&amp;"; "&amp;P7021&amp;AS[[#This Row],[Insurance Category Code]]&amp;"; "&amp;Q7021&amp;AS[[#This Row],[Large Provider Entity Code]]&amp;"; "&amp;R7021&amp;AS[[#This Row],[Age Band Code]]&amp;"; "&amp;S7021&amp;AS[[#This Row],[Sex Code]]</f>
        <v xml:space="preserve">Insurer Code ; Reporting Year ; Insurance Category Code ; Large Provider Entity Code ; Age Band Code ; Sex Code </v>
      </c>
      <c r="N7021" s="345" t="s">
        <v>207</v>
      </c>
      <c r="O7021" s="345" t="s">
        <v>208</v>
      </c>
      <c r="P7021" s="345" t="s">
        <v>209</v>
      </c>
      <c r="Q7021" s="345" t="s">
        <v>210</v>
      </c>
      <c r="R7021" s="345" t="s">
        <v>223</v>
      </c>
      <c r="S7021" s="345" t="s">
        <v>224</v>
      </c>
    </row>
    <row r="7022" spans="1:19" x14ac:dyDescent="0.25">
      <c r="A7022" s="311"/>
      <c r="B7022" s="312"/>
      <c r="C7022" s="312"/>
      <c r="D7022" s="312"/>
      <c r="E7022" s="312"/>
      <c r="F7022" s="312"/>
      <c r="G7022" s="328"/>
      <c r="H7022" s="453"/>
      <c r="I7022" s="334"/>
      <c r="J7022" s="314"/>
      <c r="K7022" s="454"/>
      <c r="M7022" s="349" t="str">
        <f>N7022&amp;AS[[#This Row],[Insurer Code]]&amp;"; "&amp;O7022&amp;AS[[#This Row],[Reporting Year]]&amp;"; "&amp;P7022&amp;AS[[#This Row],[Insurance Category Code]]&amp;"; "&amp;Q7022&amp;AS[[#This Row],[Large Provider Entity Code]]&amp;"; "&amp;R7022&amp;AS[[#This Row],[Age Band Code]]&amp;"; "&amp;S7022&amp;AS[[#This Row],[Sex Code]]</f>
        <v xml:space="preserve">Insurer Code ; Reporting Year ; Insurance Category Code ; Large Provider Entity Code ; Age Band Code ; Sex Code </v>
      </c>
      <c r="N7022" s="345" t="s">
        <v>207</v>
      </c>
      <c r="O7022" s="345" t="s">
        <v>208</v>
      </c>
      <c r="P7022" s="345" t="s">
        <v>209</v>
      </c>
      <c r="Q7022" s="345" t="s">
        <v>210</v>
      </c>
      <c r="R7022" s="345" t="s">
        <v>223</v>
      </c>
      <c r="S7022" s="345" t="s">
        <v>224</v>
      </c>
    </row>
    <row r="7023" spans="1:19" x14ac:dyDescent="0.25">
      <c r="A7023" s="311"/>
      <c r="B7023" s="312"/>
      <c r="C7023" s="312"/>
      <c r="D7023" s="312"/>
      <c r="E7023" s="312"/>
      <c r="F7023" s="312"/>
      <c r="G7023" s="328"/>
      <c r="H7023" s="453"/>
      <c r="I7023" s="334"/>
      <c r="J7023" s="314"/>
      <c r="K7023" s="454"/>
      <c r="M7023" s="349" t="str">
        <f>N7023&amp;AS[[#This Row],[Insurer Code]]&amp;"; "&amp;O7023&amp;AS[[#This Row],[Reporting Year]]&amp;"; "&amp;P7023&amp;AS[[#This Row],[Insurance Category Code]]&amp;"; "&amp;Q7023&amp;AS[[#This Row],[Large Provider Entity Code]]&amp;"; "&amp;R7023&amp;AS[[#This Row],[Age Band Code]]&amp;"; "&amp;S7023&amp;AS[[#This Row],[Sex Code]]</f>
        <v xml:space="preserve">Insurer Code ; Reporting Year ; Insurance Category Code ; Large Provider Entity Code ; Age Band Code ; Sex Code </v>
      </c>
      <c r="N7023" s="345" t="s">
        <v>207</v>
      </c>
      <c r="O7023" s="345" t="s">
        <v>208</v>
      </c>
      <c r="P7023" s="345" t="s">
        <v>209</v>
      </c>
      <c r="Q7023" s="345" t="s">
        <v>210</v>
      </c>
      <c r="R7023" s="345" t="s">
        <v>223</v>
      </c>
      <c r="S7023" s="345" t="s">
        <v>224</v>
      </c>
    </row>
    <row r="7024" spans="1:19" x14ac:dyDescent="0.25">
      <c r="A7024" s="311"/>
      <c r="B7024" s="312"/>
      <c r="C7024" s="312"/>
      <c r="D7024" s="312"/>
      <c r="E7024" s="312"/>
      <c r="F7024" s="312"/>
      <c r="G7024" s="328"/>
      <c r="H7024" s="453"/>
      <c r="I7024" s="334"/>
      <c r="J7024" s="314"/>
      <c r="K7024" s="454"/>
      <c r="M7024" s="349" t="str">
        <f>N7024&amp;AS[[#This Row],[Insurer Code]]&amp;"; "&amp;O7024&amp;AS[[#This Row],[Reporting Year]]&amp;"; "&amp;P7024&amp;AS[[#This Row],[Insurance Category Code]]&amp;"; "&amp;Q7024&amp;AS[[#This Row],[Large Provider Entity Code]]&amp;"; "&amp;R7024&amp;AS[[#This Row],[Age Band Code]]&amp;"; "&amp;S7024&amp;AS[[#This Row],[Sex Code]]</f>
        <v xml:space="preserve">Insurer Code ; Reporting Year ; Insurance Category Code ; Large Provider Entity Code ; Age Band Code ; Sex Code </v>
      </c>
      <c r="N7024" s="345" t="s">
        <v>207</v>
      </c>
      <c r="O7024" s="345" t="s">
        <v>208</v>
      </c>
      <c r="P7024" s="345" t="s">
        <v>209</v>
      </c>
      <c r="Q7024" s="345" t="s">
        <v>210</v>
      </c>
      <c r="R7024" s="345" t="s">
        <v>223</v>
      </c>
      <c r="S7024" s="345" t="s">
        <v>224</v>
      </c>
    </row>
    <row r="7025" spans="1:19" x14ac:dyDescent="0.25">
      <c r="A7025" s="311"/>
      <c r="B7025" s="312"/>
      <c r="C7025" s="312"/>
      <c r="D7025" s="312"/>
      <c r="E7025" s="312"/>
      <c r="F7025" s="312"/>
      <c r="G7025" s="328"/>
      <c r="H7025" s="453"/>
      <c r="I7025" s="334"/>
      <c r="J7025" s="314"/>
      <c r="K7025" s="454"/>
      <c r="M7025" s="349" t="str">
        <f>N7025&amp;AS[[#This Row],[Insurer Code]]&amp;"; "&amp;O7025&amp;AS[[#This Row],[Reporting Year]]&amp;"; "&amp;P7025&amp;AS[[#This Row],[Insurance Category Code]]&amp;"; "&amp;Q7025&amp;AS[[#This Row],[Large Provider Entity Code]]&amp;"; "&amp;R7025&amp;AS[[#This Row],[Age Band Code]]&amp;"; "&amp;S7025&amp;AS[[#This Row],[Sex Code]]</f>
        <v xml:space="preserve">Insurer Code ; Reporting Year ; Insurance Category Code ; Large Provider Entity Code ; Age Band Code ; Sex Code </v>
      </c>
      <c r="N7025" s="345" t="s">
        <v>207</v>
      </c>
      <c r="O7025" s="345" t="s">
        <v>208</v>
      </c>
      <c r="P7025" s="345" t="s">
        <v>209</v>
      </c>
      <c r="Q7025" s="345" t="s">
        <v>210</v>
      </c>
      <c r="R7025" s="345" t="s">
        <v>223</v>
      </c>
      <c r="S7025" s="345" t="s">
        <v>224</v>
      </c>
    </row>
    <row r="7026" spans="1:19" x14ac:dyDescent="0.25">
      <c r="A7026" s="311"/>
      <c r="B7026" s="312"/>
      <c r="C7026" s="312"/>
      <c r="D7026" s="312"/>
      <c r="E7026" s="312"/>
      <c r="F7026" s="312"/>
      <c r="G7026" s="328"/>
      <c r="H7026" s="453"/>
      <c r="I7026" s="334"/>
      <c r="J7026" s="314"/>
      <c r="K7026" s="454"/>
      <c r="M7026" s="349" t="str">
        <f>N7026&amp;AS[[#This Row],[Insurer Code]]&amp;"; "&amp;O7026&amp;AS[[#This Row],[Reporting Year]]&amp;"; "&amp;P7026&amp;AS[[#This Row],[Insurance Category Code]]&amp;"; "&amp;Q7026&amp;AS[[#This Row],[Large Provider Entity Code]]&amp;"; "&amp;R7026&amp;AS[[#This Row],[Age Band Code]]&amp;"; "&amp;S7026&amp;AS[[#This Row],[Sex Code]]</f>
        <v xml:space="preserve">Insurer Code ; Reporting Year ; Insurance Category Code ; Large Provider Entity Code ; Age Band Code ; Sex Code </v>
      </c>
      <c r="N7026" s="345" t="s">
        <v>207</v>
      </c>
      <c r="O7026" s="345" t="s">
        <v>208</v>
      </c>
      <c r="P7026" s="345" t="s">
        <v>209</v>
      </c>
      <c r="Q7026" s="345" t="s">
        <v>210</v>
      </c>
      <c r="R7026" s="345" t="s">
        <v>223</v>
      </c>
      <c r="S7026" s="345" t="s">
        <v>224</v>
      </c>
    </row>
    <row r="7027" spans="1:19" x14ac:dyDescent="0.25">
      <c r="A7027" s="311"/>
      <c r="B7027" s="312"/>
      <c r="C7027" s="312"/>
      <c r="D7027" s="312"/>
      <c r="E7027" s="312"/>
      <c r="F7027" s="312"/>
      <c r="G7027" s="328"/>
      <c r="H7027" s="453"/>
      <c r="I7027" s="334"/>
      <c r="J7027" s="314"/>
      <c r="K7027" s="454"/>
      <c r="M7027" s="349" t="str">
        <f>N7027&amp;AS[[#This Row],[Insurer Code]]&amp;"; "&amp;O7027&amp;AS[[#This Row],[Reporting Year]]&amp;"; "&amp;P7027&amp;AS[[#This Row],[Insurance Category Code]]&amp;"; "&amp;Q7027&amp;AS[[#This Row],[Large Provider Entity Code]]&amp;"; "&amp;R7027&amp;AS[[#This Row],[Age Band Code]]&amp;"; "&amp;S7027&amp;AS[[#This Row],[Sex Code]]</f>
        <v xml:space="preserve">Insurer Code ; Reporting Year ; Insurance Category Code ; Large Provider Entity Code ; Age Band Code ; Sex Code </v>
      </c>
      <c r="N7027" s="345" t="s">
        <v>207</v>
      </c>
      <c r="O7027" s="345" t="s">
        <v>208</v>
      </c>
      <c r="P7027" s="345" t="s">
        <v>209</v>
      </c>
      <c r="Q7027" s="345" t="s">
        <v>210</v>
      </c>
      <c r="R7027" s="345" t="s">
        <v>223</v>
      </c>
      <c r="S7027" s="345" t="s">
        <v>224</v>
      </c>
    </row>
    <row r="7028" spans="1:19" x14ac:dyDescent="0.25">
      <c r="A7028" s="311"/>
      <c r="B7028" s="312"/>
      <c r="C7028" s="312"/>
      <c r="D7028" s="312"/>
      <c r="E7028" s="312"/>
      <c r="F7028" s="312"/>
      <c r="G7028" s="328"/>
      <c r="H7028" s="453"/>
      <c r="I7028" s="334"/>
      <c r="J7028" s="314"/>
      <c r="K7028" s="454"/>
      <c r="M7028" s="349" t="str">
        <f>N7028&amp;AS[[#This Row],[Insurer Code]]&amp;"; "&amp;O7028&amp;AS[[#This Row],[Reporting Year]]&amp;"; "&amp;P7028&amp;AS[[#This Row],[Insurance Category Code]]&amp;"; "&amp;Q7028&amp;AS[[#This Row],[Large Provider Entity Code]]&amp;"; "&amp;R7028&amp;AS[[#This Row],[Age Band Code]]&amp;"; "&amp;S7028&amp;AS[[#This Row],[Sex Code]]</f>
        <v xml:space="preserve">Insurer Code ; Reporting Year ; Insurance Category Code ; Large Provider Entity Code ; Age Band Code ; Sex Code </v>
      </c>
      <c r="N7028" s="345" t="s">
        <v>207</v>
      </c>
      <c r="O7028" s="345" t="s">
        <v>208</v>
      </c>
      <c r="P7028" s="345" t="s">
        <v>209</v>
      </c>
      <c r="Q7028" s="345" t="s">
        <v>210</v>
      </c>
      <c r="R7028" s="345" t="s">
        <v>223</v>
      </c>
      <c r="S7028" s="345" t="s">
        <v>224</v>
      </c>
    </row>
    <row r="7029" spans="1:19" x14ac:dyDescent="0.25">
      <c r="A7029" s="311"/>
      <c r="B7029" s="312"/>
      <c r="C7029" s="312"/>
      <c r="D7029" s="312"/>
      <c r="E7029" s="312"/>
      <c r="F7029" s="312"/>
      <c r="G7029" s="328"/>
      <c r="H7029" s="453"/>
      <c r="I7029" s="334"/>
      <c r="J7029" s="314"/>
      <c r="K7029" s="454"/>
      <c r="M7029" s="349" t="str">
        <f>N7029&amp;AS[[#This Row],[Insurer Code]]&amp;"; "&amp;O7029&amp;AS[[#This Row],[Reporting Year]]&amp;"; "&amp;P7029&amp;AS[[#This Row],[Insurance Category Code]]&amp;"; "&amp;Q7029&amp;AS[[#This Row],[Large Provider Entity Code]]&amp;"; "&amp;R7029&amp;AS[[#This Row],[Age Band Code]]&amp;"; "&amp;S7029&amp;AS[[#This Row],[Sex Code]]</f>
        <v xml:space="preserve">Insurer Code ; Reporting Year ; Insurance Category Code ; Large Provider Entity Code ; Age Band Code ; Sex Code </v>
      </c>
      <c r="N7029" s="345" t="s">
        <v>207</v>
      </c>
      <c r="O7029" s="345" t="s">
        <v>208</v>
      </c>
      <c r="P7029" s="345" t="s">
        <v>209</v>
      </c>
      <c r="Q7029" s="345" t="s">
        <v>210</v>
      </c>
      <c r="R7029" s="345" t="s">
        <v>223</v>
      </c>
      <c r="S7029" s="345" t="s">
        <v>224</v>
      </c>
    </row>
    <row r="7030" spans="1:19" x14ac:dyDescent="0.25">
      <c r="A7030" s="311"/>
      <c r="B7030" s="312"/>
      <c r="C7030" s="312"/>
      <c r="D7030" s="312"/>
      <c r="E7030" s="312"/>
      <c r="F7030" s="312"/>
      <c r="G7030" s="328"/>
      <c r="H7030" s="453"/>
      <c r="I7030" s="334"/>
      <c r="J7030" s="314"/>
      <c r="K7030" s="454"/>
      <c r="M7030" s="349" t="str">
        <f>N7030&amp;AS[[#This Row],[Insurer Code]]&amp;"; "&amp;O7030&amp;AS[[#This Row],[Reporting Year]]&amp;"; "&amp;P7030&amp;AS[[#This Row],[Insurance Category Code]]&amp;"; "&amp;Q7030&amp;AS[[#This Row],[Large Provider Entity Code]]&amp;"; "&amp;R7030&amp;AS[[#This Row],[Age Band Code]]&amp;"; "&amp;S7030&amp;AS[[#This Row],[Sex Code]]</f>
        <v xml:space="preserve">Insurer Code ; Reporting Year ; Insurance Category Code ; Large Provider Entity Code ; Age Band Code ; Sex Code </v>
      </c>
      <c r="N7030" s="345" t="s">
        <v>207</v>
      </c>
      <c r="O7030" s="345" t="s">
        <v>208</v>
      </c>
      <c r="P7030" s="345" t="s">
        <v>209</v>
      </c>
      <c r="Q7030" s="345" t="s">
        <v>210</v>
      </c>
      <c r="R7030" s="345" t="s">
        <v>223</v>
      </c>
      <c r="S7030" s="345" t="s">
        <v>224</v>
      </c>
    </row>
    <row r="7031" spans="1:19" x14ac:dyDescent="0.25">
      <c r="A7031" s="311"/>
      <c r="B7031" s="312"/>
      <c r="C7031" s="312"/>
      <c r="D7031" s="312"/>
      <c r="E7031" s="312"/>
      <c r="F7031" s="312"/>
      <c r="G7031" s="328"/>
      <c r="H7031" s="453"/>
      <c r="I7031" s="334"/>
      <c r="J7031" s="314"/>
      <c r="K7031" s="454"/>
      <c r="M7031" s="349" t="str">
        <f>N7031&amp;AS[[#This Row],[Insurer Code]]&amp;"; "&amp;O7031&amp;AS[[#This Row],[Reporting Year]]&amp;"; "&amp;P7031&amp;AS[[#This Row],[Insurance Category Code]]&amp;"; "&amp;Q7031&amp;AS[[#This Row],[Large Provider Entity Code]]&amp;"; "&amp;R7031&amp;AS[[#This Row],[Age Band Code]]&amp;"; "&amp;S7031&amp;AS[[#This Row],[Sex Code]]</f>
        <v xml:space="preserve">Insurer Code ; Reporting Year ; Insurance Category Code ; Large Provider Entity Code ; Age Band Code ; Sex Code </v>
      </c>
      <c r="N7031" s="345" t="s">
        <v>207</v>
      </c>
      <c r="O7031" s="345" t="s">
        <v>208</v>
      </c>
      <c r="P7031" s="345" t="s">
        <v>209</v>
      </c>
      <c r="Q7031" s="345" t="s">
        <v>210</v>
      </c>
      <c r="R7031" s="345" t="s">
        <v>223</v>
      </c>
      <c r="S7031" s="345" t="s">
        <v>224</v>
      </c>
    </row>
    <row r="7032" spans="1:19" x14ac:dyDescent="0.25">
      <c r="A7032" s="311"/>
      <c r="B7032" s="312"/>
      <c r="C7032" s="312"/>
      <c r="D7032" s="312"/>
      <c r="E7032" s="312"/>
      <c r="F7032" s="312"/>
      <c r="G7032" s="328"/>
      <c r="H7032" s="453"/>
      <c r="I7032" s="334"/>
      <c r="J7032" s="314"/>
      <c r="K7032" s="454"/>
      <c r="M7032" s="349" t="str">
        <f>N7032&amp;AS[[#This Row],[Insurer Code]]&amp;"; "&amp;O7032&amp;AS[[#This Row],[Reporting Year]]&amp;"; "&amp;P7032&amp;AS[[#This Row],[Insurance Category Code]]&amp;"; "&amp;Q7032&amp;AS[[#This Row],[Large Provider Entity Code]]&amp;"; "&amp;R7032&amp;AS[[#This Row],[Age Band Code]]&amp;"; "&amp;S7032&amp;AS[[#This Row],[Sex Code]]</f>
        <v xml:space="preserve">Insurer Code ; Reporting Year ; Insurance Category Code ; Large Provider Entity Code ; Age Band Code ; Sex Code </v>
      </c>
      <c r="N7032" s="345" t="s">
        <v>207</v>
      </c>
      <c r="O7032" s="345" t="s">
        <v>208</v>
      </c>
      <c r="P7032" s="345" t="s">
        <v>209</v>
      </c>
      <c r="Q7032" s="345" t="s">
        <v>210</v>
      </c>
      <c r="R7032" s="345" t="s">
        <v>223</v>
      </c>
      <c r="S7032" s="345" t="s">
        <v>224</v>
      </c>
    </row>
    <row r="7033" spans="1:19" x14ac:dyDescent="0.25">
      <c r="A7033" s="311"/>
      <c r="B7033" s="312"/>
      <c r="C7033" s="312"/>
      <c r="D7033" s="312"/>
      <c r="E7033" s="312"/>
      <c r="F7033" s="312"/>
      <c r="G7033" s="328"/>
      <c r="H7033" s="453"/>
      <c r="I7033" s="334"/>
      <c r="J7033" s="314"/>
      <c r="K7033" s="454"/>
      <c r="M7033" s="349" t="str">
        <f>N7033&amp;AS[[#This Row],[Insurer Code]]&amp;"; "&amp;O7033&amp;AS[[#This Row],[Reporting Year]]&amp;"; "&amp;P7033&amp;AS[[#This Row],[Insurance Category Code]]&amp;"; "&amp;Q7033&amp;AS[[#This Row],[Large Provider Entity Code]]&amp;"; "&amp;R7033&amp;AS[[#This Row],[Age Band Code]]&amp;"; "&amp;S7033&amp;AS[[#This Row],[Sex Code]]</f>
        <v xml:space="preserve">Insurer Code ; Reporting Year ; Insurance Category Code ; Large Provider Entity Code ; Age Band Code ; Sex Code </v>
      </c>
      <c r="N7033" s="345" t="s">
        <v>207</v>
      </c>
      <c r="O7033" s="345" t="s">
        <v>208</v>
      </c>
      <c r="P7033" s="345" t="s">
        <v>209</v>
      </c>
      <c r="Q7033" s="345" t="s">
        <v>210</v>
      </c>
      <c r="R7033" s="345" t="s">
        <v>223</v>
      </c>
      <c r="S7033" s="345" t="s">
        <v>224</v>
      </c>
    </row>
    <row r="7034" spans="1:19" x14ac:dyDescent="0.25">
      <c r="A7034" s="311"/>
      <c r="B7034" s="312"/>
      <c r="C7034" s="312"/>
      <c r="D7034" s="312"/>
      <c r="E7034" s="312"/>
      <c r="F7034" s="312"/>
      <c r="G7034" s="328"/>
      <c r="H7034" s="453"/>
      <c r="I7034" s="334"/>
      <c r="J7034" s="314"/>
      <c r="K7034" s="454"/>
      <c r="M7034" s="349" t="str">
        <f>N7034&amp;AS[[#This Row],[Insurer Code]]&amp;"; "&amp;O7034&amp;AS[[#This Row],[Reporting Year]]&amp;"; "&amp;P7034&amp;AS[[#This Row],[Insurance Category Code]]&amp;"; "&amp;Q7034&amp;AS[[#This Row],[Large Provider Entity Code]]&amp;"; "&amp;R7034&amp;AS[[#This Row],[Age Band Code]]&amp;"; "&amp;S7034&amp;AS[[#This Row],[Sex Code]]</f>
        <v xml:space="preserve">Insurer Code ; Reporting Year ; Insurance Category Code ; Large Provider Entity Code ; Age Band Code ; Sex Code </v>
      </c>
      <c r="N7034" s="345" t="s">
        <v>207</v>
      </c>
      <c r="O7034" s="345" t="s">
        <v>208</v>
      </c>
      <c r="P7034" s="345" t="s">
        <v>209</v>
      </c>
      <c r="Q7034" s="345" t="s">
        <v>210</v>
      </c>
      <c r="R7034" s="345" t="s">
        <v>223</v>
      </c>
      <c r="S7034" s="345" t="s">
        <v>224</v>
      </c>
    </row>
    <row r="7035" spans="1:19" x14ac:dyDescent="0.25">
      <c r="A7035" s="311"/>
      <c r="B7035" s="312"/>
      <c r="C7035" s="312"/>
      <c r="D7035" s="312"/>
      <c r="E7035" s="312"/>
      <c r="F7035" s="312"/>
      <c r="G7035" s="328"/>
      <c r="H7035" s="453"/>
      <c r="I7035" s="334"/>
      <c r="J7035" s="314"/>
      <c r="K7035" s="454"/>
      <c r="M7035" s="349" t="str">
        <f>N7035&amp;AS[[#This Row],[Insurer Code]]&amp;"; "&amp;O7035&amp;AS[[#This Row],[Reporting Year]]&amp;"; "&amp;P7035&amp;AS[[#This Row],[Insurance Category Code]]&amp;"; "&amp;Q7035&amp;AS[[#This Row],[Large Provider Entity Code]]&amp;"; "&amp;R7035&amp;AS[[#This Row],[Age Band Code]]&amp;"; "&amp;S7035&amp;AS[[#This Row],[Sex Code]]</f>
        <v xml:space="preserve">Insurer Code ; Reporting Year ; Insurance Category Code ; Large Provider Entity Code ; Age Band Code ; Sex Code </v>
      </c>
      <c r="N7035" s="345" t="s">
        <v>207</v>
      </c>
      <c r="O7035" s="345" t="s">
        <v>208</v>
      </c>
      <c r="P7035" s="345" t="s">
        <v>209</v>
      </c>
      <c r="Q7035" s="345" t="s">
        <v>210</v>
      </c>
      <c r="R7035" s="345" t="s">
        <v>223</v>
      </c>
      <c r="S7035" s="345" t="s">
        <v>224</v>
      </c>
    </row>
    <row r="7036" spans="1:19" x14ac:dyDescent="0.25">
      <c r="A7036" s="311"/>
      <c r="B7036" s="312"/>
      <c r="C7036" s="312"/>
      <c r="D7036" s="312"/>
      <c r="E7036" s="312"/>
      <c r="F7036" s="312"/>
      <c r="G7036" s="328"/>
      <c r="H7036" s="453"/>
      <c r="I7036" s="334"/>
      <c r="J7036" s="314"/>
      <c r="K7036" s="454"/>
      <c r="M7036" s="349" t="str">
        <f>N7036&amp;AS[[#This Row],[Insurer Code]]&amp;"; "&amp;O7036&amp;AS[[#This Row],[Reporting Year]]&amp;"; "&amp;P7036&amp;AS[[#This Row],[Insurance Category Code]]&amp;"; "&amp;Q7036&amp;AS[[#This Row],[Large Provider Entity Code]]&amp;"; "&amp;R7036&amp;AS[[#This Row],[Age Band Code]]&amp;"; "&amp;S7036&amp;AS[[#This Row],[Sex Code]]</f>
        <v xml:space="preserve">Insurer Code ; Reporting Year ; Insurance Category Code ; Large Provider Entity Code ; Age Band Code ; Sex Code </v>
      </c>
      <c r="N7036" s="345" t="s">
        <v>207</v>
      </c>
      <c r="O7036" s="345" t="s">
        <v>208</v>
      </c>
      <c r="P7036" s="345" t="s">
        <v>209</v>
      </c>
      <c r="Q7036" s="345" t="s">
        <v>210</v>
      </c>
      <c r="R7036" s="345" t="s">
        <v>223</v>
      </c>
      <c r="S7036" s="345" t="s">
        <v>224</v>
      </c>
    </row>
    <row r="7037" spans="1:19" x14ac:dyDescent="0.25">
      <c r="A7037" s="311"/>
      <c r="B7037" s="312"/>
      <c r="C7037" s="312"/>
      <c r="D7037" s="312"/>
      <c r="E7037" s="312"/>
      <c r="F7037" s="312"/>
      <c r="G7037" s="328"/>
      <c r="H7037" s="453"/>
      <c r="I7037" s="334"/>
      <c r="J7037" s="314"/>
      <c r="K7037" s="454"/>
      <c r="M7037" s="349" t="str">
        <f>N7037&amp;AS[[#This Row],[Insurer Code]]&amp;"; "&amp;O7037&amp;AS[[#This Row],[Reporting Year]]&amp;"; "&amp;P7037&amp;AS[[#This Row],[Insurance Category Code]]&amp;"; "&amp;Q7037&amp;AS[[#This Row],[Large Provider Entity Code]]&amp;"; "&amp;R7037&amp;AS[[#This Row],[Age Band Code]]&amp;"; "&amp;S7037&amp;AS[[#This Row],[Sex Code]]</f>
        <v xml:space="preserve">Insurer Code ; Reporting Year ; Insurance Category Code ; Large Provider Entity Code ; Age Band Code ; Sex Code </v>
      </c>
      <c r="N7037" s="345" t="s">
        <v>207</v>
      </c>
      <c r="O7037" s="345" t="s">
        <v>208</v>
      </c>
      <c r="P7037" s="345" t="s">
        <v>209</v>
      </c>
      <c r="Q7037" s="345" t="s">
        <v>210</v>
      </c>
      <c r="R7037" s="345" t="s">
        <v>223</v>
      </c>
      <c r="S7037" s="345" t="s">
        <v>224</v>
      </c>
    </row>
    <row r="7038" spans="1:19" x14ac:dyDescent="0.25">
      <c r="A7038" s="311"/>
      <c r="B7038" s="312"/>
      <c r="C7038" s="312"/>
      <c r="D7038" s="312"/>
      <c r="E7038" s="312"/>
      <c r="F7038" s="312"/>
      <c r="G7038" s="328"/>
      <c r="H7038" s="453"/>
      <c r="I7038" s="334"/>
      <c r="J7038" s="314"/>
      <c r="K7038" s="454"/>
      <c r="M7038" s="349" t="str">
        <f>N7038&amp;AS[[#This Row],[Insurer Code]]&amp;"; "&amp;O7038&amp;AS[[#This Row],[Reporting Year]]&amp;"; "&amp;P7038&amp;AS[[#This Row],[Insurance Category Code]]&amp;"; "&amp;Q7038&amp;AS[[#This Row],[Large Provider Entity Code]]&amp;"; "&amp;R7038&amp;AS[[#This Row],[Age Band Code]]&amp;"; "&amp;S7038&amp;AS[[#This Row],[Sex Code]]</f>
        <v xml:space="preserve">Insurer Code ; Reporting Year ; Insurance Category Code ; Large Provider Entity Code ; Age Band Code ; Sex Code </v>
      </c>
      <c r="N7038" s="345" t="s">
        <v>207</v>
      </c>
      <c r="O7038" s="345" t="s">
        <v>208</v>
      </c>
      <c r="P7038" s="345" t="s">
        <v>209</v>
      </c>
      <c r="Q7038" s="345" t="s">
        <v>210</v>
      </c>
      <c r="R7038" s="345" t="s">
        <v>223</v>
      </c>
      <c r="S7038" s="345" t="s">
        <v>224</v>
      </c>
    </row>
    <row r="7039" spans="1:19" x14ac:dyDescent="0.25">
      <c r="A7039" s="311"/>
      <c r="B7039" s="312"/>
      <c r="C7039" s="312"/>
      <c r="D7039" s="312"/>
      <c r="E7039" s="312"/>
      <c r="F7039" s="312"/>
      <c r="G7039" s="328"/>
      <c r="H7039" s="453"/>
      <c r="I7039" s="334"/>
      <c r="J7039" s="314"/>
      <c r="K7039" s="454"/>
      <c r="M7039" s="349" t="str">
        <f>N7039&amp;AS[[#This Row],[Insurer Code]]&amp;"; "&amp;O7039&amp;AS[[#This Row],[Reporting Year]]&amp;"; "&amp;P7039&amp;AS[[#This Row],[Insurance Category Code]]&amp;"; "&amp;Q7039&amp;AS[[#This Row],[Large Provider Entity Code]]&amp;"; "&amp;R7039&amp;AS[[#This Row],[Age Band Code]]&amp;"; "&amp;S7039&amp;AS[[#This Row],[Sex Code]]</f>
        <v xml:space="preserve">Insurer Code ; Reporting Year ; Insurance Category Code ; Large Provider Entity Code ; Age Band Code ; Sex Code </v>
      </c>
      <c r="N7039" s="345" t="s">
        <v>207</v>
      </c>
      <c r="O7039" s="345" t="s">
        <v>208</v>
      </c>
      <c r="P7039" s="345" t="s">
        <v>209</v>
      </c>
      <c r="Q7039" s="345" t="s">
        <v>210</v>
      </c>
      <c r="R7039" s="345" t="s">
        <v>223</v>
      </c>
      <c r="S7039" s="345" t="s">
        <v>224</v>
      </c>
    </row>
    <row r="7040" spans="1:19" x14ac:dyDescent="0.25">
      <c r="A7040" s="311"/>
      <c r="B7040" s="312"/>
      <c r="C7040" s="312"/>
      <c r="D7040" s="312"/>
      <c r="E7040" s="312"/>
      <c r="F7040" s="312"/>
      <c r="G7040" s="328"/>
      <c r="H7040" s="453"/>
      <c r="I7040" s="334"/>
      <c r="J7040" s="314"/>
      <c r="K7040" s="454"/>
      <c r="M7040" s="349" t="str">
        <f>N7040&amp;AS[[#This Row],[Insurer Code]]&amp;"; "&amp;O7040&amp;AS[[#This Row],[Reporting Year]]&amp;"; "&amp;P7040&amp;AS[[#This Row],[Insurance Category Code]]&amp;"; "&amp;Q7040&amp;AS[[#This Row],[Large Provider Entity Code]]&amp;"; "&amp;R7040&amp;AS[[#This Row],[Age Band Code]]&amp;"; "&amp;S7040&amp;AS[[#This Row],[Sex Code]]</f>
        <v xml:space="preserve">Insurer Code ; Reporting Year ; Insurance Category Code ; Large Provider Entity Code ; Age Band Code ; Sex Code </v>
      </c>
      <c r="N7040" s="345" t="s">
        <v>207</v>
      </c>
      <c r="O7040" s="345" t="s">
        <v>208</v>
      </c>
      <c r="P7040" s="345" t="s">
        <v>209</v>
      </c>
      <c r="Q7040" s="345" t="s">
        <v>210</v>
      </c>
      <c r="R7040" s="345" t="s">
        <v>223</v>
      </c>
      <c r="S7040" s="345" t="s">
        <v>224</v>
      </c>
    </row>
    <row r="7041" spans="1:19" x14ac:dyDescent="0.25">
      <c r="A7041" s="311"/>
      <c r="B7041" s="312"/>
      <c r="C7041" s="312"/>
      <c r="D7041" s="312"/>
      <c r="E7041" s="312"/>
      <c r="F7041" s="312"/>
      <c r="G7041" s="328"/>
      <c r="H7041" s="453"/>
      <c r="I7041" s="334"/>
      <c r="J7041" s="314"/>
      <c r="K7041" s="454"/>
      <c r="M7041" s="349" t="str">
        <f>N7041&amp;AS[[#This Row],[Insurer Code]]&amp;"; "&amp;O7041&amp;AS[[#This Row],[Reporting Year]]&amp;"; "&amp;P7041&amp;AS[[#This Row],[Insurance Category Code]]&amp;"; "&amp;Q7041&amp;AS[[#This Row],[Large Provider Entity Code]]&amp;"; "&amp;R7041&amp;AS[[#This Row],[Age Band Code]]&amp;"; "&amp;S7041&amp;AS[[#This Row],[Sex Code]]</f>
        <v xml:space="preserve">Insurer Code ; Reporting Year ; Insurance Category Code ; Large Provider Entity Code ; Age Band Code ; Sex Code </v>
      </c>
      <c r="N7041" s="345" t="s">
        <v>207</v>
      </c>
      <c r="O7041" s="345" t="s">
        <v>208</v>
      </c>
      <c r="P7041" s="345" t="s">
        <v>209</v>
      </c>
      <c r="Q7041" s="345" t="s">
        <v>210</v>
      </c>
      <c r="R7041" s="345" t="s">
        <v>223</v>
      </c>
      <c r="S7041" s="345" t="s">
        <v>224</v>
      </c>
    </row>
    <row r="7042" spans="1:19" x14ac:dyDescent="0.25">
      <c r="A7042" s="311"/>
      <c r="B7042" s="312"/>
      <c r="C7042" s="312"/>
      <c r="D7042" s="312"/>
      <c r="E7042" s="312"/>
      <c r="F7042" s="312"/>
      <c r="G7042" s="328"/>
      <c r="H7042" s="453"/>
      <c r="I7042" s="334"/>
      <c r="J7042" s="314"/>
      <c r="K7042" s="454"/>
      <c r="M7042" s="349" t="str">
        <f>N7042&amp;AS[[#This Row],[Insurer Code]]&amp;"; "&amp;O7042&amp;AS[[#This Row],[Reporting Year]]&amp;"; "&amp;P7042&amp;AS[[#This Row],[Insurance Category Code]]&amp;"; "&amp;Q7042&amp;AS[[#This Row],[Large Provider Entity Code]]&amp;"; "&amp;R7042&amp;AS[[#This Row],[Age Band Code]]&amp;"; "&amp;S7042&amp;AS[[#This Row],[Sex Code]]</f>
        <v xml:space="preserve">Insurer Code ; Reporting Year ; Insurance Category Code ; Large Provider Entity Code ; Age Band Code ; Sex Code </v>
      </c>
      <c r="N7042" s="345" t="s">
        <v>207</v>
      </c>
      <c r="O7042" s="345" t="s">
        <v>208</v>
      </c>
      <c r="P7042" s="345" t="s">
        <v>209</v>
      </c>
      <c r="Q7042" s="345" t="s">
        <v>210</v>
      </c>
      <c r="R7042" s="345" t="s">
        <v>223</v>
      </c>
      <c r="S7042" s="345" t="s">
        <v>224</v>
      </c>
    </row>
    <row r="7043" spans="1:19" x14ac:dyDescent="0.25">
      <c r="A7043" s="311"/>
      <c r="B7043" s="312"/>
      <c r="C7043" s="312"/>
      <c r="D7043" s="312"/>
      <c r="E7043" s="312"/>
      <c r="F7043" s="312"/>
      <c r="G7043" s="328"/>
      <c r="H7043" s="453"/>
      <c r="I7043" s="334"/>
      <c r="J7043" s="314"/>
      <c r="K7043" s="454"/>
      <c r="M7043" s="349" t="str">
        <f>N7043&amp;AS[[#This Row],[Insurer Code]]&amp;"; "&amp;O7043&amp;AS[[#This Row],[Reporting Year]]&amp;"; "&amp;P7043&amp;AS[[#This Row],[Insurance Category Code]]&amp;"; "&amp;Q7043&amp;AS[[#This Row],[Large Provider Entity Code]]&amp;"; "&amp;R7043&amp;AS[[#This Row],[Age Band Code]]&amp;"; "&amp;S7043&amp;AS[[#This Row],[Sex Code]]</f>
        <v xml:space="preserve">Insurer Code ; Reporting Year ; Insurance Category Code ; Large Provider Entity Code ; Age Band Code ; Sex Code </v>
      </c>
      <c r="N7043" s="345" t="s">
        <v>207</v>
      </c>
      <c r="O7043" s="345" t="s">
        <v>208</v>
      </c>
      <c r="P7043" s="345" t="s">
        <v>209</v>
      </c>
      <c r="Q7043" s="345" t="s">
        <v>210</v>
      </c>
      <c r="R7043" s="345" t="s">
        <v>223</v>
      </c>
      <c r="S7043" s="345" t="s">
        <v>224</v>
      </c>
    </row>
    <row r="7044" spans="1:19" x14ac:dyDescent="0.25">
      <c r="A7044" s="311"/>
      <c r="B7044" s="312"/>
      <c r="C7044" s="312"/>
      <c r="D7044" s="312"/>
      <c r="E7044" s="312"/>
      <c r="F7044" s="312"/>
      <c r="G7044" s="328"/>
      <c r="H7044" s="453"/>
      <c r="I7044" s="334"/>
      <c r="J7044" s="314"/>
      <c r="K7044" s="454"/>
      <c r="M7044" s="349" t="str">
        <f>N7044&amp;AS[[#This Row],[Insurer Code]]&amp;"; "&amp;O7044&amp;AS[[#This Row],[Reporting Year]]&amp;"; "&amp;P7044&amp;AS[[#This Row],[Insurance Category Code]]&amp;"; "&amp;Q7044&amp;AS[[#This Row],[Large Provider Entity Code]]&amp;"; "&amp;R7044&amp;AS[[#This Row],[Age Band Code]]&amp;"; "&amp;S7044&amp;AS[[#This Row],[Sex Code]]</f>
        <v xml:space="preserve">Insurer Code ; Reporting Year ; Insurance Category Code ; Large Provider Entity Code ; Age Band Code ; Sex Code </v>
      </c>
      <c r="N7044" s="345" t="s">
        <v>207</v>
      </c>
      <c r="O7044" s="345" t="s">
        <v>208</v>
      </c>
      <c r="P7044" s="345" t="s">
        <v>209</v>
      </c>
      <c r="Q7044" s="345" t="s">
        <v>210</v>
      </c>
      <c r="R7044" s="345" t="s">
        <v>223</v>
      </c>
      <c r="S7044" s="345" t="s">
        <v>224</v>
      </c>
    </row>
    <row r="7045" spans="1:19" x14ac:dyDescent="0.25">
      <c r="A7045" s="311"/>
      <c r="B7045" s="312"/>
      <c r="C7045" s="312"/>
      <c r="D7045" s="312"/>
      <c r="E7045" s="312"/>
      <c r="F7045" s="312"/>
      <c r="G7045" s="328"/>
      <c r="H7045" s="453"/>
      <c r="I7045" s="334"/>
      <c r="J7045" s="314"/>
      <c r="K7045" s="454"/>
      <c r="M7045" s="349" t="str">
        <f>N7045&amp;AS[[#This Row],[Insurer Code]]&amp;"; "&amp;O7045&amp;AS[[#This Row],[Reporting Year]]&amp;"; "&amp;P7045&amp;AS[[#This Row],[Insurance Category Code]]&amp;"; "&amp;Q7045&amp;AS[[#This Row],[Large Provider Entity Code]]&amp;"; "&amp;R7045&amp;AS[[#This Row],[Age Band Code]]&amp;"; "&amp;S7045&amp;AS[[#This Row],[Sex Code]]</f>
        <v xml:space="preserve">Insurer Code ; Reporting Year ; Insurance Category Code ; Large Provider Entity Code ; Age Band Code ; Sex Code </v>
      </c>
      <c r="N7045" s="345" t="s">
        <v>207</v>
      </c>
      <c r="O7045" s="345" t="s">
        <v>208</v>
      </c>
      <c r="P7045" s="345" t="s">
        <v>209</v>
      </c>
      <c r="Q7045" s="345" t="s">
        <v>210</v>
      </c>
      <c r="R7045" s="345" t="s">
        <v>223</v>
      </c>
      <c r="S7045" s="345" t="s">
        <v>224</v>
      </c>
    </row>
    <row r="7046" spans="1:19" x14ac:dyDescent="0.25">
      <c r="A7046" s="311"/>
      <c r="B7046" s="312"/>
      <c r="C7046" s="312"/>
      <c r="D7046" s="312"/>
      <c r="E7046" s="312"/>
      <c r="F7046" s="312"/>
      <c r="G7046" s="328"/>
      <c r="H7046" s="453"/>
      <c r="I7046" s="334"/>
      <c r="J7046" s="314"/>
      <c r="K7046" s="454"/>
      <c r="M7046" s="349" t="str">
        <f>N7046&amp;AS[[#This Row],[Insurer Code]]&amp;"; "&amp;O7046&amp;AS[[#This Row],[Reporting Year]]&amp;"; "&amp;P7046&amp;AS[[#This Row],[Insurance Category Code]]&amp;"; "&amp;Q7046&amp;AS[[#This Row],[Large Provider Entity Code]]&amp;"; "&amp;R7046&amp;AS[[#This Row],[Age Band Code]]&amp;"; "&amp;S7046&amp;AS[[#This Row],[Sex Code]]</f>
        <v xml:space="preserve">Insurer Code ; Reporting Year ; Insurance Category Code ; Large Provider Entity Code ; Age Band Code ; Sex Code </v>
      </c>
      <c r="N7046" s="345" t="s">
        <v>207</v>
      </c>
      <c r="O7046" s="345" t="s">
        <v>208</v>
      </c>
      <c r="P7046" s="345" t="s">
        <v>209</v>
      </c>
      <c r="Q7046" s="345" t="s">
        <v>210</v>
      </c>
      <c r="R7046" s="345" t="s">
        <v>223</v>
      </c>
      <c r="S7046" s="345" t="s">
        <v>224</v>
      </c>
    </row>
    <row r="7047" spans="1:19" x14ac:dyDescent="0.25">
      <c r="A7047" s="311"/>
      <c r="B7047" s="312"/>
      <c r="C7047" s="312"/>
      <c r="D7047" s="312"/>
      <c r="E7047" s="312"/>
      <c r="F7047" s="312"/>
      <c r="G7047" s="328"/>
      <c r="H7047" s="453"/>
      <c r="I7047" s="334"/>
      <c r="J7047" s="314"/>
      <c r="K7047" s="454"/>
      <c r="M7047" s="349" t="str">
        <f>N7047&amp;AS[[#This Row],[Insurer Code]]&amp;"; "&amp;O7047&amp;AS[[#This Row],[Reporting Year]]&amp;"; "&amp;P7047&amp;AS[[#This Row],[Insurance Category Code]]&amp;"; "&amp;Q7047&amp;AS[[#This Row],[Large Provider Entity Code]]&amp;"; "&amp;R7047&amp;AS[[#This Row],[Age Band Code]]&amp;"; "&amp;S7047&amp;AS[[#This Row],[Sex Code]]</f>
        <v xml:space="preserve">Insurer Code ; Reporting Year ; Insurance Category Code ; Large Provider Entity Code ; Age Band Code ; Sex Code </v>
      </c>
      <c r="N7047" s="345" t="s">
        <v>207</v>
      </c>
      <c r="O7047" s="345" t="s">
        <v>208</v>
      </c>
      <c r="P7047" s="345" t="s">
        <v>209</v>
      </c>
      <c r="Q7047" s="345" t="s">
        <v>210</v>
      </c>
      <c r="R7047" s="345" t="s">
        <v>223</v>
      </c>
      <c r="S7047" s="345" t="s">
        <v>224</v>
      </c>
    </row>
    <row r="7048" spans="1:19" x14ac:dyDescent="0.25">
      <c r="A7048" s="311"/>
      <c r="B7048" s="312"/>
      <c r="C7048" s="312"/>
      <c r="D7048" s="312"/>
      <c r="E7048" s="312"/>
      <c r="F7048" s="312"/>
      <c r="G7048" s="328"/>
      <c r="H7048" s="453"/>
      <c r="I7048" s="334"/>
      <c r="J7048" s="314"/>
      <c r="K7048" s="454"/>
      <c r="M7048" s="349" t="str">
        <f>N7048&amp;AS[[#This Row],[Insurer Code]]&amp;"; "&amp;O7048&amp;AS[[#This Row],[Reporting Year]]&amp;"; "&amp;P7048&amp;AS[[#This Row],[Insurance Category Code]]&amp;"; "&amp;Q7048&amp;AS[[#This Row],[Large Provider Entity Code]]&amp;"; "&amp;R7048&amp;AS[[#This Row],[Age Band Code]]&amp;"; "&amp;S7048&amp;AS[[#This Row],[Sex Code]]</f>
        <v xml:space="preserve">Insurer Code ; Reporting Year ; Insurance Category Code ; Large Provider Entity Code ; Age Band Code ; Sex Code </v>
      </c>
      <c r="N7048" s="345" t="s">
        <v>207</v>
      </c>
      <c r="O7048" s="345" t="s">
        <v>208</v>
      </c>
      <c r="P7048" s="345" t="s">
        <v>209</v>
      </c>
      <c r="Q7048" s="345" t="s">
        <v>210</v>
      </c>
      <c r="R7048" s="345" t="s">
        <v>223</v>
      </c>
      <c r="S7048" s="345" t="s">
        <v>224</v>
      </c>
    </row>
    <row r="7049" spans="1:19" x14ac:dyDescent="0.25">
      <c r="A7049" s="311"/>
      <c r="B7049" s="312"/>
      <c r="C7049" s="312"/>
      <c r="D7049" s="312"/>
      <c r="E7049" s="312"/>
      <c r="F7049" s="312"/>
      <c r="G7049" s="328"/>
      <c r="H7049" s="453"/>
      <c r="I7049" s="334"/>
      <c r="J7049" s="314"/>
      <c r="K7049" s="454"/>
      <c r="M7049" s="349" t="str">
        <f>N7049&amp;AS[[#This Row],[Insurer Code]]&amp;"; "&amp;O7049&amp;AS[[#This Row],[Reporting Year]]&amp;"; "&amp;P7049&amp;AS[[#This Row],[Insurance Category Code]]&amp;"; "&amp;Q7049&amp;AS[[#This Row],[Large Provider Entity Code]]&amp;"; "&amp;R7049&amp;AS[[#This Row],[Age Band Code]]&amp;"; "&amp;S7049&amp;AS[[#This Row],[Sex Code]]</f>
        <v xml:space="preserve">Insurer Code ; Reporting Year ; Insurance Category Code ; Large Provider Entity Code ; Age Band Code ; Sex Code </v>
      </c>
      <c r="N7049" s="345" t="s">
        <v>207</v>
      </c>
      <c r="O7049" s="345" t="s">
        <v>208</v>
      </c>
      <c r="P7049" s="345" t="s">
        <v>209</v>
      </c>
      <c r="Q7049" s="345" t="s">
        <v>210</v>
      </c>
      <c r="R7049" s="345" t="s">
        <v>223</v>
      </c>
      <c r="S7049" s="345" t="s">
        <v>224</v>
      </c>
    </row>
    <row r="7050" spans="1:19" x14ac:dyDescent="0.25">
      <c r="A7050" s="311"/>
      <c r="B7050" s="312"/>
      <c r="C7050" s="312"/>
      <c r="D7050" s="312"/>
      <c r="E7050" s="312"/>
      <c r="F7050" s="312"/>
      <c r="G7050" s="328"/>
      <c r="H7050" s="453"/>
      <c r="I7050" s="334"/>
      <c r="J7050" s="314"/>
      <c r="K7050" s="454"/>
      <c r="M7050" s="349" t="str">
        <f>N7050&amp;AS[[#This Row],[Insurer Code]]&amp;"; "&amp;O7050&amp;AS[[#This Row],[Reporting Year]]&amp;"; "&amp;P7050&amp;AS[[#This Row],[Insurance Category Code]]&amp;"; "&amp;Q7050&amp;AS[[#This Row],[Large Provider Entity Code]]&amp;"; "&amp;R7050&amp;AS[[#This Row],[Age Band Code]]&amp;"; "&amp;S7050&amp;AS[[#This Row],[Sex Code]]</f>
        <v xml:space="preserve">Insurer Code ; Reporting Year ; Insurance Category Code ; Large Provider Entity Code ; Age Band Code ; Sex Code </v>
      </c>
      <c r="N7050" s="345" t="s">
        <v>207</v>
      </c>
      <c r="O7050" s="345" t="s">
        <v>208</v>
      </c>
      <c r="P7050" s="345" t="s">
        <v>209</v>
      </c>
      <c r="Q7050" s="345" t="s">
        <v>210</v>
      </c>
      <c r="R7050" s="345" t="s">
        <v>223</v>
      </c>
      <c r="S7050" s="345" t="s">
        <v>224</v>
      </c>
    </row>
    <row r="7051" spans="1:19" x14ac:dyDescent="0.25">
      <c r="A7051" s="311"/>
      <c r="B7051" s="312"/>
      <c r="C7051" s="312"/>
      <c r="D7051" s="312"/>
      <c r="E7051" s="312"/>
      <c r="F7051" s="312"/>
      <c r="G7051" s="328"/>
      <c r="H7051" s="453"/>
      <c r="I7051" s="334"/>
      <c r="J7051" s="314"/>
      <c r="K7051" s="454"/>
      <c r="M7051" s="349" t="str">
        <f>N7051&amp;AS[[#This Row],[Insurer Code]]&amp;"; "&amp;O7051&amp;AS[[#This Row],[Reporting Year]]&amp;"; "&amp;P7051&amp;AS[[#This Row],[Insurance Category Code]]&amp;"; "&amp;Q7051&amp;AS[[#This Row],[Large Provider Entity Code]]&amp;"; "&amp;R7051&amp;AS[[#This Row],[Age Band Code]]&amp;"; "&amp;S7051&amp;AS[[#This Row],[Sex Code]]</f>
        <v xml:space="preserve">Insurer Code ; Reporting Year ; Insurance Category Code ; Large Provider Entity Code ; Age Band Code ; Sex Code </v>
      </c>
      <c r="N7051" s="345" t="s">
        <v>207</v>
      </c>
      <c r="O7051" s="345" t="s">
        <v>208</v>
      </c>
      <c r="P7051" s="345" t="s">
        <v>209</v>
      </c>
      <c r="Q7051" s="345" t="s">
        <v>210</v>
      </c>
      <c r="R7051" s="345" t="s">
        <v>223</v>
      </c>
      <c r="S7051" s="345" t="s">
        <v>224</v>
      </c>
    </row>
    <row r="7052" spans="1:19" x14ac:dyDescent="0.25">
      <c r="A7052" s="311"/>
      <c r="B7052" s="312"/>
      <c r="C7052" s="312"/>
      <c r="D7052" s="312"/>
      <c r="E7052" s="312"/>
      <c r="F7052" s="312"/>
      <c r="G7052" s="328"/>
      <c r="H7052" s="453"/>
      <c r="I7052" s="334"/>
      <c r="J7052" s="314"/>
      <c r="K7052" s="454"/>
      <c r="M7052" s="349" t="str">
        <f>N7052&amp;AS[[#This Row],[Insurer Code]]&amp;"; "&amp;O7052&amp;AS[[#This Row],[Reporting Year]]&amp;"; "&amp;P7052&amp;AS[[#This Row],[Insurance Category Code]]&amp;"; "&amp;Q7052&amp;AS[[#This Row],[Large Provider Entity Code]]&amp;"; "&amp;R7052&amp;AS[[#This Row],[Age Band Code]]&amp;"; "&amp;S7052&amp;AS[[#This Row],[Sex Code]]</f>
        <v xml:space="preserve">Insurer Code ; Reporting Year ; Insurance Category Code ; Large Provider Entity Code ; Age Band Code ; Sex Code </v>
      </c>
      <c r="N7052" s="345" t="s">
        <v>207</v>
      </c>
      <c r="O7052" s="345" t="s">
        <v>208</v>
      </c>
      <c r="P7052" s="345" t="s">
        <v>209</v>
      </c>
      <c r="Q7052" s="345" t="s">
        <v>210</v>
      </c>
      <c r="R7052" s="345" t="s">
        <v>223</v>
      </c>
      <c r="S7052" s="345" t="s">
        <v>224</v>
      </c>
    </row>
    <row r="7053" spans="1:19" x14ac:dyDescent="0.25">
      <c r="A7053" s="311"/>
      <c r="B7053" s="312"/>
      <c r="C7053" s="312"/>
      <c r="D7053" s="312"/>
      <c r="E7053" s="312"/>
      <c r="F7053" s="312"/>
      <c r="G7053" s="328"/>
      <c r="H7053" s="453"/>
      <c r="I7053" s="334"/>
      <c r="J7053" s="314"/>
      <c r="K7053" s="454"/>
      <c r="M7053" s="349" t="str">
        <f>N7053&amp;AS[[#This Row],[Insurer Code]]&amp;"; "&amp;O7053&amp;AS[[#This Row],[Reporting Year]]&amp;"; "&amp;P7053&amp;AS[[#This Row],[Insurance Category Code]]&amp;"; "&amp;Q7053&amp;AS[[#This Row],[Large Provider Entity Code]]&amp;"; "&amp;R7053&amp;AS[[#This Row],[Age Band Code]]&amp;"; "&amp;S7053&amp;AS[[#This Row],[Sex Code]]</f>
        <v xml:space="preserve">Insurer Code ; Reporting Year ; Insurance Category Code ; Large Provider Entity Code ; Age Band Code ; Sex Code </v>
      </c>
      <c r="N7053" s="345" t="s">
        <v>207</v>
      </c>
      <c r="O7053" s="345" t="s">
        <v>208</v>
      </c>
      <c r="P7053" s="345" t="s">
        <v>209</v>
      </c>
      <c r="Q7053" s="345" t="s">
        <v>210</v>
      </c>
      <c r="R7053" s="345" t="s">
        <v>223</v>
      </c>
      <c r="S7053" s="345" t="s">
        <v>224</v>
      </c>
    </row>
    <row r="7054" spans="1:19" x14ac:dyDescent="0.25">
      <c r="A7054" s="311"/>
      <c r="B7054" s="312"/>
      <c r="C7054" s="312"/>
      <c r="D7054" s="312"/>
      <c r="E7054" s="312"/>
      <c r="F7054" s="312"/>
      <c r="G7054" s="328"/>
      <c r="H7054" s="453"/>
      <c r="I7054" s="334"/>
      <c r="J7054" s="314"/>
      <c r="K7054" s="454"/>
      <c r="M7054" s="349" t="str">
        <f>N7054&amp;AS[[#This Row],[Insurer Code]]&amp;"; "&amp;O7054&amp;AS[[#This Row],[Reporting Year]]&amp;"; "&amp;P7054&amp;AS[[#This Row],[Insurance Category Code]]&amp;"; "&amp;Q7054&amp;AS[[#This Row],[Large Provider Entity Code]]&amp;"; "&amp;R7054&amp;AS[[#This Row],[Age Band Code]]&amp;"; "&amp;S7054&amp;AS[[#This Row],[Sex Code]]</f>
        <v xml:space="preserve">Insurer Code ; Reporting Year ; Insurance Category Code ; Large Provider Entity Code ; Age Band Code ; Sex Code </v>
      </c>
      <c r="N7054" s="345" t="s">
        <v>207</v>
      </c>
      <c r="O7054" s="345" t="s">
        <v>208</v>
      </c>
      <c r="P7054" s="345" t="s">
        <v>209</v>
      </c>
      <c r="Q7054" s="345" t="s">
        <v>210</v>
      </c>
      <c r="R7054" s="345" t="s">
        <v>223</v>
      </c>
      <c r="S7054" s="345" t="s">
        <v>224</v>
      </c>
    </row>
    <row r="7055" spans="1:19" x14ac:dyDescent="0.25">
      <c r="A7055" s="311"/>
      <c r="B7055" s="312"/>
      <c r="C7055" s="312"/>
      <c r="D7055" s="312"/>
      <c r="E7055" s="312"/>
      <c r="F7055" s="312"/>
      <c r="G7055" s="328"/>
      <c r="H7055" s="453"/>
      <c r="I7055" s="334"/>
      <c r="J7055" s="314"/>
      <c r="K7055" s="454"/>
      <c r="M7055" s="349" t="str">
        <f>N7055&amp;AS[[#This Row],[Insurer Code]]&amp;"; "&amp;O7055&amp;AS[[#This Row],[Reporting Year]]&amp;"; "&amp;P7055&amp;AS[[#This Row],[Insurance Category Code]]&amp;"; "&amp;Q7055&amp;AS[[#This Row],[Large Provider Entity Code]]&amp;"; "&amp;R7055&amp;AS[[#This Row],[Age Band Code]]&amp;"; "&amp;S7055&amp;AS[[#This Row],[Sex Code]]</f>
        <v xml:space="preserve">Insurer Code ; Reporting Year ; Insurance Category Code ; Large Provider Entity Code ; Age Band Code ; Sex Code </v>
      </c>
      <c r="N7055" s="345" t="s">
        <v>207</v>
      </c>
      <c r="O7055" s="345" t="s">
        <v>208</v>
      </c>
      <c r="P7055" s="345" t="s">
        <v>209</v>
      </c>
      <c r="Q7055" s="345" t="s">
        <v>210</v>
      </c>
      <c r="R7055" s="345" t="s">
        <v>223</v>
      </c>
      <c r="S7055" s="345" t="s">
        <v>224</v>
      </c>
    </row>
    <row r="7056" spans="1:19" x14ac:dyDescent="0.25">
      <c r="A7056" s="311"/>
      <c r="B7056" s="312"/>
      <c r="C7056" s="312"/>
      <c r="D7056" s="312"/>
      <c r="E7056" s="312"/>
      <c r="F7056" s="312"/>
      <c r="G7056" s="328"/>
      <c r="H7056" s="453"/>
      <c r="I7056" s="334"/>
      <c r="J7056" s="314"/>
      <c r="K7056" s="454"/>
      <c r="M7056" s="349" t="str">
        <f>N7056&amp;AS[[#This Row],[Insurer Code]]&amp;"; "&amp;O7056&amp;AS[[#This Row],[Reporting Year]]&amp;"; "&amp;P7056&amp;AS[[#This Row],[Insurance Category Code]]&amp;"; "&amp;Q7056&amp;AS[[#This Row],[Large Provider Entity Code]]&amp;"; "&amp;R7056&amp;AS[[#This Row],[Age Band Code]]&amp;"; "&amp;S7056&amp;AS[[#This Row],[Sex Code]]</f>
        <v xml:space="preserve">Insurer Code ; Reporting Year ; Insurance Category Code ; Large Provider Entity Code ; Age Band Code ; Sex Code </v>
      </c>
      <c r="N7056" s="345" t="s">
        <v>207</v>
      </c>
      <c r="O7056" s="345" t="s">
        <v>208</v>
      </c>
      <c r="P7056" s="345" t="s">
        <v>209</v>
      </c>
      <c r="Q7056" s="345" t="s">
        <v>210</v>
      </c>
      <c r="R7056" s="345" t="s">
        <v>223</v>
      </c>
      <c r="S7056" s="345" t="s">
        <v>224</v>
      </c>
    </row>
    <row r="7057" spans="1:19" x14ac:dyDescent="0.25">
      <c r="A7057" s="311"/>
      <c r="B7057" s="312"/>
      <c r="C7057" s="312"/>
      <c r="D7057" s="312"/>
      <c r="E7057" s="312"/>
      <c r="F7057" s="312"/>
      <c r="G7057" s="328"/>
      <c r="H7057" s="453"/>
      <c r="I7057" s="334"/>
      <c r="J7057" s="314"/>
      <c r="K7057" s="454"/>
      <c r="M7057" s="349" t="str">
        <f>N7057&amp;AS[[#This Row],[Insurer Code]]&amp;"; "&amp;O7057&amp;AS[[#This Row],[Reporting Year]]&amp;"; "&amp;P7057&amp;AS[[#This Row],[Insurance Category Code]]&amp;"; "&amp;Q7057&amp;AS[[#This Row],[Large Provider Entity Code]]&amp;"; "&amp;R7057&amp;AS[[#This Row],[Age Band Code]]&amp;"; "&amp;S7057&amp;AS[[#This Row],[Sex Code]]</f>
        <v xml:space="preserve">Insurer Code ; Reporting Year ; Insurance Category Code ; Large Provider Entity Code ; Age Band Code ; Sex Code </v>
      </c>
      <c r="N7057" s="345" t="s">
        <v>207</v>
      </c>
      <c r="O7057" s="345" t="s">
        <v>208</v>
      </c>
      <c r="P7057" s="345" t="s">
        <v>209</v>
      </c>
      <c r="Q7057" s="345" t="s">
        <v>210</v>
      </c>
      <c r="R7057" s="345" t="s">
        <v>223</v>
      </c>
      <c r="S7057" s="345" t="s">
        <v>224</v>
      </c>
    </row>
    <row r="7058" spans="1:19" x14ac:dyDescent="0.25">
      <c r="A7058" s="311"/>
      <c r="B7058" s="312"/>
      <c r="C7058" s="312"/>
      <c r="D7058" s="312"/>
      <c r="E7058" s="312"/>
      <c r="F7058" s="312"/>
      <c r="G7058" s="328"/>
      <c r="H7058" s="453"/>
      <c r="I7058" s="334"/>
      <c r="J7058" s="314"/>
      <c r="K7058" s="454"/>
      <c r="M7058" s="349" t="str">
        <f>N7058&amp;AS[[#This Row],[Insurer Code]]&amp;"; "&amp;O7058&amp;AS[[#This Row],[Reporting Year]]&amp;"; "&amp;P7058&amp;AS[[#This Row],[Insurance Category Code]]&amp;"; "&amp;Q7058&amp;AS[[#This Row],[Large Provider Entity Code]]&amp;"; "&amp;R7058&amp;AS[[#This Row],[Age Band Code]]&amp;"; "&amp;S7058&amp;AS[[#This Row],[Sex Code]]</f>
        <v xml:space="preserve">Insurer Code ; Reporting Year ; Insurance Category Code ; Large Provider Entity Code ; Age Band Code ; Sex Code </v>
      </c>
      <c r="N7058" s="345" t="s">
        <v>207</v>
      </c>
      <c r="O7058" s="345" t="s">
        <v>208</v>
      </c>
      <c r="P7058" s="345" t="s">
        <v>209</v>
      </c>
      <c r="Q7058" s="345" t="s">
        <v>210</v>
      </c>
      <c r="R7058" s="345" t="s">
        <v>223</v>
      </c>
      <c r="S7058" s="345" t="s">
        <v>224</v>
      </c>
    </row>
    <row r="7059" spans="1:19" x14ac:dyDescent="0.25">
      <c r="A7059" s="311"/>
      <c r="B7059" s="312"/>
      <c r="C7059" s="312"/>
      <c r="D7059" s="312"/>
      <c r="E7059" s="312"/>
      <c r="F7059" s="312"/>
      <c r="G7059" s="328"/>
      <c r="H7059" s="453"/>
      <c r="I7059" s="334"/>
      <c r="J7059" s="314"/>
      <c r="K7059" s="454"/>
      <c r="M7059" s="349" t="str">
        <f>N7059&amp;AS[[#This Row],[Insurer Code]]&amp;"; "&amp;O7059&amp;AS[[#This Row],[Reporting Year]]&amp;"; "&amp;P7059&amp;AS[[#This Row],[Insurance Category Code]]&amp;"; "&amp;Q7059&amp;AS[[#This Row],[Large Provider Entity Code]]&amp;"; "&amp;R7059&amp;AS[[#This Row],[Age Band Code]]&amp;"; "&amp;S7059&amp;AS[[#This Row],[Sex Code]]</f>
        <v xml:space="preserve">Insurer Code ; Reporting Year ; Insurance Category Code ; Large Provider Entity Code ; Age Band Code ; Sex Code </v>
      </c>
      <c r="N7059" s="345" t="s">
        <v>207</v>
      </c>
      <c r="O7059" s="345" t="s">
        <v>208</v>
      </c>
      <c r="P7059" s="345" t="s">
        <v>209</v>
      </c>
      <c r="Q7059" s="345" t="s">
        <v>210</v>
      </c>
      <c r="R7059" s="345" t="s">
        <v>223</v>
      </c>
      <c r="S7059" s="345" t="s">
        <v>224</v>
      </c>
    </row>
    <row r="7060" spans="1:19" x14ac:dyDescent="0.25">
      <c r="A7060" s="311"/>
      <c r="B7060" s="312"/>
      <c r="C7060" s="312"/>
      <c r="D7060" s="312"/>
      <c r="E7060" s="312"/>
      <c r="F7060" s="312"/>
      <c r="G7060" s="328"/>
      <c r="H7060" s="453"/>
      <c r="I7060" s="334"/>
      <c r="J7060" s="314"/>
      <c r="K7060" s="454"/>
      <c r="M7060" s="349" t="str">
        <f>N7060&amp;AS[[#This Row],[Insurer Code]]&amp;"; "&amp;O7060&amp;AS[[#This Row],[Reporting Year]]&amp;"; "&amp;P7060&amp;AS[[#This Row],[Insurance Category Code]]&amp;"; "&amp;Q7060&amp;AS[[#This Row],[Large Provider Entity Code]]&amp;"; "&amp;R7060&amp;AS[[#This Row],[Age Band Code]]&amp;"; "&amp;S7060&amp;AS[[#This Row],[Sex Code]]</f>
        <v xml:space="preserve">Insurer Code ; Reporting Year ; Insurance Category Code ; Large Provider Entity Code ; Age Band Code ; Sex Code </v>
      </c>
      <c r="N7060" s="345" t="s">
        <v>207</v>
      </c>
      <c r="O7060" s="345" t="s">
        <v>208</v>
      </c>
      <c r="P7060" s="345" t="s">
        <v>209</v>
      </c>
      <c r="Q7060" s="345" t="s">
        <v>210</v>
      </c>
      <c r="R7060" s="345" t="s">
        <v>223</v>
      </c>
      <c r="S7060" s="345" t="s">
        <v>224</v>
      </c>
    </row>
    <row r="7061" spans="1:19" x14ac:dyDescent="0.25">
      <c r="A7061" s="311"/>
      <c r="B7061" s="312"/>
      <c r="C7061" s="312"/>
      <c r="D7061" s="312"/>
      <c r="E7061" s="312"/>
      <c r="F7061" s="312"/>
      <c r="G7061" s="328"/>
      <c r="H7061" s="453"/>
      <c r="I7061" s="334"/>
      <c r="J7061" s="314"/>
      <c r="K7061" s="454"/>
      <c r="M7061" s="349" t="str">
        <f>N7061&amp;AS[[#This Row],[Insurer Code]]&amp;"; "&amp;O7061&amp;AS[[#This Row],[Reporting Year]]&amp;"; "&amp;P7061&amp;AS[[#This Row],[Insurance Category Code]]&amp;"; "&amp;Q7061&amp;AS[[#This Row],[Large Provider Entity Code]]&amp;"; "&amp;R7061&amp;AS[[#This Row],[Age Band Code]]&amp;"; "&amp;S7061&amp;AS[[#This Row],[Sex Code]]</f>
        <v xml:space="preserve">Insurer Code ; Reporting Year ; Insurance Category Code ; Large Provider Entity Code ; Age Band Code ; Sex Code </v>
      </c>
      <c r="N7061" s="345" t="s">
        <v>207</v>
      </c>
      <c r="O7061" s="345" t="s">
        <v>208</v>
      </c>
      <c r="P7061" s="345" t="s">
        <v>209</v>
      </c>
      <c r="Q7061" s="345" t="s">
        <v>210</v>
      </c>
      <c r="R7061" s="345" t="s">
        <v>223</v>
      </c>
      <c r="S7061" s="345" t="s">
        <v>224</v>
      </c>
    </row>
    <row r="7062" spans="1:19" x14ac:dyDescent="0.25">
      <c r="A7062" s="311"/>
      <c r="B7062" s="312"/>
      <c r="C7062" s="312"/>
      <c r="D7062" s="312"/>
      <c r="E7062" s="312"/>
      <c r="F7062" s="312"/>
      <c r="G7062" s="328"/>
      <c r="H7062" s="453"/>
      <c r="I7062" s="334"/>
      <c r="J7062" s="314"/>
      <c r="K7062" s="454"/>
      <c r="M7062" s="349" t="str">
        <f>N7062&amp;AS[[#This Row],[Insurer Code]]&amp;"; "&amp;O7062&amp;AS[[#This Row],[Reporting Year]]&amp;"; "&amp;P7062&amp;AS[[#This Row],[Insurance Category Code]]&amp;"; "&amp;Q7062&amp;AS[[#This Row],[Large Provider Entity Code]]&amp;"; "&amp;R7062&amp;AS[[#This Row],[Age Band Code]]&amp;"; "&amp;S7062&amp;AS[[#This Row],[Sex Code]]</f>
        <v xml:space="preserve">Insurer Code ; Reporting Year ; Insurance Category Code ; Large Provider Entity Code ; Age Band Code ; Sex Code </v>
      </c>
      <c r="N7062" s="345" t="s">
        <v>207</v>
      </c>
      <c r="O7062" s="345" t="s">
        <v>208</v>
      </c>
      <c r="P7062" s="345" t="s">
        <v>209</v>
      </c>
      <c r="Q7062" s="345" t="s">
        <v>210</v>
      </c>
      <c r="R7062" s="345" t="s">
        <v>223</v>
      </c>
      <c r="S7062" s="345" t="s">
        <v>224</v>
      </c>
    </row>
    <row r="7063" spans="1:19" x14ac:dyDescent="0.25">
      <c r="A7063" s="311"/>
      <c r="B7063" s="312"/>
      <c r="C7063" s="312"/>
      <c r="D7063" s="312"/>
      <c r="E7063" s="312"/>
      <c r="F7063" s="312"/>
      <c r="G7063" s="328"/>
      <c r="H7063" s="453"/>
      <c r="I7063" s="334"/>
      <c r="J7063" s="314"/>
      <c r="K7063" s="454"/>
      <c r="M7063" s="349" t="str">
        <f>N7063&amp;AS[[#This Row],[Insurer Code]]&amp;"; "&amp;O7063&amp;AS[[#This Row],[Reporting Year]]&amp;"; "&amp;P7063&amp;AS[[#This Row],[Insurance Category Code]]&amp;"; "&amp;Q7063&amp;AS[[#This Row],[Large Provider Entity Code]]&amp;"; "&amp;R7063&amp;AS[[#This Row],[Age Band Code]]&amp;"; "&amp;S7063&amp;AS[[#This Row],[Sex Code]]</f>
        <v xml:space="preserve">Insurer Code ; Reporting Year ; Insurance Category Code ; Large Provider Entity Code ; Age Band Code ; Sex Code </v>
      </c>
      <c r="N7063" s="345" t="s">
        <v>207</v>
      </c>
      <c r="O7063" s="345" t="s">
        <v>208</v>
      </c>
      <c r="P7063" s="345" t="s">
        <v>209</v>
      </c>
      <c r="Q7063" s="345" t="s">
        <v>210</v>
      </c>
      <c r="R7063" s="345" t="s">
        <v>223</v>
      </c>
      <c r="S7063" s="345" t="s">
        <v>224</v>
      </c>
    </row>
    <row r="7064" spans="1:19" x14ac:dyDescent="0.25">
      <c r="A7064" s="311"/>
      <c r="B7064" s="312"/>
      <c r="C7064" s="312"/>
      <c r="D7064" s="312"/>
      <c r="E7064" s="312"/>
      <c r="F7064" s="312"/>
      <c r="G7064" s="328"/>
      <c r="H7064" s="453"/>
      <c r="I7064" s="334"/>
      <c r="J7064" s="314"/>
      <c r="K7064" s="454"/>
      <c r="M7064" s="349" t="str">
        <f>N7064&amp;AS[[#This Row],[Insurer Code]]&amp;"; "&amp;O7064&amp;AS[[#This Row],[Reporting Year]]&amp;"; "&amp;P7064&amp;AS[[#This Row],[Insurance Category Code]]&amp;"; "&amp;Q7064&amp;AS[[#This Row],[Large Provider Entity Code]]&amp;"; "&amp;R7064&amp;AS[[#This Row],[Age Band Code]]&amp;"; "&amp;S7064&amp;AS[[#This Row],[Sex Code]]</f>
        <v xml:space="preserve">Insurer Code ; Reporting Year ; Insurance Category Code ; Large Provider Entity Code ; Age Band Code ; Sex Code </v>
      </c>
      <c r="N7064" s="345" t="s">
        <v>207</v>
      </c>
      <c r="O7064" s="345" t="s">
        <v>208</v>
      </c>
      <c r="P7064" s="345" t="s">
        <v>209</v>
      </c>
      <c r="Q7064" s="345" t="s">
        <v>210</v>
      </c>
      <c r="R7064" s="345" t="s">
        <v>223</v>
      </c>
      <c r="S7064" s="345" t="s">
        <v>224</v>
      </c>
    </row>
    <row r="7065" spans="1:19" x14ac:dyDescent="0.25">
      <c r="A7065" s="311"/>
      <c r="B7065" s="312"/>
      <c r="C7065" s="312"/>
      <c r="D7065" s="312"/>
      <c r="E7065" s="312"/>
      <c r="F7065" s="312"/>
      <c r="G7065" s="328"/>
      <c r="H7065" s="453"/>
      <c r="I7065" s="334"/>
      <c r="J7065" s="314"/>
      <c r="K7065" s="454"/>
      <c r="M7065" s="349" t="str">
        <f>N7065&amp;AS[[#This Row],[Insurer Code]]&amp;"; "&amp;O7065&amp;AS[[#This Row],[Reporting Year]]&amp;"; "&amp;P7065&amp;AS[[#This Row],[Insurance Category Code]]&amp;"; "&amp;Q7065&amp;AS[[#This Row],[Large Provider Entity Code]]&amp;"; "&amp;R7065&amp;AS[[#This Row],[Age Band Code]]&amp;"; "&amp;S7065&amp;AS[[#This Row],[Sex Code]]</f>
        <v xml:space="preserve">Insurer Code ; Reporting Year ; Insurance Category Code ; Large Provider Entity Code ; Age Band Code ; Sex Code </v>
      </c>
      <c r="N7065" s="345" t="s">
        <v>207</v>
      </c>
      <c r="O7065" s="345" t="s">
        <v>208</v>
      </c>
      <c r="P7065" s="345" t="s">
        <v>209</v>
      </c>
      <c r="Q7065" s="345" t="s">
        <v>210</v>
      </c>
      <c r="R7065" s="345" t="s">
        <v>223</v>
      </c>
      <c r="S7065" s="345" t="s">
        <v>224</v>
      </c>
    </row>
    <row r="7066" spans="1:19" x14ac:dyDescent="0.25">
      <c r="A7066" s="311"/>
      <c r="B7066" s="312"/>
      <c r="C7066" s="312"/>
      <c r="D7066" s="312"/>
      <c r="E7066" s="312"/>
      <c r="F7066" s="312"/>
      <c r="G7066" s="328"/>
      <c r="H7066" s="453"/>
      <c r="I7066" s="334"/>
      <c r="J7066" s="314"/>
      <c r="K7066" s="454"/>
      <c r="M7066" s="349" t="str">
        <f>N7066&amp;AS[[#This Row],[Insurer Code]]&amp;"; "&amp;O7066&amp;AS[[#This Row],[Reporting Year]]&amp;"; "&amp;P7066&amp;AS[[#This Row],[Insurance Category Code]]&amp;"; "&amp;Q7066&amp;AS[[#This Row],[Large Provider Entity Code]]&amp;"; "&amp;R7066&amp;AS[[#This Row],[Age Band Code]]&amp;"; "&amp;S7066&amp;AS[[#This Row],[Sex Code]]</f>
        <v xml:space="preserve">Insurer Code ; Reporting Year ; Insurance Category Code ; Large Provider Entity Code ; Age Band Code ; Sex Code </v>
      </c>
      <c r="N7066" s="345" t="s">
        <v>207</v>
      </c>
      <c r="O7066" s="345" t="s">
        <v>208</v>
      </c>
      <c r="P7066" s="345" t="s">
        <v>209</v>
      </c>
      <c r="Q7066" s="345" t="s">
        <v>210</v>
      </c>
      <c r="R7066" s="345" t="s">
        <v>223</v>
      </c>
      <c r="S7066" s="345" t="s">
        <v>224</v>
      </c>
    </row>
    <row r="7067" spans="1:19" x14ac:dyDescent="0.25">
      <c r="A7067" s="311"/>
      <c r="B7067" s="312"/>
      <c r="C7067" s="312"/>
      <c r="D7067" s="312"/>
      <c r="E7067" s="312"/>
      <c r="F7067" s="312"/>
      <c r="G7067" s="328"/>
      <c r="H7067" s="453"/>
      <c r="I7067" s="334"/>
      <c r="J7067" s="314"/>
      <c r="K7067" s="454"/>
      <c r="M7067" s="349" t="str">
        <f>N7067&amp;AS[[#This Row],[Insurer Code]]&amp;"; "&amp;O7067&amp;AS[[#This Row],[Reporting Year]]&amp;"; "&amp;P7067&amp;AS[[#This Row],[Insurance Category Code]]&amp;"; "&amp;Q7067&amp;AS[[#This Row],[Large Provider Entity Code]]&amp;"; "&amp;R7067&amp;AS[[#This Row],[Age Band Code]]&amp;"; "&amp;S7067&amp;AS[[#This Row],[Sex Code]]</f>
        <v xml:space="preserve">Insurer Code ; Reporting Year ; Insurance Category Code ; Large Provider Entity Code ; Age Band Code ; Sex Code </v>
      </c>
      <c r="N7067" s="345" t="s">
        <v>207</v>
      </c>
      <c r="O7067" s="345" t="s">
        <v>208</v>
      </c>
      <c r="P7067" s="345" t="s">
        <v>209</v>
      </c>
      <c r="Q7067" s="345" t="s">
        <v>210</v>
      </c>
      <c r="R7067" s="345" t="s">
        <v>223</v>
      </c>
      <c r="S7067" s="345" t="s">
        <v>224</v>
      </c>
    </row>
    <row r="7068" spans="1:19" x14ac:dyDescent="0.25">
      <c r="A7068" s="311"/>
      <c r="B7068" s="312"/>
      <c r="C7068" s="312"/>
      <c r="D7068" s="312"/>
      <c r="E7068" s="312"/>
      <c r="F7068" s="312"/>
      <c r="G7068" s="328"/>
      <c r="H7068" s="453"/>
      <c r="I7068" s="334"/>
      <c r="J7068" s="314"/>
      <c r="K7068" s="454"/>
      <c r="M7068" s="349" t="str">
        <f>N7068&amp;AS[[#This Row],[Insurer Code]]&amp;"; "&amp;O7068&amp;AS[[#This Row],[Reporting Year]]&amp;"; "&amp;P7068&amp;AS[[#This Row],[Insurance Category Code]]&amp;"; "&amp;Q7068&amp;AS[[#This Row],[Large Provider Entity Code]]&amp;"; "&amp;R7068&amp;AS[[#This Row],[Age Band Code]]&amp;"; "&amp;S7068&amp;AS[[#This Row],[Sex Code]]</f>
        <v xml:space="preserve">Insurer Code ; Reporting Year ; Insurance Category Code ; Large Provider Entity Code ; Age Band Code ; Sex Code </v>
      </c>
      <c r="N7068" s="345" t="s">
        <v>207</v>
      </c>
      <c r="O7068" s="345" t="s">
        <v>208</v>
      </c>
      <c r="P7068" s="345" t="s">
        <v>209</v>
      </c>
      <c r="Q7068" s="345" t="s">
        <v>210</v>
      </c>
      <c r="R7068" s="345" t="s">
        <v>223</v>
      </c>
      <c r="S7068" s="345" t="s">
        <v>224</v>
      </c>
    </row>
    <row r="7069" spans="1:19" x14ac:dyDescent="0.25">
      <c r="A7069" s="311"/>
      <c r="B7069" s="312"/>
      <c r="C7069" s="312"/>
      <c r="D7069" s="312"/>
      <c r="E7069" s="312"/>
      <c r="F7069" s="312"/>
      <c r="G7069" s="328"/>
      <c r="H7069" s="453"/>
      <c r="I7069" s="334"/>
      <c r="J7069" s="314"/>
      <c r="K7069" s="454"/>
      <c r="M7069" s="349" t="str">
        <f>N7069&amp;AS[[#This Row],[Insurer Code]]&amp;"; "&amp;O7069&amp;AS[[#This Row],[Reporting Year]]&amp;"; "&amp;P7069&amp;AS[[#This Row],[Insurance Category Code]]&amp;"; "&amp;Q7069&amp;AS[[#This Row],[Large Provider Entity Code]]&amp;"; "&amp;R7069&amp;AS[[#This Row],[Age Band Code]]&amp;"; "&amp;S7069&amp;AS[[#This Row],[Sex Code]]</f>
        <v xml:space="preserve">Insurer Code ; Reporting Year ; Insurance Category Code ; Large Provider Entity Code ; Age Band Code ; Sex Code </v>
      </c>
      <c r="N7069" s="345" t="s">
        <v>207</v>
      </c>
      <c r="O7069" s="345" t="s">
        <v>208</v>
      </c>
      <c r="P7069" s="345" t="s">
        <v>209</v>
      </c>
      <c r="Q7069" s="345" t="s">
        <v>210</v>
      </c>
      <c r="R7069" s="345" t="s">
        <v>223</v>
      </c>
      <c r="S7069" s="345" t="s">
        <v>224</v>
      </c>
    </row>
    <row r="7070" spans="1:19" x14ac:dyDescent="0.25">
      <c r="A7070" s="311"/>
      <c r="B7070" s="312"/>
      <c r="C7070" s="312"/>
      <c r="D7070" s="312"/>
      <c r="E7070" s="312"/>
      <c r="F7070" s="312"/>
      <c r="G7070" s="328"/>
      <c r="H7070" s="453"/>
      <c r="I7070" s="334"/>
      <c r="J7070" s="314"/>
      <c r="K7070" s="454"/>
      <c r="M7070" s="349" t="str">
        <f>N7070&amp;AS[[#This Row],[Insurer Code]]&amp;"; "&amp;O7070&amp;AS[[#This Row],[Reporting Year]]&amp;"; "&amp;P7070&amp;AS[[#This Row],[Insurance Category Code]]&amp;"; "&amp;Q7070&amp;AS[[#This Row],[Large Provider Entity Code]]&amp;"; "&amp;R7070&amp;AS[[#This Row],[Age Band Code]]&amp;"; "&amp;S7070&amp;AS[[#This Row],[Sex Code]]</f>
        <v xml:space="preserve">Insurer Code ; Reporting Year ; Insurance Category Code ; Large Provider Entity Code ; Age Band Code ; Sex Code </v>
      </c>
      <c r="N7070" s="345" t="s">
        <v>207</v>
      </c>
      <c r="O7070" s="345" t="s">
        <v>208</v>
      </c>
      <c r="P7070" s="345" t="s">
        <v>209</v>
      </c>
      <c r="Q7070" s="345" t="s">
        <v>210</v>
      </c>
      <c r="R7070" s="345" t="s">
        <v>223</v>
      </c>
      <c r="S7070" s="345" t="s">
        <v>224</v>
      </c>
    </row>
    <row r="7071" spans="1:19" x14ac:dyDescent="0.25">
      <c r="A7071" s="311"/>
      <c r="B7071" s="312"/>
      <c r="C7071" s="312"/>
      <c r="D7071" s="312"/>
      <c r="E7071" s="312"/>
      <c r="F7071" s="312"/>
      <c r="G7071" s="328"/>
      <c r="H7071" s="453"/>
      <c r="I7071" s="334"/>
      <c r="J7071" s="314"/>
      <c r="K7071" s="454"/>
      <c r="M7071" s="349" t="str">
        <f>N7071&amp;AS[[#This Row],[Insurer Code]]&amp;"; "&amp;O7071&amp;AS[[#This Row],[Reporting Year]]&amp;"; "&amp;P7071&amp;AS[[#This Row],[Insurance Category Code]]&amp;"; "&amp;Q7071&amp;AS[[#This Row],[Large Provider Entity Code]]&amp;"; "&amp;R7071&amp;AS[[#This Row],[Age Band Code]]&amp;"; "&amp;S7071&amp;AS[[#This Row],[Sex Code]]</f>
        <v xml:space="preserve">Insurer Code ; Reporting Year ; Insurance Category Code ; Large Provider Entity Code ; Age Band Code ; Sex Code </v>
      </c>
      <c r="N7071" s="345" t="s">
        <v>207</v>
      </c>
      <c r="O7071" s="345" t="s">
        <v>208</v>
      </c>
      <c r="P7071" s="345" t="s">
        <v>209</v>
      </c>
      <c r="Q7071" s="345" t="s">
        <v>210</v>
      </c>
      <c r="R7071" s="345" t="s">
        <v>223</v>
      </c>
      <c r="S7071" s="345" t="s">
        <v>224</v>
      </c>
    </row>
    <row r="7072" spans="1:19" x14ac:dyDescent="0.25">
      <c r="A7072" s="311"/>
      <c r="B7072" s="312"/>
      <c r="C7072" s="312"/>
      <c r="D7072" s="312"/>
      <c r="E7072" s="312"/>
      <c r="F7072" s="312"/>
      <c r="G7072" s="328"/>
      <c r="H7072" s="453"/>
      <c r="I7072" s="334"/>
      <c r="J7072" s="314"/>
      <c r="K7072" s="454"/>
      <c r="M7072" s="349" t="str">
        <f>N7072&amp;AS[[#This Row],[Insurer Code]]&amp;"; "&amp;O7072&amp;AS[[#This Row],[Reporting Year]]&amp;"; "&amp;P7072&amp;AS[[#This Row],[Insurance Category Code]]&amp;"; "&amp;Q7072&amp;AS[[#This Row],[Large Provider Entity Code]]&amp;"; "&amp;R7072&amp;AS[[#This Row],[Age Band Code]]&amp;"; "&amp;S7072&amp;AS[[#This Row],[Sex Code]]</f>
        <v xml:space="preserve">Insurer Code ; Reporting Year ; Insurance Category Code ; Large Provider Entity Code ; Age Band Code ; Sex Code </v>
      </c>
      <c r="N7072" s="345" t="s">
        <v>207</v>
      </c>
      <c r="O7072" s="345" t="s">
        <v>208</v>
      </c>
      <c r="P7072" s="345" t="s">
        <v>209</v>
      </c>
      <c r="Q7072" s="345" t="s">
        <v>210</v>
      </c>
      <c r="R7072" s="345" t="s">
        <v>223</v>
      </c>
      <c r="S7072" s="345" t="s">
        <v>224</v>
      </c>
    </row>
    <row r="7073" spans="1:19" x14ac:dyDescent="0.25">
      <c r="A7073" s="311"/>
      <c r="B7073" s="312"/>
      <c r="C7073" s="312"/>
      <c r="D7073" s="312"/>
      <c r="E7073" s="312"/>
      <c r="F7073" s="312"/>
      <c r="G7073" s="328"/>
      <c r="H7073" s="453"/>
      <c r="I7073" s="334"/>
      <c r="J7073" s="314"/>
      <c r="K7073" s="454"/>
      <c r="M7073" s="349" t="str">
        <f>N7073&amp;AS[[#This Row],[Insurer Code]]&amp;"; "&amp;O7073&amp;AS[[#This Row],[Reporting Year]]&amp;"; "&amp;P7073&amp;AS[[#This Row],[Insurance Category Code]]&amp;"; "&amp;Q7073&amp;AS[[#This Row],[Large Provider Entity Code]]&amp;"; "&amp;R7073&amp;AS[[#This Row],[Age Band Code]]&amp;"; "&amp;S7073&amp;AS[[#This Row],[Sex Code]]</f>
        <v xml:space="preserve">Insurer Code ; Reporting Year ; Insurance Category Code ; Large Provider Entity Code ; Age Band Code ; Sex Code </v>
      </c>
      <c r="N7073" s="345" t="s">
        <v>207</v>
      </c>
      <c r="O7073" s="345" t="s">
        <v>208</v>
      </c>
      <c r="P7073" s="345" t="s">
        <v>209</v>
      </c>
      <c r="Q7073" s="345" t="s">
        <v>210</v>
      </c>
      <c r="R7073" s="345" t="s">
        <v>223</v>
      </c>
      <c r="S7073" s="345" t="s">
        <v>224</v>
      </c>
    </row>
    <row r="7074" spans="1:19" x14ac:dyDescent="0.25">
      <c r="A7074" s="311"/>
      <c r="B7074" s="312"/>
      <c r="C7074" s="312"/>
      <c r="D7074" s="312"/>
      <c r="E7074" s="312"/>
      <c r="F7074" s="312"/>
      <c r="G7074" s="328"/>
      <c r="H7074" s="453"/>
      <c r="I7074" s="334"/>
      <c r="J7074" s="314"/>
      <c r="K7074" s="454"/>
      <c r="M7074" s="349" t="str">
        <f>N7074&amp;AS[[#This Row],[Insurer Code]]&amp;"; "&amp;O7074&amp;AS[[#This Row],[Reporting Year]]&amp;"; "&amp;P7074&amp;AS[[#This Row],[Insurance Category Code]]&amp;"; "&amp;Q7074&amp;AS[[#This Row],[Large Provider Entity Code]]&amp;"; "&amp;R7074&amp;AS[[#This Row],[Age Band Code]]&amp;"; "&amp;S7074&amp;AS[[#This Row],[Sex Code]]</f>
        <v xml:space="preserve">Insurer Code ; Reporting Year ; Insurance Category Code ; Large Provider Entity Code ; Age Band Code ; Sex Code </v>
      </c>
      <c r="N7074" s="345" t="s">
        <v>207</v>
      </c>
      <c r="O7074" s="345" t="s">
        <v>208</v>
      </c>
      <c r="P7074" s="345" t="s">
        <v>209</v>
      </c>
      <c r="Q7074" s="345" t="s">
        <v>210</v>
      </c>
      <c r="R7074" s="345" t="s">
        <v>223</v>
      </c>
      <c r="S7074" s="345" t="s">
        <v>224</v>
      </c>
    </row>
    <row r="7075" spans="1:19" x14ac:dyDescent="0.25">
      <c r="A7075" s="311"/>
      <c r="B7075" s="312"/>
      <c r="C7075" s="312"/>
      <c r="D7075" s="312"/>
      <c r="E7075" s="312"/>
      <c r="F7075" s="312"/>
      <c r="G7075" s="328"/>
      <c r="H7075" s="453"/>
      <c r="I7075" s="334"/>
      <c r="J7075" s="314"/>
      <c r="K7075" s="454"/>
      <c r="M7075" s="349" t="str">
        <f>N7075&amp;AS[[#This Row],[Insurer Code]]&amp;"; "&amp;O7075&amp;AS[[#This Row],[Reporting Year]]&amp;"; "&amp;P7075&amp;AS[[#This Row],[Insurance Category Code]]&amp;"; "&amp;Q7075&amp;AS[[#This Row],[Large Provider Entity Code]]&amp;"; "&amp;R7075&amp;AS[[#This Row],[Age Band Code]]&amp;"; "&amp;S7075&amp;AS[[#This Row],[Sex Code]]</f>
        <v xml:space="preserve">Insurer Code ; Reporting Year ; Insurance Category Code ; Large Provider Entity Code ; Age Band Code ; Sex Code </v>
      </c>
      <c r="N7075" s="345" t="s">
        <v>207</v>
      </c>
      <c r="O7075" s="345" t="s">
        <v>208</v>
      </c>
      <c r="P7075" s="345" t="s">
        <v>209</v>
      </c>
      <c r="Q7075" s="345" t="s">
        <v>210</v>
      </c>
      <c r="R7075" s="345" t="s">
        <v>223</v>
      </c>
      <c r="S7075" s="345" t="s">
        <v>224</v>
      </c>
    </row>
    <row r="7076" spans="1:19" x14ac:dyDescent="0.25">
      <c r="A7076" s="311"/>
      <c r="B7076" s="312"/>
      <c r="C7076" s="312"/>
      <c r="D7076" s="312"/>
      <c r="E7076" s="312"/>
      <c r="F7076" s="312"/>
      <c r="G7076" s="328"/>
      <c r="H7076" s="453"/>
      <c r="I7076" s="334"/>
      <c r="J7076" s="314"/>
      <c r="K7076" s="454"/>
      <c r="M7076" s="349" t="str">
        <f>N7076&amp;AS[[#This Row],[Insurer Code]]&amp;"; "&amp;O7076&amp;AS[[#This Row],[Reporting Year]]&amp;"; "&amp;P7076&amp;AS[[#This Row],[Insurance Category Code]]&amp;"; "&amp;Q7076&amp;AS[[#This Row],[Large Provider Entity Code]]&amp;"; "&amp;R7076&amp;AS[[#This Row],[Age Band Code]]&amp;"; "&amp;S7076&amp;AS[[#This Row],[Sex Code]]</f>
        <v xml:space="preserve">Insurer Code ; Reporting Year ; Insurance Category Code ; Large Provider Entity Code ; Age Band Code ; Sex Code </v>
      </c>
      <c r="N7076" s="345" t="s">
        <v>207</v>
      </c>
      <c r="O7076" s="345" t="s">
        <v>208</v>
      </c>
      <c r="P7076" s="345" t="s">
        <v>209</v>
      </c>
      <c r="Q7076" s="345" t="s">
        <v>210</v>
      </c>
      <c r="R7076" s="345" t="s">
        <v>223</v>
      </c>
      <c r="S7076" s="345" t="s">
        <v>224</v>
      </c>
    </row>
    <row r="7077" spans="1:19" x14ac:dyDescent="0.25">
      <c r="A7077" s="311"/>
      <c r="B7077" s="312"/>
      <c r="C7077" s="312"/>
      <c r="D7077" s="312"/>
      <c r="E7077" s="312"/>
      <c r="F7077" s="312"/>
      <c r="G7077" s="328"/>
      <c r="H7077" s="453"/>
      <c r="I7077" s="334"/>
      <c r="J7077" s="314"/>
      <c r="K7077" s="454"/>
      <c r="M7077" s="349" t="str">
        <f>N7077&amp;AS[[#This Row],[Insurer Code]]&amp;"; "&amp;O7077&amp;AS[[#This Row],[Reporting Year]]&amp;"; "&amp;P7077&amp;AS[[#This Row],[Insurance Category Code]]&amp;"; "&amp;Q7077&amp;AS[[#This Row],[Large Provider Entity Code]]&amp;"; "&amp;R7077&amp;AS[[#This Row],[Age Band Code]]&amp;"; "&amp;S7077&amp;AS[[#This Row],[Sex Code]]</f>
        <v xml:space="preserve">Insurer Code ; Reporting Year ; Insurance Category Code ; Large Provider Entity Code ; Age Band Code ; Sex Code </v>
      </c>
      <c r="N7077" s="345" t="s">
        <v>207</v>
      </c>
      <c r="O7077" s="345" t="s">
        <v>208</v>
      </c>
      <c r="P7077" s="345" t="s">
        <v>209</v>
      </c>
      <c r="Q7077" s="345" t="s">
        <v>210</v>
      </c>
      <c r="R7077" s="345" t="s">
        <v>223</v>
      </c>
      <c r="S7077" s="345" t="s">
        <v>224</v>
      </c>
    </row>
    <row r="7078" spans="1:19" x14ac:dyDescent="0.25">
      <c r="A7078" s="311"/>
      <c r="B7078" s="312"/>
      <c r="C7078" s="312"/>
      <c r="D7078" s="312"/>
      <c r="E7078" s="312"/>
      <c r="F7078" s="312"/>
      <c r="G7078" s="328"/>
      <c r="H7078" s="453"/>
      <c r="I7078" s="334"/>
      <c r="J7078" s="314"/>
      <c r="K7078" s="454"/>
      <c r="M7078" s="349" t="str">
        <f>N7078&amp;AS[[#This Row],[Insurer Code]]&amp;"; "&amp;O7078&amp;AS[[#This Row],[Reporting Year]]&amp;"; "&amp;P7078&amp;AS[[#This Row],[Insurance Category Code]]&amp;"; "&amp;Q7078&amp;AS[[#This Row],[Large Provider Entity Code]]&amp;"; "&amp;R7078&amp;AS[[#This Row],[Age Band Code]]&amp;"; "&amp;S7078&amp;AS[[#This Row],[Sex Code]]</f>
        <v xml:space="preserve">Insurer Code ; Reporting Year ; Insurance Category Code ; Large Provider Entity Code ; Age Band Code ; Sex Code </v>
      </c>
      <c r="N7078" s="345" t="s">
        <v>207</v>
      </c>
      <c r="O7078" s="345" t="s">
        <v>208</v>
      </c>
      <c r="P7078" s="345" t="s">
        <v>209</v>
      </c>
      <c r="Q7078" s="345" t="s">
        <v>210</v>
      </c>
      <c r="R7078" s="345" t="s">
        <v>223</v>
      </c>
      <c r="S7078" s="345" t="s">
        <v>224</v>
      </c>
    </row>
    <row r="7079" spans="1:19" x14ac:dyDescent="0.25">
      <c r="A7079" s="311"/>
      <c r="B7079" s="312"/>
      <c r="C7079" s="312"/>
      <c r="D7079" s="312"/>
      <c r="E7079" s="312"/>
      <c r="F7079" s="312"/>
      <c r="G7079" s="328"/>
      <c r="H7079" s="453"/>
      <c r="I7079" s="334"/>
      <c r="J7079" s="314"/>
      <c r="K7079" s="454"/>
      <c r="M7079" s="349" t="str">
        <f>N7079&amp;AS[[#This Row],[Insurer Code]]&amp;"; "&amp;O7079&amp;AS[[#This Row],[Reporting Year]]&amp;"; "&amp;P7079&amp;AS[[#This Row],[Insurance Category Code]]&amp;"; "&amp;Q7079&amp;AS[[#This Row],[Large Provider Entity Code]]&amp;"; "&amp;R7079&amp;AS[[#This Row],[Age Band Code]]&amp;"; "&amp;S7079&amp;AS[[#This Row],[Sex Code]]</f>
        <v xml:space="preserve">Insurer Code ; Reporting Year ; Insurance Category Code ; Large Provider Entity Code ; Age Band Code ; Sex Code </v>
      </c>
      <c r="N7079" s="345" t="s">
        <v>207</v>
      </c>
      <c r="O7079" s="345" t="s">
        <v>208</v>
      </c>
      <c r="P7079" s="345" t="s">
        <v>209</v>
      </c>
      <c r="Q7079" s="345" t="s">
        <v>210</v>
      </c>
      <c r="R7079" s="345" t="s">
        <v>223</v>
      </c>
      <c r="S7079" s="345" t="s">
        <v>224</v>
      </c>
    </row>
    <row r="7080" spans="1:19" x14ac:dyDescent="0.25">
      <c r="A7080" s="311"/>
      <c r="B7080" s="312"/>
      <c r="C7080" s="312"/>
      <c r="D7080" s="312"/>
      <c r="E7080" s="312"/>
      <c r="F7080" s="312"/>
      <c r="G7080" s="328"/>
      <c r="H7080" s="453"/>
      <c r="I7080" s="334"/>
      <c r="J7080" s="314"/>
      <c r="K7080" s="454"/>
      <c r="M7080" s="349" t="str">
        <f>N7080&amp;AS[[#This Row],[Insurer Code]]&amp;"; "&amp;O7080&amp;AS[[#This Row],[Reporting Year]]&amp;"; "&amp;P7080&amp;AS[[#This Row],[Insurance Category Code]]&amp;"; "&amp;Q7080&amp;AS[[#This Row],[Large Provider Entity Code]]&amp;"; "&amp;R7080&amp;AS[[#This Row],[Age Band Code]]&amp;"; "&amp;S7080&amp;AS[[#This Row],[Sex Code]]</f>
        <v xml:space="preserve">Insurer Code ; Reporting Year ; Insurance Category Code ; Large Provider Entity Code ; Age Band Code ; Sex Code </v>
      </c>
      <c r="N7080" s="345" t="s">
        <v>207</v>
      </c>
      <c r="O7080" s="345" t="s">
        <v>208</v>
      </c>
      <c r="P7080" s="345" t="s">
        <v>209</v>
      </c>
      <c r="Q7080" s="345" t="s">
        <v>210</v>
      </c>
      <c r="R7080" s="345" t="s">
        <v>223</v>
      </c>
      <c r="S7080" s="345" t="s">
        <v>224</v>
      </c>
    </row>
    <row r="7081" spans="1:19" x14ac:dyDescent="0.25">
      <c r="A7081" s="311"/>
      <c r="B7081" s="312"/>
      <c r="C7081" s="312"/>
      <c r="D7081" s="312"/>
      <c r="E7081" s="312"/>
      <c r="F7081" s="312"/>
      <c r="G7081" s="328"/>
      <c r="H7081" s="453"/>
      <c r="I7081" s="334"/>
      <c r="J7081" s="314"/>
      <c r="K7081" s="454"/>
      <c r="M7081" s="349" t="str">
        <f>N7081&amp;AS[[#This Row],[Insurer Code]]&amp;"; "&amp;O7081&amp;AS[[#This Row],[Reporting Year]]&amp;"; "&amp;P7081&amp;AS[[#This Row],[Insurance Category Code]]&amp;"; "&amp;Q7081&amp;AS[[#This Row],[Large Provider Entity Code]]&amp;"; "&amp;R7081&amp;AS[[#This Row],[Age Band Code]]&amp;"; "&amp;S7081&amp;AS[[#This Row],[Sex Code]]</f>
        <v xml:space="preserve">Insurer Code ; Reporting Year ; Insurance Category Code ; Large Provider Entity Code ; Age Band Code ; Sex Code </v>
      </c>
      <c r="N7081" s="345" t="s">
        <v>207</v>
      </c>
      <c r="O7081" s="345" t="s">
        <v>208</v>
      </c>
      <c r="P7081" s="345" t="s">
        <v>209</v>
      </c>
      <c r="Q7081" s="345" t="s">
        <v>210</v>
      </c>
      <c r="R7081" s="345" t="s">
        <v>223</v>
      </c>
      <c r="S7081" s="345" t="s">
        <v>224</v>
      </c>
    </row>
    <row r="7082" spans="1:19" x14ac:dyDescent="0.25">
      <c r="A7082" s="311"/>
      <c r="B7082" s="312"/>
      <c r="C7082" s="312"/>
      <c r="D7082" s="312"/>
      <c r="E7082" s="312"/>
      <c r="F7082" s="312"/>
      <c r="G7082" s="328"/>
      <c r="H7082" s="453"/>
      <c r="I7082" s="334"/>
      <c r="J7082" s="314"/>
      <c r="K7082" s="454"/>
      <c r="M7082" s="349" t="str">
        <f>N7082&amp;AS[[#This Row],[Insurer Code]]&amp;"; "&amp;O7082&amp;AS[[#This Row],[Reporting Year]]&amp;"; "&amp;P7082&amp;AS[[#This Row],[Insurance Category Code]]&amp;"; "&amp;Q7082&amp;AS[[#This Row],[Large Provider Entity Code]]&amp;"; "&amp;R7082&amp;AS[[#This Row],[Age Band Code]]&amp;"; "&amp;S7082&amp;AS[[#This Row],[Sex Code]]</f>
        <v xml:space="preserve">Insurer Code ; Reporting Year ; Insurance Category Code ; Large Provider Entity Code ; Age Band Code ; Sex Code </v>
      </c>
      <c r="N7082" s="345" t="s">
        <v>207</v>
      </c>
      <c r="O7082" s="345" t="s">
        <v>208</v>
      </c>
      <c r="P7082" s="345" t="s">
        <v>209</v>
      </c>
      <c r="Q7082" s="345" t="s">
        <v>210</v>
      </c>
      <c r="R7082" s="345" t="s">
        <v>223</v>
      </c>
      <c r="S7082" s="345" t="s">
        <v>224</v>
      </c>
    </row>
    <row r="7083" spans="1:19" x14ac:dyDescent="0.25">
      <c r="A7083" s="311"/>
      <c r="B7083" s="312"/>
      <c r="C7083" s="312"/>
      <c r="D7083" s="312"/>
      <c r="E7083" s="312"/>
      <c r="F7083" s="312"/>
      <c r="G7083" s="328"/>
      <c r="H7083" s="453"/>
      <c r="I7083" s="334"/>
      <c r="J7083" s="314"/>
      <c r="K7083" s="454"/>
      <c r="M7083" s="349" t="str">
        <f>N7083&amp;AS[[#This Row],[Insurer Code]]&amp;"; "&amp;O7083&amp;AS[[#This Row],[Reporting Year]]&amp;"; "&amp;P7083&amp;AS[[#This Row],[Insurance Category Code]]&amp;"; "&amp;Q7083&amp;AS[[#This Row],[Large Provider Entity Code]]&amp;"; "&amp;R7083&amp;AS[[#This Row],[Age Band Code]]&amp;"; "&amp;S7083&amp;AS[[#This Row],[Sex Code]]</f>
        <v xml:space="preserve">Insurer Code ; Reporting Year ; Insurance Category Code ; Large Provider Entity Code ; Age Band Code ; Sex Code </v>
      </c>
      <c r="N7083" s="345" t="s">
        <v>207</v>
      </c>
      <c r="O7083" s="345" t="s">
        <v>208</v>
      </c>
      <c r="P7083" s="345" t="s">
        <v>209</v>
      </c>
      <c r="Q7083" s="345" t="s">
        <v>210</v>
      </c>
      <c r="R7083" s="345" t="s">
        <v>223</v>
      </c>
      <c r="S7083" s="345" t="s">
        <v>224</v>
      </c>
    </row>
    <row r="7084" spans="1:19" x14ac:dyDescent="0.25">
      <c r="A7084" s="311"/>
      <c r="B7084" s="312"/>
      <c r="C7084" s="312"/>
      <c r="D7084" s="312"/>
      <c r="E7084" s="312"/>
      <c r="F7084" s="312"/>
      <c r="G7084" s="328"/>
      <c r="H7084" s="453"/>
      <c r="I7084" s="334"/>
      <c r="J7084" s="314"/>
      <c r="K7084" s="454"/>
      <c r="M7084" s="349" t="str">
        <f>N7084&amp;AS[[#This Row],[Insurer Code]]&amp;"; "&amp;O7084&amp;AS[[#This Row],[Reporting Year]]&amp;"; "&amp;P7084&amp;AS[[#This Row],[Insurance Category Code]]&amp;"; "&amp;Q7084&amp;AS[[#This Row],[Large Provider Entity Code]]&amp;"; "&amp;R7084&amp;AS[[#This Row],[Age Band Code]]&amp;"; "&amp;S7084&amp;AS[[#This Row],[Sex Code]]</f>
        <v xml:space="preserve">Insurer Code ; Reporting Year ; Insurance Category Code ; Large Provider Entity Code ; Age Band Code ; Sex Code </v>
      </c>
      <c r="N7084" s="345" t="s">
        <v>207</v>
      </c>
      <c r="O7084" s="345" t="s">
        <v>208</v>
      </c>
      <c r="P7084" s="345" t="s">
        <v>209</v>
      </c>
      <c r="Q7084" s="345" t="s">
        <v>210</v>
      </c>
      <c r="R7084" s="345" t="s">
        <v>223</v>
      </c>
      <c r="S7084" s="345" t="s">
        <v>224</v>
      </c>
    </row>
    <row r="7085" spans="1:19" x14ac:dyDescent="0.25">
      <c r="A7085" s="311"/>
      <c r="B7085" s="312"/>
      <c r="C7085" s="312"/>
      <c r="D7085" s="312"/>
      <c r="E7085" s="312"/>
      <c r="F7085" s="312"/>
      <c r="G7085" s="328"/>
      <c r="H7085" s="453"/>
      <c r="I7085" s="334"/>
      <c r="J7085" s="314"/>
      <c r="K7085" s="454"/>
      <c r="M7085" s="349" t="str">
        <f>N7085&amp;AS[[#This Row],[Insurer Code]]&amp;"; "&amp;O7085&amp;AS[[#This Row],[Reporting Year]]&amp;"; "&amp;P7085&amp;AS[[#This Row],[Insurance Category Code]]&amp;"; "&amp;Q7085&amp;AS[[#This Row],[Large Provider Entity Code]]&amp;"; "&amp;R7085&amp;AS[[#This Row],[Age Band Code]]&amp;"; "&amp;S7085&amp;AS[[#This Row],[Sex Code]]</f>
        <v xml:space="preserve">Insurer Code ; Reporting Year ; Insurance Category Code ; Large Provider Entity Code ; Age Band Code ; Sex Code </v>
      </c>
      <c r="N7085" s="345" t="s">
        <v>207</v>
      </c>
      <c r="O7085" s="345" t="s">
        <v>208</v>
      </c>
      <c r="P7085" s="345" t="s">
        <v>209</v>
      </c>
      <c r="Q7085" s="345" t="s">
        <v>210</v>
      </c>
      <c r="R7085" s="345" t="s">
        <v>223</v>
      </c>
      <c r="S7085" s="345" t="s">
        <v>224</v>
      </c>
    </row>
    <row r="7086" spans="1:19" x14ac:dyDescent="0.25">
      <c r="A7086" s="311"/>
      <c r="B7086" s="312"/>
      <c r="C7086" s="312"/>
      <c r="D7086" s="312"/>
      <c r="E7086" s="312"/>
      <c r="F7086" s="312"/>
      <c r="G7086" s="328"/>
      <c r="H7086" s="453"/>
      <c r="I7086" s="334"/>
      <c r="J7086" s="314"/>
      <c r="K7086" s="454"/>
      <c r="M7086" s="349" t="str">
        <f>N7086&amp;AS[[#This Row],[Insurer Code]]&amp;"; "&amp;O7086&amp;AS[[#This Row],[Reporting Year]]&amp;"; "&amp;P7086&amp;AS[[#This Row],[Insurance Category Code]]&amp;"; "&amp;Q7086&amp;AS[[#This Row],[Large Provider Entity Code]]&amp;"; "&amp;R7086&amp;AS[[#This Row],[Age Band Code]]&amp;"; "&amp;S7086&amp;AS[[#This Row],[Sex Code]]</f>
        <v xml:space="preserve">Insurer Code ; Reporting Year ; Insurance Category Code ; Large Provider Entity Code ; Age Band Code ; Sex Code </v>
      </c>
      <c r="N7086" s="345" t="s">
        <v>207</v>
      </c>
      <c r="O7086" s="345" t="s">
        <v>208</v>
      </c>
      <c r="P7086" s="345" t="s">
        <v>209</v>
      </c>
      <c r="Q7086" s="345" t="s">
        <v>210</v>
      </c>
      <c r="R7086" s="345" t="s">
        <v>223</v>
      </c>
      <c r="S7086" s="345" t="s">
        <v>224</v>
      </c>
    </row>
    <row r="7087" spans="1:19" x14ac:dyDescent="0.25">
      <c r="A7087" s="311"/>
      <c r="B7087" s="312"/>
      <c r="C7087" s="312"/>
      <c r="D7087" s="312"/>
      <c r="E7087" s="312"/>
      <c r="F7087" s="312"/>
      <c r="G7087" s="328"/>
      <c r="H7087" s="453"/>
      <c r="I7087" s="334"/>
      <c r="J7087" s="314"/>
      <c r="K7087" s="454"/>
      <c r="M7087" s="349" t="str">
        <f>N7087&amp;AS[[#This Row],[Insurer Code]]&amp;"; "&amp;O7087&amp;AS[[#This Row],[Reporting Year]]&amp;"; "&amp;P7087&amp;AS[[#This Row],[Insurance Category Code]]&amp;"; "&amp;Q7087&amp;AS[[#This Row],[Large Provider Entity Code]]&amp;"; "&amp;R7087&amp;AS[[#This Row],[Age Band Code]]&amp;"; "&amp;S7087&amp;AS[[#This Row],[Sex Code]]</f>
        <v xml:space="preserve">Insurer Code ; Reporting Year ; Insurance Category Code ; Large Provider Entity Code ; Age Band Code ; Sex Code </v>
      </c>
      <c r="N7087" s="345" t="s">
        <v>207</v>
      </c>
      <c r="O7087" s="345" t="s">
        <v>208</v>
      </c>
      <c r="P7087" s="345" t="s">
        <v>209</v>
      </c>
      <c r="Q7087" s="345" t="s">
        <v>210</v>
      </c>
      <c r="R7087" s="345" t="s">
        <v>223</v>
      </c>
      <c r="S7087" s="345" t="s">
        <v>224</v>
      </c>
    </row>
    <row r="7088" spans="1:19" x14ac:dyDescent="0.25">
      <c r="A7088" s="311"/>
      <c r="B7088" s="312"/>
      <c r="C7088" s="312"/>
      <c r="D7088" s="312"/>
      <c r="E7088" s="312"/>
      <c r="F7088" s="312"/>
      <c r="G7088" s="328"/>
      <c r="H7088" s="453"/>
      <c r="I7088" s="334"/>
      <c r="J7088" s="314"/>
      <c r="K7088" s="454"/>
      <c r="M7088" s="349" t="str">
        <f>N7088&amp;AS[[#This Row],[Insurer Code]]&amp;"; "&amp;O7088&amp;AS[[#This Row],[Reporting Year]]&amp;"; "&amp;P7088&amp;AS[[#This Row],[Insurance Category Code]]&amp;"; "&amp;Q7088&amp;AS[[#This Row],[Large Provider Entity Code]]&amp;"; "&amp;R7088&amp;AS[[#This Row],[Age Band Code]]&amp;"; "&amp;S7088&amp;AS[[#This Row],[Sex Code]]</f>
        <v xml:space="preserve">Insurer Code ; Reporting Year ; Insurance Category Code ; Large Provider Entity Code ; Age Band Code ; Sex Code </v>
      </c>
      <c r="N7088" s="345" t="s">
        <v>207</v>
      </c>
      <c r="O7088" s="345" t="s">
        <v>208</v>
      </c>
      <c r="P7088" s="345" t="s">
        <v>209</v>
      </c>
      <c r="Q7088" s="345" t="s">
        <v>210</v>
      </c>
      <c r="R7088" s="345" t="s">
        <v>223</v>
      </c>
      <c r="S7088" s="345" t="s">
        <v>224</v>
      </c>
    </row>
    <row r="7089" spans="1:19" x14ac:dyDescent="0.25">
      <c r="A7089" s="311"/>
      <c r="B7089" s="312"/>
      <c r="C7089" s="312"/>
      <c r="D7089" s="312"/>
      <c r="E7089" s="312"/>
      <c r="F7089" s="312"/>
      <c r="G7089" s="328"/>
      <c r="H7089" s="453"/>
      <c r="I7089" s="334"/>
      <c r="J7089" s="314"/>
      <c r="K7089" s="454"/>
      <c r="M7089" s="349" t="str">
        <f>N7089&amp;AS[[#This Row],[Insurer Code]]&amp;"; "&amp;O7089&amp;AS[[#This Row],[Reporting Year]]&amp;"; "&amp;P7089&amp;AS[[#This Row],[Insurance Category Code]]&amp;"; "&amp;Q7089&amp;AS[[#This Row],[Large Provider Entity Code]]&amp;"; "&amp;R7089&amp;AS[[#This Row],[Age Band Code]]&amp;"; "&amp;S7089&amp;AS[[#This Row],[Sex Code]]</f>
        <v xml:space="preserve">Insurer Code ; Reporting Year ; Insurance Category Code ; Large Provider Entity Code ; Age Band Code ; Sex Code </v>
      </c>
      <c r="N7089" s="345" t="s">
        <v>207</v>
      </c>
      <c r="O7089" s="345" t="s">
        <v>208</v>
      </c>
      <c r="P7089" s="345" t="s">
        <v>209</v>
      </c>
      <c r="Q7089" s="345" t="s">
        <v>210</v>
      </c>
      <c r="R7089" s="345" t="s">
        <v>223</v>
      </c>
      <c r="S7089" s="345" t="s">
        <v>224</v>
      </c>
    </row>
    <row r="7090" spans="1:19" x14ac:dyDescent="0.25">
      <c r="A7090" s="311"/>
      <c r="B7090" s="312"/>
      <c r="C7090" s="312"/>
      <c r="D7090" s="312"/>
      <c r="E7090" s="312"/>
      <c r="F7090" s="312"/>
      <c r="G7090" s="328"/>
      <c r="H7090" s="453"/>
      <c r="I7090" s="334"/>
      <c r="J7090" s="314"/>
      <c r="K7090" s="454"/>
      <c r="M7090" s="349" t="str">
        <f>N7090&amp;AS[[#This Row],[Insurer Code]]&amp;"; "&amp;O7090&amp;AS[[#This Row],[Reporting Year]]&amp;"; "&amp;P7090&amp;AS[[#This Row],[Insurance Category Code]]&amp;"; "&amp;Q7090&amp;AS[[#This Row],[Large Provider Entity Code]]&amp;"; "&amp;R7090&amp;AS[[#This Row],[Age Band Code]]&amp;"; "&amp;S7090&amp;AS[[#This Row],[Sex Code]]</f>
        <v xml:space="preserve">Insurer Code ; Reporting Year ; Insurance Category Code ; Large Provider Entity Code ; Age Band Code ; Sex Code </v>
      </c>
      <c r="N7090" s="345" t="s">
        <v>207</v>
      </c>
      <c r="O7090" s="345" t="s">
        <v>208</v>
      </c>
      <c r="P7090" s="345" t="s">
        <v>209</v>
      </c>
      <c r="Q7090" s="345" t="s">
        <v>210</v>
      </c>
      <c r="R7090" s="345" t="s">
        <v>223</v>
      </c>
      <c r="S7090" s="345" t="s">
        <v>224</v>
      </c>
    </row>
    <row r="7091" spans="1:19" x14ac:dyDescent="0.25">
      <c r="A7091" s="311"/>
      <c r="B7091" s="312"/>
      <c r="C7091" s="312"/>
      <c r="D7091" s="312"/>
      <c r="E7091" s="312"/>
      <c r="F7091" s="312"/>
      <c r="G7091" s="328"/>
      <c r="H7091" s="453"/>
      <c r="I7091" s="334"/>
      <c r="J7091" s="314"/>
      <c r="K7091" s="454"/>
      <c r="M7091" s="349" t="str">
        <f>N7091&amp;AS[[#This Row],[Insurer Code]]&amp;"; "&amp;O7091&amp;AS[[#This Row],[Reporting Year]]&amp;"; "&amp;P7091&amp;AS[[#This Row],[Insurance Category Code]]&amp;"; "&amp;Q7091&amp;AS[[#This Row],[Large Provider Entity Code]]&amp;"; "&amp;R7091&amp;AS[[#This Row],[Age Band Code]]&amp;"; "&amp;S7091&amp;AS[[#This Row],[Sex Code]]</f>
        <v xml:space="preserve">Insurer Code ; Reporting Year ; Insurance Category Code ; Large Provider Entity Code ; Age Band Code ; Sex Code </v>
      </c>
      <c r="N7091" s="345" t="s">
        <v>207</v>
      </c>
      <c r="O7091" s="345" t="s">
        <v>208</v>
      </c>
      <c r="P7091" s="345" t="s">
        <v>209</v>
      </c>
      <c r="Q7091" s="345" t="s">
        <v>210</v>
      </c>
      <c r="R7091" s="345" t="s">
        <v>223</v>
      </c>
      <c r="S7091" s="345" t="s">
        <v>224</v>
      </c>
    </row>
    <row r="7092" spans="1:19" x14ac:dyDescent="0.25">
      <c r="A7092" s="311"/>
      <c r="B7092" s="312"/>
      <c r="C7092" s="312"/>
      <c r="D7092" s="312"/>
      <c r="E7092" s="312"/>
      <c r="F7092" s="312"/>
      <c r="G7092" s="328"/>
      <c r="H7092" s="453"/>
      <c r="I7092" s="334"/>
      <c r="J7092" s="314"/>
      <c r="K7092" s="454"/>
      <c r="M7092" s="349" t="str">
        <f>N7092&amp;AS[[#This Row],[Insurer Code]]&amp;"; "&amp;O7092&amp;AS[[#This Row],[Reporting Year]]&amp;"; "&amp;P7092&amp;AS[[#This Row],[Insurance Category Code]]&amp;"; "&amp;Q7092&amp;AS[[#This Row],[Large Provider Entity Code]]&amp;"; "&amp;R7092&amp;AS[[#This Row],[Age Band Code]]&amp;"; "&amp;S7092&amp;AS[[#This Row],[Sex Code]]</f>
        <v xml:space="preserve">Insurer Code ; Reporting Year ; Insurance Category Code ; Large Provider Entity Code ; Age Band Code ; Sex Code </v>
      </c>
      <c r="N7092" s="345" t="s">
        <v>207</v>
      </c>
      <c r="O7092" s="345" t="s">
        <v>208</v>
      </c>
      <c r="P7092" s="345" t="s">
        <v>209</v>
      </c>
      <c r="Q7092" s="345" t="s">
        <v>210</v>
      </c>
      <c r="R7092" s="345" t="s">
        <v>223</v>
      </c>
      <c r="S7092" s="345" t="s">
        <v>224</v>
      </c>
    </row>
    <row r="7093" spans="1:19" x14ac:dyDescent="0.25">
      <c r="A7093" s="311"/>
      <c r="B7093" s="312"/>
      <c r="C7093" s="312"/>
      <c r="D7093" s="312"/>
      <c r="E7093" s="312"/>
      <c r="F7093" s="312"/>
      <c r="G7093" s="328"/>
      <c r="H7093" s="453"/>
      <c r="I7093" s="334"/>
      <c r="J7093" s="314"/>
      <c r="K7093" s="454"/>
      <c r="M7093" s="349" t="str">
        <f>N7093&amp;AS[[#This Row],[Insurer Code]]&amp;"; "&amp;O7093&amp;AS[[#This Row],[Reporting Year]]&amp;"; "&amp;P7093&amp;AS[[#This Row],[Insurance Category Code]]&amp;"; "&amp;Q7093&amp;AS[[#This Row],[Large Provider Entity Code]]&amp;"; "&amp;R7093&amp;AS[[#This Row],[Age Band Code]]&amp;"; "&amp;S7093&amp;AS[[#This Row],[Sex Code]]</f>
        <v xml:space="preserve">Insurer Code ; Reporting Year ; Insurance Category Code ; Large Provider Entity Code ; Age Band Code ; Sex Code </v>
      </c>
      <c r="N7093" s="345" t="s">
        <v>207</v>
      </c>
      <c r="O7093" s="345" t="s">
        <v>208</v>
      </c>
      <c r="P7093" s="345" t="s">
        <v>209</v>
      </c>
      <c r="Q7093" s="345" t="s">
        <v>210</v>
      </c>
      <c r="R7093" s="345" t="s">
        <v>223</v>
      </c>
      <c r="S7093" s="345" t="s">
        <v>224</v>
      </c>
    </row>
    <row r="7094" spans="1:19" x14ac:dyDescent="0.25">
      <c r="A7094" s="311"/>
      <c r="B7094" s="312"/>
      <c r="C7094" s="312"/>
      <c r="D7094" s="312"/>
      <c r="E7094" s="312"/>
      <c r="F7094" s="312"/>
      <c r="G7094" s="328"/>
      <c r="H7094" s="453"/>
      <c r="I7094" s="334"/>
      <c r="J7094" s="314"/>
      <c r="K7094" s="454"/>
      <c r="M7094" s="349" t="str">
        <f>N7094&amp;AS[[#This Row],[Insurer Code]]&amp;"; "&amp;O7094&amp;AS[[#This Row],[Reporting Year]]&amp;"; "&amp;P7094&amp;AS[[#This Row],[Insurance Category Code]]&amp;"; "&amp;Q7094&amp;AS[[#This Row],[Large Provider Entity Code]]&amp;"; "&amp;R7094&amp;AS[[#This Row],[Age Band Code]]&amp;"; "&amp;S7094&amp;AS[[#This Row],[Sex Code]]</f>
        <v xml:space="preserve">Insurer Code ; Reporting Year ; Insurance Category Code ; Large Provider Entity Code ; Age Band Code ; Sex Code </v>
      </c>
      <c r="N7094" s="345" t="s">
        <v>207</v>
      </c>
      <c r="O7094" s="345" t="s">
        <v>208</v>
      </c>
      <c r="P7094" s="345" t="s">
        <v>209</v>
      </c>
      <c r="Q7094" s="345" t="s">
        <v>210</v>
      </c>
      <c r="R7094" s="345" t="s">
        <v>223</v>
      </c>
      <c r="S7094" s="345" t="s">
        <v>224</v>
      </c>
    </row>
    <row r="7095" spans="1:19" x14ac:dyDescent="0.25">
      <c r="A7095" s="311"/>
      <c r="B7095" s="312"/>
      <c r="C7095" s="312"/>
      <c r="D7095" s="312"/>
      <c r="E7095" s="312"/>
      <c r="F7095" s="312"/>
      <c r="G7095" s="328"/>
      <c r="H7095" s="453"/>
      <c r="I7095" s="334"/>
      <c r="J7095" s="314"/>
      <c r="K7095" s="454"/>
      <c r="M7095" s="349" t="str">
        <f>N7095&amp;AS[[#This Row],[Insurer Code]]&amp;"; "&amp;O7095&amp;AS[[#This Row],[Reporting Year]]&amp;"; "&amp;P7095&amp;AS[[#This Row],[Insurance Category Code]]&amp;"; "&amp;Q7095&amp;AS[[#This Row],[Large Provider Entity Code]]&amp;"; "&amp;R7095&amp;AS[[#This Row],[Age Band Code]]&amp;"; "&amp;S7095&amp;AS[[#This Row],[Sex Code]]</f>
        <v xml:space="preserve">Insurer Code ; Reporting Year ; Insurance Category Code ; Large Provider Entity Code ; Age Band Code ; Sex Code </v>
      </c>
      <c r="N7095" s="345" t="s">
        <v>207</v>
      </c>
      <c r="O7095" s="345" t="s">
        <v>208</v>
      </c>
      <c r="P7095" s="345" t="s">
        <v>209</v>
      </c>
      <c r="Q7095" s="345" t="s">
        <v>210</v>
      </c>
      <c r="R7095" s="345" t="s">
        <v>223</v>
      </c>
      <c r="S7095" s="345" t="s">
        <v>224</v>
      </c>
    </row>
    <row r="7096" spans="1:19" x14ac:dyDescent="0.25">
      <c r="A7096" s="311"/>
      <c r="B7096" s="312"/>
      <c r="C7096" s="312"/>
      <c r="D7096" s="312"/>
      <c r="E7096" s="312"/>
      <c r="F7096" s="312"/>
      <c r="G7096" s="328"/>
      <c r="H7096" s="453"/>
      <c r="I7096" s="334"/>
      <c r="J7096" s="314"/>
      <c r="K7096" s="454"/>
      <c r="M7096" s="349" t="str">
        <f>N7096&amp;AS[[#This Row],[Insurer Code]]&amp;"; "&amp;O7096&amp;AS[[#This Row],[Reporting Year]]&amp;"; "&amp;P7096&amp;AS[[#This Row],[Insurance Category Code]]&amp;"; "&amp;Q7096&amp;AS[[#This Row],[Large Provider Entity Code]]&amp;"; "&amp;R7096&amp;AS[[#This Row],[Age Band Code]]&amp;"; "&amp;S7096&amp;AS[[#This Row],[Sex Code]]</f>
        <v xml:space="preserve">Insurer Code ; Reporting Year ; Insurance Category Code ; Large Provider Entity Code ; Age Band Code ; Sex Code </v>
      </c>
      <c r="N7096" s="345" t="s">
        <v>207</v>
      </c>
      <c r="O7096" s="345" t="s">
        <v>208</v>
      </c>
      <c r="P7096" s="345" t="s">
        <v>209</v>
      </c>
      <c r="Q7096" s="345" t="s">
        <v>210</v>
      </c>
      <c r="R7096" s="345" t="s">
        <v>223</v>
      </c>
      <c r="S7096" s="345" t="s">
        <v>224</v>
      </c>
    </row>
    <row r="7097" spans="1:19" x14ac:dyDescent="0.25">
      <c r="A7097" s="311"/>
      <c r="B7097" s="312"/>
      <c r="C7097" s="312"/>
      <c r="D7097" s="312"/>
      <c r="E7097" s="312"/>
      <c r="F7097" s="312"/>
      <c r="G7097" s="328"/>
      <c r="H7097" s="453"/>
      <c r="I7097" s="334"/>
      <c r="J7097" s="314"/>
      <c r="K7097" s="454"/>
      <c r="M7097" s="349" t="str">
        <f>N7097&amp;AS[[#This Row],[Insurer Code]]&amp;"; "&amp;O7097&amp;AS[[#This Row],[Reporting Year]]&amp;"; "&amp;P7097&amp;AS[[#This Row],[Insurance Category Code]]&amp;"; "&amp;Q7097&amp;AS[[#This Row],[Large Provider Entity Code]]&amp;"; "&amp;R7097&amp;AS[[#This Row],[Age Band Code]]&amp;"; "&amp;S7097&amp;AS[[#This Row],[Sex Code]]</f>
        <v xml:space="preserve">Insurer Code ; Reporting Year ; Insurance Category Code ; Large Provider Entity Code ; Age Band Code ; Sex Code </v>
      </c>
      <c r="N7097" s="345" t="s">
        <v>207</v>
      </c>
      <c r="O7097" s="345" t="s">
        <v>208</v>
      </c>
      <c r="P7097" s="345" t="s">
        <v>209</v>
      </c>
      <c r="Q7097" s="345" t="s">
        <v>210</v>
      </c>
      <c r="R7097" s="345" t="s">
        <v>223</v>
      </c>
      <c r="S7097" s="345" t="s">
        <v>224</v>
      </c>
    </row>
    <row r="7098" spans="1:19" x14ac:dyDescent="0.25">
      <c r="A7098" s="311"/>
      <c r="B7098" s="312"/>
      <c r="C7098" s="312"/>
      <c r="D7098" s="312"/>
      <c r="E7098" s="312"/>
      <c r="F7098" s="312"/>
      <c r="G7098" s="328"/>
      <c r="H7098" s="453"/>
      <c r="I7098" s="334"/>
      <c r="J7098" s="314"/>
      <c r="K7098" s="454"/>
      <c r="M7098" s="349" t="str">
        <f>N7098&amp;AS[[#This Row],[Insurer Code]]&amp;"; "&amp;O7098&amp;AS[[#This Row],[Reporting Year]]&amp;"; "&amp;P7098&amp;AS[[#This Row],[Insurance Category Code]]&amp;"; "&amp;Q7098&amp;AS[[#This Row],[Large Provider Entity Code]]&amp;"; "&amp;R7098&amp;AS[[#This Row],[Age Band Code]]&amp;"; "&amp;S7098&amp;AS[[#This Row],[Sex Code]]</f>
        <v xml:space="preserve">Insurer Code ; Reporting Year ; Insurance Category Code ; Large Provider Entity Code ; Age Band Code ; Sex Code </v>
      </c>
      <c r="N7098" s="345" t="s">
        <v>207</v>
      </c>
      <c r="O7098" s="345" t="s">
        <v>208</v>
      </c>
      <c r="P7098" s="345" t="s">
        <v>209</v>
      </c>
      <c r="Q7098" s="345" t="s">
        <v>210</v>
      </c>
      <c r="R7098" s="345" t="s">
        <v>223</v>
      </c>
      <c r="S7098" s="345" t="s">
        <v>224</v>
      </c>
    </row>
    <row r="7099" spans="1:19" x14ac:dyDescent="0.25">
      <c r="A7099" s="311"/>
      <c r="B7099" s="312"/>
      <c r="C7099" s="312"/>
      <c r="D7099" s="312"/>
      <c r="E7099" s="312"/>
      <c r="F7099" s="312"/>
      <c r="G7099" s="328"/>
      <c r="H7099" s="453"/>
      <c r="I7099" s="334"/>
      <c r="J7099" s="314"/>
      <c r="K7099" s="454"/>
      <c r="M7099" s="349" t="str">
        <f>N7099&amp;AS[[#This Row],[Insurer Code]]&amp;"; "&amp;O7099&amp;AS[[#This Row],[Reporting Year]]&amp;"; "&amp;P7099&amp;AS[[#This Row],[Insurance Category Code]]&amp;"; "&amp;Q7099&amp;AS[[#This Row],[Large Provider Entity Code]]&amp;"; "&amp;R7099&amp;AS[[#This Row],[Age Band Code]]&amp;"; "&amp;S7099&amp;AS[[#This Row],[Sex Code]]</f>
        <v xml:space="preserve">Insurer Code ; Reporting Year ; Insurance Category Code ; Large Provider Entity Code ; Age Band Code ; Sex Code </v>
      </c>
      <c r="N7099" s="345" t="s">
        <v>207</v>
      </c>
      <c r="O7099" s="345" t="s">
        <v>208</v>
      </c>
      <c r="P7099" s="345" t="s">
        <v>209</v>
      </c>
      <c r="Q7099" s="345" t="s">
        <v>210</v>
      </c>
      <c r="R7099" s="345" t="s">
        <v>223</v>
      </c>
      <c r="S7099" s="345" t="s">
        <v>224</v>
      </c>
    </row>
    <row r="7100" spans="1:19" x14ac:dyDescent="0.25">
      <c r="A7100" s="311"/>
      <c r="B7100" s="312"/>
      <c r="C7100" s="312"/>
      <c r="D7100" s="312"/>
      <c r="E7100" s="312"/>
      <c r="F7100" s="312"/>
      <c r="G7100" s="328"/>
      <c r="H7100" s="453"/>
      <c r="I7100" s="334"/>
      <c r="J7100" s="314"/>
      <c r="K7100" s="454"/>
      <c r="M7100" s="349" t="str">
        <f>N7100&amp;AS[[#This Row],[Insurer Code]]&amp;"; "&amp;O7100&amp;AS[[#This Row],[Reporting Year]]&amp;"; "&amp;P7100&amp;AS[[#This Row],[Insurance Category Code]]&amp;"; "&amp;Q7100&amp;AS[[#This Row],[Large Provider Entity Code]]&amp;"; "&amp;R7100&amp;AS[[#This Row],[Age Band Code]]&amp;"; "&amp;S7100&amp;AS[[#This Row],[Sex Code]]</f>
        <v xml:space="preserve">Insurer Code ; Reporting Year ; Insurance Category Code ; Large Provider Entity Code ; Age Band Code ; Sex Code </v>
      </c>
      <c r="N7100" s="345" t="s">
        <v>207</v>
      </c>
      <c r="O7100" s="345" t="s">
        <v>208</v>
      </c>
      <c r="P7100" s="345" t="s">
        <v>209</v>
      </c>
      <c r="Q7100" s="345" t="s">
        <v>210</v>
      </c>
      <c r="R7100" s="345" t="s">
        <v>223</v>
      </c>
      <c r="S7100" s="345" t="s">
        <v>224</v>
      </c>
    </row>
    <row r="7101" spans="1:19" x14ac:dyDescent="0.25">
      <c r="A7101" s="311"/>
      <c r="B7101" s="312"/>
      <c r="C7101" s="312"/>
      <c r="D7101" s="312"/>
      <c r="E7101" s="312"/>
      <c r="F7101" s="312"/>
      <c r="G7101" s="328"/>
      <c r="H7101" s="453"/>
      <c r="I7101" s="334"/>
      <c r="J7101" s="314"/>
      <c r="K7101" s="454"/>
      <c r="M7101" s="349" t="str">
        <f>N7101&amp;AS[[#This Row],[Insurer Code]]&amp;"; "&amp;O7101&amp;AS[[#This Row],[Reporting Year]]&amp;"; "&amp;P7101&amp;AS[[#This Row],[Insurance Category Code]]&amp;"; "&amp;Q7101&amp;AS[[#This Row],[Large Provider Entity Code]]&amp;"; "&amp;R7101&amp;AS[[#This Row],[Age Band Code]]&amp;"; "&amp;S7101&amp;AS[[#This Row],[Sex Code]]</f>
        <v xml:space="preserve">Insurer Code ; Reporting Year ; Insurance Category Code ; Large Provider Entity Code ; Age Band Code ; Sex Code </v>
      </c>
      <c r="N7101" s="345" t="s">
        <v>207</v>
      </c>
      <c r="O7101" s="345" t="s">
        <v>208</v>
      </c>
      <c r="P7101" s="345" t="s">
        <v>209</v>
      </c>
      <c r="Q7101" s="345" t="s">
        <v>210</v>
      </c>
      <c r="R7101" s="345" t="s">
        <v>223</v>
      </c>
      <c r="S7101" s="345" t="s">
        <v>224</v>
      </c>
    </row>
    <row r="7102" spans="1:19" x14ac:dyDescent="0.25">
      <c r="A7102" s="311"/>
      <c r="B7102" s="312"/>
      <c r="C7102" s="312"/>
      <c r="D7102" s="312"/>
      <c r="E7102" s="312"/>
      <c r="F7102" s="312"/>
      <c r="G7102" s="328"/>
      <c r="H7102" s="453"/>
      <c r="I7102" s="334"/>
      <c r="J7102" s="314"/>
      <c r="K7102" s="454"/>
      <c r="M7102" s="349" t="str">
        <f>N7102&amp;AS[[#This Row],[Insurer Code]]&amp;"; "&amp;O7102&amp;AS[[#This Row],[Reporting Year]]&amp;"; "&amp;P7102&amp;AS[[#This Row],[Insurance Category Code]]&amp;"; "&amp;Q7102&amp;AS[[#This Row],[Large Provider Entity Code]]&amp;"; "&amp;R7102&amp;AS[[#This Row],[Age Band Code]]&amp;"; "&amp;S7102&amp;AS[[#This Row],[Sex Code]]</f>
        <v xml:space="preserve">Insurer Code ; Reporting Year ; Insurance Category Code ; Large Provider Entity Code ; Age Band Code ; Sex Code </v>
      </c>
      <c r="N7102" s="345" t="s">
        <v>207</v>
      </c>
      <c r="O7102" s="345" t="s">
        <v>208</v>
      </c>
      <c r="P7102" s="345" t="s">
        <v>209</v>
      </c>
      <c r="Q7102" s="345" t="s">
        <v>210</v>
      </c>
      <c r="R7102" s="345" t="s">
        <v>223</v>
      </c>
      <c r="S7102" s="345" t="s">
        <v>224</v>
      </c>
    </row>
    <row r="7103" spans="1:19" x14ac:dyDescent="0.25">
      <c r="A7103" s="311"/>
      <c r="B7103" s="312"/>
      <c r="C7103" s="312"/>
      <c r="D7103" s="312"/>
      <c r="E7103" s="312"/>
      <c r="F7103" s="312"/>
      <c r="G7103" s="328"/>
      <c r="H7103" s="453"/>
      <c r="I7103" s="334"/>
      <c r="J7103" s="314"/>
      <c r="K7103" s="454"/>
      <c r="M7103" s="349" t="str">
        <f>N7103&amp;AS[[#This Row],[Insurer Code]]&amp;"; "&amp;O7103&amp;AS[[#This Row],[Reporting Year]]&amp;"; "&amp;P7103&amp;AS[[#This Row],[Insurance Category Code]]&amp;"; "&amp;Q7103&amp;AS[[#This Row],[Large Provider Entity Code]]&amp;"; "&amp;R7103&amp;AS[[#This Row],[Age Band Code]]&amp;"; "&amp;S7103&amp;AS[[#This Row],[Sex Code]]</f>
        <v xml:space="preserve">Insurer Code ; Reporting Year ; Insurance Category Code ; Large Provider Entity Code ; Age Band Code ; Sex Code </v>
      </c>
      <c r="N7103" s="345" t="s">
        <v>207</v>
      </c>
      <c r="O7103" s="345" t="s">
        <v>208</v>
      </c>
      <c r="P7103" s="345" t="s">
        <v>209</v>
      </c>
      <c r="Q7103" s="345" t="s">
        <v>210</v>
      </c>
      <c r="R7103" s="345" t="s">
        <v>223</v>
      </c>
      <c r="S7103" s="345" t="s">
        <v>224</v>
      </c>
    </row>
    <row r="7104" spans="1:19" x14ac:dyDescent="0.25">
      <c r="A7104" s="311"/>
      <c r="B7104" s="312"/>
      <c r="C7104" s="312"/>
      <c r="D7104" s="312"/>
      <c r="E7104" s="312"/>
      <c r="F7104" s="312"/>
      <c r="G7104" s="328"/>
      <c r="H7104" s="453"/>
      <c r="I7104" s="334"/>
      <c r="J7104" s="314"/>
      <c r="K7104" s="454"/>
      <c r="M7104" s="349" t="str">
        <f>N7104&amp;AS[[#This Row],[Insurer Code]]&amp;"; "&amp;O7104&amp;AS[[#This Row],[Reporting Year]]&amp;"; "&amp;P7104&amp;AS[[#This Row],[Insurance Category Code]]&amp;"; "&amp;Q7104&amp;AS[[#This Row],[Large Provider Entity Code]]&amp;"; "&amp;R7104&amp;AS[[#This Row],[Age Band Code]]&amp;"; "&amp;S7104&amp;AS[[#This Row],[Sex Code]]</f>
        <v xml:space="preserve">Insurer Code ; Reporting Year ; Insurance Category Code ; Large Provider Entity Code ; Age Band Code ; Sex Code </v>
      </c>
      <c r="N7104" s="345" t="s">
        <v>207</v>
      </c>
      <c r="O7104" s="345" t="s">
        <v>208</v>
      </c>
      <c r="P7104" s="345" t="s">
        <v>209</v>
      </c>
      <c r="Q7104" s="345" t="s">
        <v>210</v>
      </c>
      <c r="R7104" s="345" t="s">
        <v>223</v>
      </c>
      <c r="S7104" s="345" t="s">
        <v>224</v>
      </c>
    </row>
    <row r="7105" spans="1:19" x14ac:dyDescent="0.25">
      <c r="A7105" s="311"/>
      <c r="B7105" s="312"/>
      <c r="C7105" s="312"/>
      <c r="D7105" s="312"/>
      <c r="E7105" s="312"/>
      <c r="F7105" s="312"/>
      <c r="G7105" s="328"/>
      <c r="H7105" s="453"/>
      <c r="I7105" s="334"/>
      <c r="J7105" s="314"/>
      <c r="K7105" s="454"/>
      <c r="M7105" s="349" t="str">
        <f>N7105&amp;AS[[#This Row],[Insurer Code]]&amp;"; "&amp;O7105&amp;AS[[#This Row],[Reporting Year]]&amp;"; "&amp;P7105&amp;AS[[#This Row],[Insurance Category Code]]&amp;"; "&amp;Q7105&amp;AS[[#This Row],[Large Provider Entity Code]]&amp;"; "&amp;R7105&amp;AS[[#This Row],[Age Band Code]]&amp;"; "&amp;S7105&amp;AS[[#This Row],[Sex Code]]</f>
        <v xml:space="preserve">Insurer Code ; Reporting Year ; Insurance Category Code ; Large Provider Entity Code ; Age Band Code ; Sex Code </v>
      </c>
      <c r="N7105" s="345" t="s">
        <v>207</v>
      </c>
      <c r="O7105" s="345" t="s">
        <v>208</v>
      </c>
      <c r="P7105" s="345" t="s">
        <v>209</v>
      </c>
      <c r="Q7105" s="345" t="s">
        <v>210</v>
      </c>
      <c r="R7105" s="345" t="s">
        <v>223</v>
      </c>
      <c r="S7105" s="345" t="s">
        <v>224</v>
      </c>
    </row>
    <row r="7106" spans="1:19" x14ac:dyDescent="0.25">
      <c r="A7106" s="311"/>
      <c r="B7106" s="312"/>
      <c r="C7106" s="312"/>
      <c r="D7106" s="312"/>
      <c r="E7106" s="312"/>
      <c r="F7106" s="312"/>
      <c r="G7106" s="328"/>
      <c r="H7106" s="453"/>
      <c r="I7106" s="334"/>
      <c r="J7106" s="314"/>
      <c r="K7106" s="454"/>
      <c r="M7106" s="349" t="str">
        <f>N7106&amp;AS[[#This Row],[Insurer Code]]&amp;"; "&amp;O7106&amp;AS[[#This Row],[Reporting Year]]&amp;"; "&amp;P7106&amp;AS[[#This Row],[Insurance Category Code]]&amp;"; "&amp;Q7106&amp;AS[[#This Row],[Large Provider Entity Code]]&amp;"; "&amp;R7106&amp;AS[[#This Row],[Age Band Code]]&amp;"; "&amp;S7106&amp;AS[[#This Row],[Sex Code]]</f>
        <v xml:space="preserve">Insurer Code ; Reporting Year ; Insurance Category Code ; Large Provider Entity Code ; Age Band Code ; Sex Code </v>
      </c>
      <c r="N7106" s="345" t="s">
        <v>207</v>
      </c>
      <c r="O7106" s="345" t="s">
        <v>208</v>
      </c>
      <c r="P7106" s="345" t="s">
        <v>209</v>
      </c>
      <c r="Q7106" s="345" t="s">
        <v>210</v>
      </c>
      <c r="R7106" s="345" t="s">
        <v>223</v>
      </c>
      <c r="S7106" s="345" t="s">
        <v>224</v>
      </c>
    </row>
    <row r="7107" spans="1:19" x14ac:dyDescent="0.25">
      <c r="A7107" s="311"/>
      <c r="B7107" s="312"/>
      <c r="C7107" s="312"/>
      <c r="D7107" s="312"/>
      <c r="E7107" s="312"/>
      <c r="F7107" s="312"/>
      <c r="G7107" s="328"/>
      <c r="H7107" s="453"/>
      <c r="I7107" s="334"/>
      <c r="J7107" s="314"/>
      <c r="K7107" s="454"/>
      <c r="M7107" s="349" t="str">
        <f>N7107&amp;AS[[#This Row],[Insurer Code]]&amp;"; "&amp;O7107&amp;AS[[#This Row],[Reporting Year]]&amp;"; "&amp;P7107&amp;AS[[#This Row],[Insurance Category Code]]&amp;"; "&amp;Q7107&amp;AS[[#This Row],[Large Provider Entity Code]]&amp;"; "&amp;R7107&amp;AS[[#This Row],[Age Band Code]]&amp;"; "&amp;S7107&amp;AS[[#This Row],[Sex Code]]</f>
        <v xml:space="preserve">Insurer Code ; Reporting Year ; Insurance Category Code ; Large Provider Entity Code ; Age Band Code ; Sex Code </v>
      </c>
      <c r="N7107" s="345" t="s">
        <v>207</v>
      </c>
      <c r="O7107" s="345" t="s">
        <v>208</v>
      </c>
      <c r="P7107" s="345" t="s">
        <v>209</v>
      </c>
      <c r="Q7107" s="345" t="s">
        <v>210</v>
      </c>
      <c r="R7107" s="345" t="s">
        <v>223</v>
      </c>
      <c r="S7107" s="345" t="s">
        <v>224</v>
      </c>
    </row>
    <row r="7108" spans="1:19" x14ac:dyDescent="0.25">
      <c r="A7108" s="311"/>
      <c r="B7108" s="312"/>
      <c r="C7108" s="312"/>
      <c r="D7108" s="312"/>
      <c r="E7108" s="312"/>
      <c r="F7108" s="312"/>
      <c r="G7108" s="328"/>
      <c r="H7108" s="453"/>
      <c r="I7108" s="334"/>
      <c r="J7108" s="314"/>
      <c r="K7108" s="454"/>
      <c r="M7108" s="349" t="str">
        <f>N7108&amp;AS[[#This Row],[Insurer Code]]&amp;"; "&amp;O7108&amp;AS[[#This Row],[Reporting Year]]&amp;"; "&amp;P7108&amp;AS[[#This Row],[Insurance Category Code]]&amp;"; "&amp;Q7108&amp;AS[[#This Row],[Large Provider Entity Code]]&amp;"; "&amp;R7108&amp;AS[[#This Row],[Age Band Code]]&amp;"; "&amp;S7108&amp;AS[[#This Row],[Sex Code]]</f>
        <v xml:space="preserve">Insurer Code ; Reporting Year ; Insurance Category Code ; Large Provider Entity Code ; Age Band Code ; Sex Code </v>
      </c>
      <c r="N7108" s="345" t="s">
        <v>207</v>
      </c>
      <c r="O7108" s="345" t="s">
        <v>208</v>
      </c>
      <c r="P7108" s="345" t="s">
        <v>209</v>
      </c>
      <c r="Q7108" s="345" t="s">
        <v>210</v>
      </c>
      <c r="R7108" s="345" t="s">
        <v>223</v>
      </c>
      <c r="S7108" s="345" t="s">
        <v>224</v>
      </c>
    </row>
    <row r="7109" spans="1:19" x14ac:dyDescent="0.25">
      <c r="A7109" s="311"/>
      <c r="B7109" s="312"/>
      <c r="C7109" s="312"/>
      <c r="D7109" s="312"/>
      <c r="E7109" s="312"/>
      <c r="F7109" s="312"/>
      <c r="G7109" s="328"/>
      <c r="H7109" s="453"/>
      <c r="I7109" s="334"/>
      <c r="J7109" s="314"/>
      <c r="K7109" s="454"/>
      <c r="M7109" s="349" t="str">
        <f>N7109&amp;AS[[#This Row],[Insurer Code]]&amp;"; "&amp;O7109&amp;AS[[#This Row],[Reporting Year]]&amp;"; "&amp;P7109&amp;AS[[#This Row],[Insurance Category Code]]&amp;"; "&amp;Q7109&amp;AS[[#This Row],[Large Provider Entity Code]]&amp;"; "&amp;R7109&amp;AS[[#This Row],[Age Band Code]]&amp;"; "&amp;S7109&amp;AS[[#This Row],[Sex Code]]</f>
        <v xml:space="preserve">Insurer Code ; Reporting Year ; Insurance Category Code ; Large Provider Entity Code ; Age Band Code ; Sex Code </v>
      </c>
      <c r="N7109" s="345" t="s">
        <v>207</v>
      </c>
      <c r="O7109" s="345" t="s">
        <v>208</v>
      </c>
      <c r="P7109" s="345" t="s">
        <v>209</v>
      </c>
      <c r="Q7109" s="345" t="s">
        <v>210</v>
      </c>
      <c r="R7109" s="345" t="s">
        <v>223</v>
      </c>
      <c r="S7109" s="345" t="s">
        <v>224</v>
      </c>
    </row>
    <row r="7110" spans="1:19" x14ac:dyDescent="0.25">
      <c r="A7110" s="311"/>
      <c r="B7110" s="312"/>
      <c r="C7110" s="312"/>
      <c r="D7110" s="312"/>
      <c r="E7110" s="312"/>
      <c r="F7110" s="312"/>
      <c r="G7110" s="328"/>
      <c r="H7110" s="453"/>
      <c r="I7110" s="334"/>
      <c r="J7110" s="314"/>
      <c r="K7110" s="454"/>
      <c r="M7110" s="349" t="str">
        <f>N7110&amp;AS[[#This Row],[Insurer Code]]&amp;"; "&amp;O7110&amp;AS[[#This Row],[Reporting Year]]&amp;"; "&amp;P7110&amp;AS[[#This Row],[Insurance Category Code]]&amp;"; "&amp;Q7110&amp;AS[[#This Row],[Large Provider Entity Code]]&amp;"; "&amp;R7110&amp;AS[[#This Row],[Age Band Code]]&amp;"; "&amp;S7110&amp;AS[[#This Row],[Sex Code]]</f>
        <v xml:space="preserve">Insurer Code ; Reporting Year ; Insurance Category Code ; Large Provider Entity Code ; Age Band Code ; Sex Code </v>
      </c>
      <c r="N7110" s="345" t="s">
        <v>207</v>
      </c>
      <c r="O7110" s="345" t="s">
        <v>208</v>
      </c>
      <c r="P7110" s="345" t="s">
        <v>209</v>
      </c>
      <c r="Q7110" s="345" t="s">
        <v>210</v>
      </c>
      <c r="R7110" s="345" t="s">
        <v>223</v>
      </c>
      <c r="S7110" s="345" t="s">
        <v>224</v>
      </c>
    </row>
    <row r="7111" spans="1:19" x14ac:dyDescent="0.25">
      <c r="A7111" s="311"/>
      <c r="B7111" s="312"/>
      <c r="C7111" s="312"/>
      <c r="D7111" s="312"/>
      <c r="E7111" s="312"/>
      <c r="F7111" s="312"/>
      <c r="G7111" s="328"/>
      <c r="H7111" s="453"/>
      <c r="I7111" s="334"/>
      <c r="J7111" s="314"/>
      <c r="K7111" s="454"/>
      <c r="M7111" s="349" t="str">
        <f>N7111&amp;AS[[#This Row],[Insurer Code]]&amp;"; "&amp;O7111&amp;AS[[#This Row],[Reporting Year]]&amp;"; "&amp;P7111&amp;AS[[#This Row],[Insurance Category Code]]&amp;"; "&amp;Q7111&amp;AS[[#This Row],[Large Provider Entity Code]]&amp;"; "&amp;R7111&amp;AS[[#This Row],[Age Band Code]]&amp;"; "&amp;S7111&amp;AS[[#This Row],[Sex Code]]</f>
        <v xml:space="preserve">Insurer Code ; Reporting Year ; Insurance Category Code ; Large Provider Entity Code ; Age Band Code ; Sex Code </v>
      </c>
      <c r="N7111" s="345" t="s">
        <v>207</v>
      </c>
      <c r="O7111" s="345" t="s">
        <v>208</v>
      </c>
      <c r="P7111" s="345" t="s">
        <v>209</v>
      </c>
      <c r="Q7111" s="345" t="s">
        <v>210</v>
      </c>
      <c r="R7111" s="345" t="s">
        <v>223</v>
      </c>
      <c r="S7111" s="345" t="s">
        <v>224</v>
      </c>
    </row>
    <row r="7112" spans="1:19" x14ac:dyDescent="0.25">
      <c r="A7112" s="311"/>
      <c r="B7112" s="312"/>
      <c r="C7112" s="312"/>
      <c r="D7112" s="312"/>
      <c r="E7112" s="312"/>
      <c r="F7112" s="312"/>
      <c r="G7112" s="328"/>
      <c r="H7112" s="453"/>
      <c r="I7112" s="334"/>
      <c r="J7112" s="314"/>
      <c r="K7112" s="454"/>
      <c r="M7112" s="349" t="str">
        <f>N7112&amp;AS[[#This Row],[Insurer Code]]&amp;"; "&amp;O7112&amp;AS[[#This Row],[Reporting Year]]&amp;"; "&amp;P7112&amp;AS[[#This Row],[Insurance Category Code]]&amp;"; "&amp;Q7112&amp;AS[[#This Row],[Large Provider Entity Code]]&amp;"; "&amp;R7112&amp;AS[[#This Row],[Age Band Code]]&amp;"; "&amp;S7112&amp;AS[[#This Row],[Sex Code]]</f>
        <v xml:space="preserve">Insurer Code ; Reporting Year ; Insurance Category Code ; Large Provider Entity Code ; Age Band Code ; Sex Code </v>
      </c>
      <c r="N7112" s="345" t="s">
        <v>207</v>
      </c>
      <c r="O7112" s="345" t="s">
        <v>208</v>
      </c>
      <c r="P7112" s="345" t="s">
        <v>209</v>
      </c>
      <c r="Q7112" s="345" t="s">
        <v>210</v>
      </c>
      <c r="R7112" s="345" t="s">
        <v>223</v>
      </c>
      <c r="S7112" s="345" t="s">
        <v>224</v>
      </c>
    </row>
    <row r="7113" spans="1:19" x14ac:dyDescent="0.25">
      <c r="A7113" s="311"/>
      <c r="B7113" s="312"/>
      <c r="C7113" s="312"/>
      <c r="D7113" s="312"/>
      <c r="E7113" s="312"/>
      <c r="F7113" s="312"/>
      <c r="G7113" s="328"/>
      <c r="H7113" s="453"/>
      <c r="I7113" s="334"/>
      <c r="J7113" s="314"/>
      <c r="K7113" s="454"/>
      <c r="M7113" s="349" t="str">
        <f>N7113&amp;AS[[#This Row],[Insurer Code]]&amp;"; "&amp;O7113&amp;AS[[#This Row],[Reporting Year]]&amp;"; "&amp;P7113&amp;AS[[#This Row],[Insurance Category Code]]&amp;"; "&amp;Q7113&amp;AS[[#This Row],[Large Provider Entity Code]]&amp;"; "&amp;R7113&amp;AS[[#This Row],[Age Band Code]]&amp;"; "&amp;S7113&amp;AS[[#This Row],[Sex Code]]</f>
        <v xml:space="preserve">Insurer Code ; Reporting Year ; Insurance Category Code ; Large Provider Entity Code ; Age Band Code ; Sex Code </v>
      </c>
      <c r="N7113" s="345" t="s">
        <v>207</v>
      </c>
      <c r="O7113" s="345" t="s">
        <v>208</v>
      </c>
      <c r="P7113" s="345" t="s">
        <v>209</v>
      </c>
      <c r="Q7113" s="345" t="s">
        <v>210</v>
      </c>
      <c r="R7113" s="345" t="s">
        <v>223</v>
      </c>
      <c r="S7113" s="345" t="s">
        <v>224</v>
      </c>
    </row>
    <row r="7114" spans="1:19" x14ac:dyDescent="0.25">
      <c r="A7114" s="311"/>
      <c r="B7114" s="312"/>
      <c r="C7114" s="312"/>
      <c r="D7114" s="312"/>
      <c r="E7114" s="312"/>
      <c r="F7114" s="312"/>
      <c r="G7114" s="328"/>
      <c r="H7114" s="453"/>
      <c r="I7114" s="334"/>
      <c r="J7114" s="314"/>
      <c r="K7114" s="454"/>
      <c r="M7114" s="349" t="str">
        <f>N7114&amp;AS[[#This Row],[Insurer Code]]&amp;"; "&amp;O7114&amp;AS[[#This Row],[Reporting Year]]&amp;"; "&amp;P7114&amp;AS[[#This Row],[Insurance Category Code]]&amp;"; "&amp;Q7114&amp;AS[[#This Row],[Large Provider Entity Code]]&amp;"; "&amp;R7114&amp;AS[[#This Row],[Age Band Code]]&amp;"; "&amp;S7114&amp;AS[[#This Row],[Sex Code]]</f>
        <v xml:space="preserve">Insurer Code ; Reporting Year ; Insurance Category Code ; Large Provider Entity Code ; Age Band Code ; Sex Code </v>
      </c>
      <c r="N7114" s="345" t="s">
        <v>207</v>
      </c>
      <c r="O7114" s="345" t="s">
        <v>208</v>
      </c>
      <c r="P7114" s="345" t="s">
        <v>209</v>
      </c>
      <c r="Q7114" s="345" t="s">
        <v>210</v>
      </c>
      <c r="R7114" s="345" t="s">
        <v>223</v>
      </c>
      <c r="S7114" s="345" t="s">
        <v>224</v>
      </c>
    </row>
    <row r="7115" spans="1:19" x14ac:dyDescent="0.25">
      <c r="A7115" s="311"/>
      <c r="B7115" s="312"/>
      <c r="C7115" s="312"/>
      <c r="D7115" s="312"/>
      <c r="E7115" s="312"/>
      <c r="F7115" s="312"/>
      <c r="G7115" s="328"/>
      <c r="H7115" s="453"/>
      <c r="I7115" s="334"/>
      <c r="J7115" s="314"/>
      <c r="K7115" s="454"/>
      <c r="M7115" s="349" t="str">
        <f>N7115&amp;AS[[#This Row],[Insurer Code]]&amp;"; "&amp;O7115&amp;AS[[#This Row],[Reporting Year]]&amp;"; "&amp;P7115&amp;AS[[#This Row],[Insurance Category Code]]&amp;"; "&amp;Q7115&amp;AS[[#This Row],[Large Provider Entity Code]]&amp;"; "&amp;R7115&amp;AS[[#This Row],[Age Band Code]]&amp;"; "&amp;S7115&amp;AS[[#This Row],[Sex Code]]</f>
        <v xml:space="preserve">Insurer Code ; Reporting Year ; Insurance Category Code ; Large Provider Entity Code ; Age Band Code ; Sex Code </v>
      </c>
      <c r="N7115" s="345" t="s">
        <v>207</v>
      </c>
      <c r="O7115" s="345" t="s">
        <v>208</v>
      </c>
      <c r="P7115" s="345" t="s">
        <v>209</v>
      </c>
      <c r="Q7115" s="345" t="s">
        <v>210</v>
      </c>
      <c r="R7115" s="345" t="s">
        <v>223</v>
      </c>
      <c r="S7115" s="345" t="s">
        <v>224</v>
      </c>
    </row>
    <row r="7116" spans="1:19" x14ac:dyDescent="0.25">
      <c r="A7116" s="311"/>
      <c r="B7116" s="312"/>
      <c r="C7116" s="312"/>
      <c r="D7116" s="312"/>
      <c r="E7116" s="312"/>
      <c r="F7116" s="312"/>
      <c r="G7116" s="328"/>
      <c r="H7116" s="453"/>
      <c r="I7116" s="334"/>
      <c r="J7116" s="314"/>
      <c r="K7116" s="454"/>
      <c r="M7116" s="349" t="str">
        <f>N7116&amp;AS[[#This Row],[Insurer Code]]&amp;"; "&amp;O7116&amp;AS[[#This Row],[Reporting Year]]&amp;"; "&amp;P7116&amp;AS[[#This Row],[Insurance Category Code]]&amp;"; "&amp;Q7116&amp;AS[[#This Row],[Large Provider Entity Code]]&amp;"; "&amp;R7116&amp;AS[[#This Row],[Age Band Code]]&amp;"; "&amp;S7116&amp;AS[[#This Row],[Sex Code]]</f>
        <v xml:space="preserve">Insurer Code ; Reporting Year ; Insurance Category Code ; Large Provider Entity Code ; Age Band Code ; Sex Code </v>
      </c>
      <c r="N7116" s="345" t="s">
        <v>207</v>
      </c>
      <c r="O7116" s="345" t="s">
        <v>208</v>
      </c>
      <c r="P7116" s="345" t="s">
        <v>209</v>
      </c>
      <c r="Q7116" s="345" t="s">
        <v>210</v>
      </c>
      <c r="R7116" s="345" t="s">
        <v>223</v>
      </c>
      <c r="S7116" s="345" t="s">
        <v>224</v>
      </c>
    </row>
    <row r="7117" spans="1:19" x14ac:dyDescent="0.25">
      <c r="A7117" s="311"/>
      <c r="B7117" s="312"/>
      <c r="C7117" s="312"/>
      <c r="D7117" s="312"/>
      <c r="E7117" s="312"/>
      <c r="F7117" s="312"/>
      <c r="G7117" s="328"/>
      <c r="H7117" s="453"/>
      <c r="I7117" s="334"/>
      <c r="J7117" s="314"/>
      <c r="K7117" s="454"/>
      <c r="M7117" s="349" t="str">
        <f>N7117&amp;AS[[#This Row],[Insurer Code]]&amp;"; "&amp;O7117&amp;AS[[#This Row],[Reporting Year]]&amp;"; "&amp;P7117&amp;AS[[#This Row],[Insurance Category Code]]&amp;"; "&amp;Q7117&amp;AS[[#This Row],[Large Provider Entity Code]]&amp;"; "&amp;R7117&amp;AS[[#This Row],[Age Band Code]]&amp;"; "&amp;S7117&amp;AS[[#This Row],[Sex Code]]</f>
        <v xml:space="preserve">Insurer Code ; Reporting Year ; Insurance Category Code ; Large Provider Entity Code ; Age Band Code ; Sex Code </v>
      </c>
      <c r="N7117" s="345" t="s">
        <v>207</v>
      </c>
      <c r="O7117" s="345" t="s">
        <v>208</v>
      </c>
      <c r="P7117" s="345" t="s">
        <v>209</v>
      </c>
      <c r="Q7117" s="345" t="s">
        <v>210</v>
      </c>
      <c r="R7117" s="345" t="s">
        <v>223</v>
      </c>
      <c r="S7117" s="345" t="s">
        <v>224</v>
      </c>
    </row>
    <row r="7118" spans="1:19" x14ac:dyDescent="0.25">
      <c r="A7118" s="311"/>
      <c r="B7118" s="312"/>
      <c r="C7118" s="312"/>
      <c r="D7118" s="312"/>
      <c r="E7118" s="312"/>
      <c r="F7118" s="312"/>
      <c r="G7118" s="328"/>
      <c r="H7118" s="453"/>
      <c r="I7118" s="334"/>
      <c r="J7118" s="314"/>
      <c r="K7118" s="454"/>
      <c r="M7118" s="349" t="str">
        <f>N7118&amp;AS[[#This Row],[Insurer Code]]&amp;"; "&amp;O7118&amp;AS[[#This Row],[Reporting Year]]&amp;"; "&amp;P7118&amp;AS[[#This Row],[Insurance Category Code]]&amp;"; "&amp;Q7118&amp;AS[[#This Row],[Large Provider Entity Code]]&amp;"; "&amp;R7118&amp;AS[[#This Row],[Age Band Code]]&amp;"; "&amp;S7118&amp;AS[[#This Row],[Sex Code]]</f>
        <v xml:space="preserve">Insurer Code ; Reporting Year ; Insurance Category Code ; Large Provider Entity Code ; Age Band Code ; Sex Code </v>
      </c>
      <c r="N7118" s="345" t="s">
        <v>207</v>
      </c>
      <c r="O7118" s="345" t="s">
        <v>208</v>
      </c>
      <c r="P7118" s="345" t="s">
        <v>209</v>
      </c>
      <c r="Q7118" s="345" t="s">
        <v>210</v>
      </c>
      <c r="R7118" s="345" t="s">
        <v>223</v>
      </c>
      <c r="S7118" s="345" t="s">
        <v>224</v>
      </c>
    </row>
    <row r="7119" spans="1:19" x14ac:dyDescent="0.25">
      <c r="A7119" s="311"/>
      <c r="B7119" s="312"/>
      <c r="C7119" s="312"/>
      <c r="D7119" s="312"/>
      <c r="E7119" s="312"/>
      <c r="F7119" s="312"/>
      <c r="G7119" s="328"/>
      <c r="H7119" s="453"/>
      <c r="I7119" s="334"/>
      <c r="J7119" s="314"/>
      <c r="K7119" s="454"/>
      <c r="M7119" s="349" t="str">
        <f>N7119&amp;AS[[#This Row],[Insurer Code]]&amp;"; "&amp;O7119&amp;AS[[#This Row],[Reporting Year]]&amp;"; "&amp;P7119&amp;AS[[#This Row],[Insurance Category Code]]&amp;"; "&amp;Q7119&amp;AS[[#This Row],[Large Provider Entity Code]]&amp;"; "&amp;R7119&amp;AS[[#This Row],[Age Band Code]]&amp;"; "&amp;S7119&amp;AS[[#This Row],[Sex Code]]</f>
        <v xml:space="preserve">Insurer Code ; Reporting Year ; Insurance Category Code ; Large Provider Entity Code ; Age Band Code ; Sex Code </v>
      </c>
      <c r="N7119" s="345" t="s">
        <v>207</v>
      </c>
      <c r="O7119" s="345" t="s">
        <v>208</v>
      </c>
      <c r="P7119" s="345" t="s">
        <v>209</v>
      </c>
      <c r="Q7119" s="345" t="s">
        <v>210</v>
      </c>
      <c r="R7119" s="345" t="s">
        <v>223</v>
      </c>
      <c r="S7119" s="345" t="s">
        <v>224</v>
      </c>
    </row>
    <row r="7120" spans="1:19" x14ac:dyDescent="0.25">
      <c r="A7120" s="311"/>
      <c r="B7120" s="312"/>
      <c r="C7120" s="312"/>
      <c r="D7120" s="312"/>
      <c r="E7120" s="312"/>
      <c r="F7120" s="312"/>
      <c r="G7120" s="328"/>
      <c r="H7120" s="453"/>
      <c r="I7120" s="334"/>
      <c r="J7120" s="314"/>
      <c r="K7120" s="454"/>
      <c r="M7120" s="349" t="str">
        <f>N7120&amp;AS[[#This Row],[Insurer Code]]&amp;"; "&amp;O7120&amp;AS[[#This Row],[Reporting Year]]&amp;"; "&amp;P7120&amp;AS[[#This Row],[Insurance Category Code]]&amp;"; "&amp;Q7120&amp;AS[[#This Row],[Large Provider Entity Code]]&amp;"; "&amp;R7120&amp;AS[[#This Row],[Age Band Code]]&amp;"; "&amp;S7120&amp;AS[[#This Row],[Sex Code]]</f>
        <v xml:space="preserve">Insurer Code ; Reporting Year ; Insurance Category Code ; Large Provider Entity Code ; Age Band Code ; Sex Code </v>
      </c>
      <c r="N7120" s="345" t="s">
        <v>207</v>
      </c>
      <c r="O7120" s="345" t="s">
        <v>208</v>
      </c>
      <c r="P7120" s="345" t="s">
        <v>209</v>
      </c>
      <c r="Q7120" s="345" t="s">
        <v>210</v>
      </c>
      <c r="R7120" s="345" t="s">
        <v>223</v>
      </c>
      <c r="S7120" s="345" t="s">
        <v>224</v>
      </c>
    </row>
    <row r="7121" spans="1:19" x14ac:dyDescent="0.25">
      <c r="A7121" s="311"/>
      <c r="B7121" s="312"/>
      <c r="C7121" s="312"/>
      <c r="D7121" s="312"/>
      <c r="E7121" s="312"/>
      <c r="F7121" s="312"/>
      <c r="G7121" s="328"/>
      <c r="H7121" s="453"/>
      <c r="I7121" s="334"/>
      <c r="J7121" s="314"/>
      <c r="K7121" s="454"/>
      <c r="M7121" s="349" t="str">
        <f>N7121&amp;AS[[#This Row],[Insurer Code]]&amp;"; "&amp;O7121&amp;AS[[#This Row],[Reporting Year]]&amp;"; "&amp;P7121&amp;AS[[#This Row],[Insurance Category Code]]&amp;"; "&amp;Q7121&amp;AS[[#This Row],[Large Provider Entity Code]]&amp;"; "&amp;R7121&amp;AS[[#This Row],[Age Band Code]]&amp;"; "&amp;S7121&amp;AS[[#This Row],[Sex Code]]</f>
        <v xml:space="preserve">Insurer Code ; Reporting Year ; Insurance Category Code ; Large Provider Entity Code ; Age Band Code ; Sex Code </v>
      </c>
      <c r="N7121" s="345" t="s">
        <v>207</v>
      </c>
      <c r="O7121" s="345" t="s">
        <v>208</v>
      </c>
      <c r="P7121" s="345" t="s">
        <v>209</v>
      </c>
      <c r="Q7121" s="345" t="s">
        <v>210</v>
      </c>
      <c r="R7121" s="345" t="s">
        <v>223</v>
      </c>
      <c r="S7121" s="345" t="s">
        <v>224</v>
      </c>
    </row>
    <row r="7122" spans="1:19" x14ac:dyDescent="0.25">
      <c r="A7122" s="311"/>
      <c r="B7122" s="312"/>
      <c r="C7122" s="312"/>
      <c r="D7122" s="312"/>
      <c r="E7122" s="312"/>
      <c r="F7122" s="312"/>
      <c r="G7122" s="328"/>
      <c r="H7122" s="453"/>
      <c r="I7122" s="334"/>
      <c r="J7122" s="314"/>
      <c r="K7122" s="454"/>
      <c r="M7122" s="349" t="str">
        <f>N7122&amp;AS[[#This Row],[Insurer Code]]&amp;"; "&amp;O7122&amp;AS[[#This Row],[Reporting Year]]&amp;"; "&amp;P7122&amp;AS[[#This Row],[Insurance Category Code]]&amp;"; "&amp;Q7122&amp;AS[[#This Row],[Large Provider Entity Code]]&amp;"; "&amp;R7122&amp;AS[[#This Row],[Age Band Code]]&amp;"; "&amp;S7122&amp;AS[[#This Row],[Sex Code]]</f>
        <v xml:space="preserve">Insurer Code ; Reporting Year ; Insurance Category Code ; Large Provider Entity Code ; Age Band Code ; Sex Code </v>
      </c>
      <c r="N7122" s="345" t="s">
        <v>207</v>
      </c>
      <c r="O7122" s="345" t="s">
        <v>208</v>
      </c>
      <c r="P7122" s="345" t="s">
        <v>209</v>
      </c>
      <c r="Q7122" s="345" t="s">
        <v>210</v>
      </c>
      <c r="R7122" s="345" t="s">
        <v>223</v>
      </c>
      <c r="S7122" s="345" t="s">
        <v>224</v>
      </c>
    </row>
    <row r="7123" spans="1:19" x14ac:dyDescent="0.25">
      <c r="A7123" s="311"/>
      <c r="B7123" s="312"/>
      <c r="C7123" s="312"/>
      <c r="D7123" s="312"/>
      <c r="E7123" s="312"/>
      <c r="F7123" s="312"/>
      <c r="G7123" s="328"/>
      <c r="H7123" s="453"/>
      <c r="I7123" s="334"/>
      <c r="J7123" s="314"/>
      <c r="K7123" s="454"/>
      <c r="M7123" s="349" t="str">
        <f>N7123&amp;AS[[#This Row],[Insurer Code]]&amp;"; "&amp;O7123&amp;AS[[#This Row],[Reporting Year]]&amp;"; "&amp;P7123&amp;AS[[#This Row],[Insurance Category Code]]&amp;"; "&amp;Q7123&amp;AS[[#This Row],[Large Provider Entity Code]]&amp;"; "&amp;R7123&amp;AS[[#This Row],[Age Band Code]]&amp;"; "&amp;S7123&amp;AS[[#This Row],[Sex Code]]</f>
        <v xml:space="preserve">Insurer Code ; Reporting Year ; Insurance Category Code ; Large Provider Entity Code ; Age Band Code ; Sex Code </v>
      </c>
      <c r="N7123" s="345" t="s">
        <v>207</v>
      </c>
      <c r="O7123" s="345" t="s">
        <v>208</v>
      </c>
      <c r="P7123" s="345" t="s">
        <v>209</v>
      </c>
      <c r="Q7123" s="345" t="s">
        <v>210</v>
      </c>
      <c r="R7123" s="345" t="s">
        <v>223</v>
      </c>
      <c r="S7123" s="345" t="s">
        <v>224</v>
      </c>
    </row>
    <row r="7124" spans="1:19" x14ac:dyDescent="0.25">
      <c r="A7124" s="311"/>
      <c r="B7124" s="312"/>
      <c r="C7124" s="312"/>
      <c r="D7124" s="312"/>
      <c r="E7124" s="312"/>
      <c r="F7124" s="312"/>
      <c r="G7124" s="328"/>
      <c r="H7124" s="453"/>
      <c r="I7124" s="334"/>
      <c r="J7124" s="314"/>
      <c r="K7124" s="454"/>
      <c r="M7124" s="349" t="str">
        <f>N7124&amp;AS[[#This Row],[Insurer Code]]&amp;"; "&amp;O7124&amp;AS[[#This Row],[Reporting Year]]&amp;"; "&amp;P7124&amp;AS[[#This Row],[Insurance Category Code]]&amp;"; "&amp;Q7124&amp;AS[[#This Row],[Large Provider Entity Code]]&amp;"; "&amp;R7124&amp;AS[[#This Row],[Age Band Code]]&amp;"; "&amp;S7124&amp;AS[[#This Row],[Sex Code]]</f>
        <v xml:space="preserve">Insurer Code ; Reporting Year ; Insurance Category Code ; Large Provider Entity Code ; Age Band Code ; Sex Code </v>
      </c>
      <c r="N7124" s="345" t="s">
        <v>207</v>
      </c>
      <c r="O7124" s="345" t="s">
        <v>208</v>
      </c>
      <c r="P7124" s="345" t="s">
        <v>209</v>
      </c>
      <c r="Q7124" s="345" t="s">
        <v>210</v>
      </c>
      <c r="R7124" s="345" t="s">
        <v>223</v>
      </c>
      <c r="S7124" s="345" t="s">
        <v>224</v>
      </c>
    </row>
    <row r="7125" spans="1:19" x14ac:dyDescent="0.25">
      <c r="A7125" s="311"/>
      <c r="B7125" s="312"/>
      <c r="C7125" s="312"/>
      <c r="D7125" s="312"/>
      <c r="E7125" s="312"/>
      <c r="F7125" s="312"/>
      <c r="G7125" s="328"/>
      <c r="H7125" s="453"/>
      <c r="I7125" s="334"/>
      <c r="J7125" s="314"/>
      <c r="K7125" s="454"/>
      <c r="M7125" s="349" t="str">
        <f>N7125&amp;AS[[#This Row],[Insurer Code]]&amp;"; "&amp;O7125&amp;AS[[#This Row],[Reporting Year]]&amp;"; "&amp;P7125&amp;AS[[#This Row],[Insurance Category Code]]&amp;"; "&amp;Q7125&amp;AS[[#This Row],[Large Provider Entity Code]]&amp;"; "&amp;R7125&amp;AS[[#This Row],[Age Band Code]]&amp;"; "&amp;S7125&amp;AS[[#This Row],[Sex Code]]</f>
        <v xml:space="preserve">Insurer Code ; Reporting Year ; Insurance Category Code ; Large Provider Entity Code ; Age Band Code ; Sex Code </v>
      </c>
      <c r="N7125" s="345" t="s">
        <v>207</v>
      </c>
      <c r="O7125" s="345" t="s">
        <v>208</v>
      </c>
      <c r="P7125" s="345" t="s">
        <v>209</v>
      </c>
      <c r="Q7125" s="345" t="s">
        <v>210</v>
      </c>
      <c r="R7125" s="345" t="s">
        <v>223</v>
      </c>
      <c r="S7125" s="345" t="s">
        <v>224</v>
      </c>
    </row>
    <row r="7126" spans="1:19" x14ac:dyDescent="0.25">
      <c r="A7126" s="311"/>
      <c r="B7126" s="312"/>
      <c r="C7126" s="312"/>
      <c r="D7126" s="312"/>
      <c r="E7126" s="312"/>
      <c r="F7126" s="312"/>
      <c r="G7126" s="328"/>
      <c r="H7126" s="453"/>
      <c r="I7126" s="334"/>
      <c r="J7126" s="314"/>
      <c r="K7126" s="454"/>
      <c r="M7126" s="349" t="str">
        <f>N7126&amp;AS[[#This Row],[Insurer Code]]&amp;"; "&amp;O7126&amp;AS[[#This Row],[Reporting Year]]&amp;"; "&amp;P7126&amp;AS[[#This Row],[Insurance Category Code]]&amp;"; "&amp;Q7126&amp;AS[[#This Row],[Large Provider Entity Code]]&amp;"; "&amp;R7126&amp;AS[[#This Row],[Age Band Code]]&amp;"; "&amp;S7126&amp;AS[[#This Row],[Sex Code]]</f>
        <v xml:space="preserve">Insurer Code ; Reporting Year ; Insurance Category Code ; Large Provider Entity Code ; Age Band Code ; Sex Code </v>
      </c>
      <c r="N7126" s="345" t="s">
        <v>207</v>
      </c>
      <c r="O7126" s="345" t="s">
        <v>208</v>
      </c>
      <c r="P7126" s="345" t="s">
        <v>209</v>
      </c>
      <c r="Q7126" s="345" t="s">
        <v>210</v>
      </c>
      <c r="R7126" s="345" t="s">
        <v>223</v>
      </c>
      <c r="S7126" s="345" t="s">
        <v>224</v>
      </c>
    </row>
    <row r="7127" spans="1:19" x14ac:dyDescent="0.25">
      <c r="A7127" s="311"/>
      <c r="B7127" s="312"/>
      <c r="C7127" s="312"/>
      <c r="D7127" s="312"/>
      <c r="E7127" s="312"/>
      <c r="F7127" s="312"/>
      <c r="G7127" s="328"/>
      <c r="H7127" s="453"/>
      <c r="I7127" s="334"/>
      <c r="J7127" s="314"/>
      <c r="K7127" s="454"/>
      <c r="M7127" s="349" t="str">
        <f>N7127&amp;AS[[#This Row],[Insurer Code]]&amp;"; "&amp;O7127&amp;AS[[#This Row],[Reporting Year]]&amp;"; "&amp;P7127&amp;AS[[#This Row],[Insurance Category Code]]&amp;"; "&amp;Q7127&amp;AS[[#This Row],[Large Provider Entity Code]]&amp;"; "&amp;R7127&amp;AS[[#This Row],[Age Band Code]]&amp;"; "&amp;S7127&amp;AS[[#This Row],[Sex Code]]</f>
        <v xml:space="preserve">Insurer Code ; Reporting Year ; Insurance Category Code ; Large Provider Entity Code ; Age Band Code ; Sex Code </v>
      </c>
      <c r="N7127" s="345" t="s">
        <v>207</v>
      </c>
      <c r="O7127" s="345" t="s">
        <v>208</v>
      </c>
      <c r="P7127" s="345" t="s">
        <v>209</v>
      </c>
      <c r="Q7127" s="345" t="s">
        <v>210</v>
      </c>
      <c r="R7127" s="345" t="s">
        <v>223</v>
      </c>
      <c r="S7127" s="345" t="s">
        <v>224</v>
      </c>
    </row>
    <row r="7128" spans="1:19" x14ac:dyDescent="0.25">
      <c r="A7128" s="311"/>
      <c r="B7128" s="312"/>
      <c r="C7128" s="312"/>
      <c r="D7128" s="312"/>
      <c r="E7128" s="312"/>
      <c r="F7128" s="312"/>
      <c r="G7128" s="328"/>
      <c r="H7128" s="453"/>
      <c r="I7128" s="334"/>
      <c r="J7128" s="314"/>
      <c r="K7128" s="454"/>
      <c r="M7128" s="349" t="str">
        <f>N7128&amp;AS[[#This Row],[Insurer Code]]&amp;"; "&amp;O7128&amp;AS[[#This Row],[Reporting Year]]&amp;"; "&amp;P7128&amp;AS[[#This Row],[Insurance Category Code]]&amp;"; "&amp;Q7128&amp;AS[[#This Row],[Large Provider Entity Code]]&amp;"; "&amp;R7128&amp;AS[[#This Row],[Age Band Code]]&amp;"; "&amp;S7128&amp;AS[[#This Row],[Sex Code]]</f>
        <v xml:space="preserve">Insurer Code ; Reporting Year ; Insurance Category Code ; Large Provider Entity Code ; Age Band Code ; Sex Code </v>
      </c>
      <c r="N7128" s="345" t="s">
        <v>207</v>
      </c>
      <c r="O7128" s="345" t="s">
        <v>208</v>
      </c>
      <c r="P7128" s="345" t="s">
        <v>209</v>
      </c>
      <c r="Q7128" s="345" t="s">
        <v>210</v>
      </c>
      <c r="R7128" s="345" t="s">
        <v>223</v>
      </c>
      <c r="S7128" s="345" t="s">
        <v>224</v>
      </c>
    </row>
    <row r="7129" spans="1:19" x14ac:dyDescent="0.25">
      <c r="A7129" s="311"/>
      <c r="B7129" s="312"/>
      <c r="C7129" s="312"/>
      <c r="D7129" s="312"/>
      <c r="E7129" s="312"/>
      <c r="F7129" s="312"/>
      <c r="G7129" s="328"/>
      <c r="H7129" s="453"/>
      <c r="I7129" s="334"/>
      <c r="J7129" s="314"/>
      <c r="K7129" s="454"/>
      <c r="M7129" s="349" t="str">
        <f>N7129&amp;AS[[#This Row],[Insurer Code]]&amp;"; "&amp;O7129&amp;AS[[#This Row],[Reporting Year]]&amp;"; "&amp;P7129&amp;AS[[#This Row],[Insurance Category Code]]&amp;"; "&amp;Q7129&amp;AS[[#This Row],[Large Provider Entity Code]]&amp;"; "&amp;R7129&amp;AS[[#This Row],[Age Band Code]]&amp;"; "&amp;S7129&amp;AS[[#This Row],[Sex Code]]</f>
        <v xml:space="preserve">Insurer Code ; Reporting Year ; Insurance Category Code ; Large Provider Entity Code ; Age Band Code ; Sex Code </v>
      </c>
      <c r="N7129" s="345" t="s">
        <v>207</v>
      </c>
      <c r="O7129" s="345" t="s">
        <v>208</v>
      </c>
      <c r="P7129" s="345" t="s">
        <v>209</v>
      </c>
      <c r="Q7129" s="345" t="s">
        <v>210</v>
      </c>
      <c r="R7129" s="345" t="s">
        <v>223</v>
      </c>
      <c r="S7129" s="345" t="s">
        <v>224</v>
      </c>
    </row>
    <row r="7130" spans="1:19" x14ac:dyDescent="0.25">
      <c r="A7130" s="311"/>
      <c r="B7130" s="312"/>
      <c r="C7130" s="312"/>
      <c r="D7130" s="312"/>
      <c r="E7130" s="312"/>
      <c r="F7130" s="312"/>
      <c r="G7130" s="328"/>
      <c r="H7130" s="453"/>
      <c r="I7130" s="334"/>
      <c r="J7130" s="314"/>
      <c r="K7130" s="454"/>
      <c r="M7130" s="349" t="str">
        <f>N7130&amp;AS[[#This Row],[Insurer Code]]&amp;"; "&amp;O7130&amp;AS[[#This Row],[Reporting Year]]&amp;"; "&amp;P7130&amp;AS[[#This Row],[Insurance Category Code]]&amp;"; "&amp;Q7130&amp;AS[[#This Row],[Large Provider Entity Code]]&amp;"; "&amp;R7130&amp;AS[[#This Row],[Age Band Code]]&amp;"; "&amp;S7130&amp;AS[[#This Row],[Sex Code]]</f>
        <v xml:space="preserve">Insurer Code ; Reporting Year ; Insurance Category Code ; Large Provider Entity Code ; Age Band Code ; Sex Code </v>
      </c>
      <c r="N7130" s="345" t="s">
        <v>207</v>
      </c>
      <c r="O7130" s="345" t="s">
        <v>208</v>
      </c>
      <c r="P7130" s="345" t="s">
        <v>209</v>
      </c>
      <c r="Q7130" s="345" t="s">
        <v>210</v>
      </c>
      <c r="R7130" s="345" t="s">
        <v>223</v>
      </c>
      <c r="S7130" s="345" t="s">
        <v>224</v>
      </c>
    </row>
    <row r="7131" spans="1:19" x14ac:dyDescent="0.25">
      <c r="A7131" s="311"/>
      <c r="B7131" s="312"/>
      <c r="C7131" s="312"/>
      <c r="D7131" s="312"/>
      <c r="E7131" s="312"/>
      <c r="F7131" s="312"/>
      <c r="G7131" s="328"/>
      <c r="H7131" s="453"/>
      <c r="I7131" s="334"/>
      <c r="J7131" s="314"/>
      <c r="K7131" s="454"/>
      <c r="M7131" s="349" t="str">
        <f>N7131&amp;AS[[#This Row],[Insurer Code]]&amp;"; "&amp;O7131&amp;AS[[#This Row],[Reporting Year]]&amp;"; "&amp;P7131&amp;AS[[#This Row],[Insurance Category Code]]&amp;"; "&amp;Q7131&amp;AS[[#This Row],[Large Provider Entity Code]]&amp;"; "&amp;R7131&amp;AS[[#This Row],[Age Band Code]]&amp;"; "&amp;S7131&amp;AS[[#This Row],[Sex Code]]</f>
        <v xml:space="preserve">Insurer Code ; Reporting Year ; Insurance Category Code ; Large Provider Entity Code ; Age Band Code ; Sex Code </v>
      </c>
      <c r="N7131" s="345" t="s">
        <v>207</v>
      </c>
      <c r="O7131" s="345" t="s">
        <v>208</v>
      </c>
      <c r="P7131" s="345" t="s">
        <v>209</v>
      </c>
      <c r="Q7131" s="345" t="s">
        <v>210</v>
      </c>
      <c r="R7131" s="345" t="s">
        <v>223</v>
      </c>
      <c r="S7131" s="345" t="s">
        <v>224</v>
      </c>
    </row>
    <row r="7132" spans="1:19" x14ac:dyDescent="0.25">
      <c r="A7132" s="311"/>
      <c r="B7132" s="312"/>
      <c r="C7132" s="312"/>
      <c r="D7132" s="312"/>
      <c r="E7132" s="312"/>
      <c r="F7132" s="312"/>
      <c r="G7132" s="328"/>
      <c r="H7132" s="453"/>
      <c r="I7132" s="334"/>
      <c r="J7132" s="314"/>
      <c r="K7132" s="454"/>
      <c r="M7132" s="349" t="str">
        <f>N7132&amp;AS[[#This Row],[Insurer Code]]&amp;"; "&amp;O7132&amp;AS[[#This Row],[Reporting Year]]&amp;"; "&amp;P7132&amp;AS[[#This Row],[Insurance Category Code]]&amp;"; "&amp;Q7132&amp;AS[[#This Row],[Large Provider Entity Code]]&amp;"; "&amp;R7132&amp;AS[[#This Row],[Age Band Code]]&amp;"; "&amp;S7132&amp;AS[[#This Row],[Sex Code]]</f>
        <v xml:space="preserve">Insurer Code ; Reporting Year ; Insurance Category Code ; Large Provider Entity Code ; Age Band Code ; Sex Code </v>
      </c>
      <c r="N7132" s="345" t="s">
        <v>207</v>
      </c>
      <c r="O7132" s="345" t="s">
        <v>208</v>
      </c>
      <c r="P7132" s="345" t="s">
        <v>209</v>
      </c>
      <c r="Q7132" s="345" t="s">
        <v>210</v>
      </c>
      <c r="R7132" s="345" t="s">
        <v>223</v>
      </c>
      <c r="S7132" s="345" t="s">
        <v>224</v>
      </c>
    </row>
    <row r="7133" spans="1:19" x14ac:dyDescent="0.25">
      <c r="A7133" s="311"/>
      <c r="B7133" s="312"/>
      <c r="C7133" s="312"/>
      <c r="D7133" s="312"/>
      <c r="E7133" s="312"/>
      <c r="F7133" s="312"/>
      <c r="G7133" s="328"/>
      <c r="H7133" s="453"/>
      <c r="I7133" s="334"/>
      <c r="J7133" s="314"/>
      <c r="K7133" s="454"/>
      <c r="M7133" s="349" t="str">
        <f>N7133&amp;AS[[#This Row],[Insurer Code]]&amp;"; "&amp;O7133&amp;AS[[#This Row],[Reporting Year]]&amp;"; "&amp;P7133&amp;AS[[#This Row],[Insurance Category Code]]&amp;"; "&amp;Q7133&amp;AS[[#This Row],[Large Provider Entity Code]]&amp;"; "&amp;R7133&amp;AS[[#This Row],[Age Band Code]]&amp;"; "&amp;S7133&amp;AS[[#This Row],[Sex Code]]</f>
        <v xml:space="preserve">Insurer Code ; Reporting Year ; Insurance Category Code ; Large Provider Entity Code ; Age Band Code ; Sex Code </v>
      </c>
      <c r="N7133" s="345" t="s">
        <v>207</v>
      </c>
      <c r="O7133" s="345" t="s">
        <v>208</v>
      </c>
      <c r="P7133" s="345" t="s">
        <v>209</v>
      </c>
      <c r="Q7133" s="345" t="s">
        <v>210</v>
      </c>
      <c r="R7133" s="345" t="s">
        <v>223</v>
      </c>
      <c r="S7133" s="345" t="s">
        <v>224</v>
      </c>
    </row>
    <row r="7134" spans="1:19" x14ac:dyDescent="0.25">
      <c r="A7134" s="311"/>
      <c r="B7134" s="312"/>
      <c r="C7134" s="312"/>
      <c r="D7134" s="312"/>
      <c r="E7134" s="312"/>
      <c r="F7134" s="312"/>
      <c r="G7134" s="328"/>
      <c r="H7134" s="453"/>
      <c r="I7134" s="334"/>
      <c r="J7134" s="314"/>
      <c r="K7134" s="454"/>
      <c r="M7134" s="349" t="str">
        <f>N7134&amp;AS[[#This Row],[Insurer Code]]&amp;"; "&amp;O7134&amp;AS[[#This Row],[Reporting Year]]&amp;"; "&amp;P7134&amp;AS[[#This Row],[Insurance Category Code]]&amp;"; "&amp;Q7134&amp;AS[[#This Row],[Large Provider Entity Code]]&amp;"; "&amp;R7134&amp;AS[[#This Row],[Age Band Code]]&amp;"; "&amp;S7134&amp;AS[[#This Row],[Sex Code]]</f>
        <v xml:space="preserve">Insurer Code ; Reporting Year ; Insurance Category Code ; Large Provider Entity Code ; Age Band Code ; Sex Code </v>
      </c>
      <c r="N7134" s="345" t="s">
        <v>207</v>
      </c>
      <c r="O7134" s="345" t="s">
        <v>208</v>
      </c>
      <c r="P7134" s="345" t="s">
        <v>209</v>
      </c>
      <c r="Q7134" s="345" t="s">
        <v>210</v>
      </c>
      <c r="R7134" s="345" t="s">
        <v>223</v>
      </c>
      <c r="S7134" s="345" t="s">
        <v>224</v>
      </c>
    </row>
    <row r="7135" spans="1:19" x14ac:dyDescent="0.25">
      <c r="A7135" s="311"/>
      <c r="B7135" s="312"/>
      <c r="C7135" s="312"/>
      <c r="D7135" s="312"/>
      <c r="E7135" s="312"/>
      <c r="F7135" s="312"/>
      <c r="G7135" s="328"/>
      <c r="H7135" s="453"/>
      <c r="I7135" s="334"/>
      <c r="J7135" s="314"/>
      <c r="K7135" s="454"/>
      <c r="M7135" s="349" t="str">
        <f>N7135&amp;AS[[#This Row],[Insurer Code]]&amp;"; "&amp;O7135&amp;AS[[#This Row],[Reporting Year]]&amp;"; "&amp;P7135&amp;AS[[#This Row],[Insurance Category Code]]&amp;"; "&amp;Q7135&amp;AS[[#This Row],[Large Provider Entity Code]]&amp;"; "&amp;R7135&amp;AS[[#This Row],[Age Band Code]]&amp;"; "&amp;S7135&amp;AS[[#This Row],[Sex Code]]</f>
        <v xml:space="preserve">Insurer Code ; Reporting Year ; Insurance Category Code ; Large Provider Entity Code ; Age Band Code ; Sex Code </v>
      </c>
      <c r="N7135" s="345" t="s">
        <v>207</v>
      </c>
      <c r="O7135" s="345" t="s">
        <v>208</v>
      </c>
      <c r="P7135" s="345" t="s">
        <v>209</v>
      </c>
      <c r="Q7135" s="345" t="s">
        <v>210</v>
      </c>
      <c r="R7135" s="345" t="s">
        <v>223</v>
      </c>
      <c r="S7135" s="345" t="s">
        <v>224</v>
      </c>
    </row>
    <row r="7136" spans="1:19" x14ac:dyDescent="0.25">
      <c r="A7136" s="311"/>
      <c r="B7136" s="312"/>
      <c r="C7136" s="312"/>
      <c r="D7136" s="312"/>
      <c r="E7136" s="312"/>
      <c r="F7136" s="312"/>
      <c r="G7136" s="328"/>
      <c r="H7136" s="453"/>
      <c r="I7136" s="334"/>
      <c r="J7136" s="314"/>
      <c r="K7136" s="454"/>
      <c r="M7136" s="349" t="str">
        <f>N7136&amp;AS[[#This Row],[Insurer Code]]&amp;"; "&amp;O7136&amp;AS[[#This Row],[Reporting Year]]&amp;"; "&amp;P7136&amp;AS[[#This Row],[Insurance Category Code]]&amp;"; "&amp;Q7136&amp;AS[[#This Row],[Large Provider Entity Code]]&amp;"; "&amp;R7136&amp;AS[[#This Row],[Age Band Code]]&amp;"; "&amp;S7136&amp;AS[[#This Row],[Sex Code]]</f>
        <v xml:space="preserve">Insurer Code ; Reporting Year ; Insurance Category Code ; Large Provider Entity Code ; Age Band Code ; Sex Code </v>
      </c>
      <c r="N7136" s="345" t="s">
        <v>207</v>
      </c>
      <c r="O7136" s="345" t="s">
        <v>208</v>
      </c>
      <c r="P7136" s="345" t="s">
        <v>209</v>
      </c>
      <c r="Q7136" s="345" t="s">
        <v>210</v>
      </c>
      <c r="R7136" s="345" t="s">
        <v>223</v>
      </c>
      <c r="S7136" s="345" t="s">
        <v>224</v>
      </c>
    </row>
    <row r="7137" spans="1:19" x14ac:dyDescent="0.25">
      <c r="A7137" s="311"/>
      <c r="B7137" s="312"/>
      <c r="C7137" s="312"/>
      <c r="D7137" s="312"/>
      <c r="E7137" s="312"/>
      <c r="F7137" s="312"/>
      <c r="G7137" s="328"/>
      <c r="H7137" s="453"/>
      <c r="I7137" s="334"/>
      <c r="J7137" s="314"/>
      <c r="K7137" s="454"/>
      <c r="M7137" s="349" t="str">
        <f>N7137&amp;AS[[#This Row],[Insurer Code]]&amp;"; "&amp;O7137&amp;AS[[#This Row],[Reporting Year]]&amp;"; "&amp;P7137&amp;AS[[#This Row],[Insurance Category Code]]&amp;"; "&amp;Q7137&amp;AS[[#This Row],[Large Provider Entity Code]]&amp;"; "&amp;R7137&amp;AS[[#This Row],[Age Band Code]]&amp;"; "&amp;S7137&amp;AS[[#This Row],[Sex Code]]</f>
        <v xml:space="preserve">Insurer Code ; Reporting Year ; Insurance Category Code ; Large Provider Entity Code ; Age Band Code ; Sex Code </v>
      </c>
      <c r="N7137" s="345" t="s">
        <v>207</v>
      </c>
      <c r="O7137" s="345" t="s">
        <v>208</v>
      </c>
      <c r="P7137" s="345" t="s">
        <v>209</v>
      </c>
      <c r="Q7137" s="345" t="s">
        <v>210</v>
      </c>
      <c r="R7137" s="345" t="s">
        <v>223</v>
      </c>
      <c r="S7137" s="345" t="s">
        <v>224</v>
      </c>
    </row>
    <row r="7138" spans="1:19" x14ac:dyDescent="0.25">
      <c r="A7138" s="311"/>
      <c r="B7138" s="312"/>
      <c r="C7138" s="312"/>
      <c r="D7138" s="312"/>
      <c r="E7138" s="312"/>
      <c r="F7138" s="312"/>
      <c r="G7138" s="328"/>
      <c r="H7138" s="453"/>
      <c r="I7138" s="334"/>
      <c r="J7138" s="314"/>
      <c r="K7138" s="454"/>
      <c r="M7138" s="349" t="str">
        <f>N7138&amp;AS[[#This Row],[Insurer Code]]&amp;"; "&amp;O7138&amp;AS[[#This Row],[Reporting Year]]&amp;"; "&amp;P7138&amp;AS[[#This Row],[Insurance Category Code]]&amp;"; "&amp;Q7138&amp;AS[[#This Row],[Large Provider Entity Code]]&amp;"; "&amp;R7138&amp;AS[[#This Row],[Age Band Code]]&amp;"; "&amp;S7138&amp;AS[[#This Row],[Sex Code]]</f>
        <v xml:space="preserve">Insurer Code ; Reporting Year ; Insurance Category Code ; Large Provider Entity Code ; Age Band Code ; Sex Code </v>
      </c>
      <c r="N7138" s="345" t="s">
        <v>207</v>
      </c>
      <c r="O7138" s="345" t="s">
        <v>208</v>
      </c>
      <c r="P7138" s="345" t="s">
        <v>209</v>
      </c>
      <c r="Q7138" s="345" t="s">
        <v>210</v>
      </c>
      <c r="R7138" s="345" t="s">
        <v>223</v>
      </c>
      <c r="S7138" s="345" t="s">
        <v>224</v>
      </c>
    </row>
    <row r="7139" spans="1:19" x14ac:dyDescent="0.25">
      <c r="A7139" s="311"/>
      <c r="B7139" s="312"/>
      <c r="C7139" s="312"/>
      <c r="D7139" s="312"/>
      <c r="E7139" s="312"/>
      <c r="F7139" s="312"/>
      <c r="G7139" s="328"/>
      <c r="H7139" s="453"/>
      <c r="I7139" s="334"/>
      <c r="J7139" s="314"/>
      <c r="K7139" s="454"/>
      <c r="M7139" s="349" t="str">
        <f>N7139&amp;AS[[#This Row],[Insurer Code]]&amp;"; "&amp;O7139&amp;AS[[#This Row],[Reporting Year]]&amp;"; "&amp;P7139&amp;AS[[#This Row],[Insurance Category Code]]&amp;"; "&amp;Q7139&amp;AS[[#This Row],[Large Provider Entity Code]]&amp;"; "&amp;R7139&amp;AS[[#This Row],[Age Band Code]]&amp;"; "&amp;S7139&amp;AS[[#This Row],[Sex Code]]</f>
        <v xml:space="preserve">Insurer Code ; Reporting Year ; Insurance Category Code ; Large Provider Entity Code ; Age Band Code ; Sex Code </v>
      </c>
      <c r="N7139" s="345" t="s">
        <v>207</v>
      </c>
      <c r="O7139" s="345" t="s">
        <v>208</v>
      </c>
      <c r="P7139" s="345" t="s">
        <v>209</v>
      </c>
      <c r="Q7139" s="345" t="s">
        <v>210</v>
      </c>
      <c r="R7139" s="345" t="s">
        <v>223</v>
      </c>
      <c r="S7139" s="345" t="s">
        <v>224</v>
      </c>
    </row>
    <row r="7140" spans="1:19" x14ac:dyDescent="0.25">
      <c r="A7140" s="311"/>
      <c r="B7140" s="312"/>
      <c r="C7140" s="312"/>
      <c r="D7140" s="312"/>
      <c r="E7140" s="312"/>
      <c r="F7140" s="312"/>
      <c r="G7140" s="328"/>
      <c r="H7140" s="453"/>
      <c r="I7140" s="334"/>
      <c r="J7140" s="314"/>
      <c r="K7140" s="454"/>
      <c r="M7140" s="349" t="str">
        <f>N7140&amp;AS[[#This Row],[Insurer Code]]&amp;"; "&amp;O7140&amp;AS[[#This Row],[Reporting Year]]&amp;"; "&amp;P7140&amp;AS[[#This Row],[Insurance Category Code]]&amp;"; "&amp;Q7140&amp;AS[[#This Row],[Large Provider Entity Code]]&amp;"; "&amp;R7140&amp;AS[[#This Row],[Age Band Code]]&amp;"; "&amp;S7140&amp;AS[[#This Row],[Sex Code]]</f>
        <v xml:space="preserve">Insurer Code ; Reporting Year ; Insurance Category Code ; Large Provider Entity Code ; Age Band Code ; Sex Code </v>
      </c>
      <c r="N7140" s="345" t="s">
        <v>207</v>
      </c>
      <c r="O7140" s="345" t="s">
        <v>208</v>
      </c>
      <c r="P7140" s="345" t="s">
        <v>209</v>
      </c>
      <c r="Q7140" s="345" t="s">
        <v>210</v>
      </c>
      <c r="R7140" s="345" t="s">
        <v>223</v>
      </c>
      <c r="S7140" s="345" t="s">
        <v>224</v>
      </c>
    </row>
    <row r="7141" spans="1:19" x14ac:dyDescent="0.25">
      <c r="A7141" s="311"/>
      <c r="B7141" s="312"/>
      <c r="C7141" s="312"/>
      <c r="D7141" s="312"/>
      <c r="E7141" s="312"/>
      <c r="F7141" s="312"/>
      <c r="G7141" s="328"/>
      <c r="H7141" s="453"/>
      <c r="I7141" s="334"/>
      <c r="J7141" s="314"/>
      <c r="K7141" s="454"/>
      <c r="M7141" s="349" t="str">
        <f>N7141&amp;AS[[#This Row],[Insurer Code]]&amp;"; "&amp;O7141&amp;AS[[#This Row],[Reporting Year]]&amp;"; "&amp;P7141&amp;AS[[#This Row],[Insurance Category Code]]&amp;"; "&amp;Q7141&amp;AS[[#This Row],[Large Provider Entity Code]]&amp;"; "&amp;R7141&amp;AS[[#This Row],[Age Band Code]]&amp;"; "&amp;S7141&amp;AS[[#This Row],[Sex Code]]</f>
        <v xml:space="preserve">Insurer Code ; Reporting Year ; Insurance Category Code ; Large Provider Entity Code ; Age Band Code ; Sex Code </v>
      </c>
      <c r="N7141" s="345" t="s">
        <v>207</v>
      </c>
      <c r="O7141" s="345" t="s">
        <v>208</v>
      </c>
      <c r="P7141" s="345" t="s">
        <v>209</v>
      </c>
      <c r="Q7141" s="345" t="s">
        <v>210</v>
      </c>
      <c r="R7141" s="345" t="s">
        <v>223</v>
      </c>
      <c r="S7141" s="345" t="s">
        <v>224</v>
      </c>
    </row>
    <row r="7142" spans="1:19" x14ac:dyDescent="0.25">
      <c r="A7142" s="311"/>
      <c r="B7142" s="312"/>
      <c r="C7142" s="312"/>
      <c r="D7142" s="312"/>
      <c r="E7142" s="312"/>
      <c r="F7142" s="312"/>
      <c r="G7142" s="328"/>
      <c r="H7142" s="453"/>
      <c r="I7142" s="334"/>
      <c r="J7142" s="314"/>
      <c r="K7142" s="454"/>
      <c r="M7142" s="349" t="str">
        <f>N7142&amp;AS[[#This Row],[Insurer Code]]&amp;"; "&amp;O7142&amp;AS[[#This Row],[Reporting Year]]&amp;"; "&amp;P7142&amp;AS[[#This Row],[Insurance Category Code]]&amp;"; "&amp;Q7142&amp;AS[[#This Row],[Large Provider Entity Code]]&amp;"; "&amp;R7142&amp;AS[[#This Row],[Age Band Code]]&amp;"; "&amp;S7142&amp;AS[[#This Row],[Sex Code]]</f>
        <v xml:space="preserve">Insurer Code ; Reporting Year ; Insurance Category Code ; Large Provider Entity Code ; Age Band Code ; Sex Code </v>
      </c>
      <c r="N7142" s="345" t="s">
        <v>207</v>
      </c>
      <c r="O7142" s="345" t="s">
        <v>208</v>
      </c>
      <c r="P7142" s="345" t="s">
        <v>209</v>
      </c>
      <c r="Q7142" s="345" t="s">
        <v>210</v>
      </c>
      <c r="R7142" s="345" t="s">
        <v>223</v>
      </c>
      <c r="S7142" s="345" t="s">
        <v>224</v>
      </c>
    </row>
    <row r="7143" spans="1:19" x14ac:dyDescent="0.25">
      <c r="A7143" s="311"/>
      <c r="B7143" s="312"/>
      <c r="C7143" s="312"/>
      <c r="D7143" s="312"/>
      <c r="E7143" s="312"/>
      <c r="F7143" s="312"/>
      <c r="G7143" s="328"/>
      <c r="H7143" s="453"/>
      <c r="I7143" s="334"/>
      <c r="J7143" s="314"/>
      <c r="K7143" s="454"/>
      <c r="M7143" s="349" t="str">
        <f>N7143&amp;AS[[#This Row],[Insurer Code]]&amp;"; "&amp;O7143&amp;AS[[#This Row],[Reporting Year]]&amp;"; "&amp;P7143&amp;AS[[#This Row],[Insurance Category Code]]&amp;"; "&amp;Q7143&amp;AS[[#This Row],[Large Provider Entity Code]]&amp;"; "&amp;R7143&amp;AS[[#This Row],[Age Band Code]]&amp;"; "&amp;S7143&amp;AS[[#This Row],[Sex Code]]</f>
        <v xml:space="preserve">Insurer Code ; Reporting Year ; Insurance Category Code ; Large Provider Entity Code ; Age Band Code ; Sex Code </v>
      </c>
      <c r="N7143" s="345" t="s">
        <v>207</v>
      </c>
      <c r="O7143" s="345" t="s">
        <v>208</v>
      </c>
      <c r="P7143" s="345" t="s">
        <v>209</v>
      </c>
      <c r="Q7143" s="345" t="s">
        <v>210</v>
      </c>
      <c r="R7143" s="345" t="s">
        <v>223</v>
      </c>
      <c r="S7143" s="345" t="s">
        <v>224</v>
      </c>
    </row>
    <row r="7144" spans="1:19" x14ac:dyDescent="0.25">
      <c r="A7144" s="311"/>
      <c r="B7144" s="312"/>
      <c r="C7144" s="312"/>
      <c r="D7144" s="312"/>
      <c r="E7144" s="312"/>
      <c r="F7144" s="312"/>
      <c r="G7144" s="328"/>
      <c r="H7144" s="453"/>
      <c r="I7144" s="334"/>
      <c r="J7144" s="314"/>
      <c r="K7144" s="454"/>
      <c r="M7144" s="349" t="str">
        <f>N7144&amp;AS[[#This Row],[Insurer Code]]&amp;"; "&amp;O7144&amp;AS[[#This Row],[Reporting Year]]&amp;"; "&amp;P7144&amp;AS[[#This Row],[Insurance Category Code]]&amp;"; "&amp;Q7144&amp;AS[[#This Row],[Large Provider Entity Code]]&amp;"; "&amp;R7144&amp;AS[[#This Row],[Age Band Code]]&amp;"; "&amp;S7144&amp;AS[[#This Row],[Sex Code]]</f>
        <v xml:space="preserve">Insurer Code ; Reporting Year ; Insurance Category Code ; Large Provider Entity Code ; Age Band Code ; Sex Code </v>
      </c>
      <c r="N7144" s="345" t="s">
        <v>207</v>
      </c>
      <c r="O7144" s="345" t="s">
        <v>208</v>
      </c>
      <c r="P7144" s="345" t="s">
        <v>209</v>
      </c>
      <c r="Q7144" s="345" t="s">
        <v>210</v>
      </c>
      <c r="R7144" s="345" t="s">
        <v>223</v>
      </c>
      <c r="S7144" s="345" t="s">
        <v>224</v>
      </c>
    </row>
    <row r="7145" spans="1:19" x14ac:dyDescent="0.25">
      <c r="A7145" s="311"/>
      <c r="B7145" s="312"/>
      <c r="C7145" s="312"/>
      <c r="D7145" s="312"/>
      <c r="E7145" s="312"/>
      <c r="F7145" s="312"/>
      <c r="G7145" s="328"/>
      <c r="H7145" s="453"/>
      <c r="I7145" s="334"/>
      <c r="J7145" s="314"/>
      <c r="K7145" s="454"/>
      <c r="M7145" s="349" t="str">
        <f>N7145&amp;AS[[#This Row],[Insurer Code]]&amp;"; "&amp;O7145&amp;AS[[#This Row],[Reporting Year]]&amp;"; "&amp;P7145&amp;AS[[#This Row],[Insurance Category Code]]&amp;"; "&amp;Q7145&amp;AS[[#This Row],[Large Provider Entity Code]]&amp;"; "&amp;R7145&amp;AS[[#This Row],[Age Band Code]]&amp;"; "&amp;S7145&amp;AS[[#This Row],[Sex Code]]</f>
        <v xml:space="preserve">Insurer Code ; Reporting Year ; Insurance Category Code ; Large Provider Entity Code ; Age Band Code ; Sex Code </v>
      </c>
      <c r="N7145" s="345" t="s">
        <v>207</v>
      </c>
      <c r="O7145" s="345" t="s">
        <v>208</v>
      </c>
      <c r="P7145" s="345" t="s">
        <v>209</v>
      </c>
      <c r="Q7145" s="345" t="s">
        <v>210</v>
      </c>
      <c r="R7145" s="345" t="s">
        <v>223</v>
      </c>
      <c r="S7145" s="345" t="s">
        <v>224</v>
      </c>
    </row>
    <row r="7146" spans="1:19" x14ac:dyDescent="0.25">
      <c r="A7146" s="311"/>
      <c r="B7146" s="312"/>
      <c r="C7146" s="312"/>
      <c r="D7146" s="312"/>
      <c r="E7146" s="312"/>
      <c r="F7146" s="312"/>
      <c r="G7146" s="328"/>
      <c r="H7146" s="453"/>
      <c r="I7146" s="334"/>
      <c r="J7146" s="314"/>
      <c r="K7146" s="454"/>
      <c r="M7146" s="349" t="str">
        <f>N7146&amp;AS[[#This Row],[Insurer Code]]&amp;"; "&amp;O7146&amp;AS[[#This Row],[Reporting Year]]&amp;"; "&amp;P7146&amp;AS[[#This Row],[Insurance Category Code]]&amp;"; "&amp;Q7146&amp;AS[[#This Row],[Large Provider Entity Code]]&amp;"; "&amp;R7146&amp;AS[[#This Row],[Age Band Code]]&amp;"; "&amp;S7146&amp;AS[[#This Row],[Sex Code]]</f>
        <v xml:space="preserve">Insurer Code ; Reporting Year ; Insurance Category Code ; Large Provider Entity Code ; Age Band Code ; Sex Code </v>
      </c>
      <c r="N7146" s="345" t="s">
        <v>207</v>
      </c>
      <c r="O7146" s="345" t="s">
        <v>208</v>
      </c>
      <c r="P7146" s="345" t="s">
        <v>209</v>
      </c>
      <c r="Q7146" s="345" t="s">
        <v>210</v>
      </c>
      <c r="R7146" s="345" t="s">
        <v>223</v>
      </c>
      <c r="S7146" s="345" t="s">
        <v>224</v>
      </c>
    </row>
    <row r="7147" spans="1:19" x14ac:dyDescent="0.25">
      <c r="A7147" s="311"/>
      <c r="B7147" s="312"/>
      <c r="C7147" s="312"/>
      <c r="D7147" s="312"/>
      <c r="E7147" s="312"/>
      <c r="F7147" s="312"/>
      <c r="G7147" s="328"/>
      <c r="H7147" s="453"/>
      <c r="I7147" s="334"/>
      <c r="J7147" s="314"/>
      <c r="K7147" s="454"/>
      <c r="M7147" s="349" t="str">
        <f>N7147&amp;AS[[#This Row],[Insurer Code]]&amp;"; "&amp;O7147&amp;AS[[#This Row],[Reporting Year]]&amp;"; "&amp;P7147&amp;AS[[#This Row],[Insurance Category Code]]&amp;"; "&amp;Q7147&amp;AS[[#This Row],[Large Provider Entity Code]]&amp;"; "&amp;R7147&amp;AS[[#This Row],[Age Band Code]]&amp;"; "&amp;S7147&amp;AS[[#This Row],[Sex Code]]</f>
        <v xml:space="preserve">Insurer Code ; Reporting Year ; Insurance Category Code ; Large Provider Entity Code ; Age Band Code ; Sex Code </v>
      </c>
      <c r="N7147" s="345" t="s">
        <v>207</v>
      </c>
      <c r="O7147" s="345" t="s">
        <v>208</v>
      </c>
      <c r="P7147" s="345" t="s">
        <v>209</v>
      </c>
      <c r="Q7147" s="345" t="s">
        <v>210</v>
      </c>
      <c r="R7147" s="345" t="s">
        <v>223</v>
      </c>
      <c r="S7147" s="345" t="s">
        <v>224</v>
      </c>
    </row>
    <row r="7148" spans="1:19" x14ac:dyDescent="0.25">
      <c r="A7148" s="311"/>
      <c r="B7148" s="312"/>
      <c r="C7148" s="312"/>
      <c r="D7148" s="312"/>
      <c r="E7148" s="312"/>
      <c r="F7148" s="312"/>
      <c r="G7148" s="328"/>
      <c r="H7148" s="453"/>
      <c r="I7148" s="334"/>
      <c r="J7148" s="314"/>
      <c r="K7148" s="454"/>
      <c r="M7148" s="349" t="str">
        <f>N7148&amp;AS[[#This Row],[Insurer Code]]&amp;"; "&amp;O7148&amp;AS[[#This Row],[Reporting Year]]&amp;"; "&amp;P7148&amp;AS[[#This Row],[Insurance Category Code]]&amp;"; "&amp;Q7148&amp;AS[[#This Row],[Large Provider Entity Code]]&amp;"; "&amp;R7148&amp;AS[[#This Row],[Age Band Code]]&amp;"; "&amp;S7148&amp;AS[[#This Row],[Sex Code]]</f>
        <v xml:space="preserve">Insurer Code ; Reporting Year ; Insurance Category Code ; Large Provider Entity Code ; Age Band Code ; Sex Code </v>
      </c>
      <c r="N7148" s="345" t="s">
        <v>207</v>
      </c>
      <c r="O7148" s="345" t="s">
        <v>208</v>
      </c>
      <c r="P7148" s="345" t="s">
        <v>209</v>
      </c>
      <c r="Q7148" s="345" t="s">
        <v>210</v>
      </c>
      <c r="R7148" s="345" t="s">
        <v>223</v>
      </c>
      <c r="S7148" s="345" t="s">
        <v>224</v>
      </c>
    </row>
    <row r="7149" spans="1:19" x14ac:dyDescent="0.25">
      <c r="A7149" s="311"/>
      <c r="B7149" s="312"/>
      <c r="C7149" s="312"/>
      <c r="D7149" s="312"/>
      <c r="E7149" s="312"/>
      <c r="F7149" s="312"/>
      <c r="G7149" s="328"/>
      <c r="H7149" s="453"/>
      <c r="I7149" s="334"/>
      <c r="J7149" s="314"/>
      <c r="K7149" s="454"/>
      <c r="M7149" s="349" t="str">
        <f>N7149&amp;AS[[#This Row],[Insurer Code]]&amp;"; "&amp;O7149&amp;AS[[#This Row],[Reporting Year]]&amp;"; "&amp;P7149&amp;AS[[#This Row],[Insurance Category Code]]&amp;"; "&amp;Q7149&amp;AS[[#This Row],[Large Provider Entity Code]]&amp;"; "&amp;R7149&amp;AS[[#This Row],[Age Band Code]]&amp;"; "&amp;S7149&amp;AS[[#This Row],[Sex Code]]</f>
        <v xml:space="preserve">Insurer Code ; Reporting Year ; Insurance Category Code ; Large Provider Entity Code ; Age Band Code ; Sex Code </v>
      </c>
      <c r="N7149" s="345" t="s">
        <v>207</v>
      </c>
      <c r="O7149" s="345" t="s">
        <v>208</v>
      </c>
      <c r="P7149" s="345" t="s">
        <v>209</v>
      </c>
      <c r="Q7149" s="345" t="s">
        <v>210</v>
      </c>
      <c r="R7149" s="345" t="s">
        <v>223</v>
      </c>
      <c r="S7149" s="345" t="s">
        <v>224</v>
      </c>
    </row>
    <row r="7150" spans="1:19" x14ac:dyDescent="0.25">
      <c r="A7150" s="311"/>
      <c r="B7150" s="312"/>
      <c r="C7150" s="312"/>
      <c r="D7150" s="312"/>
      <c r="E7150" s="312"/>
      <c r="F7150" s="312"/>
      <c r="G7150" s="328"/>
      <c r="H7150" s="453"/>
      <c r="I7150" s="334"/>
      <c r="J7150" s="314"/>
      <c r="K7150" s="454"/>
      <c r="M7150" s="349" t="str">
        <f>N7150&amp;AS[[#This Row],[Insurer Code]]&amp;"; "&amp;O7150&amp;AS[[#This Row],[Reporting Year]]&amp;"; "&amp;P7150&amp;AS[[#This Row],[Insurance Category Code]]&amp;"; "&amp;Q7150&amp;AS[[#This Row],[Large Provider Entity Code]]&amp;"; "&amp;R7150&amp;AS[[#This Row],[Age Band Code]]&amp;"; "&amp;S7150&amp;AS[[#This Row],[Sex Code]]</f>
        <v xml:space="preserve">Insurer Code ; Reporting Year ; Insurance Category Code ; Large Provider Entity Code ; Age Band Code ; Sex Code </v>
      </c>
      <c r="N7150" s="345" t="s">
        <v>207</v>
      </c>
      <c r="O7150" s="345" t="s">
        <v>208</v>
      </c>
      <c r="P7150" s="345" t="s">
        <v>209</v>
      </c>
      <c r="Q7150" s="345" t="s">
        <v>210</v>
      </c>
      <c r="R7150" s="345" t="s">
        <v>223</v>
      </c>
      <c r="S7150" s="345" t="s">
        <v>224</v>
      </c>
    </row>
    <row r="7151" spans="1:19" x14ac:dyDescent="0.25">
      <c r="A7151" s="311"/>
      <c r="B7151" s="312"/>
      <c r="C7151" s="312"/>
      <c r="D7151" s="312"/>
      <c r="E7151" s="312"/>
      <c r="F7151" s="312"/>
      <c r="G7151" s="328"/>
      <c r="H7151" s="453"/>
      <c r="I7151" s="334"/>
      <c r="J7151" s="314"/>
      <c r="K7151" s="454"/>
      <c r="M7151" s="349" t="str">
        <f>N7151&amp;AS[[#This Row],[Insurer Code]]&amp;"; "&amp;O7151&amp;AS[[#This Row],[Reporting Year]]&amp;"; "&amp;P7151&amp;AS[[#This Row],[Insurance Category Code]]&amp;"; "&amp;Q7151&amp;AS[[#This Row],[Large Provider Entity Code]]&amp;"; "&amp;R7151&amp;AS[[#This Row],[Age Band Code]]&amp;"; "&amp;S7151&amp;AS[[#This Row],[Sex Code]]</f>
        <v xml:space="preserve">Insurer Code ; Reporting Year ; Insurance Category Code ; Large Provider Entity Code ; Age Band Code ; Sex Code </v>
      </c>
      <c r="N7151" s="345" t="s">
        <v>207</v>
      </c>
      <c r="O7151" s="345" t="s">
        <v>208</v>
      </c>
      <c r="P7151" s="345" t="s">
        <v>209</v>
      </c>
      <c r="Q7151" s="345" t="s">
        <v>210</v>
      </c>
      <c r="R7151" s="345" t="s">
        <v>223</v>
      </c>
      <c r="S7151" s="345" t="s">
        <v>224</v>
      </c>
    </row>
    <row r="7152" spans="1:19" x14ac:dyDescent="0.25">
      <c r="A7152" s="311"/>
      <c r="B7152" s="312"/>
      <c r="C7152" s="312"/>
      <c r="D7152" s="312"/>
      <c r="E7152" s="312"/>
      <c r="F7152" s="312"/>
      <c r="G7152" s="328"/>
      <c r="H7152" s="453"/>
      <c r="I7152" s="334"/>
      <c r="J7152" s="314"/>
      <c r="K7152" s="454"/>
      <c r="M7152" s="349" t="str">
        <f>N7152&amp;AS[[#This Row],[Insurer Code]]&amp;"; "&amp;O7152&amp;AS[[#This Row],[Reporting Year]]&amp;"; "&amp;P7152&amp;AS[[#This Row],[Insurance Category Code]]&amp;"; "&amp;Q7152&amp;AS[[#This Row],[Large Provider Entity Code]]&amp;"; "&amp;R7152&amp;AS[[#This Row],[Age Band Code]]&amp;"; "&amp;S7152&amp;AS[[#This Row],[Sex Code]]</f>
        <v xml:space="preserve">Insurer Code ; Reporting Year ; Insurance Category Code ; Large Provider Entity Code ; Age Band Code ; Sex Code </v>
      </c>
      <c r="N7152" s="345" t="s">
        <v>207</v>
      </c>
      <c r="O7152" s="345" t="s">
        <v>208</v>
      </c>
      <c r="P7152" s="345" t="s">
        <v>209</v>
      </c>
      <c r="Q7152" s="345" t="s">
        <v>210</v>
      </c>
      <c r="R7152" s="345" t="s">
        <v>223</v>
      </c>
      <c r="S7152" s="345" t="s">
        <v>224</v>
      </c>
    </row>
    <row r="7153" spans="1:19" x14ac:dyDescent="0.25">
      <c r="A7153" s="311"/>
      <c r="B7153" s="312"/>
      <c r="C7153" s="312"/>
      <c r="D7153" s="312"/>
      <c r="E7153" s="312"/>
      <c r="F7153" s="312"/>
      <c r="G7153" s="328"/>
      <c r="H7153" s="453"/>
      <c r="I7153" s="334"/>
      <c r="J7153" s="314"/>
      <c r="K7153" s="454"/>
      <c r="M7153" s="349" t="str">
        <f>N7153&amp;AS[[#This Row],[Insurer Code]]&amp;"; "&amp;O7153&amp;AS[[#This Row],[Reporting Year]]&amp;"; "&amp;P7153&amp;AS[[#This Row],[Insurance Category Code]]&amp;"; "&amp;Q7153&amp;AS[[#This Row],[Large Provider Entity Code]]&amp;"; "&amp;R7153&amp;AS[[#This Row],[Age Band Code]]&amp;"; "&amp;S7153&amp;AS[[#This Row],[Sex Code]]</f>
        <v xml:space="preserve">Insurer Code ; Reporting Year ; Insurance Category Code ; Large Provider Entity Code ; Age Band Code ; Sex Code </v>
      </c>
      <c r="N7153" s="345" t="s">
        <v>207</v>
      </c>
      <c r="O7153" s="345" t="s">
        <v>208</v>
      </c>
      <c r="P7153" s="345" t="s">
        <v>209</v>
      </c>
      <c r="Q7153" s="345" t="s">
        <v>210</v>
      </c>
      <c r="R7153" s="345" t="s">
        <v>223</v>
      </c>
      <c r="S7153" s="345" t="s">
        <v>224</v>
      </c>
    </row>
    <row r="7154" spans="1:19" x14ac:dyDescent="0.25">
      <c r="A7154" s="311"/>
      <c r="B7154" s="312"/>
      <c r="C7154" s="312"/>
      <c r="D7154" s="312"/>
      <c r="E7154" s="312"/>
      <c r="F7154" s="312"/>
      <c r="G7154" s="328"/>
      <c r="H7154" s="453"/>
      <c r="I7154" s="334"/>
      <c r="J7154" s="314"/>
      <c r="K7154" s="454"/>
      <c r="M7154" s="349" t="str">
        <f>N7154&amp;AS[[#This Row],[Insurer Code]]&amp;"; "&amp;O7154&amp;AS[[#This Row],[Reporting Year]]&amp;"; "&amp;P7154&amp;AS[[#This Row],[Insurance Category Code]]&amp;"; "&amp;Q7154&amp;AS[[#This Row],[Large Provider Entity Code]]&amp;"; "&amp;R7154&amp;AS[[#This Row],[Age Band Code]]&amp;"; "&amp;S7154&amp;AS[[#This Row],[Sex Code]]</f>
        <v xml:space="preserve">Insurer Code ; Reporting Year ; Insurance Category Code ; Large Provider Entity Code ; Age Band Code ; Sex Code </v>
      </c>
      <c r="N7154" s="345" t="s">
        <v>207</v>
      </c>
      <c r="O7154" s="345" t="s">
        <v>208</v>
      </c>
      <c r="P7154" s="345" t="s">
        <v>209</v>
      </c>
      <c r="Q7154" s="345" t="s">
        <v>210</v>
      </c>
      <c r="R7154" s="345" t="s">
        <v>223</v>
      </c>
      <c r="S7154" s="345" t="s">
        <v>224</v>
      </c>
    </row>
    <row r="7155" spans="1:19" x14ac:dyDescent="0.25">
      <c r="A7155" s="311"/>
      <c r="B7155" s="312"/>
      <c r="C7155" s="312"/>
      <c r="D7155" s="312"/>
      <c r="E7155" s="312"/>
      <c r="F7155" s="312"/>
      <c r="G7155" s="328"/>
      <c r="H7155" s="453"/>
      <c r="I7155" s="334"/>
      <c r="J7155" s="314"/>
      <c r="K7155" s="454"/>
      <c r="M7155" s="349" t="str">
        <f>N7155&amp;AS[[#This Row],[Insurer Code]]&amp;"; "&amp;O7155&amp;AS[[#This Row],[Reporting Year]]&amp;"; "&amp;P7155&amp;AS[[#This Row],[Insurance Category Code]]&amp;"; "&amp;Q7155&amp;AS[[#This Row],[Large Provider Entity Code]]&amp;"; "&amp;R7155&amp;AS[[#This Row],[Age Band Code]]&amp;"; "&amp;S7155&amp;AS[[#This Row],[Sex Code]]</f>
        <v xml:space="preserve">Insurer Code ; Reporting Year ; Insurance Category Code ; Large Provider Entity Code ; Age Band Code ; Sex Code </v>
      </c>
      <c r="N7155" s="345" t="s">
        <v>207</v>
      </c>
      <c r="O7155" s="345" t="s">
        <v>208</v>
      </c>
      <c r="P7155" s="345" t="s">
        <v>209</v>
      </c>
      <c r="Q7155" s="345" t="s">
        <v>210</v>
      </c>
      <c r="R7155" s="345" t="s">
        <v>223</v>
      </c>
      <c r="S7155" s="345" t="s">
        <v>224</v>
      </c>
    </row>
    <row r="7156" spans="1:19" x14ac:dyDescent="0.25">
      <c r="A7156" s="311"/>
      <c r="B7156" s="312"/>
      <c r="C7156" s="312"/>
      <c r="D7156" s="312"/>
      <c r="E7156" s="312"/>
      <c r="F7156" s="312"/>
      <c r="G7156" s="328"/>
      <c r="H7156" s="453"/>
      <c r="I7156" s="334"/>
      <c r="J7156" s="314"/>
      <c r="K7156" s="454"/>
      <c r="M7156" s="349" t="str">
        <f>N7156&amp;AS[[#This Row],[Insurer Code]]&amp;"; "&amp;O7156&amp;AS[[#This Row],[Reporting Year]]&amp;"; "&amp;P7156&amp;AS[[#This Row],[Insurance Category Code]]&amp;"; "&amp;Q7156&amp;AS[[#This Row],[Large Provider Entity Code]]&amp;"; "&amp;R7156&amp;AS[[#This Row],[Age Band Code]]&amp;"; "&amp;S7156&amp;AS[[#This Row],[Sex Code]]</f>
        <v xml:space="preserve">Insurer Code ; Reporting Year ; Insurance Category Code ; Large Provider Entity Code ; Age Band Code ; Sex Code </v>
      </c>
      <c r="N7156" s="345" t="s">
        <v>207</v>
      </c>
      <c r="O7156" s="345" t="s">
        <v>208</v>
      </c>
      <c r="P7156" s="345" t="s">
        <v>209</v>
      </c>
      <c r="Q7156" s="345" t="s">
        <v>210</v>
      </c>
      <c r="R7156" s="345" t="s">
        <v>223</v>
      </c>
      <c r="S7156" s="345" t="s">
        <v>224</v>
      </c>
    </row>
    <row r="7157" spans="1:19" x14ac:dyDescent="0.25">
      <c r="A7157" s="311"/>
      <c r="B7157" s="312"/>
      <c r="C7157" s="312"/>
      <c r="D7157" s="312"/>
      <c r="E7157" s="312"/>
      <c r="F7157" s="312"/>
      <c r="G7157" s="328"/>
      <c r="H7157" s="453"/>
      <c r="I7157" s="334"/>
      <c r="J7157" s="314"/>
      <c r="K7157" s="454"/>
      <c r="M7157" s="349" t="str">
        <f>N7157&amp;AS[[#This Row],[Insurer Code]]&amp;"; "&amp;O7157&amp;AS[[#This Row],[Reporting Year]]&amp;"; "&amp;P7157&amp;AS[[#This Row],[Insurance Category Code]]&amp;"; "&amp;Q7157&amp;AS[[#This Row],[Large Provider Entity Code]]&amp;"; "&amp;R7157&amp;AS[[#This Row],[Age Band Code]]&amp;"; "&amp;S7157&amp;AS[[#This Row],[Sex Code]]</f>
        <v xml:space="preserve">Insurer Code ; Reporting Year ; Insurance Category Code ; Large Provider Entity Code ; Age Band Code ; Sex Code </v>
      </c>
      <c r="N7157" s="345" t="s">
        <v>207</v>
      </c>
      <c r="O7157" s="345" t="s">
        <v>208</v>
      </c>
      <c r="P7157" s="345" t="s">
        <v>209</v>
      </c>
      <c r="Q7157" s="345" t="s">
        <v>210</v>
      </c>
      <c r="R7157" s="345" t="s">
        <v>223</v>
      </c>
      <c r="S7157" s="345" t="s">
        <v>224</v>
      </c>
    </row>
    <row r="7158" spans="1:19" x14ac:dyDescent="0.25">
      <c r="A7158" s="311"/>
      <c r="B7158" s="312"/>
      <c r="C7158" s="312"/>
      <c r="D7158" s="312"/>
      <c r="E7158" s="312"/>
      <c r="F7158" s="312"/>
      <c r="G7158" s="328"/>
      <c r="H7158" s="453"/>
      <c r="I7158" s="334"/>
      <c r="J7158" s="314"/>
      <c r="K7158" s="454"/>
      <c r="M7158" s="349" t="str">
        <f>N7158&amp;AS[[#This Row],[Insurer Code]]&amp;"; "&amp;O7158&amp;AS[[#This Row],[Reporting Year]]&amp;"; "&amp;P7158&amp;AS[[#This Row],[Insurance Category Code]]&amp;"; "&amp;Q7158&amp;AS[[#This Row],[Large Provider Entity Code]]&amp;"; "&amp;R7158&amp;AS[[#This Row],[Age Band Code]]&amp;"; "&amp;S7158&amp;AS[[#This Row],[Sex Code]]</f>
        <v xml:space="preserve">Insurer Code ; Reporting Year ; Insurance Category Code ; Large Provider Entity Code ; Age Band Code ; Sex Code </v>
      </c>
      <c r="N7158" s="345" t="s">
        <v>207</v>
      </c>
      <c r="O7158" s="345" t="s">
        <v>208</v>
      </c>
      <c r="P7158" s="345" t="s">
        <v>209</v>
      </c>
      <c r="Q7158" s="345" t="s">
        <v>210</v>
      </c>
      <c r="R7158" s="345" t="s">
        <v>223</v>
      </c>
      <c r="S7158" s="345" t="s">
        <v>224</v>
      </c>
    </row>
    <row r="7159" spans="1:19" x14ac:dyDescent="0.25">
      <c r="A7159" s="311"/>
      <c r="B7159" s="312"/>
      <c r="C7159" s="312"/>
      <c r="D7159" s="312"/>
      <c r="E7159" s="312"/>
      <c r="F7159" s="312"/>
      <c r="G7159" s="328"/>
      <c r="H7159" s="453"/>
      <c r="I7159" s="334"/>
      <c r="J7159" s="314"/>
      <c r="K7159" s="454"/>
      <c r="M7159" s="349" t="str">
        <f>N7159&amp;AS[[#This Row],[Insurer Code]]&amp;"; "&amp;O7159&amp;AS[[#This Row],[Reporting Year]]&amp;"; "&amp;P7159&amp;AS[[#This Row],[Insurance Category Code]]&amp;"; "&amp;Q7159&amp;AS[[#This Row],[Large Provider Entity Code]]&amp;"; "&amp;R7159&amp;AS[[#This Row],[Age Band Code]]&amp;"; "&amp;S7159&amp;AS[[#This Row],[Sex Code]]</f>
        <v xml:space="preserve">Insurer Code ; Reporting Year ; Insurance Category Code ; Large Provider Entity Code ; Age Band Code ; Sex Code </v>
      </c>
      <c r="N7159" s="345" t="s">
        <v>207</v>
      </c>
      <c r="O7159" s="345" t="s">
        <v>208</v>
      </c>
      <c r="P7159" s="345" t="s">
        <v>209</v>
      </c>
      <c r="Q7159" s="345" t="s">
        <v>210</v>
      </c>
      <c r="R7159" s="345" t="s">
        <v>223</v>
      </c>
      <c r="S7159" s="345" t="s">
        <v>224</v>
      </c>
    </row>
    <row r="7160" spans="1:19" x14ac:dyDescent="0.25">
      <c r="A7160" s="311"/>
      <c r="B7160" s="312"/>
      <c r="C7160" s="312"/>
      <c r="D7160" s="312"/>
      <c r="E7160" s="312"/>
      <c r="F7160" s="312"/>
      <c r="G7160" s="328"/>
      <c r="H7160" s="453"/>
      <c r="I7160" s="334"/>
      <c r="J7160" s="314"/>
      <c r="K7160" s="454"/>
      <c r="M7160" s="349" t="str">
        <f>N7160&amp;AS[[#This Row],[Insurer Code]]&amp;"; "&amp;O7160&amp;AS[[#This Row],[Reporting Year]]&amp;"; "&amp;P7160&amp;AS[[#This Row],[Insurance Category Code]]&amp;"; "&amp;Q7160&amp;AS[[#This Row],[Large Provider Entity Code]]&amp;"; "&amp;R7160&amp;AS[[#This Row],[Age Band Code]]&amp;"; "&amp;S7160&amp;AS[[#This Row],[Sex Code]]</f>
        <v xml:space="preserve">Insurer Code ; Reporting Year ; Insurance Category Code ; Large Provider Entity Code ; Age Band Code ; Sex Code </v>
      </c>
      <c r="N7160" s="345" t="s">
        <v>207</v>
      </c>
      <c r="O7160" s="345" t="s">
        <v>208</v>
      </c>
      <c r="P7160" s="345" t="s">
        <v>209</v>
      </c>
      <c r="Q7160" s="345" t="s">
        <v>210</v>
      </c>
      <c r="R7160" s="345" t="s">
        <v>223</v>
      </c>
      <c r="S7160" s="345" t="s">
        <v>224</v>
      </c>
    </row>
    <row r="7161" spans="1:19" x14ac:dyDescent="0.25">
      <c r="A7161" s="311"/>
      <c r="B7161" s="312"/>
      <c r="C7161" s="312"/>
      <c r="D7161" s="312"/>
      <c r="E7161" s="312"/>
      <c r="F7161" s="312"/>
      <c r="G7161" s="328"/>
      <c r="H7161" s="453"/>
      <c r="I7161" s="334"/>
      <c r="J7161" s="314"/>
      <c r="K7161" s="454"/>
      <c r="M7161" s="349" t="str">
        <f>N7161&amp;AS[[#This Row],[Insurer Code]]&amp;"; "&amp;O7161&amp;AS[[#This Row],[Reporting Year]]&amp;"; "&amp;P7161&amp;AS[[#This Row],[Insurance Category Code]]&amp;"; "&amp;Q7161&amp;AS[[#This Row],[Large Provider Entity Code]]&amp;"; "&amp;R7161&amp;AS[[#This Row],[Age Band Code]]&amp;"; "&amp;S7161&amp;AS[[#This Row],[Sex Code]]</f>
        <v xml:space="preserve">Insurer Code ; Reporting Year ; Insurance Category Code ; Large Provider Entity Code ; Age Band Code ; Sex Code </v>
      </c>
      <c r="N7161" s="345" t="s">
        <v>207</v>
      </c>
      <c r="O7161" s="345" t="s">
        <v>208</v>
      </c>
      <c r="P7161" s="345" t="s">
        <v>209</v>
      </c>
      <c r="Q7161" s="345" t="s">
        <v>210</v>
      </c>
      <c r="R7161" s="345" t="s">
        <v>223</v>
      </c>
      <c r="S7161" s="345" t="s">
        <v>224</v>
      </c>
    </row>
    <row r="7162" spans="1:19" x14ac:dyDescent="0.25">
      <c r="A7162" s="311"/>
      <c r="B7162" s="312"/>
      <c r="C7162" s="312"/>
      <c r="D7162" s="312"/>
      <c r="E7162" s="312"/>
      <c r="F7162" s="312"/>
      <c r="G7162" s="328"/>
      <c r="H7162" s="453"/>
      <c r="I7162" s="334"/>
      <c r="J7162" s="314"/>
      <c r="K7162" s="454"/>
      <c r="M7162" s="349" t="str">
        <f>N7162&amp;AS[[#This Row],[Insurer Code]]&amp;"; "&amp;O7162&amp;AS[[#This Row],[Reporting Year]]&amp;"; "&amp;P7162&amp;AS[[#This Row],[Insurance Category Code]]&amp;"; "&amp;Q7162&amp;AS[[#This Row],[Large Provider Entity Code]]&amp;"; "&amp;R7162&amp;AS[[#This Row],[Age Band Code]]&amp;"; "&amp;S7162&amp;AS[[#This Row],[Sex Code]]</f>
        <v xml:space="preserve">Insurer Code ; Reporting Year ; Insurance Category Code ; Large Provider Entity Code ; Age Band Code ; Sex Code </v>
      </c>
      <c r="N7162" s="345" t="s">
        <v>207</v>
      </c>
      <c r="O7162" s="345" t="s">
        <v>208</v>
      </c>
      <c r="P7162" s="345" t="s">
        <v>209</v>
      </c>
      <c r="Q7162" s="345" t="s">
        <v>210</v>
      </c>
      <c r="R7162" s="345" t="s">
        <v>223</v>
      </c>
      <c r="S7162" s="345" t="s">
        <v>224</v>
      </c>
    </row>
    <row r="7163" spans="1:19" x14ac:dyDescent="0.25">
      <c r="A7163" s="311"/>
      <c r="B7163" s="312"/>
      <c r="C7163" s="312"/>
      <c r="D7163" s="312"/>
      <c r="E7163" s="312"/>
      <c r="F7163" s="312"/>
      <c r="G7163" s="328"/>
      <c r="H7163" s="453"/>
      <c r="I7163" s="334"/>
      <c r="J7163" s="314"/>
      <c r="K7163" s="454"/>
      <c r="M7163" s="349" t="str">
        <f>N7163&amp;AS[[#This Row],[Insurer Code]]&amp;"; "&amp;O7163&amp;AS[[#This Row],[Reporting Year]]&amp;"; "&amp;P7163&amp;AS[[#This Row],[Insurance Category Code]]&amp;"; "&amp;Q7163&amp;AS[[#This Row],[Large Provider Entity Code]]&amp;"; "&amp;R7163&amp;AS[[#This Row],[Age Band Code]]&amp;"; "&amp;S7163&amp;AS[[#This Row],[Sex Code]]</f>
        <v xml:space="preserve">Insurer Code ; Reporting Year ; Insurance Category Code ; Large Provider Entity Code ; Age Band Code ; Sex Code </v>
      </c>
      <c r="N7163" s="345" t="s">
        <v>207</v>
      </c>
      <c r="O7163" s="345" t="s">
        <v>208</v>
      </c>
      <c r="P7163" s="345" t="s">
        <v>209</v>
      </c>
      <c r="Q7163" s="345" t="s">
        <v>210</v>
      </c>
      <c r="R7163" s="345" t="s">
        <v>223</v>
      </c>
      <c r="S7163" s="345" t="s">
        <v>224</v>
      </c>
    </row>
    <row r="7164" spans="1:19" x14ac:dyDescent="0.25">
      <c r="A7164" s="311"/>
      <c r="B7164" s="312"/>
      <c r="C7164" s="312"/>
      <c r="D7164" s="312"/>
      <c r="E7164" s="312"/>
      <c r="F7164" s="312"/>
      <c r="G7164" s="328"/>
      <c r="H7164" s="453"/>
      <c r="I7164" s="334"/>
      <c r="J7164" s="314"/>
      <c r="K7164" s="454"/>
      <c r="M7164" s="349" t="str">
        <f>N7164&amp;AS[[#This Row],[Insurer Code]]&amp;"; "&amp;O7164&amp;AS[[#This Row],[Reporting Year]]&amp;"; "&amp;P7164&amp;AS[[#This Row],[Insurance Category Code]]&amp;"; "&amp;Q7164&amp;AS[[#This Row],[Large Provider Entity Code]]&amp;"; "&amp;R7164&amp;AS[[#This Row],[Age Band Code]]&amp;"; "&amp;S7164&amp;AS[[#This Row],[Sex Code]]</f>
        <v xml:space="preserve">Insurer Code ; Reporting Year ; Insurance Category Code ; Large Provider Entity Code ; Age Band Code ; Sex Code </v>
      </c>
      <c r="N7164" s="345" t="s">
        <v>207</v>
      </c>
      <c r="O7164" s="345" t="s">
        <v>208</v>
      </c>
      <c r="P7164" s="345" t="s">
        <v>209</v>
      </c>
      <c r="Q7164" s="345" t="s">
        <v>210</v>
      </c>
      <c r="R7164" s="345" t="s">
        <v>223</v>
      </c>
      <c r="S7164" s="345" t="s">
        <v>224</v>
      </c>
    </row>
    <row r="7165" spans="1:19" x14ac:dyDescent="0.25">
      <c r="A7165" s="311"/>
      <c r="B7165" s="312"/>
      <c r="C7165" s="312"/>
      <c r="D7165" s="312"/>
      <c r="E7165" s="312"/>
      <c r="F7165" s="312"/>
      <c r="G7165" s="328"/>
      <c r="H7165" s="453"/>
      <c r="I7165" s="334"/>
      <c r="J7165" s="314"/>
      <c r="K7165" s="454"/>
      <c r="M7165" s="349" t="str">
        <f>N7165&amp;AS[[#This Row],[Insurer Code]]&amp;"; "&amp;O7165&amp;AS[[#This Row],[Reporting Year]]&amp;"; "&amp;P7165&amp;AS[[#This Row],[Insurance Category Code]]&amp;"; "&amp;Q7165&amp;AS[[#This Row],[Large Provider Entity Code]]&amp;"; "&amp;R7165&amp;AS[[#This Row],[Age Band Code]]&amp;"; "&amp;S7165&amp;AS[[#This Row],[Sex Code]]</f>
        <v xml:space="preserve">Insurer Code ; Reporting Year ; Insurance Category Code ; Large Provider Entity Code ; Age Band Code ; Sex Code </v>
      </c>
      <c r="N7165" s="345" t="s">
        <v>207</v>
      </c>
      <c r="O7165" s="345" t="s">
        <v>208</v>
      </c>
      <c r="P7165" s="345" t="s">
        <v>209</v>
      </c>
      <c r="Q7165" s="345" t="s">
        <v>210</v>
      </c>
      <c r="R7165" s="345" t="s">
        <v>223</v>
      </c>
      <c r="S7165" s="345" t="s">
        <v>224</v>
      </c>
    </row>
    <row r="7166" spans="1:19" x14ac:dyDescent="0.25">
      <c r="A7166" s="311"/>
      <c r="B7166" s="312"/>
      <c r="C7166" s="312"/>
      <c r="D7166" s="312"/>
      <c r="E7166" s="312"/>
      <c r="F7166" s="312"/>
      <c r="G7166" s="328"/>
      <c r="H7166" s="453"/>
      <c r="I7166" s="334"/>
      <c r="J7166" s="314"/>
      <c r="K7166" s="454"/>
      <c r="M7166" s="349" t="str">
        <f>N7166&amp;AS[[#This Row],[Insurer Code]]&amp;"; "&amp;O7166&amp;AS[[#This Row],[Reporting Year]]&amp;"; "&amp;P7166&amp;AS[[#This Row],[Insurance Category Code]]&amp;"; "&amp;Q7166&amp;AS[[#This Row],[Large Provider Entity Code]]&amp;"; "&amp;R7166&amp;AS[[#This Row],[Age Band Code]]&amp;"; "&amp;S7166&amp;AS[[#This Row],[Sex Code]]</f>
        <v xml:space="preserve">Insurer Code ; Reporting Year ; Insurance Category Code ; Large Provider Entity Code ; Age Band Code ; Sex Code </v>
      </c>
      <c r="N7166" s="345" t="s">
        <v>207</v>
      </c>
      <c r="O7166" s="345" t="s">
        <v>208</v>
      </c>
      <c r="P7166" s="345" t="s">
        <v>209</v>
      </c>
      <c r="Q7166" s="345" t="s">
        <v>210</v>
      </c>
      <c r="R7166" s="345" t="s">
        <v>223</v>
      </c>
      <c r="S7166" s="345" t="s">
        <v>224</v>
      </c>
    </row>
    <row r="7167" spans="1:19" x14ac:dyDescent="0.25">
      <c r="A7167" s="311"/>
      <c r="B7167" s="312"/>
      <c r="C7167" s="312"/>
      <c r="D7167" s="312"/>
      <c r="E7167" s="312"/>
      <c r="F7167" s="312"/>
      <c r="G7167" s="328"/>
      <c r="H7167" s="453"/>
      <c r="I7167" s="334"/>
      <c r="J7167" s="314"/>
      <c r="K7167" s="454"/>
      <c r="M7167" s="349" t="str">
        <f>N7167&amp;AS[[#This Row],[Insurer Code]]&amp;"; "&amp;O7167&amp;AS[[#This Row],[Reporting Year]]&amp;"; "&amp;P7167&amp;AS[[#This Row],[Insurance Category Code]]&amp;"; "&amp;Q7167&amp;AS[[#This Row],[Large Provider Entity Code]]&amp;"; "&amp;R7167&amp;AS[[#This Row],[Age Band Code]]&amp;"; "&amp;S7167&amp;AS[[#This Row],[Sex Code]]</f>
        <v xml:space="preserve">Insurer Code ; Reporting Year ; Insurance Category Code ; Large Provider Entity Code ; Age Band Code ; Sex Code </v>
      </c>
      <c r="N7167" s="345" t="s">
        <v>207</v>
      </c>
      <c r="O7167" s="345" t="s">
        <v>208</v>
      </c>
      <c r="P7167" s="345" t="s">
        <v>209</v>
      </c>
      <c r="Q7167" s="345" t="s">
        <v>210</v>
      </c>
      <c r="R7167" s="345" t="s">
        <v>223</v>
      </c>
      <c r="S7167" s="345" t="s">
        <v>224</v>
      </c>
    </row>
    <row r="7168" spans="1:19" x14ac:dyDescent="0.25">
      <c r="A7168" s="311"/>
      <c r="B7168" s="312"/>
      <c r="C7168" s="312"/>
      <c r="D7168" s="312"/>
      <c r="E7168" s="312"/>
      <c r="F7168" s="312"/>
      <c r="G7168" s="328"/>
      <c r="H7168" s="453"/>
      <c r="I7168" s="334"/>
      <c r="J7168" s="314"/>
      <c r="K7168" s="454"/>
      <c r="M7168" s="349" t="str">
        <f>N7168&amp;AS[[#This Row],[Insurer Code]]&amp;"; "&amp;O7168&amp;AS[[#This Row],[Reporting Year]]&amp;"; "&amp;P7168&amp;AS[[#This Row],[Insurance Category Code]]&amp;"; "&amp;Q7168&amp;AS[[#This Row],[Large Provider Entity Code]]&amp;"; "&amp;R7168&amp;AS[[#This Row],[Age Band Code]]&amp;"; "&amp;S7168&amp;AS[[#This Row],[Sex Code]]</f>
        <v xml:space="preserve">Insurer Code ; Reporting Year ; Insurance Category Code ; Large Provider Entity Code ; Age Band Code ; Sex Code </v>
      </c>
      <c r="N7168" s="345" t="s">
        <v>207</v>
      </c>
      <c r="O7168" s="345" t="s">
        <v>208</v>
      </c>
      <c r="P7168" s="345" t="s">
        <v>209</v>
      </c>
      <c r="Q7168" s="345" t="s">
        <v>210</v>
      </c>
      <c r="R7168" s="345" t="s">
        <v>223</v>
      </c>
      <c r="S7168" s="345" t="s">
        <v>224</v>
      </c>
    </row>
    <row r="7169" spans="1:19" x14ac:dyDescent="0.25">
      <c r="A7169" s="311"/>
      <c r="B7169" s="312"/>
      <c r="C7169" s="312"/>
      <c r="D7169" s="312"/>
      <c r="E7169" s="312"/>
      <c r="F7169" s="312"/>
      <c r="G7169" s="328"/>
      <c r="H7169" s="453"/>
      <c r="I7169" s="334"/>
      <c r="J7169" s="314"/>
      <c r="K7169" s="454"/>
      <c r="M7169" s="349" t="str">
        <f>N7169&amp;AS[[#This Row],[Insurer Code]]&amp;"; "&amp;O7169&amp;AS[[#This Row],[Reporting Year]]&amp;"; "&amp;P7169&amp;AS[[#This Row],[Insurance Category Code]]&amp;"; "&amp;Q7169&amp;AS[[#This Row],[Large Provider Entity Code]]&amp;"; "&amp;R7169&amp;AS[[#This Row],[Age Band Code]]&amp;"; "&amp;S7169&amp;AS[[#This Row],[Sex Code]]</f>
        <v xml:space="preserve">Insurer Code ; Reporting Year ; Insurance Category Code ; Large Provider Entity Code ; Age Band Code ; Sex Code </v>
      </c>
      <c r="N7169" s="345" t="s">
        <v>207</v>
      </c>
      <c r="O7169" s="345" t="s">
        <v>208</v>
      </c>
      <c r="P7169" s="345" t="s">
        <v>209</v>
      </c>
      <c r="Q7169" s="345" t="s">
        <v>210</v>
      </c>
      <c r="R7169" s="345" t="s">
        <v>223</v>
      </c>
      <c r="S7169" s="345" t="s">
        <v>224</v>
      </c>
    </row>
    <row r="7170" spans="1:19" x14ac:dyDescent="0.25">
      <c r="A7170" s="311"/>
      <c r="B7170" s="312"/>
      <c r="C7170" s="312"/>
      <c r="D7170" s="312"/>
      <c r="E7170" s="312"/>
      <c r="F7170" s="312"/>
      <c r="G7170" s="328"/>
      <c r="H7170" s="453"/>
      <c r="I7170" s="334"/>
      <c r="J7170" s="314"/>
      <c r="K7170" s="454"/>
      <c r="M7170" s="349" t="str">
        <f>N7170&amp;AS[[#This Row],[Insurer Code]]&amp;"; "&amp;O7170&amp;AS[[#This Row],[Reporting Year]]&amp;"; "&amp;P7170&amp;AS[[#This Row],[Insurance Category Code]]&amp;"; "&amp;Q7170&amp;AS[[#This Row],[Large Provider Entity Code]]&amp;"; "&amp;R7170&amp;AS[[#This Row],[Age Band Code]]&amp;"; "&amp;S7170&amp;AS[[#This Row],[Sex Code]]</f>
        <v xml:space="preserve">Insurer Code ; Reporting Year ; Insurance Category Code ; Large Provider Entity Code ; Age Band Code ; Sex Code </v>
      </c>
      <c r="N7170" s="345" t="s">
        <v>207</v>
      </c>
      <c r="O7170" s="345" t="s">
        <v>208</v>
      </c>
      <c r="P7170" s="345" t="s">
        <v>209</v>
      </c>
      <c r="Q7170" s="345" t="s">
        <v>210</v>
      </c>
      <c r="R7170" s="345" t="s">
        <v>223</v>
      </c>
      <c r="S7170" s="345" t="s">
        <v>224</v>
      </c>
    </row>
    <row r="7171" spans="1:19" x14ac:dyDescent="0.25">
      <c r="A7171" s="311"/>
      <c r="B7171" s="312"/>
      <c r="C7171" s="312"/>
      <c r="D7171" s="312"/>
      <c r="E7171" s="312"/>
      <c r="F7171" s="312"/>
      <c r="G7171" s="328"/>
      <c r="H7171" s="453"/>
      <c r="I7171" s="334"/>
      <c r="J7171" s="314"/>
      <c r="K7171" s="454"/>
      <c r="M7171" s="349" t="str">
        <f>N7171&amp;AS[[#This Row],[Insurer Code]]&amp;"; "&amp;O7171&amp;AS[[#This Row],[Reporting Year]]&amp;"; "&amp;P7171&amp;AS[[#This Row],[Insurance Category Code]]&amp;"; "&amp;Q7171&amp;AS[[#This Row],[Large Provider Entity Code]]&amp;"; "&amp;R7171&amp;AS[[#This Row],[Age Band Code]]&amp;"; "&amp;S7171&amp;AS[[#This Row],[Sex Code]]</f>
        <v xml:space="preserve">Insurer Code ; Reporting Year ; Insurance Category Code ; Large Provider Entity Code ; Age Band Code ; Sex Code </v>
      </c>
      <c r="N7171" s="345" t="s">
        <v>207</v>
      </c>
      <c r="O7171" s="345" t="s">
        <v>208</v>
      </c>
      <c r="P7171" s="345" t="s">
        <v>209</v>
      </c>
      <c r="Q7171" s="345" t="s">
        <v>210</v>
      </c>
      <c r="R7171" s="345" t="s">
        <v>223</v>
      </c>
      <c r="S7171" s="345" t="s">
        <v>224</v>
      </c>
    </row>
    <row r="7172" spans="1:19" x14ac:dyDescent="0.25">
      <c r="A7172" s="311"/>
      <c r="B7172" s="312"/>
      <c r="C7172" s="312"/>
      <c r="D7172" s="312"/>
      <c r="E7172" s="312"/>
      <c r="F7172" s="312"/>
      <c r="G7172" s="328"/>
      <c r="H7172" s="453"/>
      <c r="I7172" s="334"/>
      <c r="J7172" s="314"/>
      <c r="K7172" s="454"/>
      <c r="M7172" s="349" t="str">
        <f>N7172&amp;AS[[#This Row],[Insurer Code]]&amp;"; "&amp;O7172&amp;AS[[#This Row],[Reporting Year]]&amp;"; "&amp;P7172&amp;AS[[#This Row],[Insurance Category Code]]&amp;"; "&amp;Q7172&amp;AS[[#This Row],[Large Provider Entity Code]]&amp;"; "&amp;R7172&amp;AS[[#This Row],[Age Band Code]]&amp;"; "&amp;S7172&amp;AS[[#This Row],[Sex Code]]</f>
        <v xml:space="preserve">Insurer Code ; Reporting Year ; Insurance Category Code ; Large Provider Entity Code ; Age Band Code ; Sex Code </v>
      </c>
      <c r="N7172" s="345" t="s">
        <v>207</v>
      </c>
      <c r="O7172" s="345" t="s">
        <v>208</v>
      </c>
      <c r="P7172" s="345" t="s">
        <v>209</v>
      </c>
      <c r="Q7172" s="345" t="s">
        <v>210</v>
      </c>
      <c r="R7172" s="345" t="s">
        <v>223</v>
      </c>
      <c r="S7172" s="345" t="s">
        <v>224</v>
      </c>
    </row>
    <row r="7173" spans="1:19" x14ac:dyDescent="0.25">
      <c r="A7173" s="311"/>
      <c r="B7173" s="312"/>
      <c r="C7173" s="312"/>
      <c r="D7173" s="312"/>
      <c r="E7173" s="312"/>
      <c r="F7173" s="312"/>
      <c r="G7173" s="328"/>
      <c r="H7173" s="453"/>
      <c r="I7173" s="334"/>
      <c r="J7173" s="314"/>
      <c r="K7173" s="454"/>
      <c r="M7173" s="349" t="str">
        <f>N7173&amp;AS[[#This Row],[Insurer Code]]&amp;"; "&amp;O7173&amp;AS[[#This Row],[Reporting Year]]&amp;"; "&amp;P7173&amp;AS[[#This Row],[Insurance Category Code]]&amp;"; "&amp;Q7173&amp;AS[[#This Row],[Large Provider Entity Code]]&amp;"; "&amp;R7173&amp;AS[[#This Row],[Age Band Code]]&amp;"; "&amp;S7173&amp;AS[[#This Row],[Sex Code]]</f>
        <v xml:space="preserve">Insurer Code ; Reporting Year ; Insurance Category Code ; Large Provider Entity Code ; Age Band Code ; Sex Code </v>
      </c>
      <c r="N7173" s="345" t="s">
        <v>207</v>
      </c>
      <c r="O7173" s="345" t="s">
        <v>208</v>
      </c>
      <c r="P7173" s="345" t="s">
        <v>209</v>
      </c>
      <c r="Q7173" s="345" t="s">
        <v>210</v>
      </c>
      <c r="R7173" s="345" t="s">
        <v>223</v>
      </c>
      <c r="S7173" s="345" t="s">
        <v>224</v>
      </c>
    </row>
    <row r="7174" spans="1:19" x14ac:dyDescent="0.25">
      <c r="A7174" s="311"/>
      <c r="B7174" s="312"/>
      <c r="C7174" s="312"/>
      <c r="D7174" s="312"/>
      <c r="E7174" s="312"/>
      <c r="F7174" s="312"/>
      <c r="G7174" s="328"/>
      <c r="H7174" s="453"/>
      <c r="I7174" s="334"/>
      <c r="J7174" s="314"/>
      <c r="K7174" s="454"/>
      <c r="M7174" s="349" t="str">
        <f>N7174&amp;AS[[#This Row],[Insurer Code]]&amp;"; "&amp;O7174&amp;AS[[#This Row],[Reporting Year]]&amp;"; "&amp;P7174&amp;AS[[#This Row],[Insurance Category Code]]&amp;"; "&amp;Q7174&amp;AS[[#This Row],[Large Provider Entity Code]]&amp;"; "&amp;R7174&amp;AS[[#This Row],[Age Band Code]]&amp;"; "&amp;S7174&amp;AS[[#This Row],[Sex Code]]</f>
        <v xml:space="preserve">Insurer Code ; Reporting Year ; Insurance Category Code ; Large Provider Entity Code ; Age Band Code ; Sex Code </v>
      </c>
      <c r="N7174" s="345" t="s">
        <v>207</v>
      </c>
      <c r="O7174" s="345" t="s">
        <v>208</v>
      </c>
      <c r="P7174" s="345" t="s">
        <v>209</v>
      </c>
      <c r="Q7174" s="345" t="s">
        <v>210</v>
      </c>
      <c r="R7174" s="345" t="s">
        <v>223</v>
      </c>
      <c r="S7174" s="345" t="s">
        <v>224</v>
      </c>
    </row>
    <row r="7175" spans="1:19" x14ac:dyDescent="0.25">
      <c r="A7175" s="311"/>
      <c r="B7175" s="312"/>
      <c r="C7175" s="312"/>
      <c r="D7175" s="312"/>
      <c r="E7175" s="312"/>
      <c r="F7175" s="312"/>
      <c r="G7175" s="328"/>
      <c r="H7175" s="453"/>
      <c r="I7175" s="334"/>
      <c r="J7175" s="314"/>
      <c r="K7175" s="454"/>
      <c r="M7175" s="349" t="str">
        <f>N7175&amp;AS[[#This Row],[Insurer Code]]&amp;"; "&amp;O7175&amp;AS[[#This Row],[Reporting Year]]&amp;"; "&amp;P7175&amp;AS[[#This Row],[Insurance Category Code]]&amp;"; "&amp;Q7175&amp;AS[[#This Row],[Large Provider Entity Code]]&amp;"; "&amp;R7175&amp;AS[[#This Row],[Age Band Code]]&amp;"; "&amp;S7175&amp;AS[[#This Row],[Sex Code]]</f>
        <v xml:space="preserve">Insurer Code ; Reporting Year ; Insurance Category Code ; Large Provider Entity Code ; Age Band Code ; Sex Code </v>
      </c>
      <c r="N7175" s="345" t="s">
        <v>207</v>
      </c>
      <c r="O7175" s="345" t="s">
        <v>208</v>
      </c>
      <c r="P7175" s="345" t="s">
        <v>209</v>
      </c>
      <c r="Q7175" s="345" t="s">
        <v>210</v>
      </c>
      <c r="R7175" s="345" t="s">
        <v>223</v>
      </c>
      <c r="S7175" s="345" t="s">
        <v>224</v>
      </c>
    </row>
    <row r="7176" spans="1:19" x14ac:dyDescent="0.25">
      <c r="A7176" s="311"/>
      <c r="B7176" s="312"/>
      <c r="C7176" s="312"/>
      <c r="D7176" s="312"/>
      <c r="E7176" s="312"/>
      <c r="F7176" s="312"/>
      <c r="G7176" s="328"/>
      <c r="H7176" s="453"/>
      <c r="I7176" s="334"/>
      <c r="J7176" s="314"/>
      <c r="K7176" s="454"/>
      <c r="M7176" s="349" t="str">
        <f>N7176&amp;AS[[#This Row],[Insurer Code]]&amp;"; "&amp;O7176&amp;AS[[#This Row],[Reporting Year]]&amp;"; "&amp;P7176&amp;AS[[#This Row],[Insurance Category Code]]&amp;"; "&amp;Q7176&amp;AS[[#This Row],[Large Provider Entity Code]]&amp;"; "&amp;R7176&amp;AS[[#This Row],[Age Band Code]]&amp;"; "&amp;S7176&amp;AS[[#This Row],[Sex Code]]</f>
        <v xml:space="preserve">Insurer Code ; Reporting Year ; Insurance Category Code ; Large Provider Entity Code ; Age Band Code ; Sex Code </v>
      </c>
      <c r="N7176" s="345" t="s">
        <v>207</v>
      </c>
      <c r="O7176" s="345" t="s">
        <v>208</v>
      </c>
      <c r="P7176" s="345" t="s">
        <v>209</v>
      </c>
      <c r="Q7176" s="345" t="s">
        <v>210</v>
      </c>
      <c r="R7176" s="345" t="s">
        <v>223</v>
      </c>
      <c r="S7176" s="345" t="s">
        <v>224</v>
      </c>
    </row>
    <row r="7177" spans="1:19" x14ac:dyDescent="0.25">
      <c r="A7177" s="311"/>
      <c r="B7177" s="312"/>
      <c r="C7177" s="312"/>
      <c r="D7177" s="312"/>
      <c r="E7177" s="312"/>
      <c r="F7177" s="312"/>
      <c r="G7177" s="328"/>
      <c r="H7177" s="453"/>
      <c r="I7177" s="334"/>
      <c r="J7177" s="314"/>
      <c r="K7177" s="454"/>
      <c r="M7177" s="349" t="str">
        <f>N7177&amp;AS[[#This Row],[Insurer Code]]&amp;"; "&amp;O7177&amp;AS[[#This Row],[Reporting Year]]&amp;"; "&amp;P7177&amp;AS[[#This Row],[Insurance Category Code]]&amp;"; "&amp;Q7177&amp;AS[[#This Row],[Large Provider Entity Code]]&amp;"; "&amp;R7177&amp;AS[[#This Row],[Age Band Code]]&amp;"; "&amp;S7177&amp;AS[[#This Row],[Sex Code]]</f>
        <v xml:space="preserve">Insurer Code ; Reporting Year ; Insurance Category Code ; Large Provider Entity Code ; Age Band Code ; Sex Code </v>
      </c>
      <c r="N7177" s="345" t="s">
        <v>207</v>
      </c>
      <c r="O7177" s="345" t="s">
        <v>208</v>
      </c>
      <c r="P7177" s="345" t="s">
        <v>209</v>
      </c>
      <c r="Q7177" s="345" t="s">
        <v>210</v>
      </c>
      <c r="R7177" s="345" t="s">
        <v>223</v>
      </c>
      <c r="S7177" s="345" t="s">
        <v>224</v>
      </c>
    </row>
    <row r="7178" spans="1:19" x14ac:dyDescent="0.25">
      <c r="A7178" s="311"/>
      <c r="B7178" s="312"/>
      <c r="C7178" s="312"/>
      <c r="D7178" s="312"/>
      <c r="E7178" s="312"/>
      <c r="F7178" s="312"/>
      <c r="G7178" s="328"/>
      <c r="H7178" s="453"/>
      <c r="I7178" s="334"/>
      <c r="J7178" s="314"/>
      <c r="K7178" s="454"/>
      <c r="M7178" s="349" t="str">
        <f>N7178&amp;AS[[#This Row],[Insurer Code]]&amp;"; "&amp;O7178&amp;AS[[#This Row],[Reporting Year]]&amp;"; "&amp;P7178&amp;AS[[#This Row],[Insurance Category Code]]&amp;"; "&amp;Q7178&amp;AS[[#This Row],[Large Provider Entity Code]]&amp;"; "&amp;R7178&amp;AS[[#This Row],[Age Band Code]]&amp;"; "&amp;S7178&amp;AS[[#This Row],[Sex Code]]</f>
        <v xml:space="preserve">Insurer Code ; Reporting Year ; Insurance Category Code ; Large Provider Entity Code ; Age Band Code ; Sex Code </v>
      </c>
      <c r="N7178" s="345" t="s">
        <v>207</v>
      </c>
      <c r="O7178" s="345" t="s">
        <v>208</v>
      </c>
      <c r="P7178" s="345" t="s">
        <v>209</v>
      </c>
      <c r="Q7178" s="345" t="s">
        <v>210</v>
      </c>
      <c r="R7178" s="345" t="s">
        <v>223</v>
      </c>
      <c r="S7178" s="345" t="s">
        <v>224</v>
      </c>
    </row>
    <row r="7179" spans="1:19" x14ac:dyDescent="0.25">
      <c r="A7179" s="311"/>
      <c r="B7179" s="312"/>
      <c r="C7179" s="312"/>
      <c r="D7179" s="312"/>
      <c r="E7179" s="312"/>
      <c r="F7179" s="312"/>
      <c r="G7179" s="328"/>
      <c r="H7179" s="453"/>
      <c r="I7179" s="334"/>
      <c r="J7179" s="314"/>
      <c r="K7179" s="454"/>
      <c r="M7179" s="349" t="str">
        <f>N7179&amp;AS[[#This Row],[Insurer Code]]&amp;"; "&amp;O7179&amp;AS[[#This Row],[Reporting Year]]&amp;"; "&amp;P7179&amp;AS[[#This Row],[Insurance Category Code]]&amp;"; "&amp;Q7179&amp;AS[[#This Row],[Large Provider Entity Code]]&amp;"; "&amp;R7179&amp;AS[[#This Row],[Age Band Code]]&amp;"; "&amp;S7179&amp;AS[[#This Row],[Sex Code]]</f>
        <v xml:space="preserve">Insurer Code ; Reporting Year ; Insurance Category Code ; Large Provider Entity Code ; Age Band Code ; Sex Code </v>
      </c>
      <c r="N7179" s="345" t="s">
        <v>207</v>
      </c>
      <c r="O7179" s="345" t="s">
        <v>208</v>
      </c>
      <c r="P7179" s="345" t="s">
        <v>209</v>
      </c>
      <c r="Q7179" s="345" t="s">
        <v>210</v>
      </c>
      <c r="R7179" s="345" t="s">
        <v>223</v>
      </c>
      <c r="S7179" s="345" t="s">
        <v>224</v>
      </c>
    </row>
    <row r="7180" spans="1:19" x14ac:dyDescent="0.25">
      <c r="A7180" s="311"/>
      <c r="B7180" s="312"/>
      <c r="C7180" s="312"/>
      <c r="D7180" s="312"/>
      <c r="E7180" s="312"/>
      <c r="F7180" s="312"/>
      <c r="G7180" s="328"/>
      <c r="H7180" s="453"/>
      <c r="I7180" s="334"/>
      <c r="J7180" s="314"/>
      <c r="K7180" s="454"/>
      <c r="M7180" s="349" t="str">
        <f>N7180&amp;AS[[#This Row],[Insurer Code]]&amp;"; "&amp;O7180&amp;AS[[#This Row],[Reporting Year]]&amp;"; "&amp;P7180&amp;AS[[#This Row],[Insurance Category Code]]&amp;"; "&amp;Q7180&amp;AS[[#This Row],[Large Provider Entity Code]]&amp;"; "&amp;R7180&amp;AS[[#This Row],[Age Band Code]]&amp;"; "&amp;S7180&amp;AS[[#This Row],[Sex Code]]</f>
        <v xml:space="preserve">Insurer Code ; Reporting Year ; Insurance Category Code ; Large Provider Entity Code ; Age Band Code ; Sex Code </v>
      </c>
      <c r="N7180" s="345" t="s">
        <v>207</v>
      </c>
      <c r="O7180" s="345" t="s">
        <v>208</v>
      </c>
      <c r="P7180" s="345" t="s">
        <v>209</v>
      </c>
      <c r="Q7180" s="345" t="s">
        <v>210</v>
      </c>
      <c r="R7180" s="345" t="s">
        <v>223</v>
      </c>
      <c r="S7180" s="345" t="s">
        <v>224</v>
      </c>
    </row>
    <row r="7181" spans="1:19" x14ac:dyDescent="0.25">
      <c r="A7181" s="311"/>
      <c r="B7181" s="312"/>
      <c r="C7181" s="312"/>
      <c r="D7181" s="312"/>
      <c r="E7181" s="312"/>
      <c r="F7181" s="312"/>
      <c r="G7181" s="328"/>
      <c r="H7181" s="453"/>
      <c r="I7181" s="334"/>
      <c r="J7181" s="314"/>
      <c r="K7181" s="454"/>
      <c r="M7181" s="349" t="str">
        <f>N7181&amp;AS[[#This Row],[Insurer Code]]&amp;"; "&amp;O7181&amp;AS[[#This Row],[Reporting Year]]&amp;"; "&amp;P7181&amp;AS[[#This Row],[Insurance Category Code]]&amp;"; "&amp;Q7181&amp;AS[[#This Row],[Large Provider Entity Code]]&amp;"; "&amp;R7181&amp;AS[[#This Row],[Age Band Code]]&amp;"; "&amp;S7181&amp;AS[[#This Row],[Sex Code]]</f>
        <v xml:space="preserve">Insurer Code ; Reporting Year ; Insurance Category Code ; Large Provider Entity Code ; Age Band Code ; Sex Code </v>
      </c>
      <c r="N7181" s="345" t="s">
        <v>207</v>
      </c>
      <c r="O7181" s="345" t="s">
        <v>208</v>
      </c>
      <c r="P7181" s="345" t="s">
        <v>209</v>
      </c>
      <c r="Q7181" s="345" t="s">
        <v>210</v>
      </c>
      <c r="R7181" s="345" t="s">
        <v>223</v>
      </c>
      <c r="S7181" s="345" t="s">
        <v>224</v>
      </c>
    </row>
    <row r="7182" spans="1:19" x14ac:dyDescent="0.25">
      <c r="A7182" s="311"/>
      <c r="B7182" s="312"/>
      <c r="C7182" s="312"/>
      <c r="D7182" s="312"/>
      <c r="E7182" s="312"/>
      <c r="F7182" s="312"/>
      <c r="G7182" s="328"/>
      <c r="H7182" s="453"/>
      <c r="I7182" s="334"/>
      <c r="J7182" s="314"/>
      <c r="K7182" s="454"/>
      <c r="M7182" s="349" t="str">
        <f>N7182&amp;AS[[#This Row],[Insurer Code]]&amp;"; "&amp;O7182&amp;AS[[#This Row],[Reporting Year]]&amp;"; "&amp;P7182&amp;AS[[#This Row],[Insurance Category Code]]&amp;"; "&amp;Q7182&amp;AS[[#This Row],[Large Provider Entity Code]]&amp;"; "&amp;R7182&amp;AS[[#This Row],[Age Band Code]]&amp;"; "&amp;S7182&amp;AS[[#This Row],[Sex Code]]</f>
        <v xml:space="preserve">Insurer Code ; Reporting Year ; Insurance Category Code ; Large Provider Entity Code ; Age Band Code ; Sex Code </v>
      </c>
      <c r="N7182" s="345" t="s">
        <v>207</v>
      </c>
      <c r="O7182" s="345" t="s">
        <v>208</v>
      </c>
      <c r="P7182" s="345" t="s">
        <v>209</v>
      </c>
      <c r="Q7182" s="345" t="s">
        <v>210</v>
      </c>
      <c r="R7182" s="345" t="s">
        <v>223</v>
      </c>
      <c r="S7182" s="345" t="s">
        <v>224</v>
      </c>
    </row>
    <row r="7183" spans="1:19" x14ac:dyDescent="0.25">
      <c r="A7183" s="311"/>
      <c r="B7183" s="312"/>
      <c r="C7183" s="312"/>
      <c r="D7183" s="312"/>
      <c r="E7183" s="312"/>
      <c r="F7183" s="312"/>
      <c r="G7183" s="328"/>
      <c r="H7183" s="453"/>
      <c r="I7183" s="334"/>
      <c r="J7183" s="314"/>
      <c r="K7183" s="454"/>
      <c r="M7183" s="349" t="str">
        <f>N7183&amp;AS[[#This Row],[Insurer Code]]&amp;"; "&amp;O7183&amp;AS[[#This Row],[Reporting Year]]&amp;"; "&amp;P7183&amp;AS[[#This Row],[Insurance Category Code]]&amp;"; "&amp;Q7183&amp;AS[[#This Row],[Large Provider Entity Code]]&amp;"; "&amp;R7183&amp;AS[[#This Row],[Age Band Code]]&amp;"; "&amp;S7183&amp;AS[[#This Row],[Sex Code]]</f>
        <v xml:space="preserve">Insurer Code ; Reporting Year ; Insurance Category Code ; Large Provider Entity Code ; Age Band Code ; Sex Code </v>
      </c>
      <c r="N7183" s="345" t="s">
        <v>207</v>
      </c>
      <c r="O7183" s="345" t="s">
        <v>208</v>
      </c>
      <c r="P7183" s="345" t="s">
        <v>209</v>
      </c>
      <c r="Q7183" s="345" t="s">
        <v>210</v>
      </c>
      <c r="R7183" s="345" t="s">
        <v>223</v>
      </c>
      <c r="S7183" s="345" t="s">
        <v>224</v>
      </c>
    </row>
    <row r="7184" spans="1:19" x14ac:dyDescent="0.25">
      <c r="A7184" s="311"/>
      <c r="B7184" s="312"/>
      <c r="C7184" s="312"/>
      <c r="D7184" s="312"/>
      <c r="E7184" s="312"/>
      <c r="F7184" s="312"/>
      <c r="G7184" s="328"/>
      <c r="H7184" s="453"/>
      <c r="I7184" s="334"/>
      <c r="J7184" s="314"/>
      <c r="K7184" s="454"/>
      <c r="M7184" s="349" t="str">
        <f>N7184&amp;AS[[#This Row],[Insurer Code]]&amp;"; "&amp;O7184&amp;AS[[#This Row],[Reporting Year]]&amp;"; "&amp;P7184&amp;AS[[#This Row],[Insurance Category Code]]&amp;"; "&amp;Q7184&amp;AS[[#This Row],[Large Provider Entity Code]]&amp;"; "&amp;R7184&amp;AS[[#This Row],[Age Band Code]]&amp;"; "&amp;S7184&amp;AS[[#This Row],[Sex Code]]</f>
        <v xml:space="preserve">Insurer Code ; Reporting Year ; Insurance Category Code ; Large Provider Entity Code ; Age Band Code ; Sex Code </v>
      </c>
      <c r="N7184" s="345" t="s">
        <v>207</v>
      </c>
      <c r="O7184" s="345" t="s">
        <v>208</v>
      </c>
      <c r="P7184" s="345" t="s">
        <v>209</v>
      </c>
      <c r="Q7184" s="345" t="s">
        <v>210</v>
      </c>
      <c r="R7184" s="345" t="s">
        <v>223</v>
      </c>
      <c r="S7184" s="345" t="s">
        <v>224</v>
      </c>
    </row>
    <row r="7185" spans="1:19" x14ac:dyDescent="0.25">
      <c r="A7185" s="311"/>
      <c r="B7185" s="312"/>
      <c r="C7185" s="312"/>
      <c r="D7185" s="312"/>
      <c r="E7185" s="312"/>
      <c r="F7185" s="312"/>
      <c r="G7185" s="328"/>
      <c r="H7185" s="453"/>
      <c r="I7185" s="334"/>
      <c r="J7185" s="314"/>
      <c r="K7185" s="454"/>
      <c r="M7185" s="349" t="str">
        <f>N7185&amp;AS[[#This Row],[Insurer Code]]&amp;"; "&amp;O7185&amp;AS[[#This Row],[Reporting Year]]&amp;"; "&amp;P7185&amp;AS[[#This Row],[Insurance Category Code]]&amp;"; "&amp;Q7185&amp;AS[[#This Row],[Large Provider Entity Code]]&amp;"; "&amp;R7185&amp;AS[[#This Row],[Age Band Code]]&amp;"; "&amp;S7185&amp;AS[[#This Row],[Sex Code]]</f>
        <v xml:space="preserve">Insurer Code ; Reporting Year ; Insurance Category Code ; Large Provider Entity Code ; Age Band Code ; Sex Code </v>
      </c>
      <c r="N7185" s="345" t="s">
        <v>207</v>
      </c>
      <c r="O7185" s="345" t="s">
        <v>208</v>
      </c>
      <c r="P7185" s="345" t="s">
        <v>209</v>
      </c>
      <c r="Q7185" s="345" t="s">
        <v>210</v>
      </c>
      <c r="R7185" s="345" t="s">
        <v>223</v>
      </c>
      <c r="S7185" s="345" t="s">
        <v>224</v>
      </c>
    </row>
    <row r="7186" spans="1:19" x14ac:dyDescent="0.25">
      <c r="A7186" s="311"/>
      <c r="B7186" s="312"/>
      <c r="C7186" s="312"/>
      <c r="D7186" s="312"/>
      <c r="E7186" s="312"/>
      <c r="F7186" s="312"/>
      <c r="G7186" s="328"/>
      <c r="H7186" s="453"/>
      <c r="I7186" s="334"/>
      <c r="J7186" s="314"/>
      <c r="K7186" s="454"/>
      <c r="M7186" s="349" t="str">
        <f>N7186&amp;AS[[#This Row],[Insurer Code]]&amp;"; "&amp;O7186&amp;AS[[#This Row],[Reporting Year]]&amp;"; "&amp;P7186&amp;AS[[#This Row],[Insurance Category Code]]&amp;"; "&amp;Q7186&amp;AS[[#This Row],[Large Provider Entity Code]]&amp;"; "&amp;R7186&amp;AS[[#This Row],[Age Band Code]]&amp;"; "&amp;S7186&amp;AS[[#This Row],[Sex Code]]</f>
        <v xml:space="preserve">Insurer Code ; Reporting Year ; Insurance Category Code ; Large Provider Entity Code ; Age Band Code ; Sex Code </v>
      </c>
      <c r="N7186" s="345" t="s">
        <v>207</v>
      </c>
      <c r="O7186" s="345" t="s">
        <v>208</v>
      </c>
      <c r="P7186" s="345" t="s">
        <v>209</v>
      </c>
      <c r="Q7186" s="345" t="s">
        <v>210</v>
      </c>
      <c r="R7186" s="345" t="s">
        <v>223</v>
      </c>
      <c r="S7186" s="345" t="s">
        <v>224</v>
      </c>
    </row>
    <row r="7187" spans="1:19" x14ac:dyDescent="0.25">
      <c r="A7187" s="311"/>
      <c r="B7187" s="312"/>
      <c r="C7187" s="312"/>
      <c r="D7187" s="312"/>
      <c r="E7187" s="312"/>
      <c r="F7187" s="312"/>
      <c r="G7187" s="328"/>
      <c r="H7187" s="453"/>
      <c r="I7187" s="334"/>
      <c r="J7187" s="314"/>
      <c r="K7187" s="454"/>
      <c r="M7187" s="349" t="str">
        <f>N7187&amp;AS[[#This Row],[Insurer Code]]&amp;"; "&amp;O7187&amp;AS[[#This Row],[Reporting Year]]&amp;"; "&amp;P7187&amp;AS[[#This Row],[Insurance Category Code]]&amp;"; "&amp;Q7187&amp;AS[[#This Row],[Large Provider Entity Code]]&amp;"; "&amp;R7187&amp;AS[[#This Row],[Age Band Code]]&amp;"; "&amp;S7187&amp;AS[[#This Row],[Sex Code]]</f>
        <v xml:space="preserve">Insurer Code ; Reporting Year ; Insurance Category Code ; Large Provider Entity Code ; Age Band Code ; Sex Code </v>
      </c>
      <c r="N7187" s="345" t="s">
        <v>207</v>
      </c>
      <c r="O7187" s="345" t="s">
        <v>208</v>
      </c>
      <c r="P7187" s="345" t="s">
        <v>209</v>
      </c>
      <c r="Q7187" s="345" t="s">
        <v>210</v>
      </c>
      <c r="R7187" s="345" t="s">
        <v>223</v>
      </c>
      <c r="S7187" s="345" t="s">
        <v>224</v>
      </c>
    </row>
    <row r="7188" spans="1:19" x14ac:dyDescent="0.25">
      <c r="A7188" s="311"/>
      <c r="B7188" s="312"/>
      <c r="C7188" s="312"/>
      <c r="D7188" s="312"/>
      <c r="E7188" s="312"/>
      <c r="F7188" s="312"/>
      <c r="G7188" s="328"/>
      <c r="H7188" s="453"/>
      <c r="I7188" s="334"/>
      <c r="J7188" s="314"/>
      <c r="K7188" s="454"/>
      <c r="M7188" s="349" t="str">
        <f>N7188&amp;AS[[#This Row],[Insurer Code]]&amp;"; "&amp;O7188&amp;AS[[#This Row],[Reporting Year]]&amp;"; "&amp;P7188&amp;AS[[#This Row],[Insurance Category Code]]&amp;"; "&amp;Q7188&amp;AS[[#This Row],[Large Provider Entity Code]]&amp;"; "&amp;R7188&amp;AS[[#This Row],[Age Band Code]]&amp;"; "&amp;S7188&amp;AS[[#This Row],[Sex Code]]</f>
        <v xml:space="preserve">Insurer Code ; Reporting Year ; Insurance Category Code ; Large Provider Entity Code ; Age Band Code ; Sex Code </v>
      </c>
      <c r="N7188" s="345" t="s">
        <v>207</v>
      </c>
      <c r="O7188" s="345" t="s">
        <v>208</v>
      </c>
      <c r="P7188" s="345" t="s">
        <v>209</v>
      </c>
      <c r="Q7188" s="345" t="s">
        <v>210</v>
      </c>
      <c r="R7188" s="345" t="s">
        <v>223</v>
      </c>
      <c r="S7188" s="345" t="s">
        <v>224</v>
      </c>
    </row>
    <row r="7189" spans="1:19" x14ac:dyDescent="0.25">
      <c r="A7189" s="311"/>
      <c r="B7189" s="312"/>
      <c r="C7189" s="312"/>
      <c r="D7189" s="312"/>
      <c r="E7189" s="312"/>
      <c r="F7189" s="312"/>
      <c r="G7189" s="328"/>
      <c r="H7189" s="453"/>
      <c r="I7189" s="334"/>
      <c r="J7189" s="314"/>
      <c r="K7189" s="454"/>
      <c r="M7189" s="349" t="str">
        <f>N7189&amp;AS[[#This Row],[Insurer Code]]&amp;"; "&amp;O7189&amp;AS[[#This Row],[Reporting Year]]&amp;"; "&amp;P7189&amp;AS[[#This Row],[Insurance Category Code]]&amp;"; "&amp;Q7189&amp;AS[[#This Row],[Large Provider Entity Code]]&amp;"; "&amp;R7189&amp;AS[[#This Row],[Age Band Code]]&amp;"; "&amp;S7189&amp;AS[[#This Row],[Sex Code]]</f>
        <v xml:space="preserve">Insurer Code ; Reporting Year ; Insurance Category Code ; Large Provider Entity Code ; Age Band Code ; Sex Code </v>
      </c>
      <c r="N7189" s="345" t="s">
        <v>207</v>
      </c>
      <c r="O7189" s="345" t="s">
        <v>208</v>
      </c>
      <c r="P7189" s="345" t="s">
        <v>209</v>
      </c>
      <c r="Q7189" s="345" t="s">
        <v>210</v>
      </c>
      <c r="R7189" s="345" t="s">
        <v>223</v>
      </c>
      <c r="S7189" s="345" t="s">
        <v>224</v>
      </c>
    </row>
    <row r="7190" spans="1:19" x14ac:dyDescent="0.25">
      <c r="A7190" s="311"/>
      <c r="B7190" s="312"/>
      <c r="C7190" s="312"/>
      <c r="D7190" s="312"/>
      <c r="E7190" s="312"/>
      <c r="F7190" s="312"/>
      <c r="G7190" s="328"/>
      <c r="H7190" s="453"/>
      <c r="I7190" s="334"/>
      <c r="J7190" s="314"/>
      <c r="K7190" s="454"/>
      <c r="M7190" s="349" t="str">
        <f>N7190&amp;AS[[#This Row],[Insurer Code]]&amp;"; "&amp;O7190&amp;AS[[#This Row],[Reporting Year]]&amp;"; "&amp;P7190&amp;AS[[#This Row],[Insurance Category Code]]&amp;"; "&amp;Q7190&amp;AS[[#This Row],[Large Provider Entity Code]]&amp;"; "&amp;R7190&amp;AS[[#This Row],[Age Band Code]]&amp;"; "&amp;S7190&amp;AS[[#This Row],[Sex Code]]</f>
        <v xml:space="preserve">Insurer Code ; Reporting Year ; Insurance Category Code ; Large Provider Entity Code ; Age Band Code ; Sex Code </v>
      </c>
      <c r="N7190" s="345" t="s">
        <v>207</v>
      </c>
      <c r="O7190" s="345" t="s">
        <v>208</v>
      </c>
      <c r="P7190" s="345" t="s">
        <v>209</v>
      </c>
      <c r="Q7190" s="345" t="s">
        <v>210</v>
      </c>
      <c r="R7190" s="345" t="s">
        <v>223</v>
      </c>
      <c r="S7190" s="345" t="s">
        <v>224</v>
      </c>
    </row>
    <row r="7191" spans="1:19" x14ac:dyDescent="0.25">
      <c r="A7191" s="311"/>
      <c r="B7191" s="312"/>
      <c r="C7191" s="312"/>
      <c r="D7191" s="312"/>
      <c r="E7191" s="312"/>
      <c r="F7191" s="312"/>
      <c r="G7191" s="328"/>
      <c r="H7191" s="453"/>
      <c r="I7191" s="334"/>
      <c r="J7191" s="314"/>
      <c r="K7191" s="454"/>
      <c r="M7191" s="349" t="str">
        <f>N7191&amp;AS[[#This Row],[Insurer Code]]&amp;"; "&amp;O7191&amp;AS[[#This Row],[Reporting Year]]&amp;"; "&amp;P7191&amp;AS[[#This Row],[Insurance Category Code]]&amp;"; "&amp;Q7191&amp;AS[[#This Row],[Large Provider Entity Code]]&amp;"; "&amp;R7191&amp;AS[[#This Row],[Age Band Code]]&amp;"; "&amp;S7191&amp;AS[[#This Row],[Sex Code]]</f>
        <v xml:space="preserve">Insurer Code ; Reporting Year ; Insurance Category Code ; Large Provider Entity Code ; Age Band Code ; Sex Code </v>
      </c>
      <c r="N7191" s="345" t="s">
        <v>207</v>
      </c>
      <c r="O7191" s="345" t="s">
        <v>208</v>
      </c>
      <c r="P7191" s="345" t="s">
        <v>209</v>
      </c>
      <c r="Q7191" s="345" t="s">
        <v>210</v>
      </c>
      <c r="R7191" s="345" t="s">
        <v>223</v>
      </c>
      <c r="S7191" s="345" t="s">
        <v>224</v>
      </c>
    </row>
    <row r="7192" spans="1:19" x14ac:dyDescent="0.25">
      <c r="A7192" s="311"/>
      <c r="B7192" s="312"/>
      <c r="C7192" s="312"/>
      <c r="D7192" s="312"/>
      <c r="E7192" s="312"/>
      <c r="F7192" s="312"/>
      <c r="G7192" s="328"/>
      <c r="H7192" s="453"/>
      <c r="I7192" s="334"/>
      <c r="J7192" s="314"/>
      <c r="K7192" s="454"/>
      <c r="M7192" s="349" t="str">
        <f>N7192&amp;AS[[#This Row],[Insurer Code]]&amp;"; "&amp;O7192&amp;AS[[#This Row],[Reporting Year]]&amp;"; "&amp;P7192&amp;AS[[#This Row],[Insurance Category Code]]&amp;"; "&amp;Q7192&amp;AS[[#This Row],[Large Provider Entity Code]]&amp;"; "&amp;R7192&amp;AS[[#This Row],[Age Band Code]]&amp;"; "&amp;S7192&amp;AS[[#This Row],[Sex Code]]</f>
        <v xml:space="preserve">Insurer Code ; Reporting Year ; Insurance Category Code ; Large Provider Entity Code ; Age Band Code ; Sex Code </v>
      </c>
      <c r="N7192" s="345" t="s">
        <v>207</v>
      </c>
      <c r="O7192" s="345" t="s">
        <v>208</v>
      </c>
      <c r="P7192" s="345" t="s">
        <v>209</v>
      </c>
      <c r="Q7192" s="345" t="s">
        <v>210</v>
      </c>
      <c r="R7192" s="345" t="s">
        <v>223</v>
      </c>
      <c r="S7192" s="345" t="s">
        <v>224</v>
      </c>
    </row>
    <row r="7193" spans="1:19" x14ac:dyDescent="0.25">
      <c r="A7193" s="311"/>
      <c r="B7193" s="312"/>
      <c r="C7193" s="312"/>
      <c r="D7193" s="312"/>
      <c r="E7193" s="312"/>
      <c r="F7193" s="312"/>
      <c r="G7193" s="328"/>
      <c r="H7193" s="453"/>
      <c r="I7193" s="334"/>
      <c r="J7193" s="314"/>
      <c r="K7193" s="454"/>
      <c r="M7193" s="349" t="str">
        <f>N7193&amp;AS[[#This Row],[Insurer Code]]&amp;"; "&amp;O7193&amp;AS[[#This Row],[Reporting Year]]&amp;"; "&amp;P7193&amp;AS[[#This Row],[Insurance Category Code]]&amp;"; "&amp;Q7193&amp;AS[[#This Row],[Large Provider Entity Code]]&amp;"; "&amp;R7193&amp;AS[[#This Row],[Age Band Code]]&amp;"; "&amp;S7193&amp;AS[[#This Row],[Sex Code]]</f>
        <v xml:space="preserve">Insurer Code ; Reporting Year ; Insurance Category Code ; Large Provider Entity Code ; Age Band Code ; Sex Code </v>
      </c>
      <c r="N7193" s="345" t="s">
        <v>207</v>
      </c>
      <c r="O7193" s="345" t="s">
        <v>208</v>
      </c>
      <c r="P7193" s="345" t="s">
        <v>209</v>
      </c>
      <c r="Q7193" s="345" t="s">
        <v>210</v>
      </c>
      <c r="R7193" s="345" t="s">
        <v>223</v>
      </c>
      <c r="S7193" s="345" t="s">
        <v>224</v>
      </c>
    </row>
    <row r="7194" spans="1:19" x14ac:dyDescent="0.25">
      <c r="A7194" s="311"/>
      <c r="B7194" s="312"/>
      <c r="C7194" s="312"/>
      <c r="D7194" s="312"/>
      <c r="E7194" s="312"/>
      <c r="F7194" s="312"/>
      <c r="G7194" s="328"/>
      <c r="H7194" s="453"/>
      <c r="I7194" s="334"/>
      <c r="J7194" s="314"/>
      <c r="K7194" s="454"/>
      <c r="M7194" s="349" t="str">
        <f>N7194&amp;AS[[#This Row],[Insurer Code]]&amp;"; "&amp;O7194&amp;AS[[#This Row],[Reporting Year]]&amp;"; "&amp;P7194&amp;AS[[#This Row],[Insurance Category Code]]&amp;"; "&amp;Q7194&amp;AS[[#This Row],[Large Provider Entity Code]]&amp;"; "&amp;R7194&amp;AS[[#This Row],[Age Band Code]]&amp;"; "&amp;S7194&amp;AS[[#This Row],[Sex Code]]</f>
        <v xml:space="preserve">Insurer Code ; Reporting Year ; Insurance Category Code ; Large Provider Entity Code ; Age Band Code ; Sex Code </v>
      </c>
      <c r="N7194" s="345" t="s">
        <v>207</v>
      </c>
      <c r="O7194" s="345" t="s">
        <v>208</v>
      </c>
      <c r="P7194" s="345" t="s">
        <v>209</v>
      </c>
      <c r="Q7194" s="345" t="s">
        <v>210</v>
      </c>
      <c r="R7194" s="345" t="s">
        <v>223</v>
      </c>
      <c r="S7194" s="345" t="s">
        <v>224</v>
      </c>
    </row>
    <row r="7195" spans="1:19" x14ac:dyDescent="0.25">
      <c r="A7195" s="311"/>
      <c r="B7195" s="312"/>
      <c r="C7195" s="312"/>
      <c r="D7195" s="312"/>
      <c r="E7195" s="312"/>
      <c r="F7195" s="312"/>
      <c r="G7195" s="328"/>
      <c r="H7195" s="453"/>
      <c r="I7195" s="334"/>
      <c r="J7195" s="314"/>
      <c r="K7195" s="454"/>
      <c r="M7195" s="349" t="str">
        <f>N7195&amp;AS[[#This Row],[Insurer Code]]&amp;"; "&amp;O7195&amp;AS[[#This Row],[Reporting Year]]&amp;"; "&amp;P7195&amp;AS[[#This Row],[Insurance Category Code]]&amp;"; "&amp;Q7195&amp;AS[[#This Row],[Large Provider Entity Code]]&amp;"; "&amp;R7195&amp;AS[[#This Row],[Age Band Code]]&amp;"; "&amp;S7195&amp;AS[[#This Row],[Sex Code]]</f>
        <v xml:space="preserve">Insurer Code ; Reporting Year ; Insurance Category Code ; Large Provider Entity Code ; Age Band Code ; Sex Code </v>
      </c>
      <c r="N7195" s="345" t="s">
        <v>207</v>
      </c>
      <c r="O7195" s="345" t="s">
        <v>208</v>
      </c>
      <c r="P7195" s="345" t="s">
        <v>209</v>
      </c>
      <c r="Q7195" s="345" t="s">
        <v>210</v>
      </c>
      <c r="R7195" s="345" t="s">
        <v>223</v>
      </c>
      <c r="S7195" s="345" t="s">
        <v>224</v>
      </c>
    </row>
    <row r="7196" spans="1:19" x14ac:dyDescent="0.25">
      <c r="A7196" s="311"/>
      <c r="B7196" s="312"/>
      <c r="C7196" s="312"/>
      <c r="D7196" s="312"/>
      <c r="E7196" s="312"/>
      <c r="F7196" s="312"/>
      <c r="G7196" s="328"/>
      <c r="H7196" s="453"/>
      <c r="I7196" s="334"/>
      <c r="J7196" s="314"/>
      <c r="K7196" s="454"/>
      <c r="M7196" s="349" t="str">
        <f>N7196&amp;AS[[#This Row],[Insurer Code]]&amp;"; "&amp;O7196&amp;AS[[#This Row],[Reporting Year]]&amp;"; "&amp;P7196&amp;AS[[#This Row],[Insurance Category Code]]&amp;"; "&amp;Q7196&amp;AS[[#This Row],[Large Provider Entity Code]]&amp;"; "&amp;R7196&amp;AS[[#This Row],[Age Band Code]]&amp;"; "&amp;S7196&amp;AS[[#This Row],[Sex Code]]</f>
        <v xml:space="preserve">Insurer Code ; Reporting Year ; Insurance Category Code ; Large Provider Entity Code ; Age Band Code ; Sex Code </v>
      </c>
      <c r="N7196" s="345" t="s">
        <v>207</v>
      </c>
      <c r="O7196" s="345" t="s">
        <v>208</v>
      </c>
      <c r="P7196" s="345" t="s">
        <v>209</v>
      </c>
      <c r="Q7196" s="345" t="s">
        <v>210</v>
      </c>
      <c r="R7196" s="345" t="s">
        <v>223</v>
      </c>
      <c r="S7196" s="345" t="s">
        <v>224</v>
      </c>
    </row>
    <row r="7197" spans="1:19" x14ac:dyDescent="0.25">
      <c r="A7197" s="311"/>
      <c r="B7197" s="312"/>
      <c r="C7197" s="312"/>
      <c r="D7197" s="312"/>
      <c r="E7197" s="312"/>
      <c r="F7197" s="312"/>
      <c r="G7197" s="328"/>
      <c r="H7197" s="453"/>
      <c r="I7197" s="334"/>
      <c r="J7197" s="314"/>
      <c r="K7197" s="454"/>
      <c r="M7197" s="349" t="str">
        <f>N7197&amp;AS[[#This Row],[Insurer Code]]&amp;"; "&amp;O7197&amp;AS[[#This Row],[Reporting Year]]&amp;"; "&amp;P7197&amp;AS[[#This Row],[Insurance Category Code]]&amp;"; "&amp;Q7197&amp;AS[[#This Row],[Large Provider Entity Code]]&amp;"; "&amp;R7197&amp;AS[[#This Row],[Age Band Code]]&amp;"; "&amp;S7197&amp;AS[[#This Row],[Sex Code]]</f>
        <v xml:space="preserve">Insurer Code ; Reporting Year ; Insurance Category Code ; Large Provider Entity Code ; Age Band Code ; Sex Code </v>
      </c>
      <c r="N7197" s="345" t="s">
        <v>207</v>
      </c>
      <c r="O7197" s="345" t="s">
        <v>208</v>
      </c>
      <c r="P7197" s="345" t="s">
        <v>209</v>
      </c>
      <c r="Q7197" s="345" t="s">
        <v>210</v>
      </c>
      <c r="R7197" s="345" t="s">
        <v>223</v>
      </c>
      <c r="S7197" s="345" t="s">
        <v>224</v>
      </c>
    </row>
    <row r="7198" spans="1:19" x14ac:dyDescent="0.25">
      <c r="A7198" s="311"/>
      <c r="B7198" s="312"/>
      <c r="C7198" s="312"/>
      <c r="D7198" s="312"/>
      <c r="E7198" s="312"/>
      <c r="F7198" s="312"/>
      <c r="G7198" s="328"/>
      <c r="H7198" s="453"/>
      <c r="I7198" s="334"/>
      <c r="J7198" s="314"/>
      <c r="K7198" s="454"/>
      <c r="M7198" s="349" t="str">
        <f>N7198&amp;AS[[#This Row],[Insurer Code]]&amp;"; "&amp;O7198&amp;AS[[#This Row],[Reporting Year]]&amp;"; "&amp;P7198&amp;AS[[#This Row],[Insurance Category Code]]&amp;"; "&amp;Q7198&amp;AS[[#This Row],[Large Provider Entity Code]]&amp;"; "&amp;R7198&amp;AS[[#This Row],[Age Band Code]]&amp;"; "&amp;S7198&amp;AS[[#This Row],[Sex Code]]</f>
        <v xml:space="preserve">Insurer Code ; Reporting Year ; Insurance Category Code ; Large Provider Entity Code ; Age Band Code ; Sex Code </v>
      </c>
      <c r="N7198" s="345" t="s">
        <v>207</v>
      </c>
      <c r="O7198" s="345" t="s">
        <v>208</v>
      </c>
      <c r="P7198" s="345" t="s">
        <v>209</v>
      </c>
      <c r="Q7198" s="345" t="s">
        <v>210</v>
      </c>
      <c r="R7198" s="345" t="s">
        <v>223</v>
      </c>
      <c r="S7198" s="345" t="s">
        <v>224</v>
      </c>
    </row>
    <row r="7199" spans="1:19" x14ac:dyDescent="0.25">
      <c r="A7199" s="311"/>
      <c r="B7199" s="312"/>
      <c r="C7199" s="312"/>
      <c r="D7199" s="312"/>
      <c r="E7199" s="312"/>
      <c r="F7199" s="312"/>
      <c r="G7199" s="328"/>
      <c r="H7199" s="453"/>
      <c r="I7199" s="334"/>
      <c r="J7199" s="314"/>
      <c r="K7199" s="454"/>
      <c r="M7199" s="349" t="str">
        <f>N7199&amp;AS[[#This Row],[Insurer Code]]&amp;"; "&amp;O7199&amp;AS[[#This Row],[Reporting Year]]&amp;"; "&amp;P7199&amp;AS[[#This Row],[Insurance Category Code]]&amp;"; "&amp;Q7199&amp;AS[[#This Row],[Large Provider Entity Code]]&amp;"; "&amp;R7199&amp;AS[[#This Row],[Age Band Code]]&amp;"; "&amp;S7199&amp;AS[[#This Row],[Sex Code]]</f>
        <v xml:space="preserve">Insurer Code ; Reporting Year ; Insurance Category Code ; Large Provider Entity Code ; Age Band Code ; Sex Code </v>
      </c>
      <c r="N7199" s="345" t="s">
        <v>207</v>
      </c>
      <c r="O7199" s="345" t="s">
        <v>208</v>
      </c>
      <c r="P7199" s="345" t="s">
        <v>209</v>
      </c>
      <c r="Q7199" s="345" t="s">
        <v>210</v>
      </c>
      <c r="R7199" s="345" t="s">
        <v>223</v>
      </c>
      <c r="S7199" s="345" t="s">
        <v>224</v>
      </c>
    </row>
    <row r="7200" spans="1:19" x14ac:dyDescent="0.25">
      <c r="A7200" s="311"/>
      <c r="B7200" s="312"/>
      <c r="C7200" s="312"/>
      <c r="D7200" s="312"/>
      <c r="E7200" s="312"/>
      <c r="F7200" s="312"/>
      <c r="G7200" s="328"/>
      <c r="H7200" s="453"/>
      <c r="I7200" s="334"/>
      <c r="J7200" s="314"/>
      <c r="K7200" s="454"/>
      <c r="M7200" s="349" t="str">
        <f>N7200&amp;AS[[#This Row],[Insurer Code]]&amp;"; "&amp;O7200&amp;AS[[#This Row],[Reporting Year]]&amp;"; "&amp;P7200&amp;AS[[#This Row],[Insurance Category Code]]&amp;"; "&amp;Q7200&amp;AS[[#This Row],[Large Provider Entity Code]]&amp;"; "&amp;R7200&amp;AS[[#This Row],[Age Band Code]]&amp;"; "&amp;S7200&amp;AS[[#This Row],[Sex Code]]</f>
        <v xml:space="preserve">Insurer Code ; Reporting Year ; Insurance Category Code ; Large Provider Entity Code ; Age Band Code ; Sex Code </v>
      </c>
      <c r="N7200" s="345" t="s">
        <v>207</v>
      </c>
      <c r="O7200" s="345" t="s">
        <v>208</v>
      </c>
      <c r="P7200" s="345" t="s">
        <v>209</v>
      </c>
      <c r="Q7200" s="345" t="s">
        <v>210</v>
      </c>
      <c r="R7200" s="345" t="s">
        <v>223</v>
      </c>
      <c r="S7200" s="345" t="s">
        <v>224</v>
      </c>
    </row>
    <row r="7201" spans="1:19" x14ac:dyDescent="0.25">
      <c r="A7201" s="311"/>
      <c r="B7201" s="312"/>
      <c r="C7201" s="312"/>
      <c r="D7201" s="312"/>
      <c r="E7201" s="312"/>
      <c r="F7201" s="312"/>
      <c r="G7201" s="328"/>
      <c r="H7201" s="453"/>
      <c r="I7201" s="334"/>
      <c r="J7201" s="314"/>
      <c r="K7201" s="454"/>
      <c r="M7201" s="349" t="str">
        <f>N7201&amp;AS[[#This Row],[Insurer Code]]&amp;"; "&amp;O7201&amp;AS[[#This Row],[Reporting Year]]&amp;"; "&amp;P7201&amp;AS[[#This Row],[Insurance Category Code]]&amp;"; "&amp;Q7201&amp;AS[[#This Row],[Large Provider Entity Code]]&amp;"; "&amp;R7201&amp;AS[[#This Row],[Age Band Code]]&amp;"; "&amp;S7201&amp;AS[[#This Row],[Sex Code]]</f>
        <v xml:space="preserve">Insurer Code ; Reporting Year ; Insurance Category Code ; Large Provider Entity Code ; Age Band Code ; Sex Code </v>
      </c>
      <c r="N7201" s="345" t="s">
        <v>207</v>
      </c>
      <c r="O7201" s="345" t="s">
        <v>208</v>
      </c>
      <c r="P7201" s="345" t="s">
        <v>209</v>
      </c>
      <c r="Q7201" s="345" t="s">
        <v>210</v>
      </c>
      <c r="R7201" s="345" t="s">
        <v>223</v>
      </c>
      <c r="S7201" s="345" t="s">
        <v>224</v>
      </c>
    </row>
    <row r="7202" spans="1:19" x14ac:dyDescent="0.25">
      <c r="A7202" s="311"/>
      <c r="B7202" s="312"/>
      <c r="C7202" s="312"/>
      <c r="D7202" s="312"/>
      <c r="E7202" s="312"/>
      <c r="F7202" s="312"/>
      <c r="G7202" s="328"/>
      <c r="H7202" s="453"/>
      <c r="I7202" s="334"/>
      <c r="J7202" s="314"/>
      <c r="K7202" s="454"/>
      <c r="M7202" s="349" t="str">
        <f>N7202&amp;AS[[#This Row],[Insurer Code]]&amp;"; "&amp;O7202&amp;AS[[#This Row],[Reporting Year]]&amp;"; "&amp;P7202&amp;AS[[#This Row],[Insurance Category Code]]&amp;"; "&amp;Q7202&amp;AS[[#This Row],[Large Provider Entity Code]]&amp;"; "&amp;R7202&amp;AS[[#This Row],[Age Band Code]]&amp;"; "&amp;S7202&amp;AS[[#This Row],[Sex Code]]</f>
        <v xml:space="preserve">Insurer Code ; Reporting Year ; Insurance Category Code ; Large Provider Entity Code ; Age Band Code ; Sex Code </v>
      </c>
      <c r="N7202" s="345" t="s">
        <v>207</v>
      </c>
      <c r="O7202" s="345" t="s">
        <v>208</v>
      </c>
      <c r="P7202" s="345" t="s">
        <v>209</v>
      </c>
      <c r="Q7202" s="345" t="s">
        <v>210</v>
      </c>
      <c r="R7202" s="345" t="s">
        <v>223</v>
      </c>
      <c r="S7202" s="345" t="s">
        <v>224</v>
      </c>
    </row>
    <row r="7203" spans="1:19" x14ac:dyDescent="0.25">
      <c r="A7203" s="311"/>
      <c r="B7203" s="312"/>
      <c r="C7203" s="312"/>
      <c r="D7203" s="312"/>
      <c r="E7203" s="312"/>
      <c r="F7203" s="312"/>
      <c r="G7203" s="328"/>
      <c r="H7203" s="453"/>
      <c r="I7203" s="334"/>
      <c r="J7203" s="314"/>
      <c r="K7203" s="454"/>
      <c r="M7203" s="349" t="str">
        <f>N7203&amp;AS[[#This Row],[Insurer Code]]&amp;"; "&amp;O7203&amp;AS[[#This Row],[Reporting Year]]&amp;"; "&amp;P7203&amp;AS[[#This Row],[Insurance Category Code]]&amp;"; "&amp;Q7203&amp;AS[[#This Row],[Large Provider Entity Code]]&amp;"; "&amp;R7203&amp;AS[[#This Row],[Age Band Code]]&amp;"; "&amp;S7203&amp;AS[[#This Row],[Sex Code]]</f>
        <v xml:space="preserve">Insurer Code ; Reporting Year ; Insurance Category Code ; Large Provider Entity Code ; Age Band Code ; Sex Code </v>
      </c>
      <c r="N7203" s="345" t="s">
        <v>207</v>
      </c>
      <c r="O7203" s="345" t="s">
        <v>208</v>
      </c>
      <c r="P7203" s="345" t="s">
        <v>209</v>
      </c>
      <c r="Q7203" s="345" t="s">
        <v>210</v>
      </c>
      <c r="R7203" s="345" t="s">
        <v>223</v>
      </c>
      <c r="S7203" s="345" t="s">
        <v>224</v>
      </c>
    </row>
    <row r="7204" spans="1:19" x14ac:dyDescent="0.25">
      <c r="A7204" s="311"/>
      <c r="B7204" s="312"/>
      <c r="C7204" s="312"/>
      <c r="D7204" s="312"/>
      <c r="E7204" s="312"/>
      <c r="F7204" s="312"/>
      <c r="G7204" s="328"/>
      <c r="H7204" s="453"/>
      <c r="I7204" s="334"/>
      <c r="J7204" s="314"/>
      <c r="K7204" s="454"/>
      <c r="M7204" s="349" t="str">
        <f>N7204&amp;AS[[#This Row],[Insurer Code]]&amp;"; "&amp;O7204&amp;AS[[#This Row],[Reporting Year]]&amp;"; "&amp;P7204&amp;AS[[#This Row],[Insurance Category Code]]&amp;"; "&amp;Q7204&amp;AS[[#This Row],[Large Provider Entity Code]]&amp;"; "&amp;R7204&amp;AS[[#This Row],[Age Band Code]]&amp;"; "&amp;S7204&amp;AS[[#This Row],[Sex Code]]</f>
        <v xml:space="preserve">Insurer Code ; Reporting Year ; Insurance Category Code ; Large Provider Entity Code ; Age Band Code ; Sex Code </v>
      </c>
      <c r="N7204" s="345" t="s">
        <v>207</v>
      </c>
      <c r="O7204" s="345" t="s">
        <v>208</v>
      </c>
      <c r="P7204" s="345" t="s">
        <v>209</v>
      </c>
      <c r="Q7204" s="345" t="s">
        <v>210</v>
      </c>
      <c r="R7204" s="345" t="s">
        <v>223</v>
      </c>
      <c r="S7204" s="345" t="s">
        <v>224</v>
      </c>
    </row>
    <row r="7205" spans="1:19" x14ac:dyDescent="0.25">
      <c r="A7205" s="311"/>
      <c r="B7205" s="312"/>
      <c r="C7205" s="312"/>
      <c r="D7205" s="312"/>
      <c r="E7205" s="312"/>
      <c r="F7205" s="312"/>
      <c r="G7205" s="328"/>
      <c r="H7205" s="453"/>
      <c r="I7205" s="334"/>
      <c r="J7205" s="314"/>
      <c r="K7205" s="454"/>
      <c r="M7205" s="349" t="str">
        <f>N7205&amp;AS[[#This Row],[Insurer Code]]&amp;"; "&amp;O7205&amp;AS[[#This Row],[Reporting Year]]&amp;"; "&amp;P7205&amp;AS[[#This Row],[Insurance Category Code]]&amp;"; "&amp;Q7205&amp;AS[[#This Row],[Large Provider Entity Code]]&amp;"; "&amp;R7205&amp;AS[[#This Row],[Age Band Code]]&amp;"; "&amp;S7205&amp;AS[[#This Row],[Sex Code]]</f>
        <v xml:space="preserve">Insurer Code ; Reporting Year ; Insurance Category Code ; Large Provider Entity Code ; Age Band Code ; Sex Code </v>
      </c>
      <c r="N7205" s="345" t="s">
        <v>207</v>
      </c>
      <c r="O7205" s="345" t="s">
        <v>208</v>
      </c>
      <c r="P7205" s="345" t="s">
        <v>209</v>
      </c>
      <c r="Q7205" s="345" t="s">
        <v>210</v>
      </c>
      <c r="R7205" s="345" t="s">
        <v>223</v>
      </c>
      <c r="S7205" s="345" t="s">
        <v>224</v>
      </c>
    </row>
    <row r="7206" spans="1:19" x14ac:dyDescent="0.25">
      <c r="A7206" s="311"/>
      <c r="B7206" s="312"/>
      <c r="C7206" s="312"/>
      <c r="D7206" s="312"/>
      <c r="E7206" s="312"/>
      <c r="F7206" s="312"/>
      <c r="G7206" s="328"/>
      <c r="H7206" s="453"/>
      <c r="I7206" s="334"/>
      <c r="J7206" s="314"/>
      <c r="K7206" s="454"/>
      <c r="M7206" s="349" t="str">
        <f>N7206&amp;AS[[#This Row],[Insurer Code]]&amp;"; "&amp;O7206&amp;AS[[#This Row],[Reporting Year]]&amp;"; "&amp;P7206&amp;AS[[#This Row],[Insurance Category Code]]&amp;"; "&amp;Q7206&amp;AS[[#This Row],[Large Provider Entity Code]]&amp;"; "&amp;R7206&amp;AS[[#This Row],[Age Band Code]]&amp;"; "&amp;S7206&amp;AS[[#This Row],[Sex Code]]</f>
        <v xml:space="preserve">Insurer Code ; Reporting Year ; Insurance Category Code ; Large Provider Entity Code ; Age Band Code ; Sex Code </v>
      </c>
      <c r="N7206" s="345" t="s">
        <v>207</v>
      </c>
      <c r="O7206" s="345" t="s">
        <v>208</v>
      </c>
      <c r="P7206" s="345" t="s">
        <v>209</v>
      </c>
      <c r="Q7206" s="345" t="s">
        <v>210</v>
      </c>
      <c r="R7206" s="345" t="s">
        <v>223</v>
      </c>
      <c r="S7206" s="345" t="s">
        <v>224</v>
      </c>
    </row>
    <row r="7207" spans="1:19" x14ac:dyDescent="0.25">
      <c r="A7207" s="311"/>
      <c r="B7207" s="312"/>
      <c r="C7207" s="312"/>
      <c r="D7207" s="312"/>
      <c r="E7207" s="312"/>
      <c r="F7207" s="312"/>
      <c r="G7207" s="328"/>
      <c r="H7207" s="453"/>
      <c r="I7207" s="334"/>
      <c r="J7207" s="314"/>
      <c r="K7207" s="454"/>
      <c r="M7207" s="349" t="str">
        <f>N7207&amp;AS[[#This Row],[Insurer Code]]&amp;"; "&amp;O7207&amp;AS[[#This Row],[Reporting Year]]&amp;"; "&amp;P7207&amp;AS[[#This Row],[Insurance Category Code]]&amp;"; "&amp;Q7207&amp;AS[[#This Row],[Large Provider Entity Code]]&amp;"; "&amp;R7207&amp;AS[[#This Row],[Age Band Code]]&amp;"; "&amp;S7207&amp;AS[[#This Row],[Sex Code]]</f>
        <v xml:space="preserve">Insurer Code ; Reporting Year ; Insurance Category Code ; Large Provider Entity Code ; Age Band Code ; Sex Code </v>
      </c>
      <c r="N7207" s="345" t="s">
        <v>207</v>
      </c>
      <c r="O7207" s="345" t="s">
        <v>208</v>
      </c>
      <c r="P7207" s="345" t="s">
        <v>209</v>
      </c>
      <c r="Q7207" s="345" t="s">
        <v>210</v>
      </c>
      <c r="R7207" s="345" t="s">
        <v>223</v>
      </c>
      <c r="S7207" s="345" t="s">
        <v>224</v>
      </c>
    </row>
    <row r="7208" spans="1:19" x14ac:dyDescent="0.25">
      <c r="A7208" s="311"/>
      <c r="B7208" s="312"/>
      <c r="C7208" s="312"/>
      <c r="D7208" s="312"/>
      <c r="E7208" s="312"/>
      <c r="F7208" s="312"/>
      <c r="G7208" s="328"/>
      <c r="H7208" s="453"/>
      <c r="I7208" s="334"/>
      <c r="J7208" s="314"/>
      <c r="K7208" s="454"/>
      <c r="M7208" s="349" t="str">
        <f>N7208&amp;AS[[#This Row],[Insurer Code]]&amp;"; "&amp;O7208&amp;AS[[#This Row],[Reporting Year]]&amp;"; "&amp;P7208&amp;AS[[#This Row],[Insurance Category Code]]&amp;"; "&amp;Q7208&amp;AS[[#This Row],[Large Provider Entity Code]]&amp;"; "&amp;R7208&amp;AS[[#This Row],[Age Band Code]]&amp;"; "&amp;S7208&amp;AS[[#This Row],[Sex Code]]</f>
        <v xml:space="preserve">Insurer Code ; Reporting Year ; Insurance Category Code ; Large Provider Entity Code ; Age Band Code ; Sex Code </v>
      </c>
      <c r="N7208" s="345" t="s">
        <v>207</v>
      </c>
      <c r="O7208" s="345" t="s">
        <v>208</v>
      </c>
      <c r="P7208" s="345" t="s">
        <v>209</v>
      </c>
      <c r="Q7208" s="345" t="s">
        <v>210</v>
      </c>
      <c r="R7208" s="345" t="s">
        <v>223</v>
      </c>
      <c r="S7208" s="345" t="s">
        <v>224</v>
      </c>
    </row>
    <row r="7209" spans="1:19" x14ac:dyDescent="0.25">
      <c r="A7209" s="311"/>
      <c r="B7209" s="312"/>
      <c r="C7209" s="312"/>
      <c r="D7209" s="312"/>
      <c r="E7209" s="312"/>
      <c r="F7209" s="312"/>
      <c r="G7209" s="328"/>
      <c r="H7209" s="453"/>
      <c r="I7209" s="334"/>
      <c r="J7209" s="314"/>
      <c r="K7209" s="454"/>
      <c r="M7209" s="349" t="str">
        <f>N7209&amp;AS[[#This Row],[Insurer Code]]&amp;"; "&amp;O7209&amp;AS[[#This Row],[Reporting Year]]&amp;"; "&amp;P7209&amp;AS[[#This Row],[Insurance Category Code]]&amp;"; "&amp;Q7209&amp;AS[[#This Row],[Large Provider Entity Code]]&amp;"; "&amp;R7209&amp;AS[[#This Row],[Age Band Code]]&amp;"; "&amp;S7209&amp;AS[[#This Row],[Sex Code]]</f>
        <v xml:space="preserve">Insurer Code ; Reporting Year ; Insurance Category Code ; Large Provider Entity Code ; Age Band Code ; Sex Code </v>
      </c>
      <c r="N7209" s="345" t="s">
        <v>207</v>
      </c>
      <c r="O7209" s="345" t="s">
        <v>208</v>
      </c>
      <c r="P7209" s="345" t="s">
        <v>209</v>
      </c>
      <c r="Q7209" s="345" t="s">
        <v>210</v>
      </c>
      <c r="R7209" s="345" t="s">
        <v>223</v>
      </c>
      <c r="S7209" s="345" t="s">
        <v>224</v>
      </c>
    </row>
    <row r="7210" spans="1:19" x14ac:dyDescent="0.25">
      <c r="A7210" s="311"/>
      <c r="B7210" s="312"/>
      <c r="C7210" s="312"/>
      <c r="D7210" s="312"/>
      <c r="E7210" s="312"/>
      <c r="F7210" s="312"/>
      <c r="G7210" s="328"/>
      <c r="H7210" s="453"/>
      <c r="I7210" s="334"/>
      <c r="J7210" s="314"/>
      <c r="K7210" s="454"/>
      <c r="M7210" s="349" t="str">
        <f>N7210&amp;AS[[#This Row],[Insurer Code]]&amp;"; "&amp;O7210&amp;AS[[#This Row],[Reporting Year]]&amp;"; "&amp;P7210&amp;AS[[#This Row],[Insurance Category Code]]&amp;"; "&amp;Q7210&amp;AS[[#This Row],[Large Provider Entity Code]]&amp;"; "&amp;R7210&amp;AS[[#This Row],[Age Band Code]]&amp;"; "&amp;S7210&amp;AS[[#This Row],[Sex Code]]</f>
        <v xml:space="preserve">Insurer Code ; Reporting Year ; Insurance Category Code ; Large Provider Entity Code ; Age Band Code ; Sex Code </v>
      </c>
      <c r="N7210" s="345" t="s">
        <v>207</v>
      </c>
      <c r="O7210" s="345" t="s">
        <v>208</v>
      </c>
      <c r="P7210" s="345" t="s">
        <v>209</v>
      </c>
      <c r="Q7210" s="345" t="s">
        <v>210</v>
      </c>
      <c r="R7210" s="345" t="s">
        <v>223</v>
      </c>
      <c r="S7210" s="345" t="s">
        <v>224</v>
      </c>
    </row>
    <row r="7211" spans="1:19" x14ac:dyDescent="0.25">
      <c r="A7211" s="311"/>
      <c r="B7211" s="312"/>
      <c r="C7211" s="312"/>
      <c r="D7211" s="312"/>
      <c r="E7211" s="312"/>
      <c r="F7211" s="312"/>
      <c r="G7211" s="328"/>
      <c r="H7211" s="453"/>
      <c r="I7211" s="334"/>
      <c r="J7211" s="314"/>
      <c r="K7211" s="454"/>
      <c r="M7211" s="349" t="str">
        <f>N7211&amp;AS[[#This Row],[Insurer Code]]&amp;"; "&amp;O7211&amp;AS[[#This Row],[Reporting Year]]&amp;"; "&amp;P7211&amp;AS[[#This Row],[Insurance Category Code]]&amp;"; "&amp;Q7211&amp;AS[[#This Row],[Large Provider Entity Code]]&amp;"; "&amp;R7211&amp;AS[[#This Row],[Age Band Code]]&amp;"; "&amp;S7211&amp;AS[[#This Row],[Sex Code]]</f>
        <v xml:space="preserve">Insurer Code ; Reporting Year ; Insurance Category Code ; Large Provider Entity Code ; Age Band Code ; Sex Code </v>
      </c>
      <c r="N7211" s="345" t="s">
        <v>207</v>
      </c>
      <c r="O7211" s="345" t="s">
        <v>208</v>
      </c>
      <c r="P7211" s="345" t="s">
        <v>209</v>
      </c>
      <c r="Q7211" s="345" t="s">
        <v>210</v>
      </c>
      <c r="R7211" s="345" t="s">
        <v>223</v>
      </c>
      <c r="S7211" s="345" t="s">
        <v>224</v>
      </c>
    </row>
    <row r="7212" spans="1:19" x14ac:dyDescent="0.25">
      <c r="A7212" s="311"/>
      <c r="B7212" s="312"/>
      <c r="C7212" s="312"/>
      <c r="D7212" s="312"/>
      <c r="E7212" s="312"/>
      <c r="F7212" s="312"/>
      <c r="G7212" s="328"/>
      <c r="H7212" s="453"/>
      <c r="I7212" s="334"/>
      <c r="J7212" s="314"/>
      <c r="K7212" s="454"/>
      <c r="M7212" s="349" t="str">
        <f>N7212&amp;AS[[#This Row],[Insurer Code]]&amp;"; "&amp;O7212&amp;AS[[#This Row],[Reporting Year]]&amp;"; "&amp;P7212&amp;AS[[#This Row],[Insurance Category Code]]&amp;"; "&amp;Q7212&amp;AS[[#This Row],[Large Provider Entity Code]]&amp;"; "&amp;R7212&amp;AS[[#This Row],[Age Band Code]]&amp;"; "&amp;S7212&amp;AS[[#This Row],[Sex Code]]</f>
        <v xml:space="preserve">Insurer Code ; Reporting Year ; Insurance Category Code ; Large Provider Entity Code ; Age Band Code ; Sex Code </v>
      </c>
      <c r="N7212" s="345" t="s">
        <v>207</v>
      </c>
      <c r="O7212" s="345" t="s">
        <v>208</v>
      </c>
      <c r="P7212" s="345" t="s">
        <v>209</v>
      </c>
      <c r="Q7212" s="345" t="s">
        <v>210</v>
      </c>
      <c r="R7212" s="345" t="s">
        <v>223</v>
      </c>
      <c r="S7212" s="345" t="s">
        <v>224</v>
      </c>
    </row>
    <row r="7213" spans="1:19" x14ac:dyDescent="0.25">
      <c r="A7213" s="311"/>
      <c r="B7213" s="312"/>
      <c r="C7213" s="312"/>
      <c r="D7213" s="312"/>
      <c r="E7213" s="312"/>
      <c r="F7213" s="312"/>
      <c r="G7213" s="328"/>
      <c r="H7213" s="453"/>
      <c r="I7213" s="334"/>
      <c r="J7213" s="314"/>
      <c r="K7213" s="454"/>
      <c r="M7213" s="349" t="str">
        <f>N7213&amp;AS[[#This Row],[Insurer Code]]&amp;"; "&amp;O7213&amp;AS[[#This Row],[Reporting Year]]&amp;"; "&amp;P7213&amp;AS[[#This Row],[Insurance Category Code]]&amp;"; "&amp;Q7213&amp;AS[[#This Row],[Large Provider Entity Code]]&amp;"; "&amp;R7213&amp;AS[[#This Row],[Age Band Code]]&amp;"; "&amp;S7213&amp;AS[[#This Row],[Sex Code]]</f>
        <v xml:space="preserve">Insurer Code ; Reporting Year ; Insurance Category Code ; Large Provider Entity Code ; Age Band Code ; Sex Code </v>
      </c>
      <c r="N7213" s="345" t="s">
        <v>207</v>
      </c>
      <c r="O7213" s="345" t="s">
        <v>208</v>
      </c>
      <c r="P7213" s="345" t="s">
        <v>209</v>
      </c>
      <c r="Q7213" s="345" t="s">
        <v>210</v>
      </c>
      <c r="R7213" s="345" t="s">
        <v>223</v>
      </c>
      <c r="S7213" s="345" t="s">
        <v>224</v>
      </c>
    </row>
    <row r="7214" spans="1:19" x14ac:dyDescent="0.25">
      <c r="A7214" s="311"/>
      <c r="B7214" s="312"/>
      <c r="C7214" s="312"/>
      <c r="D7214" s="312"/>
      <c r="E7214" s="312"/>
      <c r="F7214" s="312"/>
      <c r="G7214" s="328"/>
      <c r="H7214" s="453"/>
      <c r="I7214" s="334"/>
      <c r="J7214" s="314"/>
      <c r="K7214" s="454"/>
      <c r="M7214" s="349" t="str">
        <f>N7214&amp;AS[[#This Row],[Insurer Code]]&amp;"; "&amp;O7214&amp;AS[[#This Row],[Reporting Year]]&amp;"; "&amp;P7214&amp;AS[[#This Row],[Insurance Category Code]]&amp;"; "&amp;Q7214&amp;AS[[#This Row],[Large Provider Entity Code]]&amp;"; "&amp;R7214&amp;AS[[#This Row],[Age Band Code]]&amp;"; "&amp;S7214&amp;AS[[#This Row],[Sex Code]]</f>
        <v xml:space="preserve">Insurer Code ; Reporting Year ; Insurance Category Code ; Large Provider Entity Code ; Age Band Code ; Sex Code </v>
      </c>
      <c r="N7214" s="345" t="s">
        <v>207</v>
      </c>
      <c r="O7214" s="345" t="s">
        <v>208</v>
      </c>
      <c r="P7214" s="345" t="s">
        <v>209</v>
      </c>
      <c r="Q7214" s="345" t="s">
        <v>210</v>
      </c>
      <c r="R7214" s="345" t="s">
        <v>223</v>
      </c>
      <c r="S7214" s="345" t="s">
        <v>224</v>
      </c>
    </row>
    <row r="7215" spans="1:19" x14ac:dyDescent="0.25">
      <c r="A7215" s="311"/>
      <c r="B7215" s="312"/>
      <c r="C7215" s="312"/>
      <c r="D7215" s="312"/>
      <c r="E7215" s="312"/>
      <c r="F7215" s="312"/>
      <c r="G7215" s="328"/>
      <c r="H7215" s="453"/>
      <c r="I7215" s="334"/>
      <c r="J7215" s="314"/>
      <c r="K7215" s="454"/>
      <c r="M7215" s="349" t="str">
        <f>N7215&amp;AS[[#This Row],[Insurer Code]]&amp;"; "&amp;O7215&amp;AS[[#This Row],[Reporting Year]]&amp;"; "&amp;P7215&amp;AS[[#This Row],[Insurance Category Code]]&amp;"; "&amp;Q7215&amp;AS[[#This Row],[Large Provider Entity Code]]&amp;"; "&amp;R7215&amp;AS[[#This Row],[Age Band Code]]&amp;"; "&amp;S7215&amp;AS[[#This Row],[Sex Code]]</f>
        <v xml:space="preserve">Insurer Code ; Reporting Year ; Insurance Category Code ; Large Provider Entity Code ; Age Band Code ; Sex Code </v>
      </c>
      <c r="N7215" s="345" t="s">
        <v>207</v>
      </c>
      <c r="O7215" s="345" t="s">
        <v>208</v>
      </c>
      <c r="P7215" s="345" t="s">
        <v>209</v>
      </c>
      <c r="Q7215" s="345" t="s">
        <v>210</v>
      </c>
      <c r="R7215" s="345" t="s">
        <v>223</v>
      </c>
      <c r="S7215" s="345" t="s">
        <v>224</v>
      </c>
    </row>
    <row r="7216" spans="1:19" x14ac:dyDescent="0.25">
      <c r="A7216" s="311"/>
      <c r="B7216" s="312"/>
      <c r="C7216" s="312"/>
      <c r="D7216" s="312"/>
      <c r="E7216" s="312"/>
      <c r="F7216" s="312"/>
      <c r="G7216" s="328"/>
      <c r="H7216" s="453"/>
      <c r="I7216" s="334"/>
      <c r="J7216" s="314"/>
      <c r="K7216" s="454"/>
      <c r="M7216" s="349" t="str">
        <f>N7216&amp;AS[[#This Row],[Insurer Code]]&amp;"; "&amp;O7216&amp;AS[[#This Row],[Reporting Year]]&amp;"; "&amp;P7216&amp;AS[[#This Row],[Insurance Category Code]]&amp;"; "&amp;Q7216&amp;AS[[#This Row],[Large Provider Entity Code]]&amp;"; "&amp;R7216&amp;AS[[#This Row],[Age Band Code]]&amp;"; "&amp;S7216&amp;AS[[#This Row],[Sex Code]]</f>
        <v xml:space="preserve">Insurer Code ; Reporting Year ; Insurance Category Code ; Large Provider Entity Code ; Age Band Code ; Sex Code </v>
      </c>
      <c r="N7216" s="345" t="s">
        <v>207</v>
      </c>
      <c r="O7216" s="345" t="s">
        <v>208</v>
      </c>
      <c r="P7216" s="345" t="s">
        <v>209</v>
      </c>
      <c r="Q7216" s="345" t="s">
        <v>210</v>
      </c>
      <c r="R7216" s="345" t="s">
        <v>223</v>
      </c>
      <c r="S7216" s="345" t="s">
        <v>224</v>
      </c>
    </row>
    <row r="7217" spans="1:19" x14ac:dyDescent="0.25">
      <c r="A7217" s="311"/>
      <c r="B7217" s="312"/>
      <c r="C7217" s="312"/>
      <c r="D7217" s="312"/>
      <c r="E7217" s="312"/>
      <c r="F7217" s="312"/>
      <c r="G7217" s="328"/>
      <c r="H7217" s="453"/>
      <c r="I7217" s="334"/>
      <c r="J7217" s="314"/>
      <c r="K7217" s="454"/>
      <c r="M7217" s="349" t="str">
        <f>N7217&amp;AS[[#This Row],[Insurer Code]]&amp;"; "&amp;O7217&amp;AS[[#This Row],[Reporting Year]]&amp;"; "&amp;P7217&amp;AS[[#This Row],[Insurance Category Code]]&amp;"; "&amp;Q7217&amp;AS[[#This Row],[Large Provider Entity Code]]&amp;"; "&amp;R7217&amp;AS[[#This Row],[Age Band Code]]&amp;"; "&amp;S7217&amp;AS[[#This Row],[Sex Code]]</f>
        <v xml:space="preserve">Insurer Code ; Reporting Year ; Insurance Category Code ; Large Provider Entity Code ; Age Band Code ; Sex Code </v>
      </c>
      <c r="N7217" s="345" t="s">
        <v>207</v>
      </c>
      <c r="O7217" s="345" t="s">
        <v>208</v>
      </c>
      <c r="P7217" s="345" t="s">
        <v>209</v>
      </c>
      <c r="Q7217" s="345" t="s">
        <v>210</v>
      </c>
      <c r="R7217" s="345" t="s">
        <v>223</v>
      </c>
      <c r="S7217" s="345" t="s">
        <v>224</v>
      </c>
    </row>
    <row r="7218" spans="1:19" x14ac:dyDescent="0.25">
      <c r="A7218" s="311"/>
      <c r="B7218" s="312"/>
      <c r="C7218" s="312"/>
      <c r="D7218" s="312"/>
      <c r="E7218" s="312"/>
      <c r="F7218" s="312"/>
      <c r="G7218" s="328"/>
      <c r="H7218" s="453"/>
      <c r="I7218" s="334"/>
      <c r="J7218" s="314"/>
      <c r="K7218" s="454"/>
      <c r="M7218" s="349" t="str">
        <f>N7218&amp;AS[[#This Row],[Insurer Code]]&amp;"; "&amp;O7218&amp;AS[[#This Row],[Reporting Year]]&amp;"; "&amp;P7218&amp;AS[[#This Row],[Insurance Category Code]]&amp;"; "&amp;Q7218&amp;AS[[#This Row],[Large Provider Entity Code]]&amp;"; "&amp;R7218&amp;AS[[#This Row],[Age Band Code]]&amp;"; "&amp;S7218&amp;AS[[#This Row],[Sex Code]]</f>
        <v xml:space="preserve">Insurer Code ; Reporting Year ; Insurance Category Code ; Large Provider Entity Code ; Age Band Code ; Sex Code </v>
      </c>
      <c r="N7218" s="345" t="s">
        <v>207</v>
      </c>
      <c r="O7218" s="345" t="s">
        <v>208</v>
      </c>
      <c r="P7218" s="345" t="s">
        <v>209</v>
      </c>
      <c r="Q7218" s="345" t="s">
        <v>210</v>
      </c>
      <c r="R7218" s="345" t="s">
        <v>223</v>
      </c>
      <c r="S7218" s="345" t="s">
        <v>224</v>
      </c>
    </row>
    <row r="7219" spans="1:19" x14ac:dyDescent="0.25">
      <c r="A7219" s="311"/>
      <c r="B7219" s="312"/>
      <c r="C7219" s="312"/>
      <c r="D7219" s="312"/>
      <c r="E7219" s="312"/>
      <c r="F7219" s="312"/>
      <c r="G7219" s="328"/>
      <c r="H7219" s="453"/>
      <c r="I7219" s="334"/>
      <c r="J7219" s="314"/>
      <c r="K7219" s="454"/>
      <c r="M7219" s="349" t="str">
        <f>N7219&amp;AS[[#This Row],[Insurer Code]]&amp;"; "&amp;O7219&amp;AS[[#This Row],[Reporting Year]]&amp;"; "&amp;P7219&amp;AS[[#This Row],[Insurance Category Code]]&amp;"; "&amp;Q7219&amp;AS[[#This Row],[Large Provider Entity Code]]&amp;"; "&amp;R7219&amp;AS[[#This Row],[Age Band Code]]&amp;"; "&amp;S7219&amp;AS[[#This Row],[Sex Code]]</f>
        <v xml:space="preserve">Insurer Code ; Reporting Year ; Insurance Category Code ; Large Provider Entity Code ; Age Band Code ; Sex Code </v>
      </c>
      <c r="N7219" s="345" t="s">
        <v>207</v>
      </c>
      <c r="O7219" s="345" t="s">
        <v>208</v>
      </c>
      <c r="P7219" s="345" t="s">
        <v>209</v>
      </c>
      <c r="Q7219" s="345" t="s">
        <v>210</v>
      </c>
      <c r="R7219" s="345" t="s">
        <v>223</v>
      </c>
      <c r="S7219" s="345" t="s">
        <v>224</v>
      </c>
    </row>
    <row r="7220" spans="1:19" x14ac:dyDescent="0.25">
      <c r="A7220" s="311"/>
      <c r="B7220" s="312"/>
      <c r="C7220" s="312"/>
      <c r="D7220" s="312"/>
      <c r="E7220" s="312"/>
      <c r="F7220" s="312"/>
      <c r="G7220" s="328"/>
      <c r="H7220" s="453"/>
      <c r="I7220" s="334"/>
      <c r="J7220" s="314"/>
      <c r="K7220" s="454"/>
      <c r="M7220" s="349" t="str">
        <f>N7220&amp;AS[[#This Row],[Insurer Code]]&amp;"; "&amp;O7220&amp;AS[[#This Row],[Reporting Year]]&amp;"; "&amp;P7220&amp;AS[[#This Row],[Insurance Category Code]]&amp;"; "&amp;Q7220&amp;AS[[#This Row],[Large Provider Entity Code]]&amp;"; "&amp;R7220&amp;AS[[#This Row],[Age Band Code]]&amp;"; "&amp;S7220&amp;AS[[#This Row],[Sex Code]]</f>
        <v xml:space="preserve">Insurer Code ; Reporting Year ; Insurance Category Code ; Large Provider Entity Code ; Age Band Code ; Sex Code </v>
      </c>
      <c r="N7220" s="345" t="s">
        <v>207</v>
      </c>
      <c r="O7220" s="345" t="s">
        <v>208</v>
      </c>
      <c r="P7220" s="345" t="s">
        <v>209</v>
      </c>
      <c r="Q7220" s="345" t="s">
        <v>210</v>
      </c>
      <c r="R7220" s="345" t="s">
        <v>223</v>
      </c>
      <c r="S7220" s="345" t="s">
        <v>224</v>
      </c>
    </row>
    <row r="7221" spans="1:19" x14ac:dyDescent="0.25">
      <c r="A7221" s="311"/>
      <c r="B7221" s="312"/>
      <c r="C7221" s="312"/>
      <c r="D7221" s="312"/>
      <c r="E7221" s="312"/>
      <c r="F7221" s="312"/>
      <c r="G7221" s="328"/>
      <c r="H7221" s="453"/>
      <c r="I7221" s="334"/>
      <c r="J7221" s="314"/>
      <c r="K7221" s="454"/>
      <c r="M7221" s="349" t="str">
        <f>N7221&amp;AS[[#This Row],[Insurer Code]]&amp;"; "&amp;O7221&amp;AS[[#This Row],[Reporting Year]]&amp;"; "&amp;P7221&amp;AS[[#This Row],[Insurance Category Code]]&amp;"; "&amp;Q7221&amp;AS[[#This Row],[Large Provider Entity Code]]&amp;"; "&amp;R7221&amp;AS[[#This Row],[Age Band Code]]&amp;"; "&amp;S7221&amp;AS[[#This Row],[Sex Code]]</f>
        <v xml:space="preserve">Insurer Code ; Reporting Year ; Insurance Category Code ; Large Provider Entity Code ; Age Band Code ; Sex Code </v>
      </c>
      <c r="N7221" s="345" t="s">
        <v>207</v>
      </c>
      <c r="O7221" s="345" t="s">
        <v>208</v>
      </c>
      <c r="P7221" s="345" t="s">
        <v>209</v>
      </c>
      <c r="Q7221" s="345" t="s">
        <v>210</v>
      </c>
      <c r="R7221" s="345" t="s">
        <v>223</v>
      </c>
      <c r="S7221" s="345" t="s">
        <v>224</v>
      </c>
    </row>
    <row r="7222" spans="1:19" x14ac:dyDescent="0.25">
      <c r="A7222" s="311"/>
      <c r="B7222" s="312"/>
      <c r="C7222" s="312"/>
      <c r="D7222" s="312"/>
      <c r="E7222" s="312"/>
      <c r="F7222" s="312"/>
      <c r="G7222" s="328"/>
      <c r="H7222" s="453"/>
      <c r="I7222" s="334"/>
      <c r="J7222" s="314"/>
      <c r="K7222" s="454"/>
      <c r="M7222" s="349" t="str">
        <f>N7222&amp;AS[[#This Row],[Insurer Code]]&amp;"; "&amp;O7222&amp;AS[[#This Row],[Reporting Year]]&amp;"; "&amp;P7222&amp;AS[[#This Row],[Insurance Category Code]]&amp;"; "&amp;Q7222&amp;AS[[#This Row],[Large Provider Entity Code]]&amp;"; "&amp;R7222&amp;AS[[#This Row],[Age Band Code]]&amp;"; "&amp;S7222&amp;AS[[#This Row],[Sex Code]]</f>
        <v xml:space="preserve">Insurer Code ; Reporting Year ; Insurance Category Code ; Large Provider Entity Code ; Age Band Code ; Sex Code </v>
      </c>
      <c r="N7222" s="345" t="s">
        <v>207</v>
      </c>
      <c r="O7222" s="345" t="s">
        <v>208</v>
      </c>
      <c r="P7222" s="345" t="s">
        <v>209</v>
      </c>
      <c r="Q7222" s="345" t="s">
        <v>210</v>
      </c>
      <c r="R7222" s="345" t="s">
        <v>223</v>
      </c>
      <c r="S7222" s="345" t="s">
        <v>224</v>
      </c>
    </row>
    <row r="7223" spans="1:19" x14ac:dyDescent="0.25">
      <c r="A7223" s="311"/>
      <c r="B7223" s="312"/>
      <c r="C7223" s="312"/>
      <c r="D7223" s="312"/>
      <c r="E7223" s="312"/>
      <c r="F7223" s="312"/>
      <c r="G7223" s="328"/>
      <c r="H7223" s="453"/>
      <c r="I7223" s="334"/>
      <c r="J7223" s="314"/>
      <c r="K7223" s="454"/>
      <c r="M7223" s="349" t="str">
        <f>N7223&amp;AS[[#This Row],[Insurer Code]]&amp;"; "&amp;O7223&amp;AS[[#This Row],[Reporting Year]]&amp;"; "&amp;P7223&amp;AS[[#This Row],[Insurance Category Code]]&amp;"; "&amp;Q7223&amp;AS[[#This Row],[Large Provider Entity Code]]&amp;"; "&amp;R7223&amp;AS[[#This Row],[Age Band Code]]&amp;"; "&amp;S7223&amp;AS[[#This Row],[Sex Code]]</f>
        <v xml:space="preserve">Insurer Code ; Reporting Year ; Insurance Category Code ; Large Provider Entity Code ; Age Band Code ; Sex Code </v>
      </c>
      <c r="N7223" s="345" t="s">
        <v>207</v>
      </c>
      <c r="O7223" s="345" t="s">
        <v>208</v>
      </c>
      <c r="P7223" s="345" t="s">
        <v>209</v>
      </c>
      <c r="Q7223" s="345" t="s">
        <v>210</v>
      </c>
      <c r="R7223" s="345" t="s">
        <v>223</v>
      </c>
      <c r="S7223" s="345" t="s">
        <v>224</v>
      </c>
    </row>
    <row r="7224" spans="1:19" x14ac:dyDescent="0.25">
      <c r="A7224" s="311"/>
      <c r="B7224" s="312"/>
      <c r="C7224" s="312"/>
      <c r="D7224" s="312"/>
      <c r="E7224" s="312"/>
      <c r="F7224" s="312"/>
      <c r="G7224" s="328"/>
      <c r="H7224" s="453"/>
      <c r="I7224" s="334"/>
      <c r="J7224" s="314"/>
      <c r="K7224" s="454"/>
      <c r="M7224" s="349" t="str">
        <f>N7224&amp;AS[[#This Row],[Insurer Code]]&amp;"; "&amp;O7224&amp;AS[[#This Row],[Reporting Year]]&amp;"; "&amp;P7224&amp;AS[[#This Row],[Insurance Category Code]]&amp;"; "&amp;Q7224&amp;AS[[#This Row],[Large Provider Entity Code]]&amp;"; "&amp;R7224&amp;AS[[#This Row],[Age Band Code]]&amp;"; "&amp;S7224&amp;AS[[#This Row],[Sex Code]]</f>
        <v xml:space="preserve">Insurer Code ; Reporting Year ; Insurance Category Code ; Large Provider Entity Code ; Age Band Code ; Sex Code </v>
      </c>
      <c r="N7224" s="345" t="s">
        <v>207</v>
      </c>
      <c r="O7224" s="345" t="s">
        <v>208</v>
      </c>
      <c r="P7224" s="345" t="s">
        <v>209</v>
      </c>
      <c r="Q7224" s="345" t="s">
        <v>210</v>
      </c>
      <c r="R7224" s="345" t="s">
        <v>223</v>
      </c>
      <c r="S7224" s="345" t="s">
        <v>224</v>
      </c>
    </row>
    <row r="7225" spans="1:19" x14ac:dyDescent="0.25">
      <c r="A7225" s="311"/>
      <c r="B7225" s="312"/>
      <c r="C7225" s="312"/>
      <c r="D7225" s="312"/>
      <c r="E7225" s="312"/>
      <c r="F7225" s="312"/>
      <c r="G7225" s="328"/>
      <c r="H7225" s="453"/>
      <c r="I7225" s="334"/>
      <c r="J7225" s="314"/>
      <c r="K7225" s="454"/>
      <c r="M7225" s="349" t="str">
        <f>N7225&amp;AS[[#This Row],[Insurer Code]]&amp;"; "&amp;O7225&amp;AS[[#This Row],[Reporting Year]]&amp;"; "&amp;P7225&amp;AS[[#This Row],[Insurance Category Code]]&amp;"; "&amp;Q7225&amp;AS[[#This Row],[Large Provider Entity Code]]&amp;"; "&amp;R7225&amp;AS[[#This Row],[Age Band Code]]&amp;"; "&amp;S7225&amp;AS[[#This Row],[Sex Code]]</f>
        <v xml:space="preserve">Insurer Code ; Reporting Year ; Insurance Category Code ; Large Provider Entity Code ; Age Band Code ; Sex Code </v>
      </c>
      <c r="N7225" s="345" t="s">
        <v>207</v>
      </c>
      <c r="O7225" s="345" t="s">
        <v>208</v>
      </c>
      <c r="P7225" s="345" t="s">
        <v>209</v>
      </c>
      <c r="Q7225" s="345" t="s">
        <v>210</v>
      </c>
      <c r="R7225" s="345" t="s">
        <v>223</v>
      </c>
      <c r="S7225" s="345" t="s">
        <v>224</v>
      </c>
    </row>
    <row r="7226" spans="1:19" x14ac:dyDescent="0.25">
      <c r="A7226" s="311"/>
      <c r="B7226" s="312"/>
      <c r="C7226" s="312"/>
      <c r="D7226" s="312"/>
      <c r="E7226" s="312"/>
      <c r="F7226" s="312"/>
      <c r="G7226" s="328"/>
      <c r="H7226" s="453"/>
      <c r="I7226" s="334"/>
      <c r="J7226" s="314"/>
      <c r="K7226" s="454"/>
      <c r="M7226" s="349" t="str">
        <f>N7226&amp;AS[[#This Row],[Insurer Code]]&amp;"; "&amp;O7226&amp;AS[[#This Row],[Reporting Year]]&amp;"; "&amp;P7226&amp;AS[[#This Row],[Insurance Category Code]]&amp;"; "&amp;Q7226&amp;AS[[#This Row],[Large Provider Entity Code]]&amp;"; "&amp;R7226&amp;AS[[#This Row],[Age Band Code]]&amp;"; "&amp;S7226&amp;AS[[#This Row],[Sex Code]]</f>
        <v xml:space="preserve">Insurer Code ; Reporting Year ; Insurance Category Code ; Large Provider Entity Code ; Age Band Code ; Sex Code </v>
      </c>
      <c r="N7226" s="345" t="s">
        <v>207</v>
      </c>
      <c r="O7226" s="345" t="s">
        <v>208</v>
      </c>
      <c r="P7226" s="345" t="s">
        <v>209</v>
      </c>
      <c r="Q7226" s="345" t="s">
        <v>210</v>
      </c>
      <c r="R7226" s="345" t="s">
        <v>223</v>
      </c>
      <c r="S7226" s="345" t="s">
        <v>224</v>
      </c>
    </row>
    <row r="7227" spans="1:19" x14ac:dyDescent="0.25">
      <c r="A7227" s="311"/>
      <c r="B7227" s="312"/>
      <c r="C7227" s="312"/>
      <c r="D7227" s="312"/>
      <c r="E7227" s="312"/>
      <c r="F7227" s="312"/>
      <c r="G7227" s="328"/>
      <c r="H7227" s="453"/>
      <c r="I7227" s="334"/>
      <c r="J7227" s="314"/>
      <c r="K7227" s="454"/>
      <c r="M7227" s="349" t="str">
        <f>N7227&amp;AS[[#This Row],[Insurer Code]]&amp;"; "&amp;O7227&amp;AS[[#This Row],[Reporting Year]]&amp;"; "&amp;P7227&amp;AS[[#This Row],[Insurance Category Code]]&amp;"; "&amp;Q7227&amp;AS[[#This Row],[Large Provider Entity Code]]&amp;"; "&amp;R7227&amp;AS[[#This Row],[Age Band Code]]&amp;"; "&amp;S7227&amp;AS[[#This Row],[Sex Code]]</f>
        <v xml:space="preserve">Insurer Code ; Reporting Year ; Insurance Category Code ; Large Provider Entity Code ; Age Band Code ; Sex Code </v>
      </c>
      <c r="N7227" s="345" t="s">
        <v>207</v>
      </c>
      <c r="O7227" s="345" t="s">
        <v>208</v>
      </c>
      <c r="P7227" s="345" t="s">
        <v>209</v>
      </c>
      <c r="Q7227" s="345" t="s">
        <v>210</v>
      </c>
      <c r="R7227" s="345" t="s">
        <v>223</v>
      </c>
      <c r="S7227" s="345" t="s">
        <v>224</v>
      </c>
    </row>
    <row r="7228" spans="1:19" x14ac:dyDescent="0.25">
      <c r="A7228" s="311"/>
      <c r="B7228" s="312"/>
      <c r="C7228" s="312"/>
      <c r="D7228" s="312"/>
      <c r="E7228" s="312"/>
      <c r="F7228" s="312"/>
      <c r="G7228" s="328"/>
      <c r="H7228" s="453"/>
      <c r="I7228" s="334"/>
      <c r="J7228" s="314"/>
      <c r="K7228" s="454"/>
      <c r="M7228" s="349" t="str">
        <f>N7228&amp;AS[[#This Row],[Insurer Code]]&amp;"; "&amp;O7228&amp;AS[[#This Row],[Reporting Year]]&amp;"; "&amp;P7228&amp;AS[[#This Row],[Insurance Category Code]]&amp;"; "&amp;Q7228&amp;AS[[#This Row],[Large Provider Entity Code]]&amp;"; "&amp;R7228&amp;AS[[#This Row],[Age Band Code]]&amp;"; "&amp;S7228&amp;AS[[#This Row],[Sex Code]]</f>
        <v xml:space="preserve">Insurer Code ; Reporting Year ; Insurance Category Code ; Large Provider Entity Code ; Age Band Code ; Sex Code </v>
      </c>
      <c r="N7228" s="345" t="s">
        <v>207</v>
      </c>
      <c r="O7228" s="345" t="s">
        <v>208</v>
      </c>
      <c r="P7228" s="345" t="s">
        <v>209</v>
      </c>
      <c r="Q7228" s="345" t="s">
        <v>210</v>
      </c>
      <c r="R7228" s="345" t="s">
        <v>223</v>
      </c>
      <c r="S7228" s="345" t="s">
        <v>224</v>
      </c>
    </row>
    <row r="7229" spans="1:19" x14ac:dyDescent="0.25">
      <c r="A7229" s="311"/>
      <c r="B7229" s="312"/>
      <c r="C7229" s="312"/>
      <c r="D7229" s="312"/>
      <c r="E7229" s="312"/>
      <c r="F7229" s="312"/>
      <c r="G7229" s="328"/>
      <c r="H7229" s="453"/>
      <c r="I7229" s="334"/>
      <c r="J7229" s="314"/>
      <c r="K7229" s="454"/>
      <c r="M7229" s="349" t="str">
        <f>N7229&amp;AS[[#This Row],[Insurer Code]]&amp;"; "&amp;O7229&amp;AS[[#This Row],[Reporting Year]]&amp;"; "&amp;P7229&amp;AS[[#This Row],[Insurance Category Code]]&amp;"; "&amp;Q7229&amp;AS[[#This Row],[Large Provider Entity Code]]&amp;"; "&amp;R7229&amp;AS[[#This Row],[Age Band Code]]&amp;"; "&amp;S7229&amp;AS[[#This Row],[Sex Code]]</f>
        <v xml:space="preserve">Insurer Code ; Reporting Year ; Insurance Category Code ; Large Provider Entity Code ; Age Band Code ; Sex Code </v>
      </c>
      <c r="N7229" s="345" t="s">
        <v>207</v>
      </c>
      <c r="O7229" s="345" t="s">
        <v>208</v>
      </c>
      <c r="P7229" s="345" t="s">
        <v>209</v>
      </c>
      <c r="Q7229" s="345" t="s">
        <v>210</v>
      </c>
      <c r="R7229" s="345" t="s">
        <v>223</v>
      </c>
      <c r="S7229" s="345" t="s">
        <v>224</v>
      </c>
    </row>
    <row r="7230" spans="1:19" x14ac:dyDescent="0.25">
      <c r="A7230" s="311"/>
      <c r="B7230" s="312"/>
      <c r="C7230" s="312"/>
      <c r="D7230" s="312"/>
      <c r="E7230" s="312"/>
      <c r="F7230" s="312"/>
      <c r="G7230" s="328"/>
      <c r="H7230" s="453"/>
      <c r="I7230" s="334"/>
      <c r="J7230" s="314"/>
      <c r="K7230" s="454"/>
      <c r="M7230" s="349" t="str">
        <f>N7230&amp;AS[[#This Row],[Insurer Code]]&amp;"; "&amp;O7230&amp;AS[[#This Row],[Reporting Year]]&amp;"; "&amp;P7230&amp;AS[[#This Row],[Insurance Category Code]]&amp;"; "&amp;Q7230&amp;AS[[#This Row],[Large Provider Entity Code]]&amp;"; "&amp;R7230&amp;AS[[#This Row],[Age Band Code]]&amp;"; "&amp;S7230&amp;AS[[#This Row],[Sex Code]]</f>
        <v xml:space="preserve">Insurer Code ; Reporting Year ; Insurance Category Code ; Large Provider Entity Code ; Age Band Code ; Sex Code </v>
      </c>
      <c r="N7230" s="345" t="s">
        <v>207</v>
      </c>
      <c r="O7230" s="345" t="s">
        <v>208</v>
      </c>
      <c r="P7230" s="345" t="s">
        <v>209</v>
      </c>
      <c r="Q7230" s="345" t="s">
        <v>210</v>
      </c>
      <c r="R7230" s="345" t="s">
        <v>223</v>
      </c>
      <c r="S7230" s="345" t="s">
        <v>224</v>
      </c>
    </row>
    <row r="7231" spans="1:19" x14ac:dyDescent="0.25">
      <c r="A7231" s="311"/>
      <c r="B7231" s="312"/>
      <c r="C7231" s="312"/>
      <c r="D7231" s="312"/>
      <c r="E7231" s="312"/>
      <c r="F7231" s="312"/>
      <c r="G7231" s="328"/>
      <c r="H7231" s="453"/>
      <c r="I7231" s="334"/>
      <c r="J7231" s="314"/>
      <c r="K7231" s="454"/>
      <c r="M7231" s="349" t="str">
        <f>N7231&amp;AS[[#This Row],[Insurer Code]]&amp;"; "&amp;O7231&amp;AS[[#This Row],[Reporting Year]]&amp;"; "&amp;P7231&amp;AS[[#This Row],[Insurance Category Code]]&amp;"; "&amp;Q7231&amp;AS[[#This Row],[Large Provider Entity Code]]&amp;"; "&amp;R7231&amp;AS[[#This Row],[Age Band Code]]&amp;"; "&amp;S7231&amp;AS[[#This Row],[Sex Code]]</f>
        <v xml:space="preserve">Insurer Code ; Reporting Year ; Insurance Category Code ; Large Provider Entity Code ; Age Band Code ; Sex Code </v>
      </c>
      <c r="N7231" s="345" t="s">
        <v>207</v>
      </c>
      <c r="O7231" s="345" t="s">
        <v>208</v>
      </c>
      <c r="P7231" s="345" t="s">
        <v>209</v>
      </c>
      <c r="Q7231" s="345" t="s">
        <v>210</v>
      </c>
      <c r="R7231" s="345" t="s">
        <v>223</v>
      </c>
      <c r="S7231" s="345" t="s">
        <v>224</v>
      </c>
    </row>
    <row r="7232" spans="1:19" x14ac:dyDescent="0.25">
      <c r="A7232" s="311"/>
      <c r="B7232" s="312"/>
      <c r="C7232" s="312"/>
      <c r="D7232" s="312"/>
      <c r="E7232" s="312"/>
      <c r="F7232" s="312"/>
      <c r="G7232" s="328"/>
      <c r="H7232" s="453"/>
      <c r="I7232" s="334"/>
      <c r="J7232" s="314"/>
      <c r="K7232" s="454"/>
      <c r="M7232" s="349" t="str">
        <f>N7232&amp;AS[[#This Row],[Insurer Code]]&amp;"; "&amp;O7232&amp;AS[[#This Row],[Reporting Year]]&amp;"; "&amp;P7232&amp;AS[[#This Row],[Insurance Category Code]]&amp;"; "&amp;Q7232&amp;AS[[#This Row],[Large Provider Entity Code]]&amp;"; "&amp;R7232&amp;AS[[#This Row],[Age Band Code]]&amp;"; "&amp;S7232&amp;AS[[#This Row],[Sex Code]]</f>
        <v xml:space="preserve">Insurer Code ; Reporting Year ; Insurance Category Code ; Large Provider Entity Code ; Age Band Code ; Sex Code </v>
      </c>
      <c r="N7232" s="345" t="s">
        <v>207</v>
      </c>
      <c r="O7232" s="345" t="s">
        <v>208</v>
      </c>
      <c r="P7232" s="345" t="s">
        <v>209</v>
      </c>
      <c r="Q7232" s="345" t="s">
        <v>210</v>
      </c>
      <c r="R7232" s="345" t="s">
        <v>223</v>
      </c>
      <c r="S7232" s="345" t="s">
        <v>224</v>
      </c>
    </row>
    <row r="7233" spans="1:19" x14ac:dyDescent="0.25">
      <c r="A7233" s="311"/>
      <c r="B7233" s="312"/>
      <c r="C7233" s="312"/>
      <c r="D7233" s="312"/>
      <c r="E7233" s="312"/>
      <c r="F7233" s="312"/>
      <c r="G7233" s="328"/>
      <c r="H7233" s="453"/>
      <c r="I7233" s="334"/>
      <c r="J7233" s="314"/>
      <c r="K7233" s="454"/>
      <c r="M7233" s="349" t="str">
        <f>N7233&amp;AS[[#This Row],[Insurer Code]]&amp;"; "&amp;O7233&amp;AS[[#This Row],[Reporting Year]]&amp;"; "&amp;P7233&amp;AS[[#This Row],[Insurance Category Code]]&amp;"; "&amp;Q7233&amp;AS[[#This Row],[Large Provider Entity Code]]&amp;"; "&amp;R7233&amp;AS[[#This Row],[Age Band Code]]&amp;"; "&amp;S7233&amp;AS[[#This Row],[Sex Code]]</f>
        <v xml:space="preserve">Insurer Code ; Reporting Year ; Insurance Category Code ; Large Provider Entity Code ; Age Band Code ; Sex Code </v>
      </c>
      <c r="N7233" s="345" t="s">
        <v>207</v>
      </c>
      <c r="O7233" s="345" t="s">
        <v>208</v>
      </c>
      <c r="P7233" s="345" t="s">
        <v>209</v>
      </c>
      <c r="Q7233" s="345" t="s">
        <v>210</v>
      </c>
      <c r="R7233" s="345" t="s">
        <v>223</v>
      </c>
      <c r="S7233" s="345" t="s">
        <v>224</v>
      </c>
    </row>
    <row r="7234" spans="1:19" x14ac:dyDescent="0.25">
      <c r="A7234" s="311"/>
      <c r="B7234" s="312"/>
      <c r="C7234" s="312"/>
      <c r="D7234" s="312"/>
      <c r="E7234" s="312"/>
      <c r="F7234" s="312"/>
      <c r="G7234" s="328"/>
      <c r="H7234" s="453"/>
      <c r="I7234" s="334"/>
      <c r="J7234" s="314"/>
      <c r="K7234" s="454"/>
      <c r="M7234" s="349" t="str">
        <f>N7234&amp;AS[[#This Row],[Insurer Code]]&amp;"; "&amp;O7234&amp;AS[[#This Row],[Reporting Year]]&amp;"; "&amp;P7234&amp;AS[[#This Row],[Insurance Category Code]]&amp;"; "&amp;Q7234&amp;AS[[#This Row],[Large Provider Entity Code]]&amp;"; "&amp;R7234&amp;AS[[#This Row],[Age Band Code]]&amp;"; "&amp;S7234&amp;AS[[#This Row],[Sex Code]]</f>
        <v xml:space="preserve">Insurer Code ; Reporting Year ; Insurance Category Code ; Large Provider Entity Code ; Age Band Code ; Sex Code </v>
      </c>
      <c r="N7234" s="345" t="s">
        <v>207</v>
      </c>
      <c r="O7234" s="345" t="s">
        <v>208</v>
      </c>
      <c r="P7234" s="345" t="s">
        <v>209</v>
      </c>
      <c r="Q7234" s="345" t="s">
        <v>210</v>
      </c>
      <c r="R7234" s="345" t="s">
        <v>223</v>
      </c>
      <c r="S7234" s="345" t="s">
        <v>224</v>
      </c>
    </row>
    <row r="7235" spans="1:19" x14ac:dyDescent="0.25">
      <c r="A7235" s="311"/>
      <c r="B7235" s="312"/>
      <c r="C7235" s="312"/>
      <c r="D7235" s="312"/>
      <c r="E7235" s="312"/>
      <c r="F7235" s="312"/>
      <c r="G7235" s="328"/>
      <c r="H7235" s="453"/>
      <c r="I7235" s="334"/>
      <c r="J7235" s="314"/>
      <c r="K7235" s="454"/>
      <c r="M7235" s="349" t="str">
        <f>N7235&amp;AS[[#This Row],[Insurer Code]]&amp;"; "&amp;O7235&amp;AS[[#This Row],[Reporting Year]]&amp;"; "&amp;P7235&amp;AS[[#This Row],[Insurance Category Code]]&amp;"; "&amp;Q7235&amp;AS[[#This Row],[Large Provider Entity Code]]&amp;"; "&amp;R7235&amp;AS[[#This Row],[Age Band Code]]&amp;"; "&amp;S7235&amp;AS[[#This Row],[Sex Code]]</f>
        <v xml:space="preserve">Insurer Code ; Reporting Year ; Insurance Category Code ; Large Provider Entity Code ; Age Band Code ; Sex Code </v>
      </c>
      <c r="N7235" s="345" t="s">
        <v>207</v>
      </c>
      <c r="O7235" s="345" t="s">
        <v>208</v>
      </c>
      <c r="P7235" s="345" t="s">
        <v>209</v>
      </c>
      <c r="Q7235" s="345" t="s">
        <v>210</v>
      </c>
      <c r="R7235" s="345" t="s">
        <v>223</v>
      </c>
      <c r="S7235" s="345" t="s">
        <v>224</v>
      </c>
    </row>
    <row r="7236" spans="1:19" x14ac:dyDescent="0.25">
      <c r="A7236" s="311"/>
      <c r="B7236" s="312"/>
      <c r="C7236" s="312"/>
      <c r="D7236" s="312"/>
      <c r="E7236" s="312"/>
      <c r="F7236" s="312"/>
      <c r="G7236" s="328"/>
      <c r="H7236" s="453"/>
      <c r="I7236" s="334"/>
      <c r="J7236" s="314"/>
      <c r="K7236" s="454"/>
      <c r="M7236" s="349" t="str">
        <f>N7236&amp;AS[[#This Row],[Insurer Code]]&amp;"; "&amp;O7236&amp;AS[[#This Row],[Reporting Year]]&amp;"; "&amp;P7236&amp;AS[[#This Row],[Insurance Category Code]]&amp;"; "&amp;Q7236&amp;AS[[#This Row],[Large Provider Entity Code]]&amp;"; "&amp;R7236&amp;AS[[#This Row],[Age Band Code]]&amp;"; "&amp;S7236&amp;AS[[#This Row],[Sex Code]]</f>
        <v xml:space="preserve">Insurer Code ; Reporting Year ; Insurance Category Code ; Large Provider Entity Code ; Age Band Code ; Sex Code </v>
      </c>
      <c r="N7236" s="345" t="s">
        <v>207</v>
      </c>
      <c r="O7236" s="345" t="s">
        <v>208</v>
      </c>
      <c r="P7236" s="345" t="s">
        <v>209</v>
      </c>
      <c r="Q7236" s="345" t="s">
        <v>210</v>
      </c>
      <c r="R7236" s="345" t="s">
        <v>223</v>
      </c>
      <c r="S7236" s="345" t="s">
        <v>224</v>
      </c>
    </row>
    <row r="7237" spans="1:19" x14ac:dyDescent="0.25">
      <c r="A7237" s="311"/>
      <c r="B7237" s="312"/>
      <c r="C7237" s="312"/>
      <c r="D7237" s="312"/>
      <c r="E7237" s="312"/>
      <c r="F7237" s="312"/>
      <c r="G7237" s="328"/>
      <c r="H7237" s="453"/>
      <c r="I7237" s="334"/>
      <c r="J7237" s="314"/>
      <c r="K7237" s="454"/>
      <c r="M7237" s="349" t="str">
        <f>N7237&amp;AS[[#This Row],[Insurer Code]]&amp;"; "&amp;O7237&amp;AS[[#This Row],[Reporting Year]]&amp;"; "&amp;P7237&amp;AS[[#This Row],[Insurance Category Code]]&amp;"; "&amp;Q7237&amp;AS[[#This Row],[Large Provider Entity Code]]&amp;"; "&amp;R7237&amp;AS[[#This Row],[Age Band Code]]&amp;"; "&amp;S7237&amp;AS[[#This Row],[Sex Code]]</f>
        <v xml:space="preserve">Insurer Code ; Reporting Year ; Insurance Category Code ; Large Provider Entity Code ; Age Band Code ; Sex Code </v>
      </c>
      <c r="N7237" s="345" t="s">
        <v>207</v>
      </c>
      <c r="O7237" s="345" t="s">
        <v>208</v>
      </c>
      <c r="P7237" s="345" t="s">
        <v>209</v>
      </c>
      <c r="Q7237" s="345" t="s">
        <v>210</v>
      </c>
      <c r="R7237" s="345" t="s">
        <v>223</v>
      </c>
      <c r="S7237" s="345" t="s">
        <v>224</v>
      </c>
    </row>
    <row r="7238" spans="1:19" x14ac:dyDescent="0.25">
      <c r="A7238" s="311"/>
      <c r="B7238" s="312"/>
      <c r="C7238" s="312"/>
      <c r="D7238" s="312"/>
      <c r="E7238" s="312"/>
      <c r="F7238" s="312"/>
      <c r="G7238" s="328"/>
      <c r="H7238" s="453"/>
      <c r="I7238" s="334"/>
      <c r="J7238" s="314"/>
      <c r="K7238" s="454"/>
      <c r="M7238" s="349" t="str">
        <f>N7238&amp;AS[[#This Row],[Insurer Code]]&amp;"; "&amp;O7238&amp;AS[[#This Row],[Reporting Year]]&amp;"; "&amp;P7238&amp;AS[[#This Row],[Insurance Category Code]]&amp;"; "&amp;Q7238&amp;AS[[#This Row],[Large Provider Entity Code]]&amp;"; "&amp;R7238&amp;AS[[#This Row],[Age Band Code]]&amp;"; "&amp;S7238&amp;AS[[#This Row],[Sex Code]]</f>
        <v xml:space="preserve">Insurer Code ; Reporting Year ; Insurance Category Code ; Large Provider Entity Code ; Age Band Code ; Sex Code </v>
      </c>
      <c r="N7238" s="345" t="s">
        <v>207</v>
      </c>
      <c r="O7238" s="345" t="s">
        <v>208</v>
      </c>
      <c r="P7238" s="345" t="s">
        <v>209</v>
      </c>
      <c r="Q7238" s="345" t="s">
        <v>210</v>
      </c>
      <c r="R7238" s="345" t="s">
        <v>223</v>
      </c>
      <c r="S7238" s="345" t="s">
        <v>224</v>
      </c>
    </row>
    <row r="7239" spans="1:19" x14ac:dyDescent="0.25">
      <c r="A7239" s="311"/>
      <c r="B7239" s="312"/>
      <c r="C7239" s="312"/>
      <c r="D7239" s="312"/>
      <c r="E7239" s="312"/>
      <c r="F7239" s="312"/>
      <c r="G7239" s="328"/>
      <c r="H7239" s="453"/>
      <c r="I7239" s="334"/>
      <c r="J7239" s="314"/>
      <c r="K7239" s="454"/>
      <c r="M7239" s="349" t="str">
        <f>N7239&amp;AS[[#This Row],[Insurer Code]]&amp;"; "&amp;O7239&amp;AS[[#This Row],[Reporting Year]]&amp;"; "&amp;P7239&amp;AS[[#This Row],[Insurance Category Code]]&amp;"; "&amp;Q7239&amp;AS[[#This Row],[Large Provider Entity Code]]&amp;"; "&amp;R7239&amp;AS[[#This Row],[Age Band Code]]&amp;"; "&amp;S7239&amp;AS[[#This Row],[Sex Code]]</f>
        <v xml:space="preserve">Insurer Code ; Reporting Year ; Insurance Category Code ; Large Provider Entity Code ; Age Band Code ; Sex Code </v>
      </c>
      <c r="N7239" s="345" t="s">
        <v>207</v>
      </c>
      <c r="O7239" s="345" t="s">
        <v>208</v>
      </c>
      <c r="P7239" s="345" t="s">
        <v>209</v>
      </c>
      <c r="Q7239" s="345" t="s">
        <v>210</v>
      </c>
      <c r="R7239" s="345" t="s">
        <v>223</v>
      </c>
      <c r="S7239" s="345" t="s">
        <v>224</v>
      </c>
    </row>
    <row r="7240" spans="1:19" x14ac:dyDescent="0.25">
      <c r="A7240" s="311"/>
      <c r="B7240" s="312"/>
      <c r="C7240" s="312"/>
      <c r="D7240" s="312"/>
      <c r="E7240" s="312"/>
      <c r="F7240" s="312"/>
      <c r="G7240" s="328"/>
      <c r="H7240" s="453"/>
      <c r="I7240" s="334"/>
      <c r="J7240" s="314"/>
      <c r="K7240" s="454"/>
      <c r="M7240" s="349" t="str">
        <f>N7240&amp;AS[[#This Row],[Insurer Code]]&amp;"; "&amp;O7240&amp;AS[[#This Row],[Reporting Year]]&amp;"; "&amp;P7240&amp;AS[[#This Row],[Insurance Category Code]]&amp;"; "&amp;Q7240&amp;AS[[#This Row],[Large Provider Entity Code]]&amp;"; "&amp;R7240&amp;AS[[#This Row],[Age Band Code]]&amp;"; "&amp;S7240&amp;AS[[#This Row],[Sex Code]]</f>
        <v xml:space="preserve">Insurer Code ; Reporting Year ; Insurance Category Code ; Large Provider Entity Code ; Age Band Code ; Sex Code </v>
      </c>
      <c r="N7240" s="345" t="s">
        <v>207</v>
      </c>
      <c r="O7240" s="345" t="s">
        <v>208</v>
      </c>
      <c r="P7240" s="345" t="s">
        <v>209</v>
      </c>
      <c r="Q7240" s="345" t="s">
        <v>210</v>
      </c>
      <c r="R7240" s="345" t="s">
        <v>223</v>
      </c>
      <c r="S7240" s="345" t="s">
        <v>224</v>
      </c>
    </row>
    <row r="7241" spans="1:19" x14ac:dyDescent="0.25">
      <c r="A7241" s="311"/>
      <c r="B7241" s="312"/>
      <c r="C7241" s="312"/>
      <c r="D7241" s="312"/>
      <c r="E7241" s="312"/>
      <c r="F7241" s="312"/>
      <c r="G7241" s="328"/>
      <c r="H7241" s="453"/>
      <c r="I7241" s="334"/>
      <c r="J7241" s="314"/>
      <c r="K7241" s="454"/>
      <c r="M7241" s="349" t="str">
        <f>N7241&amp;AS[[#This Row],[Insurer Code]]&amp;"; "&amp;O7241&amp;AS[[#This Row],[Reporting Year]]&amp;"; "&amp;P7241&amp;AS[[#This Row],[Insurance Category Code]]&amp;"; "&amp;Q7241&amp;AS[[#This Row],[Large Provider Entity Code]]&amp;"; "&amp;R7241&amp;AS[[#This Row],[Age Band Code]]&amp;"; "&amp;S7241&amp;AS[[#This Row],[Sex Code]]</f>
        <v xml:space="preserve">Insurer Code ; Reporting Year ; Insurance Category Code ; Large Provider Entity Code ; Age Band Code ; Sex Code </v>
      </c>
      <c r="N7241" s="345" t="s">
        <v>207</v>
      </c>
      <c r="O7241" s="345" t="s">
        <v>208</v>
      </c>
      <c r="P7241" s="345" t="s">
        <v>209</v>
      </c>
      <c r="Q7241" s="345" t="s">
        <v>210</v>
      </c>
      <c r="R7241" s="345" t="s">
        <v>223</v>
      </c>
      <c r="S7241" s="345" t="s">
        <v>224</v>
      </c>
    </row>
    <row r="7242" spans="1:19" x14ac:dyDescent="0.25">
      <c r="A7242" s="311"/>
      <c r="B7242" s="312"/>
      <c r="C7242" s="312"/>
      <c r="D7242" s="312"/>
      <c r="E7242" s="312"/>
      <c r="F7242" s="312"/>
      <c r="G7242" s="328"/>
      <c r="H7242" s="453"/>
      <c r="I7242" s="334"/>
      <c r="J7242" s="314"/>
      <c r="K7242" s="454"/>
      <c r="M7242" s="349" t="str">
        <f>N7242&amp;AS[[#This Row],[Insurer Code]]&amp;"; "&amp;O7242&amp;AS[[#This Row],[Reporting Year]]&amp;"; "&amp;P7242&amp;AS[[#This Row],[Insurance Category Code]]&amp;"; "&amp;Q7242&amp;AS[[#This Row],[Large Provider Entity Code]]&amp;"; "&amp;R7242&amp;AS[[#This Row],[Age Band Code]]&amp;"; "&amp;S7242&amp;AS[[#This Row],[Sex Code]]</f>
        <v xml:space="preserve">Insurer Code ; Reporting Year ; Insurance Category Code ; Large Provider Entity Code ; Age Band Code ; Sex Code </v>
      </c>
      <c r="N7242" s="345" t="s">
        <v>207</v>
      </c>
      <c r="O7242" s="345" t="s">
        <v>208</v>
      </c>
      <c r="P7242" s="345" t="s">
        <v>209</v>
      </c>
      <c r="Q7242" s="345" t="s">
        <v>210</v>
      </c>
      <c r="R7242" s="345" t="s">
        <v>223</v>
      </c>
      <c r="S7242" s="345" t="s">
        <v>224</v>
      </c>
    </row>
    <row r="7243" spans="1:19" x14ac:dyDescent="0.25">
      <c r="A7243" s="311"/>
      <c r="B7243" s="312"/>
      <c r="C7243" s="312"/>
      <c r="D7243" s="312"/>
      <c r="E7243" s="312"/>
      <c r="F7243" s="312"/>
      <c r="G7243" s="328"/>
      <c r="H7243" s="453"/>
      <c r="I7243" s="334"/>
      <c r="J7243" s="314"/>
      <c r="K7243" s="454"/>
      <c r="M7243" s="349" t="str">
        <f>N7243&amp;AS[[#This Row],[Insurer Code]]&amp;"; "&amp;O7243&amp;AS[[#This Row],[Reporting Year]]&amp;"; "&amp;P7243&amp;AS[[#This Row],[Insurance Category Code]]&amp;"; "&amp;Q7243&amp;AS[[#This Row],[Large Provider Entity Code]]&amp;"; "&amp;R7243&amp;AS[[#This Row],[Age Band Code]]&amp;"; "&amp;S7243&amp;AS[[#This Row],[Sex Code]]</f>
        <v xml:space="preserve">Insurer Code ; Reporting Year ; Insurance Category Code ; Large Provider Entity Code ; Age Band Code ; Sex Code </v>
      </c>
      <c r="N7243" s="345" t="s">
        <v>207</v>
      </c>
      <c r="O7243" s="345" t="s">
        <v>208</v>
      </c>
      <c r="P7243" s="345" t="s">
        <v>209</v>
      </c>
      <c r="Q7243" s="345" t="s">
        <v>210</v>
      </c>
      <c r="R7243" s="345" t="s">
        <v>223</v>
      </c>
      <c r="S7243" s="345" t="s">
        <v>224</v>
      </c>
    </row>
    <row r="7244" spans="1:19" x14ac:dyDescent="0.25">
      <c r="A7244" s="311"/>
      <c r="B7244" s="312"/>
      <c r="C7244" s="312"/>
      <c r="D7244" s="312"/>
      <c r="E7244" s="312"/>
      <c r="F7244" s="312"/>
      <c r="G7244" s="328"/>
      <c r="H7244" s="453"/>
      <c r="I7244" s="334"/>
      <c r="J7244" s="314"/>
      <c r="K7244" s="454"/>
      <c r="M7244" s="349" t="str">
        <f>N7244&amp;AS[[#This Row],[Insurer Code]]&amp;"; "&amp;O7244&amp;AS[[#This Row],[Reporting Year]]&amp;"; "&amp;P7244&amp;AS[[#This Row],[Insurance Category Code]]&amp;"; "&amp;Q7244&amp;AS[[#This Row],[Large Provider Entity Code]]&amp;"; "&amp;R7244&amp;AS[[#This Row],[Age Band Code]]&amp;"; "&amp;S7244&amp;AS[[#This Row],[Sex Code]]</f>
        <v xml:space="preserve">Insurer Code ; Reporting Year ; Insurance Category Code ; Large Provider Entity Code ; Age Band Code ; Sex Code </v>
      </c>
      <c r="N7244" s="345" t="s">
        <v>207</v>
      </c>
      <c r="O7244" s="345" t="s">
        <v>208</v>
      </c>
      <c r="P7244" s="345" t="s">
        <v>209</v>
      </c>
      <c r="Q7244" s="345" t="s">
        <v>210</v>
      </c>
      <c r="R7244" s="345" t="s">
        <v>223</v>
      </c>
      <c r="S7244" s="345" t="s">
        <v>224</v>
      </c>
    </row>
    <row r="7245" spans="1:19" x14ac:dyDescent="0.25">
      <c r="A7245" s="311"/>
      <c r="B7245" s="312"/>
      <c r="C7245" s="312"/>
      <c r="D7245" s="312"/>
      <c r="E7245" s="312"/>
      <c r="F7245" s="312"/>
      <c r="G7245" s="328"/>
      <c r="H7245" s="453"/>
      <c r="I7245" s="334"/>
      <c r="J7245" s="314"/>
      <c r="K7245" s="454"/>
      <c r="M7245" s="349" t="str">
        <f>N7245&amp;AS[[#This Row],[Insurer Code]]&amp;"; "&amp;O7245&amp;AS[[#This Row],[Reporting Year]]&amp;"; "&amp;P7245&amp;AS[[#This Row],[Insurance Category Code]]&amp;"; "&amp;Q7245&amp;AS[[#This Row],[Large Provider Entity Code]]&amp;"; "&amp;R7245&amp;AS[[#This Row],[Age Band Code]]&amp;"; "&amp;S7245&amp;AS[[#This Row],[Sex Code]]</f>
        <v xml:space="preserve">Insurer Code ; Reporting Year ; Insurance Category Code ; Large Provider Entity Code ; Age Band Code ; Sex Code </v>
      </c>
      <c r="N7245" s="345" t="s">
        <v>207</v>
      </c>
      <c r="O7245" s="345" t="s">
        <v>208</v>
      </c>
      <c r="P7245" s="345" t="s">
        <v>209</v>
      </c>
      <c r="Q7245" s="345" t="s">
        <v>210</v>
      </c>
      <c r="R7245" s="345" t="s">
        <v>223</v>
      </c>
      <c r="S7245" s="345" t="s">
        <v>224</v>
      </c>
    </row>
    <row r="7246" spans="1:19" x14ac:dyDescent="0.25">
      <c r="A7246" s="311"/>
      <c r="B7246" s="312"/>
      <c r="C7246" s="312"/>
      <c r="D7246" s="312"/>
      <c r="E7246" s="312"/>
      <c r="F7246" s="312"/>
      <c r="G7246" s="328"/>
      <c r="H7246" s="453"/>
      <c r="I7246" s="334"/>
      <c r="J7246" s="314"/>
      <c r="K7246" s="454"/>
      <c r="M7246" s="349" t="str">
        <f>N7246&amp;AS[[#This Row],[Insurer Code]]&amp;"; "&amp;O7246&amp;AS[[#This Row],[Reporting Year]]&amp;"; "&amp;P7246&amp;AS[[#This Row],[Insurance Category Code]]&amp;"; "&amp;Q7246&amp;AS[[#This Row],[Large Provider Entity Code]]&amp;"; "&amp;R7246&amp;AS[[#This Row],[Age Band Code]]&amp;"; "&amp;S7246&amp;AS[[#This Row],[Sex Code]]</f>
        <v xml:space="preserve">Insurer Code ; Reporting Year ; Insurance Category Code ; Large Provider Entity Code ; Age Band Code ; Sex Code </v>
      </c>
      <c r="N7246" s="345" t="s">
        <v>207</v>
      </c>
      <c r="O7246" s="345" t="s">
        <v>208</v>
      </c>
      <c r="P7246" s="345" t="s">
        <v>209</v>
      </c>
      <c r="Q7246" s="345" t="s">
        <v>210</v>
      </c>
      <c r="R7246" s="345" t="s">
        <v>223</v>
      </c>
      <c r="S7246" s="345" t="s">
        <v>224</v>
      </c>
    </row>
    <row r="7247" spans="1:19" x14ac:dyDescent="0.25">
      <c r="A7247" s="311"/>
      <c r="B7247" s="312"/>
      <c r="C7247" s="312"/>
      <c r="D7247" s="312"/>
      <c r="E7247" s="312"/>
      <c r="F7247" s="312"/>
      <c r="G7247" s="328"/>
      <c r="H7247" s="453"/>
      <c r="I7247" s="334"/>
      <c r="J7247" s="314"/>
      <c r="K7247" s="454"/>
      <c r="M7247" s="349" t="str">
        <f>N7247&amp;AS[[#This Row],[Insurer Code]]&amp;"; "&amp;O7247&amp;AS[[#This Row],[Reporting Year]]&amp;"; "&amp;P7247&amp;AS[[#This Row],[Insurance Category Code]]&amp;"; "&amp;Q7247&amp;AS[[#This Row],[Large Provider Entity Code]]&amp;"; "&amp;R7247&amp;AS[[#This Row],[Age Band Code]]&amp;"; "&amp;S7247&amp;AS[[#This Row],[Sex Code]]</f>
        <v xml:space="preserve">Insurer Code ; Reporting Year ; Insurance Category Code ; Large Provider Entity Code ; Age Band Code ; Sex Code </v>
      </c>
      <c r="N7247" s="345" t="s">
        <v>207</v>
      </c>
      <c r="O7247" s="345" t="s">
        <v>208</v>
      </c>
      <c r="P7247" s="345" t="s">
        <v>209</v>
      </c>
      <c r="Q7247" s="345" t="s">
        <v>210</v>
      </c>
      <c r="R7247" s="345" t="s">
        <v>223</v>
      </c>
      <c r="S7247" s="345" t="s">
        <v>224</v>
      </c>
    </row>
    <row r="7248" spans="1:19" x14ac:dyDescent="0.25">
      <c r="A7248" s="311"/>
      <c r="B7248" s="312"/>
      <c r="C7248" s="312"/>
      <c r="D7248" s="312"/>
      <c r="E7248" s="312"/>
      <c r="F7248" s="312"/>
      <c r="G7248" s="328"/>
      <c r="H7248" s="453"/>
      <c r="I7248" s="334"/>
      <c r="J7248" s="314"/>
      <c r="K7248" s="454"/>
      <c r="M7248" s="349" t="str">
        <f>N7248&amp;AS[[#This Row],[Insurer Code]]&amp;"; "&amp;O7248&amp;AS[[#This Row],[Reporting Year]]&amp;"; "&amp;P7248&amp;AS[[#This Row],[Insurance Category Code]]&amp;"; "&amp;Q7248&amp;AS[[#This Row],[Large Provider Entity Code]]&amp;"; "&amp;R7248&amp;AS[[#This Row],[Age Band Code]]&amp;"; "&amp;S7248&amp;AS[[#This Row],[Sex Code]]</f>
        <v xml:space="preserve">Insurer Code ; Reporting Year ; Insurance Category Code ; Large Provider Entity Code ; Age Band Code ; Sex Code </v>
      </c>
      <c r="N7248" s="345" t="s">
        <v>207</v>
      </c>
      <c r="O7248" s="345" t="s">
        <v>208</v>
      </c>
      <c r="P7248" s="345" t="s">
        <v>209</v>
      </c>
      <c r="Q7248" s="345" t="s">
        <v>210</v>
      </c>
      <c r="R7248" s="345" t="s">
        <v>223</v>
      </c>
      <c r="S7248" s="345" t="s">
        <v>224</v>
      </c>
    </row>
    <row r="7249" spans="1:19" x14ac:dyDescent="0.25">
      <c r="A7249" s="311"/>
      <c r="B7249" s="312"/>
      <c r="C7249" s="312"/>
      <c r="D7249" s="312"/>
      <c r="E7249" s="312"/>
      <c r="F7249" s="312"/>
      <c r="G7249" s="328"/>
      <c r="H7249" s="453"/>
      <c r="I7249" s="334"/>
      <c r="J7249" s="314"/>
      <c r="K7249" s="454"/>
      <c r="M7249" s="349" t="str">
        <f>N7249&amp;AS[[#This Row],[Insurer Code]]&amp;"; "&amp;O7249&amp;AS[[#This Row],[Reporting Year]]&amp;"; "&amp;P7249&amp;AS[[#This Row],[Insurance Category Code]]&amp;"; "&amp;Q7249&amp;AS[[#This Row],[Large Provider Entity Code]]&amp;"; "&amp;R7249&amp;AS[[#This Row],[Age Band Code]]&amp;"; "&amp;S7249&amp;AS[[#This Row],[Sex Code]]</f>
        <v xml:space="preserve">Insurer Code ; Reporting Year ; Insurance Category Code ; Large Provider Entity Code ; Age Band Code ; Sex Code </v>
      </c>
      <c r="N7249" s="345" t="s">
        <v>207</v>
      </c>
      <c r="O7249" s="345" t="s">
        <v>208</v>
      </c>
      <c r="P7249" s="345" t="s">
        <v>209</v>
      </c>
      <c r="Q7249" s="345" t="s">
        <v>210</v>
      </c>
      <c r="R7249" s="345" t="s">
        <v>223</v>
      </c>
      <c r="S7249" s="345" t="s">
        <v>224</v>
      </c>
    </row>
    <row r="7250" spans="1:19" x14ac:dyDescent="0.25">
      <c r="A7250" s="311"/>
      <c r="B7250" s="312"/>
      <c r="C7250" s="312"/>
      <c r="D7250" s="312"/>
      <c r="E7250" s="312"/>
      <c r="F7250" s="312"/>
      <c r="G7250" s="328"/>
      <c r="H7250" s="453"/>
      <c r="I7250" s="334"/>
      <c r="J7250" s="314"/>
      <c r="K7250" s="454"/>
      <c r="M7250" s="349" t="str">
        <f>N7250&amp;AS[[#This Row],[Insurer Code]]&amp;"; "&amp;O7250&amp;AS[[#This Row],[Reporting Year]]&amp;"; "&amp;P7250&amp;AS[[#This Row],[Insurance Category Code]]&amp;"; "&amp;Q7250&amp;AS[[#This Row],[Large Provider Entity Code]]&amp;"; "&amp;R7250&amp;AS[[#This Row],[Age Band Code]]&amp;"; "&amp;S7250&amp;AS[[#This Row],[Sex Code]]</f>
        <v xml:space="preserve">Insurer Code ; Reporting Year ; Insurance Category Code ; Large Provider Entity Code ; Age Band Code ; Sex Code </v>
      </c>
      <c r="N7250" s="345" t="s">
        <v>207</v>
      </c>
      <c r="O7250" s="345" t="s">
        <v>208</v>
      </c>
      <c r="P7250" s="345" t="s">
        <v>209</v>
      </c>
      <c r="Q7250" s="345" t="s">
        <v>210</v>
      </c>
      <c r="R7250" s="345" t="s">
        <v>223</v>
      </c>
      <c r="S7250" s="345" t="s">
        <v>224</v>
      </c>
    </row>
    <row r="7251" spans="1:19" x14ac:dyDescent="0.25">
      <c r="A7251" s="311"/>
      <c r="B7251" s="312"/>
      <c r="C7251" s="312"/>
      <c r="D7251" s="312"/>
      <c r="E7251" s="312"/>
      <c r="F7251" s="312"/>
      <c r="G7251" s="328"/>
      <c r="H7251" s="453"/>
      <c r="I7251" s="334"/>
      <c r="J7251" s="314"/>
      <c r="K7251" s="454"/>
      <c r="M7251" s="349" t="str">
        <f>N7251&amp;AS[[#This Row],[Insurer Code]]&amp;"; "&amp;O7251&amp;AS[[#This Row],[Reporting Year]]&amp;"; "&amp;P7251&amp;AS[[#This Row],[Insurance Category Code]]&amp;"; "&amp;Q7251&amp;AS[[#This Row],[Large Provider Entity Code]]&amp;"; "&amp;R7251&amp;AS[[#This Row],[Age Band Code]]&amp;"; "&amp;S7251&amp;AS[[#This Row],[Sex Code]]</f>
        <v xml:space="preserve">Insurer Code ; Reporting Year ; Insurance Category Code ; Large Provider Entity Code ; Age Band Code ; Sex Code </v>
      </c>
      <c r="N7251" s="345" t="s">
        <v>207</v>
      </c>
      <c r="O7251" s="345" t="s">
        <v>208</v>
      </c>
      <c r="P7251" s="345" t="s">
        <v>209</v>
      </c>
      <c r="Q7251" s="345" t="s">
        <v>210</v>
      </c>
      <c r="R7251" s="345" t="s">
        <v>223</v>
      </c>
      <c r="S7251" s="345" t="s">
        <v>224</v>
      </c>
    </row>
    <row r="7252" spans="1:19" x14ac:dyDescent="0.25">
      <c r="A7252" s="311"/>
      <c r="B7252" s="312"/>
      <c r="C7252" s="312"/>
      <c r="D7252" s="312"/>
      <c r="E7252" s="312"/>
      <c r="F7252" s="312"/>
      <c r="G7252" s="328"/>
      <c r="H7252" s="453"/>
      <c r="I7252" s="334"/>
      <c r="J7252" s="314"/>
      <c r="K7252" s="454"/>
      <c r="M7252" s="349" t="str">
        <f>N7252&amp;AS[[#This Row],[Insurer Code]]&amp;"; "&amp;O7252&amp;AS[[#This Row],[Reporting Year]]&amp;"; "&amp;P7252&amp;AS[[#This Row],[Insurance Category Code]]&amp;"; "&amp;Q7252&amp;AS[[#This Row],[Large Provider Entity Code]]&amp;"; "&amp;R7252&amp;AS[[#This Row],[Age Band Code]]&amp;"; "&amp;S7252&amp;AS[[#This Row],[Sex Code]]</f>
        <v xml:space="preserve">Insurer Code ; Reporting Year ; Insurance Category Code ; Large Provider Entity Code ; Age Band Code ; Sex Code </v>
      </c>
      <c r="N7252" s="345" t="s">
        <v>207</v>
      </c>
      <c r="O7252" s="345" t="s">
        <v>208</v>
      </c>
      <c r="P7252" s="345" t="s">
        <v>209</v>
      </c>
      <c r="Q7252" s="345" t="s">
        <v>210</v>
      </c>
      <c r="R7252" s="345" t="s">
        <v>223</v>
      </c>
      <c r="S7252" s="345" t="s">
        <v>224</v>
      </c>
    </row>
    <row r="7253" spans="1:19" x14ac:dyDescent="0.25">
      <c r="A7253" s="311"/>
      <c r="B7253" s="312"/>
      <c r="C7253" s="312"/>
      <c r="D7253" s="312"/>
      <c r="E7253" s="312"/>
      <c r="F7253" s="312"/>
      <c r="G7253" s="328"/>
      <c r="H7253" s="453"/>
      <c r="I7253" s="334"/>
      <c r="J7253" s="314"/>
      <c r="K7253" s="454"/>
      <c r="M7253" s="349" t="str">
        <f>N7253&amp;AS[[#This Row],[Insurer Code]]&amp;"; "&amp;O7253&amp;AS[[#This Row],[Reporting Year]]&amp;"; "&amp;P7253&amp;AS[[#This Row],[Insurance Category Code]]&amp;"; "&amp;Q7253&amp;AS[[#This Row],[Large Provider Entity Code]]&amp;"; "&amp;R7253&amp;AS[[#This Row],[Age Band Code]]&amp;"; "&amp;S7253&amp;AS[[#This Row],[Sex Code]]</f>
        <v xml:space="preserve">Insurer Code ; Reporting Year ; Insurance Category Code ; Large Provider Entity Code ; Age Band Code ; Sex Code </v>
      </c>
      <c r="N7253" s="345" t="s">
        <v>207</v>
      </c>
      <c r="O7253" s="345" t="s">
        <v>208</v>
      </c>
      <c r="P7253" s="345" t="s">
        <v>209</v>
      </c>
      <c r="Q7253" s="345" t="s">
        <v>210</v>
      </c>
      <c r="R7253" s="345" t="s">
        <v>223</v>
      </c>
      <c r="S7253" s="345" t="s">
        <v>224</v>
      </c>
    </row>
    <row r="7254" spans="1:19" x14ac:dyDescent="0.25">
      <c r="A7254" s="311"/>
      <c r="B7254" s="312"/>
      <c r="C7254" s="312"/>
      <c r="D7254" s="312"/>
      <c r="E7254" s="312"/>
      <c r="F7254" s="312"/>
      <c r="G7254" s="328"/>
      <c r="H7254" s="453"/>
      <c r="I7254" s="334"/>
      <c r="J7254" s="314"/>
      <c r="K7254" s="454"/>
      <c r="M7254" s="349" t="str">
        <f>N7254&amp;AS[[#This Row],[Insurer Code]]&amp;"; "&amp;O7254&amp;AS[[#This Row],[Reporting Year]]&amp;"; "&amp;P7254&amp;AS[[#This Row],[Insurance Category Code]]&amp;"; "&amp;Q7254&amp;AS[[#This Row],[Large Provider Entity Code]]&amp;"; "&amp;R7254&amp;AS[[#This Row],[Age Band Code]]&amp;"; "&amp;S7254&amp;AS[[#This Row],[Sex Code]]</f>
        <v xml:space="preserve">Insurer Code ; Reporting Year ; Insurance Category Code ; Large Provider Entity Code ; Age Band Code ; Sex Code </v>
      </c>
      <c r="N7254" s="345" t="s">
        <v>207</v>
      </c>
      <c r="O7254" s="345" t="s">
        <v>208</v>
      </c>
      <c r="P7254" s="345" t="s">
        <v>209</v>
      </c>
      <c r="Q7254" s="345" t="s">
        <v>210</v>
      </c>
      <c r="R7254" s="345" t="s">
        <v>223</v>
      </c>
      <c r="S7254" s="345" t="s">
        <v>224</v>
      </c>
    </row>
    <row r="7255" spans="1:19" x14ac:dyDescent="0.25">
      <c r="A7255" s="311"/>
      <c r="B7255" s="312"/>
      <c r="C7255" s="312"/>
      <c r="D7255" s="312"/>
      <c r="E7255" s="312"/>
      <c r="F7255" s="312"/>
      <c r="G7255" s="328"/>
      <c r="H7255" s="453"/>
      <c r="I7255" s="334"/>
      <c r="J7255" s="314"/>
      <c r="K7255" s="454"/>
      <c r="M7255" s="349" t="str">
        <f>N7255&amp;AS[[#This Row],[Insurer Code]]&amp;"; "&amp;O7255&amp;AS[[#This Row],[Reporting Year]]&amp;"; "&amp;P7255&amp;AS[[#This Row],[Insurance Category Code]]&amp;"; "&amp;Q7255&amp;AS[[#This Row],[Large Provider Entity Code]]&amp;"; "&amp;R7255&amp;AS[[#This Row],[Age Band Code]]&amp;"; "&amp;S7255&amp;AS[[#This Row],[Sex Code]]</f>
        <v xml:space="preserve">Insurer Code ; Reporting Year ; Insurance Category Code ; Large Provider Entity Code ; Age Band Code ; Sex Code </v>
      </c>
      <c r="N7255" s="345" t="s">
        <v>207</v>
      </c>
      <c r="O7255" s="345" t="s">
        <v>208</v>
      </c>
      <c r="P7255" s="345" t="s">
        <v>209</v>
      </c>
      <c r="Q7255" s="345" t="s">
        <v>210</v>
      </c>
      <c r="R7255" s="345" t="s">
        <v>223</v>
      </c>
      <c r="S7255" s="345" t="s">
        <v>224</v>
      </c>
    </row>
    <row r="7256" spans="1:19" x14ac:dyDescent="0.25">
      <c r="A7256" s="311"/>
      <c r="B7256" s="312"/>
      <c r="C7256" s="312"/>
      <c r="D7256" s="312"/>
      <c r="E7256" s="312"/>
      <c r="F7256" s="312"/>
      <c r="G7256" s="328"/>
      <c r="H7256" s="453"/>
      <c r="I7256" s="334"/>
      <c r="J7256" s="314"/>
      <c r="K7256" s="454"/>
      <c r="M7256" s="349" t="str">
        <f>N7256&amp;AS[[#This Row],[Insurer Code]]&amp;"; "&amp;O7256&amp;AS[[#This Row],[Reporting Year]]&amp;"; "&amp;P7256&amp;AS[[#This Row],[Insurance Category Code]]&amp;"; "&amp;Q7256&amp;AS[[#This Row],[Large Provider Entity Code]]&amp;"; "&amp;R7256&amp;AS[[#This Row],[Age Band Code]]&amp;"; "&amp;S7256&amp;AS[[#This Row],[Sex Code]]</f>
        <v xml:space="preserve">Insurer Code ; Reporting Year ; Insurance Category Code ; Large Provider Entity Code ; Age Band Code ; Sex Code </v>
      </c>
      <c r="N7256" s="345" t="s">
        <v>207</v>
      </c>
      <c r="O7256" s="345" t="s">
        <v>208</v>
      </c>
      <c r="P7256" s="345" t="s">
        <v>209</v>
      </c>
      <c r="Q7256" s="345" t="s">
        <v>210</v>
      </c>
      <c r="R7256" s="345" t="s">
        <v>223</v>
      </c>
      <c r="S7256" s="345" t="s">
        <v>224</v>
      </c>
    </row>
    <row r="7257" spans="1:19" x14ac:dyDescent="0.25">
      <c r="A7257" s="311"/>
      <c r="B7257" s="312"/>
      <c r="C7257" s="312"/>
      <c r="D7257" s="312"/>
      <c r="E7257" s="312"/>
      <c r="F7257" s="312"/>
      <c r="G7257" s="328"/>
      <c r="H7257" s="453"/>
      <c r="I7257" s="334"/>
      <c r="J7257" s="314"/>
      <c r="K7257" s="454"/>
      <c r="M7257" s="349" t="str">
        <f>N7257&amp;AS[[#This Row],[Insurer Code]]&amp;"; "&amp;O7257&amp;AS[[#This Row],[Reporting Year]]&amp;"; "&amp;P7257&amp;AS[[#This Row],[Insurance Category Code]]&amp;"; "&amp;Q7257&amp;AS[[#This Row],[Large Provider Entity Code]]&amp;"; "&amp;R7257&amp;AS[[#This Row],[Age Band Code]]&amp;"; "&amp;S7257&amp;AS[[#This Row],[Sex Code]]</f>
        <v xml:space="preserve">Insurer Code ; Reporting Year ; Insurance Category Code ; Large Provider Entity Code ; Age Band Code ; Sex Code </v>
      </c>
      <c r="N7257" s="345" t="s">
        <v>207</v>
      </c>
      <c r="O7257" s="345" t="s">
        <v>208</v>
      </c>
      <c r="P7257" s="345" t="s">
        <v>209</v>
      </c>
      <c r="Q7257" s="345" t="s">
        <v>210</v>
      </c>
      <c r="R7257" s="345" t="s">
        <v>223</v>
      </c>
      <c r="S7257" s="345" t="s">
        <v>224</v>
      </c>
    </row>
    <row r="7258" spans="1:19" x14ac:dyDescent="0.25">
      <c r="A7258" s="311"/>
      <c r="B7258" s="312"/>
      <c r="C7258" s="312"/>
      <c r="D7258" s="312"/>
      <c r="E7258" s="312"/>
      <c r="F7258" s="312"/>
      <c r="G7258" s="328"/>
      <c r="H7258" s="453"/>
      <c r="I7258" s="334"/>
      <c r="J7258" s="314"/>
      <c r="K7258" s="454"/>
      <c r="M7258" s="349" t="str">
        <f>N7258&amp;AS[[#This Row],[Insurer Code]]&amp;"; "&amp;O7258&amp;AS[[#This Row],[Reporting Year]]&amp;"; "&amp;P7258&amp;AS[[#This Row],[Insurance Category Code]]&amp;"; "&amp;Q7258&amp;AS[[#This Row],[Large Provider Entity Code]]&amp;"; "&amp;R7258&amp;AS[[#This Row],[Age Band Code]]&amp;"; "&amp;S7258&amp;AS[[#This Row],[Sex Code]]</f>
        <v xml:space="preserve">Insurer Code ; Reporting Year ; Insurance Category Code ; Large Provider Entity Code ; Age Band Code ; Sex Code </v>
      </c>
      <c r="N7258" s="345" t="s">
        <v>207</v>
      </c>
      <c r="O7258" s="345" t="s">
        <v>208</v>
      </c>
      <c r="P7258" s="345" t="s">
        <v>209</v>
      </c>
      <c r="Q7258" s="345" t="s">
        <v>210</v>
      </c>
      <c r="R7258" s="345" t="s">
        <v>223</v>
      </c>
      <c r="S7258" s="345" t="s">
        <v>224</v>
      </c>
    </row>
    <row r="7259" spans="1:19" x14ac:dyDescent="0.25">
      <c r="A7259" s="311"/>
      <c r="B7259" s="312"/>
      <c r="C7259" s="312"/>
      <c r="D7259" s="312"/>
      <c r="E7259" s="312"/>
      <c r="F7259" s="312"/>
      <c r="G7259" s="328"/>
      <c r="H7259" s="453"/>
      <c r="I7259" s="334"/>
      <c r="J7259" s="314"/>
      <c r="K7259" s="454"/>
      <c r="M7259" s="349" t="str">
        <f>N7259&amp;AS[[#This Row],[Insurer Code]]&amp;"; "&amp;O7259&amp;AS[[#This Row],[Reporting Year]]&amp;"; "&amp;P7259&amp;AS[[#This Row],[Insurance Category Code]]&amp;"; "&amp;Q7259&amp;AS[[#This Row],[Large Provider Entity Code]]&amp;"; "&amp;R7259&amp;AS[[#This Row],[Age Band Code]]&amp;"; "&amp;S7259&amp;AS[[#This Row],[Sex Code]]</f>
        <v xml:space="preserve">Insurer Code ; Reporting Year ; Insurance Category Code ; Large Provider Entity Code ; Age Band Code ; Sex Code </v>
      </c>
      <c r="N7259" s="345" t="s">
        <v>207</v>
      </c>
      <c r="O7259" s="345" t="s">
        <v>208</v>
      </c>
      <c r="P7259" s="345" t="s">
        <v>209</v>
      </c>
      <c r="Q7259" s="345" t="s">
        <v>210</v>
      </c>
      <c r="R7259" s="345" t="s">
        <v>223</v>
      </c>
      <c r="S7259" s="345" t="s">
        <v>224</v>
      </c>
    </row>
    <row r="7260" spans="1:19" x14ac:dyDescent="0.25">
      <c r="A7260" s="311"/>
      <c r="B7260" s="312"/>
      <c r="C7260" s="312"/>
      <c r="D7260" s="312"/>
      <c r="E7260" s="312"/>
      <c r="F7260" s="312"/>
      <c r="G7260" s="328"/>
      <c r="H7260" s="453"/>
      <c r="I7260" s="334"/>
      <c r="J7260" s="314"/>
      <c r="K7260" s="454"/>
      <c r="M7260" s="349" t="str">
        <f>N7260&amp;AS[[#This Row],[Insurer Code]]&amp;"; "&amp;O7260&amp;AS[[#This Row],[Reporting Year]]&amp;"; "&amp;P7260&amp;AS[[#This Row],[Insurance Category Code]]&amp;"; "&amp;Q7260&amp;AS[[#This Row],[Large Provider Entity Code]]&amp;"; "&amp;R7260&amp;AS[[#This Row],[Age Band Code]]&amp;"; "&amp;S7260&amp;AS[[#This Row],[Sex Code]]</f>
        <v xml:space="preserve">Insurer Code ; Reporting Year ; Insurance Category Code ; Large Provider Entity Code ; Age Band Code ; Sex Code </v>
      </c>
      <c r="N7260" s="345" t="s">
        <v>207</v>
      </c>
      <c r="O7260" s="345" t="s">
        <v>208</v>
      </c>
      <c r="P7260" s="345" t="s">
        <v>209</v>
      </c>
      <c r="Q7260" s="345" t="s">
        <v>210</v>
      </c>
      <c r="R7260" s="345" t="s">
        <v>223</v>
      </c>
      <c r="S7260" s="345" t="s">
        <v>224</v>
      </c>
    </row>
    <row r="7261" spans="1:19" x14ac:dyDescent="0.25">
      <c r="A7261" s="311"/>
      <c r="B7261" s="312"/>
      <c r="C7261" s="312"/>
      <c r="D7261" s="312"/>
      <c r="E7261" s="312"/>
      <c r="F7261" s="312"/>
      <c r="G7261" s="328"/>
      <c r="H7261" s="453"/>
      <c r="I7261" s="334"/>
      <c r="J7261" s="314"/>
      <c r="K7261" s="454"/>
      <c r="M7261" s="349" t="str">
        <f>N7261&amp;AS[[#This Row],[Insurer Code]]&amp;"; "&amp;O7261&amp;AS[[#This Row],[Reporting Year]]&amp;"; "&amp;P7261&amp;AS[[#This Row],[Insurance Category Code]]&amp;"; "&amp;Q7261&amp;AS[[#This Row],[Large Provider Entity Code]]&amp;"; "&amp;R7261&amp;AS[[#This Row],[Age Band Code]]&amp;"; "&amp;S7261&amp;AS[[#This Row],[Sex Code]]</f>
        <v xml:space="preserve">Insurer Code ; Reporting Year ; Insurance Category Code ; Large Provider Entity Code ; Age Band Code ; Sex Code </v>
      </c>
      <c r="N7261" s="345" t="s">
        <v>207</v>
      </c>
      <c r="O7261" s="345" t="s">
        <v>208</v>
      </c>
      <c r="P7261" s="345" t="s">
        <v>209</v>
      </c>
      <c r="Q7261" s="345" t="s">
        <v>210</v>
      </c>
      <c r="R7261" s="345" t="s">
        <v>223</v>
      </c>
      <c r="S7261" s="345" t="s">
        <v>224</v>
      </c>
    </row>
    <row r="7262" spans="1:19" x14ac:dyDescent="0.25">
      <c r="A7262" s="311"/>
      <c r="B7262" s="312"/>
      <c r="C7262" s="312"/>
      <c r="D7262" s="312"/>
      <c r="E7262" s="312"/>
      <c r="F7262" s="312"/>
      <c r="G7262" s="328"/>
      <c r="H7262" s="453"/>
      <c r="I7262" s="334"/>
      <c r="J7262" s="314"/>
      <c r="K7262" s="454"/>
      <c r="M7262" s="349" t="str">
        <f>N7262&amp;AS[[#This Row],[Insurer Code]]&amp;"; "&amp;O7262&amp;AS[[#This Row],[Reporting Year]]&amp;"; "&amp;P7262&amp;AS[[#This Row],[Insurance Category Code]]&amp;"; "&amp;Q7262&amp;AS[[#This Row],[Large Provider Entity Code]]&amp;"; "&amp;R7262&amp;AS[[#This Row],[Age Band Code]]&amp;"; "&amp;S7262&amp;AS[[#This Row],[Sex Code]]</f>
        <v xml:space="preserve">Insurer Code ; Reporting Year ; Insurance Category Code ; Large Provider Entity Code ; Age Band Code ; Sex Code </v>
      </c>
      <c r="N7262" s="345" t="s">
        <v>207</v>
      </c>
      <c r="O7262" s="345" t="s">
        <v>208</v>
      </c>
      <c r="P7262" s="345" t="s">
        <v>209</v>
      </c>
      <c r="Q7262" s="345" t="s">
        <v>210</v>
      </c>
      <c r="R7262" s="345" t="s">
        <v>223</v>
      </c>
      <c r="S7262" s="345" t="s">
        <v>224</v>
      </c>
    </row>
    <row r="7263" spans="1:19" x14ac:dyDescent="0.25">
      <c r="A7263" s="311"/>
      <c r="B7263" s="312"/>
      <c r="C7263" s="312"/>
      <c r="D7263" s="312"/>
      <c r="E7263" s="312"/>
      <c r="F7263" s="312"/>
      <c r="G7263" s="328"/>
      <c r="H7263" s="453"/>
      <c r="I7263" s="334"/>
      <c r="J7263" s="314"/>
      <c r="K7263" s="454"/>
      <c r="M7263" s="349" t="str">
        <f>N7263&amp;AS[[#This Row],[Insurer Code]]&amp;"; "&amp;O7263&amp;AS[[#This Row],[Reporting Year]]&amp;"; "&amp;P7263&amp;AS[[#This Row],[Insurance Category Code]]&amp;"; "&amp;Q7263&amp;AS[[#This Row],[Large Provider Entity Code]]&amp;"; "&amp;R7263&amp;AS[[#This Row],[Age Band Code]]&amp;"; "&amp;S7263&amp;AS[[#This Row],[Sex Code]]</f>
        <v xml:space="preserve">Insurer Code ; Reporting Year ; Insurance Category Code ; Large Provider Entity Code ; Age Band Code ; Sex Code </v>
      </c>
      <c r="N7263" s="345" t="s">
        <v>207</v>
      </c>
      <c r="O7263" s="345" t="s">
        <v>208</v>
      </c>
      <c r="P7263" s="345" t="s">
        <v>209</v>
      </c>
      <c r="Q7263" s="345" t="s">
        <v>210</v>
      </c>
      <c r="R7263" s="345" t="s">
        <v>223</v>
      </c>
      <c r="S7263" s="345" t="s">
        <v>224</v>
      </c>
    </row>
    <row r="7264" spans="1:19" x14ac:dyDescent="0.25">
      <c r="A7264" s="311"/>
      <c r="B7264" s="312"/>
      <c r="C7264" s="312"/>
      <c r="D7264" s="312"/>
      <c r="E7264" s="312"/>
      <c r="F7264" s="312"/>
      <c r="G7264" s="328"/>
      <c r="H7264" s="453"/>
      <c r="I7264" s="334"/>
      <c r="J7264" s="314"/>
      <c r="K7264" s="454"/>
      <c r="M7264" s="349" t="str">
        <f>N7264&amp;AS[[#This Row],[Insurer Code]]&amp;"; "&amp;O7264&amp;AS[[#This Row],[Reporting Year]]&amp;"; "&amp;P7264&amp;AS[[#This Row],[Insurance Category Code]]&amp;"; "&amp;Q7264&amp;AS[[#This Row],[Large Provider Entity Code]]&amp;"; "&amp;R7264&amp;AS[[#This Row],[Age Band Code]]&amp;"; "&amp;S7264&amp;AS[[#This Row],[Sex Code]]</f>
        <v xml:space="preserve">Insurer Code ; Reporting Year ; Insurance Category Code ; Large Provider Entity Code ; Age Band Code ; Sex Code </v>
      </c>
      <c r="N7264" s="345" t="s">
        <v>207</v>
      </c>
      <c r="O7264" s="345" t="s">
        <v>208</v>
      </c>
      <c r="P7264" s="345" t="s">
        <v>209</v>
      </c>
      <c r="Q7264" s="345" t="s">
        <v>210</v>
      </c>
      <c r="R7264" s="345" t="s">
        <v>223</v>
      </c>
      <c r="S7264" s="345" t="s">
        <v>224</v>
      </c>
    </row>
    <row r="7265" spans="1:19" x14ac:dyDescent="0.25">
      <c r="A7265" s="311"/>
      <c r="B7265" s="312"/>
      <c r="C7265" s="312"/>
      <c r="D7265" s="312"/>
      <c r="E7265" s="312"/>
      <c r="F7265" s="312"/>
      <c r="G7265" s="328"/>
      <c r="H7265" s="453"/>
      <c r="I7265" s="334"/>
      <c r="J7265" s="314"/>
      <c r="K7265" s="454"/>
      <c r="M7265" s="349" t="str">
        <f>N7265&amp;AS[[#This Row],[Insurer Code]]&amp;"; "&amp;O7265&amp;AS[[#This Row],[Reporting Year]]&amp;"; "&amp;P7265&amp;AS[[#This Row],[Insurance Category Code]]&amp;"; "&amp;Q7265&amp;AS[[#This Row],[Large Provider Entity Code]]&amp;"; "&amp;R7265&amp;AS[[#This Row],[Age Band Code]]&amp;"; "&amp;S7265&amp;AS[[#This Row],[Sex Code]]</f>
        <v xml:space="preserve">Insurer Code ; Reporting Year ; Insurance Category Code ; Large Provider Entity Code ; Age Band Code ; Sex Code </v>
      </c>
      <c r="N7265" s="345" t="s">
        <v>207</v>
      </c>
      <c r="O7265" s="345" t="s">
        <v>208</v>
      </c>
      <c r="P7265" s="345" t="s">
        <v>209</v>
      </c>
      <c r="Q7265" s="345" t="s">
        <v>210</v>
      </c>
      <c r="R7265" s="345" t="s">
        <v>223</v>
      </c>
      <c r="S7265" s="345" t="s">
        <v>224</v>
      </c>
    </row>
    <row r="7266" spans="1:19" x14ac:dyDescent="0.25">
      <c r="A7266" s="311"/>
      <c r="B7266" s="312"/>
      <c r="C7266" s="312"/>
      <c r="D7266" s="312"/>
      <c r="E7266" s="312"/>
      <c r="F7266" s="312"/>
      <c r="G7266" s="328"/>
      <c r="H7266" s="453"/>
      <c r="I7266" s="334"/>
      <c r="J7266" s="314"/>
      <c r="K7266" s="454"/>
      <c r="M7266" s="349" t="str">
        <f>N7266&amp;AS[[#This Row],[Insurer Code]]&amp;"; "&amp;O7266&amp;AS[[#This Row],[Reporting Year]]&amp;"; "&amp;P7266&amp;AS[[#This Row],[Insurance Category Code]]&amp;"; "&amp;Q7266&amp;AS[[#This Row],[Large Provider Entity Code]]&amp;"; "&amp;R7266&amp;AS[[#This Row],[Age Band Code]]&amp;"; "&amp;S7266&amp;AS[[#This Row],[Sex Code]]</f>
        <v xml:space="preserve">Insurer Code ; Reporting Year ; Insurance Category Code ; Large Provider Entity Code ; Age Band Code ; Sex Code </v>
      </c>
      <c r="N7266" s="345" t="s">
        <v>207</v>
      </c>
      <c r="O7266" s="345" t="s">
        <v>208</v>
      </c>
      <c r="P7266" s="345" t="s">
        <v>209</v>
      </c>
      <c r="Q7266" s="345" t="s">
        <v>210</v>
      </c>
      <c r="R7266" s="345" t="s">
        <v>223</v>
      </c>
      <c r="S7266" s="345" t="s">
        <v>224</v>
      </c>
    </row>
    <row r="7267" spans="1:19" x14ac:dyDescent="0.25">
      <c r="A7267" s="311"/>
      <c r="B7267" s="312"/>
      <c r="C7267" s="312"/>
      <c r="D7267" s="312"/>
      <c r="E7267" s="312"/>
      <c r="F7267" s="312"/>
      <c r="G7267" s="328"/>
      <c r="H7267" s="453"/>
      <c r="I7267" s="334"/>
      <c r="J7267" s="314"/>
      <c r="K7267" s="454"/>
      <c r="M7267" s="349" t="str">
        <f>N7267&amp;AS[[#This Row],[Insurer Code]]&amp;"; "&amp;O7267&amp;AS[[#This Row],[Reporting Year]]&amp;"; "&amp;P7267&amp;AS[[#This Row],[Insurance Category Code]]&amp;"; "&amp;Q7267&amp;AS[[#This Row],[Large Provider Entity Code]]&amp;"; "&amp;R7267&amp;AS[[#This Row],[Age Band Code]]&amp;"; "&amp;S7267&amp;AS[[#This Row],[Sex Code]]</f>
        <v xml:space="preserve">Insurer Code ; Reporting Year ; Insurance Category Code ; Large Provider Entity Code ; Age Band Code ; Sex Code </v>
      </c>
      <c r="N7267" s="345" t="s">
        <v>207</v>
      </c>
      <c r="O7267" s="345" t="s">
        <v>208</v>
      </c>
      <c r="P7267" s="345" t="s">
        <v>209</v>
      </c>
      <c r="Q7267" s="345" t="s">
        <v>210</v>
      </c>
      <c r="R7267" s="345" t="s">
        <v>223</v>
      </c>
      <c r="S7267" s="345" t="s">
        <v>224</v>
      </c>
    </row>
    <row r="7268" spans="1:19" x14ac:dyDescent="0.25">
      <c r="A7268" s="311"/>
      <c r="B7268" s="312"/>
      <c r="C7268" s="312"/>
      <c r="D7268" s="312"/>
      <c r="E7268" s="312"/>
      <c r="F7268" s="312"/>
      <c r="G7268" s="328"/>
      <c r="H7268" s="453"/>
      <c r="I7268" s="334"/>
      <c r="J7268" s="314"/>
      <c r="K7268" s="454"/>
      <c r="M7268" s="349" t="str">
        <f>N7268&amp;AS[[#This Row],[Insurer Code]]&amp;"; "&amp;O7268&amp;AS[[#This Row],[Reporting Year]]&amp;"; "&amp;P7268&amp;AS[[#This Row],[Insurance Category Code]]&amp;"; "&amp;Q7268&amp;AS[[#This Row],[Large Provider Entity Code]]&amp;"; "&amp;R7268&amp;AS[[#This Row],[Age Band Code]]&amp;"; "&amp;S7268&amp;AS[[#This Row],[Sex Code]]</f>
        <v xml:space="preserve">Insurer Code ; Reporting Year ; Insurance Category Code ; Large Provider Entity Code ; Age Band Code ; Sex Code </v>
      </c>
      <c r="N7268" s="345" t="s">
        <v>207</v>
      </c>
      <c r="O7268" s="345" t="s">
        <v>208</v>
      </c>
      <c r="P7268" s="345" t="s">
        <v>209</v>
      </c>
      <c r="Q7268" s="345" t="s">
        <v>210</v>
      </c>
      <c r="R7268" s="345" t="s">
        <v>223</v>
      </c>
      <c r="S7268" s="345" t="s">
        <v>224</v>
      </c>
    </row>
    <row r="7269" spans="1:19" x14ac:dyDescent="0.25">
      <c r="A7269" s="311"/>
      <c r="B7269" s="312"/>
      <c r="C7269" s="312"/>
      <c r="D7269" s="312"/>
      <c r="E7269" s="312"/>
      <c r="F7269" s="312"/>
      <c r="G7269" s="328"/>
      <c r="H7269" s="453"/>
      <c r="I7269" s="334"/>
      <c r="J7269" s="314"/>
      <c r="K7269" s="454"/>
      <c r="M7269" s="349" t="str">
        <f>N7269&amp;AS[[#This Row],[Insurer Code]]&amp;"; "&amp;O7269&amp;AS[[#This Row],[Reporting Year]]&amp;"; "&amp;P7269&amp;AS[[#This Row],[Insurance Category Code]]&amp;"; "&amp;Q7269&amp;AS[[#This Row],[Large Provider Entity Code]]&amp;"; "&amp;R7269&amp;AS[[#This Row],[Age Band Code]]&amp;"; "&amp;S7269&amp;AS[[#This Row],[Sex Code]]</f>
        <v xml:space="preserve">Insurer Code ; Reporting Year ; Insurance Category Code ; Large Provider Entity Code ; Age Band Code ; Sex Code </v>
      </c>
      <c r="N7269" s="345" t="s">
        <v>207</v>
      </c>
      <c r="O7269" s="345" t="s">
        <v>208</v>
      </c>
      <c r="P7269" s="345" t="s">
        <v>209</v>
      </c>
      <c r="Q7269" s="345" t="s">
        <v>210</v>
      </c>
      <c r="R7269" s="345" t="s">
        <v>223</v>
      </c>
      <c r="S7269" s="345" t="s">
        <v>224</v>
      </c>
    </row>
    <row r="7270" spans="1:19" x14ac:dyDescent="0.25">
      <c r="A7270" s="311"/>
      <c r="B7270" s="312"/>
      <c r="C7270" s="312"/>
      <c r="D7270" s="312"/>
      <c r="E7270" s="312"/>
      <c r="F7270" s="312"/>
      <c r="G7270" s="328"/>
      <c r="H7270" s="453"/>
      <c r="I7270" s="334"/>
      <c r="J7270" s="314"/>
      <c r="K7270" s="454"/>
      <c r="M7270" s="349" t="str">
        <f>N7270&amp;AS[[#This Row],[Insurer Code]]&amp;"; "&amp;O7270&amp;AS[[#This Row],[Reporting Year]]&amp;"; "&amp;P7270&amp;AS[[#This Row],[Insurance Category Code]]&amp;"; "&amp;Q7270&amp;AS[[#This Row],[Large Provider Entity Code]]&amp;"; "&amp;R7270&amp;AS[[#This Row],[Age Band Code]]&amp;"; "&amp;S7270&amp;AS[[#This Row],[Sex Code]]</f>
        <v xml:space="preserve">Insurer Code ; Reporting Year ; Insurance Category Code ; Large Provider Entity Code ; Age Band Code ; Sex Code </v>
      </c>
      <c r="N7270" s="345" t="s">
        <v>207</v>
      </c>
      <c r="O7270" s="345" t="s">
        <v>208</v>
      </c>
      <c r="P7270" s="345" t="s">
        <v>209</v>
      </c>
      <c r="Q7270" s="345" t="s">
        <v>210</v>
      </c>
      <c r="R7270" s="345" t="s">
        <v>223</v>
      </c>
      <c r="S7270" s="345" t="s">
        <v>224</v>
      </c>
    </row>
    <row r="7271" spans="1:19" x14ac:dyDescent="0.25">
      <c r="A7271" s="311"/>
      <c r="B7271" s="312"/>
      <c r="C7271" s="312"/>
      <c r="D7271" s="312"/>
      <c r="E7271" s="312"/>
      <c r="F7271" s="312"/>
      <c r="G7271" s="328"/>
      <c r="H7271" s="453"/>
      <c r="I7271" s="334"/>
      <c r="J7271" s="314"/>
      <c r="K7271" s="454"/>
      <c r="M7271" s="349" t="str">
        <f>N7271&amp;AS[[#This Row],[Insurer Code]]&amp;"; "&amp;O7271&amp;AS[[#This Row],[Reporting Year]]&amp;"; "&amp;P7271&amp;AS[[#This Row],[Insurance Category Code]]&amp;"; "&amp;Q7271&amp;AS[[#This Row],[Large Provider Entity Code]]&amp;"; "&amp;R7271&amp;AS[[#This Row],[Age Band Code]]&amp;"; "&amp;S7271&amp;AS[[#This Row],[Sex Code]]</f>
        <v xml:space="preserve">Insurer Code ; Reporting Year ; Insurance Category Code ; Large Provider Entity Code ; Age Band Code ; Sex Code </v>
      </c>
      <c r="N7271" s="345" t="s">
        <v>207</v>
      </c>
      <c r="O7271" s="345" t="s">
        <v>208</v>
      </c>
      <c r="P7271" s="345" t="s">
        <v>209</v>
      </c>
      <c r="Q7271" s="345" t="s">
        <v>210</v>
      </c>
      <c r="R7271" s="345" t="s">
        <v>223</v>
      </c>
      <c r="S7271" s="345" t="s">
        <v>224</v>
      </c>
    </row>
    <row r="7272" spans="1:19" x14ac:dyDescent="0.25">
      <c r="A7272" s="311"/>
      <c r="B7272" s="312"/>
      <c r="C7272" s="312"/>
      <c r="D7272" s="312"/>
      <c r="E7272" s="312"/>
      <c r="F7272" s="312"/>
      <c r="G7272" s="328"/>
      <c r="H7272" s="453"/>
      <c r="I7272" s="334"/>
      <c r="J7272" s="314"/>
      <c r="K7272" s="454"/>
      <c r="M7272" s="349" t="str">
        <f>N7272&amp;AS[[#This Row],[Insurer Code]]&amp;"; "&amp;O7272&amp;AS[[#This Row],[Reporting Year]]&amp;"; "&amp;P7272&amp;AS[[#This Row],[Insurance Category Code]]&amp;"; "&amp;Q7272&amp;AS[[#This Row],[Large Provider Entity Code]]&amp;"; "&amp;R7272&amp;AS[[#This Row],[Age Band Code]]&amp;"; "&amp;S7272&amp;AS[[#This Row],[Sex Code]]</f>
        <v xml:space="preserve">Insurer Code ; Reporting Year ; Insurance Category Code ; Large Provider Entity Code ; Age Band Code ; Sex Code </v>
      </c>
      <c r="N7272" s="345" t="s">
        <v>207</v>
      </c>
      <c r="O7272" s="345" t="s">
        <v>208</v>
      </c>
      <c r="P7272" s="345" t="s">
        <v>209</v>
      </c>
      <c r="Q7272" s="345" t="s">
        <v>210</v>
      </c>
      <c r="R7272" s="345" t="s">
        <v>223</v>
      </c>
      <c r="S7272" s="345" t="s">
        <v>224</v>
      </c>
    </row>
    <row r="7273" spans="1:19" x14ac:dyDescent="0.25">
      <c r="A7273" s="311"/>
      <c r="B7273" s="312"/>
      <c r="C7273" s="312"/>
      <c r="D7273" s="312"/>
      <c r="E7273" s="312"/>
      <c r="F7273" s="312"/>
      <c r="G7273" s="328"/>
      <c r="H7273" s="453"/>
      <c r="I7273" s="334"/>
      <c r="J7273" s="314"/>
      <c r="K7273" s="454"/>
      <c r="M7273" s="349" t="str">
        <f>N7273&amp;AS[[#This Row],[Insurer Code]]&amp;"; "&amp;O7273&amp;AS[[#This Row],[Reporting Year]]&amp;"; "&amp;P7273&amp;AS[[#This Row],[Insurance Category Code]]&amp;"; "&amp;Q7273&amp;AS[[#This Row],[Large Provider Entity Code]]&amp;"; "&amp;R7273&amp;AS[[#This Row],[Age Band Code]]&amp;"; "&amp;S7273&amp;AS[[#This Row],[Sex Code]]</f>
        <v xml:space="preserve">Insurer Code ; Reporting Year ; Insurance Category Code ; Large Provider Entity Code ; Age Band Code ; Sex Code </v>
      </c>
      <c r="N7273" s="345" t="s">
        <v>207</v>
      </c>
      <c r="O7273" s="345" t="s">
        <v>208</v>
      </c>
      <c r="P7273" s="345" t="s">
        <v>209</v>
      </c>
      <c r="Q7273" s="345" t="s">
        <v>210</v>
      </c>
      <c r="R7273" s="345" t="s">
        <v>223</v>
      </c>
      <c r="S7273" s="345" t="s">
        <v>224</v>
      </c>
    </row>
    <row r="7274" spans="1:19" x14ac:dyDescent="0.25">
      <c r="A7274" s="311"/>
      <c r="B7274" s="312"/>
      <c r="C7274" s="312"/>
      <c r="D7274" s="312"/>
      <c r="E7274" s="312"/>
      <c r="F7274" s="312"/>
      <c r="G7274" s="328"/>
      <c r="H7274" s="453"/>
      <c r="I7274" s="334"/>
      <c r="J7274" s="314"/>
      <c r="K7274" s="454"/>
      <c r="M7274" s="349" t="str">
        <f>N7274&amp;AS[[#This Row],[Insurer Code]]&amp;"; "&amp;O7274&amp;AS[[#This Row],[Reporting Year]]&amp;"; "&amp;P7274&amp;AS[[#This Row],[Insurance Category Code]]&amp;"; "&amp;Q7274&amp;AS[[#This Row],[Large Provider Entity Code]]&amp;"; "&amp;R7274&amp;AS[[#This Row],[Age Band Code]]&amp;"; "&amp;S7274&amp;AS[[#This Row],[Sex Code]]</f>
        <v xml:space="preserve">Insurer Code ; Reporting Year ; Insurance Category Code ; Large Provider Entity Code ; Age Band Code ; Sex Code </v>
      </c>
      <c r="N7274" s="345" t="s">
        <v>207</v>
      </c>
      <c r="O7274" s="345" t="s">
        <v>208</v>
      </c>
      <c r="P7274" s="345" t="s">
        <v>209</v>
      </c>
      <c r="Q7274" s="345" t="s">
        <v>210</v>
      </c>
      <c r="R7274" s="345" t="s">
        <v>223</v>
      </c>
      <c r="S7274" s="345" t="s">
        <v>224</v>
      </c>
    </row>
    <row r="7275" spans="1:19" x14ac:dyDescent="0.25">
      <c r="A7275" s="311"/>
      <c r="B7275" s="312"/>
      <c r="C7275" s="312"/>
      <c r="D7275" s="312"/>
      <c r="E7275" s="312"/>
      <c r="F7275" s="312"/>
      <c r="G7275" s="328"/>
      <c r="H7275" s="453"/>
      <c r="I7275" s="334"/>
      <c r="J7275" s="314"/>
      <c r="K7275" s="454"/>
      <c r="M7275" s="349" t="str">
        <f>N7275&amp;AS[[#This Row],[Insurer Code]]&amp;"; "&amp;O7275&amp;AS[[#This Row],[Reporting Year]]&amp;"; "&amp;P7275&amp;AS[[#This Row],[Insurance Category Code]]&amp;"; "&amp;Q7275&amp;AS[[#This Row],[Large Provider Entity Code]]&amp;"; "&amp;R7275&amp;AS[[#This Row],[Age Band Code]]&amp;"; "&amp;S7275&amp;AS[[#This Row],[Sex Code]]</f>
        <v xml:space="preserve">Insurer Code ; Reporting Year ; Insurance Category Code ; Large Provider Entity Code ; Age Band Code ; Sex Code </v>
      </c>
      <c r="N7275" s="345" t="s">
        <v>207</v>
      </c>
      <c r="O7275" s="345" t="s">
        <v>208</v>
      </c>
      <c r="P7275" s="345" t="s">
        <v>209</v>
      </c>
      <c r="Q7275" s="345" t="s">
        <v>210</v>
      </c>
      <c r="R7275" s="345" t="s">
        <v>223</v>
      </c>
      <c r="S7275" s="345" t="s">
        <v>224</v>
      </c>
    </row>
    <row r="7276" spans="1:19" x14ac:dyDescent="0.25">
      <c r="A7276" s="311"/>
      <c r="B7276" s="312"/>
      <c r="C7276" s="312"/>
      <c r="D7276" s="312"/>
      <c r="E7276" s="312"/>
      <c r="F7276" s="312"/>
      <c r="G7276" s="328"/>
      <c r="H7276" s="453"/>
      <c r="I7276" s="334"/>
      <c r="J7276" s="314"/>
      <c r="K7276" s="454"/>
      <c r="M7276" s="349" t="str">
        <f>N7276&amp;AS[[#This Row],[Insurer Code]]&amp;"; "&amp;O7276&amp;AS[[#This Row],[Reporting Year]]&amp;"; "&amp;P7276&amp;AS[[#This Row],[Insurance Category Code]]&amp;"; "&amp;Q7276&amp;AS[[#This Row],[Large Provider Entity Code]]&amp;"; "&amp;R7276&amp;AS[[#This Row],[Age Band Code]]&amp;"; "&amp;S7276&amp;AS[[#This Row],[Sex Code]]</f>
        <v xml:space="preserve">Insurer Code ; Reporting Year ; Insurance Category Code ; Large Provider Entity Code ; Age Band Code ; Sex Code </v>
      </c>
      <c r="N7276" s="345" t="s">
        <v>207</v>
      </c>
      <c r="O7276" s="345" t="s">
        <v>208</v>
      </c>
      <c r="P7276" s="345" t="s">
        <v>209</v>
      </c>
      <c r="Q7276" s="345" t="s">
        <v>210</v>
      </c>
      <c r="R7276" s="345" t="s">
        <v>223</v>
      </c>
      <c r="S7276" s="345" t="s">
        <v>224</v>
      </c>
    </row>
    <row r="7277" spans="1:19" x14ac:dyDescent="0.25">
      <c r="A7277" s="311"/>
      <c r="B7277" s="312"/>
      <c r="C7277" s="312"/>
      <c r="D7277" s="312"/>
      <c r="E7277" s="312"/>
      <c r="F7277" s="312"/>
      <c r="G7277" s="328"/>
      <c r="H7277" s="453"/>
      <c r="I7277" s="334"/>
      <c r="J7277" s="314"/>
      <c r="K7277" s="454"/>
      <c r="M7277" s="349" t="str">
        <f>N7277&amp;AS[[#This Row],[Insurer Code]]&amp;"; "&amp;O7277&amp;AS[[#This Row],[Reporting Year]]&amp;"; "&amp;P7277&amp;AS[[#This Row],[Insurance Category Code]]&amp;"; "&amp;Q7277&amp;AS[[#This Row],[Large Provider Entity Code]]&amp;"; "&amp;R7277&amp;AS[[#This Row],[Age Band Code]]&amp;"; "&amp;S7277&amp;AS[[#This Row],[Sex Code]]</f>
        <v xml:space="preserve">Insurer Code ; Reporting Year ; Insurance Category Code ; Large Provider Entity Code ; Age Band Code ; Sex Code </v>
      </c>
      <c r="N7277" s="345" t="s">
        <v>207</v>
      </c>
      <c r="O7277" s="345" t="s">
        <v>208</v>
      </c>
      <c r="P7277" s="345" t="s">
        <v>209</v>
      </c>
      <c r="Q7277" s="345" t="s">
        <v>210</v>
      </c>
      <c r="R7277" s="345" t="s">
        <v>223</v>
      </c>
      <c r="S7277" s="345" t="s">
        <v>224</v>
      </c>
    </row>
    <row r="7278" spans="1:19" x14ac:dyDescent="0.25">
      <c r="A7278" s="311"/>
      <c r="B7278" s="312"/>
      <c r="C7278" s="312"/>
      <c r="D7278" s="312"/>
      <c r="E7278" s="312"/>
      <c r="F7278" s="312"/>
      <c r="G7278" s="328"/>
      <c r="H7278" s="453"/>
      <c r="I7278" s="334"/>
      <c r="J7278" s="314"/>
      <c r="K7278" s="454"/>
      <c r="M7278" s="349" t="str">
        <f>N7278&amp;AS[[#This Row],[Insurer Code]]&amp;"; "&amp;O7278&amp;AS[[#This Row],[Reporting Year]]&amp;"; "&amp;P7278&amp;AS[[#This Row],[Insurance Category Code]]&amp;"; "&amp;Q7278&amp;AS[[#This Row],[Large Provider Entity Code]]&amp;"; "&amp;R7278&amp;AS[[#This Row],[Age Band Code]]&amp;"; "&amp;S7278&amp;AS[[#This Row],[Sex Code]]</f>
        <v xml:space="preserve">Insurer Code ; Reporting Year ; Insurance Category Code ; Large Provider Entity Code ; Age Band Code ; Sex Code </v>
      </c>
      <c r="N7278" s="345" t="s">
        <v>207</v>
      </c>
      <c r="O7278" s="345" t="s">
        <v>208</v>
      </c>
      <c r="P7278" s="345" t="s">
        <v>209</v>
      </c>
      <c r="Q7278" s="345" t="s">
        <v>210</v>
      </c>
      <c r="R7278" s="345" t="s">
        <v>223</v>
      </c>
      <c r="S7278" s="345" t="s">
        <v>224</v>
      </c>
    </row>
    <row r="7279" spans="1:19" x14ac:dyDescent="0.25">
      <c r="A7279" s="311"/>
      <c r="B7279" s="312"/>
      <c r="C7279" s="312"/>
      <c r="D7279" s="312"/>
      <c r="E7279" s="312"/>
      <c r="F7279" s="312"/>
      <c r="G7279" s="328"/>
      <c r="H7279" s="453"/>
      <c r="I7279" s="334"/>
      <c r="J7279" s="314"/>
      <c r="K7279" s="454"/>
      <c r="M7279" s="349" t="str">
        <f>N7279&amp;AS[[#This Row],[Insurer Code]]&amp;"; "&amp;O7279&amp;AS[[#This Row],[Reporting Year]]&amp;"; "&amp;P7279&amp;AS[[#This Row],[Insurance Category Code]]&amp;"; "&amp;Q7279&amp;AS[[#This Row],[Large Provider Entity Code]]&amp;"; "&amp;R7279&amp;AS[[#This Row],[Age Band Code]]&amp;"; "&amp;S7279&amp;AS[[#This Row],[Sex Code]]</f>
        <v xml:space="preserve">Insurer Code ; Reporting Year ; Insurance Category Code ; Large Provider Entity Code ; Age Band Code ; Sex Code </v>
      </c>
      <c r="N7279" s="345" t="s">
        <v>207</v>
      </c>
      <c r="O7279" s="345" t="s">
        <v>208</v>
      </c>
      <c r="P7279" s="345" t="s">
        <v>209</v>
      </c>
      <c r="Q7279" s="345" t="s">
        <v>210</v>
      </c>
      <c r="R7279" s="345" t="s">
        <v>223</v>
      </c>
      <c r="S7279" s="345" t="s">
        <v>224</v>
      </c>
    </row>
    <row r="7280" spans="1:19" x14ac:dyDescent="0.25">
      <c r="A7280" s="311"/>
      <c r="B7280" s="312"/>
      <c r="C7280" s="312"/>
      <c r="D7280" s="312"/>
      <c r="E7280" s="312"/>
      <c r="F7280" s="312"/>
      <c r="G7280" s="328"/>
      <c r="H7280" s="453"/>
      <c r="I7280" s="334"/>
      <c r="J7280" s="314"/>
      <c r="K7280" s="454"/>
      <c r="M7280" s="349" t="str">
        <f>N7280&amp;AS[[#This Row],[Insurer Code]]&amp;"; "&amp;O7280&amp;AS[[#This Row],[Reporting Year]]&amp;"; "&amp;P7280&amp;AS[[#This Row],[Insurance Category Code]]&amp;"; "&amp;Q7280&amp;AS[[#This Row],[Large Provider Entity Code]]&amp;"; "&amp;R7280&amp;AS[[#This Row],[Age Band Code]]&amp;"; "&amp;S7280&amp;AS[[#This Row],[Sex Code]]</f>
        <v xml:space="preserve">Insurer Code ; Reporting Year ; Insurance Category Code ; Large Provider Entity Code ; Age Band Code ; Sex Code </v>
      </c>
      <c r="N7280" s="345" t="s">
        <v>207</v>
      </c>
      <c r="O7280" s="345" t="s">
        <v>208</v>
      </c>
      <c r="P7280" s="345" t="s">
        <v>209</v>
      </c>
      <c r="Q7280" s="345" t="s">
        <v>210</v>
      </c>
      <c r="R7280" s="345" t="s">
        <v>223</v>
      </c>
      <c r="S7280" s="345" t="s">
        <v>224</v>
      </c>
    </row>
    <row r="7281" spans="1:19" x14ac:dyDescent="0.25">
      <c r="A7281" s="311"/>
      <c r="B7281" s="312"/>
      <c r="C7281" s="312"/>
      <c r="D7281" s="312"/>
      <c r="E7281" s="312"/>
      <c r="F7281" s="312"/>
      <c r="G7281" s="328"/>
      <c r="H7281" s="453"/>
      <c r="I7281" s="334"/>
      <c r="J7281" s="314"/>
      <c r="K7281" s="454"/>
      <c r="M7281" s="349" t="str">
        <f>N7281&amp;AS[[#This Row],[Insurer Code]]&amp;"; "&amp;O7281&amp;AS[[#This Row],[Reporting Year]]&amp;"; "&amp;P7281&amp;AS[[#This Row],[Insurance Category Code]]&amp;"; "&amp;Q7281&amp;AS[[#This Row],[Large Provider Entity Code]]&amp;"; "&amp;R7281&amp;AS[[#This Row],[Age Band Code]]&amp;"; "&amp;S7281&amp;AS[[#This Row],[Sex Code]]</f>
        <v xml:space="preserve">Insurer Code ; Reporting Year ; Insurance Category Code ; Large Provider Entity Code ; Age Band Code ; Sex Code </v>
      </c>
      <c r="N7281" s="345" t="s">
        <v>207</v>
      </c>
      <c r="O7281" s="345" t="s">
        <v>208</v>
      </c>
      <c r="P7281" s="345" t="s">
        <v>209</v>
      </c>
      <c r="Q7281" s="345" t="s">
        <v>210</v>
      </c>
      <c r="R7281" s="345" t="s">
        <v>223</v>
      </c>
      <c r="S7281" s="345" t="s">
        <v>224</v>
      </c>
    </row>
    <row r="7282" spans="1:19" x14ac:dyDescent="0.25">
      <c r="A7282" s="311"/>
      <c r="B7282" s="312"/>
      <c r="C7282" s="312"/>
      <c r="D7282" s="312"/>
      <c r="E7282" s="312"/>
      <c r="F7282" s="312"/>
      <c r="G7282" s="328"/>
      <c r="H7282" s="453"/>
      <c r="I7282" s="334"/>
      <c r="J7282" s="314"/>
      <c r="K7282" s="454"/>
      <c r="M7282" s="349" t="str">
        <f>N7282&amp;AS[[#This Row],[Insurer Code]]&amp;"; "&amp;O7282&amp;AS[[#This Row],[Reporting Year]]&amp;"; "&amp;P7282&amp;AS[[#This Row],[Insurance Category Code]]&amp;"; "&amp;Q7282&amp;AS[[#This Row],[Large Provider Entity Code]]&amp;"; "&amp;R7282&amp;AS[[#This Row],[Age Band Code]]&amp;"; "&amp;S7282&amp;AS[[#This Row],[Sex Code]]</f>
        <v xml:space="preserve">Insurer Code ; Reporting Year ; Insurance Category Code ; Large Provider Entity Code ; Age Band Code ; Sex Code </v>
      </c>
      <c r="N7282" s="345" t="s">
        <v>207</v>
      </c>
      <c r="O7282" s="345" t="s">
        <v>208</v>
      </c>
      <c r="P7282" s="345" t="s">
        <v>209</v>
      </c>
      <c r="Q7282" s="345" t="s">
        <v>210</v>
      </c>
      <c r="R7282" s="345" t="s">
        <v>223</v>
      </c>
      <c r="S7282" s="345" t="s">
        <v>224</v>
      </c>
    </row>
    <row r="7283" spans="1:19" x14ac:dyDescent="0.25">
      <c r="A7283" s="311"/>
      <c r="B7283" s="312"/>
      <c r="C7283" s="312"/>
      <c r="D7283" s="312"/>
      <c r="E7283" s="312"/>
      <c r="F7283" s="312"/>
      <c r="G7283" s="328"/>
      <c r="H7283" s="453"/>
      <c r="I7283" s="334"/>
      <c r="J7283" s="314"/>
      <c r="K7283" s="454"/>
      <c r="M7283" s="349" t="str">
        <f>N7283&amp;AS[[#This Row],[Insurer Code]]&amp;"; "&amp;O7283&amp;AS[[#This Row],[Reporting Year]]&amp;"; "&amp;P7283&amp;AS[[#This Row],[Insurance Category Code]]&amp;"; "&amp;Q7283&amp;AS[[#This Row],[Large Provider Entity Code]]&amp;"; "&amp;R7283&amp;AS[[#This Row],[Age Band Code]]&amp;"; "&amp;S7283&amp;AS[[#This Row],[Sex Code]]</f>
        <v xml:space="preserve">Insurer Code ; Reporting Year ; Insurance Category Code ; Large Provider Entity Code ; Age Band Code ; Sex Code </v>
      </c>
      <c r="N7283" s="345" t="s">
        <v>207</v>
      </c>
      <c r="O7283" s="345" t="s">
        <v>208</v>
      </c>
      <c r="P7283" s="345" t="s">
        <v>209</v>
      </c>
      <c r="Q7283" s="345" t="s">
        <v>210</v>
      </c>
      <c r="R7283" s="345" t="s">
        <v>223</v>
      </c>
      <c r="S7283" s="345" t="s">
        <v>224</v>
      </c>
    </row>
    <row r="7284" spans="1:19" x14ac:dyDescent="0.25">
      <c r="A7284" s="311"/>
      <c r="B7284" s="312"/>
      <c r="C7284" s="312"/>
      <c r="D7284" s="312"/>
      <c r="E7284" s="312"/>
      <c r="F7284" s="312"/>
      <c r="G7284" s="328"/>
      <c r="H7284" s="453"/>
      <c r="I7284" s="334"/>
      <c r="J7284" s="314"/>
      <c r="K7284" s="454"/>
      <c r="M7284" s="349" t="str">
        <f>N7284&amp;AS[[#This Row],[Insurer Code]]&amp;"; "&amp;O7284&amp;AS[[#This Row],[Reporting Year]]&amp;"; "&amp;P7284&amp;AS[[#This Row],[Insurance Category Code]]&amp;"; "&amp;Q7284&amp;AS[[#This Row],[Large Provider Entity Code]]&amp;"; "&amp;R7284&amp;AS[[#This Row],[Age Band Code]]&amp;"; "&amp;S7284&amp;AS[[#This Row],[Sex Code]]</f>
        <v xml:space="preserve">Insurer Code ; Reporting Year ; Insurance Category Code ; Large Provider Entity Code ; Age Band Code ; Sex Code </v>
      </c>
      <c r="N7284" s="345" t="s">
        <v>207</v>
      </c>
      <c r="O7284" s="345" t="s">
        <v>208</v>
      </c>
      <c r="P7284" s="345" t="s">
        <v>209</v>
      </c>
      <c r="Q7284" s="345" t="s">
        <v>210</v>
      </c>
      <c r="R7284" s="345" t="s">
        <v>223</v>
      </c>
      <c r="S7284" s="345" t="s">
        <v>224</v>
      </c>
    </row>
    <row r="7285" spans="1:19" x14ac:dyDescent="0.25">
      <c r="A7285" s="311"/>
      <c r="B7285" s="312"/>
      <c r="C7285" s="312"/>
      <c r="D7285" s="312"/>
      <c r="E7285" s="312"/>
      <c r="F7285" s="312"/>
      <c r="G7285" s="328"/>
      <c r="H7285" s="453"/>
      <c r="I7285" s="334"/>
      <c r="J7285" s="314"/>
      <c r="K7285" s="454"/>
      <c r="M7285" s="349" t="str">
        <f>N7285&amp;AS[[#This Row],[Insurer Code]]&amp;"; "&amp;O7285&amp;AS[[#This Row],[Reporting Year]]&amp;"; "&amp;P7285&amp;AS[[#This Row],[Insurance Category Code]]&amp;"; "&amp;Q7285&amp;AS[[#This Row],[Large Provider Entity Code]]&amp;"; "&amp;R7285&amp;AS[[#This Row],[Age Band Code]]&amp;"; "&amp;S7285&amp;AS[[#This Row],[Sex Code]]</f>
        <v xml:space="preserve">Insurer Code ; Reporting Year ; Insurance Category Code ; Large Provider Entity Code ; Age Band Code ; Sex Code </v>
      </c>
      <c r="N7285" s="345" t="s">
        <v>207</v>
      </c>
      <c r="O7285" s="345" t="s">
        <v>208</v>
      </c>
      <c r="P7285" s="345" t="s">
        <v>209</v>
      </c>
      <c r="Q7285" s="345" t="s">
        <v>210</v>
      </c>
      <c r="R7285" s="345" t="s">
        <v>223</v>
      </c>
      <c r="S7285" s="345" t="s">
        <v>224</v>
      </c>
    </row>
    <row r="7286" spans="1:19" x14ac:dyDescent="0.25">
      <c r="A7286" s="311"/>
      <c r="B7286" s="312"/>
      <c r="C7286" s="312"/>
      <c r="D7286" s="312"/>
      <c r="E7286" s="312"/>
      <c r="F7286" s="312"/>
      <c r="G7286" s="328"/>
      <c r="H7286" s="453"/>
      <c r="I7286" s="334"/>
      <c r="J7286" s="314"/>
      <c r="K7286" s="454"/>
      <c r="M7286" s="349" t="str">
        <f>N7286&amp;AS[[#This Row],[Insurer Code]]&amp;"; "&amp;O7286&amp;AS[[#This Row],[Reporting Year]]&amp;"; "&amp;P7286&amp;AS[[#This Row],[Insurance Category Code]]&amp;"; "&amp;Q7286&amp;AS[[#This Row],[Large Provider Entity Code]]&amp;"; "&amp;R7286&amp;AS[[#This Row],[Age Band Code]]&amp;"; "&amp;S7286&amp;AS[[#This Row],[Sex Code]]</f>
        <v xml:space="preserve">Insurer Code ; Reporting Year ; Insurance Category Code ; Large Provider Entity Code ; Age Band Code ; Sex Code </v>
      </c>
      <c r="N7286" s="345" t="s">
        <v>207</v>
      </c>
      <c r="O7286" s="345" t="s">
        <v>208</v>
      </c>
      <c r="P7286" s="345" t="s">
        <v>209</v>
      </c>
      <c r="Q7286" s="345" t="s">
        <v>210</v>
      </c>
      <c r="R7286" s="345" t="s">
        <v>223</v>
      </c>
      <c r="S7286" s="345" t="s">
        <v>224</v>
      </c>
    </row>
    <row r="7287" spans="1:19" x14ac:dyDescent="0.25">
      <c r="A7287" s="311"/>
      <c r="B7287" s="312"/>
      <c r="C7287" s="312"/>
      <c r="D7287" s="312"/>
      <c r="E7287" s="312"/>
      <c r="F7287" s="312"/>
      <c r="G7287" s="328"/>
      <c r="H7287" s="453"/>
      <c r="I7287" s="334"/>
      <c r="J7287" s="314"/>
      <c r="K7287" s="454"/>
      <c r="M7287" s="349" t="str">
        <f>N7287&amp;AS[[#This Row],[Insurer Code]]&amp;"; "&amp;O7287&amp;AS[[#This Row],[Reporting Year]]&amp;"; "&amp;P7287&amp;AS[[#This Row],[Insurance Category Code]]&amp;"; "&amp;Q7287&amp;AS[[#This Row],[Large Provider Entity Code]]&amp;"; "&amp;R7287&amp;AS[[#This Row],[Age Band Code]]&amp;"; "&amp;S7287&amp;AS[[#This Row],[Sex Code]]</f>
        <v xml:space="preserve">Insurer Code ; Reporting Year ; Insurance Category Code ; Large Provider Entity Code ; Age Band Code ; Sex Code </v>
      </c>
      <c r="N7287" s="345" t="s">
        <v>207</v>
      </c>
      <c r="O7287" s="345" t="s">
        <v>208</v>
      </c>
      <c r="P7287" s="345" t="s">
        <v>209</v>
      </c>
      <c r="Q7287" s="345" t="s">
        <v>210</v>
      </c>
      <c r="R7287" s="345" t="s">
        <v>223</v>
      </c>
      <c r="S7287" s="345" t="s">
        <v>224</v>
      </c>
    </row>
    <row r="7288" spans="1:19" x14ac:dyDescent="0.25">
      <c r="A7288" s="311"/>
      <c r="B7288" s="312"/>
      <c r="C7288" s="312"/>
      <c r="D7288" s="312"/>
      <c r="E7288" s="312"/>
      <c r="F7288" s="312"/>
      <c r="G7288" s="328"/>
      <c r="H7288" s="453"/>
      <c r="I7288" s="334"/>
      <c r="J7288" s="314"/>
      <c r="K7288" s="454"/>
      <c r="M7288" s="349" t="str">
        <f>N7288&amp;AS[[#This Row],[Insurer Code]]&amp;"; "&amp;O7288&amp;AS[[#This Row],[Reporting Year]]&amp;"; "&amp;P7288&amp;AS[[#This Row],[Insurance Category Code]]&amp;"; "&amp;Q7288&amp;AS[[#This Row],[Large Provider Entity Code]]&amp;"; "&amp;R7288&amp;AS[[#This Row],[Age Band Code]]&amp;"; "&amp;S7288&amp;AS[[#This Row],[Sex Code]]</f>
        <v xml:space="preserve">Insurer Code ; Reporting Year ; Insurance Category Code ; Large Provider Entity Code ; Age Band Code ; Sex Code </v>
      </c>
      <c r="N7288" s="345" t="s">
        <v>207</v>
      </c>
      <c r="O7288" s="345" t="s">
        <v>208</v>
      </c>
      <c r="P7288" s="345" t="s">
        <v>209</v>
      </c>
      <c r="Q7288" s="345" t="s">
        <v>210</v>
      </c>
      <c r="R7288" s="345" t="s">
        <v>223</v>
      </c>
      <c r="S7288" s="345" t="s">
        <v>224</v>
      </c>
    </row>
    <row r="7289" spans="1:19" x14ac:dyDescent="0.25">
      <c r="A7289" s="311"/>
      <c r="B7289" s="312"/>
      <c r="C7289" s="312"/>
      <c r="D7289" s="312"/>
      <c r="E7289" s="312"/>
      <c r="F7289" s="312"/>
      <c r="G7289" s="328"/>
      <c r="H7289" s="453"/>
      <c r="I7289" s="334"/>
      <c r="J7289" s="314"/>
      <c r="K7289" s="454"/>
      <c r="M7289" s="349" t="str">
        <f>N7289&amp;AS[[#This Row],[Insurer Code]]&amp;"; "&amp;O7289&amp;AS[[#This Row],[Reporting Year]]&amp;"; "&amp;P7289&amp;AS[[#This Row],[Insurance Category Code]]&amp;"; "&amp;Q7289&amp;AS[[#This Row],[Large Provider Entity Code]]&amp;"; "&amp;R7289&amp;AS[[#This Row],[Age Band Code]]&amp;"; "&amp;S7289&amp;AS[[#This Row],[Sex Code]]</f>
        <v xml:space="preserve">Insurer Code ; Reporting Year ; Insurance Category Code ; Large Provider Entity Code ; Age Band Code ; Sex Code </v>
      </c>
      <c r="N7289" s="345" t="s">
        <v>207</v>
      </c>
      <c r="O7289" s="345" t="s">
        <v>208</v>
      </c>
      <c r="P7289" s="345" t="s">
        <v>209</v>
      </c>
      <c r="Q7289" s="345" t="s">
        <v>210</v>
      </c>
      <c r="R7289" s="345" t="s">
        <v>223</v>
      </c>
      <c r="S7289" s="345" t="s">
        <v>224</v>
      </c>
    </row>
    <row r="7290" spans="1:19" x14ac:dyDescent="0.25">
      <c r="A7290" s="311"/>
      <c r="B7290" s="312"/>
      <c r="C7290" s="312"/>
      <c r="D7290" s="312"/>
      <c r="E7290" s="312"/>
      <c r="F7290" s="312"/>
      <c r="G7290" s="328"/>
      <c r="H7290" s="453"/>
      <c r="I7290" s="334"/>
      <c r="J7290" s="314"/>
      <c r="K7290" s="454"/>
      <c r="M7290" s="349" t="str">
        <f>N7290&amp;AS[[#This Row],[Insurer Code]]&amp;"; "&amp;O7290&amp;AS[[#This Row],[Reporting Year]]&amp;"; "&amp;P7290&amp;AS[[#This Row],[Insurance Category Code]]&amp;"; "&amp;Q7290&amp;AS[[#This Row],[Large Provider Entity Code]]&amp;"; "&amp;R7290&amp;AS[[#This Row],[Age Band Code]]&amp;"; "&amp;S7290&amp;AS[[#This Row],[Sex Code]]</f>
        <v xml:space="preserve">Insurer Code ; Reporting Year ; Insurance Category Code ; Large Provider Entity Code ; Age Band Code ; Sex Code </v>
      </c>
      <c r="N7290" s="345" t="s">
        <v>207</v>
      </c>
      <c r="O7290" s="345" t="s">
        <v>208</v>
      </c>
      <c r="P7290" s="345" t="s">
        <v>209</v>
      </c>
      <c r="Q7290" s="345" t="s">
        <v>210</v>
      </c>
      <c r="R7290" s="345" t="s">
        <v>223</v>
      </c>
      <c r="S7290" s="345" t="s">
        <v>224</v>
      </c>
    </row>
    <row r="7291" spans="1:19" x14ac:dyDescent="0.25">
      <c r="A7291" s="311"/>
      <c r="B7291" s="312"/>
      <c r="C7291" s="312"/>
      <c r="D7291" s="312"/>
      <c r="E7291" s="312"/>
      <c r="F7291" s="312"/>
      <c r="G7291" s="328"/>
      <c r="H7291" s="453"/>
      <c r="I7291" s="334"/>
      <c r="J7291" s="314"/>
      <c r="K7291" s="454"/>
      <c r="M7291" s="349" t="str">
        <f>N7291&amp;AS[[#This Row],[Insurer Code]]&amp;"; "&amp;O7291&amp;AS[[#This Row],[Reporting Year]]&amp;"; "&amp;P7291&amp;AS[[#This Row],[Insurance Category Code]]&amp;"; "&amp;Q7291&amp;AS[[#This Row],[Large Provider Entity Code]]&amp;"; "&amp;R7291&amp;AS[[#This Row],[Age Band Code]]&amp;"; "&amp;S7291&amp;AS[[#This Row],[Sex Code]]</f>
        <v xml:space="preserve">Insurer Code ; Reporting Year ; Insurance Category Code ; Large Provider Entity Code ; Age Band Code ; Sex Code </v>
      </c>
      <c r="N7291" s="345" t="s">
        <v>207</v>
      </c>
      <c r="O7291" s="345" t="s">
        <v>208</v>
      </c>
      <c r="P7291" s="345" t="s">
        <v>209</v>
      </c>
      <c r="Q7291" s="345" t="s">
        <v>210</v>
      </c>
      <c r="R7291" s="345" t="s">
        <v>223</v>
      </c>
      <c r="S7291" s="345" t="s">
        <v>224</v>
      </c>
    </row>
    <row r="7292" spans="1:19" x14ac:dyDescent="0.25">
      <c r="A7292" s="311"/>
      <c r="B7292" s="312"/>
      <c r="C7292" s="312"/>
      <c r="D7292" s="312"/>
      <c r="E7292" s="312"/>
      <c r="F7292" s="312"/>
      <c r="G7292" s="328"/>
      <c r="H7292" s="453"/>
      <c r="I7292" s="334"/>
      <c r="J7292" s="314"/>
      <c r="K7292" s="454"/>
      <c r="M7292" s="349" t="str">
        <f>N7292&amp;AS[[#This Row],[Insurer Code]]&amp;"; "&amp;O7292&amp;AS[[#This Row],[Reporting Year]]&amp;"; "&amp;P7292&amp;AS[[#This Row],[Insurance Category Code]]&amp;"; "&amp;Q7292&amp;AS[[#This Row],[Large Provider Entity Code]]&amp;"; "&amp;R7292&amp;AS[[#This Row],[Age Band Code]]&amp;"; "&amp;S7292&amp;AS[[#This Row],[Sex Code]]</f>
        <v xml:space="preserve">Insurer Code ; Reporting Year ; Insurance Category Code ; Large Provider Entity Code ; Age Band Code ; Sex Code </v>
      </c>
      <c r="N7292" s="345" t="s">
        <v>207</v>
      </c>
      <c r="O7292" s="345" t="s">
        <v>208</v>
      </c>
      <c r="P7292" s="345" t="s">
        <v>209</v>
      </c>
      <c r="Q7292" s="345" t="s">
        <v>210</v>
      </c>
      <c r="R7292" s="345" t="s">
        <v>223</v>
      </c>
      <c r="S7292" s="345" t="s">
        <v>224</v>
      </c>
    </row>
    <row r="7293" spans="1:19" x14ac:dyDescent="0.25">
      <c r="A7293" s="311"/>
      <c r="B7293" s="312"/>
      <c r="C7293" s="312"/>
      <c r="D7293" s="312"/>
      <c r="E7293" s="312"/>
      <c r="F7293" s="312"/>
      <c r="G7293" s="328"/>
      <c r="H7293" s="453"/>
      <c r="I7293" s="334"/>
      <c r="J7293" s="314"/>
      <c r="K7293" s="454"/>
      <c r="M7293" s="349" t="str">
        <f>N7293&amp;AS[[#This Row],[Insurer Code]]&amp;"; "&amp;O7293&amp;AS[[#This Row],[Reporting Year]]&amp;"; "&amp;P7293&amp;AS[[#This Row],[Insurance Category Code]]&amp;"; "&amp;Q7293&amp;AS[[#This Row],[Large Provider Entity Code]]&amp;"; "&amp;R7293&amp;AS[[#This Row],[Age Band Code]]&amp;"; "&amp;S7293&amp;AS[[#This Row],[Sex Code]]</f>
        <v xml:space="preserve">Insurer Code ; Reporting Year ; Insurance Category Code ; Large Provider Entity Code ; Age Band Code ; Sex Code </v>
      </c>
      <c r="N7293" s="345" t="s">
        <v>207</v>
      </c>
      <c r="O7293" s="345" t="s">
        <v>208</v>
      </c>
      <c r="P7293" s="345" t="s">
        <v>209</v>
      </c>
      <c r="Q7293" s="345" t="s">
        <v>210</v>
      </c>
      <c r="R7293" s="345" t="s">
        <v>223</v>
      </c>
      <c r="S7293" s="345" t="s">
        <v>224</v>
      </c>
    </row>
    <row r="7294" spans="1:19" x14ac:dyDescent="0.25">
      <c r="A7294" s="311"/>
      <c r="B7294" s="312"/>
      <c r="C7294" s="312"/>
      <c r="D7294" s="312"/>
      <c r="E7294" s="312"/>
      <c r="F7294" s="312"/>
      <c r="G7294" s="328"/>
      <c r="H7294" s="453"/>
      <c r="I7294" s="334"/>
      <c r="J7294" s="314"/>
      <c r="K7294" s="454"/>
      <c r="M7294" s="349" t="str">
        <f>N7294&amp;AS[[#This Row],[Insurer Code]]&amp;"; "&amp;O7294&amp;AS[[#This Row],[Reporting Year]]&amp;"; "&amp;P7294&amp;AS[[#This Row],[Insurance Category Code]]&amp;"; "&amp;Q7294&amp;AS[[#This Row],[Large Provider Entity Code]]&amp;"; "&amp;R7294&amp;AS[[#This Row],[Age Band Code]]&amp;"; "&amp;S7294&amp;AS[[#This Row],[Sex Code]]</f>
        <v xml:space="preserve">Insurer Code ; Reporting Year ; Insurance Category Code ; Large Provider Entity Code ; Age Band Code ; Sex Code </v>
      </c>
      <c r="N7294" s="345" t="s">
        <v>207</v>
      </c>
      <c r="O7294" s="345" t="s">
        <v>208</v>
      </c>
      <c r="P7294" s="345" t="s">
        <v>209</v>
      </c>
      <c r="Q7294" s="345" t="s">
        <v>210</v>
      </c>
      <c r="R7294" s="345" t="s">
        <v>223</v>
      </c>
      <c r="S7294" s="345" t="s">
        <v>224</v>
      </c>
    </row>
    <row r="7295" spans="1:19" x14ac:dyDescent="0.25">
      <c r="A7295" s="311"/>
      <c r="B7295" s="312"/>
      <c r="C7295" s="312"/>
      <c r="D7295" s="312"/>
      <c r="E7295" s="312"/>
      <c r="F7295" s="312"/>
      <c r="G7295" s="328"/>
      <c r="H7295" s="453"/>
      <c r="I7295" s="334"/>
      <c r="J7295" s="314"/>
      <c r="K7295" s="454"/>
      <c r="M7295" s="349" t="str">
        <f>N7295&amp;AS[[#This Row],[Insurer Code]]&amp;"; "&amp;O7295&amp;AS[[#This Row],[Reporting Year]]&amp;"; "&amp;P7295&amp;AS[[#This Row],[Insurance Category Code]]&amp;"; "&amp;Q7295&amp;AS[[#This Row],[Large Provider Entity Code]]&amp;"; "&amp;R7295&amp;AS[[#This Row],[Age Band Code]]&amp;"; "&amp;S7295&amp;AS[[#This Row],[Sex Code]]</f>
        <v xml:space="preserve">Insurer Code ; Reporting Year ; Insurance Category Code ; Large Provider Entity Code ; Age Band Code ; Sex Code </v>
      </c>
      <c r="N7295" s="345" t="s">
        <v>207</v>
      </c>
      <c r="O7295" s="345" t="s">
        <v>208</v>
      </c>
      <c r="P7295" s="345" t="s">
        <v>209</v>
      </c>
      <c r="Q7295" s="345" t="s">
        <v>210</v>
      </c>
      <c r="R7295" s="345" t="s">
        <v>223</v>
      </c>
      <c r="S7295" s="345" t="s">
        <v>224</v>
      </c>
    </row>
    <row r="7296" spans="1:19" x14ac:dyDescent="0.25">
      <c r="A7296" s="311"/>
      <c r="B7296" s="312"/>
      <c r="C7296" s="312"/>
      <c r="D7296" s="312"/>
      <c r="E7296" s="312"/>
      <c r="F7296" s="312"/>
      <c r="G7296" s="328"/>
      <c r="H7296" s="453"/>
      <c r="I7296" s="334"/>
      <c r="J7296" s="314"/>
      <c r="K7296" s="454"/>
      <c r="M7296" s="349" t="str">
        <f>N7296&amp;AS[[#This Row],[Insurer Code]]&amp;"; "&amp;O7296&amp;AS[[#This Row],[Reporting Year]]&amp;"; "&amp;P7296&amp;AS[[#This Row],[Insurance Category Code]]&amp;"; "&amp;Q7296&amp;AS[[#This Row],[Large Provider Entity Code]]&amp;"; "&amp;R7296&amp;AS[[#This Row],[Age Band Code]]&amp;"; "&amp;S7296&amp;AS[[#This Row],[Sex Code]]</f>
        <v xml:space="preserve">Insurer Code ; Reporting Year ; Insurance Category Code ; Large Provider Entity Code ; Age Band Code ; Sex Code </v>
      </c>
      <c r="N7296" s="345" t="s">
        <v>207</v>
      </c>
      <c r="O7296" s="345" t="s">
        <v>208</v>
      </c>
      <c r="P7296" s="345" t="s">
        <v>209</v>
      </c>
      <c r="Q7296" s="345" t="s">
        <v>210</v>
      </c>
      <c r="R7296" s="345" t="s">
        <v>223</v>
      </c>
      <c r="S7296" s="345" t="s">
        <v>224</v>
      </c>
    </row>
    <row r="7297" spans="1:19" x14ac:dyDescent="0.25">
      <c r="A7297" s="311"/>
      <c r="B7297" s="312"/>
      <c r="C7297" s="312"/>
      <c r="D7297" s="312"/>
      <c r="E7297" s="312"/>
      <c r="F7297" s="312"/>
      <c r="G7297" s="328"/>
      <c r="H7297" s="453"/>
      <c r="I7297" s="334"/>
      <c r="J7297" s="314"/>
      <c r="K7297" s="454"/>
      <c r="M7297" s="349" t="str">
        <f>N7297&amp;AS[[#This Row],[Insurer Code]]&amp;"; "&amp;O7297&amp;AS[[#This Row],[Reporting Year]]&amp;"; "&amp;P7297&amp;AS[[#This Row],[Insurance Category Code]]&amp;"; "&amp;Q7297&amp;AS[[#This Row],[Large Provider Entity Code]]&amp;"; "&amp;R7297&amp;AS[[#This Row],[Age Band Code]]&amp;"; "&amp;S7297&amp;AS[[#This Row],[Sex Code]]</f>
        <v xml:space="preserve">Insurer Code ; Reporting Year ; Insurance Category Code ; Large Provider Entity Code ; Age Band Code ; Sex Code </v>
      </c>
      <c r="N7297" s="345" t="s">
        <v>207</v>
      </c>
      <c r="O7297" s="345" t="s">
        <v>208</v>
      </c>
      <c r="P7297" s="345" t="s">
        <v>209</v>
      </c>
      <c r="Q7297" s="345" t="s">
        <v>210</v>
      </c>
      <c r="R7297" s="345" t="s">
        <v>223</v>
      </c>
      <c r="S7297" s="345" t="s">
        <v>224</v>
      </c>
    </row>
    <row r="7298" spans="1:19" x14ac:dyDescent="0.25">
      <c r="A7298" s="311"/>
      <c r="B7298" s="312"/>
      <c r="C7298" s="312"/>
      <c r="D7298" s="312"/>
      <c r="E7298" s="312"/>
      <c r="F7298" s="312"/>
      <c r="G7298" s="328"/>
      <c r="H7298" s="453"/>
      <c r="I7298" s="334"/>
      <c r="J7298" s="314"/>
      <c r="K7298" s="454"/>
      <c r="M7298" s="349" t="str">
        <f>N7298&amp;AS[[#This Row],[Insurer Code]]&amp;"; "&amp;O7298&amp;AS[[#This Row],[Reporting Year]]&amp;"; "&amp;P7298&amp;AS[[#This Row],[Insurance Category Code]]&amp;"; "&amp;Q7298&amp;AS[[#This Row],[Large Provider Entity Code]]&amp;"; "&amp;R7298&amp;AS[[#This Row],[Age Band Code]]&amp;"; "&amp;S7298&amp;AS[[#This Row],[Sex Code]]</f>
        <v xml:space="preserve">Insurer Code ; Reporting Year ; Insurance Category Code ; Large Provider Entity Code ; Age Band Code ; Sex Code </v>
      </c>
      <c r="N7298" s="345" t="s">
        <v>207</v>
      </c>
      <c r="O7298" s="345" t="s">
        <v>208</v>
      </c>
      <c r="P7298" s="345" t="s">
        <v>209</v>
      </c>
      <c r="Q7298" s="345" t="s">
        <v>210</v>
      </c>
      <c r="R7298" s="345" t="s">
        <v>223</v>
      </c>
      <c r="S7298" s="345" t="s">
        <v>224</v>
      </c>
    </row>
    <row r="7299" spans="1:19" x14ac:dyDescent="0.25">
      <c r="A7299" s="311"/>
      <c r="B7299" s="312"/>
      <c r="C7299" s="312"/>
      <c r="D7299" s="312"/>
      <c r="E7299" s="312"/>
      <c r="F7299" s="312"/>
      <c r="G7299" s="328"/>
      <c r="H7299" s="453"/>
      <c r="I7299" s="334"/>
      <c r="J7299" s="314"/>
      <c r="K7299" s="454"/>
      <c r="M7299" s="349" t="str">
        <f>N7299&amp;AS[[#This Row],[Insurer Code]]&amp;"; "&amp;O7299&amp;AS[[#This Row],[Reporting Year]]&amp;"; "&amp;P7299&amp;AS[[#This Row],[Insurance Category Code]]&amp;"; "&amp;Q7299&amp;AS[[#This Row],[Large Provider Entity Code]]&amp;"; "&amp;R7299&amp;AS[[#This Row],[Age Band Code]]&amp;"; "&amp;S7299&amp;AS[[#This Row],[Sex Code]]</f>
        <v xml:space="preserve">Insurer Code ; Reporting Year ; Insurance Category Code ; Large Provider Entity Code ; Age Band Code ; Sex Code </v>
      </c>
      <c r="N7299" s="345" t="s">
        <v>207</v>
      </c>
      <c r="O7299" s="345" t="s">
        <v>208</v>
      </c>
      <c r="P7299" s="345" t="s">
        <v>209</v>
      </c>
      <c r="Q7299" s="345" t="s">
        <v>210</v>
      </c>
      <c r="R7299" s="345" t="s">
        <v>223</v>
      </c>
      <c r="S7299" s="345" t="s">
        <v>224</v>
      </c>
    </row>
    <row r="7300" spans="1:19" x14ac:dyDescent="0.25">
      <c r="A7300" s="311"/>
      <c r="B7300" s="312"/>
      <c r="C7300" s="312"/>
      <c r="D7300" s="312"/>
      <c r="E7300" s="312"/>
      <c r="F7300" s="312"/>
      <c r="G7300" s="328"/>
      <c r="H7300" s="453"/>
      <c r="I7300" s="334"/>
      <c r="J7300" s="314"/>
      <c r="K7300" s="454"/>
      <c r="M7300" s="349" t="str">
        <f>N7300&amp;AS[[#This Row],[Insurer Code]]&amp;"; "&amp;O7300&amp;AS[[#This Row],[Reporting Year]]&amp;"; "&amp;P7300&amp;AS[[#This Row],[Insurance Category Code]]&amp;"; "&amp;Q7300&amp;AS[[#This Row],[Large Provider Entity Code]]&amp;"; "&amp;R7300&amp;AS[[#This Row],[Age Band Code]]&amp;"; "&amp;S7300&amp;AS[[#This Row],[Sex Code]]</f>
        <v xml:space="preserve">Insurer Code ; Reporting Year ; Insurance Category Code ; Large Provider Entity Code ; Age Band Code ; Sex Code </v>
      </c>
      <c r="N7300" s="345" t="s">
        <v>207</v>
      </c>
      <c r="O7300" s="345" t="s">
        <v>208</v>
      </c>
      <c r="P7300" s="345" t="s">
        <v>209</v>
      </c>
      <c r="Q7300" s="345" t="s">
        <v>210</v>
      </c>
      <c r="R7300" s="345" t="s">
        <v>223</v>
      </c>
      <c r="S7300" s="345" t="s">
        <v>224</v>
      </c>
    </row>
    <row r="7301" spans="1:19" x14ac:dyDescent="0.25">
      <c r="A7301" s="311"/>
      <c r="B7301" s="312"/>
      <c r="C7301" s="312"/>
      <c r="D7301" s="312"/>
      <c r="E7301" s="312"/>
      <c r="F7301" s="312"/>
      <c r="G7301" s="328"/>
      <c r="H7301" s="453"/>
      <c r="I7301" s="334"/>
      <c r="J7301" s="314"/>
      <c r="K7301" s="454"/>
      <c r="M7301" s="349" t="str">
        <f>N7301&amp;AS[[#This Row],[Insurer Code]]&amp;"; "&amp;O7301&amp;AS[[#This Row],[Reporting Year]]&amp;"; "&amp;P7301&amp;AS[[#This Row],[Insurance Category Code]]&amp;"; "&amp;Q7301&amp;AS[[#This Row],[Large Provider Entity Code]]&amp;"; "&amp;R7301&amp;AS[[#This Row],[Age Band Code]]&amp;"; "&amp;S7301&amp;AS[[#This Row],[Sex Code]]</f>
        <v xml:space="preserve">Insurer Code ; Reporting Year ; Insurance Category Code ; Large Provider Entity Code ; Age Band Code ; Sex Code </v>
      </c>
      <c r="N7301" s="345" t="s">
        <v>207</v>
      </c>
      <c r="O7301" s="345" t="s">
        <v>208</v>
      </c>
      <c r="P7301" s="345" t="s">
        <v>209</v>
      </c>
      <c r="Q7301" s="345" t="s">
        <v>210</v>
      </c>
      <c r="R7301" s="345" t="s">
        <v>223</v>
      </c>
      <c r="S7301" s="345" t="s">
        <v>224</v>
      </c>
    </row>
    <row r="7302" spans="1:19" x14ac:dyDescent="0.25">
      <c r="A7302" s="311"/>
      <c r="B7302" s="312"/>
      <c r="C7302" s="312"/>
      <c r="D7302" s="312"/>
      <c r="E7302" s="312"/>
      <c r="F7302" s="312"/>
      <c r="G7302" s="328"/>
      <c r="H7302" s="453"/>
      <c r="I7302" s="334"/>
      <c r="J7302" s="314"/>
      <c r="K7302" s="454"/>
      <c r="M7302" s="349" t="str">
        <f>N7302&amp;AS[[#This Row],[Insurer Code]]&amp;"; "&amp;O7302&amp;AS[[#This Row],[Reporting Year]]&amp;"; "&amp;P7302&amp;AS[[#This Row],[Insurance Category Code]]&amp;"; "&amp;Q7302&amp;AS[[#This Row],[Large Provider Entity Code]]&amp;"; "&amp;R7302&amp;AS[[#This Row],[Age Band Code]]&amp;"; "&amp;S7302&amp;AS[[#This Row],[Sex Code]]</f>
        <v xml:space="preserve">Insurer Code ; Reporting Year ; Insurance Category Code ; Large Provider Entity Code ; Age Band Code ; Sex Code </v>
      </c>
      <c r="N7302" s="345" t="s">
        <v>207</v>
      </c>
      <c r="O7302" s="345" t="s">
        <v>208</v>
      </c>
      <c r="P7302" s="345" t="s">
        <v>209</v>
      </c>
      <c r="Q7302" s="345" t="s">
        <v>210</v>
      </c>
      <c r="R7302" s="345" t="s">
        <v>223</v>
      </c>
      <c r="S7302" s="345" t="s">
        <v>224</v>
      </c>
    </row>
    <row r="7303" spans="1:19" x14ac:dyDescent="0.25">
      <c r="A7303" s="311"/>
      <c r="B7303" s="312"/>
      <c r="C7303" s="312"/>
      <c r="D7303" s="312"/>
      <c r="E7303" s="312"/>
      <c r="F7303" s="312"/>
      <c r="G7303" s="328"/>
      <c r="H7303" s="453"/>
      <c r="I7303" s="334"/>
      <c r="J7303" s="314"/>
      <c r="K7303" s="454"/>
      <c r="M7303" s="349" t="str">
        <f>N7303&amp;AS[[#This Row],[Insurer Code]]&amp;"; "&amp;O7303&amp;AS[[#This Row],[Reporting Year]]&amp;"; "&amp;P7303&amp;AS[[#This Row],[Insurance Category Code]]&amp;"; "&amp;Q7303&amp;AS[[#This Row],[Large Provider Entity Code]]&amp;"; "&amp;R7303&amp;AS[[#This Row],[Age Band Code]]&amp;"; "&amp;S7303&amp;AS[[#This Row],[Sex Code]]</f>
        <v xml:space="preserve">Insurer Code ; Reporting Year ; Insurance Category Code ; Large Provider Entity Code ; Age Band Code ; Sex Code </v>
      </c>
      <c r="N7303" s="345" t="s">
        <v>207</v>
      </c>
      <c r="O7303" s="345" t="s">
        <v>208</v>
      </c>
      <c r="P7303" s="345" t="s">
        <v>209</v>
      </c>
      <c r="Q7303" s="345" t="s">
        <v>210</v>
      </c>
      <c r="R7303" s="345" t="s">
        <v>223</v>
      </c>
      <c r="S7303" s="345" t="s">
        <v>224</v>
      </c>
    </row>
    <row r="7304" spans="1:19" x14ac:dyDescent="0.25">
      <c r="A7304" s="311"/>
      <c r="B7304" s="312"/>
      <c r="C7304" s="312"/>
      <c r="D7304" s="312"/>
      <c r="E7304" s="312"/>
      <c r="F7304" s="312"/>
      <c r="G7304" s="328"/>
      <c r="H7304" s="453"/>
      <c r="I7304" s="334"/>
      <c r="J7304" s="314"/>
      <c r="K7304" s="454"/>
      <c r="M7304" s="349" t="str">
        <f>N7304&amp;AS[[#This Row],[Insurer Code]]&amp;"; "&amp;O7304&amp;AS[[#This Row],[Reporting Year]]&amp;"; "&amp;P7304&amp;AS[[#This Row],[Insurance Category Code]]&amp;"; "&amp;Q7304&amp;AS[[#This Row],[Large Provider Entity Code]]&amp;"; "&amp;R7304&amp;AS[[#This Row],[Age Band Code]]&amp;"; "&amp;S7304&amp;AS[[#This Row],[Sex Code]]</f>
        <v xml:space="preserve">Insurer Code ; Reporting Year ; Insurance Category Code ; Large Provider Entity Code ; Age Band Code ; Sex Code </v>
      </c>
      <c r="N7304" s="345" t="s">
        <v>207</v>
      </c>
      <c r="O7304" s="345" t="s">
        <v>208</v>
      </c>
      <c r="P7304" s="345" t="s">
        <v>209</v>
      </c>
      <c r="Q7304" s="345" t="s">
        <v>210</v>
      </c>
      <c r="R7304" s="345" t="s">
        <v>223</v>
      </c>
      <c r="S7304" s="345" t="s">
        <v>224</v>
      </c>
    </row>
    <row r="7305" spans="1:19" x14ac:dyDescent="0.25">
      <c r="A7305" s="311"/>
      <c r="B7305" s="312"/>
      <c r="C7305" s="312"/>
      <c r="D7305" s="312"/>
      <c r="E7305" s="312"/>
      <c r="F7305" s="312"/>
      <c r="G7305" s="328"/>
      <c r="H7305" s="453"/>
      <c r="I7305" s="334"/>
      <c r="J7305" s="314"/>
      <c r="K7305" s="454"/>
      <c r="M7305" s="349" t="str">
        <f>N7305&amp;AS[[#This Row],[Insurer Code]]&amp;"; "&amp;O7305&amp;AS[[#This Row],[Reporting Year]]&amp;"; "&amp;P7305&amp;AS[[#This Row],[Insurance Category Code]]&amp;"; "&amp;Q7305&amp;AS[[#This Row],[Large Provider Entity Code]]&amp;"; "&amp;R7305&amp;AS[[#This Row],[Age Band Code]]&amp;"; "&amp;S7305&amp;AS[[#This Row],[Sex Code]]</f>
        <v xml:space="preserve">Insurer Code ; Reporting Year ; Insurance Category Code ; Large Provider Entity Code ; Age Band Code ; Sex Code </v>
      </c>
      <c r="N7305" s="345" t="s">
        <v>207</v>
      </c>
      <c r="O7305" s="345" t="s">
        <v>208</v>
      </c>
      <c r="P7305" s="345" t="s">
        <v>209</v>
      </c>
      <c r="Q7305" s="345" t="s">
        <v>210</v>
      </c>
      <c r="R7305" s="345" t="s">
        <v>223</v>
      </c>
      <c r="S7305" s="345" t="s">
        <v>224</v>
      </c>
    </row>
    <row r="7306" spans="1:19" x14ac:dyDescent="0.25">
      <c r="A7306" s="311"/>
      <c r="B7306" s="312"/>
      <c r="C7306" s="312"/>
      <c r="D7306" s="312"/>
      <c r="E7306" s="312"/>
      <c r="F7306" s="312"/>
      <c r="G7306" s="328"/>
      <c r="H7306" s="453"/>
      <c r="I7306" s="334"/>
      <c r="J7306" s="314"/>
      <c r="K7306" s="454"/>
      <c r="M7306" s="349" t="str">
        <f>N7306&amp;AS[[#This Row],[Insurer Code]]&amp;"; "&amp;O7306&amp;AS[[#This Row],[Reporting Year]]&amp;"; "&amp;P7306&amp;AS[[#This Row],[Insurance Category Code]]&amp;"; "&amp;Q7306&amp;AS[[#This Row],[Large Provider Entity Code]]&amp;"; "&amp;R7306&amp;AS[[#This Row],[Age Band Code]]&amp;"; "&amp;S7306&amp;AS[[#This Row],[Sex Code]]</f>
        <v xml:space="preserve">Insurer Code ; Reporting Year ; Insurance Category Code ; Large Provider Entity Code ; Age Band Code ; Sex Code </v>
      </c>
      <c r="N7306" s="345" t="s">
        <v>207</v>
      </c>
      <c r="O7306" s="345" t="s">
        <v>208</v>
      </c>
      <c r="P7306" s="345" t="s">
        <v>209</v>
      </c>
      <c r="Q7306" s="345" t="s">
        <v>210</v>
      </c>
      <c r="R7306" s="345" t="s">
        <v>223</v>
      </c>
      <c r="S7306" s="345" t="s">
        <v>224</v>
      </c>
    </row>
    <row r="7307" spans="1:19" x14ac:dyDescent="0.25">
      <c r="A7307" s="311"/>
      <c r="B7307" s="312"/>
      <c r="C7307" s="312"/>
      <c r="D7307" s="312"/>
      <c r="E7307" s="312"/>
      <c r="F7307" s="312"/>
      <c r="G7307" s="328"/>
      <c r="H7307" s="453"/>
      <c r="I7307" s="334"/>
      <c r="J7307" s="314"/>
      <c r="K7307" s="454"/>
      <c r="M7307" s="349" t="str">
        <f>N7307&amp;AS[[#This Row],[Insurer Code]]&amp;"; "&amp;O7307&amp;AS[[#This Row],[Reporting Year]]&amp;"; "&amp;P7307&amp;AS[[#This Row],[Insurance Category Code]]&amp;"; "&amp;Q7307&amp;AS[[#This Row],[Large Provider Entity Code]]&amp;"; "&amp;R7307&amp;AS[[#This Row],[Age Band Code]]&amp;"; "&amp;S7307&amp;AS[[#This Row],[Sex Code]]</f>
        <v xml:space="preserve">Insurer Code ; Reporting Year ; Insurance Category Code ; Large Provider Entity Code ; Age Band Code ; Sex Code </v>
      </c>
      <c r="N7307" s="345" t="s">
        <v>207</v>
      </c>
      <c r="O7307" s="345" t="s">
        <v>208</v>
      </c>
      <c r="P7307" s="345" t="s">
        <v>209</v>
      </c>
      <c r="Q7307" s="345" t="s">
        <v>210</v>
      </c>
      <c r="R7307" s="345" t="s">
        <v>223</v>
      </c>
      <c r="S7307" s="345" t="s">
        <v>224</v>
      </c>
    </row>
    <row r="7308" spans="1:19" x14ac:dyDescent="0.25">
      <c r="A7308" s="311"/>
      <c r="B7308" s="312"/>
      <c r="C7308" s="312"/>
      <c r="D7308" s="312"/>
      <c r="E7308" s="312"/>
      <c r="F7308" s="312"/>
      <c r="G7308" s="328"/>
      <c r="H7308" s="453"/>
      <c r="I7308" s="334"/>
      <c r="J7308" s="314"/>
      <c r="K7308" s="454"/>
      <c r="M7308" s="349" t="str">
        <f>N7308&amp;AS[[#This Row],[Insurer Code]]&amp;"; "&amp;O7308&amp;AS[[#This Row],[Reporting Year]]&amp;"; "&amp;P7308&amp;AS[[#This Row],[Insurance Category Code]]&amp;"; "&amp;Q7308&amp;AS[[#This Row],[Large Provider Entity Code]]&amp;"; "&amp;R7308&amp;AS[[#This Row],[Age Band Code]]&amp;"; "&amp;S7308&amp;AS[[#This Row],[Sex Code]]</f>
        <v xml:space="preserve">Insurer Code ; Reporting Year ; Insurance Category Code ; Large Provider Entity Code ; Age Band Code ; Sex Code </v>
      </c>
      <c r="N7308" s="345" t="s">
        <v>207</v>
      </c>
      <c r="O7308" s="345" t="s">
        <v>208</v>
      </c>
      <c r="P7308" s="345" t="s">
        <v>209</v>
      </c>
      <c r="Q7308" s="345" t="s">
        <v>210</v>
      </c>
      <c r="R7308" s="345" t="s">
        <v>223</v>
      </c>
      <c r="S7308" s="345" t="s">
        <v>224</v>
      </c>
    </row>
    <row r="7309" spans="1:19" x14ac:dyDescent="0.25">
      <c r="A7309" s="311"/>
      <c r="B7309" s="312"/>
      <c r="C7309" s="312"/>
      <c r="D7309" s="312"/>
      <c r="E7309" s="312"/>
      <c r="F7309" s="312"/>
      <c r="G7309" s="328"/>
      <c r="H7309" s="453"/>
      <c r="I7309" s="334"/>
      <c r="J7309" s="314"/>
      <c r="K7309" s="454"/>
      <c r="M7309" s="349" t="str">
        <f>N7309&amp;AS[[#This Row],[Insurer Code]]&amp;"; "&amp;O7309&amp;AS[[#This Row],[Reporting Year]]&amp;"; "&amp;P7309&amp;AS[[#This Row],[Insurance Category Code]]&amp;"; "&amp;Q7309&amp;AS[[#This Row],[Large Provider Entity Code]]&amp;"; "&amp;R7309&amp;AS[[#This Row],[Age Band Code]]&amp;"; "&amp;S7309&amp;AS[[#This Row],[Sex Code]]</f>
        <v xml:space="preserve">Insurer Code ; Reporting Year ; Insurance Category Code ; Large Provider Entity Code ; Age Band Code ; Sex Code </v>
      </c>
      <c r="N7309" s="345" t="s">
        <v>207</v>
      </c>
      <c r="O7309" s="345" t="s">
        <v>208</v>
      </c>
      <c r="P7309" s="345" t="s">
        <v>209</v>
      </c>
      <c r="Q7309" s="345" t="s">
        <v>210</v>
      </c>
      <c r="R7309" s="345" t="s">
        <v>223</v>
      </c>
      <c r="S7309" s="345" t="s">
        <v>224</v>
      </c>
    </row>
    <row r="7310" spans="1:19" x14ac:dyDescent="0.25">
      <c r="A7310" s="311"/>
      <c r="B7310" s="312"/>
      <c r="C7310" s="312"/>
      <c r="D7310" s="312"/>
      <c r="E7310" s="312"/>
      <c r="F7310" s="312"/>
      <c r="G7310" s="328"/>
      <c r="H7310" s="453"/>
      <c r="I7310" s="334"/>
      <c r="J7310" s="314"/>
      <c r="K7310" s="454"/>
      <c r="M7310" s="349" t="str">
        <f>N7310&amp;AS[[#This Row],[Insurer Code]]&amp;"; "&amp;O7310&amp;AS[[#This Row],[Reporting Year]]&amp;"; "&amp;P7310&amp;AS[[#This Row],[Insurance Category Code]]&amp;"; "&amp;Q7310&amp;AS[[#This Row],[Large Provider Entity Code]]&amp;"; "&amp;R7310&amp;AS[[#This Row],[Age Band Code]]&amp;"; "&amp;S7310&amp;AS[[#This Row],[Sex Code]]</f>
        <v xml:space="preserve">Insurer Code ; Reporting Year ; Insurance Category Code ; Large Provider Entity Code ; Age Band Code ; Sex Code </v>
      </c>
      <c r="N7310" s="345" t="s">
        <v>207</v>
      </c>
      <c r="O7310" s="345" t="s">
        <v>208</v>
      </c>
      <c r="P7310" s="345" t="s">
        <v>209</v>
      </c>
      <c r="Q7310" s="345" t="s">
        <v>210</v>
      </c>
      <c r="R7310" s="345" t="s">
        <v>223</v>
      </c>
      <c r="S7310" s="345" t="s">
        <v>224</v>
      </c>
    </row>
    <row r="7311" spans="1:19" x14ac:dyDescent="0.25">
      <c r="A7311" s="311"/>
      <c r="B7311" s="312"/>
      <c r="C7311" s="312"/>
      <c r="D7311" s="312"/>
      <c r="E7311" s="312"/>
      <c r="F7311" s="312"/>
      <c r="G7311" s="328"/>
      <c r="H7311" s="453"/>
      <c r="I7311" s="334"/>
      <c r="J7311" s="314"/>
      <c r="K7311" s="454"/>
      <c r="M7311" s="349" t="str">
        <f>N7311&amp;AS[[#This Row],[Insurer Code]]&amp;"; "&amp;O7311&amp;AS[[#This Row],[Reporting Year]]&amp;"; "&amp;P7311&amp;AS[[#This Row],[Insurance Category Code]]&amp;"; "&amp;Q7311&amp;AS[[#This Row],[Large Provider Entity Code]]&amp;"; "&amp;R7311&amp;AS[[#This Row],[Age Band Code]]&amp;"; "&amp;S7311&amp;AS[[#This Row],[Sex Code]]</f>
        <v xml:space="preserve">Insurer Code ; Reporting Year ; Insurance Category Code ; Large Provider Entity Code ; Age Band Code ; Sex Code </v>
      </c>
      <c r="N7311" s="345" t="s">
        <v>207</v>
      </c>
      <c r="O7311" s="345" t="s">
        <v>208</v>
      </c>
      <c r="P7311" s="345" t="s">
        <v>209</v>
      </c>
      <c r="Q7311" s="345" t="s">
        <v>210</v>
      </c>
      <c r="R7311" s="345" t="s">
        <v>223</v>
      </c>
      <c r="S7311" s="345" t="s">
        <v>224</v>
      </c>
    </row>
    <row r="7312" spans="1:19" x14ac:dyDescent="0.25">
      <c r="A7312" s="311"/>
      <c r="B7312" s="312"/>
      <c r="C7312" s="312"/>
      <c r="D7312" s="312"/>
      <c r="E7312" s="312"/>
      <c r="F7312" s="312"/>
      <c r="G7312" s="328"/>
      <c r="H7312" s="453"/>
      <c r="I7312" s="334"/>
      <c r="J7312" s="314"/>
      <c r="K7312" s="454"/>
      <c r="M7312" s="349" t="str">
        <f>N7312&amp;AS[[#This Row],[Insurer Code]]&amp;"; "&amp;O7312&amp;AS[[#This Row],[Reporting Year]]&amp;"; "&amp;P7312&amp;AS[[#This Row],[Insurance Category Code]]&amp;"; "&amp;Q7312&amp;AS[[#This Row],[Large Provider Entity Code]]&amp;"; "&amp;R7312&amp;AS[[#This Row],[Age Band Code]]&amp;"; "&amp;S7312&amp;AS[[#This Row],[Sex Code]]</f>
        <v xml:space="preserve">Insurer Code ; Reporting Year ; Insurance Category Code ; Large Provider Entity Code ; Age Band Code ; Sex Code </v>
      </c>
      <c r="N7312" s="345" t="s">
        <v>207</v>
      </c>
      <c r="O7312" s="345" t="s">
        <v>208</v>
      </c>
      <c r="P7312" s="345" t="s">
        <v>209</v>
      </c>
      <c r="Q7312" s="345" t="s">
        <v>210</v>
      </c>
      <c r="R7312" s="345" t="s">
        <v>223</v>
      </c>
      <c r="S7312" s="345" t="s">
        <v>224</v>
      </c>
    </row>
    <row r="7313" spans="1:19" x14ac:dyDescent="0.25">
      <c r="A7313" s="311"/>
      <c r="B7313" s="312"/>
      <c r="C7313" s="312"/>
      <c r="D7313" s="312"/>
      <c r="E7313" s="312"/>
      <c r="F7313" s="312"/>
      <c r="G7313" s="328"/>
      <c r="H7313" s="453"/>
      <c r="I7313" s="334"/>
      <c r="J7313" s="314"/>
      <c r="K7313" s="454"/>
      <c r="M7313" s="349" t="str">
        <f>N7313&amp;AS[[#This Row],[Insurer Code]]&amp;"; "&amp;O7313&amp;AS[[#This Row],[Reporting Year]]&amp;"; "&amp;P7313&amp;AS[[#This Row],[Insurance Category Code]]&amp;"; "&amp;Q7313&amp;AS[[#This Row],[Large Provider Entity Code]]&amp;"; "&amp;R7313&amp;AS[[#This Row],[Age Band Code]]&amp;"; "&amp;S7313&amp;AS[[#This Row],[Sex Code]]</f>
        <v xml:space="preserve">Insurer Code ; Reporting Year ; Insurance Category Code ; Large Provider Entity Code ; Age Band Code ; Sex Code </v>
      </c>
      <c r="N7313" s="345" t="s">
        <v>207</v>
      </c>
      <c r="O7313" s="345" t="s">
        <v>208</v>
      </c>
      <c r="P7313" s="345" t="s">
        <v>209</v>
      </c>
      <c r="Q7313" s="345" t="s">
        <v>210</v>
      </c>
      <c r="R7313" s="345" t="s">
        <v>223</v>
      </c>
      <c r="S7313" s="345" t="s">
        <v>224</v>
      </c>
    </row>
    <row r="7314" spans="1:19" x14ac:dyDescent="0.25">
      <c r="A7314" s="311"/>
      <c r="B7314" s="312"/>
      <c r="C7314" s="312"/>
      <c r="D7314" s="312"/>
      <c r="E7314" s="312"/>
      <c r="F7314" s="312"/>
      <c r="G7314" s="328"/>
      <c r="H7314" s="453"/>
      <c r="I7314" s="334"/>
      <c r="J7314" s="314"/>
      <c r="K7314" s="454"/>
      <c r="M7314" s="349" t="str">
        <f>N7314&amp;AS[[#This Row],[Insurer Code]]&amp;"; "&amp;O7314&amp;AS[[#This Row],[Reporting Year]]&amp;"; "&amp;P7314&amp;AS[[#This Row],[Insurance Category Code]]&amp;"; "&amp;Q7314&amp;AS[[#This Row],[Large Provider Entity Code]]&amp;"; "&amp;R7314&amp;AS[[#This Row],[Age Band Code]]&amp;"; "&amp;S7314&amp;AS[[#This Row],[Sex Code]]</f>
        <v xml:space="preserve">Insurer Code ; Reporting Year ; Insurance Category Code ; Large Provider Entity Code ; Age Band Code ; Sex Code </v>
      </c>
      <c r="N7314" s="345" t="s">
        <v>207</v>
      </c>
      <c r="O7314" s="345" t="s">
        <v>208</v>
      </c>
      <c r="P7314" s="345" t="s">
        <v>209</v>
      </c>
      <c r="Q7314" s="345" t="s">
        <v>210</v>
      </c>
      <c r="R7314" s="345" t="s">
        <v>223</v>
      </c>
      <c r="S7314" s="345" t="s">
        <v>224</v>
      </c>
    </row>
    <row r="7315" spans="1:19" x14ac:dyDescent="0.25">
      <c r="A7315" s="311"/>
      <c r="B7315" s="312"/>
      <c r="C7315" s="312"/>
      <c r="D7315" s="312"/>
      <c r="E7315" s="312"/>
      <c r="F7315" s="312"/>
      <c r="G7315" s="328"/>
      <c r="H7315" s="453"/>
      <c r="I7315" s="334"/>
      <c r="J7315" s="314"/>
      <c r="K7315" s="454"/>
      <c r="M7315" s="349" t="str">
        <f>N7315&amp;AS[[#This Row],[Insurer Code]]&amp;"; "&amp;O7315&amp;AS[[#This Row],[Reporting Year]]&amp;"; "&amp;P7315&amp;AS[[#This Row],[Insurance Category Code]]&amp;"; "&amp;Q7315&amp;AS[[#This Row],[Large Provider Entity Code]]&amp;"; "&amp;R7315&amp;AS[[#This Row],[Age Band Code]]&amp;"; "&amp;S7315&amp;AS[[#This Row],[Sex Code]]</f>
        <v xml:space="preserve">Insurer Code ; Reporting Year ; Insurance Category Code ; Large Provider Entity Code ; Age Band Code ; Sex Code </v>
      </c>
      <c r="N7315" s="345" t="s">
        <v>207</v>
      </c>
      <c r="O7315" s="345" t="s">
        <v>208</v>
      </c>
      <c r="P7315" s="345" t="s">
        <v>209</v>
      </c>
      <c r="Q7315" s="345" t="s">
        <v>210</v>
      </c>
      <c r="R7315" s="345" t="s">
        <v>223</v>
      </c>
      <c r="S7315" s="345" t="s">
        <v>224</v>
      </c>
    </row>
    <row r="7316" spans="1:19" x14ac:dyDescent="0.25">
      <c r="A7316" s="311"/>
      <c r="B7316" s="312"/>
      <c r="C7316" s="312"/>
      <c r="D7316" s="312"/>
      <c r="E7316" s="312"/>
      <c r="F7316" s="312"/>
      <c r="G7316" s="328"/>
      <c r="H7316" s="453"/>
      <c r="I7316" s="334"/>
      <c r="J7316" s="314"/>
      <c r="K7316" s="454"/>
      <c r="M7316" s="349" t="str">
        <f>N7316&amp;AS[[#This Row],[Insurer Code]]&amp;"; "&amp;O7316&amp;AS[[#This Row],[Reporting Year]]&amp;"; "&amp;P7316&amp;AS[[#This Row],[Insurance Category Code]]&amp;"; "&amp;Q7316&amp;AS[[#This Row],[Large Provider Entity Code]]&amp;"; "&amp;R7316&amp;AS[[#This Row],[Age Band Code]]&amp;"; "&amp;S7316&amp;AS[[#This Row],[Sex Code]]</f>
        <v xml:space="preserve">Insurer Code ; Reporting Year ; Insurance Category Code ; Large Provider Entity Code ; Age Band Code ; Sex Code </v>
      </c>
      <c r="N7316" s="345" t="s">
        <v>207</v>
      </c>
      <c r="O7316" s="345" t="s">
        <v>208</v>
      </c>
      <c r="P7316" s="345" t="s">
        <v>209</v>
      </c>
      <c r="Q7316" s="345" t="s">
        <v>210</v>
      </c>
      <c r="R7316" s="345" t="s">
        <v>223</v>
      </c>
      <c r="S7316" s="345" t="s">
        <v>224</v>
      </c>
    </row>
    <row r="7317" spans="1:19" x14ac:dyDescent="0.25">
      <c r="A7317" s="311"/>
      <c r="B7317" s="312"/>
      <c r="C7317" s="312"/>
      <c r="D7317" s="312"/>
      <c r="E7317" s="312"/>
      <c r="F7317" s="312"/>
      <c r="G7317" s="328"/>
      <c r="H7317" s="453"/>
      <c r="I7317" s="334"/>
      <c r="J7317" s="314"/>
      <c r="K7317" s="454"/>
      <c r="M7317" s="349" t="str">
        <f>N7317&amp;AS[[#This Row],[Insurer Code]]&amp;"; "&amp;O7317&amp;AS[[#This Row],[Reporting Year]]&amp;"; "&amp;P7317&amp;AS[[#This Row],[Insurance Category Code]]&amp;"; "&amp;Q7317&amp;AS[[#This Row],[Large Provider Entity Code]]&amp;"; "&amp;R7317&amp;AS[[#This Row],[Age Band Code]]&amp;"; "&amp;S7317&amp;AS[[#This Row],[Sex Code]]</f>
        <v xml:space="preserve">Insurer Code ; Reporting Year ; Insurance Category Code ; Large Provider Entity Code ; Age Band Code ; Sex Code </v>
      </c>
      <c r="N7317" s="345" t="s">
        <v>207</v>
      </c>
      <c r="O7317" s="345" t="s">
        <v>208</v>
      </c>
      <c r="P7317" s="345" t="s">
        <v>209</v>
      </c>
      <c r="Q7317" s="345" t="s">
        <v>210</v>
      </c>
      <c r="R7317" s="345" t="s">
        <v>223</v>
      </c>
      <c r="S7317" s="345" t="s">
        <v>224</v>
      </c>
    </row>
    <row r="7318" spans="1:19" x14ac:dyDescent="0.25">
      <c r="A7318" s="311"/>
      <c r="B7318" s="312"/>
      <c r="C7318" s="312"/>
      <c r="D7318" s="312"/>
      <c r="E7318" s="312"/>
      <c r="F7318" s="312"/>
      <c r="G7318" s="328"/>
      <c r="H7318" s="453"/>
      <c r="I7318" s="334"/>
      <c r="J7318" s="314"/>
      <c r="K7318" s="454"/>
      <c r="M7318" s="349" t="str">
        <f>N7318&amp;AS[[#This Row],[Insurer Code]]&amp;"; "&amp;O7318&amp;AS[[#This Row],[Reporting Year]]&amp;"; "&amp;P7318&amp;AS[[#This Row],[Insurance Category Code]]&amp;"; "&amp;Q7318&amp;AS[[#This Row],[Large Provider Entity Code]]&amp;"; "&amp;R7318&amp;AS[[#This Row],[Age Band Code]]&amp;"; "&amp;S7318&amp;AS[[#This Row],[Sex Code]]</f>
        <v xml:space="preserve">Insurer Code ; Reporting Year ; Insurance Category Code ; Large Provider Entity Code ; Age Band Code ; Sex Code </v>
      </c>
      <c r="N7318" s="345" t="s">
        <v>207</v>
      </c>
      <c r="O7318" s="345" t="s">
        <v>208</v>
      </c>
      <c r="P7318" s="345" t="s">
        <v>209</v>
      </c>
      <c r="Q7318" s="345" t="s">
        <v>210</v>
      </c>
      <c r="R7318" s="345" t="s">
        <v>223</v>
      </c>
      <c r="S7318" s="345" t="s">
        <v>224</v>
      </c>
    </row>
    <row r="7319" spans="1:19" x14ac:dyDescent="0.25">
      <c r="A7319" s="311"/>
      <c r="B7319" s="312"/>
      <c r="C7319" s="312"/>
      <c r="D7319" s="312"/>
      <c r="E7319" s="312"/>
      <c r="F7319" s="312"/>
      <c r="G7319" s="328"/>
      <c r="H7319" s="453"/>
      <c r="I7319" s="334"/>
      <c r="J7319" s="314"/>
      <c r="K7319" s="454"/>
      <c r="M7319" s="349" t="str">
        <f>N7319&amp;AS[[#This Row],[Insurer Code]]&amp;"; "&amp;O7319&amp;AS[[#This Row],[Reporting Year]]&amp;"; "&amp;P7319&amp;AS[[#This Row],[Insurance Category Code]]&amp;"; "&amp;Q7319&amp;AS[[#This Row],[Large Provider Entity Code]]&amp;"; "&amp;R7319&amp;AS[[#This Row],[Age Band Code]]&amp;"; "&amp;S7319&amp;AS[[#This Row],[Sex Code]]</f>
        <v xml:space="preserve">Insurer Code ; Reporting Year ; Insurance Category Code ; Large Provider Entity Code ; Age Band Code ; Sex Code </v>
      </c>
      <c r="N7319" s="345" t="s">
        <v>207</v>
      </c>
      <c r="O7319" s="345" t="s">
        <v>208</v>
      </c>
      <c r="P7319" s="345" t="s">
        <v>209</v>
      </c>
      <c r="Q7319" s="345" t="s">
        <v>210</v>
      </c>
      <c r="R7319" s="345" t="s">
        <v>223</v>
      </c>
      <c r="S7319" s="345" t="s">
        <v>224</v>
      </c>
    </row>
    <row r="7320" spans="1:19" x14ac:dyDescent="0.25">
      <c r="A7320" s="311"/>
      <c r="B7320" s="312"/>
      <c r="C7320" s="312"/>
      <c r="D7320" s="312"/>
      <c r="E7320" s="312"/>
      <c r="F7320" s="312"/>
      <c r="G7320" s="328"/>
      <c r="H7320" s="453"/>
      <c r="I7320" s="334"/>
      <c r="J7320" s="314"/>
      <c r="K7320" s="454"/>
      <c r="M7320" s="349" t="str">
        <f>N7320&amp;AS[[#This Row],[Insurer Code]]&amp;"; "&amp;O7320&amp;AS[[#This Row],[Reporting Year]]&amp;"; "&amp;P7320&amp;AS[[#This Row],[Insurance Category Code]]&amp;"; "&amp;Q7320&amp;AS[[#This Row],[Large Provider Entity Code]]&amp;"; "&amp;R7320&amp;AS[[#This Row],[Age Band Code]]&amp;"; "&amp;S7320&amp;AS[[#This Row],[Sex Code]]</f>
        <v xml:space="preserve">Insurer Code ; Reporting Year ; Insurance Category Code ; Large Provider Entity Code ; Age Band Code ; Sex Code </v>
      </c>
      <c r="N7320" s="345" t="s">
        <v>207</v>
      </c>
      <c r="O7320" s="345" t="s">
        <v>208</v>
      </c>
      <c r="P7320" s="345" t="s">
        <v>209</v>
      </c>
      <c r="Q7320" s="345" t="s">
        <v>210</v>
      </c>
      <c r="R7320" s="345" t="s">
        <v>223</v>
      </c>
      <c r="S7320" s="345" t="s">
        <v>224</v>
      </c>
    </row>
    <row r="7321" spans="1:19" x14ac:dyDescent="0.25">
      <c r="A7321" s="311"/>
      <c r="B7321" s="312"/>
      <c r="C7321" s="312"/>
      <c r="D7321" s="312"/>
      <c r="E7321" s="312"/>
      <c r="F7321" s="312"/>
      <c r="G7321" s="328"/>
      <c r="H7321" s="453"/>
      <c r="I7321" s="334"/>
      <c r="J7321" s="314"/>
      <c r="K7321" s="454"/>
      <c r="M7321" s="349" t="str">
        <f>N7321&amp;AS[[#This Row],[Insurer Code]]&amp;"; "&amp;O7321&amp;AS[[#This Row],[Reporting Year]]&amp;"; "&amp;P7321&amp;AS[[#This Row],[Insurance Category Code]]&amp;"; "&amp;Q7321&amp;AS[[#This Row],[Large Provider Entity Code]]&amp;"; "&amp;R7321&amp;AS[[#This Row],[Age Band Code]]&amp;"; "&amp;S7321&amp;AS[[#This Row],[Sex Code]]</f>
        <v xml:space="preserve">Insurer Code ; Reporting Year ; Insurance Category Code ; Large Provider Entity Code ; Age Band Code ; Sex Code </v>
      </c>
      <c r="N7321" s="345" t="s">
        <v>207</v>
      </c>
      <c r="O7321" s="345" t="s">
        <v>208</v>
      </c>
      <c r="P7321" s="345" t="s">
        <v>209</v>
      </c>
      <c r="Q7321" s="345" t="s">
        <v>210</v>
      </c>
      <c r="R7321" s="345" t="s">
        <v>223</v>
      </c>
      <c r="S7321" s="345" t="s">
        <v>224</v>
      </c>
    </row>
    <row r="7322" spans="1:19" x14ac:dyDescent="0.25">
      <c r="A7322" s="311"/>
      <c r="B7322" s="312"/>
      <c r="C7322" s="312"/>
      <c r="D7322" s="312"/>
      <c r="E7322" s="312"/>
      <c r="F7322" s="312"/>
      <c r="G7322" s="328"/>
      <c r="H7322" s="453"/>
      <c r="I7322" s="334"/>
      <c r="J7322" s="314"/>
      <c r="K7322" s="454"/>
      <c r="M7322" s="349" t="str">
        <f>N7322&amp;AS[[#This Row],[Insurer Code]]&amp;"; "&amp;O7322&amp;AS[[#This Row],[Reporting Year]]&amp;"; "&amp;P7322&amp;AS[[#This Row],[Insurance Category Code]]&amp;"; "&amp;Q7322&amp;AS[[#This Row],[Large Provider Entity Code]]&amp;"; "&amp;R7322&amp;AS[[#This Row],[Age Band Code]]&amp;"; "&amp;S7322&amp;AS[[#This Row],[Sex Code]]</f>
        <v xml:space="preserve">Insurer Code ; Reporting Year ; Insurance Category Code ; Large Provider Entity Code ; Age Band Code ; Sex Code </v>
      </c>
      <c r="N7322" s="345" t="s">
        <v>207</v>
      </c>
      <c r="O7322" s="345" t="s">
        <v>208</v>
      </c>
      <c r="P7322" s="345" t="s">
        <v>209</v>
      </c>
      <c r="Q7322" s="345" t="s">
        <v>210</v>
      </c>
      <c r="R7322" s="345" t="s">
        <v>223</v>
      </c>
      <c r="S7322" s="345" t="s">
        <v>224</v>
      </c>
    </row>
    <row r="7323" spans="1:19" x14ac:dyDescent="0.25">
      <c r="A7323" s="311"/>
      <c r="B7323" s="312"/>
      <c r="C7323" s="312"/>
      <c r="D7323" s="312"/>
      <c r="E7323" s="312"/>
      <c r="F7323" s="312"/>
      <c r="G7323" s="328"/>
      <c r="H7323" s="453"/>
      <c r="I7323" s="334"/>
      <c r="J7323" s="314"/>
      <c r="K7323" s="454"/>
      <c r="M7323" s="349" t="str">
        <f>N7323&amp;AS[[#This Row],[Insurer Code]]&amp;"; "&amp;O7323&amp;AS[[#This Row],[Reporting Year]]&amp;"; "&amp;P7323&amp;AS[[#This Row],[Insurance Category Code]]&amp;"; "&amp;Q7323&amp;AS[[#This Row],[Large Provider Entity Code]]&amp;"; "&amp;R7323&amp;AS[[#This Row],[Age Band Code]]&amp;"; "&amp;S7323&amp;AS[[#This Row],[Sex Code]]</f>
        <v xml:space="preserve">Insurer Code ; Reporting Year ; Insurance Category Code ; Large Provider Entity Code ; Age Band Code ; Sex Code </v>
      </c>
      <c r="N7323" s="345" t="s">
        <v>207</v>
      </c>
      <c r="O7323" s="345" t="s">
        <v>208</v>
      </c>
      <c r="P7323" s="345" t="s">
        <v>209</v>
      </c>
      <c r="Q7323" s="345" t="s">
        <v>210</v>
      </c>
      <c r="R7323" s="345" t="s">
        <v>223</v>
      </c>
      <c r="S7323" s="345" t="s">
        <v>224</v>
      </c>
    </row>
    <row r="7324" spans="1:19" x14ac:dyDescent="0.25">
      <c r="A7324" s="311"/>
      <c r="B7324" s="312"/>
      <c r="C7324" s="312"/>
      <c r="D7324" s="312"/>
      <c r="E7324" s="312"/>
      <c r="F7324" s="312"/>
      <c r="G7324" s="328"/>
      <c r="H7324" s="453"/>
      <c r="I7324" s="334"/>
      <c r="J7324" s="314"/>
      <c r="K7324" s="454"/>
      <c r="M7324" s="349" t="str">
        <f>N7324&amp;AS[[#This Row],[Insurer Code]]&amp;"; "&amp;O7324&amp;AS[[#This Row],[Reporting Year]]&amp;"; "&amp;P7324&amp;AS[[#This Row],[Insurance Category Code]]&amp;"; "&amp;Q7324&amp;AS[[#This Row],[Large Provider Entity Code]]&amp;"; "&amp;R7324&amp;AS[[#This Row],[Age Band Code]]&amp;"; "&amp;S7324&amp;AS[[#This Row],[Sex Code]]</f>
        <v xml:space="preserve">Insurer Code ; Reporting Year ; Insurance Category Code ; Large Provider Entity Code ; Age Band Code ; Sex Code </v>
      </c>
      <c r="N7324" s="345" t="s">
        <v>207</v>
      </c>
      <c r="O7324" s="345" t="s">
        <v>208</v>
      </c>
      <c r="P7324" s="345" t="s">
        <v>209</v>
      </c>
      <c r="Q7324" s="345" t="s">
        <v>210</v>
      </c>
      <c r="R7324" s="345" t="s">
        <v>223</v>
      </c>
      <c r="S7324" s="345" t="s">
        <v>224</v>
      </c>
    </row>
    <row r="7325" spans="1:19" x14ac:dyDescent="0.25">
      <c r="A7325" s="311"/>
      <c r="B7325" s="312"/>
      <c r="C7325" s="312"/>
      <c r="D7325" s="312"/>
      <c r="E7325" s="312"/>
      <c r="F7325" s="312"/>
      <c r="G7325" s="328"/>
      <c r="H7325" s="453"/>
      <c r="I7325" s="334"/>
      <c r="J7325" s="314"/>
      <c r="K7325" s="454"/>
      <c r="M7325" s="349" t="str">
        <f>N7325&amp;AS[[#This Row],[Insurer Code]]&amp;"; "&amp;O7325&amp;AS[[#This Row],[Reporting Year]]&amp;"; "&amp;P7325&amp;AS[[#This Row],[Insurance Category Code]]&amp;"; "&amp;Q7325&amp;AS[[#This Row],[Large Provider Entity Code]]&amp;"; "&amp;R7325&amp;AS[[#This Row],[Age Band Code]]&amp;"; "&amp;S7325&amp;AS[[#This Row],[Sex Code]]</f>
        <v xml:space="preserve">Insurer Code ; Reporting Year ; Insurance Category Code ; Large Provider Entity Code ; Age Band Code ; Sex Code </v>
      </c>
      <c r="N7325" s="345" t="s">
        <v>207</v>
      </c>
      <c r="O7325" s="345" t="s">
        <v>208</v>
      </c>
      <c r="P7325" s="345" t="s">
        <v>209</v>
      </c>
      <c r="Q7325" s="345" t="s">
        <v>210</v>
      </c>
      <c r="R7325" s="345" t="s">
        <v>223</v>
      </c>
      <c r="S7325" s="345" t="s">
        <v>224</v>
      </c>
    </row>
    <row r="7326" spans="1:19" x14ac:dyDescent="0.25">
      <c r="A7326" s="311"/>
      <c r="B7326" s="312"/>
      <c r="C7326" s="312"/>
      <c r="D7326" s="312"/>
      <c r="E7326" s="312"/>
      <c r="F7326" s="312"/>
      <c r="G7326" s="328"/>
      <c r="H7326" s="453"/>
      <c r="I7326" s="334"/>
      <c r="J7326" s="314"/>
      <c r="K7326" s="454"/>
      <c r="M7326" s="349" t="str">
        <f>N7326&amp;AS[[#This Row],[Insurer Code]]&amp;"; "&amp;O7326&amp;AS[[#This Row],[Reporting Year]]&amp;"; "&amp;P7326&amp;AS[[#This Row],[Insurance Category Code]]&amp;"; "&amp;Q7326&amp;AS[[#This Row],[Large Provider Entity Code]]&amp;"; "&amp;R7326&amp;AS[[#This Row],[Age Band Code]]&amp;"; "&amp;S7326&amp;AS[[#This Row],[Sex Code]]</f>
        <v xml:space="preserve">Insurer Code ; Reporting Year ; Insurance Category Code ; Large Provider Entity Code ; Age Band Code ; Sex Code </v>
      </c>
      <c r="N7326" s="345" t="s">
        <v>207</v>
      </c>
      <c r="O7326" s="345" t="s">
        <v>208</v>
      </c>
      <c r="P7326" s="345" t="s">
        <v>209</v>
      </c>
      <c r="Q7326" s="345" t="s">
        <v>210</v>
      </c>
      <c r="R7326" s="345" t="s">
        <v>223</v>
      </c>
      <c r="S7326" s="345" t="s">
        <v>224</v>
      </c>
    </row>
    <row r="7327" spans="1:19" x14ac:dyDescent="0.25">
      <c r="A7327" s="311"/>
      <c r="B7327" s="312"/>
      <c r="C7327" s="312"/>
      <c r="D7327" s="312"/>
      <c r="E7327" s="312"/>
      <c r="F7327" s="312"/>
      <c r="G7327" s="328"/>
      <c r="H7327" s="453"/>
      <c r="I7327" s="334"/>
      <c r="J7327" s="314"/>
      <c r="K7327" s="454"/>
      <c r="M7327" s="349" t="str">
        <f>N7327&amp;AS[[#This Row],[Insurer Code]]&amp;"; "&amp;O7327&amp;AS[[#This Row],[Reporting Year]]&amp;"; "&amp;P7327&amp;AS[[#This Row],[Insurance Category Code]]&amp;"; "&amp;Q7327&amp;AS[[#This Row],[Large Provider Entity Code]]&amp;"; "&amp;R7327&amp;AS[[#This Row],[Age Band Code]]&amp;"; "&amp;S7327&amp;AS[[#This Row],[Sex Code]]</f>
        <v xml:space="preserve">Insurer Code ; Reporting Year ; Insurance Category Code ; Large Provider Entity Code ; Age Band Code ; Sex Code </v>
      </c>
      <c r="N7327" s="345" t="s">
        <v>207</v>
      </c>
      <c r="O7327" s="345" t="s">
        <v>208</v>
      </c>
      <c r="P7327" s="345" t="s">
        <v>209</v>
      </c>
      <c r="Q7327" s="345" t="s">
        <v>210</v>
      </c>
      <c r="R7327" s="345" t="s">
        <v>223</v>
      </c>
      <c r="S7327" s="345" t="s">
        <v>224</v>
      </c>
    </row>
    <row r="7328" spans="1:19" x14ac:dyDescent="0.25">
      <c r="A7328" s="311"/>
      <c r="B7328" s="312"/>
      <c r="C7328" s="312"/>
      <c r="D7328" s="312"/>
      <c r="E7328" s="312"/>
      <c r="F7328" s="312"/>
      <c r="G7328" s="328"/>
      <c r="H7328" s="453"/>
      <c r="I7328" s="334"/>
      <c r="J7328" s="314"/>
      <c r="K7328" s="454"/>
      <c r="M7328" s="349" t="str">
        <f>N7328&amp;AS[[#This Row],[Insurer Code]]&amp;"; "&amp;O7328&amp;AS[[#This Row],[Reporting Year]]&amp;"; "&amp;P7328&amp;AS[[#This Row],[Insurance Category Code]]&amp;"; "&amp;Q7328&amp;AS[[#This Row],[Large Provider Entity Code]]&amp;"; "&amp;R7328&amp;AS[[#This Row],[Age Band Code]]&amp;"; "&amp;S7328&amp;AS[[#This Row],[Sex Code]]</f>
        <v xml:space="preserve">Insurer Code ; Reporting Year ; Insurance Category Code ; Large Provider Entity Code ; Age Band Code ; Sex Code </v>
      </c>
      <c r="N7328" s="345" t="s">
        <v>207</v>
      </c>
      <c r="O7328" s="345" t="s">
        <v>208</v>
      </c>
      <c r="P7328" s="345" t="s">
        <v>209</v>
      </c>
      <c r="Q7328" s="345" t="s">
        <v>210</v>
      </c>
      <c r="R7328" s="345" t="s">
        <v>223</v>
      </c>
      <c r="S7328" s="345" t="s">
        <v>224</v>
      </c>
    </row>
    <row r="7329" spans="1:19" x14ac:dyDescent="0.25">
      <c r="A7329" s="311"/>
      <c r="B7329" s="312"/>
      <c r="C7329" s="312"/>
      <c r="D7329" s="312"/>
      <c r="E7329" s="312"/>
      <c r="F7329" s="312"/>
      <c r="G7329" s="328"/>
      <c r="H7329" s="453"/>
      <c r="I7329" s="334"/>
      <c r="J7329" s="314"/>
      <c r="K7329" s="454"/>
      <c r="M7329" s="349" t="str">
        <f>N7329&amp;AS[[#This Row],[Insurer Code]]&amp;"; "&amp;O7329&amp;AS[[#This Row],[Reporting Year]]&amp;"; "&amp;P7329&amp;AS[[#This Row],[Insurance Category Code]]&amp;"; "&amp;Q7329&amp;AS[[#This Row],[Large Provider Entity Code]]&amp;"; "&amp;R7329&amp;AS[[#This Row],[Age Band Code]]&amp;"; "&amp;S7329&amp;AS[[#This Row],[Sex Code]]</f>
        <v xml:space="preserve">Insurer Code ; Reporting Year ; Insurance Category Code ; Large Provider Entity Code ; Age Band Code ; Sex Code </v>
      </c>
      <c r="N7329" s="345" t="s">
        <v>207</v>
      </c>
      <c r="O7329" s="345" t="s">
        <v>208</v>
      </c>
      <c r="P7329" s="345" t="s">
        <v>209</v>
      </c>
      <c r="Q7329" s="345" t="s">
        <v>210</v>
      </c>
      <c r="R7329" s="345" t="s">
        <v>223</v>
      </c>
      <c r="S7329" s="345" t="s">
        <v>224</v>
      </c>
    </row>
    <row r="7330" spans="1:19" x14ac:dyDescent="0.25">
      <c r="A7330" s="311"/>
      <c r="B7330" s="312"/>
      <c r="C7330" s="312"/>
      <c r="D7330" s="312"/>
      <c r="E7330" s="312"/>
      <c r="F7330" s="312"/>
      <c r="G7330" s="328"/>
      <c r="H7330" s="453"/>
      <c r="I7330" s="334"/>
      <c r="J7330" s="314"/>
      <c r="K7330" s="454"/>
      <c r="M7330" s="349" t="str">
        <f>N7330&amp;AS[[#This Row],[Insurer Code]]&amp;"; "&amp;O7330&amp;AS[[#This Row],[Reporting Year]]&amp;"; "&amp;P7330&amp;AS[[#This Row],[Insurance Category Code]]&amp;"; "&amp;Q7330&amp;AS[[#This Row],[Large Provider Entity Code]]&amp;"; "&amp;R7330&amp;AS[[#This Row],[Age Band Code]]&amp;"; "&amp;S7330&amp;AS[[#This Row],[Sex Code]]</f>
        <v xml:space="preserve">Insurer Code ; Reporting Year ; Insurance Category Code ; Large Provider Entity Code ; Age Band Code ; Sex Code </v>
      </c>
      <c r="N7330" s="345" t="s">
        <v>207</v>
      </c>
      <c r="O7330" s="345" t="s">
        <v>208</v>
      </c>
      <c r="P7330" s="345" t="s">
        <v>209</v>
      </c>
      <c r="Q7330" s="345" t="s">
        <v>210</v>
      </c>
      <c r="R7330" s="345" t="s">
        <v>223</v>
      </c>
      <c r="S7330" s="345" t="s">
        <v>224</v>
      </c>
    </row>
    <row r="7331" spans="1:19" x14ac:dyDescent="0.25">
      <c r="A7331" s="311"/>
      <c r="B7331" s="312"/>
      <c r="C7331" s="312"/>
      <c r="D7331" s="312"/>
      <c r="E7331" s="312"/>
      <c r="F7331" s="312"/>
      <c r="G7331" s="328"/>
      <c r="H7331" s="453"/>
      <c r="I7331" s="334"/>
      <c r="J7331" s="314"/>
      <c r="K7331" s="454"/>
      <c r="M7331" s="349" t="str">
        <f>N7331&amp;AS[[#This Row],[Insurer Code]]&amp;"; "&amp;O7331&amp;AS[[#This Row],[Reporting Year]]&amp;"; "&amp;P7331&amp;AS[[#This Row],[Insurance Category Code]]&amp;"; "&amp;Q7331&amp;AS[[#This Row],[Large Provider Entity Code]]&amp;"; "&amp;R7331&amp;AS[[#This Row],[Age Band Code]]&amp;"; "&amp;S7331&amp;AS[[#This Row],[Sex Code]]</f>
        <v xml:space="preserve">Insurer Code ; Reporting Year ; Insurance Category Code ; Large Provider Entity Code ; Age Band Code ; Sex Code </v>
      </c>
      <c r="N7331" s="345" t="s">
        <v>207</v>
      </c>
      <c r="O7331" s="345" t="s">
        <v>208</v>
      </c>
      <c r="P7331" s="345" t="s">
        <v>209</v>
      </c>
      <c r="Q7331" s="345" t="s">
        <v>210</v>
      </c>
      <c r="R7331" s="345" t="s">
        <v>223</v>
      </c>
      <c r="S7331" s="345" t="s">
        <v>224</v>
      </c>
    </row>
    <row r="7332" spans="1:19" x14ac:dyDescent="0.25">
      <c r="A7332" s="311"/>
      <c r="B7332" s="312"/>
      <c r="C7332" s="312"/>
      <c r="D7332" s="312"/>
      <c r="E7332" s="312"/>
      <c r="F7332" s="312"/>
      <c r="G7332" s="328"/>
      <c r="H7332" s="453"/>
      <c r="I7332" s="334"/>
      <c r="J7332" s="314"/>
      <c r="K7332" s="454"/>
      <c r="M7332" s="349" t="str">
        <f>N7332&amp;AS[[#This Row],[Insurer Code]]&amp;"; "&amp;O7332&amp;AS[[#This Row],[Reporting Year]]&amp;"; "&amp;P7332&amp;AS[[#This Row],[Insurance Category Code]]&amp;"; "&amp;Q7332&amp;AS[[#This Row],[Large Provider Entity Code]]&amp;"; "&amp;R7332&amp;AS[[#This Row],[Age Band Code]]&amp;"; "&amp;S7332&amp;AS[[#This Row],[Sex Code]]</f>
        <v xml:space="preserve">Insurer Code ; Reporting Year ; Insurance Category Code ; Large Provider Entity Code ; Age Band Code ; Sex Code </v>
      </c>
      <c r="N7332" s="345" t="s">
        <v>207</v>
      </c>
      <c r="O7332" s="345" t="s">
        <v>208</v>
      </c>
      <c r="P7332" s="345" t="s">
        <v>209</v>
      </c>
      <c r="Q7332" s="345" t="s">
        <v>210</v>
      </c>
      <c r="R7332" s="345" t="s">
        <v>223</v>
      </c>
      <c r="S7332" s="345" t="s">
        <v>224</v>
      </c>
    </row>
    <row r="7333" spans="1:19" x14ac:dyDescent="0.25">
      <c r="A7333" s="311"/>
      <c r="B7333" s="312"/>
      <c r="C7333" s="312"/>
      <c r="D7333" s="312"/>
      <c r="E7333" s="312"/>
      <c r="F7333" s="312"/>
      <c r="G7333" s="328"/>
      <c r="H7333" s="453"/>
      <c r="I7333" s="334"/>
      <c r="J7333" s="314"/>
      <c r="K7333" s="454"/>
      <c r="M7333" s="349" t="str">
        <f>N7333&amp;AS[[#This Row],[Insurer Code]]&amp;"; "&amp;O7333&amp;AS[[#This Row],[Reporting Year]]&amp;"; "&amp;P7333&amp;AS[[#This Row],[Insurance Category Code]]&amp;"; "&amp;Q7333&amp;AS[[#This Row],[Large Provider Entity Code]]&amp;"; "&amp;R7333&amp;AS[[#This Row],[Age Band Code]]&amp;"; "&amp;S7333&amp;AS[[#This Row],[Sex Code]]</f>
        <v xml:space="preserve">Insurer Code ; Reporting Year ; Insurance Category Code ; Large Provider Entity Code ; Age Band Code ; Sex Code </v>
      </c>
      <c r="N7333" s="345" t="s">
        <v>207</v>
      </c>
      <c r="O7333" s="345" t="s">
        <v>208</v>
      </c>
      <c r="P7333" s="345" t="s">
        <v>209</v>
      </c>
      <c r="Q7333" s="345" t="s">
        <v>210</v>
      </c>
      <c r="R7333" s="345" t="s">
        <v>223</v>
      </c>
      <c r="S7333" s="345" t="s">
        <v>224</v>
      </c>
    </row>
    <row r="7334" spans="1:19" x14ac:dyDescent="0.25">
      <c r="A7334" s="311"/>
      <c r="B7334" s="312"/>
      <c r="C7334" s="312"/>
      <c r="D7334" s="312"/>
      <c r="E7334" s="312"/>
      <c r="F7334" s="312"/>
      <c r="G7334" s="328"/>
      <c r="H7334" s="453"/>
      <c r="I7334" s="334"/>
      <c r="J7334" s="314"/>
      <c r="K7334" s="454"/>
      <c r="M7334" s="349" t="str">
        <f>N7334&amp;AS[[#This Row],[Insurer Code]]&amp;"; "&amp;O7334&amp;AS[[#This Row],[Reporting Year]]&amp;"; "&amp;P7334&amp;AS[[#This Row],[Insurance Category Code]]&amp;"; "&amp;Q7334&amp;AS[[#This Row],[Large Provider Entity Code]]&amp;"; "&amp;R7334&amp;AS[[#This Row],[Age Band Code]]&amp;"; "&amp;S7334&amp;AS[[#This Row],[Sex Code]]</f>
        <v xml:space="preserve">Insurer Code ; Reporting Year ; Insurance Category Code ; Large Provider Entity Code ; Age Band Code ; Sex Code </v>
      </c>
      <c r="N7334" s="345" t="s">
        <v>207</v>
      </c>
      <c r="O7334" s="345" t="s">
        <v>208</v>
      </c>
      <c r="P7334" s="345" t="s">
        <v>209</v>
      </c>
      <c r="Q7334" s="345" t="s">
        <v>210</v>
      </c>
      <c r="R7334" s="345" t="s">
        <v>223</v>
      </c>
      <c r="S7334" s="345" t="s">
        <v>224</v>
      </c>
    </row>
    <row r="7335" spans="1:19" x14ac:dyDescent="0.25">
      <c r="A7335" s="311"/>
      <c r="B7335" s="312"/>
      <c r="C7335" s="312"/>
      <c r="D7335" s="312"/>
      <c r="E7335" s="312"/>
      <c r="F7335" s="312"/>
      <c r="G7335" s="328"/>
      <c r="H7335" s="453"/>
      <c r="I7335" s="334"/>
      <c r="J7335" s="314"/>
      <c r="K7335" s="454"/>
      <c r="M7335" s="349" t="str">
        <f>N7335&amp;AS[[#This Row],[Insurer Code]]&amp;"; "&amp;O7335&amp;AS[[#This Row],[Reporting Year]]&amp;"; "&amp;P7335&amp;AS[[#This Row],[Insurance Category Code]]&amp;"; "&amp;Q7335&amp;AS[[#This Row],[Large Provider Entity Code]]&amp;"; "&amp;R7335&amp;AS[[#This Row],[Age Band Code]]&amp;"; "&amp;S7335&amp;AS[[#This Row],[Sex Code]]</f>
        <v xml:space="preserve">Insurer Code ; Reporting Year ; Insurance Category Code ; Large Provider Entity Code ; Age Band Code ; Sex Code </v>
      </c>
      <c r="N7335" s="345" t="s">
        <v>207</v>
      </c>
      <c r="O7335" s="345" t="s">
        <v>208</v>
      </c>
      <c r="P7335" s="345" t="s">
        <v>209</v>
      </c>
      <c r="Q7335" s="345" t="s">
        <v>210</v>
      </c>
      <c r="R7335" s="345" t="s">
        <v>223</v>
      </c>
      <c r="S7335" s="345" t="s">
        <v>224</v>
      </c>
    </row>
    <row r="7336" spans="1:19" x14ac:dyDescent="0.25">
      <c r="A7336" s="311"/>
      <c r="B7336" s="312"/>
      <c r="C7336" s="312"/>
      <c r="D7336" s="312"/>
      <c r="E7336" s="312"/>
      <c r="F7336" s="312"/>
      <c r="G7336" s="328"/>
      <c r="H7336" s="453"/>
      <c r="I7336" s="334"/>
      <c r="J7336" s="314"/>
      <c r="K7336" s="454"/>
      <c r="M7336" s="349" t="str">
        <f>N7336&amp;AS[[#This Row],[Insurer Code]]&amp;"; "&amp;O7336&amp;AS[[#This Row],[Reporting Year]]&amp;"; "&amp;P7336&amp;AS[[#This Row],[Insurance Category Code]]&amp;"; "&amp;Q7336&amp;AS[[#This Row],[Large Provider Entity Code]]&amp;"; "&amp;R7336&amp;AS[[#This Row],[Age Band Code]]&amp;"; "&amp;S7336&amp;AS[[#This Row],[Sex Code]]</f>
        <v xml:space="preserve">Insurer Code ; Reporting Year ; Insurance Category Code ; Large Provider Entity Code ; Age Band Code ; Sex Code </v>
      </c>
      <c r="N7336" s="345" t="s">
        <v>207</v>
      </c>
      <c r="O7336" s="345" t="s">
        <v>208</v>
      </c>
      <c r="P7336" s="345" t="s">
        <v>209</v>
      </c>
      <c r="Q7336" s="345" t="s">
        <v>210</v>
      </c>
      <c r="R7336" s="345" t="s">
        <v>223</v>
      </c>
      <c r="S7336" s="345" t="s">
        <v>224</v>
      </c>
    </row>
    <row r="7337" spans="1:19" x14ac:dyDescent="0.25">
      <c r="A7337" s="311"/>
      <c r="B7337" s="312"/>
      <c r="C7337" s="312"/>
      <c r="D7337" s="312"/>
      <c r="E7337" s="312"/>
      <c r="F7337" s="312"/>
      <c r="G7337" s="328"/>
      <c r="H7337" s="453"/>
      <c r="I7337" s="334"/>
      <c r="J7337" s="314"/>
      <c r="K7337" s="454"/>
      <c r="M7337" s="349" t="str">
        <f>N7337&amp;AS[[#This Row],[Insurer Code]]&amp;"; "&amp;O7337&amp;AS[[#This Row],[Reporting Year]]&amp;"; "&amp;P7337&amp;AS[[#This Row],[Insurance Category Code]]&amp;"; "&amp;Q7337&amp;AS[[#This Row],[Large Provider Entity Code]]&amp;"; "&amp;R7337&amp;AS[[#This Row],[Age Band Code]]&amp;"; "&amp;S7337&amp;AS[[#This Row],[Sex Code]]</f>
        <v xml:space="preserve">Insurer Code ; Reporting Year ; Insurance Category Code ; Large Provider Entity Code ; Age Band Code ; Sex Code </v>
      </c>
      <c r="N7337" s="345" t="s">
        <v>207</v>
      </c>
      <c r="O7337" s="345" t="s">
        <v>208</v>
      </c>
      <c r="P7337" s="345" t="s">
        <v>209</v>
      </c>
      <c r="Q7337" s="345" t="s">
        <v>210</v>
      </c>
      <c r="R7337" s="345" t="s">
        <v>223</v>
      </c>
      <c r="S7337" s="345" t="s">
        <v>224</v>
      </c>
    </row>
    <row r="7338" spans="1:19" x14ac:dyDescent="0.25">
      <c r="A7338" s="311"/>
      <c r="B7338" s="312"/>
      <c r="C7338" s="312"/>
      <c r="D7338" s="312"/>
      <c r="E7338" s="312"/>
      <c r="F7338" s="312"/>
      <c r="G7338" s="328"/>
      <c r="H7338" s="453"/>
      <c r="I7338" s="334"/>
      <c r="J7338" s="314"/>
      <c r="K7338" s="454"/>
      <c r="M7338" s="349" t="str">
        <f>N7338&amp;AS[[#This Row],[Insurer Code]]&amp;"; "&amp;O7338&amp;AS[[#This Row],[Reporting Year]]&amp;"; "&amp;P7338&amp;AS[[#This Row],[Insurance Category Code]]&amp;"; "&amp;Q7338&amp;AS[[#This Row],[Large Provider Entity Code]]&amp;"; "&amp;R7338&amp;AS[[#This Row],[Age Band Code]]&amp;"; "&amp;S7338&amp;AS[[#This Row],[Sex Code]]</f>
        <v xml:space="preserve">Insurer Code ; Reporting Year ; Insurance Category Code ; Large Provider Entity Code ; Age Band Code ; Sex Code </v>
      </c>
      <c r="N7338" s="345" t="s">
        <v>207</v>
      </c>
      <c r="O7338" s="345" t="s">
        <v>208</v>
      </c>
      <c r="P7338" s="345" t="s">
        <v>209</v>
      </c>
      <c r="Q7338" s="345" t="s">
        <v>210</v>
      </c>
      <c r="R7338" s="345" t="s">
        <v>223</v>
      </c>
      <c r="S7338" s="345" t="s">
        <v>224</v>
      </c>
    </row>
    <row r="7339" spans="1:19" x14ac:dyDescent="0.25">
      <c r="A7339" s="311"/>
      <c r="B7339" s="312"/>
      <c r="C7339" s="312"/>
      <c r="D7339" s="312"/>
      <c r="E7339" s="312"/>
      <c r="F7339" s="312"/>
      <c r="G7339" s="328"/>
      <c r="H7339" s="453"/>
      <c r="I7339" s="334"/>
      <c r="J7339" s="314"/>
      <c r="K7339" s="454"/>
      <c r="M7339" s="349" t="str">
        <f>N7339&amp;AS[[#This Row],[Insurer Code]]&amp;"; "&amp;O7339&amp;AS[[#This Row],[Reporting Year]]&amp;"; "&amp;P7339&amp;AS[[#This Row],[Insurance Category Code]]&amp;"; "&amp;Q7339&amp;AS[[#This Row],[Large Provider Entity Code]]&amp;"; "&amp;R7339&amp;AS[[#This Row],[Age Band Code]]&amp;"; "&amp;S7339&amp;AS[[#This Row],[Sex Code]]</f>
        <v xml:space="preserve">Insurer Code ; Reporting Year ; Insurance Category Code ; Large Provider Entity Code ; Age Band Code ; Sex Code </v>
      </c>
      <c r="N7339" s="345" t="s">
        <v>207</v>
      </c>
      <c r="O7339" s="345" t="s">
        <v>208</v>
      </c>
      <c r="P7339" s="345" t="s">
        <v>209</v>
      </c>
      <c r="Q7339" s="345" t="s">
        <v>210</v>
      </c>
      <c r="R7339" s="345" t="s">
        <v>223</v>
      </c>
      <c r="S7339" s="345" t="s">
        <v>224</v>
      </c>
    </row>
    <row r="7340" spans="1:19" x14ac:dyDescent="0.25">
      <c r="A7340" s="311"/>
      <c r="B7340" s="312"/>
      <c r="C7340" s="312"/>
      <c r="D7340" s="312"/>
      <c r="E7340" s="312"/>
      <c r="F7340" s="312"/>
      <c r="G7340" s="328"/>
      <c r="H7340" s="453"/>
      <c r="I7340" s="334"/>
      <c r="J7340" s="314"/>
      <c r="K7340" s="454"/>
      <c r="M7340" s="349" t="str">
        <f>N7340&amp;AS[[#This Row],[Insurer Code]]&amp;"; "&amp;O7340&amp;AS[[#This Row],[Reporting Year]]&amp;"; "&amp;P7340&amp;AS[[#This Row],[Insurance Category Code]]&amp;"; "&amp;Q7340&amp;AS[[#This Row],[Large Provider Entity Code]]&amp;"; "&amp;R7340&amp;AS[[#This Row],[Age Band Code]]&amp;"; "&amp;S7340&amp;AS[[#This Row],[Sex Code]]</f>
        <v xml:space="preserve">Insurer Code ; Reporting Year ; Insurance Category Code ; Large Provider Entity Code ; Age Band Code ; Sex Code </v>
      </c>
      <c r="N7340" s="345" t="s">
        <v>207</v>
      </c>
      <c r="O7340" s="345" t="s">
        <v>208</v>
      </c>
      <c r="P7340" s="345" t="s">
        <v>209</v>
      </c>
      <c r="Q7340" s="345" t="s">
        <v>210</v>
      </c>
      <c r="R7340" s="345" t="s">
        <v>223</v>
      </c>
      <c r="S7340" s="345" t="s">
        <v>224</v>
      </c>
    </row>
    <row r="7341" spans="1:19" x14ac:dyDescent="0.25">
      <c r="A7341" s="311"/>
      <c r="B7341" s="312"/>
      <c r="C7341" s="312"/>
      <c r="D7341" s="312"/>
      <c r="E7341" s="312"/>
      <c r="F7341" s="312"/>
      <c r="G7341" s="328"/>
      <c r="H7341" s="453"/>
      <c r="I7341" s="334"/>
      <c r="J7341" s="314"/>
      <c r="K7341" s="454"/>
      <c r="M7341" s="349" t="str">
        <f>N7341&amp;AS[[#This Row],[Insurer Code]]&amp;"; "&amp;O7341&amp;AS[[#This Row],[Reporting Year]]&amp;"; "&amp;P7341&amp;AS[[#This Row],[Insurance Category Code]]&amp;"; "&amp;Q7341&amp;AS[[#This Row],[Large Provider Entity Code]]&amp;"; "&amp;R7341&amp;AS[[#This Row],[Age Band Code]]&amp;"; "&amp;S7341&amp;AS[[#This Row],[Sex Code]]</f>
        <v xml:space="preserve">Insurer Code ; Reporting Year ; Insurance Category Code ; Large Provider Entity Code ; Age Band Code ; Sex Code </v>
      </c>
      <c r="N7341" s="345" t="s">
        <v>207</v>
      </c>
      <c r="O7341" s="345" t="s">
        <v>208</v>
      </c>
      <c r="P7341" s="345" t="s">
        <v>209</v>
      </c>
      <c r="Q7341" s="345" t="s">
        <v>210</v>
      </c>
      <c r="R7341" s="345" t="s">
        <v>223</v>
      </c>
      <c r="S7341" s="345" t="s">
        <v>224</v>
      </c>
    </row>
    <row r="7342" spans="1:19" x14ac:dyDescent="0.25">
      <c r="A7342" s="311"/>
      <c r="B7342" s="312"/>
      <c r="C7342" s="312"/>
      <c r="D7342" s="312"/>
      <c r="E7342" s="312"/>
      <c r="F7342" s="312"/>
      <c r="G7342" s="328"/>
      <c r="H7342" s="453"/>
      <c r="I7342" s="334"/>
      <c r="J7342" s="314"/>
      <c r="K7342" s="454"/>
      <c r="M7342" s="349" t="str">
        <f>N7342&amp;AS[[#This Row],[Insurer Code]]&amp;"; "&amp;O7342&amp;AS[[#This Row],[Reporting Year]]&amp;"; "&amp;P7342&amp;AS[[#This Row],[Insurance Category Code]]&amp;"; "&amp;Q7342&amp;AS[[#This Row],[Large Provider Entity Code]]&amp;"; "&amp;R7342&amp;AS[[#This Row],[Age Band Code]]&amp;"; "&amp;S7342&amp;AS[[#This Row],[Sex Code]]</f>
        <v xml:space="preserve">Insurer Code ; Reporting Year ; Insurance Category Code ; Large Provider Entity Code ; Age Band Code ; Sex Code </v>
      </c>
      <c r="N7342" s="345" t="s">
        <v>207</v>
      </c>
      <c r="O7342" s="345" t="s">
        <v>208</v>
      </c>
      <c r="P7342" s="345" t="s">
        <v>209</v>
      </c>
      <c r="Q7342" s="345" t="s">
        <v>210</v>
      </c>
      <c r="R7342" s="345" t="s">
        <v>223</v>
      </c>
      <c r="S7342" s="345" t="s">
        <v>224</v>
      </c>
    </row>
    <row r="7343" spans="1:19" x14ac:dyDescent="0.25">
      <c r="A7343" s="311"/>
      <c r="B7343" s="312"/>
      <c r="C7343" s="312"/>
      <c r="D7343" s="312"/>
      <c r="E7343" s="312"/>
      <c r="F7343" s="312"/>
      <c r="G7343" s="328"/>
      <c r="H7343" s="453"/>
      <c r="I7343" s="334"/>
      <c r="J7343" s="314"/>
      <c r="K7343" s="454"/>
      <c r="M7343" s="349" t="str">
        <f>N7343&amp;AS[[#This Row],[Insurer Code]]&amp;"; "&amp;O7343&amp;AS[[#This Row],[Reporting Year]]&amp;"; "&amp;P7343&amp;AS[[#This Row],[Insurance Category Code]]&amp;"; "&amp;Q7343&amp;AS[[#This Row],[Large Provider Entity Code]]&amp;"; "&amp;R7343&amp;AS[[#This Row],[Age Band Code]]&amp;"; "&amp;S7343&amp;AS[[#This Row],[Sex Code]]</f>
        <v xml:space="preserve">Insurer Code ; Reporting Year ; Insurance Category Code ; Large Provider Entity Code ; Age Band Code ; Sex Code </v>
      </c>
      <c r="N7343" s="345" t="s">
        <v>207</v>
      </c>
      <c r="O7343" s="345" t="s">
        <v>208</v>
      </c>
      <c r="P7343" s="345" t="s">
        <v>209</v>
      </c>
      <c r="Q7343" s="345" t="s">
        <v>210</v>
      </c>
      <c r="R7343" s="345" t="s">
        <v>223</v>
      </c>
      <c r="S7343" s="345" t="s">
        <v>224</v>
      </c>
    </row>
    <row r="7344" spans="1:19" x14ac:dyDescent="0.25">
      <c r="A7344" s="311"/>
      <c r="B7344" s="312"/>
      <c r="C7344" s="312"/>
      <c r="D7344" s="312"/>
      <c r="E7344" s="312"/>
      <c r="F7344" s="312"/>
      <c r="G7344" s="328"/>
      <c r="H7344" s="453"/>
      <c r="I7344" s="334"/>
      <c r="J7344" s="314"/>
      <c r="K7344" s="454"/>
      <c r="M7344" s="349" t="str">
        <f>N7344&amp;AS[[#This Row],[Insurer Code]]&amp;"; "&amp;O7344&amp;AS[[#This Row],[Reporting Year]]&amp;"; "&amp;P7344&amp;AS[[#This Row],[Insurance Category Code]]&amp;"; "&amp;Q7344&amp;AS[[#This Row],[Large Provider Entity Code]]&amp;"; "&amp;R7344&amp;AS[[#This Row],[Age Band Code]]&amp;"; "&amp;S7344&amp;AS[[#This Row],[Sex Code]]</f>
        <v xml:space="preserve">Insurer Code ; Reporting Year ; Insurance Category Code ; Large Provider Entity Code ; Age Band Code ; Sex Code </v>
      </c>
      <c r="N7344" s="345" t="s">
        <v>207</v>
      </c>
      <c r="O7344" s="345" t="s">
        <v>208</v>
      </c>
      <c r="P7344" s="345" t="s">
        <v>209</v>
      </c>
      <c r="Q7344" s="345" t="s">
        <v>210</v>
      </c>
      <c r="R7344" s="345" t="s">
        <v>223</v>
      </c>
      <c r="S7344" s="345" t="s">
        <v>224</v>
      </c>
    </row>
    <row r="7345" spans="1:19" x14ac:dyDescent="0.25">
      <c r="A7345" s="311"/>
      <c r="B7345" s="312"/>
      <c r="C7345" s="312"/>
      <c r="D7345" s="312"/>
      <c r="E7345" s="312"/>
      <c r="F7345" s="312"/>
      <c r="G7345" s="328"/>
      <c r="H7345" s="453"/>
      <c r="I7345" s="334"/>
      <c r="J7345" s="314"/>
      <c r="K7345" s="454"/>
      <c r="M7345" s="349" t="str">
        <f>N7345&amp;AS[[#This Row],[Insurer Code]]&amp;"; "&amp;O7345&amp;AS[[#This Row],[Reporting Year]]&amp;"; "&amp;P7345&amp;AS[[#This Row],[Insurance Category Code]]&amp;"; "&amp;Q7345&amp;AS[[#This Row],[Large Provider Entity Code]]&amp;"; "&amp;R7345&amp;AS[[#This Row],[Age Band Code]]&amp;"; "&amp;S7345&amp;AS[[#This Row],[Sex Code]]</f>
        <v xml:space="preserve">Insurer Code ; Reporting Year ; Insurance Category Code ; Large Provider Entity Code ; Age Band Code ; Sex Code </v>
      </c>
      <c r="N7345" s="345" t="s">
        <v>207</v>
      </c>
      <c r="O7345" s="345" t="s">
        <v>208</v>
      </c>
      <c r="P7345" s="345" t="s">
        <v>209</v>
      </c>
      <c r="Q7345" s="345" t="s">
        <v>210</v>
      </c>
      <c r="R7345" s="345" t="s">
        <v>223</v>
      </c>
      <c r="S7345" s="345" t="s">
        <v>224</v>
      </c>
    </row>
    <row r="7346" spans="1:19" x14ac:dyDescent="0.25">
      <c r="A7346" s="311"/>
      <c r="B7346" s="312"/>
      <c r="C7346" s="312"/>
      <c r="D7346" s="312"/>
      <c r="E7346" s="312"/>
      <c r="F7346" s="312"/>
      <c r="G7346" s="328"/>
      <c r="H7346" s="453"/>
      <c r="I7346" s="334"/>
      <c r="J7346" s="314"/>
      <c r="K7346" s="454"/>
      <c r="M7346" s="349" t="str">
        <f>N7346&amp;AS[[#This Row],[Insurer Code]]&amp;"; "&amp;O7346&amp;AS[[#This Row],[Reporting Year]]&amp;"; "&amp;P7346&amp;AS[[#This Row],[Insurance Category Code]]&amp;"; "&amp;Q7346&amp;AS[[#This Row],[Large Provider Entity Code]]&amp;"; "&amp;R7346&amp;AS[[#This Row],[Age Band Code]]&amp;"; "&amp;S7346&amp;AS[[#This Row],[Sex Code]]</f>
        <v xml:space="preserve">Insurer Code ; Reporting Year ; Insurance Category Code ; Large Provider Entity Code ; Age Band Code ; Sex Code </v>
      </c>
      <c r="N7346" s="345" t="s">
        <v>207</v>
      </c>
      <c r="O7346" s="345" t="s">
        <v>208</v>
      </c>
      <c r="P7346" s="345" t="s">
        <v>209</v>
      </c>
      <c r="Q7346" s="345" t="s">
        <v>210</v>
      </c>
      <c r="R7346" s="345" t="s">
        <v>223</v>
      </c>
      <c r="S7346" s="345" t="s">
        <v>224</v>
      </c>
    </row>
    <row r="7347" spans="1:19" x14ac:dyDescent="0.25">
      <c r="A7347" s="311"/>
      <c r="B7347" s="312"/>
      <c r="C7347" s="312"/>
      <c r="D7347" s="312"/>
      <c r="E7347" s="312"/>
      <c r="F7347" s="312"/>
      <c r="G7347" s="328"/>
      <c r="H7347" s="453"/>
      <c r="I7347" s="334"/>
      <c r="J7347" s="314"/>
      <c r="K7347" s="454"/>
      <c r="M7347" s="349" t="str">
        <f>N7347&amp;AS[[#This Row],[Insurer Code]]&amp;"; "&amp;O7347&amp;AS[[#This Row],[Reporting Year]]&amp;"; "&amp;P7347&amp;AS[[#This Row],[Insurance Category Code]]&amp;"; "&amp;Q7347&amp;AS[[#This Row],[Large Provider Entity Code]]&amp;"; "&amp;R7347&amp;AS[[#This Row],[Age Band Code]]&amp;"; "&amp;S7347&amp;AS[[#This Row],[Sex Code]]</f>
        <v xml:space="preserve">Insurer Code ; Reporting Year ; Insurance Category Code ; Large Provider Entity Code ; Age Band Code ; Sex Code </v>
      </c>
      <c r="N7347" s="345" t="s">
        <v>207</v>
      </c>
      <c r="O7347" s="345" t="s">
        <v>208</v>
      </c>
      <c r="P7347" s="345" t="s">
        <v>209</v>
      </c>
      <c r="Q7347" s="345" t="s">
        <v>210</v>
      </c>
      <c r="R7347" s="345" t="s">
        <v>223</v>
      </c>
      <c r="S7347" s="345" t="s">
        <v>224</v>
      </c>
    </row>
    <row r="7348" spans="1:19" x14ac:dyDescent="0.25">
      <c r="A7348" s="311"/>
      <c r="B7348" s="312"/>
      <c r="C7348" s="312"/>
      <c r="D7348" s="312"/>
      <c r="E7348" s="312"/>
      <c r="F7348" s="312"/>
      <c r="G7348" s="328"/>
      <c r="H7348" s="453"/>
      <c r="I7348" s="334"/>
      <c r="J7348" s="314"/>
      <c r="K7348" s="454"/>
      <c r="M7348" s="349" t="str">
        <f>N7348&amp;AS[[#This Row],[Insurer Code]]&amp;"; "&amp;O7348&amp;AS[[#This Row],[Reporting Year]]&amp;"; "&amp;P7348&amp;AS[[#This Row],[Insurance Category Code]]&amp;"; "&amp;Q7348&amp;AS[[#This Row],[Large Provider Entity Code]]&amp;"; "&amp;R7348&amp;AS[[#This Row],[Age Band Code]]&amp;"; "&amp;S7348&amp;AS[[#This Row],[Sex Code]]</f>
        <v xml:space="preserve">Insurer Code ; Reporting Year ; Insurance Category Code ; Large Provider Entity Code ; Age Band Code ; Sex Code </v>
      </c>
      <c r="N7348" s="345" t="s">
        <v>207</v>
      </c>
      <c r="O7348" s="345" t="s">
        <v>208</v>
      </c>
      <c r="P7348" s="345" t="s">
        <v>209</v>
      </c>
      <c r="Q7348" s="345" t="s">
        <v>210</v>
      </c>
      <c r="R7348" s="345" t="s">
        <v>223</v>
      </c>
      <c r="S7348" s="345" t="s">
        <v>224</v>
      </c>
    </row>
    <row r="7349" spans="1:19" x14ac:dyDescent="0.25">
      <c r="A7349" s="311"/>
      <c r="B7349" s="312"/>
      <c r="C7349" s="312"/>
      <c r="D7349" s="312"/>
      <c r="E7349" s="312"/>
      <c r="F7349" s="312"/>
      <c r="G7349" s="328"/>
      <c r="H7349" s="453"/>
      <c r="I7349" s="334"/>
      <c r="J7349" s="314"/>
      <c r="K7349" s="454"/>
      <c r="M7349" s="349" t="str">
        <f>N7349&amp;AS[[#This Row],[Insurer Code]]&amp;"; "&amp;O7349&amp;AS[[#This Row],[Reporting Year]]&amp;"; "&amp;P7349&amp;AS[[#This Row],[Insurance Category Code]]&amp;"; "&amp;Q7349&amp;AS[[#This Row],[Large Provider Entity Code]]&amp;"; "&amp;R7349&amp;AS[[#This Row],[Age Band Code]]&amp;"; "&amp;S7349&amp;AS[[#This Row],[Sex Code]]</f>
        <v xml:space="preserve">Insurer Code ; Reporting Year ; Insurance Category Code ; Large Provider Entity Code ; Age Band Code ; Sex Code </v>
      </c>
      <c r="N7349" s="345" t="s">
        <v>207</v>
      </c>
      <c r="O7349" s="345" t="s">
        <v>208</v>
      </c>
      <c r="P7349" s="345" t="s">
        <v>209</v>
      </c>
      <c r="Q7349" s="345" t="s">
        <v>210</v>
      </c>
      <c r="R7349" s="345" t="s">
        <v>223</v>
      </c>
      <c r="S7349" s="345" t="s">
        <v>224</v>
      </c>
    </row>
    <row r="7350" spans="1:19" x14ac:dyDescent="0.25">
      <c r="A7350" s="311"/>
      <c r="B7350" s="312"/>
      <c r="C7350" s="312"/>
      <c r="D7350" s="312"/>
      <c r="E7350" s="312"/>
      <c r="F7350" s="312"/>
      <c r="G7350" s="328"/>
      <c r="H7350" s="453"/>
      <c r="I7350" s="334"/>
      <c r="J7350" s="314"/>
      <c r="K7350" s="454"/>
      <c r="M7350" s="349" t="str">
        <f>N7350&amp;AS[[#This Row],[Insurer Code]]&amp;"; "&amp;O7350&amp;AS[[#This Row],[Reporting Year]]&amp;"; "&amp;P7350&amp;AS[[#This Row],[Insurance Category Code]]&amp;"; "&amp;Q7350&amp;AS[[#This Row],[Large Provider Entity Code]]&amp;"; "&amp;R7350&amp;AS[[#This Row],[Age Band Code]]&amp;"; "&amp;S7350&amp;AS[[#This Row],[Sex Code]]</f>
        <v xml:space="preserve">Insurer Code ; Reporting Year ; Insurance Category Code ; Large Provider Entity Code ; Age Band Code ; Sex Code </v>
      </c>
      <c r="N7350" s="345" t="s">
        <v>207</v>
      </c>
      <c r="O7350" s="345" t="s">
        <v>208</v>
      </c>
      <c r="P7350" s="345" t="s">
        <v>209</v>
      </c>
      <c r="Q7350" s="345" t="s">
        <v>210</v>
      </c>
      <c r="R7350" s="345" t="s">
        <v>223</v>
      </c>
      <c r="S7350" s="345" t="s">
        <v>224</v>
      </c>
    </row>
    <row r="7351" spans="1:19" x14ac:dyDescent="0.25">
      <c r="A7351" s="311"/>
      <c r="B7351" s="312"/>
      <c r="C7351" s="312"/>
      <c r="D7351" s="312"/>
      <c r="E7351" s="312"/>
      <c r="F7351" s="312"/>
      <c r="G7351" s="328"/>
      <c r="H7351" s="453"/>
      <c r="I7351" s="334"/>
      <c r="J7351" s="314"/>
      <c r="K7351" s="454"/>
      <c r="M7351" s="349" t="str">
        <f>N7351&amp;AS[[#This Row],[Insurer Code]]&amp;"; "&amp;O7351&amp;AS[[#This Row],[Reporting Year]]&amp;"; "&amp;P7351&amp;AS[[#This Row],[Insurance Category Code]]&amp;"; "&amp;Q7351&amp;AS[[#This Row],[Large Provider Entity Code]]&amp;"; "&amp;R7351&amp;AS[[#This Row],[Age Band Code]]&amp;"; "&amp;S7351&amp;AS[[#This Row],[Sex Code]]</f>
        <v xml:space="preserve">Insurer Code ; Reporting Year ; Insurance Category Code ; Large Provider Entity Code ; Age Band Code ; Sex Code </v>
      </c>
      <c r="N7351" s="345" t="s">
        <v>207</v>
      </c>
      <c r="O7351" s="345" t="s">
        <v>208</v>
      </c>
      <c r="P7351" s="345" t="s">
        <v>209</v>
      </c>
      <c r="Q7351" s="345" t="s">
        <v>210</v>
      </c>
      <c r="R7351" s="345" t="s">
        <v>223</v>
      </c>
      <c r="S7351" s="345" t="s">
        <v>224</v>
      </c>
    </row>
    <row r="7352" spans="1:19" x14ac:dyDescent="0.25">
      <c r="A7352" s="311"/>
      <c r="B7352" s="312"/>
      <c r="C7352" s="312"/>
      <c r="D7352" s="312"/>
      <c r="E7352" s="312"/>
      <c r="F7352" s="312"/>
      <c r="G7352" s="328"/>
      <c r="H7352" s="453"/>
      <c r="I7352" s="334"/>
      <c r="J7352" s="314"/>
      <c r="K7352" s="454"/>
      <c r="M7352" s="349" t="str">
        <f>N7352&amp;AS[[#This Row],[Insurer Code]]&amp;"; "&amp;O7352&amp;AS[[#This Row],[Reporting Year]]&amp;"; "&amp;P7352&amp;AS[[#This Row],[Insurance Category Code]]&amp;"; "&amp;Q7352&amp;AS[[#This Row],[Large Provider Entity Code]]&amp;"; "&amp;R7352&amp;AS[[#This Row],[Age Band Code]]&amp;"; "&amp;S7352&amp;AS[[#This Row],[Sex Code]]</f>
        <v xml:space="preserve">Insurer Code ; Reporting Year ; Insurance Category Code ; Large Provider Entity Code ; Age Band Code ; Sex Code </v>
      </c>
      <c r="N7352" s="345" t="s">
        <v>207</v>
      </c>
      <c r="O7352" s="345" t="s">
        <v>208</v>
      </c>
      <c r="P7352" s="345" t="s">
        <v>209</v>
      </c>
      <c r="Q7352" s="345" t="s">
        <v>210</v>
      </c>
      <c r="R7352" s="345" t="s">
        <v>223</v>
      </c>
      <c r="S7352" s="345" t="s">
        <v>224</v>
      </c>
    </row>
    <row r="7353" spans="1:19" x14ac:dyDescent="0.25">
      <c r="A7353" s="311"/>
      <c r="B7353" s="312"/>
      <c r="C7353" s="312"/>
      <c r="D7353" s="312"/>
      <c r="E7353" s="312"/>
      <c r="F7353" s="312"/>
      <c r="G7353" s="328"/>
      <c r="H7353" s="453"/>
      <c r="I7353" s="334"/>
      <c r="J7353" s="314"/>
      <c r="K7353" s="454"/>
      <c r="M7353" s="349" t="str">
        <f>N7353&amp;AS[[#This Row],[Insurer Code]]&amp;"; "&amp;O7353&amp;AS[[#This Row],[Reporting Year]]&amp;"; "&amp;P7353&amp;AS[[#This Row],[Insurance Category Code]]&amp;"; "&amp;Q7353&amp;AS[[#This Row],[Large Provider Entity Code]]&amp;"; "&amp;R7353&amp;AS[[#This Row],[Age Band Code]]&amp;"; "&amp;S7353&amp;AS[[#This Row],[Sex Code]]</f>
        <v xml:space="preserve">Insurer Code ; Reporting Year ; Insurance Category Code ; Large Provider Entity Code ; Age Band Code ; Sex Code </v>
      </c>
      <c r="N7353" s="345" t="s">
        <v>207</v>
      </c>
      <c r="O7353" s="345" t="s">
        <v>208</v>
      </c>
      <c r="P7353" s="345" t="s">
        <v>209</v>
      </c>
      <c r="Q7353" s="345" t="s">
        <v>210</v>
      </c>
      <c r="R7353" s="345" t="s">
        <v>223</v>
      </c>
      <c r="S7353" s="345" t="s">
        <v>224</v>
      </c>
    </row>
    <row r="7354" spans="1:19" x14ac:dyDescent="0.25">
      <c r="A7354" s="311"/>
      <c r="B7354" s="312"/>
      <c r="C7354" s="312"/>
      <c r="D7354" s="312"/>
      <c r="E7354" s="312"/>
      <c r="F7354" s="312"/>
      <c r="G7354" s="328"/>
      <c r="H7354" s="453"/>
      <c r="I7354" s="334"/>
      <c r="J7354" s="314"/>
      <c r="K7354" s="454"/>
      <c r="M7354" s="349" t="str">
        <f>N7354&amp;AS[[#This Row],[Insurer Code]]&amp;"; "&amp;O7354&amp;AS[[#This Row],[Reporting Year]]&amp;"; "&amp;P7354&amp;AS[[#This Row],[Insurance Category Code]]&amp;"; "&amp;Q7354&amp;AS[[#This Row],[Large Provider Entity Code]]&amp;"; "&amp;R7354&amp;AS[[#This Row],[Age Band Code]]&amp;"; "&amp;S7354&amp;AS[[#This Row],[Sex Code]]</f>
        <v xml:space="preserve">Insurer Code ; Reporting Year ; Insurance Category Code ; Large Provider Entity Code ; Age Band Code ; Sex Code </v>
      </c>
      <c r="N7354" s="345" t="s">
        <v>207</v>
      </c>
      <c r="O7354" s="345" t="s">
        <v>208</v>
      </c>
      <c r="P7354" s="345" t="s">
        <v>209</v>
      </c>
      <c r="Q7354" s="345" t="s">
        <v>210</v>
      </c>
      <c r="R7354" s="345" t="s">
        <v>223</v>
      </c>
      <c r="S7354" s="345" t="s">
        <v>224</v>
      </c>
    </row>
    <row r="7355" spans="1:19" x14ac:dyDescent="0.25">
      <c r="A7355" s="311"/>
      <c r="B7355" s="312"/>
      <c r="C7355" s="312"/>
      <c r="D7355" s="312"/>
      <c r="E7355" s="312"/>
      <c r="F7355" s="312"/>
      <c r="G7355" s="328"/>
      <c r="H7355" s="453"/>
      <c r="I7355" s="334"/>
      <c r="J7355" s="314"/>
      <c r="K7355" s="454"/>
      <c r="M7355" s="349" t="str">
        <f>N7355&amp;AS[[#This Row],[Insurer Code]]&amp;"; "&amp;O7355&amp;AS[[#This Row],[Reporting Year]]&amp;"; "&amp;P7355&amp;AS[[#This Row],[Insurance Category Code]]&amp;"; "&amp;Q7355&amp;AS[[#This Row],[Large Provider Entity Code]]&amp;"; "&amp;R7355&amp;AS[[#This Row],[Age Band Code]]&amp;"; "&amp;S7355&amp;AS[[#This Row],[Sex Code]]</f>
        <v xml:space="preserve">Insurer Code ; Reporting Year ; Insurance Category Code ; Large Provider Entity Code ; Age Band Code ; Sex Code </v>
      </c>
      <c r="N7355" s="345" t="s">
        <v>207</v>
      </c>
      <c r="O7355" s="345" t="s">
        <v>208</v>
      </c>
      <c r="P7355" s="345" t="s">
        <v>209</v>
      </c>
      <c r="Q7355" s="345" t="s">
        <v>210</v>
      </c>
      <c r="R7355" s="345" t="s">
        <v>223</v>
      </c>
      <c r="S7355" s="345" t="s">
        <v>224</v>
      </c>
    </row>
    <row r="7356" spans="1:19" x14ac:dyDescent="0.25">
      <c r="A7356" s="311"/>
      <c r="B7356" s="312"/>
      <c r="C7356" s="312"/>
      <c r="D7356" s="312"/>
      <c r="E7356" s="312"/>
      <c r="F7356" s="312"/>
      <c r="G7356" s="328"/>
      <c r="H7356" s="453"/>
      <c r="I7356" s="334"/>
      <c r="J7356" s="314"/>
      <c r="K7356" s="454"/>
      <c r="M7356" s="349" t="str">
        <f>N7356&amp;AS[[#This Row],[Insurer Code]]&amp;"; "&amp;O7356&amp;AS[[#This Row],[Reporting Year]]&amp;"; "&amp;P7356&amp;AS[[#This Row],[Insurance Category Code]]&amp;"; "&amp;Q7356&amp;AS[[#This Row],[Large Provider Entity Code]]&amp;"; "&amp;R7356&amp;AS[[#This Row],[Age Band Code]]&amp;"; "&amp;S7356&amp;AS[[#This Row],[Sex Code]]</f>
        <v xml:space="preserve">Insurer Code ; Reporting Year ; Insurance Category Code ; Large Provider Entity Code ; Age Band Code ; Sex Code </v>
      </c>
      <c r="N7356" s="345" t="s">
        <v>207</v>
      </c>
      <c r="O7356" s="345" t="s">
        <v>208</v>
      </c>
      <c r="P7356" s="345" t="s">
        <v>209</v>
      </c>
      <c r="Q7356" s="345" t="s">
        <v>210</v>
      </c>
      <c r="R7356" s="345" t="s">
        <v>223</v>
      </c>
      <c r="S7356" s="345" t="s">
        <v>224</v>
      </c>
    </row>
    <row r="7357" spans="1:19" x14ac:dyDescent="0.25">
      <c r="A7357" s="311"/>
      <c r="B7357" s="312"/>
      <c r="C7357" s="312"/>
      <c r="D7357" s="312"/>
      <c r="E7357" s="312"/>
      <c r="F7357" s="312"/>
      <c r="G7357" s="328"/>
      <c r="H7357" s="453"/>
      <c r="I7357" s="334"/>
      <c r="J7357" s="314"/>
      <c r="K7357" s="454"/>
      <c r="M7357" s="349" t="str">
        <f>N7357&amp;AS[[#This Row],[Insurer Code]]&amp;"; "&amp;O7357&amp;AS[[#This Row],[Reporting Year]]&amp;"; "&amp;P7357&amp;AS[[#This Row],[Insurance Category Code]]&amp;"; "&amp;Q7357&amp;AS[[#This Row],[Large Provider Entity Code]]&amp;"; "&amp;R7357&amp;AS[[#This Row],[Age Band Code]]&amp;"; "&amp;S7357&amp;AS[[#This Row],[Sex Code]]</f>
        <v xml:space="preserve">Insurer Code ; Reporting Year ; Insurance Category Code ; Large Provider Entity Code ; Age Band Code ; Sex Code </v>
      </c>
      <c r="N7357" s="345" t="s">
        <v>207</v>
      </c>
      <c r="O7357" s="345" t="s">
        <v>208</v>
      </c>
      <c r="P7357" s="345" t="s">
        <v>209</v>
      </c>
      <c r="Q7357" s="345" t="s">
        <v>210</v>
      </c>
      <c r="R7357" s="345" t="s">
        <v>223</v>
      </c>
      <c r="S7357" s="345" t="s">
        <v>224</v>
      </c>
    </row>
    <row r="7358" spans="1:19" x14ac:dyDescent="0.25">
      <c r="A7358" s="311"/>
      <c r="B7358" s="312"/>
      <c r="C7358" s="312"/>
      <c r="D7358" s="312"/>
      <c r="E7358" s="312"/>
      <c r="F7358" s="312"/>
      <c r="G7358" s="328"/>
      <c r="H7358" s="453"/>
      <c r="I7358" s="334"/>
      <c r="J7358" s="314"/>
      <c r="K7358" s="454"/>
      <c r="M7358" s="349" t="str">
        <f>N7358&amp;AS[[#This Row],[Insurer Code]]&amp;"; "&amp;O7358&amp;AS[[#This Row],[Reporting Year]]&amp;"; "&amp;P7358&amp;AS[[#This Row],[Insurance Category Code]]&amp;"; "&amp;Q7358&amp;AS[[#This Row],[Large Provider Entity Code]]&amp;"; "&amp;R7358&amp;AS[[#This Row],[Age Band Code]]&amp;"; "&amp;S7358&amp;AS[[#This Row],[Sex Code]]</f>
        <v xml:space="preserve">Insurer Code ; Reporting Year ; Insurance Category Code ; Large Provider Entity Code ; Age Band Code ; Sex Code </v>
      </c>
      <c r="N7358" s="345" t="s">
        <v>207</v>
      </c>
      <c r="O7358" s="345" t="s">
        <v>208</v>
      </c>
      <c r="P7358" s="345" t="s">
        <v>209</v>
      </c>
      <c r="Q7358" s="345" t="s">
        <v>210</v>
      </c>
      <c r="R7358" s="345" t="s">
        <v>223</v>
      </c>
      <c r="S7358" s="345" t="s">
        <v>224</v>
      </c>
    </row>
    <row r="7359" spans="1:19" x14ac:dyDescent="0.25">
      <c r="A7359" s="311"/>
      <c r="B7359" s="312"/>
      <c r="C7359" s="312"/>
      <c r="D7359" s="312"/>
      <c r="E7359" s="312"/>
      <c r="F7359" s="312"/>
      <c r="G7359" s="328"/>
      <c r="H7359" s="453"/>
      <c r="I7359" s="334"/>
      <c r="J7359" s="314"/>
      <c r="K7359" s="454"/>
      <c r="M7359" s="349" t="str">
        <f>N7359&amp;AS[[#This Row],[Insurer Code]]&amp;"; "&amp;O7359&amp;AS[[#This Row],[Reporting Year]]&amp;"; "&amp;P7359&amp;AS[[#This Row],[Insurance Category Code]]&amp;"; "&amp;Q7359&amp;AS[[#This Row],[Large Provider Entity Code]]&amp;"; "&amp;R7359&amp;AS[[#This Row],[Age Band Code]]&amp;"; "&amp;S7359&amp;AS[[#This Row],[Sex Code]]</f>
        <v xml:space="preserve">Insurer Code ; Reporting Year ; Insurance Category Code ; Large Provider Entity Code ; Age Band Code ; Sex Code </v>
      </c>
      <c r="N7359" s="345" t="s">
        <v>207</v>
      </c>
      <c r="O7359" s="345" t="s">
        <v>208</v>
      </c>
      <c r="P7359" s="345" t="s">
        <v>209</v>
      </c>
      <c r="Q7359" s="345" t="s">
        <v>210</v>
      </c>
      <c r="R7359" s="345" t="s">
        <v>223</v>
      </c>
      <c r="S7359" s="345" t="s">
        <v>224</v>
      </c>
    </row>
    <row r="7360" spans="1:19" x14ac:dyDescent="0.25">
      <c r="A7360" s="311"/>
      <c r="B7360" s="312"/>
      <c r="C7360" s="312"/>
      <c r="D7360" s="312"/>
      <c r="E7360" s="312"/>
      <c r="F7360" s="312"/>
      <c r="G7360" s="328"/>
      <c r="H7360" s="453"/>
      <c r="I7360" s="334"/>
      <c r="J7360" s="314"/>
      <c r="K7360" s="454"/>
      <c r="M7360" s="349" t="str">
        <f>N7360&amp;AS[[#This Row],[Insurer Code]]&amp;"; "&amp;O7360&amp;AS[[#This Row],[Reporting Year]]&amp;"; "&amp;P7360&amp;AS[[#This Row],[Insurance Category Code]]&amp;"; "&amp;Q7360&amp;AS[[#This Row],[Large Provider Entity Code]]&amp;"; "&amp;R7360&amp;AS[[#This Row],[Age Band Code]]&amp;"; "&amp;S7360&amp;AS[[#This Row],[Sex Code]]</f>
        <v xml:space="preserve">Insurer Code ; Reporting Year ; Insurance Category Code ; Large Provider Entity Code ; Age Band Code ; Sex Code </v>
      </c>
      <c r="N7360" s="345" t="s">
        <v>207</v>
      </c>
      <c r="O7360" s="345" t="s">
        <v>208</v>
      </c>
      <c r="P7360" s="345" t="s">
        <v>209</v>
      </c>
      <c r="Q7360" s="345" t="s">
        <v>210</v>
      </c>
      <c r="R7360" s="345" t="s">
        <v>223</v>
      </c>
      <c r="S7360" s="345" t="s">
        <v>224</v>
      </c>
    </row>
    <row r="7361" spans="1:19" x14ac:dyDescent="0.25">
      <c r="A7361" s="311"/>
      <c r="B7361" s="312"/>
      <c r="C7361" s="312"/>
      <c r="D7361" s="312"/>
      <c r="E7361" s="312"/>
      <c r="F7361" s="312"/>
      <c r="G7361" s="328"/>
      <c r="H7361" s="453"/>
      <c r="I7361" s="334"/>
      <c r="J7361" s="314"/>
      <c r="K7361" s="454"/>
      <c r="M7361" s="349" t="str">
        <f>N7361&amp;AS[[#This Row],[Insurer Code]]&amp;"; "&amp;O7361&amp;AS[[#This Row],[Reporting Year]]&amp;"; "&amp;P7361&amp;AS[[#This Row],[Insurance Category Code]]&amp;"; "&amp;Q7361&amp;AS[[#This Row],[Large Provider Entity Code]]&amp;"; "&amp;R7361&amp;AS[[#This Row],[Age Band Code]]&amp;"; "&amp;S7361&amp;AS[[#This Row],[Sex Code]]</f>
        <v xml:space="preserve">Insurer Code ; Reporting Year ; Insurance Category Code ; Large Provider Entity Code ; Age Band Code ; Sex Code </v>
      </c>
      <c r="N7361" s="345" t="s">
        <v>207</v>
      </c>
      <c r="O7361" s="345" t="s">
        <v>208</v>
      </c>
      <c r="P7361" s="345" t="s">
        <v>209</v>
      </c>
      <c r="Q7361" s="345" t="s">
        <v>210</v>
      </c>
      <c r="R7361" s="345" t="s">
        <v>223</v>
      </c>
      <c r="S7361" s="345" t="s">
        <v>224</v>
      </c>
    </row>
    <row r="7362" spans="1:19" x14ac:dyDescent="0.25">
      <c r="A7362" s="311"/>
      <c r="B7362" s="312"/>
      <c r="C7362" s="312"/>
      <c r="D7362" s="312"/>
      <c r="E7362" s="312"/>
      <c r="F7362" s="312"/>
      <c r="G7362" s="328"/>
      <c r="H7362" s="453"/>
      <c r="I7362" s="334"/>
      <c r="J7362" s="314"/>
      <c r="K7362" s="454"/>
      <c r="M7362" s="349" t="str">
        <f>N7362&amp;AS[[#This Row],[Insurer Code]]&amp;"; "&amp;O7362&amp;AS[[#This Row],[Reporting Year]]&amp;"; "&amp;P7362&amp;AS[[#This Row],[Insurance Category Code]]&amp;"; "&amp;Q7362&amp;AS[[#This Row],[Large Provider Entity Code]]&amp;"; "&amp;R7362&amp;AS[[#This Row],[Age Band Code]]&amp;"; "&amp;S7362&amp;AS[[#This Row],[Sex Code]]</f>
        <v xml:space="preserve">Insurer Code ; Reporting Year ; Insurance Category Code ; Large Provider Entity Code ; Age Band Code ; Sex Code </v>
      </c>
      <c r="N7362" s="345" t="s">
        <v>207</v>
      </c>
      <c r="O7362" s="345" t="s">
        <v>208</v>
      </c>
      <c r="P7362" s="345" t="s">
        <v>209</v>
      </c>
      <c r="Q7362" s="345" t="s">
        <v>210</v>
      </c>
      <c r="R7362" s="345" t="s">
        <v>223</v>
      </c>
      <c r="S7362" s="345" t="s">
        <v>224</v>
      </c>
    </row>
    <row r="7363" spans="1:19" x14ac:dyDescent="0.25">
      <c r="A7363" s="311"/>
      <c r="B7363" s="312"/>
      <c r="C7363" s="312"/>
      <c r="D7363" s="312"/>
      <c r="E7363" s="312"/>
      <c r="F7363" s="312"/>
      <c r="G7363" s="328"/>
      <c r="H7363" s="453"/>
      <c r="I7363" s="334"/>
      <c r="J7363" s="314"/>
      <c r="K7363" s="454"/>
      <c r="M7363" s="349" t="str">
        <f>N7363&amp;AS[[#This Row],[Insurer Code]]&amp;"; "&amp;O7363&amp;AS[[#This Row],[Reporting Year]]&amp;"; "&amp;P7363&amp;AS[[#This Row],[Insurance Category Code]]&amp;"; "&amp;Q7363&amp;AS[[#This Row],[Large Provider Entity Code]]&amp;"; "&amp;R7363&amp;AS[[#This Row],[Age Band Code]]&amp;"; "&amp;S7363&amp;AS[[#This Row],[Sex Code]]</f>
        <v xml:space="preserve">Insurer Code ; Reporting Year ; Insurance Category Code ; Large Provider Entity Code ; Age Band Code ; Sex Code </v>
      </c>
      <c r="N7363" s="345" t="s">
        <v>207</v>
      </c>
      <c r="O7363" s="345" t="s">
        <v>208</v>
      </c>
      <c r="P7363" s="345" t="s">
        <v>209</v>
      </c>
      <c r="Q7363" s="345" t="s">
        <v>210</v>
      </c>
      <c r="R7363" s="345" t="s">
        <v>223</v>
      </c>
      <c r="S7363" s="345" t="s">
        <v>224</v>
      </c>
    </row>
    <row r="7364" spans="1:19" x14ac:dyDescent="0.25">
      <c r="A7364" s="311"/>
      <c r="B7364" s="312"/>
      <c r="C7364" s="312"/>
      <c r="D7364" s="312"/>
      <c r="E7364" s="312"/>
      <c r="F7364" s="312"/>
      <c r="G7364" s="328"/>
      <c r="H7364" s="453"/>
      <c r="I7364" s="334"/>
      <c r="J7364" s="314"/>
      <c r="K7364" s="454"/>
      <c r="M7364" s="349" t="str">
        <f>N7364&amp;AS[[#This Row],[Insurer Code]]&amp;"; "&amp;O7364&amp;AS[[#This Row],[Reporting Year]]&amp;"; "&amp;P7364&amp;AS[[#This Row],[Insurance Category Code]]&amp;"; "&amp;Q7364&amp;AS[[#This Row],[Large Provider Entity Code]]&amp;"; "&amp;R7364&amp;AS[[#This Row],[Age Band Code]]&amp;"; "&amp;S7364&amp;AS[[#This Row],[Sex Code]]</f>
        <v xml:space="preserve">Insurer Code ; Reporting Year ; Insurance Category Code ; Large Provider Entity Code ; Age Band Code ; Sex Code </v>
      </c>
      <c r="N7364" s="345" t="s">
        <v>207</v>
      </c>
      <c r="O7364" s="345" t="s">
        <v>208</v>
      </c>
      <c r="P7364" s="345" t="s">
        <v>209</v>
      </c>
      <c r="Q7364" s="345" t="s">
        <v>210</v>
      </c>
      <c r="R7364" s="345" t="s">
        <v>223</v>
      </c>
      <c r="S7364" s="345" t="s">
        <v>224</v>
      </c>
    </row>
    <row r="7365" spans="1:19" x14ac:dyDescent="0.25">
      <c r="A7365" s="311"/>
      <c r="B7365" s="312"/>
      <c r="C7365" s="312"/>
      <c r="D7365" s="312"/>
      <c r="E7365" s="312"/>
      <c r="F7365" s="312"/>
      <c r="G7365" s="328"/>
      <c r="H7365" s="453"/>
      <c r="I7365" s="334"/>
      <c r="J7365" s="314"/>
      <c r="K7365" s="454"/>
      <c r="M7365" s="349" t="str">
        <f>N7365&amp;AS[[#This Row],[Insurer Code]]&amp;"; "&amp;O7365&amp;AS[[#This Row],[Reporting Year]]&amp;"; "&amp;P7365&amp;AS[[#This Row],[Insurance Category Code]]&amp;"; "&amp;Q7365&amp;AS[[#This Row],[Large Provider Entity Code]]&amp;"; "&amp;R7365&amp;AS[[#This Row],[Age Band Code]]&amp;"; "&amp;S7365&amp;AS[[#This Row],[Sex Code]]</f>
        <v xml:space="preserve">Insurer Code ; Reporting Year ; Insurance Category Code ; Large Provider Entity Code ; Age Band Code ; Sex Code </v>
      </c>
      <c r="N7365" s="345" t="s">
        <v>207</v>
      </c>
      <c r="O7365" s="345" t="s">
        <v>208</v>
      </c>
      <c r="P7365" s="345" t="s">
        <v>209</v>
      </c>
      <c r="Q7365" s="345" t="s">
        <v>210</v>
      </c>
      <c r="R7365" s="345" t="s">
        <v>223</v>
      </c>
      <c r="S7365" s="345" t="s">
        <v>224</v>
      </c>
    </row>
    <row r="7366" spans="1:19" x14ac:dyDescent="0.25">
      <c r="A7366" s="311"/>
      <c r="B7366" s="312"/>
      <c r="C7366" s="312"/>
      <c r="D7366" s="312"/>
      <c r="E7366" s="312"/>
      <c r="F7366" s="312"/>
      <c r="G7366" s="328"/>
      <c r="H7366" s="453"/>
      <c r="I7366" s="334"/>
      <c r="J7366" s="314"/>
      <c r="K7366" s="454"/>
      <c r="M7366" s="349" t="str">
        <f>N7366&amp;AS[[#This Row],[Insurer Code]]&amp;"; "&amp;O7366&amp;AS[[#This Row],[Reporting Year]]&amp;"; "&amp;P7366&amp;AS[[#This Row],[Insurance Category Code]]&amp;"; "&amp;Q7366&amp;AS[[#This Row],[Large Provider Entity Code]]&amp;"; "&amp;R7366&amp;AS[[#This Row],[Age Band Code]]&amp;"; "&amp;S7366&amp;AS[[#This Row],[Sex Code]]</f>
        <v xml:space="preserve">Insurer Code ; Reporting Year ; Insurance Category Code ; Large Provider Entity Code ; Age Band Code ; Sex Code </v>
      </c>
      <c r="N7366" s="345" t="s">
        <v>207</v>
      </c>
      <c r="O7366" s="345" t="s">
        <v>208</v>
      </c>
      <c r="P7366" s="345" t="s">
        <v>209</v>
      </c>
      <c r="Q7366" s="345" t="s">
        <v>210</v>
      </c>
      <c r="R7366" s="345" t="s">
        <v>223</v>
      </c>
      <c r="S7366" s="345" t="s">
        <v>224</v>
      </c>
    </row>
    <row r="7367" spans="1:19" x14ac:dyDescent="0.25">
      <c r="A7367" s="311"/>
      <c r="B7367" s="312"/>
      <c r="C7367" s="312"/>
      <c r="D7367" s="312"/>
      <c r="E7367" s="312"/>
      <c r="F7367" s="312"/>
      <c r="G7367" s="328"/>
      <c r="H7367" s="453"/>
      <c r="I7367" s="334"/>
      <c r="J7367" s="314"/>
      <c r="K7367" s="454"/>
      <c r="M7367" s="349" t="str">
        <f>N7367&amp;AS[[#This Row],[Insurer Code]]&amp;"; "&amp;O7367&amp;AS[[#This Row],[Reporting Year]]&amp;"; "&amp;P7367&amp;AS[[#This Row],[Insurance Category Code]]&amp;"; "&amp;Q7367&amp;AS[[#This Row],[Large Provider Entity Code]]&amp;"; "&amp;R7367&amp;AS[[#This Row],[Age Band Code]]&amp;"; "&amp;S7367&amp;AS[[#This Row],[Sex Code]]</f>
        <v xml:space="preserve">Insurer Code ; Reporting Year ; Insurance Category Code ; Large Provider Entity Code ; Age Band Code ; Sex Code </v>
      </c>
      <c r="N7367" s="345" t="s">
        <v>207</v>
      </c>
      <c r="O7367" s="345" t="s">
        <v>208</v>
      </c>
      <c r="P7367" s="345" t="s">
        <v>209</v>
      </c>
      <c r="Q7367" s="345" t="s">
        <v>210</v>
      </c>
      <c r="R7367" s="345" t="s">
        <v>223</v>
      </c>
      <c r="S7367" s="345" t="s">
        <v>224</v>
      </c>
    </row>
    <row r="7368" spans="1:19" x14ac:dyDescent="0.25">
      <c r="A7368" s="311"/>
      <c r="B7368" s="312"/>
      <c r="C7368" s="312"/>
      <c r="D7368" s="312"/>
      <c r="E7368" s="312"/>
      <c r="F7368" s="312"/>
      <c r="G7368" s="328"/>
      <c r="H7368" s="453"/>
      <c r="I7368" s="334"/>
      <c r="J7368" s="314"/>
      <c r="K7368" s="454"/>
      <c r="M7368" s="349" t="str">
        <f>N7368&amp;AS[[#This Row],[Insurer Code]]&amp;"; "&amp;O7368&amp;AS[[#This Row],[Reporting Year]]&amp;"; "&amp;P7368&amp;AS[[#This Row],[Insurance Category Code]]&amp;"; "&amp;Q7368&amp;AS[[#This Row],[Large Provider Entity Code]]&amp;"; "&amp;R7368&amp;AS[[#This Row],[Age Band Code]]&amp;"; "&amp;S7368&amp;AS[[#This Row],[Sex Code]]</f>
        <v xml:space="preserve">Insurer Code ; Reporting Year ; Insurance Category Code ; Large Provider Entity Code ; Age Band Code ; Sex Code </v>
      </c>
      <c r="N7368" s="345" t="s">
        <v>207</v>
      </c>
      <c r="O7368" s="345" t="s">
        <v>208</v>
      </c>
      <c r="P7368" s="345" t="s">
        <v>209</v>
      </c>
      <c r="Q7368" s="345" t="s">
        <v>210</v>
      </c>
      <c r="R7368" s="345" t="s">
        <v>223</v>
      </c>
      <c r="S7368" s="345" t="s">
        <v>224</v>
      </c>
    </row>
    <row r="7369" spans="1:19" x14ac:dyDescent="0.25">
      <c r="A7369" s="311"/>
      <c r="B7369" s="312"/>
      <c r="C7369" s="312"/>
      <c r="D7369" s="312"/>
      <c r="E7369" s="312"/>
      <c r="F7369" s="312"/>
      <c r="G7369" s="328"/>
      <c r="H7369" s="453"/>
      <c r="I7369" s="334"/>
      <c r="J7369" s="314"/>
      <c r="K7369" s="454"/>
      <c r="M7369" s="349" t="str">
        <f>N7369&amp;AS[[#This Row],[Insurer Code]]&amp;"; "&amp;O7369&amp;AS[[#This Row],[Reporting Year]]&amp;"; "&amp;P7369&amp;AS[[#This Row],[Insurance Category Code]]&amp;"; "&amp;Q7369&amp;AS[[#This Row],[Large Provider Entity Code]]&amp;"; "&amp;R7369&amp;AS[[#This Row],[Age Band Code]]&amp;"; "&amp;S7369&amp;AS[[#This Row],[Sex Code]]</f>
        <v xml:space="preserve">Insurer Code ; Reporting Year ; Insurance Category Code ; Large Provider Entity Code ; Age Band Code ; Sex Code </v>
      </c>
      <c r="N7369" s="345" t="s">
        <v>207</v>
      </c>
      <c r="O7369" s="345" t="s">
        <v>208</v>
      </c>
      <c r="P7369" s="345" t="s">
        <v>209</v>
      </c>
      <c r="Q7369" s="345" t="s">
        <v>210</v>
      </c>
      <c r="R7369" s="345" t="s">
        <v>223</v>
      </c>
      <c r="S7369" s="345" t="s">
        <v>224</v>
      </c>
    </row>
    <row r="7370" spans="1:19" x14ac:dyDescent="0.25">
      <c r="A7370" s="311"/>
      <c r="B7370" s="312"/>
      <c r="C7370" s="312"/>
      <c r="D7370" s="312"/>
      <c r="E7370" s="312"/>
      <c r="F7370" s="312"/>
      <c r="G7370" s="328"/>
      <c r="H7370" s="453"/>
      <c r="I7370" s="334"/>
      <c r="J7370" s="314"/>
      <c r="K7370" s="454"/>
      <c r="M7370" s="349" t="str">
        <f>N7370&amp;AS[[#This Row],[Insurer Code]]&amp;"; "&amp;O7370&amp;AS[[#This Row],[Reporting Year]]&amp;"; "&amp;P7370&amp;AS[[#This Row],[Insurance Category Code]]&amp;"; "&amp;Q7370&amp;AS[[#This Row],[Large Provider Entity Code]]&amp;"; "&amp;R7370&amp;AS[[#This Row],[Age Band Code]]&amp;"; "&amp;S7370&amp;AS[[#This Row],[Sex Code]]</f>
        <v xml:space="preserve">Insurer Code ; Reporting Year ; Insurance Category Code ; Large Provider Entity Code ; Age Band Code ; Sex Code </v>
      </c>
      <c r="N7370" s="345" t="s">
        <v>207</v>
      </c>
      <c r="O7370" s="345" t="s">
        <v>208</v>
      </c>
      <c r="P7370" s="345" t="s">
        <v>209</v>
      </c>
      <c r="Q7370" s="345" t="s">
        <v>210</v>
      </c>
      <c r="R7370" s="345" t="s">
        <v>223</v>
      </c>
      <c r="S7370" s="345" t="s">
        <v>224</v>
      </c>
    </row>
    <row r="7371" spans="1:19" x14ac:dyDescent="0.25">
      <c r="A7371" s="311"/>
      <c r="B7371" s="312"/>
      <c r="C7371" s="312"/>
      <c r="D7371" s="312"/>
      <c r="E7371" s="312"/>
      <c r="F7371" s="312"/>
      <c r="G7371" s="328"/>
      <c r="H7371" s="453"/>
      <c r="I7371" s="334"/>
      <c r="J7371" s="314"/>
      <c r="K7371" s="454"/>
      <c r="M7371" s="349" t="str">
        <f>N7371&amp;AS[[#This Row],[Insurer Code]]&amp;"; "&amp;O7371&amp;AS[[#This Row],[Reporting Year]]&amp;"; "&amp;P7371&amp;AS[[#This Row],[Insurance Category Code]]&amp;"; "&amp;Q7371&amp;AS[[#This Row],[Large Provider Entity Code]]&amp;"; "&amp;R7371&amp;AS[[#This Row],[Age Band Code]]&amp;"; "&amp;S7371&amp;AS[[#This Row],[Sex Code]]</f>
        <v xml:space="preserve">Insurer Code ; Reporting Year ; Insurance Category Code ; Large Provider Entity Code ; Age Band Code ; Sex Code </v>
      </c>
      <c r="N7371" s="345" t="s">
        <v>207</v>
      </c>
      <c r="O7371" s="345" t="s">
        <v>208</v>
      </c>
      <c r="P7371" s="345" t="s">
        <v>209</v>
      </c>
      <c r="Q7371" s="345" t="s">
        <v>210</v>
      </c>
      <c r="R7371" s="345" t="s">
        <v>223</v>
      </c>
      <c r="S7371" s="345" t="s">
        <v>224</v>
      </c>
    </row>
    <row r="7372" spans="1:19" x14ac:dyDescent="0.25">
      <c r="A7372" s="311"/>
      <c r="B7372" s="312"/>
      <c r="C7372" s="312"/>
      <c r="D7372" s="312"/>
      <c r="E7372" s="312"/>
      <c r="F7372" s="312"/>
      <c r="G7372" s="328"/>
      <c r="H7372" s="453"/>
      <c r="I7372" s="334"/>
      <c r="J7372" s="314"/>
      <c r="K7372" s="454"/>
      <c r="M7372" s="349" t="str">
        <f>N7372&amp;AS[[#This Row],[Insurer Code]]&amp;"; "&amp;O7372&amp;AS[[#This Row],[Reporting Year]]&amp;"; "&amp;P7372&amp;AS[[#This Row],[Insurance Category Code]]&amp;"; "&amp;Q7372&amp;AS[[#This Row],[Large Provider Entity Code]]&amp;"; "&amp;R7372&amp;AS[[#This Row],[Age Band Code]]&amp;"; "&amp;S7372&amp;AS[[#This Row],[Sex Code]]</f>
        <v xml:space="preserve">Insurer Code ; Reporting Year ; Insurance Category Code ; Large Provider Entity Code ; Age Band Code ; Sex Code </v>
      </c>
      <c r="N7372" s="345" t="s">
        <v>207</v>
      </c>
      <c r="O7372" s="345" t="s">
        <v>208</v>
      </c>
      <c r="P7372" s="345" t="s">
        <v>209</v>
      </c>
      <c r="Q7372" s="345" t="s">
        <v>210</v>
      </c>
      <c r="R7372" s="345" t="s">
        <v>223</v>
      </c>
      <c r="S7372" s="345" t="s">
        <v>224</v>
      </c>
    </row>
    <row r="7373" spans="1:19" x14ac:dyDescent="0.25">
      <c r="A7373" s="311"/>
      <c r="B7373" s="312"/>
      <c r="C7373" s="312"/>
      <c r="D7373" s="312"/>
      <c r="E7373" s="312"/>
      <c r="F7373" s="312"/>
      <c r="G7373" s="328"/>
      <c r="H7373" s="453"/>
      <c r="I7373" s="334"/>
      <c r="J7373" s="314"/>
      <c r="K7373" s="454"/>
      <c r="M7373" s="349" t="str">
        <f>N7373&amp;AS[[#This Row],[Insurer Code]]&amp;"; "&amp;O7373&amp;AS[[#This Row],[Reporting Year]]&amp;"; "&amp;P7373&amp;AS[[#This Row],[Insurance Category Code]]&amp;"; "&amp;Q7373&amp;AS[[#This Row],[Large Provider Entity Code]]&amp;"; "&amp;R7373&amp;AS[[#This Row],[Age Band Code]]&amp;"; "&amp;S7373&amp;AS[[#This Row],[Sex Code]]</f>
        <v xml:space="preserve">Insurer Code ; Reporting Year ; Insurance Category Code ; Large Provider Entity Code ; Age Band Code ; Sex Code </v>
      </c>
      <c r="N7373" s="345" t="s">
        <v>207</v>
      </c>
      <c r="O7373" s="345" t="s">
        <v>208</v>
      </c>
      <c r="P7373" s="345" t="s">
        <v>209</v>
      </c>
      <c r="Q7373" s="345" t="s">
        <v>210</v>
      </c>
      <c r="R7373" s="345" t="s">
        <v>223</v>
      </c>
      <c r="S7373" s="345" t="s">
        <v>224</v>
      </c>
    </row>
    <row r="7374" spans="1:19" x14ac:dyDescent="0.25">
      <c r="A7374" s="311"/>
      <c r="B7374" s="312"/>
      <c r="C7374" s="312"/>
      <c r="D7374" s="312"/>
      <c r="E7374" s="312"/>
      <c r="F7374" s="312"/>
      <c r="G7374" s="328"/>
      <c r="H7374" s="453"/>
      <c r="I7374" s="334"/>
      <c r="J7374" s="314"/>
      <c r="K7374" s="454"/>
      <c r="M7374" s="349" t="str">
        <f>N7374&amp;AS[[#This Row],[Insurer Code]]&amp;"; "&amp;O7374&amp;AS[[#This Row],[Reporting Year]]&amp;"; "&amp;P7374&amp;AS[[#This Row],[Insurance Category Code]]&amp;"; "&amp;Q7374&amp;AS[[#This Row],[Large Provider Entity Code]]&amp;"; "&amp;R7374&amp;AS[[#This Row],[Age Band Code]]&amp;"; "&amp;S7374&amp;AS[[#This Row],[Sex Code]]</f>
        <v xml:space="preserve">Insurer Code ; Reporting Year ; Insurance Category Code ; Large Provider Entity Code ; Age Band Code ; Sex Code </v>
      </c>
      <c r="N7374" s="345" t="s">
        <v>207</v>
      </c>
      <c r="O7374" s="345" t="s">
        <v>208</v>
      </c>
      <c r="P7374" s="345" t="s">
        <v>209</v>
      </c>
      <c r="Q7374" s="345" t="s">
        <v>210</v>
      </c>
      <c r="R7374" s="345" t="s">
        <v>223</v>
      </c>
      <c r="S7374" s="345" t="s">
        <v>224</v>
      </c>
    </row>
    <row r="7375" spans="1:19" x14ac:dyDescent="0.25">
      <c r="A7375" s="311"/>
      <c r="B7375" s="312"/>
      <c r="C7375" s="312"/>
      <c r="D7375" s="312"/>
      <c r="E7375" s="312"/>
      <c r="F7375" s="312"/>
      <c r="G7375" s="328"/>
      <c r="H7375" s="453"/>
      <c r="I7375" s="334"/>
      <c r="J7375" s="314"/>
      <c r="K7375" s="454"/>
      <c r="M7375" s="349" t="str">
        <f>N7375&amp;AS[[#This Row],[Insurer Code]]&amp;"; "&amp;O7375&amp;AS[[#This Row],[Reporting Year]]&amp;"; "&amp;P7375&amp;AS[[#This Row],[Insurance Category Code]]&amp;"; "&amp;Q7375&amp;AS[[#This Row],[Large Provider Entity Code]]&amp;"; "&amp;R7375&amp;AS[[#This Row],[Age Band Code]]&amp;"; "&amp;S7375&amp;AS[[#This Row],[Sex Code]]</f>
        <v xml:space="preserve">Insurer Code ; Reporting Year ; Insurance Category Code ; Large Provider Entity Code ; Age Band Code ; Sex Code </v>
      </c>
      <c r="N7375" s="345" t="s">
        <v>207</v>
      </c>
      <c r="O7375" s="345" t="s">
        <v>208</v>
      </c>
      <c r="P7375" s="345" t="s">
        <v>209</v>
      </c>
      <c r="Q7375" s="345" t="s">
        <v>210</v>
      </c>
      <c r="R7375" s="345" t="s">
        <v>223</v>
      </c>
      <c r="S7375" s="345" t="s">
        <v>224</v>
      </c>
    </row>
    <row r="7376" spans="1:19" x14ac:dyDescent="0.25">
      <c r="A7376" s="311"/>
      <c r="B7376" s="312"/>
      <c r="C7376" s="312"/>
      <c r="D7376" s="312"/>
      <c r="E7376" s="312"/>
      <c r="F7376" s="312"/>
      <c r="G7376" s="328"/>
      <c r="H7376" s="453"/>
      <c r="I7376" s="334"/>
      <c r="J7376" s="314"/>
      <c r="K7376" s="454"/>
      <c r="M7376" s="349" t="str">
        <f>N7376&amp;AS[[#This Row],[Insurer Code]]&amp;"; "&amp;O7376&amp;AS[[#This Row],[Reporting Year]]&amp;"; "&amp;P7376&amp;AS[[#This Row],[Insurance Category Code]]&amp;"; "&amp;Q7376&amp;AS[[#This Row],[Large Provider Entity Code]]&amp;"; "&amp;R7376&amp;AS[[#This Row],[Age Band Code]]&amp;"; "&amp;S7376&amp;AS[[#This Row],[Sex Code]]</f>
        <v xml:space="preserve">Insurer Code ; Reporting Year ; Insurance Category Code ; Large Provider Entity Code ; Age Band Code ; Sex Code </v>
      </c>
      <c r="N7376" s="345" t="s">
        <v>207</v>
      </c>
      <c r="O7376" s="345" t="s">
        <v>208</v>
      </c>
      <c r="P7376" s="345" t="s">
        <v>209</v>
      </c>
      <c r="Q7376" s="345" t="s">
        <v>210</v>
      </c>
      <c r="R7376" s="345" t="s">
        <v>223</v>
      </c>
      <c r="S7376" s="345" t="s">
        <v>224</v>
      </c>
    </row>
    <row r="7377" spans="1:19" x14ac:dyDescent="0.25">
      <c r="A7377" s="311"/>
      <c r="B7377" s="312"/>
      <c r="C7377" s="312"/>
      <c r="D7377" s="312"/>
      <c r="E7377" s="312"/>
      <c r="F7377" s="312"/>
      <c r="G7377" s="328"/>
      <c r="H7377" s="453"/>
      <c r="I7377" s="334"/>
      <c r="J7377" s="314"/>
      <c r="K7377" s="454"/>
      <c r="M7377" s="349" t="str">
        <f>N7377&amp;AS[[#This Row],[Insurer Code]]&amp;"; "&amp;O7377&amp;AS[[#This Row],[Reporting Year]]&amp;"; "&amp;P7377&amp;AS[[#This Row],[Insurance Category Code]]&amp;"; "&amp;Q7377&amp;AS[[#This Row],[Large Provider Entity Code]]&amp;"; "&amp;R7377&amp;AS[[#This Row],[Age Band Code]]&amp;"; "&amp;S7377&amp;AS[[#This Row],[Sex Code]]</f>
        <v xml:space="preserve">Insurer Code ; Reporting Year ; Insurance Category Code ; Large Provider Entity Code ; Age Band Code ; Sex Code </v>
      </c>
      <c r="N7377" s="345" t="s">
        <v>207</v>
      </c>
      <c r="O7377" s="345" t="s">
        <v>208</v>
      </c>
      <c r="P7377" s="345" t="s">
        <v>209</v>
      </c>
      <c r="Q7377" s="345" t="s">
        <v>210</v>
      </c>
      <c r="R7377" s="345" t="s">
        <v>223</v>
      </c>
      <c r="S7377" s="345" t="s">
        <v>224</v>
      </c>
    </row>
    <row r="7378" spans="1:19" x14ac:dyDescent="0.25">
      <c r="A7378" s="311"/>
      <c r="B7378" s="312"/>
      <c r="C7378" s="312"/>
      <c r="D7378" s="312"/>
      <c r="E7378" s="312"/>
      <c r="F7378" s="312"/>
      <c r="G7378" s="328"/>
      <c r="H7378" s="453"/>
      <c r="I7378" s="334"/>
      <c r="J7378" s="314"/>
      <c r="K7378" s="454"/>
      <c r="M7378" s="349" t="str">
        <f>N7378&amp;AS[[#This Row],[Insurer Code]]&amp;"; "&amp;O7378&amp;AS[[#This Row],[Reporting Year]]&amp;"; "&amp;P7378&amp;AS[[#This Row],[Insurance Category Code]]&amp;"; "&amp;Q7378&amp;AS[[#This Row],[Large Provider Entity Code]]&amp;"; "&amp;R7378&amp;AS[[#This Row],[Age Band Code]]&amp;"; "&amp;S7378&amp;AS[[#This Row],[Sex Code]]</f>
        <v xml:space="preserve">Insurer Code ; Reporting Year ; Insurance Category Code ; Large Provider Entity Code ; Age Band Code ; Sex Code </v>
      </c>
      <c r="N7378" s="345" t="s">
        <v>207</v>
      </c>
      <c r="O7378" s="345" t="s">
        <v>208</v>
      </c>
      <c r="P7378" s="345" t="s">
        <v>209</v>
      </c>
      <c r="Q7378" s="345" t="s">
        <v>210</v>
      </c>
      <c r="R7378" s="345" t="s">
        <v>223</v>
      </c>
      <c r="S7378" s="345" t="s">
        <v>224</v>
      </c>
    </row>
    <row r="7379" spans="1:19" x14ac:dyDescent="0.25">
      <c r="A7379" s="311"/>
      <c r="B7379" s="312"/>
      <c r="C7379" s="312"/>
      <c r="D7379" s="312"/>
      <c r="E7379" s="312"/>
      <c r="F7379" s="312"/>
      <c r="G7379" s="328"/>
      <c r="H7379" s="453"/>
      <c r="I7379" s="334"/>
      <c r="J7379" s="314"/>
      <c r="K7379" s="454"/>
      <c r="M7379" s="349" t="str">
        <f>N7379&amp;AS[[#This Row],[Insurer Code]]&amp;"; "&amp;O7379&amp;AS[[#This Row],[Reporting Year]]&amp;"; "&amp;P7379&amp;AS[[#This Row],[Insurance Category Code]]&amp;"; "&amp;Q7379&amp;AS[[#This Row],[Large Provider Entity Code]]&amp;"; "&amp;R7379&amp;AS[[#This Row],[Age Band Code]]&amp;"; "&amp;S7379&amp;AS[[#This Row],[Sex Code]]</f>
        <v xml:space="preserve">Insurer Code ; Reporting Year ; Insurance Category Code ; Large Provider Entity Code ; Age Band Code ; Sex Code </v>
      </c>
      <c r="N7379" s="345" t="s">
        <v>207</v>
      </c>
      <c r="O7379" s="345" t="s">
        <v>208</v>
      </c>
      <c r="P7379" s="345" t="s">
        <v>209</v>
      </c>
      <c r="Q7379" s="345" t="s">
        <v>210</v>
      </c>
      <c r="R7379" s="345" t="s">
        <v>223</v>
      </c>
      <c r="S7379" s="345" t="s">
        <v>224</v>
      </c>
    </row>
    <row r="7380" spans="1:19" x14ac:dyDescent="0.25">
      <c r="A7380" s="311"/>
      <c r="B7380" s="312"/>
      <c r="C7380" s="312"/>
      <c r="D7380" s="312"/>
      <c r="E7380" s="312"/>
      <c r="F7380" s="312"/>
      <c r="G7380" s="328"/>
      <c r="H7380" s="453"/>
      <c r="I7380" s="334"/>
      <c r="J7380" s="314"/>
      <c r="K7380" s="454"/>
      <c r="M7380" s="349" t="str">
        <f>N7380&amp;AS[[#This Row],[Insurer Code]]&amp;"; "&amp;O7380&amp;AS[[#This Row],[Reporting Year]]&amp;"; "&amp;P7380&amp;AS[[#This Row],[Insurance Category Code]]&amp;"; "&amp;Q7380&amp;AS[[#This Row],[Large Provider Entity Code]]&amp;"; "&amp;R7380&amp;AS[[#This Row],[Age Band Code]]&amp;"; "&amp;S7380&amp;AS[[#This Row],[Sex Code]]</f>
        <v xml:space="preserve">Insurer Code ; Reporting Year ; Insurance Category Code ; Large Provider Entity Code ; Age Band Code ; Sex Code </v>
      </c>
      <c r="N7380" s="345" t="s">
        <v>207</v>
      </c>
      <c r="O7380" s="345" t="s">
        <v>208</v>
      </c>
      <c r="P7380" s="345" t="s">
        <v>209</v>
      </c>
      <c r="Q7380" s="345" t="s">
        <v>210</v>
      </c>
      <c r="R7380" s="345" t="s">
        <v>223</v>
      </c>
      <c r="S7380" s="345" t="s">
        <v>224</v>
      </c>
    </row>
    <row r="7381" spans="1:19" x14ac:dyDescent="0.25">
      <c r="A7381" s="311"/>
      <c r="B7381" s="312"/>
      <c r="C7381" s="312"/>
      <c r="D7381" s="312"/>
      <c r="E7381" s="312"/>
      <c r="F7381" s="312"/>
      <c r="G7381" s="328"/>
      <c r="H7381" s="453"/>
      <c r="I7381" s="334"/>
      <c r="J7381" s="314"/>
      <c r="K7381" s="454"/>
      <c r="M7381" s="349" t="str">
        <f>N7381&amp;AS[[#This Row],[Insurer Code]]&amp;"; "&amp;O7381&amp;AS[[#This Row],[Reporting Year]]&amp;"; "&amp;P7381&amp;AS[[#This Row],[Insurance Category Code]]&amp;"; "&amp;Q7381&amp;AS[[#This Row],[Large Provider Entity Code]]&amp;"; "&amp;R7381&amp;AS[[#This Row],[Age Band Code]]&amp;"; "&amp;S7381&amp;AS[[#This Row],[Sex Code]]</f>
        <v xml:space="preserve">Insurer Code ; Reporting Year ; Insurance Category Code ; Large Provider Entity Code ; Age Band Code ; Sex Code </v>
      </c>
      <c r="N7381" s="345" t="s">
        <v>207</v>
      </c>
      <c r="O7381" s="345" t="s">
        <v>208</v>
      </c>
      <c r="P7381" s="345" t="s">
        <v>209</v>
      </c>
      <c r="Q7381" s="345" t="s">
        <v>210</v>
      </c>
      <c r="R7381" s="345" t="s">
        <v>223</v>
      </c>
      <c r="S7381" s="345" t="s">
        <v>224</v>
      </c>
    </row>
    <row r="7382" spans="1:19" x14ac:dyDescent="0.25">
      <c r="A7382" s="311"/>
      <c r="B7382" s="312"/>
      <c r="C7382" s="312"/>
      <c r="D7382" s="312"/>
      <c r="E7382" s="312"/>
      <c r="F7382" s="312"/>
      <c r="G7382" s="328"/>
      <c r="H7382" s="453"/>
      <c r="I7382" s="334"/>
      <c r="J7382" s="314"/>
      <c r="K7382" s="454"/>
      <c r="M7382" s="349" t="str">
        <f>N7382&amp;AS[[#This Row],[Insurer Code]]&amp;"; "&amp;O7382&amp;AS[[#This Row],[Reporting Year]]&amp;"; "&amp;P7382&amp;AS[[#This Row],[Insurance Category Code]]&amp;"; "&amp;Q7382&amp;AS[[#This Row],[Large Provider Entity Code]]&amp;"; "&amp;R7382&amp;AS[[#This Row],[Age Band Code]]&amp;"; "&amp;S7382&amp;AS[[#This Row],[Sex Code]]</f>
        <v xml:space="preserve">Insurer Code ; Reporting Year ; Insurance Category Code ; Large Provider Entity Code ; Age Band Code ; Sex Code </v>
      </c>
      <c r="N7382" s="345" t="s">
        <v>207</v>
      </c>
      <c r="O7382" s="345" t="s">
        <v>208</v>
      </c>
      <c r="P7382" s="345" t="s">
        <v>209</v>
      </c>
      <c r="Q7382" s="345" t="s">
        <v>210</v>
      </c>
      <c r="R7382" s="345" t="s">
        <v>223</v>
      </c>
      <c r="S7382" s="345" t="s">
        <v>224</v>
      </c>
    </row>
    <row r="7383" spans="1:19" x14ac:dyDescent="0.25">
      <c r="A7383" s="311"/>
      <c r="B7383" s="312"/>
      <c r="C7383" s="312"/>
      <c r="D7383" s="312"/>
      <c r="E7383" s="312"/>
      <c r="F7383" s="312"/>
      <c r="G7383" s="328"/>
      <c r="H7383" s="453"/>
      <c r="I7383" s="334"/>
      <c r="J7383" s="314"/>
      <c r="K7383" s="454"/>
      <c r="M7383" s="349" t="str">
        <f>N7383&amp;AS[[#This Row],[Insurer Code]]&amp;"; "&amp;O7383&amp;AS[[#This Row],[Reporting Year]]&amp;"; "&amp;P7383&amp;AS[[#This Row],[Insurance Category Code]]&amp;"; "&amp;Q7383&amp;AS[[#This Row],[Large Provider Entity Code]]&amp;"; "&amp;R7383&amp;AS[[#This Row],[Age Band Code]]&amp;"; "&amp;S7383&amp;AS[[#This Row],[Sex Code]]</f>
        <v xml:space="preserve">Insurer Code ; Reporting Year ; Insurance Category Code ; Large Provider Entity Code ; Age Band Code ; Sex Code </v>
      </c>
      <c r="N7383" s="345" t="s">
        <v>207</v>
      </c>
      <c r="O7383" s="345" t="s">
        <v>208</v>
      </c>
      <c r="P7383" s="345" t="s">
        <v>209</v>
      </c>
      <c r="Q7383" s="345" t="s">
        <v>210</v>
      </c>
      <c r="R7383" s="345" t="s">
        <v>223</v>
      </c>
      <c r="S7383" s="345" t="s">
        <v>224</v>
      </c>
    </row>
    <row r="7384" spans="1:19" x14ac:dyDescent="0.25">
      <c r="A7384" s="311"/>
      <c r="B7384" s="312"/>
      <c r="C7384" s="312"/>
      <c r="D7384" s="312"/>
      <c r="E7384" s="312"/>
      <c r="F7384" s="312"/>
      <c r="G7384" s="328"/>
      <c r="H7384" s="453"/>
      <c r="I7384" s="334"/>
      <c r="J7384" s="314"/>
      <c r="K7384" s="454"/>
      <c r="M7384" s="349" t="str">
        <f>N7384&amp;AS[[#This Row],[Insurer Code]]&amp;"; "&amp;O7384&amp;AS[[#This Row],[Reporting Year]]&amp;"; "&amp;P7384&amp;AS[[#This Row],[Insurance Category Code]]&amp;"; "&amp;Q7384&amp;AS[[#This Row],[Large Provider Entity Code]]&amp;"; "&amp;R7384&amp;AS[[#This Row],[Age Band Code]]&amp;"; "&amp;S7384&amp;AS[[#This Row],[Sex Code]]</f>
        <v xml:space="preserve">Insurer Code ; Reporting Year ; Insurance Category Code ; Large Provider Entity Code ; Age Band Code ; Sex Code </v>
      </c>
      <c r="N7384" s="345" t="s">
        <v>207</v>
      </c>
      <c r="O7384" s="345" t="s">
        <v>208</v>
      </c>
      <c r="P7384" s="345" t="s">
        <v>209</v>
      </c>
      <c r="Q7384" s="345" t="s">
        <v>210</v>
      </c>
      <c r="R7384" s="345" t="s">
        <v>223</v>
      </c>
      <c r="S7384" s="345" t="s">
        <v>224</v>
      </c>
    </row>
    <row r="7385" spans="1:19" x14ac:dyDescent="0.25">
      <c r="A7385" s="311"/>
      <c r="B7385" s="312"/>
      <c r="C7385" s="312"/>
      <c r="D7385" s="312"/>
      <c r="E7385" s="312"/>
      <c r="F7385" s="312"/>
      <c r="G7385" s="328"/>
      <c r="H7385" s="453"/>
      <c r="I7385" s="334"/>
      <c r="J7385" s="314"/>
      <c r="K7385" s="454"/>
      <c r="M7385" s="349" t="str">
        <f>N7385&amp;AS[[#This Row],[Insurer Code]]&amp;"; "&amp;O7385&amp;AS[[#This Row],[Reporting Year]]&amp;"; "&amp;P7385&amp;AS[[#This Row],[Insurance Category Code]]&amp;"; "&amp;Q7385&amp;AS[[#This Row],[Large Provider Entity Code]]&amp;"; "&amp;R7385&amp;AS[[#This Row],[Age Band Code]]&amp;"; "&amp;S7385&amp;AS[[#This Row],[Sex Code]]</f>
        <v xml:space="preserve">Insurer Code ; Reporting Year ; Insurance Category Code ; Large Provider Entity Code ; Age Band Code ; Sex Code </v>
      </c>
      <c r="N7385" s="345" t="s">
        <v>207</v>
      </c>
      <c r="O7385" s="345" t="s">
        <v>208</v>
      </c>
      <c r="P7385" s="345" t="s">
        <v>209</v>
      </c>
      <c r="Q7385" s="345" t="s">
        <v>210</v>
      </c>
      <c r="R7385" s="345" t="s">
        <v>223</v>
      </c>
      <c r="S7385" s="345" t="s">
        <v>224</v>
      </c>
    </row>
    <row r="7386" spans="1:19" x14ac:dyDescent="0.25">
      <c r="A7386" s="311"/>
      <c r="B7386" s="312"/>
      <c r="C7386" s="312"/>
      <c r="D7386" s="312"/>
      <c r="E7386" s="312"/>
      <c r="F7386" s="312"/>
      <c r="G7386" s="328"/>
      <c r="H7386" s="453"/>
      <c r="I7386" s="334"/>
      <c r="J7386" s="314"/>
      <c r="K7386" s="454"/>
      <c r="M7386" s="349" t="str">
        <f>N7386&amp;AS[[#This Row],[Insurer Code]]&amp;"; "&amp;O7386&amp;AS[[#This Row],[Reporting Year]]&amp;"; "&amp;P7386&amp;AS[[#This Row],[Insurance Category Code]]&amp;"; "&amp;Q7386&amp;AS[[#This Row],[Large Provider Entity Code]]&amp;"; "&amp;R7386&amp;AS[[#This Row],[Age Band Code]]&amp;"; "&amp;S7386&amp;AS[[#This Row],[Sex Code]]</f>
        <v xml:space="preserve">Insurer Code ; Reporting Year ; Insurance Category Code ; Large Provider Entity Code ; Age Band Code ; Sex Code </v>
      </c>
      <c r="N7386" s="345" t="s">
        <v>207</v>
      </c>
      <c r="O7386" s="345" t="s">
        <v>208</v>
      </c>
      <c r="P7386" s="345" t="s">
        <v>209</v>
      </c>
      <c r="Q7386" s="345" t="s">
        <v>210</v>
      </c>
      <c r="R7386" s="345" t="s">
        <v>223</v>
      </c>
      <c r="S7386" s="345" t="s">
        <v>224</v>
      </c>
    </row>
    <row r="7387" spans="1:19" x14ac:dyDescent="0.25">
      <c r="A7387" s="311"/>
      <c r="B7387" s="312"/>
      <c r="C7387" s="312"/>
      <c r="D7387" s="312"/>
      <c r="E7387" s="312"/>
      <c r="F7387" s="312"/>
      <c r="G7387" s="328"/>
      <c r="H7387" s="453"/>
      <c r="I7387" s="334"/>
      <c r="J7387" s="314"/>
      <c r="K7387" s="454"/>
      <c r="M7387" s="349" t="str">
        <f>N7387&amp;AS[[#This Row],[Insurer Code]]&amp;"; "&amp;O7387&amp;AS[[#This Row],[Reporting Year]]&amp;"; "&amp;P7387&amp;AS[[#This Row],[Insurance Category Code]]&amp;"; "&amp;Q7387&amp;AS[[#This Row],[Large Provider Entity Code]]&amp;"; "&amp;R7387&amp;AS[[#This Row],[Age Band Code]]&amp;"; "&amp;S7387&amp;AS[[#This Row],[Sex Code]]</f>
        <v xml:space="preserve">Insurer Code ; Reporting Year ; Insurance Category Code ; Large Provider Entity Code ; Age Band Code ; Sex Code </v>
      </c>
      <c r="N7387" s="345" t="s">
        <v>207</v>
      </c>
      <c r="O7387" s="345" t="s">
        <v>208</v>
      </c>
      <c r="P7387" s="345" t="s">
        <v>209</v>
      </c>
      <c r="Q7387" s="345" t="s">
        <v>210</v>
      </c>
      <c r="R7387" s="345" t="s">
        <v>223</v>
      </c>
      <c r="S7387" s="345" t="s">
        <v>224</v>
      </c>
    </row>
    <row r="7388" spans="1:19" x14ac:dyDescent="0.25">
      <c r="A7388" s="311"/>
      <c r="B7388" s="312"/>
      <c r="C7388" s="312"/>
      <c r="D7388" s="312"/>
      <c r="E7388" s="312"/>
      <c r="F7388" s="312"/>
      <c r="G7388" s="328"/>
      <c r="H7388" s="453"/>
      <c r="I7388" s="334"/>
      <c r="J7388" s="314"/>
      <c r="K7388" s="454"/>
      <c r="M7388" s="349" t="str">
        <f>N7388&amp;AS[[#This Row],[Insurer Code]]&amp;"; "&amp;O7388&amp;AS[[#This Row],[Reporting Year]]&amp;"; "&amp;P7388&amp;AS[[#This Row],[Insurance Category Code]]&amp;"; "&amp;Q7388&amp;AS[[#This Row],[Large Provider Entity Code]]&amp;"; "&amp;R7388&amp;AS[[#This Row],[Age Band Code]]&amp;"; "&amp;S7388&amp;AS[[#This Row],[Sex Code]]</f>
        <v xml:space="preserve">Insurer Code ; Reporting Year ; Insurance Category Code ; Large Provider Entity Code ; Age Band Code ; Sex Code </v>
      </c>
      <c r="N7388" s="345" t="s">
        <v>207</v>
      </c>
      <c r="O7388" s="345" t="s">
        <v>208</v>
      </c>
      <c r="P7388" s="345" t="s">
        <v>209</v>
      </c>
      <c r="Q7388" s="345" t="s">
        <v>210</v>
      </c>
      <c r="R7388" s="345" t="s">
        <v>223</v>
      </c>
      <c r="S7388" s="345" t="s">
        <v>224</v>
      </c>
    </row>
    <row r="7389" spans="1:19" x14ac:dyDescent="0.25">
      <c r="A7389" s="311"/>
      <c r="B7389" s="312"/>
      <c r="C7389" s="312"/>
      <c r="D7389" s="312"/>
      <c r="E7389" s="312"/>
      <c r="F7389" s="312"/>
      <c r="G7389" s="328"/>
      <c r="H7389" s="453"/>
      <c r="I7389" s="334"/>
      <c r="J7389" s="314"/>
      <c r="K7389" s="454"/>
      <c r="M7389" s="349" t="str">
        <f>N7389&amp;AS[[#This Row],[Insurer Code]]&amp;"; "&amp;O7389&amp;AS[[#This Row],[Reporting Year]]&amp;"; "&amp;P7389&amp;AS[[#This Row],[Insurance Category Code]]&amp;"; "&amp;Q7389&amp;AS[[#This Row],[Large Provider Entity Code]]&amp;"; "&amp;R7389&amp;AS[[#This Row],[Age Band Code]]&amp;"; "&amp;S7389&amp;AS[[#This Row],[Sex Code]]</f>
        <v xml:space="preserve">Insurer Code ; Reporting Year ; Insurance Category Code ; Large Provider Entity Code ; Age Band Code ; Sex Code </v>
      </c>
      <c r="N7389" s="345" t="s">
        <v>207</v>
      </c>
      <c r="O7389" s="345" t="s">
        <v>208</v>
      </c>
      <c r="P7389" s="345" t="s">
        <v>209</v>
      </c>
      <c r="Q7389" s="345" t="s">
        <v>210</v>
      </c>
      <c r="R7389" s="345" t="s">
        <v>223</v>
      </c>
      <c r="S7389" s="345" t="s">
        <v>224</v>
      </c>
    </row>
    <row r="7390" spans="1:19" x14ac:dyDescent="0.25">
      <c r="A7390" s="311"/>
      <c r="B7390" s="312"/>
      <c r="C7390" s="312"/>
      <c r="D7390" s="312"/>
      <c r="E7390" s="312"/>
      <c r="F7390" s="312"/>
      <c r="G7390" s="328"/>
      <c r="H7390" s="453"/>
      <c r="I7390" s="334"/>
      <c r="J7390" s="314"/>
      <c r="K7390" s="454"/>
      <c r="M7390" s="349" t="str">
        <f>N7390&amp;AS[[#This Row],[Insurer Code]]&amp;"; "&amp;O7390&amp;AS[[#This Row],[Reporting Year]]&amp;"; "&amp;P7390&amp;AS[[#This Row],[Insurance Category Code]]&amp;"; "&amp;Q7390&amp;AS[[#This Row],[Large Provider Entity Code]]&amp;"; "&amp;R7390&amp;AS[[#This Row],[Age Band Code]]&amp;"; "&amp;S7390&amp;AS[[#This Row],[Sex Code]]</f>
        <v xml:space="preserve">Insurer Code ; Reporting Year ; Insurance Category Code ; Large Provider Entity Code ; Age Band Code ; Sex Code </v>
      </c>
      <c r="N7390" s="345" t="s">
        <v>207</v>
      </c>
      <c r="O7390" s="345" t="s">
        <v>208</v>
      </c>
      <c r="P7390" s="345" t="s">
        <v>209</v>
      </c>
      <c r="Q7390" s="345" t="s">
        <v>210</v>
      </c>
      <c r="R7390" s="345" t="s">
        <v>223</v>
      </c>
      <c r="S7390" s="345" t="s">
        <v>224</v>
      </c>
    </row>
    <row r="7391" spans="1:19" x14ac:dyDescent="0.25">
      <c r="A7391" s="311"/>
      <c r="B7391" s="312"/>
      <c r="C7391" s="312"/>
      <c r="D7391" s="312"/>
      <c r="E7391" s="312"/>
      <c r="F7391" s="312"/>
      <c r="G7391" s="328"/>
      <c r="H7391" s="453"/>
      <c r="I7391" s="334"/>
      <c r="J7391" s="314"/>
      <c r="K7391" s="454"/>
      <c r="M7391" s="349" t="str">
        <f>N7391&amp;AS[[#This Row],[Insurer Code]]&amp;"; "&amp;O7391&amp;AS[[#This Row],[Reporting Year]]&amp;"; "&amp;P7391&amp;AS[[#This Row],[Insurance Category Code]]&amp;"; "&amp;Q7391&amp;AS[[#This Row],[Large Provider Entity Code]]&amp;"; "&amp;R7391&amp;AS[[#This Row],[Age Band Code]]&amp;"; "&amp;S7391&amp;AS[[#This Row],[Sex Code]]</f>
        <v xml:space="preserve">Insurer Code ; Reporting Year ; Insurance Category Code ; Large Provider Entity Code ; Age Band Code ; Sex Code </v>
      </c>
      <c r="N7391" s="345" t="s">
        <v>207</v>
      </c>
      <c r="O7391" s="345" t="s">
        <v>208</v>
      </c>
      <c r="P7391" s="345" t="s">
        <v>209</v>
      </c>
      <c r="Q7391" s="345" t="s">
        <v>210</v>
      </c>
      <c r="R7391" s="345" t="s">
        <v>223</v>
      </c>
      <c r="S7391" s="345" t="s">
        <v>224</v>
      </c>
    </row>
    <row r="7392" spans="1:19" x14ac:dyDescent="0.25">
      <c r="A7392" s="311"/>
      <c r="B7392" s="312"/>
      <c r="C7392" s="312"/>
      <c r="D7392" s="312"/>
      <c r="E7392" s="312"/>
      <c r="F7392" s="312"/>
      <c r="G7392" s="328"/>
      <c r="H7392" s="453"/>
      <c r="I7392" s="334"/>
      <c r="J7392" s="314"/>
      <c r="K7392" s="454"/>
      <c r="M7392" s="349" t="str">
        <f>N7392&amp;AS[[#This Row],[Insurer Code]]&amp;"; "&amp;O7392&amp;AS[[#This Row],[Reporting Year]]&amp;"; "&amp;P7392&amp;AS[[#This Row],[Insurance Category Code]]&amp;"; "&amp;Q7392&amp;AS[[#This Row],[Large Provider Entity Code]]&amp;"; "&amp;R7392&amp;AS[[#This Row],[Age Band Code]]&amp;"; "&amp;S7392&amp;AS[[#This Row],[Sex Code]]</f>
        <v xml:space="preserve">Insurer Code ; Reporting Year ; Insurance Category Code ; Large Provider Entity Code ; Age Band Code ; Sex Code </v>
      </c>
      <c r="N7392" s="345" t="s">
        <v>207</v>
      </c>
      <c r="O7392" s="345" t="s">
        <v>208</v>
      </c>
      <c r="P7392" s="345" t="s">
        <v>209</v>
      </c>
      <c r="Q7392" s="345" t="s">
        <v>210</v>
      </c>
      <c r="R7392" s="345" t="s">
        <v>223</v>
      </c>
      <c r="S7392" s="345" t="s">
        <v>224</v>
      </c>
    </row>
    <row r="7393" spans="1:19" x14ac:dyDescent="0.25">
      <c r="A7393" s="311"/>
      <c r="B7393" s="312"/>
      <c r="C7393" s="312"/>
      <c r="D7393" s="312"/>
      <c r="E7393" s="312"/>
      <c r="F7393" s="312"/>
      <c r="G7393" s="328"/>
      <c r="H7393" s="453"/>
      <c r="I7393" s="334"/>
      <c r="J7393" s="314"/>
      <c r="K7393" s="454"/>
      <c r="M7393" s="349" t="str">
        <f>N7393&amp;AS[[#This Row],[Insurer Code]]&amp;"; "&amp;O7393&amp;AS[[#This Row],[Reporting Year]]&amp;"; "&amp;P7393&amp;AS[[#This Row],[Insurance Category Code]]&amp;"; "&amp;Q7393&amp;AS[[#This Row],[Large Provider Entity Code]]&amp;"; "&amp;R7393&amp;AS[[#This Row],[Age Band Code]]&amp;"; "&amp;S7393&amp;AS[[#This Row],[Sex Code]]</f>
        <v xml:space="preserve">Insurer Code ; Reporting Year ; Insurance Category Code ; Large Provider Entity Code ; Age Band Code ; Sex Code </v>
      </c>
      <c r="N7393" s="345" t="s">
        <v>207</v>
      </c>
      <c r="O7393" s="345" t="s">
        <v>208</v>
      </c>
      <c r="P7393" s="345" t="s">
        <v>209</v>
      </c>
      <c r="Q7393" s="345" t="s">
        <v>210</v>
      </c>
      <c r="R7393" s="345" t="s">
        <v>223</v>
      </c>
      <c r="S7393" s="345" t="s">
        <v>224</v>
      </c>
    </row>
    <row r="7394" spans="1:19" x14ac:dyDescent="0.25">
      <c r="A7394" s="311"/>
      <c r="B7394" s="312"/>
      <c r="C7394" s="312"/>
      <c r="D7394" s="312"/>
      <c r="E7394" s="312"/>
      <c r="F7394" s="312"/>
      <c r="G7394" s="328"/>
      <c r="H7394" s="453"/>
      <c r="I7394" s="334"/>
      <c r="J7394" s="314"/>
      <c r="K7394" s="454"/>
      <c r="M7394" s="349" t="str">
        <f>N7394&amp;AS[[#This Row],[Insurer Code]]&amp;"; "&amp;O7394&amp;AS[[#This Row],[Reporting Year]]&amp;"; "&amp;P7394&amp;AS[[#This Row],[Insurance Category Code]]&amp;"; "&amp;Q7394&amp;AS[[#This Row],[Large Provider Entity Code]]&amp;"; "&amp;R7394&amp;AS[[#This Row],[Age Band Code]]&amp;"; "&amp;S7394&amp;AS[[#This Row],[Sex Code]]</f>
        <v xml:space="preserve">Insurer Code ; Reporting Year ; Insurance Category Code ; Large Provider Entity Code ; Age Band Code ; Sex Code </v>
      </c>
      <c r="N7394" s="345" t="s">
        <v>207</v>
      </c>
      <c r="O7394" s="345" t="s">
        <v>208</v>
      </c>
      <c r="P7394" s="345" t="s">
        <v>209</v>
      </c>
      <c r="Q7394" s="345" t="s">
        <v>210</v>
      </c>
      <c r="R7394" s="345" t="s">
        <v>223</v>
      </c>
      <c r="S7394" s="345" t="s">
        <v>224</v>
      </c>
    </row>
    <row r="7395" spans="1:19" x14ac:dyDescent="0.25">
      <c r="A7395" s="311"/>
      <c r="B7395" s="312"/>
      <c r="C7395" s="312"/>
      <c r="D7395" s="312"/>
      <c r="E7395" s="312"/>
      <c r="F7395" s="312"/>
      <c r="G7395" s="328"/>
      <c r="H7395" s="453"/>
      <c r="I7395" s="334"/>
      <c r="J7395" s="314"/>
      <c r="K7395" s="454"/>
      <c r="M7395" s="349" t="str">
        <f>N7395&amp;AS[[#This Row],[Insurer Code]]&amp;"; "&amp;O7395&amp;AS[[#This Row],[Reporting Year]]&amp;"; "&amp;P7395&amp;AS[[#This Row],[Insurance Category Code]]&amp;"; "&amp;Q7395&amp;AS[[#This Row],[Large Provider Entity Code]]&amp;"; "&amp;R7395&amp;AS[[#This Row],[Age Band Code]]&amp;"; "&amp;S7395&amp;AS[[#This Row],[Sex Code]]</f>
        <v xml:space="preserve">Insurer Code ; Reporting Year ; Insurance Category Code ; Large Provider Entity Code ; Age Band Code ; Sex Code </v>
      </c>
      <c r="N7395" s="345" t="s">
        <v>207</v>
      </c>
      <c r="O7395" s="345" t="s">
        <v>208</v>
      </c>
      <c r="P7395" s="345" t="s">
        <v>209</v>
      </c>
      <c r="Q7395" s="345" t="s">
        <v>210</v>
      </c>
      <c r="R7395" s="345" t="s">
        <v>223</v>
      </c>
      <c r="S7395" s="345" t="s">
        <v>224</v>
      </c>
    </row>
    <row r="7396" spans="1:19" x14ac:dyDescent="0.25">
      <c r="A7396" s="311"/>
      <c r="B7396" s="312"/>
      <c r="C7396" s="312"/>
      <c r="D7396" s="312"/>
      <c r="E7396" s="312"/>
      <c r="F7396" s="312"/>
      <c r="G7396" s="328"/>
      <c r="H7396" s="453"/>
      <c r="I7396" s="334"/>
      <c r="J7396" s="314"/>
      <c r="K7396" s="454"/>
      <c r="M7396" s="349" t="str">
        <f>N7396&amp;AS[[#This Row],[Insurer Code]]&amp;"; "&amp;O7396&amp;AS[[#This Row],[Reporting Year]]&amp;"; "&amp;P7396&amp;AS[[#This Row],[Insurance Category Code]]&amp;"; "&amp;Q7396&amp;AS[[#This Row],[Large Provider Entity Code]]&amp;"; "&amp;R7396&amp;AS[[#This Row],[Age Band Code]]&amp;"; "&amp;S7396&amp;AS[[#This Row],[Sex Code]]</f>
        <v xml:space="preserve">Insurer Code ; Reporting Year ; Insurance Category Code ; Large Provider Entity Code ; Age Band Code ; Sex Code </v>
      </c>
      <c r="N7396" s="345" t="s">
        <v>207</v>
      </c>
      <c r="O7396" s="345" t="s">
        <v>208</v>
      </c>
      <c r="P7396" s="345" t="s">
        <v>209</v>
      </c>
      <c r="Q7396" s="345" t="s">
        <v>210</v>
      </c>
      <c r="R7396" s="345" t="s">
        <v>223</v>
      </c>
      <c r="S7396" s="345" t="s">
        <v>224</v>
      </c>
    </row>
    <row r="7397" spans="1:19" x14ac:dyDescent="0.25">
      <c r="A7397" s="311"/>
      <c r="B7397" s="312"/>
      <c r="C7397" s="312"/>
      <c r="D7397" s="312"/>
      <c r="E7397" s="312"/>
      <c r="F7397" s="312"/>
      <c r="G7397" s="328"/>
      <c r="H7397" s="453"/>
      <c r="I7397" s="334"/>
      <c r="J7397" s="314"/>
      <c r="K7397" s="454"/>
      <c r="M7397" s="349" t="str">
        <f>N7397&amp;AS[[#This Row],[Insurer Code]]&amp;"; "&amp;O7397&amp;AS[[#This Row],[Reporting Year]]&amp;"; "&amp;P7397&amp;AS[[#This Row],[Insurance Category Code]]&amp;"; "&amp;Q7397&amp;AS[[#This Row],[Large Provider Entity Code]]&amp;"; "&amp;R7397&amp;AS[[#This Row],[Age Band Code]]&amp;"; "&amp;S7397&amp;AS[[#This Row],[Sex Code]]</f>
        <v xml:space="preserve">Insurer Code ; Reporting Year ; Insurance Category Code ; Large Provider Entity Code ; Age Band Code ; Sex Code </v>
      </c>
      <c r="N7397" s="345" t="s">
        <v>207</v>
      </c>
      <c r="O7397" s="345" t="s">
        <v>208</v>
      </c>
      <c r="P7397" s="345" t="s">
        <v>209</v>
      </c>
      <c r="Q7397" s="345" t="s">
        <v>210</v>
      </c>
      <c r="R7397" s="345" t="s">
        <v>223</v>
      </c>
      <c r="S7397" s="345" t="s">
        <v>224</v>
      </c>
    </row>
    <row r="7398" spans="1:19" x14ac:dyDescent="0.25">
      <c r="A7398" s="311"/>
      <c r="B7398" s="312"/>
      <c r="C7398" s="312"/>
      <c r="D7398" s="312"/>
      <c r="E7398" s="312"/>
      <c r="F7398" s="312"/>
      <c r="G7398" s="328"/>
      <c r="H7398" s="453"/>
      <c r="I7398" s="334"/>
      <c r="J7398" s="314"/>
      <c r="K7398" s="454"/>
      <c r="M7398" s="349" t="str">
        <f>N7398&amp;AS[[#This Row],[Insurer Code]]&amp;"; "&amp;O7398&amp;AS[[#This Row],[Reporting Year]]&amp;"; "&amp;P7398&amp;AS[[#This Row],[Insurance Category Code]]&amp;"; "&amp;Q7398&amp;AS[[#This Row],[Large Provider Entity Code]]&amp;"; "&amp;R7398&amp;AS[[#This Row],[Age Band Code]]&amp;"; "&amp;S7398&amp;AS[[#This Row],[Sex Code]]</f>
        <v xml:space="preserve">Insurer Code ; Reporting Year ; Insurance Category Code ; Large Provider Entity Code ; Age Band Code ; Sex Code </v>
      </c>
      <c r="N7398" s="345" t="s">
        <v>207</v>
      </c>
      <c r="O7398" s="345" t="s">
        <v>208</v>
      </c>
      <c r="P7398" s="345" t="s">
        <v>209</v>
      </c>
      <c r="Q7398" s="345" t="s">
        <v>210</v>
      </c>
      <c r="R7398" s="345" t="s">
        <v>223</v>
      </c>
      <c r="S7398" s="345" t="s">
        <v>224</v>
      </c>
    </row>
    <row r="7399" spans="1:19" x14ac:dyDescent="0.25">
      <c r="A7399" s="311"/>
      <c r="B7399" s="312"/>
      <c r="C7399" s="312"/>
      <c r="D7399" s="312"/>
      <c r="E7399" s="312"/>
      <c r="F7399" s="312"/>
      <c r="G7399" s="328"/>
      <c r="H7399" s="453"/>
      <c r="I7399" s="334"/>
      <c r="J7399" s="314"/>
      <c r="K7399" s="454"/>
      <c r="M7399" s="349" t="str">
        <f>N7399&amp;AS[[#This Row],[Insurer Code]]&amp;"; "&amp;O7399&amp;AS[[#This Row],[Reporting Year]]&amp;"; "&amp;P7399&amp;AS[[#This Row],[Insurance Category Code]]&amp;"; "&amp;Q7399&amp;AS[[#This Row],[Large Provider Entity Code]]&amp;"; "&amp;R7399&amp;AS[[#This Row],[Age Band Code]]&amp;"; "&amp;S7399&amp;AS[[#This Row],[Sex Code]]</f>
        <v xml:space="preserve">Insurer Code ; Reporting Year ; Insurance Category Code ; Large Provider Entity Code ; Age Band Code ; Sex Code </v>
      </c>
      <c r="N7399" s="345" t="s">
        <v>207</v>
      </c>
      <c r="O7399" s="345" t="s">
        <v>208</v>
      </c>
      <c r="P7399" s="345" t="s">
        <v>209</v>
      </c>
      <c r="Q7399" s="345" t="s">
        <v>210</v>
      </c>
      <c r="R7399" s="345" t="s">
        <v>223</v>
      </c>
      <c r="S7399" s="345" t="s">
        <v>224</v>
      </c>
    </row>
    <row r="7400" spans="1:19" x14ac:dyDescent="0.25">
      <c r="A7400" s="311"/>
      <c r="B7400" s="312"/>
      <c r="C7400" s="312"/>
      <c r="D7400" s="312"/>
      <c r="E7400" s="312"/>
      <c r="F7400" s="312"/>
      <c r="G7400" s="328"/>
      <c r="H7400" s="453"/>
      <c r="I7400" s="334"/>
      <c r="J7400" s="314"/>
      <c r="K7400" s="454"/>
      <c r="M7400" s="349" t="str">
        <f>N7400&amp;AS[[#This Row],[Insurer Code]]&amp;"; "&amp;O7400&amp;AS[[#This Row],[Reporting Year]]&amp;"; "&amp;P7400&amp;AS[[#This Row],[Insurance Category Code]]&amp;"; "&amp;Q7400&amp;AS[[#This Row],[Large Provider Entity Code]]&amp;"; "&amp;R7400&amp;AS[[#This Row],[Age Band Code]]&amp;"; "&amp;S7400&amp;AS[[#This Row],[Sex Code]]</f>
        <v xml:space="preserve">Insurer Code ; Reporting Year ; Insurance Category Code ; Large Provider Entity Code ; Age Band Code ; Sex Code </v>
      </c>
      <c r="N7400" s="345" t="s">
        <v>207</v>
      </c>
      <c r="O7400" s="345" t="s">
        <v>208</v>
      </c>
      <c r="P7400" s="345" t="s">
        <v>209</v>
      </c>
      <c r="Q7400" s="345" t="s">
        <v>210</v>
      </c>
      <c r="R7400" s="345" t="s">
        <v>223</v>
      </c>
      <c r="S7400" s="345" t="s">
        <v>224</v>
      </c>
    </row>
    <row r="7401" spans="1:19" x14ac:dyDescent="0.25">
      <c r="A7401" s="311"/>
      <c r="B7401" s="312"/>
      <c r="C7401" s="312"/>
      <c r="D7401" s="312"/>
      <c r="E7401" s="312"/>
      <c r="F7401" s="312"/>
      <c r="G7401" s="328"/>
      <c r="H7401" s="453"/>
      <c r="I7401" s="334"/>
      <c r="J7401" s="314"/>
      <c r="K7401" s="454"/>
      <c r="M7401" s="349" t="str">
        <f>N7401&amp;AS[[#This Row],[Insurer Code]]&amp;"; "&amp;O7401&amp;AS[[#This Row],[Reporting Year]]&amp;"; "&amp;P7401&amp;AS[[#This Row],[Insurance Category Code]]&amp;"; "&amp;Q7401&amp;AS[[#This Row],[Large Provider Entity Code]]&amp;"; "&amp;R7401&amp;AS[[#This Row],[Age Band Code]]&amp;"; "&amp;S7401&amp;AS[[#This Row],[Sex Code]]</f>
        <v xml:space="preserve">Insurer Code ; Reporting Year ; Insurance Category Code ; Large Provider Entity Code ; Age Band Code ; Sex Code </v>
      </c>
      <c r="N7401" s="345" t="s">
        <v>207</v>
      </c>
      <c r="O7401" s="345" t="s">
        <v>208</v>
      </c>
      <c r="P7401" s="345" t="s">
        <v>209</v>
      </c>
      <c r="Q7401" s="345" t="s">
        <v>210</v>
      </c>
      <c r="R7401" s="345" t="s">
        <v>223</v>
      </c>
      <c r="S7401" s="345" t="s">
        <v>224</v>
      </c>
    </row>
    <row r="7402" spans="1:19" x14ac:dyDescent="0.25">
      <c r="A7402" s="311"/>
      <c r="B7402" s="312"/>
      <c r="C7402" s="312"/>
      <c r="D7402" s="312"/>
      <c r="E7402" s="312"/>
      <c r="F7402" s="312"/>
      <c r="G7402" s="328"/>
      <c r="H7402" s="453"/>
      <c r="I7402" s="334"/>
      <c r="J7402" s="314"/>
      <c r="K7402" s="454"/>
      <c r="M7402" s="349" t="str">
        <f>N7402&amp;AS[[#This Row],[Insurer Code]]&amp;"; "&amp;O7402&amp;AS[[#This Row],[Reporting Year]]&amp;"; "&amp;P7402&amp;AS[[#This Row],[Insurance Category Code]]&amp;"; "&amp;Q7402&amp;AS[[#This Row],[Large Provider Entity Code]]&amp;"; "&amp;R7402&amp;AS[[#This Row],[Age Band Code]]&amp;"; "&amp;S7402&amp;AS[[#This Row],[Sex Code]]</f>
        <v xml:space="preserve">Insurer Code ; Reporting Year ; Insurance Category Code ; Large Provider Entity Code ; Age Band Code ; Sex Code </v>
      </c>
      <c r="N7402" s="345" t="s">
        <v>207</v>
      </c>
      <c r="O7402" s="345" t="s">
        <v>208</v>
      </c>
      <c r="P7402" s="345" t="s">
        <v>209</v>
      </c>
      <c r="Q7402" s="345" t="s">
        <v>210</v>
      </c>
      <c r="R7402" s="345" t="s">
        <v>223</v>
      </c>
      <c r="S7402" s="345" t="s">
        <v>224</v>
      </c>
    </row>
    <row r="7403" spans="1:19" x14ac:dyDescent="0.25">
      <c r="A7403" s="311"/>
      <c r="B7403" s="312"/>
      <c r="C7403" s="312"/>
      <c r="D7403" s="312"/>
      <c r="E7403" s="312"/>
      <c r="F7403" s="312"/>
      <c r="G7403" s="328"/>
      <c r="H7403" s="453"/>
      <c r="I7403" s="334"/>
      <c r="J7403" s="314"/>
      <c r="K7403" s="454"/>
      <c r="M7403" s="349" t="str">
        <f>N7403&amp;AS[[#This Row],[Insurer Code]]&amp;"; "&amp;O7403&amp;AS[[#This Row],[Reporting Year]]&amp;"; "&amp;P7403&amp;AS[[#This Row],[Insurance Category Code]]&amp;"; "&amp;Q7403&amp;AS[[#This Row],[Large Provider Entity Code]]&amp;"; "&amp;R7403&amp;AS[[#This Row],[Age Band Code]]&amp;"; "&amp;S7403&amp;AS[[#This Row],[Sex Code]]</f>
        <v xml:space="preserve">Insurer Code ; Reporting Year ; Insurance Category Code ; Large Provider Entity Code ; Age Band Code ; Sex Code </v>
      </c>
      <c r="N7403" s="345" t="s">
        <v>207</v>
      </c>
      <c r="O7403" s="345" t="s">
        <v>208</v>
      </c>
      <c r="P7403" s="345" t="s">
        <v>209</v>
      </c>
      <c r="Q7403" s="345" t="s">
        <v>210</v>
      </c>
      <c r="R7403" s="345" t="s">
        <v>223</v>
      </c>
      <c r="S7403" s="345" t="s">
        <v>224</v>
      </c>
    </row>
    <row r="7404" spans="1:19" x14ac:dyDescent="0.25">
      <c r="A7404" s="311"/>
      <c r="B7404" s="312"/>
      <c r="C7404" s="312"/>
      <c r="D7404" s="312"/>
      <c r="E7404" s="312"/>
      <c r="F7404" s="312"/>
      <c r="G7404" s="328"/>
      <c r="H7404" s="453"/>
      <c r="I7404" s="334"/>
      <c r="J7404" s="314"/>
      <c r="K7404" s="454"/>
      <c r="M7404" s="349" t="str">
        <f>N7404&amp;AS[[#This Row],[Insurer Code]]&amp;"; "&amp;O7404&amp;AS[[#This Row],[Reporting Year]]&amp;"; "&amp;P7404&amp;AS[[#This Row],[Insurance Category Code]]&amp;"; "&amp;Q7404&amp;AS[[#This Row],[Large Provider Entity Code]]&amp;"; "&amp;R7404&amp;AS[[#This Row],[Age Band Code]]&amp;"; "&amp;S7404&amp;AS[[#This Row],[Sex Code]]</f>
        <v xml:space="preserve">Insurer Code ; Reporting Year ; Insurance Category Code ; Large Provider Entity Code ; Age Band Code ; Sex Code </v>
      </c>
      <c r="N7404" s="345" t="s">
        <v>207</v>
      </c>
      <c r="O7404" s="345" t="s">
        <v>208</v>
      </c>
      <c r="P7404" s="345" t="s">
        <v>209</v>
      </c>
      <c r="Q7404" s="345" t="s">
        <v>210</v>
      </c>
      <c r="R7404" s="345" t="s">
        <v>223</v>
      </c>
      <c r="S7404" s="345" t="s">
        <v>224</v>
      </c>
    </row>
    <row r="7405" spans="1:19" x14ac:dyDescent="0.25">
      <c r="A7405" s="311"/>
      <c r="B7405" s="312"/>
      <c r="C7405" s="312"/>
      <c r="D7405" s="312"/>
      <c r="E7405" s="312"/>
      <c r="F7405" s="312"/>
      <c r="G7405" s="328"/>
      <c r="H7405" s="453"/>
      <c r="I7405" s="334"/>
      <c r="J7405" s="314"/>
      <c r="K7405" s="454"/>
      <c r="M7405" s="349" t="str">
        <f>N7405&amp;AS[[#This Row],[Insurer Code]]&amp;"; "&amp;O7405&amp;AS[[#This Row],[Reporting Year]]&amp;"; "&amp;P7405&amp;AS[[#This Row],[Insurance Category Code]]&amp;"; "&amp;Q7405&amp;AS[[#This Row],[Large Provider Entity Code]]&amp;"; "&amp;R7405&amp;AS[[#This Row],[Age Band Code]]&amp;"; "&amp;S7405&amp;AS[[#This Row],[Sex Code]]</f>
        <v xml:space="preserve">Insurer Code ; Reporting Year ; Insurance Category Code ; Large Provider Entity Code ; Age Band Code ; Sex Code </v>
      </c>
      <c r="N7405" s="345" t="s">
        <v>207</v>
      </c>
      <c r="O7405" s="345" t="s">
        <v>208</v>
      </c>
      <c r="P7405" s="345" t="s">
        <v>209</v>
      </c>
      <c r="Q7405" s="345" t="s">
        <v>210</v>
      </c>
      <c r="R7405" s="345" t="s">
        <v>223</v>
      </c>
      <c r="S7405" s="345" t="s">
        <v>224</v>
      </c>
    </row>
    <row r="7406" spans="1:19" x14ac:dyDescent="0.25">
      <c r="A7406" s="311"/>
      <c r="B7406" s="312"/>
      <c r="C7406" s="312"/>
      <c r="D7406" s="312"/>
      <c r="E7406" s="312"/>
      <c r="F7406" s="312"/>
      <c r="G7406" s="328"/>
      <c r="H7406" s="453"/>
      <c r="I7406" s="334"/>
      <c r="J7406" s="314"/>
      <c r="K7406" s="454"/>
      <c r="M7406" s="349" t="str">
        <f>N7406&amp;AS[[#This Row],[Insurer Code]]&amp;"; "&amp;O7406&amp;AS[[#This Row],[Reporting Year]]&amp;"; "&amp;P7406&amp;AS[[#This Row],[Insurance Category Code]]&amp;"; "&amp;Q7406&amp;AS[[#This Row],[Large Provider Entity Code]]&amp;"; "&amp;R7406&amp;AS[[#This Row],[Age Band Code]]&amp;"; "&amp;S7406&amp;AS[[#This Row],[Sex Code]]</f>
        <v xml:space="preserve">Insurer Code ; Reporting Year ; Insurance Category Code ; Large Provider Entity Code ; Age Band Code ; Sex Code </v>
      </c>
      <c r="N7406" s="345" t="s">
        <v>207</v>
      </c>
      <c r="O7406" s="345" t="s">
        <v>208</v>
      </c>
      <c r="P7406" s="345" t="s">
        <v>209</v>
      </c>
      <c r="Q7406" s="345" t="s">
        <v>210</v>
      </c>
      <c r="R7406" s="345" t="s">
        <v>223</v>
      </c>
      <c r="S7406" s="345" t="s">
        <v>224</v>
      </c>
    </row>
    <row r="7407" spans="1:19" x14ac:dyDescent="0.25">
      <c r="A7407" s="311"/>
      <c r="B7407" s="312"/>
      <c r="C7407" s="312"/>
      <c r="D7407" s="312"/>
      <c r="E7407" s="312"/>
      <c r="F7407" s="312"/>
      <c r="G7407" s="328"/>
      <c r="H7407" s="453"/>
      <c r="I7407" s="334"/>
      <c r="J7407" s="314"/>
      <c r="K7407" s="454"/>
      <c r="M7407" s="349" t="str">
        <f>N7407&amp;AS[[#This Row],[Insurer Code]]&amp;"; "&amp;O7407&amp;AS[[#This Row],[Reporting Year]]&amp;"; "&amp;P7407&amp;AS[[#This Row],[Insurance Category Code]]&amp;"; "&amp;Q7407&amp;AS[[#This Row],[Large Provider Entity Code]]&amp;"; "&amp;R7407&amp;AS[[#This Row],[Age Band Code]]&amp;"; "&amp;S7407&amp;AS[[#This Row],[Sex Code]]</f>
        <v xml:space="preserve">Insurer Code ; Reporting Year ; Insurance Category Code ; Large Provider Entity Code ; Age Band Code ; Sex Code </v>
      </c>
      <c r="N7407" s="345" t="s">
        <v>207</v>
      </c>
      <c r="O7407" s="345" t="s">
        <v>208</v>
      </c>
      <c r="P7407" s="345" t="s">
        <v>209</v>
      </c>
      <c r="Q7407" s="345" t="s">
        <v>210</v>
      </c>
      <c r="R7407" s="345" t="s">
        <v>223</v>
      </c>
      <c r="S7407" s="345" t="s">
        <v>224</v>
      </c>
    </row>
    <row r="7408" spans="1:19" x14ac:dyDescent="0.25">
      <c r="A7408" s="311"/>
      <c r="B7408" s="312"/>
      <c r="C7408" s="312"/>
      <c r="D7408" s="312"/>
      <c r="E7408" s="312"/>
      <c r="F7408" s="312"/>
      <c r="G7408" s="328"/>
      <c r="H7408" s="453"/>
      <c r="I7408" s="334"/>
      <c r="J7408" s="314"/>
      <c r="K7408" s="454"/>
      <c r="M7408" s="349" t="str">
        <f>N7408&amp;AS[[#This Row],[Insurer Code]]&amp;"; "&amp;O7408&amp;AS[[#This Row],[Reporting Year]]&amp;"; "&amp;P7408&amp;AS[[#This Row],[Insurance Category Code]]&amp;"; "&amp;Q7408&amp;AS[[#This Row],[Large Provider Entity Code]]&amp;"; "&amp;R7408&amp;AS[[#This Row],[Age Band Code]]&amp;"; "&amp;S7408&amp;AS[[#This Row],[Sex Code]]</f>
        <v xml:space="preserve">Insurer Code ; Reporting Year ; Insurance Category Code ; Large Provider Entity Code ; Age Band Code ; Sex Code </v>
      </c>
      <c r="N7408" s="345" t="s">
        <v>207</v>
      </c>
      <c r="O7408" s="345" t="s">
        <v>208</v>
      </c>
      <c r="P7408" s="345" t="s">
        <v>209</v>
      </c>
      <c r="Q7408" s="345" t="s">
        <v>210</v>
      </c>
      <c r="R7408" s="345" t="s">
        <v>223</v>
      </c>
      <c r="S7408" s="345" t="s">
        <v>224</v>
      </c>
    </row>
    <row r="7409" spans="1:19" x14ac:dyDescent="0.25">
      <c r="A7409" s="311"/>
      <c r="B7409" s="312"/>
      <c r="C7409" s="312"/>
      <c r="D7409" s="312"/>
      <c r="E7409" s="312"/>
      <c r="F7409" s="312"/>
      <c r="G7409" s="328"/>
      <c r="H7409" s="453"/>
      <c r="I7409" s="334"/>
      <c r="J7409" s="314"/>
      <c r="K7409" s="454"/>
      <c r="M7409" s="349" t="str">
        <f>N7409&amp;AS[[#This Row],[Insurer Code]]&amp;"; "&amp;O7409&amp;AS[[#This Row],[Reporting Year]]&amp;"; "&amp;P7409&amp;AS[[#This Row],[Insurance Category Code]]&amp;"; "&amp;Q7409&amp;AS[[#This Row],[Large Provider Entity Code]]&amp;"; "&amp;R7409&amp;AS[[#This Row],[Age Band Code]]&amp;"; "&amp;S7409&amp;AS[[#This Row],[Sex Code]]</f>
        <v xml:space="preserve">Insurer Code ; Reporting Year ; Insurance Category Code ; Large Provider Entity Code ; Age Band Code ; Sex Code </v>
      </c>
      <c r="N7409" s="345" t="s">
        <v>207</v>
      </c>
      <c r="O7409" s="345" t="s">
        <v>208</v>
      </c>
      <c r="P7409" s="345" t="s">
        <v>209</v>
      </c>
      <c r="Q7409" s="345" t="s">
        <v>210</v>
      </c>
      <c r="R7409" s="345" t="s">
        <v>223</v>
      </c>
      <c r="S7409" s="345" t="s">
        <v>224</v>
      </c>
    </row>
    <row r="7410" spans="1:19" x14ac:dyDescent="0.25">
      <c r="A7410" s="311"/>
      <c r="B7410" s="312"/>
      <c r="C7410" s="312"/>
      <c r="D7410" s="312"/>
      <c r="E7410" s="312"/>
      <c r="F7410" s="312"/>
      <c r="G7410" s="328"/>
      <c r="H7410" s="453"/>
      <c r="I7410" s="334"/>
      <c r="J7410" s="314"/>
      <c r="K7410" s="454"/>
      <c r="M7410" s="349" t="str">
        <f>N7410&amp;AS[[#This Row],[Insurer Code]]&amp;"; "&amp;O7410&amp;AS[[#This Row],[Reporting Year]]&amp;"; "&amp;P7410&amp;AS[[#This Row],[Insurance Category Code]]&amp;"; "&amp;Q7410&amp;AS[[#This Row],[Large Provider Entity Code]]&amp;"; "&amp;R7410&amp;AS[[#This Row],[Age Band Code]]&amp;"; "&amp;S7410&amp;AS[[#This Row],[Sex Code]]</f>
        <v xml:space="preserve">Insurer Code ; Reporting Year ; Insurance Category Code ; Large Provider Entity Code ; Age Band Code ; Sex Code </v>
      </c>
      <c r="N7410" s="345" t="s">
        <v>207</v>
      </c>
      <c r="O7410" s="345" t="s">
        <v>208</v>
      </c>
      <c r="P7410" s="345" t="s">
        <v>209</v>
      </c>
      <c r="Q7410" s="345" t="s">
        <v>210</v>
      </c>
      <c r="R7410" s="345" t="s">
        <v>223</v>
      </c>
      <c r="S7410" s="345" t="s">
        <v>224</v>
      </c>
    </row>
    <row r="7411" spans="1:19" x14ac:dyDescent="0.25">
      <c r="A7411" s="311"/>
      <c r="B7411" s="312"/>
      <c r="C7411" s="312"/>
      <c r="D7411" s="312"/>
      <c r="E7411" s="312"/>
      <c r="F7411" s="312"/>
      <c r="G7411" s="328"/>
      <c r="H7411" s="453"/>
      <c r="I7411" s="334"/>
      <c r="J7411" s="314"/>
      <c r="K7411" s="454"/>
      <c r="M7411" s="349" t="str">
        <f>N7411&amp;AS[[#This Row],[Insurer Code]]&amp;"; "&amp;O7411&amp;AS[[#This Row],[Reporting Year]]&amp;"; "&amp;P7411&amp;AS[[#This Row],[Insurance Category Code]]&amp;"; "&amp;Q7411&amp;AS[[#This Row],[Large Provider Entity Code]]&amp;"; "&amp;R7411&amp;AS[[#This Row],[Age Band Code]]&amp;"; "&amp;S7411&amp;AS[[#This Row],[Sex Code]]</f>
        <v xml:space="preserve">Insurer Code ; Reporting Year ; Insurance Category Code ; Large Provider Entity Code ; Age Band Code ; Sex Code </v>
      </c>
      <c r="N7411" s="345" t="s">
        <v>207</v>
      </c>
      <c r="O7411" s="345" t="s">
        <v>208</v>
      </c>
      <c r="P7411" s="345" t="s">
        <v>209</v>
      </c>
      <c r="Q7411" s="345" t="s">
        <v>210</v>
      </c>
      <c r="R7411" s="345" t="s">
        <v>223</v>
      </c>
      <c r="S7411" s="345" t="s">
        <v>224</v>
      </c>
    </row>
    <row r="7412" spans="1:19" x14ac:dyDescent="0.25">
      <c r="A7412" s="311"/>
      <c r="B7412" s="312"/>
      <c r="C7412" s="312"/>
      <c r="D7412" s="312"/>
      <c r="E7412" s="312"/>
      <c r="F7412" s="312"/>
      <c r="G7412" s="328"/>
      <c r="H7412" s="453"/>
      <c r="I7412" s="334"/>
      <c r="J7412" s="314"/>
      <c r="K7412" s="454"/>
      <c r="M7412" s="349" t="str">
        <f>N7412&amp;AS[[#This Row],[Insurer Code]]&amp;"; "&amp;O7412&amp;AS[[#This Row],[Reporting Year]]&amp;"; "&amp;P7412&amp;AS[[#This Row],[Insurance Category Code]]&amp;"; "&amp;Q7412&amp;AS[[#This Row],[Large Provider Entity Code]]&amp;"; "&amp;R7412&amp;AS[[#This Row],[Age Band Code]]&amp;"; "&amp;S7412&amp;AS[[#This Row],[Sex Code]]</f>
        <v xml:space="preserve">Insurer Code ; Reporting Year ; Insurance Category Code ; Large Provider Entity Code ; Age Band Code ; Sex Code </v>
      </c>
      <c r="N7412" s="345" t="s">
        <v>207</v>
      </c>
      <c r="O7412" s="345" t="s">
        <v>208</v>
      </c>
      <c r="P7412" s="345" t="s">
        <v>209</v>
      </c>
      <c r="Q7412" s="345" t="s">
        <v>210</v>
      </c>
      <c r="R7412" s="345" t="s">
        <v>223</v>
      </c>
      <c r="S7412" s="345" t="s">
        <v>224</v>
      </c>
    </row>
    <row r="7413" spans="1:19" x14ac:dyDescent="0.25">
      <c r="A7413" s="311"/>
      <c r="B7413" s="312"/>
      <c r="C7413" s="312"/>
      <c r="D7413" s="312"/>
      <c r="E7413" s="312"/>
      <c r="F7413" s="312"/>
      <c r="G7413" s="328"/>
      <c r="H7413" s="453"/>
      <c r="I7413" s="334"/>
      <c r="J7413" s="314"/>
      <c r="K7413" s="454"/>
      <c r="M7413" s="349" t="str">
        <f>N7413&amp;AS[[#This Row],[Insurer Code]]&amp;"; "&amp;O7413&amp;AS[[#This Row],[Reporting Year]]&amp;"; "&amp;P7413&amp;AS[[#This Row],[Insurance Category Code]]&amp;"; "&amp;Q7413&amp;AS[[#This Row],[Large Provider Entity Code]]&amp;"; "&amp;R7413&amp;AS[[#This Row],[Age Band Code]]&amp;"; "&amp;S7413&amp;AS[[#This Row],[Sex Code]]</f>
        <v xml:space="preserve">Insurer Code ; Reporting Year ; Insurance Category Code ; Large Provider Entity Code ; Age Band Code ; Sex Code </v>
      </c>
      <c r="N7413" s="345" t="s">
        <v>207</v>
      </c>
      <c r="O7413" s="345" t="s">
        <v>208</v>
      </c>
      <c r="P7413" s="345" t="s">
        <v>209</v>
      </c>
      <c r="Q7413" s="345" t="s">
        <v>210</v>
      </c>
      <c r="R7413" s="345" t="s">
        <v>223</v>
      </c>
      <c r="S7413" s="345" t="s">
        <v>224</v>
      </c>
    </row>
    <row r="7414" spans="1:19" x14ac:dyDescent="0.25">
      <c r="A7414" s="311"/>
      <c r="B7414" s="312"/>
      <c r="C7414" s="312"/>
      <c r="D7414" s="312"/>
      <c r="E7414" s="312"/>
      <c r="F7414" s="312"/>
      <c r="G7414" s="328"/>
      <c r="H7414" s="453"/>
      <c r="I7414" s="334"/>
      <c r="J7414" s="314"/>
      <c r="K7414" s="454"/>
      <c r="M7414" s="349" t="str">
        <f>N7414&amp;AS[[#This Row],[Insurer Code]]&amp;"; "&amp;O7414&amp;AS[[#This Row],[Reporting Year]]&amp;"; "&amp;P7414&amp;AS[[#This Row],[Insurance Category Code]]&amp;"; "&amp;Q7414&amp;AS[[#This Row],[Large Provider Entity Code]]&amp;"; "&amp;R7414&amp;AS[[#This Row],[Age Band Code]]&amp;"; "&amp;S7414&amp;AS[[#This Row],[Sex Code]]</f>
        <v xml:space="preserve">Insurer Code ; Reporting Year ; Insurance Category Code ; Large Provider Entity Code ; Age Band Code ; Sex Code </v>
      </c>
      <c r="N7414" s="345" t="s">
        <v>207</v>
      </c>
      <c r="O7414" s="345" t="s">
        <v>208</v>
      </c>
      <c r="P7414" s="345" t="s">
        <v>209</v>
      </c>
      <c r="Q7414" s="345" t="s">
        <v>210</v>
      </c>
      <c r="R7414" s="345" t="s">
        <v>223</v>
      </c>
      <c r="S7414" s="345" t="s">
        <v>224</v>
      </c>
    </row>
    <row r="7415" spans="1:19" x14ac:dyDescent="0.25">
      <c r="A7415" s="311"/>
      <c r="B7415" s="312"/>
      <c r="C7415" s="312"/>
      <c r="D7415" s="312"/>
      <c r="E7415" s="312"/>
      <c r="F7415" s="312"/>
      <c r="G7415" s="328"/>
      <c r="H7415" s="453"/>
      <c r="I7415" s="334"/>
      <c r="J7415" s="314"/>
      <c r="K7415" s="454"/>
      <c r="M7415" s="349" t="str">
        <f>N7415&amp;AS[[#This Row],[Insurer Code]]&amp;"; "&amp;O7415&amp;AS[[#This Row],[Reporting Year]]&amp;"; "&amp;P7415&amp;AS[[#This Row],[Insurance Category Code]]&amp;"; "&amp;Q7415&amp;AS[[#This Row],[Large Provider Entity Code]]&amp;"; "&amp;R7415&amp;AS[[#This Row],[Age Band Code]]&amp;"; "&amp;S7415&amp;AS[[#This Row],[Sex Code]]</f>
        <v xml:space="preserve">Insurer Code ; Reporting Year ; Insurance Category Code ; Large Provider Entity Code ; Age Band Code ; Sex Code </v>
      </c>
      <c r="N7415" s="345" t="s">
        <v>207</v>
      </c>
      <c r="O7415" s="345" t="s">
        <v>208</v>
      </c>
      <c r="P7415" s="345" t="s">
        <v>209</v>
      </c>
      <c r="Q7415" s="345" t="s">
        <v>210</v>
      </c>
      <c r="R7415" s="345" t="s">
        <v>223</v>
      </c>
      <c r="S7415" s="345" t="s">
        <v>224</v>
      </c>
    </row>
    <row r="7416" spans="1:19" x14ac:dyDescent="0.25">
      <c r="A7416" s="311"/>
      <c r="B7416" s="312"/>
      <c r="C7416" s="312"/>
      <c r="D7416" s="312"/>
      <c r="E7416" s="312"/>
      <c r="F7416" s="312"/>
      <c r="G7416" s="328"/>
      <c r="H7416" s="453"/>
      <c r="I7416" s="334"/>
      <c r="J7416" s="314"/>
      <c r="K7416" s="454"/>
      <c r="M7416" s="349" t="str">
        <f>N7416&amp;AS[[#This Row],[Insurer Code]]&amp;"; "&amp;O7416&amp;AS[[#This Row],[Reporting Year]]&amp;"; "&amp;P7416&amp;AS[[#This Row],[Insurance Category Code]]&amp;"; "&amp;Q7416&amp;AS[[#This Row],[Large Provider Entity Code]]&amp;"; "&amp;R7416&amp;AS[[#This Row],[Age Band Code]]&amp;"; "&amp;S7416&amp;AS[[#This Row],[Sex Code]]</f>
        <v xml:space="preserve">Insurer Code ; Reporting Year ; Insurance Category Code ; Large Provider Entity Code ; Age Band Code ; Sex Code </v>
      </c>
      <c r="N7416" s="345" t="s">
        <v>207</v>
      </c>
      <c r="O7416" s="345" t="s">
        <v>208</v>
      </c>
      <c r="P7416" s="345" t="s">
        <v>209</v>
      </c>
      <c r="Q7416" s="345" t="s">
        <v>210</v>
      </c>
      <c r="R7416" s="345" t="s">
        <v>223</v>
      </c>
      <c r="S7416" s="345" t="s">
        <v>224</v>
      </c>
    </row>
    <row r="7417" spans="1:19" x14ac:dyDescent="0.25">
      <c r="A7417" s="311"/>
      <c r="B7417" s="312"/>
      <c r="C7417" s="312"/>
      <c r="D7417" s="312"/>
      <c r="E7417" s="312"/>
      <c r="F7417" s="312"/>
      <c r="G7417" s="328"/>
      <c r="H7417" s="453"/>
      <c r="I7417" s="334"/>
      <c r="J7417" s="314"/>
      <c r="K7417" s="454"/>
      <c r="M7417" s="349" t="str">
        <f>N7417&amp;AS[[#This Row],[Insurer Code]]&amp;"; "&amp;O7417&amp;AS[[#This Row],[Reporting Year]]&amp;"; "&amp;P7417&amp;AS[[#This Row],[Insurance Category Code]]&amp;"; "&amp;Q7417&amp;AS[[#This Row],[Large Provider Entity Code]]&amp;"; "&amp;R7417&amp;AS[[#This Row],[Age Band Code]]&amp;"; "&amp;S7417&amp;AS[[#This Row],[Sex Code]]</f>
        <v xml:space="preserve">Insurer Code ; Reporting Year ; Insurance Category Code ; Large Provider Entity Code ; Age Band Code ; Sex Code </v>
      </c>
      <c r="N7417" s="345" t="s">
        <v>207</v>
      </c>
      <c r="O7417" s="345" t="s">
        <v>208</v>
      </c>
      <c r="P7417" s="345" t="s">
        <v>209</v>
      </c>
      <c r="Q7417" s="345" t="s">
        <v>210</v>
      </c>
      <c r="R7417" s="345" t="s">
        <v>223</v>
      </c>
      <c r="S7417" s="345" t="s">
        <v>224</v>
      </c>
    </row>
    <row r="7418" spans="1:19" x14ac:dyDescent="0.25">
      <c r="A7418" s="311"/>
      <c r="B7418" s="312"/>
      <c r="C7418" s="312"/>
      <c r="D7418" s="312"/>
      <c r="E7418" s="312"/>
      <c r="F7418" s="312"/>
      <c r="G7418" s="328"/>
      <c r="H7418" s="453"/>
      <c r="I7418" s="334"/>
      <c r="J7418" s="314"/>
      <c r="K7418" s="454"/>
      <c r="M7418" s="349" t="str">
        <f>N7418&amp;AS[[#This Row],[Insurer Code]]&amp;"; "&amp;O7418&amp;AS[[#This Row],[Reporting Year]]&amp;"; "&amp;P7418&amp;AS[[#This Row],[Insurance Category Code]]&amp;"; "&amp;Q7418&amp;AS[[#This Row],[Large Provider Entity Code]]&amp;"; "&amp;R7418&amp;AS[[#This Row],[Age Band Code]]&amp;"; "&amp;S7418&amp;AS[[#This Row],[Sex Code]]</f>
        <v xml:space="preserve">Insurer Code ; Reporting Year ; Insurance Category Code ; Large Provider Entity Code ; Age Band Code ; Sex Code </v>
      </c>
      <c r="N7418" s="345" t="s">
        <v>207</v>
      </c>
      <c r="O7418" s="345" t="s">
        <v>208</v>
      </c>
      <c r="P7418" s="345" t="s">
        <v>209</v>
      </c>
      <c r="Q7418" s="345" t="s">
        <v>210</v>
      </c>
      <c r="R7418" s="345" t="s">
        <v>223</v>
      </c>
      <c r="S7418" s="345" t="s">
        <v>224</v>
      </c>
    </row>
    <row r="7419" spans="1:19" x14ac:dyDescent="0.25">
      <c r="A7419" s="311"/>
      <c r="B7419" s="312"/>
      <c r="C7419" s="312"/>
      <c r="D7419" s="312"/>
      <c r="E7419" s="312"/>
      <c r="F7419" s="312"/>
      <c r="G7419" s="328"/>
      <c r="H7419" s="453"/>
      <c r="I7419" s="334"/>
      <c r="J7419" s="314"/>
      <c r="K7419" s="454"/>
      <c r="M7419" s="349" t="str">
        <f>N7419&amp;AS[[#This Row],[Insurer Code]]&amp;"; "&amp;O7419&amp;AS[[#This Row],[Reporting Year]]&amp;"; "&amp;P7419&amp;AS[[#This Row],[Insurance Category Code]]&amp;"; "&amp;Q7419&amp;AS[[#This Row],[Large Provider Entity Code]]&amp;"; "&amp;R7419&amp;AS[[#This Row],[Age Band Code]]&amp;"; "&amp;S7419&amp;AS[[#This Row],[Sex Code]]</f>
        <v xml:space="preserve">Insurer Code ; Reporting Year ; Insurance Category Code ; Large Provider Entity Code ; Age Band Code ; Sex Code </v>
      </c>
      <c r="N7419" s="345" t="s">
        <v>207</v>
      </c>
      <c r="O7419" s="345" t="s">
        <v>208</v>
      </c>
      <c r="P7419" s="345" t="s">
        <v>209</v>
      </c>
      <c r="Q7419" s="345" t="s">
        <v>210</v>
      </c>
      <c r="R7419" s="345" t="s">
        <v>223</v>
      </c>
      <c r="S7419" s="345" t="s">
        <v>224</v>
      </c>
    </row>
    <row r="7420" spans="1:19" x14ac:dyDescent="0.25">
      <c r="A7420" s="311"/>
      <c r="B7420" s="312"/>
      <c r="C7420" s="312"/>
      <c r="D7420" s="312"/>
      <c r="E7420" s="312"/>
      <c r="F7420" s="312"/>
      <c r="G7420" s="328"/>
      <c r="H7420" s="453"/>
      <c r="I7420" s="334"/>
      <c r="J7420" s="314"/>
      <c r="K7420" s="454"/>
      <c r="M7420" s="349" t="str">
        <f>N7420&amp;AS[[#This Row],[Insurer Code]]&amp;"; "&amp;O7420&amp;AS[[#This Row],[Reporting Year]]&amp;"; "&amp;P7420&amp;AS[[#This Row],[Insurance Category Code]]&amp;"; "&amp;Q7420&amp;AS[[#This Row],[Large Provider Entity Code]]&amp;"; "&amp;R7420&amp;AS[[#This Row],[Age Band Code]]&amp;"; "&amp;S7420&amp;AS[[#This Row],[Sex Code]]</f>
        <v xml:space="preserve">Insurer Code ; Reporting Year ; Insurance Category Code ; Large Provider Entity Code ; Age Band Code ; Sex Code </v>
      </c>
      <c r="N7420" s="345" t="s">
        <v>207</v>
      </c>
      <c r="O7420" s="345" t="s">
        <v>208</v>
      </c>
      <c r="P7420" s="345" t="s">
        <v>209</v>
      </c>
      <c r="Q7420" s="345" t="s">
        <v>210</v>
      </c>
      <c r="R7420" s="345" t="s">
        <v>223</v>
      </c>
      <c r="S7420" s="345" t="s">
        <v>224</v>
      </c>
    </row>
    <row r="7421" spans="1:19" x14ac:dyDescent="0.25">
      <c r="A7421" s="311"/>
      <c r="B7421" s="312"/>
      <c r="C7421" s="312"/>
      <c r="D7421" s="312"/>
      <c r="E7421" s="312"/>
      <c r="F7421" s="312"/>
      <c r="G7421" s="328"/>
      <c r="H7421" s="453"/>
      <c r="I7421" s="334"/>
      <c r="J7421" s="314"/>
      <c r="K7421" s="454"/>
      <c r="M7421" s="349" t="str">
        <f>N7421&amp;AS[[#This Row],[Insurer Code]]&amp;"; "&amp;O7421&amp;AS[[#This Row],[Reporting Year]]&amp;"; "&amp;P7421&amp;AS[[#This Row],[Insurance Category Code]]&amp;"; "&amp;Q7421&amp;AS[[#This Row],[Large Provider Entity Code]]&amp;"; "&amp;R7421&amp;AS[[#This Row],[Age Band Code]]&amp;"; "&amp;S7421&amp;AS[[#This Row],[Sex Code]]</f>
        <v xml:space="preserve">Insurer Code ; Reporting Year ; Insurance Category Code ; Large Provider Entity Code ; Age Band Code ; Sex Code </v>
      </c>
      <c r="N7421" s="345" t="s">
        <v>207</v>
      </c>
      <c r="O7421" s="345" t="s">
        <v>208</v>
      </c>
      <c r="P7421" s="345" t="s">
        <v>209</v>
      </c>
      <c r="Q7421" s="345" t="s">
        <v>210</v>
      </c>
      <c r="R7421" s="345" t="s">
        <v>223</v>
      </c>
      <c r="S7421" s="345" t="s">
        <v>224</v>
      </c>
    </row>
    <row r="7422" spans="1:19" x14ac:dyDescent="0.25">
      <c r="A7422" s="311"/>
      <c r="B7422" s="312"/>
      <c r="C7422" s="312"/>
      <c r="D7422" s="312"/>
      <c r="E7422" s="312"/>
      <c r="F7422" s="312"/>
      <c r="G7422" s="328"/>
      <c r="H7422" s="453"/>
      <c r="I7422" s="334"/>
      <c r="J7422" s="314"/>
      <c r="K7422" s="454"/>
      <c r="M7422" s="349" t="str">
        <f>N7422&amp;AS[[#This Row],[Insurer Code]]&amp;"; "&amp;O7422&amp;AS[[#This Row],[Reporting Year]]&amp;"; "&amp;P7422&amp;AS[[#This Row],[Insurance Category Code]]&amp;"; "&amp;Q7422&amp;AS[[#This Row],[Large Provider Entity Code]]&amp;"; "&amp;R7422&amp;AS[[#This Row],[Age Band Code]]&amp;"; "&amp;S7422&amp;AS[[#This Row],[Sex Code]]</f>
        <v xml:space="preserve">Insurer Code ; Reporting Year ; Insurance Category Code ; Large Provider Entity Code ; Age Band Code ; Sex Code </v>
      </c>
      <c r="N7422" s="345" t="s">
        <v>207</v>
      </c>
      <c r="O7422" s="345" t="s">
        <v>208</v>
      </c>
      <c r="P7422" s="345" t="s">
        <v>209</v>
      </c>
      <c r="Q7422" s="345" t="s">
        <v>210</v>
      </c>
      <c r="R7422" s="345" t="s">
        <v>223</v>
      </c>
      <c r="S7422" s="345" t="s">
        <v>224</v>
      </c>
    </row>
    <row r="7423" spans="1:19" x14ac:dyDescent="0.25">
      <c r="A7423" s="311"/>
      <c r="B7423" s="312"/>
      <c r="C7423" s="312"/>
      <c r="D7423" s="312"/>
      <c r="E7423" s="312"/>
      <c r="F7423" s="312"/>
      <c r="G7423" s="328"/>
      <c r="H7423" s="453"/>
      <c r="I7423" s="334"/>
      <c r="J7423" s="314"/>
      <c r="K7423" s="454"/>
      <c r="M7423" s="349" t="str">
        <f>N7423&amp;AS[[#This Row],[Insurer Code]]&amp;"; "&amp;O7423&amp;AS[[#This Row],[Reporting Year]]&amp;"; "&amp;P7423&amp;AS[[#This Row],[Insurance Category Code]]&amp;"; "&amp;Q7423&amp;AS[[#This Row],[Large Provider Entity Code]]&amp;"; "&amp;R7423&amp;AS[[#This Row],[Age Band Code]]&amp;"; "&amp;S7423&amp;AS[[#This Row],[Sex Code]]</f>
        <v xml:space="preserve">Insurer Code ; Reporting Year ; Insurance Category Code ; Large Provider Entity Code ; Age Band Code ; Sex Code </v>
      </c>
      <c r="N7423" s="345" t="s">
        <v>207</v>
      </c>
      <c r="O7423" s="345" t="s">
        <v>208</v>
      </c>
      <c r="P7423" s="345" t="s">
        <v>209</v>
      </c>
      <c r="Q7423" s="345" t="s">
        <v>210</v>
      </c>
      <c r="R7423" s="345" t="s">
        <v>223</v>
      </c>
      <c r="S7423" s="345" t="s">
        <v>224</v>
      </c>
    </row>
    <row r="7424" spans="1:19" x14ac:dyDescent="0.25">
      <c r="A7424" s="311"/>
      <c r="B7424" s="312"/>
      <c r="C7424" s="312"/>
      <c r="D7424" s="312"/>
      <c r="E7424" s="312"/>
      <c r="F7424" s="312"/>
      <c r="G7424" s="328"/>
      <c r="H7424" s="453"/>
      <c r="I7424" s="334"/>
      <c r="J7424" s="314"/>
      <c r="K7424" s="454"/>
      <c r="M7424" s="349" t="str">
        <f>N7424&amp;AS[[#This Row],[Insurer Code]]&amp;"; "&amp;O7424&amp;AS[[#This Row],[Reporting Year]]&amp;"; "&amp;P7424&amp;AS[[#This Row],[Insurance Category Code]]&amp;"; "&amp;Q7424&amp;AS[[#This Row],[Large Provider Entity Code]]&amp;"; "&amp;R7424&amp;AS[[#This Row],[Age Band Code]]&amp;"; "&amp;S7424&amp;AS[[#This Row],[Sex Code]]</f>
        <v xml:space="preserve">Insurer Code ; Reporting Year ; Insurance Category Code ; Large Provider Entity Code ; Age Band Code ; Sex Code </v>
      </c>
      <c r="N7424" s="345" t="s">
        <v>207</v>
      </c>
      <c r="O7424" s="345" t="s">
        <v>208</v>
      </c>
      <c r="P7424" s="345" t="s">
        <v>209</v>
      </c>
      <c r="Q7424" s="345" t="s">
        <v>210</v>
      </c>
      <c r="R7424" s="345" t="s">
        <v>223</v>
      </c>
      <c r="S7424" s="345" t="s">
        <v>224</v>
      </c>
    </row>
    <row r="7425" spans="1:19" x14ac:dyDescent="0.25">
      <c r="A7425" s="311"/>
      <c r="B7425" s="312"/>
      <c r="C7425" s="312"/>
      <c r="D7425" s="312"/>
      <c r="E7425" s="312"/>
      <c r="F7425" s="312"/>
      <c r="G7425" s="328"/>
      <c r="H7425" s="453"/>
      <c r="I7425" s="334"/>
      <c r="J7425" s="314"/>
      <c r="K7425" s="454"/>
      <c r="M7425" s="349" t="str">
        <f>N7425&amp;AS[[#This Row],[Insurer Code]]&amp;"; "&amp;O7425&amp;AS[[#This Row],[Reporting Year]]&amp;"; "&amp;P7425&amp;AS[[#This Row],[Insurance Category Code]]&amp;"; "&amp;Q7425&amp;AS[[#This Row],[Large Provider Entity Code]]&amp;"; "&amp;R7425&amp;AS[[#This Row],[Age Band Code]]&amp;"; "&amp;S7425&amp;AS[[#This Row],[Sex Code]]</f>
        <v xml:space="preserve">Insurer Code ; Reporting Year ; Insurance Category Code ; Large Provider Entity Code ; Age Band Code ; Sex Code </v>
      </c>
      <c r="N7425" s="345" t="s">
        <v>207</v>
      </c>
      <c r="O7425" s="345" t="s">
        <v>208</v>
      </c>
      <c r="P7425" s="345" t="s">
        <v>209</v>
      </c>
      <c r="Q7425" s="345" t="s">
        <v>210</v>
      </c>
      <c r="R7425" s="345" t="s">
        <v>223</v>
      </c>
      <c r="S7425" s="345" t="s">
        <v>224</v>
      </c>
    </row>
    <row r="7426" spans="1:19" x14ac:dyDescent="0.25">
      <c r="A7426" s="311"/>
      <c r="B7426" s="312"/>
      <c r="C7426" s="312"/>
      <c r="D7426" s="312"/>
      <c r="E7426" s="312"/>
      <c r="F7426" s="312"/>
      <c r="G7426" s="328"/>
      <c r="H7426" s="453"/>
      <c r="I7426" s="334"/>
      <c r="J7426" s="314"/>
      <c r="K7426" s="454"/>
      <c r="M7426" s="349" t="str">
        <f>N7426&amp;AS[[#This Row],[Insurer Code]]&amp;"; "&amp;O7426&amp;AS[[#This Row],[Reporting Year]]&amp;"; "&amp;P7426&amp;AS[[#This Row],[Insurance Category Code]]&amp;"; "&amp;Q7426&amp;AS[[#This Row],[Large Provider Entity Code]]&amp;"; "&amp;R7426&amp;AS[[#This Row],[Age Band Code]]&amp;"; "&amp;S7426&amp;AS[[#This Row],[Sex Code]]</f>
        <v xml:space="preserve">Insurer Code ; Reporting Year ; Insurance Category Code ; Large Provider Entity Code ; Age Band Code ; Sex Code </v>
      </c>
      <c r="N7426" s="345" t="s">
        <v>207</v>
      </c>
      <c r="O7426" s="345" t="s">
        <v>208</v>
      </c>
      <c r="P7426" s="345" t="s">
        <v>209</v>
      </c>
      <c r="Q7426" s="345" t="s">
        <v>210</v>
      </c>
      <c r="R7426" s="345" t="s">
        <v>223</v>
      </c>
      <c r="S7426" s="345" t="s">
        <v>224</v>
      </c>
    </row>
    <row r="7427" spans="1:19" x14ac:dyDescent="0.25">
      <c r="A7427" s="311"/>
      <c r="B7427" s="312"/>
      <c r="C7427" s="312"/>
      <c r="D7427" s="312"/>
      <c r="E7427" s="312"/>
      <c r="F7427" s="312"/>
      <c r="G7427" s="328"/>
      <c r="H7427" s="453"/>
      <c r="I7427" s="334"/>
      <c r="J7427" s="314"/>
      <c r="K7427" s="454"/>
      <c r="M7427" s="349" t="str">
        <f>N7427&amp;AS[[#This Row],[Insurer Code]]&amp;"; "&amp;O7427&amp;AS[[#This Row],[Reporting Year]]&amp;"; "&amp;P7427&amp;AS[[#This Row],[Insurance Category Code]]&amp;"; "&amp;Q7427&amp;AS[[#This Row],[Large Provider Entity Code]]&amp;"; "&amp;R7427&amp;AS[[#This Row],[Age Band Code]]&amp;"; "&amp;S7427&amp;AS[[#This Row],[Sex Code]]</f>
        <v xml:space="preserve">Insurer Code ; Reporting Year ; Insurance Category Code ; Large Provider Entity Code ; Age Band Code ; Sex Code </v>
      </c>
      <c r="N7427" s="345" t="s">
        <v>207</v>
      </c>
      <c r="O7427" s="345" t="s">
        <v>208</v>
      </c>
      <c r="P7427" s="345" t="s">
        <v>209</v>
      </c>
      <c r="Q7427" s="345" t="s">
        <v>210</v>
      </c>
      <c r="R7427" s="345" t="s">
        <v>223</v>
      </c>
      <c r="S7427" s="345" t="s">
        <v>224</v>
      </c>
    </row>
    <row r="7428" spans="1:19" x14ac:dyDescent="0.25">
      <c r="A7428" s="311"/>
      <c r="B7428" s="312"/>
      <c r="C7428" s="312"/>
      <c r="D7428" s="312"/>
      <c r="E7428" s="312"/>
      <c r="F7428" s="312"/>
      <c r="G7428" s="328"/>
      <c r="H7428" s="453"/>
      <c r="I7428" s="334"/>
      <c r="J7428" s="314"/>
      <c r="K7428" s="454"/>
      <c r="M7428" s="349" t="str">
        <f>N7428&amp;AS[[#This Row],[Insurer Code]]&amp;"; "&amp;O7428&amp;AS[[#This Row],[Reporting Year]]&amp;"; "&amp;P7428&amp;AS[[#This Row],[Insurance Category Code]]&amp;"; "&amp;Q7428&amp;AS[[#This Row],[Large Provider Entity Code]]&amp;"; "&amp;R7428&amp;AS[[#This Row],[Age Band Code]]&amp;"; "&amp;S7428&amp;AS[[#This Row],[Sex Code]]</f>
        <v xml:space="preserve">Insurer Code ; Reporting Year ; Insurance Category Code ; Large Provider Entity Code ; Age Band Code ; Sex Code </v>
      </c>
      <c r="N7428" s="345" t="s">
        <v>207</v>
      </c>
      <c r="O7428" s="345" t="s">
        <v>208</v>
      </c>
      <c r="P7428" s="345" t="s">
        <v>209</v>
      </c>
      <c r="Q7428" s="345" t="s">
        <v>210</v>
      </c>
      <c r="R7428" s="345" t="s">
        <v>223</v>
      </c>
      <c r="S7428" s="345" t="s">
        <v>224</v>
      </c>
    </row>
    <row r="7429" spans="1:19" x14ac:dyDescent="0.25">
      <c r="A7429" s="311"/>
      <c r="B7429" s="312"/>
      <c r="C7429" s="312"/>
      <c r="D7429" s="312"/>
      <c r="E7429" s="312"/>
      <c r="F7429" s="312"/>
      <c r="G7429" s="328"/>
      <c r="H7429" s="453"/>
      <c r="I7429" s="334"/>
      <c r="J7429" s="314"/>
      <c r="K7429" s="454"/>
      <c r="M7429" s="349" t="str">
        <f>N7429&amp;AS[[#This Row],[Insurer Code]]&amp;"; "&amp;O7429&amp;AS[[#This Row],[Reporting Year]]&amp;"; "&amp;P7429&amp;AS[[#This Row],[Insurance Category Code]]&amp;"; "&amp;Q7429&amp;AS[[#This Row],[Large Provider Entity Code]]&amp;"; "&amp;R7429&amp;AS[[#This Row],[Age Band Code]]&amp;"; "&amp;S7429&amp;AS[[#This Row],[Sex Code]]</f>
        <v xml:space="preserve">Insurer Code ; Reporting Year ; Insurance Category Code ; Large Provider Entity Code ; Age Band Code ; Sex Code </v>
      </c>
      <c r="N7429" s="345" t="s">
        <v>207</v>
      </c>
      <c r="O7429" s="345" t="s">
        <v>208</v>
      </c>
      <c r="P7429" s="345" t="s">
        <v>209</v>
      </c>
      <c r="Q7429" s="345" t="s">
        <v>210</v>
      </c>
      <c r="R7429" s="345" t="s">
        <v>223</v>
      </c>
      <c r="S7429" s="345" t="s">
        <v>224</v>
      </c>
    </row>
    <row r="7430" spans="1:19" x14ac:dyDescent="0.25">
      <c r="A7430" s="311"/>
      <c r="B7430" s="312"/>
      <c r="C7430" s="312"/>
      <c r="D7430" s="312"/>
      <c r="E7430" s="312"/>
      <c r="F7430" s="312"/>
      <c r="G7430" s="328"/>
      <c r="H7430" s="453"/>
      <c r="I7430" s="334"/>
      <c r="J7430" s="314"/>
      <c r="K7430" s="454"/>
      <c r="M7430" s="349" t="str">
        <f>N7430&amp;AS[[#This Row],[Insurer Code]]&amp;"; "&amp;O7430&amp;AS[[#This Row],[Reporting Year]]&amp;"; "&amp;P7430&amp;AS[[#This Row],[Insurance Category Code]]&amp;"; "&amp;Q7430&amp;AS[[#This Row],[Large Provider Entity Code]]&amp;"; "&amp;R7430&amp;AS[[#This Row],[Age Band Code]]&amp;"; "&amp;S7430&amp;AS[[#This Row],[Sex Code]]</f>
        <v xml:space="preserve">Insurer Code ; Reporting Year ; Insurance Category Code ; Large Provider Entity Code ; Age Band Code ; Sex Code </v>
      </c>
      <c r="N7430" s="345" t="s">
        <v>207</v>
      </c>
      <c r="O7430" s="345" t="s">
        <v>208</v>
      </c>
      <c r="P7430" s="345" t="s">
        <v>209</v>
      </c>
      <c r="Q7430" s="345" t="s">
        <v>210</v>
      </c>
      <c r="R7430" s="345" t="s">
        <v>223</v>
      </c>
      <c r="S7430" s="345" t="s">
        <v>224</v>
      </c>
    </row>
    <row r="7431" spans="1:19" x14ac:dyDescent="0.25">
      <c r="A7431" s="311"/>
      <c r="B7431" s="312"/>
      <c r="C7431" s="312"/>
      <c r="D7431" s="312"/>
      <c r="E7431" s="312"/>
      <c r="F7431" s="312"/>
      <c r="G7431" s="328"/>
      <c r="H7431" s="453"/>
      <c r="I7431" s="334"/>
      <c r="J7431" s="314"/>
      <c r="K7431" s="454"/>
      <c r="M7431" s="349" t="str">
        <f>N7431&amp;AS[[#This Row],[Insurer Code]]&amp;"; "&amp;O7431&amp;AS[[#This Row],[Reporting Year]]&amp;"; "&amp;P7431&amp;AS[[#This Row],[Insurance Category Code]]&amp;"; "&amp;Q7431&amp;AS[[#This Row],[Large Provider Entity Code]]&amp;"; "&amp;R7431&amp;AS[[#This Row],[Age Band Code]]&amp;"; "&amp;S7431&amp;AS[[#This Row],[Sex Code]]</f>
        <v xml:space="preserve">Insurer Code ; Reporting Year ; Insurance Category Code ; Large Provider Entity Code ; Age Band Code ; Sex Code </v>
      </c>
      <c r="N7431" s="345" t="s">
        <v>207</v>
      </c>
      <c r="O7431" s="345" t="s">
        <v>208</v>
      </c>
      <c r="P7431" s="345" t="s">
        <v>209</v>
      </c>
      <c r="Q7431" s="345" t="s">
        <v>210</v>
      </c>
      <c r="R7431" s="345" t="s">
        <v>223</v>
      </c>
      <c r="S7431" s="345" t="s">
        <v>224</v>
      </c>
    </row>
    <row r="7432" spans="1:19" x14ac:dyDescent="0.25">
      <c r="A7432" s="311"/>
      <c r="B7432" s="312"/>
      <c r="C7432" s="312"/>
      <c r="D7432" s="312"/>
      <c r="E7432" s="312"/>
      <c r="F7432" s="312"/>
      <c r="G7432" s="328"/>
      <c r="H7432" s="453"/>
      <c r="I7432" s="334"/>
      <c r="J7432" s="314"/>
      <c r="K7432" s="454"/>
      <c r="M7432" s="349" t="str">
        <f>N7432&amp;AS[[#This Row],[Insurer Code]]&amp;"; "&amp;O7432&amp;AS[[#This Row],[Reporting Year]]&amp;"; "&amp;P7432&amp;AS[[#This Row],[Insurance Category Code]]&amp;"; "&amp;Q7432&amp;AS[[#This Row],[Large Provider Entity Code]]&amp;"; "&amp;R7432&amp;AS[[#This Row],[Age Band Code]]&amp;"; "&amp;S7432&amp;AS[[#This Row],[Sex Code]]</f>
        <v xml:space="preserve">Insurer Code ; Reporting Year ; Insurance Category Code ; Large Provider Entity Code ; Age Band Code ; Sex Code </v>
      </c>
      <c r="N7432" s="345" t="s">
        <v>207</v>
      </c>
      <c r="O7432" s="345" t="s">
        <v>208</v>
      </c>
      <c r="P7432" s="345" t="s">
        <v>209</v>
      </c>
      <c r="Q7432" s="345" t="s">
        <v>210</v>
      </c>
      <c r="R7432" s="345" t="s">
        <v>223</v>
      </c>
      <c r="S7432" s="345" t="s">
        <v>224</v>
      </c>
    </row>
    <row r="7433" spans="1:19" x14ac:dyDescent="0.25">
      <c r="A7433" s="311"/>
      <c r="B7433" s="312"/>
      <c r="C7433" s="312"/>
      <c r="D7433" s="312"/>
      <c r="E7433" s="312"/>
      <c r="F7433" s="312"/>
      <c r="G7433" s="328"/>
      <c r="H7433" s="453"/>
      <c r="I7433" s="334"/>
      <c r="J7433" s="314"/>
      <c r="K7433" s="454"/>
      <c r="M7433" s="349" t="str">
        <f>N7433&amp;AS[[#This Row],[Insurer Code]]&amp;"; "&amp;O7433&amp;AS[[#This Row],[Reporting Year]]&amp;"; "&amp;P7433&amp;AS[[#This Row],[Insurance Category Code]]&amp;"; "&amp;Q7433&amp;AS[[#This Row],[Large Provider Entity Code]]&amp;"; "&amp;R7433&amp;AS[[#This Row],[Age Band Code]]&amp;"; "&amp;S7433&amp;AS[[#This Row],[Sex Code]]</f>
        <v xml:space="preserve">Insurer Code ; Reporting Year ; Insurance Category Code ; Large Provider Entity Code ; Age Band Code ; Sex Code </v>
      </c>
      <c r="N7433" s="345" t="s">
        <v>207</v>
      </c>
      <c r="O7433" s="345" t="s">
        <v>208</v>
      </c>
      <c r="P7433" s="345" t="s">
        <v>209</v>
      </c>
      <c r="Q7433" s="345" t="s">
        <v>210</v>
      </c>
      <c r="R7433" s="345" t="s">
        <v>223</v>
      </c>
      <c r="S7433" s="345" t="s">
        <v>224</v>
      </c>
    </row>
    <row r="7434" spans="1:19" x14ac:dyDescent="0.25">
      <c r="A7434" s="311"/>
      <c r="B7434" s="312"/>
      <c r="C7434" s="312"/>
      <c r="D7434" s="312"/>
      <c r="E7434" s="312"/>
      <c r="F7434" s="312"/>
      <c r="G7434" s="328"/>
      <c r="H7434" s="453"/>
      <c r="I7434" s="334"/>
      <c r="J7434" s="314"/>
      <c r="K7434" s="454"/>
      <c r="M7434" s="349" t="str">
        <f>N7434&amp;AS[[#This Row],[Insurer Code]]&amp;"; "&amp;O7434&amp;AS[[#This Row],[Reporting Year]]&amp;"; "&amp;P7434&amp;AS[[#This Row],[Insurance Category Code]]&amp;"; "&amp;Q7434&amp;AS[[#This Row],[Large Provider Entity Code]]&amp;"; "&amp;R7434&amp;AS[[#This Row],[Age Band Code]]&amp;"; "&amp;S7434&amp;AS[[#This Row],[Sex Code]]</f>
        <v xml:space="preserve">Insurer Code ; Reporting Year ; Insurance Category Code ; Large Provider Entity Code ; Age Band Code ; Sex Code </v>
      </c>
      <c r="N7434" s="345" t="s">
        <v>207</v>
      </c>
      <c r="O7434" s="345" t="s">
        <v>208</v>
      </c>
      <c r="P7434" s="345" t="s">
        <v>209</v>
      </c>
      <c r="Q7434" s="345" t="s">
        <v>210</v>
      </c>
      <c r="R7434" s="345" t="s">
        <v>223</v>
      </c>
      <c r="S7434" s="345" t="s">
        <v>224</v>
      </c>
    </row>
    <row r="7435" spans="1:19" x14ac:dyDescent="0.25">
      <c r="A7435" s="311"/>
      <c r="B7435" s="312"/>
      <c r="C7435" s="312"/>
      <c r="D7435" s="312"/>
      <c r="E7435" s="312"/>
      <c r="F7435" s="312"/>
      <c r="G7435" s="328"/>
      <c r="H7435" s="453"/>
      <c r="I7435" s="334"/>
      <c r="J7435" s="314"/>
      <c r="K7435" s="454"/>
      <c r="M7435" s="349" t="str">
        <f>N7435&amp;AS[[#This Row],[Insurer Code]]&amp;"; "&amp;O7435&amp;AS[[#This Row],[Reporting Year]]&amp;"; "&amp;P7435&amp;AS[[#This Row],[Insurance Category Code]]&amp;"; "&amp;Q7435&amp;AS[[#This Row],[Large Provider Entity Code]]&amp;"; "&amp;R7435&amp;AS[[#This Row],[Age Band Code]]&amp;"; "&amp;S7435&amp;AS[[#This Row],[Sex Code]]</f>
        <v xml:space="preserve">Insurer Code ; Reporting Year ; Insurance Category Code ; Large Provider Entity Code ; Age Band Code ; Sex Code </v>
      </c>
      <c r="N7435" s="345" t="s">
        <v>207</v>
      </c>
      <c r="O7435" s="345" t="s">
        <v>208</v>
      </c>
      <c r="P7435" s="345" t="s">
        <v>209</v>
      </c>
      <c r="Q7435" s="345" t="s">
        <v>210</v>
      </c>
      <c r="R7435" s="345" t="s">
        <v>223</v>
      </c>
      <c r="S7435" s="345" t="s">
        <v>224</v>
      </c>
    </row>
    <row r="7436" spans="1:19" x14ac:dyDescent="0.25">
      <c r="A7436" s="311"/>
      <c r="B7436" s="312"/>
      <c r="C7436" s="312"/>
      <c r="D7436" s="312"/>
      <c r="E7436" s="312"/>
      <c r="F7436" s="312"/>
      <c r="G7436" s="328"/>
      <c r="H7436" s="453"/>
      <c r="I7436" s="334"/>
      <c r="J7436" s="314"/>
      <c r="K7436" s="454"/>
      <c r="M7436" s="349" t="str">
        <f>N7436&amp;AS[[#This Row],[Insurer Code]]&amp;"; "&amp;O7436&amp;AS[[#This Row],[Reporting Year]]&amp;"; "&amp;P7436&amp;AS[[#This Row],[Insurance Category Code]]&amp;"; "&amp;Q7436&amp;AS[[#This Row],[Large Provider Entity Code]]&amp;"; "&amp;R7436&amp;AS[[#This Row],[Age Band Code]]&amp;"; "&amp;S7436&amp;AS[[#This Row],[Sex Code]]</f>
        <v xml:space="preserve">Insurer Code ; Reporting Year ; Insurance Category Code ; Large Provider Entity Code ; Age Band Code ; Sex Code </v>
      </c>
      <c r="N7436" s="345" t="s">
        <v>207</v>
      </c>
      <c r="O7436" s="345" t="s">
        <v>208</v>
      </c>
      <c r="P7436" s="345" t="s">
        <v>209</v>
      </c>
      <c r="Q7436" s="345" t="s">
        <v>210</v>
      </c>
      <c r="R7436" s="345" t="s">
        <v>223</v>
      </c>
      <c r="S7436" s="345" t="s">
        <v>224</v>
      </c>
    </row>
    <row r="7437" spans="1:19" x14ac:dyDescent="0.25">
      <c r="A7437" s="311"/>
      <c r="B7437" s="312"/>
      <c r="C7437" s="312"/>
      <c r="D7437" s="312"/>
      <c r="E7437" s="312"/>
      <c r="F7437" s="312"/>
      <c r="G7437" s="328"/>
      <c r="H7437" s="453"/>
      <c r="I7437" s="334"/>
      <c r="J7437" s="314"/>
      <c r="K7437" s="454"/>
      <c r="M7437" s="349" t="str">
        <f>N7437&amp;AS[[#This Row],[Insurer Code]]&amp;"; "&amp;O7437&amp;AS[[#This Row],[Reporting Year]]&amp;"; "&amp;P7437&amp;AS[[#This Row],[Insurance Category Code]]&amp;"; "&amp;Q7437&amp;AS[[#This Row],[Large Provider Entity Code]]&amp;"; "&amp;R7437&amp;AS[[#This Row],[Age Band Code]]&amp;"; "&amp;S7437&amp;AS[[#This Row],[Sex Code]]</f>
        <v xml:space="preserve">Insurer Code ; Reporting Year ; Insurance Category Code ; Large Provider Entity Code ; Age Band Code ; Sex Code </v>
      </c>
      <c r="N7437" s="345" t="s">
        <v>207</v>
      </c>
      <c r="O7437" s="345" t="s">
        <v>208</v>
      </c>
      <c r="P7437" s="345" t="s">
        <v>209</v>
      </c>
      <c r="Q7437" s="345" t="s">
        <v>210</v>
      </c>
      <c r="R7437" s="345" t="s">
        <v>223</v>
      </c>
      <c r="S7437" s="345" t="s">
        <v>224</v>
      </c>
    </row>
    <row r="7438" spans="1:19" x14ac:dyDescent="0.25">
      <c r="A7438" s="311"/>
      <c r="B7438" s="312"/>
      <c r="C7438" s="312"/>
      <c r="D7438" s="312"/>
      <c r="E7438" s="312"/>
      <c r="F7438" s="312"/>
      <c r="G7438" s="328"/>
      <c r="H7438" s="453"/>
      <c r="I7438" s="334"/>
      <c r="J7438" s="314"/>
      <c r="K7438" s="454"/>
      <c r="M7438" s="349" t="str">
        <f>N7438&amp;AS[[#This Row],[Insurer Code]]&amp;"; "&amp;O7438&amp;AS[[#This Row],[Reporting Year]]&amp;"; "&amp;P7438&amp;AS[[#This Row],[Insurance Category Code]]&amp;"; "&amp;Q7438&amp;AS[[#This Row],[Large Provider Entity Code]]&amp;"; "&amp;R7438&amp;AS[[#This Row],[Age Band Code]]&amp;"; "&amp;S7438&amp;AS[[#This Row],[Sex Code]]</f>
        <v xml:space="preserve">Insurer Code ; Reporting Year ; Insurance Category Code ; Large Provider Entity Code ; Age Band Code ; Sex Code </v>
      </c>
      <c r="N7438" s="345" t="s">
        <v>207</v>
      </c>
      <c r="O7438" s="345" t="s">
        <v>208</v>
      </c>
      <c r="P7438" s="345" t="s">
        <v>209</v>
      </c>
      <c r="Q7438" s="345" t="s">
        <v>210</v>
      </c>
      <c r="R7438" s="345" t="s">
        <v>223</v>
      </c>
      <c r="S7438" s="345" t="s">
        <v>224</v>
      </c>
    </row>
    <row r="7439" spans="1:19" x14ac:dyDescent="0.25">
      <c r="A7439" s="311"/>
      <c r="B7439" s="312"/>
      <c r="C7439" s="312"/>
      <c r="D7439" s="312"/>
      <c r="E7439" s="312"/>
      <c r="F7439" s="312"/>
      <c r="G7439" s="328"/>
      <c r="H7439" s="453"/>
      <c r="I7439" s="334"/>
      <c r="J7439" s="314"/>
      <c r="K7439" s="454"/>
      <c r="M7439" s="349" t="str">
        <f>N7439&amp;AS[[#This Row],[Insurer Code]]&amp;"; "&amp;O7439&amp;AS[[#This Row],[Reporting Year]]&amp;"; "&amp;P7439&amp;AS[[#This Row],[Insurance Category Code]]&amp;"; "&amp;Q7439&amp;AS[[#This Row],[Large Provider Entity Code]]&amp;"; "&amp;R7439&amp;AS[[#This Row],[Age Band Code]]&amp;"; "&amp;S7439&amp;AS[[#This Row],[Sex Code]]</f>
        <v xml:space="preserve">Insurer Code ; Reporting Year ; Insurance Category Code ; Large Provider Entity Code ; Age Band Code ; Sex Code </v>
      </c>
      <c r="N7439" s="345" t="s">
        <v>207</v>
      </c>
      <c r="O7439" s="345" t="s">
        <v>208</v>
      </c>
      <c r="P7439" s="345" t="s">
        <v>209</v>
      </c>
      <c r="Q7439" s="345" t="s">
        <v>210</v>
      </c>
      <c r="R7439" s="345" t="s">
        <v>223</v>
      </c>
      <c r="S7439" s="345" t="s">
        <v>224</v>
      </c>
    </row>
    <row r="7440" spans="1:19" x14ac:dyDescent="0.25">
      <c r="A7440" s="311"/>
      <c r="B7440" s="312"/>
      <c r="C7440" s="312"/>
      <c r="D7440" s="312"/>
      <c r="E7440" s="312"/>
      <c r="F7440" s="312"/>
      <c r="G7440" s="328"/>
      <c r="H7440" s="453"/>
      <c r="I7440" s="334"/>
      <c r="J7440" s="314"/>
      <c r="K7440" s="454"/>
      <c r="M7440" s="349" t="str">
        <f>N7440&amp;AS[[#This Row],[Insurer Code]]&amp;"; "&amp;O7440&amp;AS[[#This Row],[Reporting Year]]&amp;"; "&amp;P7440&amp;AS[[#This Row],[Insurance Category Code]]&amp;"; "&amp;Q7440&amp;AS[[#This Row],[Large Provider Entity Code]]&amp;"; "&amp;R7440&amp;AS[[#This Row],[Age Band Code]]&amp;"; "&amp;S7440&amp;AS[[#This Row],[Sex Code]]</f>
        <v xml:space="preserve">Insurer Code ; Reporting Year ; Insurance Category Code ; Large Provider Entity Code ; Age Band Code ; Sex Code </v>
      </c>
      <c r="N7440" s="345" t="s">
        <v>207</v>
      </c>
      <c r="O7440" s="345" t="s">
        <v>208</v>
      </c>
      <c r="P7440" s="345" t="s">
        <v>209</v>
      </c>
      <c r="Q7440" s="345" t="s">
        <v>210</v>
      </c>
      <c r="R7440" s="345" t="s">
        <v>223</v>
      </c>
      <c r="S7440" s="345" t="s">
        <v>224</v>
      </c>
    </row>
    <row r="7441" spans="1:19" x14ac:dyDescent="0.25">
      <c r="A7441" s="311"/>
      <c r="B7441" s="312"/>
      <c r="C7441" s="312"/>
      <c r="D7441" s="312"/>
      <c r="E7441" s="312"/>
      <c r="F7441" s="312"/>
      <c r="G7441" s="328"/>
      <c r="H7441" s="453"/>
      <c r="I7441" s="334"/>
      <c r="J7441" s="314"/>
      <c r="K7441" s="454"/>
      <c r="M7441" s="349" t="str">
        <f>N7441&amp;AS[[#This Row],[Insurer Code]]&amp;"; "&amp;O7441&amp;AS[[#This Row],[Reporting Year]]&amp;"; "&amp;P7441&amp;AS[[#This Row],[Insurance Category Code]]&amp;"; "&amp;Q7441&amp;AS[[#This Row],[Large Provider Entity Code]]&amp;"; "&amp;R7441&amp;AS[[#This Row],[Age Band Code]]&amp;"; "&amp;S7441&amp;AS[[#This Row],[Sex Code]]</f>
        <v xml:space="preserve">Insurer Code ; Reporting Year ; Insurance Category Code ; Large Provider Entity Code ; Age Band Code ; Sex Code </v>
      </c>
      <c r="N7441" s="345" t="s">
        <v>207</v>
      </c>
      <c r="O7441" s="345" t="s">
        <v>208</v>
      </c>
      <c r="P7441" s="345" t="s">
        <v>209</v>
      </c>
      <c r="Q7441" s="345" t="s">
        <v>210</v>
      </c>
      <c r="R7441" s="345" t="s">
        <v>223</v>
      </c>
      <c r="S7441" s="345" t="s">
        <v>224</v>
      </c>
    </row>
    <row r="7442" spans="1:19" x14ac:dyDescent="0.25">
      <c r="A7442" s="311"/>
      <c r="B7442" s="312"/>
      <c r="C7442" s="312"/>
      <c r="D7442" s="312"/>
      <c r="E7442" s="312"/>
      <c r="F7442" s="312"/>
      <c r="G7442" s="328"/>
      <c r="H7442" s="453"/>
      <c r="I7442" s="334"/>
      <c r="J7442" s="314"/>
      <c r="K7442" s="454"/>
      <c r="M7442" s="349" t="str">
        <f>N7442&amp;AS[[#This Row],[Insurer Code]]&amp;"; "&amp;O7442&amp;AS[[#This Row],[Reporting Year]]&amp;"; "&amp;P7442&amp;AS[[#This Row],[Insurance Category Code]]&amp;"; "&amp;Q7442&amp;AS[[#This Row],[Large Provider Entity Code]]&amp;"; "&amp;R7442&amp;AS[[#This Row],[Age Band Code]]&amp;"; "&amp;S7442&amp;AS[[#This Row],[Sex Code]]</f>
        <v xml:space="preserve">Insurer Code ; Reporting Year ; Insurance Category Code ; Large Provider Entity Code ; Age Band Code ; Sex Code </v>
      </c>
      <c r="N7442" s="345" t="s">
        <v>207</v>
      </c>
      <c r="O7442" s="345" t="s">
        <v>208</v>
      </c>
      <c r="P7442" s="345" t="s">
        <v>209</v>
      </c>
      <c r="Q7442" s="345" t="s">
        <v>210</v>
      </c>
      <c r="R7442" s="345" t="s">
        <v>223</v>
      </c>
      <c r="S7442" s="345" t="s">
        <v>224</v>
      </c>
    </row>
    <row r="7443" spans="1:19" x14ac:dyDescent="0.25">
      <c r="A7443" s="311"/>
      <c r="B7443" s="312"/>
      <c r="C7443" s="312"/>
      <c r="D7443" s="312"/>
      <c r="E7443" s="312"/>
      <c r="F7443" s="312"/>
      <c r="G7443" s="328"/>
      <c r="H7443" s="453"/>
      <c r="I7443" s="334"/>
      <c r="J7443" s="314"/>
      <c r="K7443" s="454"/>
      <c r="M7443" s="349" t="str">
        <f>N7443&amp;AS[[#This Row],[Insurer Code]]&amp;"; "&amp;O7443&amp;AS[[#This Row],[Reporting Year]]&amp;"; "&amp;P7443&amp;AS[[#This Row],[Insurance Category Code]]&amp;"; "&amp;Q7443&amp;AS[[#This Row],[Large Provider Entity Code]]&amp;"; "&amp;R7443&amp;AS[[#This Row],[Age Band Code]]&amp;"; "&amp;S7443&amp;AS[[#This Row],[Sex Code]]</f>
        <v xml:space="preserve">Insurer Code ; Reporting Year ; Insurance Category Code ; Large Provider Entity Code ; Age Band Code ; Sex Code </v>
      </c>
      <c r="N7443" s="345" t="s">
        <v>207</v>
      </c>
      <c r="O7443" s="345" t="s">
        <v>208</v>
      </c>
      <c r="P7443" s="345" t="s">
        <v>209</v>
      </c>
      <c r="Q7443" s="345" t="s">
        <v>210</v>
      </c>
      <c r="R7443" s="345" t="s">
        <v>223</v>
      </c>
      <c r="S7443" s="345" t="s">
        <v>224</v>
      </c>
    </row>
    <row r="7444" spans="1:19" x14ac:dyDescent="0.25">
      <c r="A7444" s="311"/>
      <c r="B7444" s="312"/>
      <c r="C7444" s="312"/>
      <c r="D7444" s="312"/>
      <c r="E7444" s="312"/>
      <c r="F7444" s="312"/>
      <c r="G7444" s="328"/>
      <c r="H7444" s="453"/>
      <c r="I7444" s="334"/>
      <c r="J7444" s="314"/>
      <c r="K7444" s="454"/>
      <c r="M7444" s="349" t="str">
        <f>N7444&amp;AS[[#This Row],[Insurer Code]]&amp;"; "&amp;O7444&amp;AS[[#This Row],[Reporting Year]]&amp;"; "&amp;P7444&amp;AS[[#This Row],[Insurance Category Code]]&amp;"; "&amp;Q7444&amp;AS[[#This Row],[Large Provider Entity Code]]&amp;"; "&amp;R7444&amp;AS[[#This Row],[Age Band Code]]&amp;"; "&amp;S7444&amp;AS[[#This Row],[Sex Code]]</f>
        <v xml:space="preserve">Insurer Code ; Reporting Year ; Insurance Category Code ; Large Provider Entity Code ; Age Band Code ; Sex Code </v>
      </c>
      <c r="N7444" s="345" t="s">
        <v>207</v>
      </c>
      <c r="O7444" s="345" t="s">
        <v>208</v>
      </c>
      <c r="P7444" s="345" t="s">
        <v>209</v>
      </c>
      <c r="Q7444" s="345" t="s">
        <v>210</v>
      </c>
      <c r="R7444" s="345" t="s">
        <v>223</v>
      </c>
      <c r="S7444" s="345" t="s">
        <v>224</v>
      </c>
    </row>
    <row r="7445" spans="1:19" x14ac:dyDescent="0.25">
      <c r="A7445" s="311"/>
      <c r="B7445" s="312"/>
      <c r="C7445" s="312"/>
      <c r="D7445" s="312"/>
      <c r="E7445" s="312"/>
      <c r="F7445" s="312"/>
      <c r="G7445" s="328"/>
      <c r="H7445" s="453"/>
      <c r="I7445" s="334"/>
      <c r="J7445" s="314"/>
      <c r="K7445" s="454"/>
      <c r="M7445" s="349" t="str">
        <f>N7445&amp;AS[[#This Row],[Insurer Code]]&amp;"; "&amp;O7445&amp;AS[[#This Row],[Reporting Year]]&amp;"; "&amp;P7445&amp;AS[[#This Row],[Insurance Category Code]]&amp;"; "&amp;Q7445&amp;AS[[#This Row],[Large Provider Entity Code]]&amp;"; "&amp;R7445&amp;AS[[#This Row],[Age Band Code]]&amp;"; "&amp;S7445&amp;AS[[#This Row],[Sex Code]]</f>
        <v xml:space="preserve">Insurer Code ; Reporting Year ; Insurance Category Code ; Large Provider Entity Code ; Age Band Code ; Sex Code </v>
      </c>
      <c r="N7445" s="345" t="s">
        <v>207</v>
      </c>
      <c r="O7445" s="345" t="s">
        <v>208</v>
      </c>
      <c r="P7445" s="345" t="s">
        <v>209</v>
      </c>
      <c r="Q7445" s="345" t="s">
        <v>210</v>
      </c>
      <c r="R7445" s="345" t="s">
        <v>223</v>
      </c>
      <c r="S7445" s="345" t="s">
        <v>224</v>
      </c>
    </row>
    <row r="7446" spans="1:19" x14ac:dyDescent="0.25">
      <c r="A7446" s="311"/>
      <c r="B7446" s="312"/>
      <c r="C7446" s="312"/>
      <c r="D7446" s="312"/>
      <c r="E7446" s="312"/>
      <c r="F7446" s="312"/>
      <c r="G7446" s="328"/>
      <c r="H7446" s="453"/>
      <c r="I7446" s="334"/>
      <c r="J7446" s="314"/>
      <c r="K7446" s="454"/>
      <c r="M7446" s="349" t="str">
        <f>N7446&amp;AS[[#This Row],[Insurer Code]]&amp;"; "&amp;O7446&amp;AS[[#This Row],[Reporting Year]]&amp;"; "&amp;P7446&amp;AS[[#This Row],[Insurance Category Code]]&amp;"; "&amp;Q7446&amp;AS[[#This Row],[Large Provider Entity Code]]&amp;"; "&amp;R7446&amp;AS[[#This Row],[Age Band Code]]&amp;"; "&amp;S7446&amp;AS[[#This Row],[Sex Code]]</f>
        <v xml:space="preserve">Insurer Code ; Reporting Year ; Insurance Category Code ; Large Provider Entity Code ; Age Band Code ; Sex Code </v>
      </c>
      <c r="N7446" s="345" t="s">
        <v>207</v>
      </c>
      <c r="O7446" s="345" t="s">
        <v>208</v>
      </c>
      <c r="P7446" s="345" t="s">
        <v>209</v>
      </c>
      <c r="Q7446" s="345" t="s">
        <v>210</v>
      </c>
      <c r="R7446" s="345" t="s">
        <v>223</v>
      </c>
      <c r="S7446" s="345" t="s">
        <v>224</v>
      </c>
    </row>
    <row r="7447" spans="1:19" x14ac:dyDescent="0.25">
      <c r="A7447" s="311"/>
      <c r="B7447" s="312"/>
      <c r="C7447" s="312"/>
      <c r="D7447" s="312"/>
      <c r="E7447" s="312"/>
      <c r="F7447" s="312"/>
      <c r="G7447" s="328"/>
      <c r="H7447" s="453"/>
      <c r="I7447" s="334"/>
      <c r="J7447" s="314"/>
      <c r="K7447" s="454"/>
      <c r="M7447" s="349" t="str">
        <f>N7447&amp;AS[[#This Row],[Insurer Code]]&amp;"; "&amp;O7447&amp;AS[[#This Row],[Reporting Year]]&amp;"; "&amp;P7447&amp;AS[[#This Row],[Insurance Category Code]]&amp;"; "&amp;Q7447&amp;AS[[#This Row],[Large Provider Entity Code]]&amp;"; "&amp;R7447&amp;AS[[#This Row],[Age Band Code]]&amp;"; "&amp;S7447&amp;AS[[#This Row],[Sex Code]]</f>
        <v xml:space="preserve">Insurer Code ; Reporting Year ; Insurance Category Code ; Large Provider Entity Code ; Age Band Code ; Sex Code </v>
      </c>
      <c r="N7447" s="345" t="s">
        <v>207</v>
      </c>
      <c r="O7447" s="345" t="s">
        <v>208</v>
      </c>
      <c r="P7447" s="345" t="s">
        <v>209</v>
      </c>
      <c r="Q7447" s="345" t="s">
        <v>210</v>
      </c>
      <c r="R7447" s="345" t="s">
        <v>223</v>
      </c>
      <c r="S7447" s="345" t="s">
        <v>224</v>
      </c>
    </row>
    <row r="7448" spans="1:19" x14ac:dyDescent="0.25">
      <c r="A7448" s="311"/>
      <c r="B7448" s="312"/>
      <c r="C7448" s="312"/>
      <c r="D7448" s="312"/>
      <c r="E7448" s="312"/>
      <c r="F7448" s="312"/>
      <c r="G7448" s="328"/>
      <c r="H7448" s="453"/>
      <c r="I7448" s="334"/>
      <c r="J7448" s="314"/>
      <c r="K7448" s="454"/>
      <c r="M7448" s="349" t="str">
        <f>N7448&amp;AS[[#This Row],[Insurer Code]]&amp;"; "&amp;O7448&amp;AS[[#This Row],[Reporting Year]]&amp;"; "&amp;P7448&amp;AS[[#This Row],[Insurance Category Code]]&amp;"; "&amp;Q7448&amp;AS[[#This Row],[Large Provider Entity Code]]&amp;"; "&amp;R7448&amp;AS[[#This Row],[Age Band Code]]&amp;"; "&amp;S7448&amp;AS[[#This Row],[Sex Code]]</f>
        <v xml:space="preserve">Insurer Code ; Reporting Year ; Insurance Category Code ; Large Provider Entity Code ; Age Band Code ; Sex Code </v>
      </c>
      <c r="N7448" s="345" t="s">
        <v>207</v>
      </c>
      <c r="O7448" s="345" t="s">
        <v>208</v>
      </c>
      <c r="P7448" s="345" t="s">
        <v>209</v>
      </c>
      <c r="Q7448" s="345" t="s">
        <v>210</v>
      </c>
      <c r="R7448" s="345" t="s">
        <v>223</v>
      </c>
      <c r="S7448" s="345" t="s">
        <v>224</v>
      </c>
    </row>
    <row r="7449" spans="1:19" x14ac:dyDescent="0.25">
      <c r="A7449" s="311"/>
      <c r="B7449" s="312"/>
      <c r="C7449" s="312"/>
      <c r="D7449" s="312"/>
      <c r="E7449" s="312"/>
      <c r="F7449" s="312"/>
      <c r="G7449" s="328"/>
      <c r="H7449" s="453"/>
      <c r="I7449" s="334"/>
      <c r="J7449" s="314"/>
      <c r="K7449" s="454"/>
      <c r="M7449" s="349" t="str">
        <f>N7449&amp;AS[[#This Row],[Insurer Code]]&amp;"; "&amp;O7449&amp;AS[[#This Row],[Reporting Year]]&amp;"; "&amp;P7449&amp;AS[[#This Row],[Insurance Category Code]]&amp;"; "&amp;Q7449&amp;AS[[#This Row],[Large Provider Entity Code]]&amp;"; "&amp;R7449&amp;AS[[#This Row],[Age Band Code]]&amp;"; "&amp;S7449&amp;AS[[#This Row],[Sex Code]]</f>
        <v xml:space="preserve">Insurer Code ; Reporting Year ; Insurance Category Code ; Large Provider Entity Code ; Age Band Code ; Sex Code </v>
      </c>
      <c r="N7449" s="345" t="s">
        <v>207</v>
      </c>
      <c r="O7449" s="345" t="s">
        <v>208</v>
      </c>
      <c r="P7449" s="345" t="s">
        <v>209</v>
      </c>
      <c r="Q7449" s="345" t="s">
        <v>210</v>
      </c>
      <c r="R7449" s="345" t="s">
        <v>223</v>
      </c>
      <c r="S7449" s="345" t="s">
        <v>224</v>
      </c>
    </row>
    <row r="7450" spans="1:19" x14ac:dyDescent="0.25">
      <c r="A7450" s="311"/>
      <c r="B7450" s="312"/>
      <c r="C7450" s="312"/>
      <c r="D7450" s="312"/>
      <c r="E7450" s="312"/>
      <c r="F7450" s="312"/>
      <c r="G7450" s="328"/>
      <c r="H7450" s="453"/>
      <c r="I7450" s="334"/>
      <c r="J7450" s="314"/>
      <c r="K7450" s="454"/>
      <c r="M7450" s="349" t="str">
        <f>N7450&amp;AS[[#This Row],[Insurer Code]]&amp;"; "&amp;O7450&amp;AS[[#This Row],[Reporting Year]]&amp;"; "&amp;P7450&amp;AS[[#This Row],[Insurance Category Code]]&amp;"; "&amp;Q7450&amp;AS[[#This Row],[Large Provider Entity Code]]&amp;"; "&amp;R7450&amp;AS[[#This Row],[Age Band Code]]&amp;"; "&amp;S7450&amp;AS[[#This Row],[Sex Code]]</f>
        <v xml:space="preserve">Insurer Code ; Reporting Year ; Insurance Category Code ; Large Provider Entity Code ; Age Band Code ; Sex Code </v>
      </c>
      <c r="N7450" s="345" t="s">
        <v>207</v>
      </c>
      <c r="O7450" s="345" t="s">
        <v>208</v>
      </c>
      <c r="P7450" s="345" t="s">
        <v>209</v>
      </c>
      <c r="Q7450" s="345" t="s">
        <v>210</v>
      </c>
      <c r="R7450" s="345" t="s">
        <v>223</v>
      </c>
      <c r="S7450" s="345" t="s">
        <v>224</v>
      </c>
    </row>
    <row r="7451" spans="1:19" x14ac:dyDescent="0.25">
      <c r="A7451" s="311"/>
      <c r="B7451" s="312"/>
      <c r="C7451" s="312"/>
      <c r="D7451" s="312"/>
      <c r="E7451" s="312"/>
      <c r="F7451" s="312"/>
      <c r="G7451" s="328"/>
      <c r="H7451" s="453"/>
      <c r="I7451" s="334"/>
      <c r="J7451" s="314"/>
      <c r="K7451" s="454"/>
      <c r="M7451" s="349" t="str">
        <f>N7451&amp;AS[[#This Row],[Insurer Code]]&amp;"; "&amp;O7451&amp;AS[[#This Row],[Reporting Year]]&amp;"; "&amp;P7451&amp;AS[[#This Row],[Insurance Category Code]]&amp;"; "&amp;Q7451&amp;AS[[#This Row],[Large Provider Entity Code]]&amp;"; "&amp;R7451&amp;AS[[#This Row],[Age Band Code]]&amp;"; "&amp;S7451&amp;AS[[#This Row],[Sex Code]]</f>
        <v xml:space="preserve">Insurer Code ; Reporting Year ; Insurance Category Code ; Large Provider Entity Code ; Age Band Code ; Sex Code </v>
      </c>
      <c r="N7451" s="345" t="s">
        <v>207</v>
      </c>
      <c r="O7451" s="345" t="s">
        <v>208</v>
      </c>
      <c r="P7451" s="345" t="s">
        <v>209</v>
      </c>
      <c r="Q7451" s="345" t="s">
        <v>210</v>
      </c>
      <c r="R7451" s="345" t="s">
        <v>223</v>
      </c>
      <c r="S7451" s="345" t="s">
        <v>224</v>
      </c>
    </row>
    <row r="7452" spans="1:19" x14ac:dyDescent="0.25">
      <c r="A7452" s="311"/>
      <c r="B7452" s="312"/>
      <c r="C7452" s="312"/>
      <c r="D7452" s="312"/>
      <c r="E7452" s="312"/>
      <c r="F7452" s="312"/>
      <c r="G7452" s="328"/>
      <c r="H7452" s="453"/>
      <c r="I7452" s="334"/>
      <c r="J7452" s="314"/>
      <c r="K7452" s="454"/>
      <c r="M7452" s="349" t="str">
        <f>N7452&amp;AS[[#This Row],[Insurer Code]]&amp;"; "&amp;O7452&amp;AS[[#This Row],[Reporting Year]]&amp;"; "&amp;P7452&amp;AS[[#This Row],[Insurance Category Code]]&amp;"; "&amp;Q7452&amp;AS[[#This Row],[Large Provider Entity Code]]&amp;"; "&amp;R7452&amp;AS[[#This Row],[Age Band Code]]&amp;"; "&amp;S7452&amp;AS[[#This Row],[Sex Code]]</f>
        <v xml:space="preserve">Insurer Code ; Reporting Year ; Insurance Category Code ; Large Provider Entity Code ; Age Band Code ; Sex Code </v>
      </c>
      <c r="N7452" s="345" t="s">
        <v>207</v>
      </c>
      <c r="O7452" s="345" t="s">
        <v>208</v>
      </c>
      <c r="P7452" s="345" t="s">
        <v>209</v>
      </c>
      <c r="Q7452" s="345" t="s">
        <v>210</v>
      </c>
      <c r="R7452" s="345" t="s">
        <v>223</v>
      </c>
      <c r="S7452" s="345" t="s">
        <v>224</v>
      </c>
    </row>
    <row r="7453" spans="1:19" x14ac:dyDescent="0.25">
      <c r="A7453" s="311"/>
      <c r="B7453" s="312"/>
      <c r="C7453" s="312"/>
      <c r="D7453" s="312"/>
      <c r="E7453" s="312"/>
      <c r="F7453" s="312"/>
      <c r="G7453" s="328"/>
      <c r="H7453" s="453"/>
      <c r="I7453" s="334"/>
      <c r="J7453" s="314"/>
      <c r="K7453" s="454"/>
      <c r="M7453" s="349" t="str">
        <f>N7453&amp;AS[[#This Row],[Insurer Code]]&amp;"; "&amp;O7453&amp;AS[[#This Row],[Reporting Year]]&amp;"; "&amp;P7453&amp;AS[[#This Row],[Insurance Category Code]]&amp;"; "&amp;Q7453&amp;AS[[#This Row],[Large Provider Entity Code]]&amp;"; "&amp;R7453&amp;AS[[#This Row],[Age Band Code]]&amp;"; "&amp;S7453&amp;AS[[#This Row],[Sex Code]]</f>
        <v xml:space="preserve">Insurer Code ; Reporting Year ; Insurance Category Code ; Large Provider Entity Code ; Age Band Code ; Sex Code </v>
      </c>
      <c r="N7453" s="345" t="s">
        <v>207</v>
      </c>
      <c r="O7453" s="345" t="s">
        <v>208</v>
      </c>
      <c r="P7453" s="345" t="s">
        <v>209</v>
      </c>
      <c r="Q7453" s="345" t="s">
        <v>210</v>
      </c>
      <c r="R7453" s="345" t="s">
        <v>223</v>
      </c>
      <c r="S7453" s="345" t="s">
        <v>224</v>
      </c>
    </row>
    <row r="7454" spans="1:19" x14ac:dyDescent="0.25">
      <c r="A7454" s="311"/>
      <c r="B7454" s="312"/>
      <c r="C7454" s="312"/>
      <c r="D7454" s="312"/>
      <c r="E7454" s="312"/>
      <c r="F7454" s="312"/>
      <c r="G7454" s="328"/>
      <c r="H7454" s="453"/>
      <c r="I7454" s="334"/>
      <c r="J7454" s="314"/>
      <c r="K7454" s="454"/>
      <c r="M7454" s="349" t="str">
        <f>N7454&amp;AS[[#This Row],[Insurer Code]]&amp;"; "&amp;O7454&amp;AS[[#This Row],[Reporting Year]]&amp;"; "&amp;P7454&amp;AS[[#This Row],[Insurance Category Code]]&amp;"; "&amp;Q7454&amp;AS[[#This Row],[Large Provider Entity Code]]&amp;"; "&amp;R7454&amp;AS[[#This Row],[Age Band Code]]&amp;"; "&amp;S7454&amp;AS[[#This Row],[Sex Code]]</f>
        <v xml:space="preserve">Insurer Code ; Reporting Year ; Insurance Category Code ; Large Provider Entity Code ; Age Band Code ; Sex Code </v>
      </c>
      <c r="N7454" s="345" t="s">
        <v>207</v>
      </c>
      <c r="O7454" s="345" t="s">
        <v>208</v>
      </c>
      <c r="P7454" s="345" t="s">
        <v>209</v>
      </c>
      <c r="Q7454" s="345" t="s">
        <v>210</v>
      </c>
      <c r="R7454" s="345" t="s">
        <v>223</v>
      </c>
      <c r="S7454" s="345" t="s">
        <v>224</v>
      </c>
    </row>
    <row r="7455" spans="1:19" x14ac:dyDescent="0.25">
      <c r="A7455" s="311"/>
      <c r="B7455" s="312"/>
      <c r="C7455" s="312"/>
      <c r="D7455" s="312"/>
      <c r="E7455" s="312"/>
      <c r="F7455" s="312"/>
      <c r="G7455" s="328"/>
      <c r="H7455" s="453"/>
      <c r="I7455" s="334"/>
      <c r="J7455" s="314"/>
      <c r="K7455" s="454"/>
      <c r="M7455" s="349" t="str">
        <f>N7455&amp;AS[[#This Row],[Insurer Code]]&amp;"; "&amp;O7455&amp;AS[[#This Row],[Reporting Year]]&amp;"; "&amp;P7455&amp;AS[[#This Row],[Insurance Category Code]]&amp;"; "&amp;Q7455&amp;AS[[#This Row],[Large Provider Entity Code]]&amp;"; "&amp;R7455&amp;AS[[#This Row],[Age Band Code]]&amp;"; "&amp;S7455&amp;AS[[#This Row],[Sex Code]]</f>
        <v xml:space="preserve">Insurer Code ; Reporting Year ; Insurance Category Code ; Large Provider Entity Code ; Age Band Code ; Sex Code </v>
      </c>
      <c r="N7455" s="345" t="s">
        <v>207</v>
      </c>
      <c r="O7455" s="345" t="s">
        <v>208</v>
      </c>
      <c r="P7455" s="345" t="s">
        <v>209</v>
      </c>
      <c r="Q7455" s="345" t="s">
        <v>210</v>
      </c>
      <c r="R7455" s="345" t="s">
        <v>223</v>
      </c>
      <c r="S7455" s="345" t="s">
        <v>224</v>
      </c>
    </row>
    <row r="7456" spans="1:19" x14ac:dyDescent="0.25">
      <c r="A7456" s="311"/>
      <c r="B7456" s="312"/>
      <c r="C7456" s="312"/>
      <c r="D7456" s="312"/>
      <c r="E7456" s="312"/>
      <c r="F7456" s="312"/>
      <c r="G7456" s="328"/>
      <c r="H7456" s="453"/>
      <c r="I7456" s="334"/>
      <c r="J7456" s="314"/>
      <c r="K7456" s="454"/>
      <c r="M7456" s="349" t="str">
        <f>N7456&amp;AS[[#This Row],[Insurer Code]]&amp;"; "&amp;O7456&amp;AS[[#This Row],[Reporting Year]]&amp;"; "&amp;P7456&amp;AS[[#This Row],[Insurance Category Code]]&amp;"; "&amp;Q7456&amp;AS[[#This Row],[Large Provider Entity Code]]&amp;"; "&amp;R7456&amp;AS[[#This Row],[Age Band Code]]&amp;"; "&amp;S7456&amp;AS[[#This Row],[Sex Code]]</f>
        <v xml:space="preserve">Insurer Code ; Reporting Year ; Insurance Category Code ; Large Provider Entity Code ; Age Band Code ; Sex Code </v>
      </c>
      <c r="N7456" s="345" t="s">
        <v>207</v>
      </c>
      <c r="O7456" s="345" t="s">
        <v>208</v>
      </c>
      <c r="P7456" s="345" t="s">
        <v>209</v>
      </c>
      <c r="Q7456" s="345" t="s">
        <v>210</v>
      </c>
      <c r="R7456" s="345" t="s">
        <v>223</v>
      </c>
      <c r="S7456" s="345" t="s">
        <v>224</v>
      </c>
    </row>
    <row r="7457" spans="1:19" x14ac:dyDescent="0.25">
      <c r="A7457" s="311"/>
      <c r="B7457" s="312"/>
      <c r="C7457" s="312"/>
      <c r="D7457" s="312"/>
      <c r="E7457" s="312"/>
      <c r="F7457" s="312"/>
      <c r="G7457" s="328"/>
      <c r="H7457" s="453"/>
      <c r="I7457" s="334"/>
      <c r="J7457" s="314"/>
      <c r="K7457" s="454"/>
      <c r="M7457" s="349" t="str">
        <f>N7457&amp;AS[[#This Row],[Insurer Code]]&amp;"; "&amp;O7457&amp;AS[[#This Row],[Reporting Year]]&amp;"; "&amp;P7457&amp;AS[[#This Row],[Insurance Category Code]]&amp;"; "&amp;Q7457&amp;AS[[#This Row],[Large Provider Entity Code]]&amp;"; "&amp;R7457&amp;AS[[#This Row],[Age Band Code]]&amp;"; "&amp;S7457&amp;AS[[#This Row],[Sex Code]]</f>
        <v xml:space="preserve">Insurer Code ; Reporting Year ; Insurance Category Code ; Large Provider Entity Code ; Age Band Code ; Sex Code </v>
      </c>
      <c r="N7457" s="345" t="s">
        <v>207</v>
      </c>
      <c r="O7457" s="345" t="s">
        <v>208</v>
      </c>
      <c r="P7457" s="345" t="s">
        <v>209</v>
      </c>
      <c r="Q7457" s="345" t="s">
        <v>210</v>
      </c>
      <c r="R7457" s="345" t="s">
        <v>223</v>
      </c>
      <c r="S7457" s="345" t="s">
        <v>224</v>
      </c>
    </row>
    <row r="7458" spans="1:19" x14ac:dyDescent="0.25">
      <c r="A7458" s="311"/>
      <c r="B7458" s="312"/>
      <c r="C7458" s="312"/>
      <c r="D7458" s="312"/>
      <c r="E7458" s="312"/>
      <c r="F7458" s="312"/>
      <c r="G7458" s="328"/>
      <c r="H7458" s="453"/>
      <c r="I7458" s="334"/>
      <c r="J7458" s="314"/>
      <c r="K7458" s="454"/>
      <c r="M7458" s="349" t="str">
        <f>N7458&amp;AS[[#This Row],[Insurer Code]]&amp;"; "&amp;O7458&amp;AS[[#This Row],[Reporting Year]]&amp;"; "&amp;P7458&amp;AS[[#This Row],[Insurance Category Code]]&amp;"; "&amp;Q7458&amp;AS[[#This Row],[Large Provider Entity Code]]&amp;"; "&amp;R7458&amp;AS[[#This Row],[Age Band Code]]&amp;"; "&amp;S7458&amp;AS[[#This Row],[Sex Code]]</f>
        <v xml:space="preserve">Insurer Code ; Reporting Year ; Insurance Category Code ; Large Provider Entity Code ; Age Band Code ; Sex Code </v>
      </c>
      <c r="N7458" s="345" t="s">
        <v>207</v>
      </c>
      <c r="O7458" s="345" t="s">
        <v>208</v>
      </c>
      <c r="P7458" s="345" t="s">
        <v>209</v>
      </c>
      <c r="Q7458" s="345" t="s">
        <v>210</v>
      </c>
      <c r="R7458" s="345" t="s">
        <v>223</v>
      </c>
      <c r="S7458" s="345" t="s">
        <v>224</v>
      </c>
    </row>
    <row r="7459" spans="1:19" x14ac:dyDescent="0.25">
      <c r="A7459" s="311"/>
      <c r="B7459" s="312"/>
      <c r="C7459" s="312"/>
      <c r="D7459" s="312"/>
      <c r="E7459" s="312"/>
      <c r="F7459" s="312"/>
      <c r="G7459" s="328"/>
      <c r="H7459" s="453"/>
      <c r="I7459" s="334"/>
      <c r="J7459" s="314"/>
      <c r="K7459" s="454"/>
      <c r="M7459" s="349" t="str">
        <f>N7459&amp;AS[[#This Row],[Insurer Code]]&amp;"; "&amp;O7459&amp;AS[[#This Row],[Reporting Year]]&amp;"; "&amp;P7459&amp;AS[[#This Row],[Insurance Category Code]]&amp;"; "&amp;Q7459&amp;AS[[#This Row],[Large Provider Entity Code]]&amp;"; "&amp;R7459&amp;AS[[#This Row],[Age Band Code]]&amp;"; "&amp;S7459&amp;AS[[#This Row],[Sex Code]]</f>
        <v xml:space="preserve">Insurer Code ; Reporting Year ; Insurance Category Code ; Large Provider Entity Code ; Age Band Code ; Sex Code </v>
      </c>
      <c r="N7459" s="345" t="s">
        <v>207</v>
      </c>
      <c r="O7459" s="345" t="s">
        <v>208</v>
      </c>
      <c r="P7459" s="345" t="s">
        <v>209</v>
      </c>
      <c r="Q7459" s="345" t="s">
        <v>210</v>
      </c>
      <c r="R7459" s="345" t="s">
        <v>223</v>
      </c>
      <c r="S7459" s="345" t="s">
        <v>224</v>
      </c>
    </row>
    <row r="7460" spans="1:19" x14ac:dyDescent="0.25">
      <c r="A7460" s="311"/>
      <c r="B7460" s="312"/>
      <c r="C7460" s="312"/>
      <c r="D7460" s="312"/>
      <c r="E7460" s="312"/>
      <c r="F7460" s="312"/>
      <c r="G7460" s="328"/>
      <c r="H7460" s="453"/>
      <c r="I7460" s="334"/>
      <c r="J7460" s="314"/>
      <c r="K7460" s="454"/>
      <c r="M7460" s="349" t="str">
        <f>N7460&amp;AS[[#This Row],[Insurer Code]]&amp;"; "&amp;O7460&amp;AS[[#This Row],[Reporting Year]]&amp;"; "&amp;P7460&amp;AS[[#This Row],[Insurance Category Code]]&amp;"; "&amp;Q7460&amp;AS[[#This Row],[Large Provider Entity Code]]&amp;"; "&amp;R7460&amp;AS[[#This Row],[Age Band Code]]&amp;"; "&amp;S7460&amp;AS[[#This Row],[Sex Code]]</f>
        <v xml:space="preserve">Insurer Code ; Reporting Year ; Insurance Category Code ; Large Provider Entity Code ; Age Band Code ; Sex Code </v>
      </c>
      <c r="N7460" s="345" t="s">
        <v>207</v>
      </c>
      <c r="O7460" s="345" t="s">
        <v>208</v>
      </c>
      <c r="P7460" s="345" t="s">
        <v>209</v>
      </c>
      <c r="Q7460" s="345" t="s">
        <v>210</v>
      </c>
      <c r="R7460" s="345" t="s">
        <v>223</v>
      </c>
      <c r="S7460" s="345" t="s">
        <v>224</v>
      </c>
    </row>
    <row r="7461" spans="1:19" x14ac:dyDescent="0.25">
      <c r="A7461" s="311"/>
      <c r="B7461" s="312"/>
      <c r="C7461" s="312"/>
      <c r="D7461" s="312"/>
      <c r="E7461" s="312"/>
      <c r="F7461" s="312"/>
      <c r="G7461" s="328"/>
      <c r="H7461" s="453"/>
      <c r="I7461" s="334"/>
      <c r="J7461" s="314"/>
      <c r="K7461" s="454"/>
      <c r="M7461" s="349" t="str">
        <f>N7461&amp;AS[[#This Row],[Insurer Code]]&amp;"; "&amp;O7461&amp;AS[[#This Row],[Reporting Year]]&amp;"; "&amp;P7461&amp;AS[[#This Row],[Insurance Category Code]]&amp;"; "&amp;Q7461&amp;AS[[#This Row],[Large Provider Entity Code]]&amp;"; "&amp;R7461&amp;AS[[#This Row],[Age Band Code]]&amp;"; "&amp;S7461&amp;AS[[#This Row],[Sex Code]]</f>
        <v xml:space="preserve">Insurer Code ; Reporting Year ; Insurance Category Code ; Large Provider Entity Code ; Age Band Code ; Sex Code </v>
      </c>
      <c r="N7461" s="345" t="s">
        <v>207</v>
      </c>
      <c r="O7461" s="345" t="s">
        <v>208</v>
      </c>
      <c r="P7461" s="345" t="s">
        <v>209</v>
      </c>
      <c r="Q7461" s="345" t="s">
        <v>210</v>
      </c>
      <c r="R7461" s="345" t="s">
        <v>223</v>
      </c>
      <c r="S7461" s="345" t="s">
        <v>224</v>
      </c>
    </row>
    <row r="7462" spans="1:19" x14ac:dyDescent="0.25">
      <c r="A7462" s="311"/>
      <c r="B7462" s="312"/>
      <c r="C7462" s="312"/>
      <c r="D7462" s="312"/>
      <c r="E7462" s="312"/>
      <c r="F7462" s="312"/>
      <c r="G7462" s="328"/>
      <c r="H7462" s="453"/>
      <c r="I7462" s="334"/>
      <c r="J7462" s="314"/>
      <c r="K7462" s="454"/>
      <c r="M7462" s="349" t="str">
        <f>N7462&amp;AS[[#This Row],[Insurer Code]]&amp;"; "&amp;O7462&amp;AS[[#This Row],[Reporting Year]]&amp;"; "&amp;P7462&amp;AS[[#This Row],[Insurance Category Code]]&amp;"; "&amp;Q7462&amp;AS[[#This Row],[Large Provider Entity Code]]&amp;"; "&amp;R7462&amp;AS[[#This Row],[Age Band Code]]&amp;"; "&amp;S7462&amp;AS[[#This Row],[Sex Code]]</f>
        <v xml:space="preserve">Insurer Code ; Reporting Year ; Insurance Category Code ; Large Provider Entity Code ; Age Band Code ; Sex Code </v>
      </c>
      <c r="N7462" s="345" t="s">
        <v>207</v>
      </c>
      <c r="O7462" s="345" t="s">
        <v>208</v>
      </c>
      <c r="P7462" s="345" t="s">
        <v>209</v>
      </c>
      <c r="Q7462" s="345" t="s">
        <v>210</v>
      </c>
      <c r="R7462" s="345" t="s">
        <v>223</v>
      </c>
      <c r="S7462" s="345" t="s">
        <v>224</v>
      </c>
    </row>
    <row r="7463" spans="1:19" x14ac:dyDescent="0.25">
      <c r="A7463" s="311"/>
      <c r="B7463" s="312"/>
      <c r="C7463" s="312"/>
      <c r="D7463" s="312"/>
      <c r="E7463" s="312"/>
      <c r="F7463" s="312"/>
      <c r="G7463" s="328"/>
      <c r="H7463" s="453"/>
      <c r="I7463" s="334"/>
      <c r="J7463" s="314"/>
      <c r="K7463" s="454"/>
      <c r="M7463" s="349" t="str">
        <f>N7463&amp;AS[[#This Row],[Insurer Code]]&amp;"; "&amp;O7463&amp;AS[[#This Row],[Reporting Year]]&amp;"; "&amp;P7463&amp;AS[[#This Row],[Insurance Category Code]]&amp;"; "&amp;Q7463&amp;AS[[#This Row],[Large Provider Entity Code]]&amp;"; "&amp;R7463&amp;AS[[#This Row],[Age Band Code]]&amp;"; "&amp;S7463&amp;AS[[#This Row],[Sex Code]]</f>
        <v xml:space="preserve">Insurer Code ; Reporting Year ; Insurance Category Code ; Large Provider Entity Code ; Age Band Code ; Sex Code </v>
      </c>
      <c r="N7463" s="345" t="s">
        <v>207</v>
      </c>
      <c r="O7463" s="345" t="s">
        <v>208</v>
      </c>
      <c r="P7463" s="345" t="s">
        <v>209</v>
      </c>
      <c r="Q7463" s="345" t="s">
        <v>210</v>
      </c>
      <c r="R7463" s="345" t="s">
        <v>223</v>
      </c>
      <c r="S7463" s="345" t="s">
        <v>224</v>
      </c>
    </row>
    <row r="7464" spans="1:19" x14ac:dyDescent="0.25">
      <c r="A7464" s="311"/>
      <c r="B7464" s="312"/>
      <c r="C7464" s="312"/>
      <c r="D7464" s="312"/>
      <c r="E7464" s="312"/>
      <c r="F7464" s="312"/>
      <c r="G7464" s="328"/>
      <c r="H7464" s="453"/>
      <c r="I7464" s="334"/>
      <c r="J7464" s="314"/>
      <c r="K7464" s="454"/>
      <c r="M7464" s="349" t="str">
        <f>N7464&amp;AS[[#This Row],[Insurer Code]]&amp;"; "&amp;O7464&amp;AS[[#This Row],[Reporting Year]]&amp;"; "&amp;P7464&amp;AS[[#This Row],[Insurance Category Code]]&amp;"; "&amp;Q7464&amp;AS[[#This Row],[Large Provider Entity Code]]&amp;"; "&amp;R7464&amp;AS[[#This Row],[Age Band Code]]&amp;"; "&amp;S7464&amp;AS[[#This Row],[Sex Code]]</f>
        <v xml:space="preserve">Insurer Code ; Reporting Year ; Insurance Category Code ; Large Provider Entity Code ; Age Band Code ; Sex Code </v>
      </c>
      <c r="N7464" s="345" t="s">
        <v>207</v>
      </c>
      <c r="O7464" s="345" t="s">
        <v>208</v>
      </c>
      <c r="P7464" s="345" t="s">
        <v>209</v>
      </c>
      <c r="Q7464" s="345" t="s">
        <v>210</v>
      </c>
      <c r="R7464" s="345" t="s">
        <v>223</v>
      </c>
      <c r="S7464" s="345" t="s">
        <v>224</v>
      </c>
    </row>
    <row r="7465" spans="1:19" x14ac:dyDescent="0.25">
      <c r="A7465" s="311"/>
      <c r="B7465" s="312"/>
      <c r="C7465" s="312"/>
      <c r="D7465" s="312"/>
      <c r="E7465" s="312"/>
      <c r="F7465" s="312"/>
      <c r="G7465" s="328"/>
      <c r="H7465" s="453"/>
      <c r="I7465" s="334"/>
      <c r="J7465" s="314"/>
      <c r="K7465" s="454"/>
      <c r="M7465" s="349" t="str">
        <f>N7465&amp;AS[[#This Row],[Insurer Code]]&amp;"; "&amp;O7465&amp;AS[[#This Row],[Reporting Year]]&amp;"; "&amp;P7465&amp;AS[[#This Row],[Insurance Category Code]]&amp;"; "&amp;Q7465&amp;AS[[#This Row],[Large Provider Entity Code]]&amp;"; "&amp;R7465&amp;AS[[#This Row],[Age Band Code]]&amp;"; "&amp;S7465&amp;AS[[#This Row],[Sex Code]]</f>
        <v xml:space="preserve">Insurer Code ; Reporting Year ; Insurance Category Code ; Large Provider Entity Code ; Age Band Code ; Sex Code </v>
      </c>
      <c r="N7465" s="345" t="s">
        <v>207</v>
      </c>
      <c r="O7465" s="345" t="s">
        <v>208</v>
      </c>
      <c r="P7465" s="345" t="s">
        <v>209</v>
      </c>
      <c r="Q7465" s="345" t="s">
        <v>210</v>
      </c>
      <c r="R7465" s="345" t="s">
        <v>223</v>
      </c>
      <c r="S7465" s="345" t="s">
        <v>224</v>
      </c>
    </row>
    <row r="7466" spans="1:19" x14ac:dyDescent="0.25">
      <c r="A7466" s="311"/>
      <c r="B7466" s="312"/>
      <c r="C7466" s="312"/>
      <c r="D7466" s="312"/>
      <c r="E7466" s="312"/>
      <c r="F7466" s="312"/>
      <c r="G7466" s="328"/>
      <c r="H7466" s="453"/>
      <c r="I7466" s="334"/>
      <c r="J7466" s="314"/>
      <c r="K7466" s="454"/>
      <c r="M7466" s="349" t="str">
        <f>N7466&amp;AS[[#This Row],[Insurer Code]]&amp;"; "&amp;O7466&amp;AS[[#This Row],[Reporting Year]]&amp;"; "&amp;P7466&amp;AS[[#This Row],[Insurance Category Code]]&amp;"; "&amp;Q7466&amp;AS[[#This Row],[Large Provider Entity Code]]&amp;"; "&amp;R7466&amp;AS[[#This Row],[Age Band Code]]&amp;"; "&amp;S7466&amp;AS[[#This Row],[Sex Code]]</f>
        <v xml:space="preserve">Insurer Code ; Reporting Year ; Insurance Category Code ; Large Provider Entity Code ; Age Band Code ; Sex Code </v>
      </c>
      <c r="N7466" s="345" t="s">
        <v>207</v>
      </c>
      <c r="O7466" s="345" t="s">
        <v>208</v>
      </c>
      <c r="P7466" s="345" t="s">
        <v>209</v>
      </c>
      <c r="Q7466" s="345" t="s">
        <v>210</v>
      </c>
      <c r="R7466" s="345" t="s">
        <v>223</v>
      </c>
      <c r="S7466" s="345" t="s">
        <v>224</v>
      </c>
    </row>
    <row r="7467" spans="1:19" x14ac:dyDescent="0.25">
      <c r="A7467" s="311"/>
      <c r="B7467" s="312"/>
      <c r="C7467" s="312"/>
      <c r="D7467" s="312"/>
      <c r="E7467" s="312"/>
      <c r="F7467" s="312"/>
      <c r="G7467" s="328"/>
      <c r="H7467" s="453"/>
      <c r="I7467" s="334"/>
      <c r="J7467" s="314"/>
      <c r="K7467" s="454"/>
      <c r="M7467" s="349" t="str">
        <f>N7467&amp;AS[[#This Row],[Insurer Code]]&amp;"; "&amp;O7467&amp;AS[[#This Row],[Reporting Year]]&amp;"; "&amp;P7467&amp;AS[[#This Row],[Insurance Category Code]]&amp;"; "&amp;Q7467&amp;AS[[#This Row],[Large Provider Entity Code]]&amp;"; "&amp;R7467&amp;AS[[#This Row],[Age Band Code]]&amp;"; "&amp;S7467&amp;AS[[#This Row],[Sex Code]]</f>
        <v xml:space="preserve">Insurer Code ; Reporting Year ; Insurance Category Code ; Large Provider Entity Code ; Age Band Code ; Sex Code </v>
      </c>
      <c r="N7467" s="345" t="s">
        <v>207</v>
      </c>
      <c r="O7467" s="345" t="s">
        <v>208</v>
      </c>
      <c r="P7467" s="345" t="s">
        <v>209</v>
      </c>
      <c r="Q7467" s="345" t="s">
        <v>210</v>
      </c>
      <c r="R7467" s="345" t="s">
        <v>223</v>
      </c>
      <c r="S7467" s="345" t="s">
        <v>224</v>
      </c>
    </row>
    <row r="7468" spans="1:19" x14ac:dyDescent="0.25">
      <c r="A7468" s="311"/>
      <c r="B7468" s="312"/>
      <c r="C7468" s="312"/>
      <c r="D7468" s="312"/>
      <c r="E7468" s="312"/>
      <c r="F7468" s="312"/>
      <c r="G7468" s="328"/>
      <c r="H7468" s="453"/>
      <c r="I7468" s="334"/>
      <c r="J7468" s="314"/>
      <c r="K7468" s="454"/>
      <c r="M7468" s="349" t="str">
        <f>N7468&amp;AS[[#This Row],[Insurer Code]]&amp;"; "&amp;O7468&amp;AS[[#This Row],[Reporting Year]]&amp;"; "&amp;P7468&amp;AS[[#This Row],[Insurance Category Code]]&amp;"; "&amp;Q7468&amp;AS[[#This Row],[Large Provider Entity Code]]&amp;"; "&amp;R7468&amp;AS[[#This Row],[Age Band Code]]&amp;"; "&amp;S7468&amp;AS[[#This Row],[Sex Code]]</f>
        <v xml:space="preserve">Insurer Code ; Reporting Year ; Insurance Category Code ; Large Provider Entity Code ; Age Band Code ; Sex Code </v>
      </c>
      <c r="N7468" s="345" t="s">
        <v>207</v>
      </c>
      <c r="O7468" s="345" t="s">
        <v>208</v>
      </c>
      <c r="P7468" s="345" t="s">
        <v>209</v>
      </c>
      <c r="Q7468" s="345" t="s">
        <v>210</v>
      </c>
      <c r="R7468" s="345" t="s">
        <v>223</v>
      </c>
      <c r="S7468" s="345" t="s">
        <v>224</v>
      </c>
    </row>
    <row r="7469" spans="1:19" x14ac:dyDescent="0.25">
      <c r="A7469" s="311"/>
      <c r="B7469" s="312"/>
      <c r="C7469" s="312"/>
      <c r="D7469" s="312"/>
      <c r="E7469" s="312"/>
      <c r="F7469" s="312"/>
      <c r="G7469" s="328"/>
      <c r="H7469" s="453"/>
      <c r="I7469" s="334"/>
      <c r="J7469" s="314"/>
      <c r="K7469" s="454"/>
      <c r="M7469" s="349" t="str">
        <f>N7469&amp;AS[[#This Row],[Insurer Code]]&amp;"; "&amp;O7469&amp;AS[[#This Row],[Reporting Year]]&amp;"; "&amp;P7469&amp;AS[[#This Row],[Insurance Category Code]]&amp;"; "&amp;Q7469&amp;AS[[#This Row],[Large Provider Entity Code]]&amp;"; "&amp;R7469&amp;AS[[#This Row],[Age Band Code]]&amp;"; "&amp;S7469&amp;AS[[#This Row],[Sex Code]]</f>
        <v xml:space="preserve">Insurer Code ; Reporting Year ; Insurance Category Code ; Large Provider Entity Code ; Age Band Code ; Sex Code </v>
      </c>
      <c r="N7469" s="345" t="s">
        <v>207</v>
      </c>
      <c r="O7469" s="345" t="s">
        <v>208</v>
      </c>
      <c r="P7469" s="345" t="s">
        <v>209</v>
      </c>
      <c r="Q7469" s="345" t="s">
        <v>210</v>
      </c>
      <c r="R7469" s="345" t="s">
        <v>223</v>
      </c>
      <c r="S7469" s="345" t="s">
        <v>224</v>
      </c>
    </row>
    <row r="7470" spans="1:19" x14ac:dyDescent="0.25">
      <c r="A7470" s="311"/>
      <c r="B7470" s="312"/>
      <c r="C7470" s="312"/>
      <c r="D7470" s="312"/>
      <c r="E7470" s="312"/>
      <c r="F7470" s="312"/>
      <c r="G7470" s="328"/>
      <c r="H7470" s="453"/>
      <c r="I7470" s="334"/>
      <c r="J7470" s="314"/>
      <c r="K7470" s="454"/>
      <c r="M7470" s="349" t="str">
        <f>N7470&amp;AS[[#This Row],[Insurer Code]]&amp;"; "&amp;O7470&amp;AS[[#This Row],[Reporting Year]]&amp;"; "&amp;P7470&amp;AS[[#This Row],[Insurance Category Code]]&amp;"; "&amp;Q7470&amp;AS[[#This Row],[Large Provider Entity Code]]&amp;"; "&amp;R7470&amp;AS[[#This Row],[Age Band Code]]&amp;"; "&amp;S7470&amp;AS[[#This Row],[Sex Code]]</f>
        <v xml:space="preserve">Insurer Code ; Reporting Year ; Insurance Category Code ; Large Provider Entity Code ; Age Band Code ; Sex Code </v>
      </c>
      <c r="N7470" s="345" t="s">
        <v>207</v>
      </c>
      <c r="O7470" s="345" t="s">
        <v>208</v>
      </c>
      <c r="P7470" s="345" t="s">
        <v>209</v>
      </c>
      <c r="Q7470" s="345" t="s">
        <v>210</v>
      </c>
      <c r="R7470" s="345" t="s">
        <v>223</v>
      </c>
      <c r="S7470" s="345" t="s">
        <v>224</v>
      </c>
    </row>
    <row r="7471" spans="1:19" x14ac:dyDescent="0.25">
      <c r="A7471" s="311"/>
      <c r="B7471" s="312"/>
      <c r="C7471" s="312"/>
      <c r="D7471" s="312"/>
      <c r="E7471" s="312"/>
      <c r="F7471" s="312"/>
      <c r="G7471" s="328"/>
      <c r="H7471" s="453"/>
      <c r="I7471" s="334"/>
      <c r="J7471" s="314"/>
      <c r="K7471" s="454"/>
      <c r="M7471" s="349" t="str">
        <f>N7471&amp;AS[[#This Row],[Insurer Code]]&amp;"; "&amp;O7471&amp;AS[[#This Row],[Reporting Year]]&amp;"; "&amp;P7471&amp;AS[[#This Row],[Insurance Category Code]]&amp;"; "&amp;Q7471&amp;AS[[#This Row],[Large Provider Entity Code]]&amp;"; "&amp;R7471&amp;AS[[#This Row],[Age Band Code]]&amp;"; "&amp;S7471&amp;AS[[#This Row],[Sex Code]]</f>
        <v xml:space="preserve">Insurer Code ; Reporting Year ; Insurance Category Code ; Large Provider Entity Code ; Age Band Code ; Sex Code </v>
      </c>
      <c r="N7471" s="345" t="s">
        <v>207</v>
      </c>
      <c r="O7471" s="345" t="s">
        <v>208</v>
      </c>
      <c r="P7471" s="345" t="s">
        <v>209</v>
      </c>
      <c r="Q7471" s="345" t="s">
        <v>210</v>
      </c>
      <c r="R7471" s="345" t="s">
        <v>223</v>
      </c>
      <c r="S7471" s="345" t="s">
        <v>224</v>
      </c>
    </row>
    <row r="7472" spans="1:19" x14ac:dyDescent="0.25">
      <c r="A7472" s="311"/>
      <c r="B7472" s="312"/>
      <c r="C7472" s="312"/>
      <c r="D7472" s="312"/>
      <c r="E7472" s="312"/>
      <c r="F7472" s="312"/>
      <c r="G7472" s="328"/>
      <c r="H7472" s="453"/>
      <c r="I7472" s="334"/>
      <c r="J7472" s="314"/>
      <c r="K7472" s="454"/>
      <c r="M7472" s="349" t="str">
        <f>N7472&amp;AS[[#This Row],[Insurer Code]]&amp;"; "&amp;O7472&amp;AS[[#This Row],[Reporting Year]]&amp;"; "&amp;P7472&amp;AS[[#This Row],[Insurance Category Code]]&amp;"; "&amp;Q7472&amp;AS[[#This Row],[Large Provider Entity Code]]&amp;"; "&amp;R7472&amp;AS[[#This Row],[Age Band Code]]&amp;"; "&amp;S7472&amp;AS[[#This Row],[Sex Code]]</f>
        <v xml:space="preserve">Insurer Code ; Reporting Year ; Insurance Category Code ; Large Provider Entity Code ; Age Band Code ; Sex Code </v>
      </c>
      <c r="N7472" s="345" t="s">
        <v>207</v>
      </c>
      <c r="O7472" s="345" t="s">
        <v>208</v>
      </c>
      <c r="P7472" s="345" t="s">
        <v>209</v>
      </c>
      <c r="Q7472" s="345" t="s">
        <v>210</v>
      </c>
      <c r="R7472" s="345" t="s">
        <v>223</v>
      </c>
      <c r="S7472" s="345" t="s">
        <v>224</v>
      </c>
    </row>
    <row r="7473" spans="1:19" x14ac:dyDescent="0.25">
      <c r="A7473" s="311"/>
      <c r="B7473" s="312"/>
      <c r="C7473" s="312"/>
      <c r="D7473" s="312"/>
      <c r="E7473" s="312"/>
      <c r="F7473" s="312"/>
      <c r="G7473" s="328"/>
      <c r="H7473" s="453"/>
      <c r="I7473" s="334"/>
      <c r="J7473" s="314"/>
      <c r="K7473" s="454"/>
      <c r="M7473" s="349" t="str">
        <f>N7473&amp;AS[[#This Row],[Insurer Code]]&amp;"; "&amp;O7473&amp;AS[[#This Row],[Reporting Year]]&amp;"; "&amp;P7473&amp;AS[[#This Row],[Insurance Category Code]]&amp;"; "&amp;Q7473&amp;AS[[#This Row],[Large Provider Entity Code]]&amp;"; "&amp;R7473&amp;AS[[#This Row],[Age Band Code]]&amp;"; "&amp;S7473&amp;AS[[#This Row],[Sex Code]]</f>
        <v xml:space="preserve">Insurer Code ; Reporting Year ; Insurance Category Code ; Large Provider Entity Code ; Age Band Code ; Sex Code </v>
      </c>
      <c r="N7473" s="345" t="s">
        <v>207</v>
      </c>
      <c r="O7473" s="345" t="s">
        <v>208</v>
      </c>
      <c r="P7473" s="345" t="s">
        <v>209</v>
      </c>
      <c r="Q7473" s="345" t="s">
        <v>210</v>
      </c>
      <c r="R7473" s="345" t="s">
        <v>223</v>
      </c>
      <c r="S7473" s="345" t="s">
        <v>224</v>
      </c>
    </row>
    <row r="7474" spans="1:19" x14ac:dyDescent="0.25">
      <c r="A7474" s="311"/>
      <c r="B7474" s="312"/>
      <c r="C7474" s="312"/>
      <c r="D7474" s="312"/>
      <c r="E7474" s="312"/>
      <c r="F7474" s="312"/>
      <c r="G7474" s="328"/>
      <c r="H7474" s="453"/>
      <c r="I7474" s="334"/>
      <c r="J7474" s="314"/>
      <c r="K7474" s="454"/>
      <c r="M7474" s="349" t="str">
        <f>N7474&amp;AS[[#This Row],[Insurer Code]]&amp;"; "&amp;O7474&amp;AS[[#This Row],[Reporting Year]]&amp;"; "&amp;P7474&amp;AS[[#This Row],[Insurance Category Code]]&amp;"; "&amp;Q7474&amp;AS[[#This Row],[Large Provider Entity Code]]&amp;"; "&amp;R7474&amp;AS[[#This Row],[Age Band Code]]&amp;"; "&amp;S7474&amp;AS[[#This Row],[Sex Code]]</f>
        <v xml:space="preserve">Insurer Code ; Reporting Year ; Insurance Category Code ; Large Provider Entity Code ; Age Band Code ; Sex Code </v>
      </c>
      <c r="N7474" s="345" t="s">
        <v>207</v>
      </c>
      <c r="O7474" s="345" t="s">
        <v>208</v>
      </c>
      <c r="P7474" s="345" t="s">
        <v>209</v>
      </c>
      <c r="Q7474" s="345" t="s">
        <v>210</v>
      </c>
      <c r="R7474" s="345" t="s">
        <v>223</v>
      </c>
      <c r="S7474" s="345" t="s">
        <v>224</v>
      </c>
    </row>
    <row r="7475" spans="1:19" x14ac:dyDescent="0.25">
      <c r="A7475" s="311"/>
      <c r="B7475" s="312"/>
      <c r="C7475" s="312"/>
      <c r="D7475" s="312"/>
      <c r="E7475" s="312"/>
      <c r="F7475" s="312"/>
      <c r="G7475" s="328"/>
      <c r="H7475" s="453"/>
      <c r="I7475" s="334"/>
      <c r="J7475" s="314"/>
      <c r="K7475" s="454"/>
      <c r="M7475" s="349" t="str">
        <f>N7475&amp;AS[[#This Row],[Insurer Code]]&amp;"; "&amp;O7475&amp;AS[[#This Row],[Reporting Year]]&amp;"; "&amp;P7475&amp;AS[[#This Row],[Insurance Category Code]]&amp;"; "&amp;Q7475&amp;AS[[#This Row],[Large Provider Entity Code]]&amp;"; "&amp;R7475&amp;AS[[#This Row],[Age Band Code]]&amp;"; "&amp;S7475&amp;AS[[#This Row],[Sex Code]]</f>
        <v xml:space="preserve">Insurer Code ; Reporting Year ; Insurance Category Code ; Large Provider Entity Code ; Age Band Code ; Sex Code </v>
      </c>
      <c r="N7475" s="345" t="s">
        <v>207</v>
      </c>
      <c r="O7475" s="345" t="s">
        <v>208</v>
      </c>
      <c r="P7475" s="345" t="s">
        <v>209</v>
      </c>
      <c r="Q7475" s="345" t="s">
        <v>210</v>
      </c>
      <c r="R7475" s="345" t="s">
        <v>223</v>
      </c>
      <c r="S7475" s="345" t="s">
        <v>224</v>
      </c>
    </row>
    <row r="7476" spans="1:19" x14ac:dyDescent="0.25">
      <c r="A7476" s="311"/>
      <c r="B7476" s="312"/>
      <c r="C7476" s="312"/>
      <c r="D7476" s="312"/>
      <c r="E7476" s="312"/>
      <c r="F7476" s="312"/>
      <c r="G7476" s="328"/>
      <c r="H7476" s="453"/>
      <c r="I7476" s="334"/>
      <c r="J7476" s="314"/>
      <c r="K7476" s="454"/>
      <c r="M7476" s="349" t="str">
        <f>N7476&amp;AS[[#This Row],[Insurer Code]]&amp;"; "&amp;O7476&amp;AS[[#This Row],[Reporting Year]]&amp;"; "&amp;P7476&amp;AS[[#This Row],[Insurance Category Code]]&amp;"; "&amp;Q7476&amp;AS[[#This Row],[Large Provider Entity Code]]&amp;"; "&amp;R7476&amp;AS[[#This Row],[Age Band Code]]&amp;"; "&amp;S7476&amp;AS[[#This Row],[Sex Code]]</f>
        <v xml:space="preserve">Insurer Code ; Reporting Year ; Insurance Category Code ; Large Provider Entity Code ; Age Band Code ; Sex Code </v>
      </c>
      <c r="N7476" s="345" t="s">
        <v>207</v>
      </c>
      <c r="O7476" s="345" t="s">
        <v>208</v>
      </c>
      <c r="P7476" s="345" t="s">
        <v>209</v>
      </c>
      <c r="Q7476" s="345" t="s">
        <v>210</v>
      </c>
      <c r="R7476" s="345" t="s">
        <v>223</v>
      </c>
      <c r="S7476" s="345" t="s">
        <v>224</v>
      </c>
    </row>
    <row r="7477" spans="1:19" x14ac:dyDescent="0.25">
      <c r="A7477" s="311"/>
      <c r="B7477" s="312"/>
      <c r="C7477" s="312"/>
      <c r="D7477" s="312"/>
      <c r="E7477" s="312"/>
      <c r="F7477" s="312"/>
      <c r="G7477" s="328"/>
      <c r="H7477" s="453"/>
      <c r="I7477" s="334"/>
      <c r="J7477" s="314"/>
      <c r="K7477" s="454"/>
      <c r="M7477" s="349" t="str">
        <f>N7477&amp;AS[[#This Row],[Insurer Code]]&amp;"; "&amp;O7477&amp;AS[[#This Row],[Reporting Year]]&amp;"; "&amp;P7477&amp;AS[[#This Row],[Insurance Category Code]]&amp;"; "&amp;Q7477&amp;AS[[#This Row],[Large Provider Entity Code]]&amp;"; "&amp;R7477&amp;AS[[#This Row],[Age Band Code]]&amp;"; "&amp;S7477&amp;AS[[#This Row],[Sex Code]]</f>
        <v xml:space="preserve">Insurer Code ; Reporting Year ; Insurance Category Code ; Large Provider Entity Code ; Age Band Code ; Sex Code </v>
      </c>
      <c r="N7477" s="345" t="s">
        <v>207</v>
      </c>
      <c r="O7477" s="345" t="s">
        <v>208</v>
      </c>
      <c r="P7477" s="345" t="s">
        <v>209</v>
      </c>
      <c r="Q7477" s="345" t="s">
        <v>210</v>
      </c>
      <c r="R7477" s="345" t="s">
        <v>223</v>
      </c>
      <c r="S7477" s="345" t="s">
        <v>224</v>
      </c>
    </row>
    <row r="7478" spans="1:19" x14ac:dyDescent="0.25">
      <c r="A7478" s="311"/>
      <c r="B7478" s="312"/>
      <c r="C7478" s="312"/>
      <c r="D7478" s="312"/>
      <c r="E7478" s="312"/>
      <c r="F7478" s="312"/>
      <c r="G7478" s="328"/>
      <c r="H7478" s="453"/>
      <c r="I7478" s="334"/>
      <c r="J7478" s="314"/>
      <c r="K7478" s="454"/>
      <c r="M7478" s="349" t="str">
        <f>N7478&amp;AS[[#This Row],[Insurer Code]]&amp;"; "&amp;O7478&amp;AS[[#This Row],[Reporting Year]]&amp;"; "&amp;P7478&amp;AS[[#This Row],[Insurance Category Code]]&amp;"; "&amp;Q7478&amp;AS[[#This Row],[Large Provider Entity Code]]&amp;"; "&amp;R7478&amp;AS[[#This Row],[Age Band Code]]&amp;"; "&amp;S7478&amp;AS[[#This Row],[Sex Code]]</f>
        <v xml:space="preserve">Insurer Code ; Reporting Year ; Insurance Category Code ; Large Provider Entity Code ; Age Band Code ; Sex Code </v>
      </c>
      <c r="N7478" s="345" t="s">
        <v>207</v>
      </c>
      <c r="O7478" s="345" t="s">
        <v>208</v>
      </c>
      <c r="P7478" s="345" t="s">
        <v>209</v>
      </c>
      <c r="Q7478" s="345" t="s">
        <v>210</v>
      </c>
      <c r="R7478" s="345" t="s">
        <v>223</v>
      </c>
      <c r="S7478" s="345" t="s">
        <v>224</v>
      </c>
    </row>
    <row r="7479" spans="1:19" x14ac:dyDescent="0.25">
      <c r="A7479" s="311"/>
      <c r="B7479" s="312"/>
      <c r="C7479" s="312"/>
      <c r="D7479" s="312"/>
      <c r="E7479" s="312"/>
      <c r="F7479" s="312"/>
      <c r="G7479" s="328"/>
      <c r="H7479" s="453"/>
      <c r="I7479" s="334"/>
      <c r="J7479" s="314"/>
      <c r="K7479" s="454"/>
      <c r="M7479" s="349" t="str">
        <f>N7479&amp;AS[[#This Row],[Insurer Code]]&amp;"; "&amp;O7479&amp;AS[[#This Row],[Reporting Year]]&amp;"; "&amp;P7479&amp;AS[[#This Row],[Insurance Category Code]]&amp;"; "&amp;Q7479&amp;AS[[#This Row],[Large Provider Entity Code]]&amp;"; "&amp;R7479&amp;AS[[#This Row],[Age Band Code]]&amp;"; "&amp;S7479&amp;AS[[#This Row],[Sex Code]]</f>
        <v xml:space="preserve">Insurer Code ; Reporting Year ; Insurance Category Code ; Large Provider Entity Code ; Age Band Code ; Sex Code </v>
      </c>
      <c r="N7479" s="345" t="s">
        <v>207</v>
      </c>
      <c r="O7479" s="345" t="s">
        <v>208</v>
      </c>
      <c r="P7479" s="345" t="s">
        <v>209</v>
      </c>
      <c r="Q7479" s="345" t="s">
        <v>210</v>
      </c>
      <c r="R7479" s="345" t="s">
        <v>223</v>
      </c>
      <c r="S7479" s="345" t="s">
        <v>224</v>
      </c>
    </row>
    <row r="7480" spans="1:19" x14ac:dyDescent="0.25">
      <c r="A7480" s="311"/>
      <c r="B7480" s="312"/>
      <c r="C7480" s="312"/>
      <c r="D7480" s="312"/>
      <c r="E7480" s="312"/>
      <c r="F7480" s="312"/>
      <c r="G7480" s="328"/>
      <c r="H7480" s="453"/>
      <c r="I7480" s="334"/>
      <c r="J7480" s="314"/>
      <c r="K7480" s="454"/>
      <c r="M7480" s="349" t="str">
        <f>N7480&amp;AS[[#This Row],[Insurer Code]]&amp;"; "&amp;O7480&amp;AS[[#This Row],[Reporting Year]]&amp;"; "&amp;P7480&amp;AS[[#This Row],[Insurance Category Code]]&amp;"; "&amp;Q7480&amp;AS[[#This Row],[Large Provider Entity Code]]&amp;"; "&amp;R7480&amp;AS[[#This Row],[Age Band Code]]&amp;"; "&amp;S7480&amp;AS[[#This Row],[Sex Code]]</f>
        <v xml:space="preserve">Insurer Code ; Reporting Year ; Insurance Category Code ; Large Provider Entity Code ; Age Band Code ; Sex Code </v>
      </c>
      <c r="N7480" s="345" t="s">
        <v>207</v>
      </c>
      <c r="O7480" s="345" t="s">
        <v>208</v>
      </c>
      <c r="P7480" s="345" t="s">
        <v>209</v>
      </c>
      <c r="Q7480" s="345" t="s">
        <v>210</v>
      </c>
      <c r="R7480" s="345" t="s">
        <v>223</v>
      </c>
      <c r="S7480" s="345" t="s">
        <v>224</v>
      </c>
    </row>
    <row r="7481" spans="1:19" x14ac:dyDescent="0.25">
      <c r="A7481" s="311"/>
      <c r="B7481" s="312"/>
      <c r="C7481" s="312"/>
      <c r="D7481" s="312"/>
      <c r="E7481" s="312"/>
      <c r="F7481" s="312"/>
      <c r="G7481" s="328"/>
      <c r="H7481" s="453"/>
      <c r="I7481" s="334"/>
      <c r="J7481" s="314"/>
      <c r="K7481" s="454"/>
      <c r="M7481" s="349" t="str">
        <f>N7481&amp;AS[[#This Row],[Insurer Code]]&amp;"; "&amp;O7481&amp;AS[[#This Row],[Reporting Year]]&amp;"; "&amp;P7481&amp;AS[[#This Row],[Insurance Category Code]]&amp;"; "&amp;Q7481&amp;AS[[#This Row],[Large Provider Entity Code]]&amp;"; "&amp;R7481&amp;AS[[#This Row],[Age Band Code]]&amp;"; "&amp;S7481&amp;AS[[#This Row],[Sex Code]]</f>
        <v xml:space="preserve">Insurer Code ; Reporting Year ; Insurance Category Code ; Large Provider Entity Code ; Age Band Code ; Sex Code </v>
      </c>
      <c r="N7481" s="345" t="s">
        <v>207</v>
      </c>
      <c r="O7481" s="345" t="s">
        <v>208</v>
      </c>
      <c r="P7481" s="345" t="s">
        <v>209</v>
      </c>
      <c r="Q7481" s="345" t="s">
        <v>210</v>
      </c>
      <c r="R7481" s="345" t="s">
        <v>223</v>
      </c>
      <c r="S7481" s="345" t="s">
        <v>224</v>
      </c>
    </row>
    <row r="7482" spans="1:19" x14ac:dyDescent="0.25">
      <c r="A7482" s="311"/>
      <c r="B7482" s="312"/>
      <c r="C7482" s="312"/>
      <c r="D7482" s="312"/>
      <c r="E7482" s="312"/>
      <c r="F7482" s="312"/>
      <c r="G7482" s="328"/>
      <c r="H7482" s="453"/>
      <c r="I7482" s="334"/>
      <c r="J7482" s="314"/>
      <c r="K7482" s="454"/>
      <c r="M7482" s="349" t="str">
        <f>N7482&amp;AS[[#This Row],[Insurer Code]]&amp;"; "&amp;O7482&amp;AS[[#This Row],[Reporting Year]]&amp;"; "&amp;P7482&amp;AS[[#This Row],[Insurance Category Code]]&amp;"; "&amp;Q7482&amp;AS[[#This Row],[Large Provider Entity Code]]&amp;"; "&amp;R7482&amp;AS[[#This Row],[Age Band Code]]&amp;"; "&amp;S7482&amp;AS[[#This Row],[Sex Code]]</f>
        <v xml:space="preserve">Insurer Code ; Reporting Year ; Insurance Category Code ; Large Provider Entity Code ; Age Band Code ; Sex Code </v>
      </c>
      <c r="N7482" s="345" t="s">
        <v>207</v>
      </c>
      <c r="O7482" s="345" t="s">
        <v>208</v>
      </c>
      <c r="P7482" s="345" t="s">
        <v>209</v>
      </c>
      <c r="Q7482" s="345" t="s">
        <v>210</v>
      </c>
      <c r="R7482" s="345" t="s">
        <v>223</v>
      </c>
      <c r="S7482" s="345" t="s">
        <v>224</v>
      </c>
    </row>
    <row r="7483" spans="1:19" x14ac:dyDescent="0.25">
      <c r="A7483" s="311"/>
      <c r="B7483" s="312"/>
      <c r="C7483" s="312"/>
      <c r="D7483" s="312"/>
      <c r="E7483" s="312"/>
      <c r="F7483" s="312"/>
      <c r="G7483" s="328"/>
      <c r="H7483" s="453"/>
      <c r="I7483" s="334"/>
      <c r="J7483" s="314"/>
      <c r="K7483" s="454"/>
      <c r="M7483" s="349" t="str">
        <f>N7483&amp;AS[[#This Row],[Insurer Code]]&amp;"; "&amp;O7483&amp;AS[[#This Row],[Reporting Year]]&amp;"; "&amp;P7483&amp;AS[[#This Row],[Insurance Category Code]]&amp;"; "&amp;Q7483&amp;AS[[#This Row],[Large Provider Entity Code]]&amp;"; "&amp;R7483&amp;AS[[#This Row],[Age Band Code]]&amp;"; "&amp;S7483&amp;AS[[#This Row],[Sex Code]]</f>
        <v xml:space="preserve">Insurer Code ; Reporting Year ; Insurance Category Code ; Large Provider Entity Code ; Age Band Code ; Sex Code </v>
      </c>
      <c r="N7483" s="345" t="s">
        <v>207</v>
      </c>
      <c r="O7483" s="345" t="s">
        <v>208</v>
      </c>
      <c r="P7483" s="345" t="s">
        <v>209</v>
      </c>
      <c r="Q7483" s="345" t="s">
        <v>210</v>
      </c>
      <c r="R7483" s="345" t="s">
        <v>223</v>
      </c>
      <c r="S7483" s="345" t="s">
        <v>224</v>
      </c>
    </row>
    <row r="7484" spans="1:19" x14ac:dyDescent="0.25">
      <c r="A7484" s="311"/>
      <c r="B7484" s="312"/>
      <c r="C7484" s="312"/>
      <c r="D7484" s="312"/>
      <c r="E7484" s="312"/>
      <c r="F7484" s="312"/>
      <c r="G7484" s="328"/>
      <c r="H7484" s="453"/>
      <c r="I7484" s="334"/>
      <c r="J7484" s="314"/>
      <c r="K7484" s="454"/>
      <c r="M7484" s="349" t="str">
        <f>N7484&amp;AS[[#This Row],[Insurer Code]]&amp;"; "&amp;O7484&amp;AS[[#This Row],[Reporting Year]]&amp;"; "&amp;P7484&amp;AS[[#This Row],[Insurance Category Code]]&amp;"; "&amp;Q7484&amp;AS[[#This Row],[Large Provider Entity Code]]&amp;"; "&amp;R7484&amp;AS[[#This Row],[Age Band Code]]&amp;"; "&amp;S7484&amp;AS[[#This Row],[Sex Code]]</f>
        <v xml:space="preserve">Insurer Code ; Reporting Year ; Insurance Category Code ; Large Provider Entity Code ; Age Band Code ; Sex Code </v>
      </c>
      <c r="N7484" s="345" t="s">
        <v>207</v>
      </c>
      <c r="O7484" s="345" t="s">
        <v>208</v>
      </c>
      <c r="P7484" s="345" t="s">
        <v>209</v>
      </c>
      <c r="Q7484" s="345" t="s">
        <v>210</v>
      </c>
      <c r="R7484" s="345" t="s">
        <v>223</v>
      </c>
      <c r="S7484" s="345" t="s">
        <v>224</v>
      </c>
    </row>
    <row r="7485" spans="1:19" x14ac:dyDescent="0.25">
      <c r="A7485" s="311"/>
      <c r="B7485" s="312"/>
      <c r="C7485" s="312"/>
      <c r="D7485" s="312"/>
      <c r="E7485" s="312"/>
      <c r="F7485" s="312"/>
      <c r="G7485" s="328"/>
      <c r="H7485" s="453"/>
      <c r="I7485" s="334"/>
      <c r="J7485" s="314"/>
      <c r="K7485" s="454"/>
      <c r="M7485" s="349" t="str">
        <f>N7485&amp;AS[[#This Row],[Insurer Code]]&amp;"; "&amp;O7485&amp;AS[[#This Row],[Reporting Year]]&amp;"; "&amp;P7485&amp;AS[[#This Row],[Insurance Category Code]]&amp;"; "&amp;Q7485&amp;AS[[#This Row],[Large Provider Entity Code]]&amp;"; "&amp;R7485&amp;AS[[#This Row],[Age Band Code]]&amp;"; "&amp;S7485&amp;AS[[#This Row],[Sex Code]]</f>
        <v xml:space="preserve">Insurer Code ; Reporting Year ; Insurance Category Code ; Large Provider Entity Code ; Age Band Code ; Sex Code </v>
      </c>
      <c r="N7485" s="345" t="s">
        <v>207</v>
      </c>
      <c r="O7485" s="345" t="s">
        <v>208</v>
      </c>
      <c r="P7485" s="345" t="s">
        <v>209</v>
      </c>
      <c r="Q7485" s="345" t="s">
        <v>210</v>
      </c>
      <c r="R7485" s="345" t="s">
        <v>223</v>
      </c>
      <c r="S7485" s="345" t="s">
        <v>224</v>
      </c>
    </row>
    <row r="7486" spans="1:19" x14ac:dyDescent="0.25">
      <c r="A7486" s="311"/>
      <c r="B7486" s="312"/>
      <c r="C7486" s="312"/>
      <c r="D7486" s="312"/>
      <c r="E7486" s="312"/>
      <c r="F7486" s="312"/>
      <c r="G7486" s="328"/>
      <c r="H7486" s="453"/>
      <c r="I7486" s="334"/>
      <c r="J7486" s="314"/>
      <c r="K7486" s="454"/>
      <c r="M7486" s="349" t="str">
        <f>N7486&amp;AS[[#This Row],[Insurer Code]]&amp;"; "&amp;O7486&amp;AS[[#This Row],[Reporting Year]]&amp;"; "&amp;P7486&amp;AS[[#This Row],[Insurance Category Code]]&amp;"; "&amp;Q7486&amp;AS[[#This Row],[Large Provider Entity Code]]&amp;"; "&amp;R7486&amp;AS[[#This Row],[Age Band Code]]&amp;"; "&amp;S7486&amp;AS[[#This Row],[Sex Code]]</f>
        <v xml:space="preserve">Insurer Code ; Reporting Year ; Insurance Category Code ; Large Provider Entity Code ; Age Band Code ; Sex Code </v>
      </c>
      <c r="N7486" s="345" t="s">
        <v>207</v>
      </c>
      <c r="O7486" s="345" t="s">
        <v>208</v>
      </c>
      <c r="P7486" s="345" t="s">
        <v>209</v>
      </c>
      <c r="Q7486" s="345" t="s">
        <v>210</v>
      </c>
      <c r="R7486" s="345" t="s">
        <v>223</v>
      </c>
      <c r="S7486" s="345" t="s">
        <v>224</v>
      </c>
    </row>
    <row r="7487" spans="1:19" x14ac:dyDescent="0.25">
      <c r="A7487" s="311"/>
      <c r="B7487" s="312"/>
      <c r="C7487" s="312"/>
      <c r="D7487" s="312"/>
      <c r="E7487" s="312"/>
      <c r="F7487" s="312"/>
      <c r="G7487" s="328"/>
      <c r="H7487" s="453"/>
      <c r="I7487" s="334"/>
      <c r="J7487" s="314"/>
      <c r="K7487" s="454"/>
      <c r="M7487" s="349" t="str">
        <f>N7487&amp;AS[[#This Row],[Insurer Code]]&amp;"; "&amp;O7487&amp;AS[[#This Row],[Reporting Year]]&amp;"; "&amp;P7487&amp;AS[[#This Row],[Insurance Category Code]]&amp;"; "&amp;Q7487&amp;AS[[#This Row],[Large Provider Entity Code]]&amp;"; "&amp;R7487&amp;AS[[#This Row],[Age Band Code]]&amp;"; "&amp;S7487&amp;AS[[#This Row],[Sex Code]]</f>
        <v xml:space="preserve">Insurer Code ; Reporting Year ; Insurance Category Code ; Large Provider Entity Code ; Age Band Code ; Sex Code </v>
      </c>
      <c r="N7487" s="345" t="s">
        <v>207</v>
      </c>
      <c r="O7487" s="345" t="s">
        <v>208</v>
      </c>
      <c r="P7487" s="345" t="s">
        <v>209</v>
      </c>
      <c r="Q7487" s="345" t="s">
        <v>210</v>
      </c>
      <c r="R7487" s="345" t="s">
        <v>223</v>
      </c>
      <c r="S7487" s="345" t="s">
        <v>224</v>
      </c>
    </row>
    <row r="7488" spans="1:19" x14ac:dyDescent="0.25">
      <c r="A7488" s="311"/>
      <c r="B7488" s="312"/>
      <c r="C7488" s="312"/>
      <c r="D7488" s="312"/>
      <c r="E7488" s="312"/>
      <c r="F7488" s="312"/>
      <c r="G7488" s="328"/>
      <c r="H7488" s="453"/>
      <c r="I7488" s="334"/>
      <c r="J7488" s="314"/>
      <c r="K7488" s="454"/>
      <c r="M7488" s="349" t="str">
        <f>N7488&amp;AS[[#This Row],[Insurer Code]]&amp;"; "&amp;O7488&amp;AS[[#This Row],[Reporting Year]]&amp;"; "&amp;P7488&amp;AS[[#This Row],[Insurance Category Code]]&amp;"; "&amp;Q7488&amp;AS[[#This Row],[Large Provider Entity Code]]&amp;"; "&amp;R7488&amp;AS[[#This Row],[Age Band Code]]&amp;"; "&amp;S7488&amp;AS[[#This Row],[Sex Code]]</f>
        <v xml:space="preserve">Insurer Code ; Reporting Year ; Insurance Category Code ; Large Provider Entity Code ; Age Band Code ; Sex Code </v>
      </c>
      <c r="N7488" s="345" t="s">
        <v>207</v>
      </c>
      <c r="O7488" s="345" t="s">
        <v>208</v>
      </c>
      <c r="P7488" s="345" t="s">
        <v>209</v>
      </c>
      <c r="Q7488" s="345" t="s">
        <v>210</v>
      </c>
      <c r="R7488" s="345" t="s">
        <v>223</v>
      </c>
      <c r="S7488" s="345" t="s">
        <v>224</v>
      </c>
    </row>
    <row r="7489" spans="1:19" x14ac:dyDescent="0.25">
      <c r="A7489" s="311"/>
      <c r="B7489" s="312"/>
      <c r="C7489" s="312"/>
      <c r="D7489" s="312"/>
      <c r="E7489" s="312"/>
      <c r="F7489" s="312"/>
      <c r="G7489" s="328"/>
      <c r="H7489" s="453"/>
      <c r="I7489" s="334"/>
      <c r="J7489" s="314"/>
      <c r="K7489" s="454"/>
      <c r="M7489" s="349" t="str">
        <f>N7489&amp;AS[[#This Row],[Insurer Code]]&amp;"; "&amp;O7489&amp;AS[[#This Row],[Reporting Year]]&amp;"; "&amp;P7489&amp;AS[[#This Row],[Insurance Category Code]]&amp;"; "&amp;Q7489&amp;AS[[#This Row],[Large Provider Entity Code]]&amp;"; "&amp;R7489&amp;AS[[#This Row],[Age Band Code]]&amp;"; "&amp;S7489&amp;AS[[#This Row],[Sex Code]]</f>
        <v xml:space="preserve">Insurer Code ; Reporting Year ; Insurance Category Code ; Large Provider Entity Code ; Age Band Code ; Sex Code </v>
      </c>
      <c r="N7489" s="345" t="s">
        <v>207</v>
      </c>
      <c r="O7489" s="345" t="s">
        <v>208</v>
      </c>
      <c r="P7489" s="345" t="s">
        <v>209</v>
      </c>
      <c r="Q7489" s="345" t="s">
        <v>210</v>
      </c>
      <c r="R7489" s="345" t="s">
        <v>223</v>
      </c>
      <c r="S7489" s="345" t="s">
        <v>224</v>
      </c>
    </row>
    <row r="7490" spans="1:19" x14ac:dyDescent="0.25">
      <c r="A7490" s="311"/>
      <c r="B7490" s="312"/>
      <c r="C7490" s="312"/>
      <c r="D7490" s="312"/>
      <c r="E7490" s="312"/>
      <c r="F7490" s="312"/>
      <c r="G7490" s="328"/>
      <c r="H7490" s="453"/>
      <c r="I7490" s="334"/>
      <c r="J7490" s="314"/>
      <c r="K7490" s="454"/>
      <c r="M7490" s="349" t="str">
        <f>N7490&amp;AS[[#This Row],[Insurer Code]]&amp;"; "&amp;O7490&amp;AS[[#This Row],[Reporting Year]]&amp;"; "&amp;P7490&amp;AS[[#This Row],[Insurance Category Code]]&amp;"; "&amp;Q7490&amp;AS[[#This Row],[Large Provider Entity Code]]&amp;"; "&amp;R7490&amp;AS[[#This Row],[Age Band Code]]&amp;"; "&amp;S7490&amp;AS[[#This Row],[Sex Code]]</f>
        <v xml:space="preserve">Insurer Code ; Reporting Year ; Insurance Category Code ; Large Provider Entity Code ; Age Band Code ; Sex Code </v>
      </c>
      <c r="N7490" s="345" t="s">
        <v>207</v>
      </c>
      <c r="O7490" s="345" t="s">
        <v>208</v>
      </c>
      <c r="P7490" s="345" t="s">
        <v>209</v>
      </c>
      <c r="Q7490" s="345" t="s">
        <v>210</v>
      </c>
      <c r="R7490" s="345" t="s">
        <v>223</v>
      </c>
      <c r="S7490" s="345" t="s">
        <v>224</v>
      </c>
    </row>
    <row r="7491" spans="1:19" x14ac:dyDescent="0.25">
      <c r="A7491" s="311"/>
      <c r="B7491" s="312"/>
      <c r="C7491" s="312"/>
      <c r="D7491" s="312"/>
      <c r="E7491" s="312"/>
      <c r="F7491" s="312"/>
      <c r="G7491" s="328"/>
      <c r="H7491" s="453"/>
      <c r="I7491" s="334"/>
      <c r="J7491" s="314"/>
      <c r="K7491" s="454"/>
      <c r="M7491" s="349" t="str">
        <f>N7491&amp;AS[[#This Row],[Insurer Code]]&amp;"; "&amp;O7491&amp;AS[[#This Row],[Reporting Year]]&amp;"; "&amp;P7491&amp;AS[[#This Row],[Insurance Category Code]]&amp;"; "&amp;Q7491&amp;AS[[#This Row],[Large Provider Entity Code]]&amp;"; "&amp;R7491&amp;AS[[#This Row],[Age Band Code]]&amp;"; "&amp;S7491&amp;AS[[#This Row],[Sex Code]]</f>
        <v xml:space="preserve">Insurer Code ; Reporting Year ; Insurance Category Code ; Large Provider Entity Code ; Age Band Code ; Sex Code </v>
      </c>
      <c r="N7491" s="345" t="s">
        <v>207</v>
      </c>
      <c r="O7491" s="345" t="s">
        <v>208</v>
      </c>
      <c r="P7491" s="345" t="s">
        <v>209</v>
      </c>
      <c r="Q7491" s="345" t="s">
        <v>210</v>
      </c>
      <c r="R7491" s="345" t="s">
        <v>223</v>
      </c>
      <c r="S7491" s="345" t="s">
        <v>224</v>
      </c>
    </row>
    <row r="7492" spans="1:19" x14ac:dyDescent="0.25">
      <c r="A7492" s="311"/>
      <c r="B7492" s="312"/>
      <c r="C7492" s="312"/>
      <c r="D7492" s="312"/>
      <c r="E7492" s="312"/>
      <c r="F7492" s="312"/>
      <c r="G7492" s="328"/>
      <c r="H7492" s="453"/>
      <c r="I7492" s="334"/>
      <c r="J7492" s="314"/>
      <c r="K7492" s="454"/>
      <c r="M7492" s="349" t="str">
        <f>N7492&amp;AS[[#This Row],[Insurer Code]]&amp;"; "&amp;O7492&amp;AS[[#This Row],[Reporting Year]]&amp;"; "&amp;P7492&amp;AS[[#This Row],[Insurance Category Code]]&amp;"; "&amp;Q7492&amp;AS[[#This Row],[Large Provider Entity Code]]&amp;"; "&amp;R7492&amp;AS[[#This Row],[Age Band Code]]&amp;"; "&amp;S7492&amp;AS[[#This Row],[Sex Code]]</f>
        <v xml:space="preserve">Insurer Code ; Reporting Year ; Insurance Category Code ; Large Provider Entity Code ; Age Band Code ; Sex Code </v>
      </c>
      <c r="N7492" s="345" t="s">
        <v>207</v>
      </c>
      <c r="O7492" s="345" t="s">
        <v>208</v>
      </c>
      <c r="P7492" s="345" t="s">
        <v>209</v>
      </c>
      <c r="Q7492" s="345" t="s">
        <v>210</v>
      </c>
      <c r="R7492" s="345" t="s">
        <v>223</v>
      </c>
      <c r="S7492" s="345" t="s">
        <v>224</v>
      </c>
    </row>
    <row r="7493" spans="1:19" x14ac:dyDescent="0.25">
      <c r="A7493" s="311"/>
      <c r="B7493" s="312"/>
      <c r="C7493" s="312"/>
      <c r="D7493" s="312"/>
      <c r="E7493" s="312"/>
      <c r="F7493" s="312"/>
      <c r="G7493" s="328"/>
      <c r="H7493" s="453"/>
      <c r="I7493" s="334"/>
      <c r="J7493" s="314"/>
      <c r="K7493" s="454"/>
      <c r="M7493" s="349" t="str">
        <f>N7493&amp;AS[[#This Row],[Insurer Code]]&amp;"; "&amp;O7493&amp;AS[[#This Row],[Reporting Year]]&amp;"; "&amp;P7493&amp;AS[[#This Row],[Insurance Category Code]]&amp;"; "&amp;Q7493&amp;AS[[#This Row],[Large Provider Entity Code]]&amp;"; "&amp;R7493&amp;AS[[#This Row],[Age Band Code]]&amp;"; "&amp;S7493&amp;AS[[#This Row],[Sex Code]]</f>
        <v xml:space="preserve">Insurer Code ; Reporting Year ; Insurance Category Code ; Large Provider Entity Code ; Age Band Code ; Sex Code </v>
      </c>
      <c r="N7493" s="345" t="s">
        <v>207</v>
      </c>
      <c r="O7493" s="345" t="s">
        <v>208</v>
      </c>
      <c r="P7493" s="345" t="s">
        <v>209</v>
      </c>
      <c r="Q7493" s="345" t="s">
        <v>210</v>
      </c>
      <c r="R7493" s="345" t="s">
        <v>223</v>
      </c>
      <c r="S7493" s="345" t="s">
        <v>224</v>
      </c>
    </row>
    <row r="7494" spans="1:19" x14ac:dyDescent="0.25">
      <c r="A7494" s="311"/>
      <c r="B7494" s="312"/>
      <c r="C7494" s="312"/>
      <c r="D7494" s="312"/>
      <c r="E7494" s="312"/>
      <c r="F7494" s="312"/>
      <c r="G7494" s="328"/>
      <c r="H7494" s="453"/>
      <c r="I7494" s="334"/>
      <c r="J7494" s="314"/>
      <c r="K7494" s="454"/>
      <c r="M7494" s="349" t="str">
        <f>N7494&amp;AS[[#This Row],[Insurer Code]]&amp;"; "&amp;O7494&amp;AS[[#This Row],[Reporting Year]]&amp;"; "&amp;P7494&amp;AS[[#This Row],[Insurance Category Code]]&amp;"; "&amp;Q7494&amp;AS[[#This Row],[Large Provider Entity Code]]&amp;"; "&amp;R7494&amp;AS[[#This Row],[Age Band Code]]&amp;"; "&amp;S7494&amp;AS[[#This Row],[Sex Code]]</f>
        <v xml:space="preserve">Insurer Code ; Reporting Year ; Insurance Category Code ; Large Provider Entity Code ; Age Band Code ; Sex Code </v>
      </c>
      <c r="N7494" s="345" t="s">
        <v>207</v>
      </c>
      <c r="O7494" s="345" t="s">
        <v>208</v>
      </c>
      <c r="P7494" s="345" t="s">
        <v>209</v>
      </c>
      <c r="Q7494" s="345" t="s">
        <v>210</v>
      </c>
      <c r="R7494" s="345" t="s">
        <v>223</v>
      </c>
      <c r="S7494" s="345" t="s">
        <v>224</v>
      </c>
    </row>
    <row r="7495" spans="1:19" x14ac:dyDescent="0.25">
      <c r="A7495" s="311"/>
      <c r="B7495" s="312"/>
      <c r="C7495" s="312"/>
      <c r="D7495" s="312"/>
      <c r="E7495" s="312"/>
      <c r="F7495" s="312"/>
      <c r="G7495" s="328"/>
      <c r="H7495" s="453"/>
      <c r="I7495" s="334"/>
      <c r="J7495" s="314"/>
      <c r="K7495" s="454"/>
      <c r="M7495" s="349" t="str">
        <f>N7495&amp;AS[[#This Row],[Insurer Code]]&amp;"; "&amp;O7495&amp;AS[[#This Row],[Reporting Year]]&amp;"; "&amp;P7495&amp;AS[[#This Row],[Insurance Category Code]]&amp;"; "&amp;Q7495&amp;AS[[#This Row],[Large Provider Entity Code]]&amp;"; "&amp;R7495&amp;AS[[#This Row],[Age Band Code]]&amp;"; "&amp;S7495&amp;AS[[#This Row],[Sex Code]]</f>
        <v xml:space="preserve">Insurer Code ; Reporting Year ; Insurance Category Code ; Large Provider Entity Code ; Age Band Code ; Sex Code </v>
      </c>
      <c r="N7495" s="345" t="s">
        <v>207</v>
      </c>
      <c r="O7495" s="345" t="s">
        <v>208</v>
      </c>
      <c r="P7495" s="345" t="s">
        <v>209</v>
      </c>
      <c r="Q7495" s="345" t="s">
        <v>210</v>
      </c>
      <c r="R7495" s="345" t="s">
        <v>223</v>
      </c>
      <c r="S7495" s="345" t="s">
        <v>224</v>
      </c>
    </row>
    <row r="7496" spans="1:19" x14ac:dyDescent="0.25">
      <c r="A7496" s="311"/>
      <c r="B7496" s="312"/>
      <c r="C7496" s="312"/>
      <c r="D7496" s="312"/>
      <c r="E7496" s="312"/>
      <c r="F7496" s="312"/>
      <c r="G7496" s="328"/>
      <c r="H7496" s="453"/>
      <c r="I7496" s="334"/>
      <c r="J7496" s="314"/>
      <c r="K7496" s="454"/>
      <c r="M7496" s="349" t="str">
        <f>N7496&amp;AS[[#This Row],[Insurer Code]]&amp;"; "&amp;O7496&amp;AS[[#This Row],[Reporting Year]]&amp;"; "&amp;P7496&amp;AS[[#This Row],[Insurance Category Code]]&amp;"; "&amp;Q7496&amp;AS[[#This Row],[Large Provider Entity Code]]&amp;"; "&amp;R7496&amp;AS[[#This Row],[Age Band Code]]&amp;"; "&amp;S7496&amp;AS[[#This Row],[Sex Code]]</f>
        <v xml:space="preserve">Insurer Code ; Reporting Year ; Insurance Category Code ; Large Provider Entity Code ; Age Band Code ; Sex Code </v>
      </c>
      <c r="N7496" s="345" t="s">
        <v>207</v>
      </c>
      <c r="O7496" s="345" t="s">
        <v>208</v>
      </c>
      <c r="P7496" s="345" t="s">
        <v>209</v>
      </c>
      <c r="Q7496" s="345" t="s">
        <v>210</v>
      </c>
      <c r="R7496" s="345" t="s">
        <v>223</v>
      </c>
      <c r="S7496" s="345" t="s">
        <v>224</v>
      </c>
    </row>
    <row r="7497" spans="1:19" x14ac:dyDescent="0.25">
      <c r="A7497" s="311"/>
      <c r="B7497" s="312"/>
      <c r="C7497" s="312"/>
      <c r="D7497" s="312"/>
      <c r="E7497" s="312"/>
      <c r="F7497" s="312"/>
      <c r="G7497" s="328"/>
      <c r="H7497" s="453"/>
      <c r="I7497" s="334"/>
      <c r="J7497" s="314"/>
      <c r="K7497" s="454"/>
      <c r="M7497" s="349" t="str">
        <f>N7497&amp;AS[[#This Row],[Insurer Code]]&amp;"; "&amp;O7497&amp;AS[[#This Row],[Reporting Year]]&amp;"; "&amp;P7497&amp;AS[[#This Row],[Insurance Category Code]]&amp;"; "&amp;Q7497&amp;AS[[#This Row],[Large Provider Entity Code]]&amp;"; "&amp;R7497&amp;AS[[#This Row],[Age Band Code]]&amp;"; "&amp;S7497&amp;AS[[#This Row],[Sex Code]]</f>
        <v xml:space="preserve">Insurer Code ; Reporting Year ; Insurance Category Code ; Large Provider Entity Code ; Age Band Code ; Sex Code </v>
      </c>
      <c r="N7497" s="345" t="s">
        <v>207</v>
      </c>
      <c r="O7497" s="345" t="s">
        <v>208</v>
      </c>
      <c r="P7497" s="345" t="s">
        <v>209</v>
      </c>
      <c r="Q7497" s="345" t="s">
        <v>210</v>
      </c>
      <c r="R7497" s="345" t="s">
        <v>223</v>
      </c>
      <c r="S7497" s="345" t="s">
        <v>224</v>
      </c>
    </row>
    <row r="7498" spans="1:19" x14ac:dyDescent="0.25">
      <c r="A7498" s="311"/>
      <c r="B7498" s="312"/>
      <c r="C7498" s="312"/>
      <c r="D7498" s="312"/>
      <c r="E7498" s="312"/>
      <c r="F7498" s="312"/>
      <c r="G7498" s="328"/>
      <c r="H7498" s="453"/>
      <c r="I7498" s="334"/>
      <c r="J7498" s="314"/>
      <c r="K7498" s="454"/>
      <c r="M7498" s="349" t="str">
        <f>N7498&amp;AS[[#This Row],[Insurer Code]]&amp;"; "&amp;O7498&amp;AS[[#This Row],[Reporting Year]]&amp;"; "&amp;P7498&amp;AS[[#This Row],[Insurance Category Code]]&amp;"; "&amp;Q7498&amp;AS[[#This Row],[Large Provider Entity Code]]&amp;"; "&amp;R7498&amp;AS[[#This Row],[Age Band Code]]&amp;"; "&amp;S7498&amp;AS[[#This Row],[Sex Code]]</f>
        <v xml:space="preserve">Insurer Code ; Reporting Year ; Insurance Category Code ; Large Provider Entity Code ; Age Band Code ; Sex Code </v>
      </c>
      <c r="N7498" s="345" t="s">
        <v>207</v>
      </c>
      <c r="O7498" s="345" t="s">
        <v>208</v>
      </c>
      <c r="P7498" s="345" t="s">
        <v>209</v>
      </c>
      <c r="Q7498" s="345" t="s">
        <v>210</v>
      </c>
      <c r="R7498" s="345" t="s">
        <v>223</v>
      </c>
      <c r="S7498" s="345" t="s">
        <v>224</v>
      </c>
    </row>
    <row r="7499" spans="1:19" x14ac:dyDescent="0.25">
      <c r="A7499" s="311"/>
      <c r="B7499" s="312"/>
      <c r="C7499" s="312"/>
      <c r="D7499" s="312"/>
      <c r="E7499" s="312"/>
      <c r="F7499" s="312"/>
      <c r="G7499" s="328"/>
      <c r="H7499" s="453"/>
      <c r="I7499" s="334"/>
      <c r="J7499" s="314"/>
      <c r="K7499" s="454"/>
      <c r="M7499" s="349" t="str">
        <f>N7499&amp;AS[[#This Row],[Insurer Code]]&amp;"; "&amp;O7499&amp;AS[[#This Row],[Reporting Year]]&amp;"; "&amp;P7499&amp;AS[[#This Row],[Insurance Category Code]]&amp;"; "&amp;Q7499&amp;AS[[#This Row],[Large Provider Entity Code]]&amp;"; "&amp;R7499&amp;AS[[#This Row],[Age Band Code]]&amp;"; "&amp;S7499&amp;AS[[#This Row],[Sex Code]]</f>
        <v xml:space="preserve">Insurer Code ; Reporting Year ; Insurance Category Code ; Large Provider Entity Code ; Age Band Code ; Sex Code </v>
      </c>
      <c r="N7499" s="345" t="s">
        <v>207</v>
      </c>
      <c r="O7499" s="345" t="s">
        <v>208</v>
      </c>
      <c r="P7499" s="345" t="s">
        <v>209</v>
      </c>
      <c r="Q7499" s="345" t="s">
        <v>210</v>
      </c>
      <c r="R7499" s="345" t="s">
        <v>223</v>
      </c>
      <c r="S7499" s="345" t="s">
        <v>224</v>
      </c>
    </row>
    <row r="7500" spans="1:19" x14ac:dyDescent="0.25">
      <c r="A7500" s="311"/>
      <c r="B7500" s="312"/>
      <c r="C7500" s="312"/>
      <c r="D7500" s="312"/>
      <c r="E7500" s="312"/>
      <c r="F7500" s="312"/>
      <c r="G7500" s="328"/>
      <c r="H7500" s="453"/>
      <c r="I7500" s="334"/>
      <c r="J7500" s="314"/>
      <c r="K7500" s="454"/>
      <c r="M7500" s="349" t="str">
        <f>N7500&amp;AS[[#This Row],[Insurer Code]]&amp;"; "&amp;O7500&amp;AS[[#This Row],[Reporting Year]]&amp;"; "&amp;P7500&amp;AS[[#This Row],[Insurance Category Code]]&amp;"; "&amp;Q7500&amp;AS[[#This Row],[Large Provider Entity Code]]&amp;"; "&amp;R7500&amp;AS[[#This Row],[Age Band Code]]&amp;"; "&amp;S7500&amp;AS[[#This Row],[Sex Code]]</f>
        <v xml:space="preserve">Insurer Code ; Reporting Year ; Insurance Category Code ; Large Provider Entity Code ; Age Band Code ; Sex Code </v>
      </c>
      <c r="N7500" s="345" t="s">
        <v>207</v>
      </c>
      <c r="O7500" s="345" t="s">
        <v>208</v>
      </c>
      <c r="P7500" s="345" t="s">
        <v>209</v>
      </c>
      <c r="Q7500" s="345" t="s">
        <v>210</v>
      </c>
      <c r="R7500" s="345" t="s">
        <v>223</v>
      </c>
      <c r="S7500" s="345" t="s">
        <v>224</v>
      </c>
    </row>
    <row r="7501" spans="1:19" x14ac:dyDescent="0.25">
      <c r="A7501" s="311"/>
      <c r="B7501" s="312"/>
      <c r="C7501" s="312"/>
      <c r="D7501" s="312"/>
      <c r="E7501" s="312"/>
      <c r="F7501" s="312"/>
      <c r="G7501" s="328"/>
      <c r="H7501" s="453"/>
      <c r="I7501" s="334"/>
      <c r="J7501" s="314"/>
      <c r="K7501" s="454"/>
      <c r="M7501" s="349" t="str">
        <f>N7501&amp;AS[[#This Row],[Insurer Code]]&amp;"; "&amp;O7501&amp;AS[[#This Row],[Reporting Year]]&amp;"; "&amp;P7501&amp;AS[[#This Row],[Insurance Category Code]]&amp;"; "&amp;Q7501&amp;AS[[#This Row],[Large Provider Entity Code]]&amp;"; "&amp;R7501&amp;AS[[#This Row],[Age Band Code]]&amp;"; "&amp;S7501&amp;AS[[#This Row],[Sex Code]]</f>
        <v xml:space="preserve">Insurer Code ; Reporting Year ; Insurance Category Code ; Large Provider Entity Code ; Age Band Code ; Sex Code </v>
      </c>
      <c r="N7501" s="345" t="s">
        <v>207</v>
      </c>
      <c r="O7501" s="345" t="s">
        <v>208</v>
      </c>
      <c r="P7501" s="345" t="s">
        <v>209</v>
      </c>
      <c r="Q7501" s="345" t="s">
        <v>210</v>
      </c>
      <c r="R7501" s="345" t="s">
        <v>223</v>
      </c>
      <c r="S7501" s="345" t="s">
        <v>224</v>
      </c>
    </row>
    <row r="7502" spans="1:19" x14ac:dyDescent="0.25">
      <c r="A7502" s="311"/>
      <c r="B7502" s="312"/>
      <c r="C7502" s="312"/>
      <c r="D7502" s="312"/>
      <c r="E7502" s="312"/>
      <c r="F7502" s="312"/>
      <c r="G7502" s="328"/>
      <c r="H7502" s="453"/>
      <c r="I7502" s="334"/>
      <c r="J7502" s="314"/>
      <c r="K7502" s="454"/>
      <c r="M7502" s="349" t="str">
        <f>N7502&amp;AS[[#This Row],[Insurer Code]]&amp;"; "&amp;O7502&amp;AS[[#This Row],[Reporting Year]]&amp;"; "&amp;P7502&amp;AS[[#This Row],[Insurance Category Code]]&amp;"; "&amp;Q7502&amp;AS[[#This Row],[Large Provider Entity Code]]&amp;"; "&amp;R7502&amp;AS[[#This Row],[Age Band Code]]&amp;"; "&amp;S7502&amp;AS[[#This Row],[Sex Code]]</f>
        <v xml:space="preserve">Insurer Code ; Reporting Year ; Insurance Category Code ; Large Provider Entity Code ; Age Band Code ; Sex Code </v>
      </c>
      <c r="N7502" s="345" t="s">
        <v>207</v>
      </c>
      <c r="O7502" s="345" t="s">
        <v>208</v>
      </c>
      <c r="P7502" s="345" t="s">
        <v>209</v>
      </c>
      <c r="Q7502" s="345" t="s">
        <v>210</v>
      </c>
      <c r="R7502" s="345" t="s">
        <v>223</v>
      </c>
      <c r="S7502" s="345" t="s">
        <v>224</v>
      </c>
    </row>
    <row r="7503" spans="1:19" x14ac:dyDescent="0.25">
      <c r="A7503" s="311"/>
      <c r="B7503" s="312"/>
      <c r="C7503" s="312"/>
      <c r="D7503" s="312"/>
      <c r="E7503" s="312"/>
      <c r="F7503" s="312"/>
      <c r="G7503" s="328"/>
      <c r="H7503" s="453"/>
      <c r="I7503" s="334"/>
      <c r="J7503" s="314"/>
      <c r="K7503" s="454"/>
      <c r="M7503" s="349" t="str">
        <f>N7503&amp;AS[[#This Row],[Insurer Code]]&amp;"; "&amp;O7503&amp;AS[[#This Row],[Reporting Year]]&amp;"; "&amp;P7503&amp;AS[[#This Row],[Insurance Category Code]]&amp;"; "&amp;Q7503&amp;AS[[#This Row],[Large Provider Entity Code]]&amp;"; "&amp;R7503&amp;AS[[#This Row],[Age Band Code]]&amp;"; "&amp;S7503&amp;AS[[#This Row],[Sex Code]]</f>
        <v xml:space="preserve">Insurer Code ; Reporting Year ; Insurance Category Code ; Large Provider Entity Code ; Age Band Code ; Sex Code </v>
      </c>
      <c r="N7503" s="345" t="s">
        <v>207</v>
      </c>
      <c r="O7503" s="345" t="s">
        <v>208</v>
      </c>
      <c r="P7503" s="345" t="s">
        <v>209</v>
      </c>
      <c r="Q7503" s="345" t="s">
        <v>210</v>
      </c>
      <c r="R7503" s="345" t="s">
        <v>223</v>
      </c>
      <c r="S7503" s="345" t="s">
        <v>224</v>
      </c>
    </row>
    <row r="7504" spans="1:19" x14ac:dyDescent="0.25">
      <c r="A7504" s="311"/>
      <c r="B7504" s="312"/>
      <c r="C7504" s="312"/>
      <c r="D7504" s="312"/>
      <c r="E7504" s="312"/>
      <c r="F7504" s="312"/>
      <c r="G7504" s="328"/>
      <c r="H7504" s="453"/>
      <c r="I7504" s="334"/>
      <c r="J7504" s="314"/>
      <c r="K7504" s="454"/>
      <c r="M7504" s="349" t="str">
        <f>N7504&amp;AS[[#This Row],[Insurer Code]]&amp;"; "&amp;O7504&amp;AS[[#This Row],[Reporting Year]]&amp;"; "&amp;P7504&amp;AS[[#This Row],[Insurance Category Code]]&amp;"; "&amp;Q7504&amp;AS[[#This Row],[Large Provider Entity Code]]&amp;"; "&amp;R7504&amp;AS[[#This Row],[Age Band Code]]&amp;"; "&amp;S7504&amp;AS[[#This Row],[Sex Code]]</f>
        <v xml:space="preserve">Insurer Code ; Reporting Year ; Insurance Category Code ; Large Provider Entity Code ; Age Band Code ; Sex Code </v>
      </c>
      <c r="N7504" s="345" t="s">
        <v>207</v>
      </c>
      <c r="O7504" s="345" t="s">
        <v>208</v>
      </c>
      <c r="P7504" s="345" t="s">
        <v>209</v>
      </c>
      <c r="Q7504" s="345" t="s">
        <v>210</v>
      </c>
      <c r="R7504" s="345" t="s">
        <v>223</v>
      </c>
      <c r="S7504" s="345" t="s">
        <v>224</v>
      </c>
    </row>
    <row r="7505" spans="1:19" x14ac:dyDescent="0.25">
      <c r="A7505" s="311"/>
      <c r="B7505" s="312"/>
      <c r="C7505" s="312"/>
      <c r="D7505" s="312"/>
      <c r="E7505" s="312"/>
      <c r="F7505" s="312"/>
      <c r="G7505" s="328"/>
      <c r="H7505" s="453"/>
      <c r="I7505" s="334"/>
      <c r="J7505" s="314"/>
      <c r="K7505" s="454"/>
      <c r="M7505" s="349" t="str">
        <f>N7505&amp;AS[[#This Row],[Insurer Code]]&amp;"; "&amp;O7505&amp;AS[[#This Row],[Reporting Year]]&amp;"; "&amp;P7505&amp;AS[[#This Row],[Insurance Category Code]]&amp;"; "&amp;Q7505&amp;AS[[#This Row],[Large Provider Entity Code]]&amp;"; "&amp;R7505&amp;AS[[#This Row],[Age Band Code]]&amp;"; "&amp;S7505&amp;AS[[#This Row],[Sex Code]]</f>
        <v xml:space="preserve">Insurer Code ; Reporting Year ; Insurance Category Code ; Large Provider Entity Code ; Age Band Code ; Sex Code </v>
      </c>
      <c r="N7505" s="345" t="s">
        <v>207</v>
      </c>
      <c r="O7505" s="345" t="s">
        <v>208</v>
      </c>
      <c r="P7505" s="345" t="s">
        <v>209</v>
      </c>
      <c r="Q7505" s="345" t="s">
        <v>210</v>
      </c>
      <c r="R7505" s="345" t="s">
        <v>223</v>
      </c>
      <c r="S7505" s="345" t="s">
        <v>224</v>
      </c>
    </row>
    <row r="7506" spans="1:19" x14ac:dyDescent="0.25">
      <c r="A7506" s="311"/>
      <c r="B7506" s="312"/>
      <c r="C7506" s="312"/>
      <c r="D7506" s="312"/>
      <c r="E7506" s="312"/>
      <c r="F7506" s="312"/>
      <c r="G7506" s="328"/>
      <c r="H7506" s="453"/>
      <c r="I7506" s="334"/>
      <c r="J7506" s="314"/>
      <c r="K7506" s="454"/>
      <c r="M7506" s="349" t="str">
        <f>N7506&amp;AS[[#This Row],[Insurer Code]]&amp;"; "&amp;O7506&amp;AS[[#This Row],[Reporting Year]]&amp;"; "&amp;P7506&amp;AS[[#This Row],[Insurance Category Code]]&amp;"; "&amp;Q7506&amp;AS[[#This Row],[Large Provider Entity Code]]&amp;"; "&amp;R7506&amp;AS[[#This Row],[Age Band Code]]&amp;"; "&amp;S7506&amp;AS[[#This Row],[Sex Code]]</f>
        <v xml:space="preserve">Insurer Code ; Reporting Year ; Insurance Category Code ; Large Provider Entity Code ; Age Band Code ; Sex Code </v>
      </c>
      <c r="N7506" s="345" t="s">
        <v>207</v>
      </c>
      <c r="O7506" s="345" t="s">
        <v>208</v>
      </c>
      <c r="P7506" s="345" t="s">
        <v>209</v>
      </c>
      <c r="Q7506" s="345" t="s">
        <v>210</v>
      </c>
      <c r="R7506" s="345" t="s">
        <v>223</v>
      </c>
      <c r="S7506" s="345" t="s">
        <v>224</v>
      </c>
    </row>
    <row r="7507" spans="1:19" x14ac:dyDescent="0.25">
      <c r="A7507" s="311"/>
      <c r="B7507" s="312"/>
      <c r="C7507" s="312"/>
      <c r="D7507" s="312"/>
      <c r="E7507" s="312"/>
      <c r="F7507" s="312"/>
      <c r="G7507" s="328"/>
      <c r="H7507" s="453"/>
      <c r="I7507" s="334"/>
      <c r="J7507" s="314"/>
      <c r="K7507" s="454"/>
      <c r="M7507" s="349" t="str">
        <f>N7507&amp;AS[[#This Row],[Insurer Code]]&amp;"; "&amp;O7507&amp;AS[[#This Row],[Reporting Year]]&amp;"; "&amp;P7507&amp;AS[[#This Row],[Insurance Category Code]]&amp;"; "&amp;Q7507&amp;AS[[#This Row],[Large Provider Entity Code]]&amp;"; "&amp;R7507&amp;AS[[#This Row],[Age Band Code]]&amp;"; "&amp;S7507&amp;AS[[#This Row],[Sex Code]]</f>
        <v xml:space="preserve">Insurer Code ; Reporting Year ; Insurance Category Code ; Large Provider Entity Code ; Age Band Code ; Sex Code </v>
      </c>
      <c r="N7507" s="345" t="s">
        <v>207</v>
      </c>
      <c r="O7507" s="345" t="s">
        <v>208</v>
      </c>
      <c r="P7507" s="345" t="s">
        <v>209</v>
      </c>
      <c r="Q7507" s="345" t="s">
        <v>210</v>
      </c>
      <c r="R7507" s="345" t="s">
        <v>223</v>
      </c>
      <c r="S7507" s="345" t="s">
        <v>224</v>
      </c>
    </row>
    <row r="7508" spans="1:19" x14ac:dyDescent="0.25">
      <c r="A7508" s="311"/>
      <c r="B7508" s="312"/>
      <c r="C7508" s="312"/>
      <c r="D7508" s="312"/>
      <c r="E7508" s="312"/>
      <c r="F7508" s="312"/>
      <c r="G7508" s="328"/>
      <c r="H7508" s="453"/>
      <c r="I7508" s="334"/>
      <c r="J7508" s="314"/>
      <c r="K7508" s="454"/>
      <c r="M7508" s="349" t="str">
        <f>N7508&amp;AS[[#This Row],[Insurer Code]]&amp;"; "&amp;O7508&amp;AS[[#This Row],[Reporting Year]]&amp;"; "&amp;P7508&amp;AS[[#This Row],[Insurance Category Code]]&amp;"; "&amp;Q7508&amp;AS[[#This Row],[Large Provider Entity Code]]&amp;"; "&amp;R7508&amp;AS[[#This Row],[Age Band Code]]&amp;"; "&amp;S7508&amp;AS[[#This Row],[Sex Code]]</f>
        <v xml:space="preserve">Insurer Code ; Reporting Year ; Insurance Category Code ; Large Provider Entity Code ; Age Band Code ; Sex Code </v>
      </c>
      <c r="N7508" s="345" t="s">
        <v>207</v>
      </c>
      <c r="O7508" s="345" t="s">
        <v>208</v>
      </c>
      <c r="P7508" s="345" t="s">
        <v>209</v>
      </c>
      <c r="Q7508" s="345" t="s">
        <v>210</v>
      </c>
      <c r="R7508" s="345" t="s">
        <v>223</v>
      </c>
      <c r="S7508" s="345" t="s">
        <v>224</v>
      </c>
    </row>
    <row r="7509" spans="1:19" x14ac:dyDescent="0.25">
      <c r="A7509" s="311"/>
      <c r="B7509" s="312"/>
      <c r="C7509" s="312"/>
      <c r="D7509" s="312"/>
      <c r="E7509" s="312"/>
      <c r="F7509" s="312"/>
      <c r="G7509" s="328"/>
      <c r="H7509" s="453"/>
      <c r="I7509" s="334"/>
      <c r="J7509" s="314"/>
      <c r="K7509" s="454"/>
      <c r="M7509" s="349" t="str">
        <f>N7509&amp;AS[[#This Row],[Insurer Code]]&amp;"; "&amp;O7509&amp;AS[[#This Row],[Reporting Year]]&amp;"; "&amp;P7509&amp;AS[[#This Row],[Insurance Category Code]]&amp;"; "&amp;Q7509&amp;AS[[#This Row],[Large Provider Entity Code]]&amp;"; "&amp;R7509&amp;AS[[#This Row],[Age Band Code]]&amp;"; "&amp;S7509&amp;AS[[#This Row],[Sex Code]]</f>
        <v xml:space="preserve">Insurer Code ; Reporting Year ; Insurance Category Code ; Large Provider Entity Code ; Age Band Code ; Sex Code </v>
      </c>
      <c r="N7509" s="345" t="s">
        <v>207</v>
      </c>
      <c r="O7509" s="345" t="s">
        <v>208</v>
      </c>
      <c r="P7509" s="345" t="s">
        <v>209</v>
      </c>
      <c r="Q7509" s="345" t="s">
        <v>210</v>
      </c>
      <c r="R7509" s="345" t="s">
        <v>223</v>
      </c>
      <c r="S7509" s="345" t="s">
        <v>224</v>
      </c>
    </row>
    <row r="7510" spans="1:19" x14ac:dyDescent="0.25">
      <c r="A7510" s="311"/>
      <c r="B7510" s="312"/>
      <c r="C7510" s="312"/>
      <c r="D7510" s="312"/>
      <c r="E7510" s="312"/>
      <c r="F7510" s="312"/>
      <c r="G7510" s="328"/>
      <c r="H7510" s="453"/>
      <c r="I7510" s="334"/>
      <c r="J7510" s="314"/>
      <c r="K7510" s="454"/>
      <c r="M7510" s="349" t="str">
        <f>N7510&amp;AS[[#This Row],[Insurer Code]]&amp;"; "&amp;O7510&amp;AS[[#This Row],[Reporting Year]]&amp;"; "&amp;P7510&amp;AS[[#This Row],[Insurance Category Code]]&amp;"; "&amp;Q7510&amp;AS[[#This Row],[Large Provider Entity Code]]&amp;"; "&amp;R7510&amp;AS[[#This Row],[Age Band Code]]&amp;"; "&amp;S7510&amp;AS[[#This Row],[Sex Code]]</f>
        <v xml:space="preserve">Insurer Code ; Reporting Year ; Insurance Category Code ; Large Provider Entity Code ; Age Band Code ; Sex Code </v>
      </c>
      <c r="N7510" s="345" t="s">
        <v>207</v>
      </c>
      <c r="O7510" s="345" t="s">
        <v>208</v>
      </c>
      <c r="P7510" s="345" t="s">
        <v>209</v>
      </c>
      <c r="Q7510" s="345" t="s">
        <v>210</v>
      </c>
      <c r="R7510" s="345" t="s">
        <v>223</v>
      </c>
      <c r="S7510" s="345" t="s">
        <v>224</v>
      </c>
    </row>
    <row r="7511" spans="1:19" x14ac:dyDescent="0.25">
      <c r="A7511" s="311"/>
      <c r="B7511" s="312"/>
      <c r="C7511" s="312"/>
      <c r="D7511" s="312"/>
      <c r="E7511" s="312"/>
      <c r="F7511" s="312"/>
      <c r="G7511" s="328"/>
      <c r="H7511" s="453"/>
      <c r="I7511" s="334"/>
      <c r="J7511" s="314"/>
      <c r="K7511" s="454"/>
      <c r="M7511" s="349" t="str">
        <f>N7511&amp;AS[[#This Row],[Insurer Code]]&amp;"; "&amp;O7511&amp;AS[[#This Row],[Reporting Year]]&amp;"; "&amp;P7511&amp;AS[[#This Row],[Insurance Category Code]]&amp;"; "&amp;Q7511&amp;AS[[#This Row],[Large Provider Entity Code]]&amp;"; "&amp;R7511&amp;AS[[#This Row],[Age Band Code]]&amp;"; "&amp;S7511&amp;AS[[#This Row],[Sex Code]]</f>
        <v xml:space="preserve">Insurer Code ; Reporting Year ; Insurance Category Code ; Large Provider Entity Code ; Age Band Code ; Sex Code </v>
      </c>
      <c r="N7511" s="345" t="s">
        <v>207</v>
      </c>
      <c r="O7511" s="345" t="s">
        <v>208</v>
      </c>
      <c r="P7511" s="345" t="s">
        <v>209</v>
      </c>
      <c r="Q7511" s="345" t="s">
        <v>210</v>
      </c>
      <c r="R7511" s="345" t="s">
        <v>223</v>
      </c>
      <c r="S7511" s="345" t="s">
        <v>224</v>
      </c>
    </row>
    <row r="7512" spans="1:19" x14ac:dyDescent="0.25">
      <c r="A7512" s="311"/>
      <c r="B7512" s="312"/>
      <c r="C7512" s="312"/>
      <c r="D7512" s="312"/>
      <c r="E7512" s="312"/>
      <c r="F7512" s="312"/>
      <c r="G7512" s="328"/>
      <c r="H7512" s="453"/>
      <c r="I7512" s="334"/>
      <c r="J7512" s="314"/>
      <c r="K7512" s="454"/>
      <c r="M7512" s="349" t="str">
        <f>N7512&amp;AS[[#This Row],[Insurer Code]]&amp;"; "&amp;O7512&amp;AS[[#This Row],[Reporting Year]]&amp;"; "&amp;P7512&amp;AS[[#This Row],[Insurance Category Code]]&amp;"; "&amp;Q7512&amp;AS[[#This Row],[Large Provider Entity Code]]&amp;"; "&amp;R7512&amp;AS[[#This Row],[Age Band Code]]&amp;"; "&amp;S7512&amp;AS[[#This Row],[Sex Code]]</f>
        <v xml:space="preserve">Insurer Code ; Reporting Year ; Insurance Category Code ; Large Provider Entity Code ; Age Band Code ; Sex Code </v>
      </c>
      <c r="N7512" s="345" t="s">
        <v>207</v>
      </c>
      <c r="O7512" s="345" t="s">
        <v>208</v>
      </c>
      <c r="P7512" s="345" t="s">
        <v>209</v>
      </c>
      <c r="Q7512" s="345" t="s">
        <v>210</v>
      </c>
      <c r="R7512" s="345" t="s">
        <v>223</v>
      </c>
      <c r="S7512" s="345" t="s">
        <v>224</v>
      </c>
    </row>
    <row r="7513" spans="1:19" x14ac:dyDescent="0.25">
      <c r="A7513" s="311"/>
      <c r="B7513" s="312"/>
      <c r="C7513" s="312"/>
      <c r="D7513" s="312"/>
      <c r="E7513" s="312"/>
      <c r="F7513" s="312"/>
      <c r="G7513" s="328"/>
      <c r="H7513" s="453"/>
      <c r="I7513" s="334"/>
      <c r="J7513" s="314"/>
      <c r="K7513" s="454"/>
      <c r="M7513" s="349" t="str">
        <f>N7513&amp;AS[[#This Row],[Insurer Code]]&amp;"; "&amp;O7513&amp;AS[[#This Row],[Reporting Year]]&amp;"; "&amp;P7513&amp;AS[[#This Row],[Insurance Category Code]]&amp;"; "&amp;Q7513&amp;AS[[#This Row],[Large Provider Entity Code]]&amp;"; "&amp;R7513&amp;AS[[#This Row],[Age Band Code]]&amp;"; "&amp;S7513&amp;AS[[#This Row],[Sex Code]]</f>
        <v xml:space="preserve">Insurer Code ; Reporting Year ; Insurance Category Code ; Large Provider Entity Code ; Age Band Code ; Sex Code </v>
      </c>
      <c r="N7513" s="345" t="s">
        <v>207</v>
      </c>
      <c r="O7513" s="345" t="s">
        <v>208</v>
      </c>
      <c r="P7513" s="345" t="s">
        <v>209</v>
      </c>
      <c r="Q7513" s="345" t="s">
        <v>210</v>
      </c>
      <c r="R7513" s="345" t="s">
        <v>223</v>
      </c>
      <c r="S7513" s="345" t="s">
        <v>224</v>
      </c>
    </row>
    <row r="7514" spans="1:19" x14ac:dyDescent="0.25">
      <c r="A7514" s="311"/>
      <c r="B7514" s="312"/>
      <c r="C7514" s="312"/>
      <c r="D7514" s="312"/>
      <c r="E7514" s="312"/>
      <c r="F7514" s="312"/>
      <c r="G7514" s="328"/>
      <c r="H7514" s="453"/>
      <c r="I7514" s="334"/>
      <c r="J7514" s="314"/>
      <c r="K7514" s="454"/>
      <c r="M7514" s="349" t="str">
        <f>N7514&amp;AS[[#This Row],[Insurer Code]]&amp;"; "&amp;O7514&amp;AS[[#This Row],[Reporting Year]]&amp;"; "&amp;P7514&amp;AS[[#This Row],[Insurance Category Code]]&amp;"; "&amp;Q7514&amp;AS[[#This Row],[Large Provider Entity Code]]&amp;"; "&amp;R7514&amp;AS[[#This Row],[Age Band Code]]&amp;"; "&amp;S7514&amp;AS[[#This Row],[Sex Code]]</f>
        <v xml:space="preserve">Insurer Code ; Reporting Year ; Insurance Category Code ; Large Provider Entity Code ; Age Band Code ; Sex Code </v>
      </c>
      <c r="N7514" s="345" t="s">
        <v>207</v>
      </c>
      <c r="O7514" s="345" t="s">
        <v>208</v>
      </c>
      <c r="P7514" s="345" t="s">
        <v>209</v>
      </c>
      <c r="Q7514" s="345" t="s">
        <v>210</v>
      </c>
      <c r="R7514" s="345" t="s">
        <v>223</v>
      </c>
      <c r="S7514" s="345" t="s">
        <v>224</v>
      </c>
    </row>
    <row r="7515" spans="1:19" x14ac:dyDescent="0.25">
      <c r="A7515" s="311"/>
      <c r="B7515" s="312"/>
      <c r="C7515" s="312"/>
      <c r="D7515" s="312"/>
      <c r="E7515" s="312"/>
      <c r="F7515" s="312"/>
      <c r="G7515" s="328"/>
      <c r="H7515" s="453"/>
      <c r="I7515" s="334"/>
      <c r="J7515" s="314"/>
      <c r="K7515" s="454"/>
      <c r="M7515" s="349" t="str">
        <f>N7515&amp;AS[[#This Row],[Insurer Code]]&amp;"; "&amp;O7515&amp;AS[[#This Row],[Reporting Year]]&amp;"; "&amp;P7515&amp;AS[[#This Row],[Insurance Category Code]]&amp;"; "&amp;Q7515&amp;AS[[#This Row],[Large Provider Entity Code]]&amp;"; "&amp;R7515&amp;AS[[#This Row],[Age Band Code]]&amp;"; "&amp;S7515&amp;AS[[#This Row],[Sex Code]]</f>
        <v xml:space="preserve">Insurer Code ; Reporting Year ; Insurance Category Code ; Large Provider Entity Code ; Age Band Code ; Sex Code </v>
      </c>
      <c r="N7515" s="345" t="s">
        <v>207</v>
      </c>
      <c r="O7515" s="345" t="s">
        <v>208</v>
      </c>
      <c r="P7515" s="345" t="s">
        <v>209</v>
      </c>
      <c r="Q7515" s="345" t="s">
        <v>210</v>
      </c>
      <c r="R7515" s="345" t="s">
        <v>223</v>
      </c>
      <c r="S7515" s="345" t="s">
        <v>224</v>
      </c>
    </row>
    <row r="7516" spans="1:19" x14ac:dyDescent="0.25">
      <c r="A7516" s="311"/>
      <c r="B7516" s="312"/>
      <c r="C7516" s="312"/>
      <c r="D7516" s="312"/>
      <c r="E7516" s="312"/>
      <c r="F7516" s="312"/>
      <c r="G7516" s="328"/>
      <c r="H7516" s="453"/>
      <c r="I7516" s="334"/>
      <c r="J7516" s="314"/>
      <c r="K7516" s="454"/>
      <c r="M7516" s="349" t="str">
        <f>N7516&amp;AS[[#This Row],[Insurer Code]]&amp;"; "&amp;O7516&amp;AS[[#This Row],[Reporting Year]]&amp;"; "&amp;P7516&amp;AS[[#This Row],[Insurance Category Code]]&amp;"; "&amp;Q7516&amp;AS[[#This Row],[Large Provider Entity Code]]&amp;"; "&amp;R7516&amp;AS[[#This Row],[Age Band Code]]&amp;"; "&amp;S7516&amp;AS[[#This Row],[Sex Code]]</f>
        <v xml:space="preserve">Insurer Code ; Reporting Year ; Insurance Category Code ; Large Provider Entity Code ; Age Band Code ; Sex Code </v>
      </c>
      <c r="N7516" s="345" t="s">
        <v>207</v>
      </c>
      <c r="O7516" s="345" t="s">
        <v>208</v>
      </c>
      <c r="P7516" s="345" t="s">
        <v>209</v>
      </c>
      <c r="Q7516" s="345" t="s">
        <v>210</v>
      </c>
      <c r="R7516" s="345" t="s">
        <v>223</v>
      </c>
      <c r="S7516" s="345" t="s">
        <v>224</v>
      </c>
    </row>
    <row r="7517" spans="1:19" x14ac:dyDescent="0.25">
      <c r="A7517" s="311"/>
      <c r="B7517" s="312"/>
      <c r="C7517" s="312"/>
      <c r="D7517" s="312"/>
      <c r="E7517" s="312"/>
      <c r="F7517" s="312"/>
      <c r="G7517" s="328"/>
      <c r="H7517" s="453"/>
      <c r="I7517" s="334"/>
      <c r="J7517" s="314"/>
      <c r="K7517" s="454"/>
      <c r="M7517" s="349" t="str">
        <f>N7517&amp;AS[[#This Row],[Insurer Code]]&amp;"; "&amp;O7517&amp;AS[[#This Row],[Reporting Year]]&amp;"; "&amp;P7517&amp;AS[[#This Row],[Insurance Category Code]]&amp;"; "&amp;Q7517&amp;AS[[#This Row],[Large Provider Entity Code]]&amp;"; "&amp;R7517&amp;AS[[#This Row],[Age Band Code]]&amp;"; "&amp;S7517&amp;AS[[#This Row],[Sex Code]]</f>
        <v xml:space="preserve">Insurer Code ; Reporting Year ; Insurance Category Code ; Large Provider Entity Code ; Age Band Code ; Sex Code </v>
      </c>
      <c r="N7517" s="345" t="s">
        <v>207</v>
      </c>
      <c r="O7517" s="345" t="s">
        <v>208</v>
      </c>
      <c r="P7517" s="345" t="s">
        <v>209</v>
      </c>
      <c r="Q7517" s="345" t="s">
        <v>210</v>
      </c>
      <c r="R7517" s="345" t="s">
        <v>223</v>
      </c>
      <c r="S7517" s="345" t="s">
        <v>224</v>
      </c>
    </row>
    <row r="7518" spans="1:19" x14ac:dyDescent="0.25">
      <c r="A7518" s="311"/>
      <c r="B7518" s="312"/>
      <c r="C7518" s="312"/>
      <c r="D7518" s="312"/>
      <c r="E7518" s="312"/>
      <c r="F7518" s="312"/>
      <c r="G7518" s="328"/>
      <c r="H7518" s="453"/>
      <c r="I7518" s="334"/>
      <c r="J7518" s="314"/>
      <c r="K7518" s="454"/>
      <c r="M7518" s="349" t="str">
        <f>N7518&amp;AS[[#This Row],[Insurer Code]]&amp;"; "&amp;O7518&amp;AS[[#This Row],[Reporting Year]]&amp;"; "&amp;P7518&amp;AS[[#This Row],[Insurance Category Code]]&amp;"; "&amp;Q7518&amp;AS[[#This Row],[Large Provider Entity Code]]&amp;"; "&amp;R7518&amp;AS[[#This Row],[Age Band Code]]&amp;"; "&amp;S7518&amp;AS[[#This Row],[Sex Code]]</f>
        <v xml:space="preserve">Insurer Code ; Reporting Year ; Insurance Category Code ; Large Provider Entity Code ; Age Band Code ; Sex Code </v>
      </c>
      <c r="N7518" s="345" t="s">
        <v>207</v>
      </c>
      <c r="O7518" s="345" t="s">
        <v>208</v>
      </c>
      <c r="P7518" s="345" t="s">
        <v>209</v>
      </c>
      <c r="Q7518" s="345" t="s">
        <v>210</v>
      </c>
      <c r="R7518" s="345" t="s">
        <v>223</v>
      </c>
      <c r="S7518" s="345" t="s">
        <v>224</v>
      </c>
    </row>
    <row r="7519" spans="1:19" x14ac:dyDescent="0.25">
      <c r="A7519" s="311"/>
      <c r="B7519" s="312"/>
      <c r="C7519" s="312"/>
      <c r="D7519" s="312"/>
      <c r="E7519" s="312"/>
      <c r="F7519" s="312"/>
      <c r="G7519" s="328"/>
      <c r="H7519" s="453"/>
      <c r="I7519" s="334"/>
      <c r="J7519" s="314"/>
      <c r="K7519" s="454"/>
      <c r="M7519" s="349" t="str">
        <f>N7519&amp;AS[[#This Row],[Insurer Code]]&amp;"; "&amp;O7519&amp;AS[[#This Row],[Reporting Year]]&amp;"; "&amp;P7519&amp;AS[[#This Row],[Insurance Category Code]]&amp;"; "&amp;Q7519&amp;AS[[#This Row],[Large Provider Entity Code]]&amp;"; "&amp;R7519&amp;AS[[#This Row],[Age Band Code]]&amp;"; "&amp;S7519&amp;AS[[#This Row],[Sex Code]]</f>
        <v xml:space="preserve">Insurer Code ; Reporting Year ; Insurance Category Code ; Large Provider Entity Code ; Age Band Code ; Sex Code </v>
      </c>
      <c r="N7519" s="345" t="s">
        <v>207</v>
      </c>
      <c r="O7519" s="345" t="s">
        <v>208</v>
      </c>
      <c r="P7519" s="345" t="s">
        <v>209</v>
      </c>
      <c r="Q7519" s="345" t="s">
        <v>210</v>
      </c>
      <c r="R7519" s="345" t="s">
        <v>223</v>
      </c>
      <c r="S7519" s="345" t="s">
        <v>224</v>
      </c>
    </row>
    <row r="7520" spans="1:19" x14ac:dyDescent="0.25">
      <c r="A7520" s="311"/>
      <c r="B7520" s="312"/>
      <c r="C7520" s="312"/>
      <c r="D7520" s="312"/>
      <c r="E7520" s="312"/>
      <c r="F7520" s="312"/>
      <c r="G7520" s="328"/>
      <c r="H7520" s="453"/>
      <c r="I7520" s="334"/>
      <c r="J7520" s="314"/>
      <c r="K7520" s="454"/>
      <c r="M7520" s="349" t="str">
        <f>N7520&amp;AS[[#This Row],[Insurer Code]]&amp;"; "&amp;O7520&amp;AS[[#This Row],[Reporting Year]]&amp;"; "&amp;P7520&amp;AS[[#This Row],[Insurance Category Code]]&amp;"; "&amp;Q7520&amp;AS[[#This Row],[Large Provider Entity Code]]&amp;"; "&amp;R7520&amp;AS[[#This Row],[Age Band Code]]&amp;"; "&amp;S7520&amp;AS[[#This Row],[Sex Code]]</f>
        <v xml:space="preserve">Insurer Code ; Reporting Year ; Insurance Category Code ; Large Provider Entity Code ; Age Band Code ; Sex Code </v>
      </c>
      <c r="N7520" s="345" t="s">
        <v>207</v>
      </c>
      <c r="O7520" s="345" t="s">
        <v>208</v>
      </c>
      <c r="P7520" s="345" t="s">
        <v>209</v>
      </c>
      <c r="Q7520" s="345" t="s">
        <v>210</v>
      </c>
      <c r="R7520" s="345" t="s">
        <v>223</v>
      </c>
      <c r="S7520" s="345" t="s">
        <v>224</v>
      </c>
    </row>
    <row r="7521" spans="1:19" x14ac:dyDescent="0.25">
      <c r="A7521" s="311"/>
      <c r="B7521" s="312"/>
      <c r="C7521" s="312"/>
      <c r="D7521" s="312"/>
      <c r="E7521" s="312"/>
      <c r="F7521" s="312"/>
      <c r="G7521" s="328"/>
      <c r="H7521" s="453"/>
      <c r="I7521" s="334"/>
      <c r="J7521" s="314"/>
      <c r="K7521" s="454"/>
      <c r="M7521" s="349" t="str">
        <f>N7521&amp;AS[[#This Row],[Insurer Code]]&amp;"; "&amp;O7521&amp;AS[[#This Row],[Reporting Year]]&amp;"; "&amp;P7521&amp;AS[[#This Row],[Insurance Category Code]]&amp;"; "&amp;Q7521&amp;AS[[#This Row],[Large Provider Entity Code]]&amp;"; "&amp;R7521&amp;AS[[#This Row],[Age Band Code]]&amp;"; "&amp;S7521&amp;AS[[#This Row],[Sex Code]]</f>
        <v xml:space="preserve">Insurer Code ; Reporting Year ; Insurance Category Code ; Large Provider Entity Code ; Age Band Code ; Sex Code </v>
      </c>
      <c r="N7521" s="345" t="s">
        <v>207</v>
      </c>
      <c r="O7521" s="345" t="s">
        <v>208</v>
      </c>
      <c r="P7521" s="345" t="s">
        <v>209</v>
      </c>
      <c r="Q7521" s="345" t="s">
        <v>210</v>
      </c>
      <c r="R7521" s="345" t="s">
        <v>223</v>
      </c>
      <c r="S7521" s="345" t="s">
        <v>224</v>
      </c>
    </row>
    <row r="7522" spans="1:19" x14ac:dyDescent="0.25">
      <c r="A7522" s="311"/>
      <c r="B7522" s="312"/>
      <c r="C7522" s="312"/>
      <c r="D7522" s="312"/>
      <c r="E7522" s="312"/>
      <c r="F7522" s="312"/>
      <c r="G7522" s="328"/>
      <c r="H7522" s="453"/>
      <c r="I7522" s="334"/>
      <c r="J7522" s="314"/>
      <c r="K7522" s="454"/>
      <c r="M7522" s="349" t="str">
        <f>N7522&amp;AS[[#This Row],[Insurer Code]]&amp;"; "&amp;O7522&amp;AS[[#This Row],[Reporting Year]]&amp;"; "&amp;P7522&amp;AS[[#This Row],[Insurance Category Code]]&amp;"; "&amp;Q7522&amp;AS[[#This Row],[Large Provider Entity Code]]&amp;"; "&amp;R7522&amp;AS[[#This Row],[Age Band Code]]&amp;"; "&amp;S7522&amp;AS[[#This Row],[Sex Code]]</f>
        <v xml:space="preserve">Insurer Code ; Reporting Year ; Insurance Category Code ; Large Provider Entity Code ; Age Band Code ; Sex Code </v>
      </c>
      <c r="N7522" s="345" t="s">
        <v>207</v>
      </c>
      <c r="O7522" s="345" t="s">
        <v>208</v>
      </c>
      <c r="P7522" s="345" t="s">
        <v>209</v>
      </c>
      <c r="Q7522" s="345" t="s">
        <v>210</v>
      </c>
      <c r="R7522" s="345" t="s">
        <v>223</v>
      </c>
      <c r="S7522" s="345" t="s">
        <v>224</v>
      </c>
    </row>
    <row r="7523" spans="1:19" x14ac:dyDescent="0.25">
      <c r="A7523" s="311"/>
      <c r="B7523" s="312"/>
      <c r="C7523" s="312"/>
      <c r="D7523" s="312"/>
      <c r="E7523" s="312"/>
      <c r="F7523" s="312"/>
      <c r="G7523" s="328"/>
      <c r="H7523" s="453"/>
      <c r="I7523" s="334"/>
      <c r="J7523" s="314"/>
      <c r="K7523" s="454"/>
      <c r="M7523" s="349" t="str">
        <f>N7523&amp;AS[[#This Row],[Insurer Code]]&amp;"; "&amp;O7523&amp;AS[[#This Row],[Reporting Year]]&amp;"; "&amp;P7523&amp;AS[[#This Row],[Insurance Category Code]]&amp;"; "&amp;Q7523&amp;AS[[#This Row],[Large Provider Entity Code]]&amp;"; "&amp;R7523&amp;AS[[#This Row],[Age Band Code]]&amp;"; "&amp;S7523&amp;AS[[#This Row],[Sex Code]]</f>
        <v xml:space="preserve">Insurer Code ; Reporting Year ; Insurance Category Code ; Large Provider Entity Code ; Age Band Code ; Sex Code </v>
      </c>
      <c r="N7523" s="345" t="s">
        <v>207</v>
      </c>
      <c r="O7523" s="345" t="s">
        <v>208</v>
      </c>
      <c r="P7523" s="345" t="s">
        <v>209</v>
      </c>
      <c r="Q7523" s="345" t="s">
        <v>210</v>
      </c>
      <c r="R7523" s="345" t="s">
        <v>223</v>
      </c>
      <c r="S7523" s="345" t="s">
        <v>224</v>
      </c>
    </row>
    <row r="7524" spans="1:19" x14ac:dyDescent="0.25">
      <c r="A7524" s="311"/>
      <c r="B7524" s="312"/>
      <c r="C7524" s="312"/>
      <c r="D7524" s="312"/>
      <c r="E7524" s="312"/>
      <c r="F7524" s="312"/>
      <c r="G7524" s="328"/>
      <c r="H7524" s="453"/>
      <c r="I7524" s="334"/>
      <c r="J7524" s="314"/>
      <c r="K7524" s="454"/>
      <c r="M7524" s="349" t="str">
        <f>N7524&amp;AS[[#This Row],[Insurer Code]]&amp;"; "&amp;O7524&amp;AS[[#This Row],[Reporting Year]]&amp;"; "&amp;P7524&amp;AS[[#This Row],[Insurance Category Code]]&amp;"; "&amp;Q7524&amp;AS[[#This Row],[Large Provider Entity Code]]&amp;"; "&amp;R7524&amp;AS[[#This Row],[Age Band Code]]&amp;"; "&amp;S7524&amp;AS[[#This Row],[Sex Code]]</f>
        <v xml:space="preserve">Insurer Code ; Reporting Year ; Insurance Category Code ; Large Provider Entity Code ; Age Band Code ; Sex Code </v>
      </c>
      <c r="N7524" s="345" t="s">
        <v>207</v>
      </c>
      <c r="O7524" s="345" t="s">
        <v>208</v>
      </c>
      <c r="P7524" s="345" t="s">
        <v>209</v>
      </c>
      <c r="Q7524" s="345" t="s">
        <v>210</v>
      </c>
      <c r="R7524" s="345" t="s">
        <v>223</v>
      </c>
      <c r="S7524" s="345" t="s">
        <v>224</v>
      </c>
    </row>
    <row r="7525" spans="1:19" x14ac:dyDescent="0.25">
      <c r="A7525" s="311"/>
      <c r="B7525" s="312"/>
      <c r="C7525" s="312"/>
      <c r="D7525" s="312"/>
      <c r="E7525" s="312"/>
      <c r="F7525" s="312"/>
      <c r="G7525" s="328"/>
      <c r="H7525" s="453"/>
      <c r="I7525" s="334"/>
      <c r="J7525" s="314"/>
      <c r="K7525" s="454"/>
      <c r="M7525" s="349" t="str">
        <f>N7525&amp;AS[[#This Row],[Insurer Code]]&amp;"; "&amp;O7525&amp;AS[[#This Row],[Reporting Year]]&amp;"; "&amp;P7525&amp;AS[[#This Row],[Insurance Category Code]]&amp;"; "&amp;Q7525&amp;AS[[#This Row],[Large Provider Entity Code]]&amp;"; "&amp;R7525&amp;AS[[#This Row],[Age Band Code]]&amp;"; "&amp;S7525&amp;AS[[#This Row],[Sex Code]]</f>
        <v xml:space="preserve">Insurer Code ; Reporting Year ; Insurance Category Code ; Large Provider Entity Code ; Age Band Code ; Sex Code </v>
      </c>
      <c r="N7525" s="345" t="s">
        <v>207</v>
      </c>
      <c r="O7525" s="345" t="s">
        <v>208</v>
      </c>
      <c r="P7525" s="345" t="s">
        <v>209</v>
      </c>
      <c r="Q7525" s="345" t="s">
        <v>210</v>
      </c>
      <c r="R7525" s="345" t="s">
        <v>223</v>
      </c>
      <c r="S7525" s="345" t="s">
        <v>224</v>
      </c>
    </row>
    <row r="7526" spans="1:19" x14ac:dyDescent="0.25">
      <c r="A7526" s="311"/>
      <c r="B7526" s="312"/>
      <c r="C7526" s="312"/>
      <c r="D7526" s="312"/>
      <c r="E7526" s="312"/>
      <c r="F7526" s="312"/>
      <c r="G7526" s="328"/>
      <c r="H7526" s="453"/>
      <c r="I7526" s="334"/>
      <c r="J7526" s="314"/>
      <c r="K7526" s="454"/>
      <c r="M7526" s="349" t="str">
        <f>N7526&amp;AS[[#This Row],[Insurer Code]]&amp;"; "&amp;O7526&amp;AS[[#This Row],[Reporting Year]]&amp;"; "&amp;P7526&amp;AS[[#This Row],[Insurance Category Code]]&amp;"; "&amp;Q7526&amp;AS[[#This Row],[Large Provider Entity Code]]&amp;"; "&amp;R7526&amp;AS[[#This Row],[Age Band Code]]&amp;"; "&amp;S7526&amp;AS[[#This Row],[Sex Code]]</f>
        <v xml:space="preserve">Insurer Code ; Reporting Year ; Insurance Category Code ; Large Provider Entity Code ; Age Band Code ; Sex Code </v>
      </c>
      <c r="N7526" s="345" t="s">
        <v>207</v>
      </c>
      <c r="O7526" s="345" t="s">
        <v>208</v>
      </c>
      <c r="P7526" s="345" t="s">
        <v>209</v>
      </c>
      <c r="Q7526" s="345" t="s">
        <v>210</v>
      </c>
      <c r="R7526" s="345" t="s">
        <v>223</v>
      </c>
      <c r="S7526" s="345" t="s">
        <v>224</v>
      </c>
    </row>
    <row r="7527" spans="1:19" x14ac:dyDescent="0.25">
      <c r="A7527" s="311"/>
      <c r="B7527" s="312"/>
      <c r="C7527" s="312"/>
      <c r="D7527" s="312"/>
      <c r="E7527" s="312"/>
      <c r="F7527" s="312"/>
      <c r="G7527" s="328"/>
      <c r="H7527" s="453"/>
      <c r="I7527" s="334"/>
      <c r="J7527" s="314"/>
      <c r="K7527" s="454"/>
      <c r="M7527" s="349" t="str">
        <f>N7527&amp;AS[[#This Row],[Insurer Code]]&amp;"; "&amp;O7527&amp;AS[[#This Row],[Reporting Year]]&amp;"; "&amp;P7527&amp;AS[[#This Row],[Insurance Category Code]]&amp;"; "&amp;Q7527&amp;AS[[#This Row],[Large Provider Entity Code]]&amp;"; "&amp;R7527&amp;AS[[#This Row],[Age Band Code]]&amp;"; "&amp;S7527&amp;AS[[#This Row],[Sex Code]]</f>
        <v xml:space="preserve">Insurer Code ; Reporting Year ; Insurance Category Code ; Large Provider Entity Code ; Age Band Code ; Sex Code </v>
      </c>
      <c r="N7527" s="345" t="s">
        <v>207</v>
      </c>
      <c r="O7527" s="345" t="s">
        <v>208</v>
      </c>
      <c r="P7527" s="345" t="s">
        <v>209</v>
      </c>
      <c r="Q7527" s="345" t="s">
        <v>210</v>
      </c>
      <c r="R7527" s="345" t="s">
        <v>223</v>
      </c>
      <c r="S7527" s="345" t="s">
        <v>224</v>
      </c>
    </row>
    <row r="7528" spans="1:19" x14ac:dyDescent="0.25">
      <c r="A7528" s="311"/>
      <c r="B7528" s="312"/>
      <c r="C7528" s="312"/>
      <c r="D7528" s="312"/>
      <c r="E7528" s="312"/>
      <c r="F7528" s="312"/>
      <c r="G7528" s="328"/>
      <c r="H7528" s="453"/>
      <c r="I7528" s="334"/>
      <c r="J7528" s="314"/>
      <c r="K7528" s="454"/>
      <c r="M7528" s="349" t="str">
        <f>N7528&amp;AS[[#This Row],[Insurer Code]]&amp;"; "&amp;O7528&amp;AS[[#This Row],[Reporting Year]]&amp;"; "&amp;P7528&amp;AS[[#This Row],[Insurance Category Code]]&amp;"; "&amp;Q7528&amp;AS[[#This Row],[Large Provider Entity Code]]&amp;"; "&amp;R7528&amp;AS[[#This Row],[Age Band Code]]&amp;"; "&amp;S7528&amp;AS[[#This Row],[Sex Code]]</f>
        <v xml:space="preserve">Insurer Code ; Reporting Year ; Insurance Category Code ; Large Provider Entity Code ; Age Band Code ; Sex Code </v>
      </c>
      <c r="N7528" s="345" t="s">
        <v>207</v>
      </c>
      <c r="O7528" s="345" t="s">
        <v>208</v>
      </c>
      <c r="P7528" s="345" t="s">
        <v>209</v>
      </c>
      <c r="Q7528" s="345" t="s">
        <v>210</v>
      </c>
      <c r="R7528" s="345" t="s">
        <v>223</v>
      </c>
      <c r="S7528" s="345" t="s">
        <v>224</v>
      </c>
    </row>
    <row r="7529" spans="1:19" x14ac:dyDescent="0.25">
      <c r="A7529" s="311"/>
      <c r="B7529" s="312"/>
      <c r="C7529" s="312"/>
      <c r="D7529" s="312"/>
      <c r="E7529" s="312"/>
      <c r="F7529" s="312"/>
      <c r="G7529" s="328"/>
      <c r="H7529" s="453"/>
      <c r="I7529" s="334"/>
      <c r="J7529" s="314"/>
      <c r="K7529" s="454"/>
      <c r="M7529" s="349" t="str">
        <f>N7529&amp;AS[[#This Row],[Insurer Code]]&amp;"; "&amp;O7529&amp;AS[[#This Row],[Reporting Year]]&amp;"; "&amp;P7529&amp;AS[[#This Row],[Insurance Category Code]]&amp;"; "&amp;Q7529&amp;AS[[#This Row],[Large Provider Entity Code]]&amp;"; "&amp;R7529&amp;AS[[#This Row],[Age Band Code]]&amp;"; "&amp;S7529&amp;AS[[#This Row],[Sex Code]]</f>
        <v xml:space="preserve">Insurer Code ; Reporting Year ; Insurance Category Code ; Large Provider Entity Code ; Age Band Code ; Sex Code </v>
      </c>
      <c r="N7529" s="345" t="s">
        <v>207</v>
      </c>
      <c r="O7529" s="345" t="s">
        <v>208</v>
      </c>
      <c r="P7529" s="345" t="s">
        <v>209</v>
      </c>
      <c r="Q7529" s="345" t="s">
        <v>210</v>
      </c>
      <c r="R7529" s="345" t="s">
        <v>223</v>
      </c>
      <c r="S7529" s="345" t="s">
        <v>224</v>
      </c>
    </row>
    <row r="7530" spans="1:19" x14ac:dyDescent="0.25">
      <c r="A7530" s="311"/>
      <c r="B7530" s="312"/>
      <c r="C7530" s="312"/>
      <c r="D7530" s="312"/>
      <c r="E7530" s="312"/>
      <c r="F7530" s="312"/>
      <c r="G7530" s="328"/>
      <c r="H7530" s="453"/>
      <c r="I7530" s="334"/>
      <c r="J7530" s="314"/>
      <c r="K7530" s="454"/>
      <c r="M7530" s="349" t="str">
        <f>N7530&amp;AS[[#This Row],[Insurer Code]]&amp;"; "&amp;O7530&amp;AS[[#This Row],[Reporting Year]]&amp;"; "&amp;P7530&amp;AS[[#This Row],[Insurance Category Code]]&amp;"; "&amp;Q7530&amp;AS[[#This Row],[Large Provider Entity Code]]&amp;"; "&amp;R7530&amp;AS[[#This Row],[Age Band Code]]&amp;"; "&amp;S7530&amp;AS[[#This Row],[Sex Code]]</f>
        <v xml:space="preserve">Insurer Code ; Reporting Year ; Insurance Category Code ; Large Provider Entity Code ; Age Band Code ; Sex Code </v>
      </c>
      <c r="N7530" s="345" t="s">
        <v>207</v>
      </c>
      <c r="O7530" s="345" t="s">
        <v>208</v>
      </c>
      <c r="P7530" s="345" t="s">
        <v>209</v>
      </c>
      <c r="Q7530" s="345" t="s">
        <v>210</v>
      </c>
      <c r="R7530" s="345" t="s">
        <v>223</v>
      </c>
      <c r="S7530" s="345" t="s">
        <v>224</v>
      </c>
    </row>
    <row r="7531" spans="1:19" x14ac:dyDescent="0.25">
      <c r="A7531" s="311"/>
      <c r="B7531" s="312"/>
      <c r="C7531" s="312"/>
      <c r="D7531" s="312"/>
      <c r="E7531" s="312"/>
      <c r="F7531" s="312"/>
      <c r="G7531" s="328"/>
      <c r="H7531" s="453"/>
      <c r="I7531" s="334"/>
      <c r="J7531" s="314"/>
      <c r="K7531" s="454"/>
      <c r="M7531" s="349" t="str">
        <f>N7531&amp;AS[[#This Row],[Insurer Code]]&amp;"; "&amp;O7531&amp;AS[[#This Row],[Reporting Year]]&amp;"; "&amp;P7531&amp;AS[[#This Row],[Insurance Category Code]]&amp;"; "&amp;Q7531&amp;AS[[#This Row],[Large Provider Entity Code]]&amp;"; "&amp;R7531&amp;AS[[#This Row],[Age Band Code]]&amp;"; "&amp;S7531&amp;AS[[#This Row],[Sex Code]]</f>
        <v xml:space="preserve">Insurer Code ; Reporting Year ; Insurance Category Code ; Large Provider Entity Code ; Age Band Code ; Sex Code </v>
      </c>
      <c r="N7531" s="345" t="s">
        <v>207</v>
      </c>
      <c r="O7531" s="345" t="s">
        <v>208</v>
      </c>
      <c r="P7531" s="345" t="s">
        <v>209</v>
      </c>
      <c r="Q7531" s="345" t="s">
        <v>210</v>
      </c>
      <c r="R7531" s="345" t="s">
        <v>223</v>
      </c>
      <c r="S7531" s="345" t="s">
        <v>224</v>
      </c>
    </row>
    <row r="7532" spans="1:19" x14ac:dyDescent="0.25">
      <c r="A7532" s="311"/>
      <c r="B7532" s="312"/>
      <c r="C7532" s="312"/>
      <c r="D7532" s="312"/>
      <c r="E7532" s="312"/>
      <c r="F7532" s="312"/>
      <c r="G7532" s="328"/>
      <c r="H7532" s="453"/>
      <c r="I7532" s="334"/>
      <c r="J7532" s="314"/>
      <c r="K7532" s="454"/>
      <c r="M7532" s="349" t="str">
        <f>N7532&amp;AS[[#This Row],[Insurer Code]]&amp;"; "&amp;O7532&amp;AS[[#This Row],[Reporting Year]]&amp;"; "&amp;P7532&amp;AS[[#This Row],[Insurance Category Code]]&amp;"; "&amp;Q7532&amp;AS[[#This Row],[Large Provider Entity Code]]&amp;"; "&amp;R7532&amp;AS[[#This Row],[Age Band Code]]&amp;"; "&amp;S7532&amp;AS[[#This Row],[Sex Code]]</f>
        <v xml:space="preserve">Insurer Code ; Reporting Year ; Insurance Category Code ; Large Provider Entity Code ; Age Band Code ; Sex Code </v>
      </c>
      <c r="N7532" s="345" t="s">
        <v>207</v>
      </c>
      <c r="O7532" s="345" t="s">
        <v>208</v>
      </c>
      <c r="P7532" s="345" t="s">
        <v>209</v>
      </c>
      <c r="Q7532" s="345" t="s">
        <v>210</v>
      </c>
      <c r="R7532" s="345" t="s">
        <v>223</v>
      </c>
      <c r="S7532" s="345" t="s">
        <v>224</v>
      </c>
    </row>
    <row r="7533" spans="1:19" x14ac:dyDescent="0.25">
      <c r="A7533" s="311"/>
      <c r="B7533" s="312"/>
      <c r="C7533" s="312"/>
      <c r="D7533" s="312"/>
      <c r="E7533" s="312"/>
      <c r="F7533" s="312"/>
      <c r="G7533" s="328"/>
      <c r="H7533" s="453"/>
      <c r="I7533" s="334"/>
      <c r="J7533" s="314"/>
      <c r="K7533" s="454"/>
      <c r="M7533" s="349" t="str">
        <f>N7533&amp;AS[[#This Row],[Insurer Code]]&amp;"; "&amp;O7533&amp;AS[[#This Row],[Reporting Year]]&amp;"; "&amp;P7533&amp;AS[[#This Row],[Insurance Category Code]]&amp;"; "&amp;Q7533&amp;AS[[#This Row],[Large Provider Entity Code]]&amp;"; "&amp;R7533&amp;AS[[#This Row],[Age Band Code]]&amp;"; "&amp;S7533&amp;AS[[#This Row],[Sex Code]]</f>
        <v xml:space="preserve">Insurer Code ; Reporting Year ; Insurance Category Code ; Large Provider Entity Code ; Age Band Code ; Sex Code </v>
      </c>
      <c r="N7533" s="345" t="s">
        <v>207</v>
      </c>
      <c r="O7533" s="345" t="s">
        <v>208</v>
      </c>
      <c r="P7533" s="345" t="s">
        <v>209</v>
      </c>
      <c r="Q7533" s="345" t="s">
        <v>210</v>
      </c>
      <c r="R7533" s="345" t="s">
        <v>223</v>
      </c>
      <c r="S7533" s="345" t="s">
        <v>224</v>
      </c>
    </row>
    <row r="7534" spans="1:19" x14ac:dyDescent="0.25">
      <c r="A7534" s="311"/>
      <c r="B7534" s="312"/>
      <c r="C7534" s="312"/>
      <c r="D7534" s="312"/>
      <c r="E7534" s="312"/>
      <c r="F7534" s="312"/>
      <c r="G7534" s="328"/>
      <c r="H7534" s="453"/>
      <c r="I7534" s="334"/>
      <c r="J7534" s="314"/>
      <c r="K7534" s="454"/>
      <c r="M7534" s="349" t="str">
        <f>N7534&amp;AS[[#This Row],[Insurer Code]]&amp;"; "&amp;O7534&amp;AS[[#This Row],[Reporting Year]]&amp;"; "&amp;P7534&amp;AS[[#This Row],[Insurance Category Code]]&amp;"; "&amp;Q7534&amp;AS[[#This Row],[Large Provider Entity Code]]&amp;"; "&amp;R7534&amp;AS[[#This Row],[Age Band Code]]&amp;"; "&amp;S7534&amp;AS[[#This Row],[Sex Code]]</f>
        <v xml:space="preserve">Insurer Code ; Reporting Year ; Insurance Category Code ; Large Provider Entity Code ; Age Band Code ; Sex Code </v>
      </c>
      <c r="N7534" s="345" t="s">
        <v>207</v>
      </c>
      <c r="O7534" s="345" t="s">
        <v>208</v>
      </c>
      <c r="P7534" s="345" t="s">
        <v>209</v>
      </c>
      <c r="Q7534" s="345" t="s">
        <v>210</v>
      </c>
      <c r="R7534" s="345" t="s">
        <v>223</v>
      </c>
      <c r="S7534" s="345" t="s">
        <v>224</v>
      </c>
    </row>
    <row r="7535" spans="1:19" x14ac:dyDescent="0.25">
      <c r="A7535" s="311"/>
      <c r="B7535" s="312"/>
      <c r="C7535" s="312"/>
      <c r="D7535" s="312"/>
      <c r="E7535" s="312"/>
      <c r="F7535" s="312"/>
      <c r="G7535" s="328"/>
      <c r="H7535" s="453"/>
      <c r="I7535" s="334"/>
      <c r="J7535" s="314"/>
      <c r="K7535" s="454"/>
      <c r="M7535" s="349" t="str">
        <f>N7535&amp;AS[[#This Row],[Insurer Code]]&amp;"; "&amp;O7535&amp;AS[[#This Row],[Reporting Year]]&amp;"; "&amp;P7535&amp;AS[[#This Row],[Insurance Category Code]]&amp;"; "&amp;Q7535&amp;AS[[#This Row],[Large Provider Entity Code]]&amp;"; "&amp;R7535&amp;AS[[#This Row],[Age Band Code]]&amp;"; "&amp;S7535&amp;AS[[#This Row],[Sex Code]]</f>
        <v xml:space="preserve">Insurer Code ; Reporting Year ; Insurance Category Code ; Large Provider Entity Code ; Age Band Code ; Sex Code </v>
      </c>
      <c r="N7535" s="345" t="s">
        <v>207</v>
      </c>
      <c r="O7535" s="345" t="s">
        <v>208</v>
      </c>
      <c r="P7535" s="345" t="s">
        <v>209</v>
      </c>
      <c r="Q7535" s="345" t="s">
        <v>210</v>
      </c>
      <c r="R7535" s="345" t="s">
        <v>223</v>
      </c>
      <c r="S7535" s="345" t="s">
        <v>224</v>
      </c>
    </row>
    <row r="7536" spans="1:19" x14ac:dyDescent="0.25">
      <c r="A7536" s="311"/>
      <c r="B7536" s="312"/>
      <c r="C7536" s="312"/>
      <c r="D7536" s="312"/>
      <c r="E7536" s="312"/>
      <c r="F7536" s="312"/>
      <c r="G7536" s="328"/>
      <c r="H7536" s="453"/>
      <c r="I7536" s="334"/>
      <c r="J7536" s="314"/>
      <c r="K7536" s="454"/>
      <c r="M7536" s="349" t="str">
        <f>N7536&amp;AS[[#This Row],[Insurer Code]]&amp;"; "&amp;O7536&amp;AS[[#This Row],[Reporting Year]]&amp;"; "&amp;P7536&amp;AS[[#This Row],[Insurance Category Code]]&amp;"; "&amp;Q7536&amp;AS[[#This Row],[Large Provider Entity Code]]&amp;"; "&amp;R7536&amp;AS[[#This Row],[Age Band Code]]&amp;"; "&amp;S7536&amp;AS[[#This Row],[Sex Code]]</f>
        <v xml:space="preserve">Insurer Code ; Reporting Year ; Insurance Category Code ; Large Provider Entity Code ; Age Band Code ; Sex Code </v>
      </c>
      <c r="N7536" s="345" t="s">
        <v>207</v>
      </c>
      <c r="O7536" s="345" t="s">
        <v>208</v>
      </c>
      <c r="P7536" s="345" t="s">
        <v>209</v>
      </c>
      <c r="Q7536" s="345" t="s">
        <v>210</v>
      </c>
      <c r="R7536" s="345" t="s">
        <v>223</v>
      </c>
      <c r="S7536" s="345" t="s">
        <v>224</v>
      </c>
    </row>
    <row r="7537" spans="1:19" x14ac:dyDescent="0.25">
      <c r="A7537" s="311"/>
      <c r="B7537" s="312"/>
      <c r="C7537" s="312"/>
      <c r="D7537" s="312"/>
      <c r="E7537" s="312"/>
      <c r="F7537" s="312"/>
      <c r="G7537" s="328"/>
      <c r="H7537" s="453"/>
      <c r="I7537" s="334"/>
      <c r="J7537" s="314"/>
      <c r="K7537" s="454"/>
      <c r="M7537" s="349" t="str">
        <f>N7537&amp;AS[[#This Row],[Insurer Code]]&amp;"; "&amp;O7537&amp;AS[[#This Row],[Reporting Year]]&amp;"; "&amp;P7537&amp;AS[[#This Row],[Insurance Category Code]]&amp;"; "&amp;Q7537&amp;AS[[#This Row],[Large Provider Entity Code]]&amp;"; "&amp;R7537&amp;AS[[#This Row],[Age Band Code]]&amp;"; "&amp;S7537&amp;AS[[#This Row],[Sex Code]]</f>
        <v xml:space="preserve">Insurer Code ; Reporting Year ; Insurance Category Code ; Large Provider Entity Code ; Age Band Code ; Sex Code </v>
      </c>
      <c r="N7537" s="345" t="s">
        <v>207</v>
      </c>
      <c r="O7537" s="345" t="s">
        <v>208</v>
      </c>
      <c r="P7537" s="345" t="s">
        <v>209</v>
      </c>
      <c r="Q7537" s="345" t="s">
        <v>210</v>
      </c>
      <c r="R7537" s="345" t="s">
        <v>223</v>
      </c>
      <c r="S7537" s="345" t="s">
        <v>224</v>
      </c>
    </row>
    <row r="7538" spans="1:19" x14ac:dyDescent="0.25">
      <c r="A7538" s="311"/>
      <c r="B7538" s="312"/>
      <c r="C7538" s="312"/>
      <c r="D7538" s="312"/>
      <c r="E7538" s="312"/>
      <c r="F7538" s="312"/>
      <c r="G7538" s="328"/>
      <c r="H7538" s="453"/>
      <c r="I7538" s="334"/>
      <c r="J7538" s="314"/>
      <c r="K7538" s="454"/>
      <c r="M7538" s="349" t="str">
        <f>N7538&amp;AS[[#This Row],[Insurer Code]]&amp;"; "&amp;O7538&amp;AS[[#This Row],[Reporting Year]]&amp;"; "&amp;P7538&amp;AS[[#This Row],[Insurance Category Code]]&amp;"; "&amp;Q7538&amp;AS[[#This Row],[Large Provider Entity Code]]&amp;"; "&amp;R7538&amp;AS[[#This Row],[Age Band Code]]&amp;"; "&amp;S7538&amp;AS[[#This Row],[Sex Code]]</f>
        <v xml:space="preserve">Insurer Code ; Reporting Year ; Insurance Category Code ; Large Provider Entity Code ; Age Band Code ; Sex Code </v>
      </c>
      <c r="N7538" s="345" t="s">
        <v>207</v>
      </c>
      <c r="O7538" s="345" t="s">
        <v>208</v>
      </c>
      <c r="P7538" s="345" t="s">
        <v>209</v>
      </c>
      <c r="Q7538" s="345" t="s">
        <v>210</v>
      </c>
      <c r="R7538" s="345" t="s">
        <v>223</v>
      </c>
      <c r="S7538" s="345" t="s">
        <v>224</v>
      </c>
    </row>
    <row r="7539" spans="1:19" x14ac:dyDescent="0.25">
      <c r="A7539" s="311"/>
      <c r="B7539" s="312"/>
      <c r="C7539" s="312"/>
      <c r="D7539" s="312"/>
      <c r="E7539" s="312"/>
      <c r="F7539" s="312"/>
      <c r="G7539" s="328"/>
      <c r="H7539" s="453"/>
      <c r="I7539" s="334"/>
      <c r="J7539" s="314"/>
      <c r="K7539" s="454"/>
      <c r="M7539" s="349" t="str">
        <f>N7539&amp;AS[[#This Row],[Insurer Code]]&amp;"; "&amp;O7539&amp;AS[[#This Row],[Reporting Year]]&amp;"; "&amp;P7539&amp;AS[[#This Row],[Insurance Category Code]]&amp;"; "&amp;Q7539&amp;AS[[#This Row],[Large Provider Entity Code]]&amp;"; "&amp;R7539&amp;AS[[#This Row],[Age Band Code]]&amp;"; "&amp;S7539&amp;AS[[#This Row],[Sex Code]]</f>
        <v xml:space="preserve">Insurer Code ; Reporting Year ; Insurance Category Code ; Large Provider Entity Code ; Age Band Code ; Sex Code </v>
      </c>
      <c r="N7539" s="345" t="s">
        <v>207</v>
      </c>
      <c r="O7539" s="345" t="s">
        <v>208</v>
      </c>
      <c r="P7539" s="345" t="s">
        <v>209</v>
      </c>
      <c r="Q7539" s="345" t="s">
        <v>210</v>
      </c>
      <c r="R7539" s="345" t="s">
        <v>223</v>
      </c>
      <c r="S7539" s="345" t="s">
        <v>224</v>
      </c>
    </row>
    <row r="7540" spans="1:19" x14ac:dyDescent="0.25">
      <c r="A7540" s="311"/>
      <c r="B7540" s="312"/>
      <c r="C7540" s="312"/>
      <c r="D7540" s="312"/>
      <c r="E7540" s="312"/>
      <c r="F7540" s="312"/>
      <c r="G7540" s="328"/>
      <c r="H7540" s="453"/>
      <c r="I7540" s="334"/>
      <c r="J7540" s="314"/>
      <c r="K7540" s="454"/>
      <c r="M7540" s="349" t="str">
        <f>N7540&amp;AS[[#This Row],[Insurer Code]]&amp;"; "&amp;O7540&amp;AS[[#This Row],[Reporting Year]]&amp;"; "&amp;P7540&amp;AS[[#This Row],[Insurance Category Code]]&amp;"; "&amp;Q7540&amp;AS[[#This Row],[Large Provider Entity Code]]&amp;"; "&amp;R7540&amp;AS[[#This Row],[Age Band Code]]&amp;"; "&amp;S7540&amp;AS[[#This Row],[Sex Code]]</f>
        <v xml:space="preserve">Insurer Code ; Reporting Year ; Insurance Category Code ; Large Provider Entity Code ; Age Band Code ; Sex Code </v>
      </c>
      <c r="N7540" s="345" t="s">
        <v>207</v>
      </c>
      <c r="O7540" s="345" t="s">
        <v>208</v>
      </c>
      <c r="P7540" s="345" t="s">
        <v>209</v>
      </c>
      <c r="Q7540" s="345" t="s">
        <v>210</v>
      </c>
      <c r="R7540" s="345" t="s">
        <v>223</v>
      </c>
      <c r="S7540" s="345" t="s">
        <v>224</v>
      </c>
    </row>
    <row r="7541" spans="1:19" x14ac:dyDescent="0.25">
      <c r="A7541" s="311"/>
      <c r="B7541" s="312"/>
      <c r="C7541" s="312"/>
      <c r="D7541" s="312"/>
      <c r="E7541" s="312"/>
      <c r="F7541" s="312"/>
      <c r="G7541" s="328"/>
      <c r="H7541" s="453"/>
      <c r="I7541" s="334"/>
      <c r="J7541" s="314"/>
      <c r="K7541" s="454"/>
      <c r="M7541" s="349" t="str">
        <f>N7541&amp;AS[[#This Row],[Insurer Code]]&amp;"; "&amp;O7541&amp;AS[[#This Row],[Reporting Year]]&amp;"; "&amp;P7541&amp;AS[[#This Row],[Insurance Category Code]]&amp;"; "&amp;Q7541&amp;AS[[#This Row],[Large Provider Entity Code]]&amp;"; "&amp;R7541&amp;AS[[#This Row],[Age Band Code]]&amp;"; "&amp;S7541&amp;AS[[#This Row],[Sex Code]]</f>
        <v xml:space="preserve">Insurer Code ; Reporting Year ; Insurance Category Code ; Large Provider Entity Code ; Age Band Code ; Sex Code </v>
      </c>
      <c r="N7541" s="345" t="s">
        <v>207</v>
      </c>
      <c r="O7541" s="345" t="s">
        <v>208</v>
      </c>
      <c r="P7541" s="345" t="s">
        <v>209</v>
      </c>
      <c r="Q7541" s="345" t="s">
        <v>210</v>
      </c>
      <c r="R7541" s="345" t="s">
        <v>223</v>
      </c>
      <c r="S7541" s="345" t="s">
        <v>224</v>
      </c>
    </row>
    <row r="7542" spans="1:19" x14ac:dyDescent="0.25">
      <c r="A7542" s="311"/>
      <c r="B7542" s="312"/>
      <c r="C7542" s="312"/>
      <c r="D7542" s="312"/>
      <c r="E7542" s="312"/>
      <c r="F7542" s="312"/>
      <c r="G7542" s="328"/>
      <c r="H7542" s="453"/>
      <c r="I7542" s="334"/>
      <c r="J7542" s="314"/>
      <c r="K7542" s="454"/>
      <c r="M7542" s="349" t="str">
        <f>N7542&amp;AS[[#This Row],[Insurer Code]]&amp;"; "&amp;O7542&amp;AS[[#This Row],[Reporting Year]]&amp;"; "&amp;P7542&amp;AS[[#This Row],[Insurance Category Code]]&amp;"; "&amp;Q7542&amp;AS[[#This Row],[Large Provider Entity Code]]&amp;"; "&amp;R7542&amp;AS[[#This Row],[Age Band Code]]&amp;"; "&amp;S7542&amp;AS[[#This Row],[Sex Code]]</f>
        <v xml:space="preserve">Insurer Code ; Reporting Year ; Insurance Category Code ; Large Provider Entity Code ; Age Band Code ; Sex Code </v>
      </c>
      <c r="N7542" s="345" t="s">
        <v>207</v>
      </c>
      <c r="O7542" s="345" t="s">
        <v>208</v>
      </c>
      <c r="P7542" s="345" t="s">
        <v>209</v>
      </c>
      <c r="Q7542" s="345" t="s">
        <v>210</v>
      </c>
      <c r="R7542" s="345" t="s">
        <v>223</v>
      </c>
      <c r="S7542" s="345" t="s">
        <v>224</v>
      </c>
    </row>
    <row r="7543" spans="1:19" x14ac:dyDescent="0.25">
      <c r="A7543" s="311"/>
      <c r="B7543" s="312"/>
      <c r="C7543" s="312"/>
      <c r="D7543" s="312"/>
      <c r="E7543" s="312"/>
      <c r="F7543" s="312"/>
      <c r="G7543" s="328"/>
      <c r="H7543" s="453"/>
      <c r="I7543" s="334"/>
      <c r="J7543" s="314"/>
      <c r="K7543" s="454"/>
      <c r="M7543" s="349" t="str">
        <f>N7543&amp;AS[[#This Row],[Insurer Code]]&amp;"; "&amp;O7543&amp;AS[[#This Row],[Reporting Year]]&amp;"; "&amp;P7543&amp;AS[[#This Row],[Insurance Category Code]]&amp;"; "&amp;Q7543&amp;AS[[#This Row],[Large Provider Entity Code]]&amp;"; "&amp;R7543&amp;AS[[#This Row],[Age Band Code]]&amp;"; "&amp;S7543&amp;AS[[#This Row],[Sex Code]]</f>
        <v xml:space="preserve">Insurer Code ; Reporting Year ; Insurance Category Code ; Large Provider Entity Code ; Age Band Code ; Sex Code </v>
      </c>
      <c r="N7543" s="345" t="s">
        <v>207</v>
      </c>
      <c r="O7543" s="345" t="s">
        <v>208</v>
      </c>
      <c r="P7543" s="345" t="s">
        <v>209</v>
      </c>
      <c r="Q7543" s="345" t="s">
        <v>210</v>
      </c>
      <c r="R7543" s="345" t="s">
        <v>223</v>
      </c>
      <c r="S7543" s="345" t="s">
        <v>224</v>
      </c>
    </row>
    <row r="7544" spans="1:19" x14ac:dyDescent="0.25">
      <c r="A7544" s="311"/>
      <c r="B7544" s="312"/>
      <c r="C7544" s="312"/>
      <c r="D7544" s="312"/>
      <c r="E7544" s="312"/>
      <c r="F7544" s="312"/>
      <c r="G7544" s="328"/>
      <c r="H7544" s="453"/>
      <c r="I7544" s="334"/>
      <c r="J7544" s="314"/>
      <c r="K7544" s="454"/>
      <c r="M7544" s="349" t="str">
        <f>N7544&amp;AS[[#This Row],[Insurer Code]]&amp;"; "&amp;O7544&amp;AS[[#This Row],[Reporting Year]]&amp;"; "&amp;P7544&amp;AS[[#This Row],[Insurance Category Code]]&amp;"; "&amp;Q7544&amp;AS[[#This Row],[Large Provider Entity Code]]&amp;"; "&amp;R7544&amp;AS[[#This Row],[Age Band Code]]&amp;"; "&amp;S7544&amp;AS[[#This Row],[Sex Code]]</f>
        <v xml:space="preserve">Insurer Code ; Reporting Year ; Insurance Category Code ; Large Provider Entity Code ; Age Band Code ; Sex Code </v>
      </c>
      <c r="N7544" s="345" t="s">
        <v>207</v>
      </c>
      <c r="O7544" s="345" t="s">
        <v>208</v>
      </c>
      <c r="P7544" s="345" t="s">
        <v>209</v>
      </c>
      <c r="Q7544" s="345" t="s">
        <v>210</v>
      </c>
      <c r="R7544" s="345" t="s">
        <v>223</v>
      </c>
      <c r="S7544" s="345" t="s">
        <v>224</v>
      </c>
    </row>
    <row r="7545" spans="1:19" x14ac:dyDescent="0.25">
      <c r="A7545" s="311"/>
      <c r="B7545" s="312"/>
      <c r="C7545" s="312"/>
      <c r="D7545" s="312"/>
      <c r="E7545" s="312"/>
      <c r="F7545" s="312"/>
      <c r="G7545" s="328"/>
      <c r="H7545" s="453"/>
      <c r="I7545" s="334"/>
      <c r="J7545" s="314"/>
      <c r="K7545" s="454"/>
      <c r="M7545" s="349" t="str">
        <f>N7545&amp;AS[[#This Row],[Insurer Code]]&amp;"; "&amp;O7545&amp;AS[[#This Row],[Reporting Year]]&amp;"; "&amp;P7545&amp;AS[[#This Row],[Insurance Category Code]]&amp;"; "&amp;Q7545&amp;AS[[#This Row],[Large Provider Entity Code]]&amp;"; "&amp;R7545&amp;AS[[#This Row],[Age Band Code]]&amp;"; "&amp;S7545&amp;AS[[#This Row],[Sex Code]]</f>
        <v xml:space="preserve">Insurer Code ; Reporting Year ; Insurance Category Code ; Large Provider Entity Code ; Age Band Code ; Sex Code </v>
      </c>
      <c r="N7545" s="345" t="s">
        <v>207</v>
      </c>
      <c r="O7545" s="345" t="s">
        <v>208</v>
      </c>
      <c r="P7545" s="345" t="s">
        <v>209</v>
      </c>
      <c r="Q7545" s="345" t="s">
        <v>210</v>
      </c>
      <c r="R7545" s="345" t="s">
        <v>223</v>
      </c>
      <c r="S7545" s="345" t="s">
        <v>224</v>
      </c>
    </row>
    <row r="7546" spans="1:19" x14ac:dyDescent="0.25">
      <c r="A7546" s="311"/>
      <c r="B7546" s="312"/>
      <c r="C7546" s="312"/>
      <c r="D7546" s="312"/>
      <c r="E7546" s="312"/>
      <c r="F7546" s="312"/>
      <c r="G7546" s="328"/>
      <c r="H7546" s="453"/>
      <c r="I7546" s="334"/>
      <c r="J7546" s="314"/>
      <c r="K7546" s="454"/>
      <c r="M7546" s="349" t="str">
        <f>N7546&amp;AS[[#This Row],[Insurer Code]]&amp;"; "&amp;O7546&amp;AS[[#This Row],[Reporting Year]]&amp;"; "&amp;P7546&amp;AS[[#This Row],[Insurance Category Code]]&amp;"; "&amp;Q7546&amp;AS[[#This Row],[Large Provider Entity Code]]&amp;"; "&amp;R7546&amp;AS[[#This Row],[Age Band Code]]&amp;"; "&amp;S7546&amp;AS[[#This Row],[Sex Code]]</f>
        <v xml:space="preserve">Insurer Code ; Reporting Year ; Insurance Category Code ; Large Provider Entity Code ; Age Band Code ; Sex Code </v>
      </c>
      <c r="N7546" s="345" t="s">
        <v>207</v>
      </c>
      <c r="O7546" s="345" t="s">
        <v>208</v>
      </c>
      <c r="P7546" s="345" t="s">
        <v>209</v>
      </c>
      <c r="Q7546" s="345" t="s">
        <v>210</v>
      </c>
      <c r="R7546" s="345" t="s">
        <v>223</v>
      </c>
      <c r="S7546" s="345" t="s">
        <v>224</v>
      </c>
    </row>
    <row r="7547" spans="1:19" x14ac:dyDescent="0.25">
      <c r="A7547" s="311"/>
      <c r="B7547" s="312"/>
      <c r="C7547" s="312"/>
      <c r="D7547" s="312"/>
      <c r="E7547" s="312"/>
      <c r="F7547" s="312"/>
      <c r="G7547" s="328"/>
      <c r="H7547" s="453"/>
      <c r="I7547" s="334"/>
      <c r="J7547" s="314"/>
      <c r="K7547" s="454"/>
      <c r="M7547" s="349" t="str">
        <f>N7547&amp;AS[[#This Row],[Insurer Code]]&amp;"; "&amp;O7547&amp;AS[[#This Row],[Reporting Year]]&amp;"; "&amp;P7547&amp;AS[[#This Row],[Insurance Category Code]]&amp;"; "&amp;Q7547&amp;AS[[#This Row],[Large Provider Entity Code]]&amp;"; "&amp;R7547&amp;AS[[#This Row],[Age Band Code]]&amp;"; "&amp;S7547&amp;AS[[#This Row],[Sex Code]]</f>
        <v xml:space="preserve">Insurer Code ; Reporting Year ; Insurance Category Code ; Large Provider Entity Code ; Age Band Code ; Sex Code </v>
      </c>
      <c r="N7547" s="345" t="s">
        <v>207</v>
      </c>
      <c r="O7547" s="345" t="s">
        <v>208</v>
      </c>
      <c r="P7547" s="345" t="s">
        <v>209</v>
      </c>
      <c r="Q7547" s="345" t="s">
        <v>210</v>
      </c>
      <c r="R7547" s="345" t="s">
        <v>223</v>
      </c>
      <c r="S7547" s="345" t="s">
        <v>224</v>
      </c>
    </row>
    <row r="7548" spans="1:19" x14ac:dyDescent="0.25">
      <c r="A7548" s="311"/>
      <c r="B7548" s="312"/>
      <c r="C7548" s="312"/>
      <c r="D7548" s="312"/>
      <c r="E7548" s="312"/>
      <c r="F7548" s="312"/>
      <c r="G7548" s="328"/>
      <c r="H7548" s="453"/>
      <c r="I7548" s="334"/>
      <c r="J7548" s="314"/>
      <c r="K7548" s="454"/>
      <c r="M7548" s="349" t="str">
        <f>N7548&amp;AS[[#This Row],[Insurer Code]]&amp;"; "&amp;O7548&amp;AS[[#This Row],[Reporting Year]]&amp;"; "&amp;P7548&amp;AS[[#This Row],[Insurance Category Code]]&amp;"; "&amp;Q7548&amp;AS[[#This Row],[Large Provider Entity Code]]&amp;"; "&amp;R7548&amp;AS[[#This Row],[Age Band Code]]&amp;"; "&amp;S7548&amp;AS[[#This Row],[Sex Code]]</f>
        <v xml:space="preserve">Insurer Code ; Reporting Year ; Insurance Category Code ; Large Provider Entity Code ; Age Band Code ; Sex Code </v>
      </c>
      <c r="N7548" s="345" t="s">
        <v>207</v>
      </c>
      <c r="O7548" s="345" t="s">
        <v>208</v>
      </c>
      <c r="P7548" s="345" t="s">
        <v>209</v>
      </c>
      <c r="Q7548" s="345" t="s">
        <v>210</v>
      </c>
      <c r="R7548" s="345" t="s">
        <v>223</v>
      </c>
      <c r="S7548" s="345" t="s">
        <v>224</v>
      </c>
    </row>
    <row r="7549" spans="1:19" x14ac:dyDescent="0.25">
      <c r="A7549" s="311"/>
      <c r="B7549" s="312"/>
      <c r="C7549" s="312"/>
      <c r="D7549" s="312"/>
      <c r="E7549" s="312"/>
      <c r="F7549" s="312"/>
      <c r="G7549" s="328"/>
      <c r="H7549" s="453"/>
      <c r="I7549" s="334"/>
      <c r="J7549" s="314"/>
      <c r="K7549" s="454"/>
      <c r="M7549" s="349" t="str">
        <f>N7549&amp;AS[[#This Row],[Insurer Code]]&amp;"; "&amp;O7549&amp;AS[[#This Row],[Reporting Year]]&amp;"; "&amp;P7549&amp;AS[[#This Row],[Insurance Category Code]]&amp;"; "&amp;Q7549&amp;AS[[#This Row],[Large Provider Entity Code]]&amp;"; "&amp;R7549&amp;AS[[#This Row],[Age Band Code]]&amp;"; "&amp;S7549&amp;AS[[#This Row],[Sex Code]]</f>
        <v xml:space="preserve">Insurer Code ; Reporting Year ; Insurance Category Code ; Large Provider Entity Code ; Age Band Code ; Sex Code </v>
      </c>
      <c r="N7549" s="345" t="s">
        <v>207</v>
      </c>
      <c r="O7549" s="345" t="s">
        <v>208</v>
      </c>
      <c r="P7549" s="345" t="s">
        <v>209</v>
      </c>
      <c r="Q7549" s="345" t="s">
        <v>210</v>
      </c>
      <c r="R7549" s="345" t="s">
        <v>223</v>
      </c>
      <c r="S7549" s="345" t="s">
        <v>224</v>
      </c>
    </row>
    <row r="7550" spans="1:19" x14ac:dyDescent="0.25">
      <c r="A7550" s="311"/>
      <c r="B7550" s="312"/>
      <c r="C7550" s="312"/>
      <c r="D7550" s="312"/>
      <c r="E7550" s="312"/>
      <c r="F7550" s="312"/>
      <c r="G7550" s="328"/>
      <c r="H7550" s="453"/>
      <c r="I7550" s="334"/>
      <c r="J7550" s="314"/>
      <c r="K7550" s="454"/>
      <c r="M7550" s="349" t="str">
        <f>N7550&amp;AS[[#This Row],[Insurer Code]]&amp;"; "&amp;O7550&amp;AS[[#This Row],[Reporting Year]]&amp;"; "&amp;P7550&amp;AS[[#This Row],[Insurance Category Code]]&amp;"; "&amp;Q7550&amp;AS[[#This Row],[Large Provider Entity Code]]&amp;"; "&amp;R7550&amp;AS[[#This Row],[Age Band Code]]&amp;"; "&amp;S7550&amp;AS[[#This Row],[Sex Code]]</f>
        <v xml:space="preserve">Insurer Code ; Reporting Year ; Insurance Category Code ; Large Provider Entity Code ; Age Band Code ; Sex Code </v>
      </c>
      <c r="N7550" s="345" t="s">
        <v>207</v>
      </c>
      <c r="O7550" s="345" t="s">
        <v>208</v>
      </c>
      <c r="P7550" s="345" t="s">
        <v>209</v>
      </c>
      <c r="Q7550" s="345" t="s">
        <v>210</v>
      </c>
      <c r="R7550" s="345" t="s">
        <v>223</v>
      </c>
      <c r="S7550" s="345" t="s">
        <v>224</v>
      </c>
    </row>
    <row r="7551" spans="1:19" x14ac:dyDescent="0.25">
      <c r="A7551" s="311"/>
      <c r="B7551" s="312"/>
      <c r="C7551" s="312"/>
      <c r="D7551" s="312"/>
      <c r="E7551" s="312"/>
      <c r="F7551" s="312"/>
      <c r="G7551" s="328"/>
      <c r="H7551" s="453"/>
      <c r="I7551" s="334"/>
      <c r="J7551" s="314"/>
      <c r="K7551" s="454"/>
      <c r="M7551" s="349" t="str">
        <f>N7551&amp;AS[[#This Row],[Insurer Code]]&amp;"; "&amp;O7551&amp;AS[[#This Row],[Reporting Year]]&amp;"; "&amp;P7551&amp;AS[[#This Row],[Insurance Category Code]]&amp;"; "&amp;Q7551&amp;AS[[#This Row],[Large Provider Entity Code]]&amp;"; "&amp;R7551&amp;AS[[#This Row],[Age Band Code]]&amp;"; "&amp;S7551&amp;AS[[#This Row],[Sex Code]]</f>
        <v xml:space="preserve">Insurer Code ; Reporting Year ; Insurance Category Code ; Large Provider Entity Code ; Age Band Code ; Sex Code </v>
      </c>
      <c r="N7551" s="345" t="s">
        <v>207</v>
      </c>
      <c r="O7551" s="345" t="s">
        <v>208</v>
      </c>
      <c r="P7551" s="345" t="s">
        <v>209</v>
      </c>
      <c r="Q7551" s="345" t="s">
        <v>210</v>
      </c>
      <c r="R7551" s="345" t="s">
        <v>223</v>
      </c>
      <c r="S7551" s="345" t="s">
        <v>224</v>
      </c>
    </row>
    <row r="7552" spans="1:19" x14ac:dyDescent="0.25">
      <c r="A7552" s="311"/>
      <c r="B7552" s="312"/>
      <c r="C7552" s="312"/>
      <c r="D7552" s="312"/>
      <c r="E7552" s="312"/>
      <c r="F7552" s="312"/>
      <c r="G7552" s="328"/>
      <c r="H7552" s="453"/>
      <c r="I7552" s="334"/>
      <c r="J7552" s="314"/>
      <c r="K7552" s="454"/>
      <c r="M7552" s="349" t="str">
        <f>N7552&amp;AS[[#This Row],[Insurer Code]]&amp;"; "&amp;O7552&amp;AS[[#This Row],[Reporting Year]]&amp;"; "&amp;P7552&amp;AS[[#This Row],[Insurance Category Code]]&amp;"; "&amp;Q7552&amp;AS[[#This Row],[Large Provider Entity Code]]&amp;"; "&amp;R7552&amp;AS[[#This Row],[Age Band Code]]&amp;"; "&amp;S7552&amp;AS[[#This Row],[Sex Code]]</f>
        <v xml:space="preserve">Insurer Code ; Reporting Year ; Insurance Category Code ; Large Provider Entity Code ; Age Band Code ; Sex Code </v>
      </c>
      <c r="N7552" s="345" t="s">
        <v>207</v>
      </c>
      <c r="O7552" s="345" t="s">
        <v>208</v>
      </c>
      <c r="P7552" s="345" t="s">
        <v>209</v>
      </c>
      <c r="Q7552" s="345" t="s">
        <v>210</v>
      </c>
      <c r="R7552" s="345" t="s">
        <v>223</v>
      </c>
      <c r="S7552" s="345" t="s">
        <v>224</v>
      </c>
    </row>
    <row r="7553" spans="1:19" x14ac:dyDescent="0.25">
      <c r="A7553" s="311"/>
      <c r="B7553" s="312"/>
      <c r="C7553" s="312"/>
      <c r="D7553" s="312"/>
      <c r="E7553" s="312"/>
      <c r="F7553" s="312"/>
      <c r="G7553" s="328"/>
      <c r="H7553" s="453"/>
      <c r="I7553" s="334"/>
      <c r="J7553" s="314"/>
      <c r="K7553" s="454"/>
      <c r="M7553" s="349" t="str">
        <f>N7553&amp;AS[[#This Row],[Insurer Code]]&amp;"; "&amp;O7553&amp;AS[[#This Row],[Reporting Year]]&amp;"; "&amp;P7553&amp;AS[[#This Row],[Insurance Category Code]]&amp;"; "&amp;Q7553&amp;AS[[#This Row],[Large Provider Entity Code]]&amp;"; "&amp;R7553&amp;AS[[#This Row],[Age Band Code]]&amp;"; "&amp;S7553&amp;AS[[#This Row],[Sex Code]]</f>
        <v xml:space="preserve">Insurer Code ; Reporting Year ; Insurance Category Code ; Large Provider Entity Code ; Age Band Code ; Sex Code </v>
      </c>
      <c r="N7553" s="345" t="s">
        <v>207</v>
      </c>
      <c r="O7553" s="345" t="s">
        <v>208</v>
      </c>
      <c r="P7553" s="345" t="s">
        <v>209</v>
      </c>
      <c r="Q7553" s="345" t="s">
        <v>210</v>
      </c>
      <c r="R7553" s="345" t="s">
        <v>223</v>
      </c>
      <c r="S7553" s="345" t="s">
        <v>224</v>
      </c>
    </row>
    <row r="7554" spans="1:19" x14ac:dyDescent="0.25">
      <c r="A7554" s="311"/>
      <c r="B7554" s="312"/>
      <c r="C7554" s="312"/>
      <c r="D7554" s="312"/>
      <c r="E7554" s="312"/>
      <c r="F7554" s="312"/>
      <c r="G7554" s="328"/>
      <c r="H7554" s="453"/>
      <c r="I7554" s="334"/>
      <c r="J7554" s="314"/>
      <c r="K7554" s="454"/>
      <c r="M7554" s="349" t="str">
        <f>N7554&amp;AS[[#This Row],[Insurer Code]]&amp;"; "&amp;O7554&amp;AS[[#This Row],[Reporting Year]]&amp;"; "&amp;P7554&amp;AS[[#This Row],[Insurance Category Code]]&amp;"; "&amp;Q7554&amp;AS[[#This Row],[Large Provider Entity Code]]&amp;"; "&amp;R7554&amp;AS[[#This Row],[Age Band Code]]&amp;"; "&amp;S7554&amp;AS[[#This Row],[Sex Code]]</f>
        <v xml:space="preserve">Insurer Code ; Reporting Year ; Insurance Category Code ; Large Provider Entity Code ; Age Band Code ; Sex Code </v>
      </c>
      <c r="N7554" s="345" t="s">
        <v>207</v>
      </c>
      <c r="O7554" s="345" t="s">
        <v>208</v>
      </c>
      <c r="P7554" s="345" t="s">
        <v>209</v>
      </c>
      <c r="Q7554" s="345" t="s">
        <v>210</v>
      </c>
      <c r="R7554" s="345" t="s">
        <v>223</v>
      </c>
      <c r="S7554" s="345" t="s">
        <v>224</v>
      </c>
    </row>
    <row r="7555" spans="1:19" x14ac:dyDescent="0.25">
      <c r="A7555" s="311"/>
      <c r="B7555" s="312"/>
      <c r="C7555" s="312"/>
      <c r="D7555" s="312"/>
      <c r="E7555" s="312"/>
      <c r="F7555" s="312"/>
      <c r="G7555" s="328"/>
      <c r="H7555" s="453"/>
      <c r="I7555" s="334"/>
      <c r="J7555" s="314"/>
      <c r="K7555" s="454"/>
      <c r="M7555" s="349" t="str">
        <f>N7555&amp;AS[[#This Row],[Insurer Code]]&amp;"; "&amp;O7555&amp;AS[[#This Row],[Reporting Year]]&amp;"; "&amp;P7555&amp;AS[[#This Row],[Insurance Category Code]]&amp;"; "&amp;Q7555&amp;AS[[#This Row],[Large Provider Entity Code]]&amp;"; "&amp;R7555&amp;AS[[#This Row],[Age Band Code]]&amp;"; "&amp;S7555&amp;AS[[#This Row],[Sex Code]]</f>
        <v xml:space="preserve">Insurer Code ; Reporting Year ; Insurance Category Code ; Large Provider Entity Code ; Age Band Code ; Sex Code </v>
      </c>
      <c r="N7555" s="345" t="s">
        <v>207</v>
      </c>
      <c r="O7555" s="345" t="s">
        <v>208</v>
      </c>
      <c r="P7555" s="345" t="s">
        <v>209</v>
      </c>
      <c r="Q7555" s="345" t="s">
        <v>210</v>
      </c>
      <c r="R7555" s="345" t="s">
        <v>223</v>
      </c>
      <c r="S7555" s="345" t="s">
        <v>224</v>
      </c>
    </row>
    <row r="7556" spans="1:19" x14ac:dyDescent="0.25">
      <c r="A7556" s="311"/>
      <c r="B7556" s="312"/>
      <c r="C7556" s="312"/>
      <c r="D7556" s="312"/>
      <c r="E7556" s="312"/>
      <c r="F7556" s="312"/>
      <c r="G7556" s="328"/>
      <c r="H7556" s="453"/>
      <c r="I7556" s="334"/>
      <c r="J7556" s="314"/>
      <c r="K7556" s="454"/>
      <c r="M7556" s="349" t="str">
        <f>N7556&amp;AS[[#This Row],[Insurer Code]]&amp;"; "&amp;O7556&amp;AS[[#This Row],[Reporting Year]]&amp;"; "&amp;P7556&amp;AS[[#This Row],[Insurance Category Code]]&amp;"; "&amp;Q7556&amp;AS[[#This Row],[Large Provider Entity Code]]&amp;"; "&amp;R7556&amp;AS[[#This Row],[Age Band Code]]&amp;"; "&amp;S7556&amp;AS[[#This Row],[Sex Code]]</f>
        <v xml:space="preserve">Insurer Code ; Reporting Year ; Insurance Category Code ; Large Provider Entity Code ; Age Band Code ; Sex Code </v>
      </c>
      <c r="N7556" s="345" t="s">
        <v>207</v>
      </c>
      <c r="O7556" s="345" t="s">
        <v>208</v>
      </c>
      <c r="P7556" s="345" t="s">
        <v>209</v>
      </c>
      <c r="Q7556" s="345" t="s">
        <v>210</v>
      </c>
      <c r="R7556" s="345" t="s">
        <v>223</v>
      </c>
      <c r="S7556" s="345" t="s">
        <v>224</v>
      </c>
    </row>
    <row r="7557" spans="1:19" x14ac:dyDescent="0.25">
      <c r="A7557" s="311"/>
      <c r="B7557" s="312"/>
      <c r="C7557" s="312"/>
      <c r="D7557" s="312"/>
      <c r="E7557" s="312"/>
      <c r="F7557" s="312"/>
      <c r="G7557" s="328"/>
      <c r="H7557" s="453"/>
      <c r="I7557" s="334"/>
      <c r="J7557" s="314"/>
      <c r="K7557" s="454"/>
      <c r="M7557" s="349" t="str">
        <f>N7557&amp;AS[[#This Row],[Insurer Code]]&amp;"; "&amp;O7557&amp;AS[[#This Row],[Reporting Year]]&amp;"; "&amp;P7557&amp;AS[[#This Row],[Insurance Category Code]]&amp;"; "&amp;Q7557&amp;AS[[#This Row],[Large Provider Entity Code]]&amp;"; "&amp;R7557&amp;AS[[#This Row],[Age Band Code]]&amp;"; "&amp;S7557&amp;AS[[#This Row],[Sex Code]]</f>
        <v xml:space="preserve">Insurer Code ; Reporting Year ; Insurance Category Code ; Large Provider Entity Code ; Age Band Code ; Sex Code </v>
      </c>
      <c r="N7557" s="345" t="s">
        <v>207</v>
      </c>
      <c r="O7557" s="345" t="s">
        <v>208</v>
      </c>
      <c r="P7557" s="345" t="s">
        <v>209</v>
      </c>
      <c r="Q7557" s="345" t="s">
        <v>210</v>
      </c>
      <c r="R7557" s="345" t="s">
        <v>223</v>
      </c>
      <c r="S7557" s="345" t="s">
        <v>224</v>
      </c>
    </row>
    <row r="7558" spans="1:19" x14ac:dyDescent="0.25">
      <c r="A7558" s="311"/>
      <c r="B7558" s="312"/>
      <c r="C7558" s="312"/>
      <c r="D7558" s="312"/>
      <c r="E7558" s="312"/>
      <c r="F7558" s="312"/>
      <c r="G7558" s="328"/>
      <c r="H7558" s="453"/>
      <c r="I7558" s="334"/>
      <c r="J7558" s="314"/>
      <c r="K7558" s="454"/>
      <c r="M7558" s="349" t="str">
        <f>N7558&amp;AS[[#This Row],[Insurer Code]]&amp;"; "&amp;O7558&amp;AS[[#This Row],[Reporting Year]]&amp;"; "&amp;P7558&amp;AS[[#This Row],[Insurance Category Code]]&amp;"; "&amp;Q7558&amp;AS[[#This Row],[Large Provider Entity Code]]&amp;"; "&amp;R7558&amp;AS[[#This Row],[Age Band Code]]&amp;"; "&amp;S7558&amp;AS[[#This Row],[Sex Code]]</f>
        <v xml:space="preserve">Insurer Code ; Reporting Year ; Insurance Category Code ; Large Provider Entity Code ; Age Band Code ; Sex Code </v>
      </c>
      <c r="N7558" s="345" t="s">
        <v>207</v>
      </c>
      <c r="O7558" s="345" t="s">
        <v>208</v>
      </c>
      <c r="P7558" s="345" t="s">
        <v>209</v>
      </c>
      <c r="Q7558" s="345" t="s">
        <v>210</v>
      </c>
      <c r="R7558" s="345" t="s">
        <v>223</v>
      </c>
      <c r="S7558" s="345" t="s">
        <v>224</v>
      </c>
    </row>
    <row r="7559" spans="1:19" x14ac:dyDescent="0.25">
      <c r="A7559" s="311"/>
      <c r="B7559" s="312"/>
      <c r="C7559" s="312"/>
      <c r="D7559" s="312"/>
      <c r="E7559" s="312"/>
      <c r="F7559" s="312"/>
      <c r="G7559" s="328"/>
      <c r="H7559" s="453"/>
      <c r="I7559" s="334"/>
      <c r="J7559" s="314"/>
      <c r="K7559" s="454"/>
      <c r="M7559" s="349" t="str">
        <f>N7559&amp;AS[[#This Row],[Insurer Code]]&amp;"; "&amp;O7559&amp;AS[[#This Row],[Reporting Year]]&amp;"; "&amp;P7559&amp;AS[[#This Row],[Insurance Category Code]]&amp;"; "&amp;Q7559&amp;AS[[#This Row],[Large Provider Entity Code]]&amp;"; "&amp;R7559&amp;AS[[#This Row],[Age Band Code]]&amp;"; "&amp;S7559&amp;AS[[#This Row],[Sex Code]]</f>
        <v xml:space="preserve">Insurer Code ; Reporting Year ; Insurance Category Code ; Large Provider Entity Code ; Age Band Code ; Sex Code </v>
      </c>
      <c r="N7559" s="345" t="s">
        <v>207</v>
      </c>
      <c r="O7559" s="345" t="s">
        <v>208</v>
      </c>
      <c r="P7559" s="345" t="s">
        <v>209</v>
      </c>
      <c r="Q7559" s="345" t="s">
        <v>210</v>
      </c>
      <c r="R7559" s="345" t="s">
        <v>223</v>
      </c>
      <c r="S7559" s="345" t="s">
        <v>224</v>
      </c>
    </row>
    <row r="7560" spans="1:19" x14ac:dyDescent="0.25">
      <c r="A7560" s="311"/>
      <c r="B7560" s="312"/>
      <c r="C7560" s="312"/>
      <c r="D7560" s="312"/>
      <c r="E7560" s="312"/>
      <c r="F7560" s="312"/>
      <c r="G7560" s="328"/>
      <c r="H7560" s="453"/>
      <c r="I7560" s="334"/>
      <c r="J7560" s="314"/>
      <c r="K7560" s="454"/>
      <c r="M7560" s="349" t="str">
        <f>N7560&amp;AS[[#This Row],[Insurer Code]]&amp;"; "&amp;O7560&amp;AS[[#This Row],[Reporting Year]]&amp;"; "&amp;P7560&amp;AS[[#This Row],[Insurance Category Code]]&amp;"; "&amp;Q7560&amp;AS[[#This Row],[Large Provider Entity Code]]&amp;"; "&amp;R7560&amp;AS[[#This Row],[Age Band Code]]&amp;"; "&amp;S7560&amp;AS[[#This Row],[Sex Code]]</f>
        <v xml:space="preserve">Insurer Code ; Reporting Year ; Insurance Category Code ; Large Provider Entity Code ; Age Band Code ; Sex Code </v>
      </c>
      <c r="N7560" s="345" t="s">
        <v>207</v>
      </c>
      <c r="O7560" s="345" t="s">
        <v>208</v>
      </c>
      <c r="P7560" s="345" t="s">
        <v>209</v>
      </c>
      <c r="Q7560" s="345" t="s">
        <v>210</v>
      </c>
      <c r="R7560" s="345" t="s">
        <v>223</v>
      </c>
      <c r="S7560" s="345" t="s">
        <v>224</v>
      </c>
    </row>
    <row r="7561" spans="1:19" x14ac:dyDescent="0.25">
      <c r="A7561" s="311"/>
      <c r="B7561" s="312"/>
      <c r="C7561" s="312"/>
      <c r="D7561" s="312"/>
      <c r="E7561" s="312"/>
      <c r="F7561" s="312"/>
      <c r="G7561" s="328"/>
      <c r="H7561" s="453"/>
      <c r="I7561" s="334"/>
      <c r="J7561" s="314"/>
      <c r="K7561" s="454"/>
      <c r="M7561" s="349" t="str">
        <f>N7561&amp;AS[[#This Row],[Insurer Code]]&amp;"; "&amp;O7561&amp;AS[[#This Row],[Reporting Year]]&amp;"; "&amp;P7561&amp;AS[[#This Row],[Insurance Category Code]]&amp;"; "&amp;Q7561&amp;AS[[#This Row],[Large Provider Entity Code]]&amp;"; "&amp;R7561&amp;AS[[#This Row],[Age Band Code]]&amp;"; "&amp;S7561&amp;AS[[#This Row],[Sex Code]]</f>
        <v xml:space="preserve">Insurer Code ; Reporting Year ; Insurance Category Code ; Large Provider Entity Code ; Age Band Code ; Sex Code </v>
      </c>
      <c r="N7561" s="345" t="s">
        <v>207</v>
      </c>
      <c r="O7561" s="345" t="s">
        <v>208</v>
      </c>
      <c r="P7561" s="345" t="s">
        <v>209</v>
      </c>
      <c r="Q7561" s="345" t="s">
        <v>210</v>
      </c>
      <c r="R7561" s="345" t="s">
        <v>223</v>
      </c>
      <c r="S7561" s="345" t="s">
        <v>224</v>
      </c>
    </row>
    <row r="7562" spans="1:19" x14ac:dyDescent="0.25">
      <c r="A7562" s="311"/>
      <c r="B7562" s="312"/>
      <c r="C7562" s="312"/>
      <c r="D7562" s="312"/>
      <c r="E7562" s="312"/>
      <c r="F7562" s="312"/>
      <c r="G7562" s="328"/>
      <c r="H7562" s="453"/>
      <c r="I7562" s="334"/>
      <c r="J7562" s="314"/>
      <c r="K7562" s="454"/>
      <c r="M7562" s="349" t="str">
        <f>N7562&amp;AS[[#This Row],[Insurer Code]]&amp;"; "&amp;O7562&amp;AS[[#This Row],[Reporting Year]]&amp;"; "&amp;P7562&amp;AS[[#This Row],[Insurance Category Code]]&amp;"; "&amp;Q7562&amp;AS[[#This Row],[Large Provider Entity Code]]&amp;"; "&amp;R7562&amp;AS[[#This Row],[Age Band Code]]&amp;"; "&amp;S7562&amp;AS[[#This Row],[Sex Code]]</f>
        <v xml:space="preserve">Insurer Code ; Reporting Year ; Insurance Category Code ; Large Provider Entity Code ; Age Band Code ; Sex Code </v>
      </c>
      <c r="N7562" s="345" t="s">
        <v>207</v>
      </c>
      <c r="O7562" s="345" t="s">
        <v>208</v>
      </c>
      <c r="P7562" s="345" t="s">
        <v>209</v>
      </c>
      <c r="Q7562" s="345" t="s">
        <v>210</v>
      </c>
      <c r="R7562" s="345" t="s">
        <v>223</v>
      </c>
      <c r="S7562" s="345" t="s">
        <v>224</v>
      </c>
    </row>
    <row r="7563" spans="1:19" x14ac:dyDescent="0.25">
      <c r="A7563" s="311"/>
      <c r="B7563" s="312"/>
      <c r="C7563" s="312"/>
      <c r="D7563" s="312"/>
      <c r="E7563" s="312"/>
      <c r="F7563" s="312"/>
      <c r="G7563" s="328"/>
      <c r="H7563" s="453"/>
      <c r="I7563" s="334"/>
      <c r="J7563" s="314"/>
      <c r="K7563" s="454"/>
      <c r="M7563" s="349" t="str">
        <f>N7563&amp;AS[[#This Row],[Insurer Code]]&amp;"; "&amp;O7563&amp;AS[[#This Row],[Reporting Year]]&amp;"; "&amp;P7563&amp;AS[[#This Row],[Insurance Category Code]]&amp;"; "&amp;Q7563&amp;AS[[#This Row],[Large Provider Entity Code]]&amp;"; "&amp;R7563&amp;AS[[#This Row],[Age Band Code]]&amp;"; "&amp;S7563&amp;AS[[#This Row],[Sex Code]]</f>
        <v xml:space="preserve">Insurer Code ; Reporting Year ; Insurance Category Code ; Large Provider Entity Code ; Age Band Code ; Sex Code </v>
      </c>
      <c r="N7563" s="345" t="s">
        <v>207</v>
      </c>
      <c r="O7563" s="345" t="s">
        <v>208</v>
      </c>
      <c r="P7563" s="345" t="s">
        <v>209</v>
      </c>
      <c r="Q7563" s="345" t="s">
        <v>210</v>
      </c>
      <c r="R7563" s="345" t="s">
        <v>223</v>
      </c>
      <c r="S7563" s="345" t="s">
        <v>224</v>
      </c>
    </row>
    <row r="7564" spans="1:19" x14ac:dyDescent="0.25">
      <c r="A7564" s="311"/>
      <c r="B7564" s="312"/>
      <c r="C7564" s="312"/>
      <c r="D7564" s="312"/>
      <c r="E7564" s="312"/>
      <c r="F7564" s="312"/>
      <c r="G7564" s="328"/>
      <c r="H7564" s="453"/>
      <c r="I7564" s="334"/>
      <c r="J7564" s="314"/>
      <c r="K7564" s="454"/>
      <c r="M7564" s="349" t="str">
        <f>N7564&amp;AS[[#This Row],[Insurer Code]]&amp;"; "&amp;O7564&amp;AS[[#This Row],[Reporting Year]]&amp;"; "&amp;P7564&amp;AS[[#This Row],[Insurance Category Code]]&amp;"; "&amp;Q7564&amp;AS[[#This Row],[Large Provider Entity Code]]&amp;"; "&amp;R7564&amp;AS[[#This Row],[Age Band Code]]&amp;"; "&amp;S7564&amp;AS[[#This Row],[Sex Code]]</f>
        <v xml:space="preserve">Insurer Code ; Reporting Year ; Insurance Category Code ; Large Provider Entity Code ; Age Band Code ; Sex Code </v>
      </c>
      <c r="N7564" s="345" t="s">
        <v>207</v>
      </c>
      <c r="O7564" s="345" t="s">
        <v>208</v>
      </c>
      <c r="P7564" s="345" t="s">
        <v>209</v>
      </c>
      <c r="Q7564" s="345" t="s">
        <v>210</v>
      </c>
      <c r="R7564" s="345" t="s">
        <v>223</v>
      </c>
      <c r="S7564" s="345" t="s">
        <v>224</v>
      </c>
    </row>
    <row r="7565" spans="1:19" x14ac:dyDescent="0.25">
      <c r="A7565" s="311"/>
      <c r="B7565" s="312"/>
      <c r="C7565" s="312"/>
      <c r="D7565" s="312"/>
      <c r="E7565" s="312"/>
      <c r="F7565" s="312"/>
      <c r="G7565" s="328"/>
      <c r="H7565" s="453"/>
      <c r="I7565" s="334"/>
      <c r="J7565" s="314"/>
      <c r="K7565" s="454"/>
      <c r="M7565" s="349" t="str">
        <f>N7565&amp;AS[[#This Row],[Insurer Code]]&amp;"; "&amp;O7565&amp;AS[[#This Row],[Reporting Year]]&amp;"; "&amp;P7565&amp;AS[[#This Row],[Insurance Category Code]]&amp;"; "&amp;Q7565&amp;AS[[#This Row],[Large Provider Entity Code]]&amp;"; "&amp;R7565&amp;AS[[#This Row],[Age Band Code]]&amp;"; "&amp;S7565&amp;AS[[#This Row],[Sex Code]]</f>
        <v xml:space="preserve">Insurer Code ; Reporting Year ; Insurance Category Code ; Large Provider Entity Code ; Age Band Code ; Sex Code </v>
      </c>
      <c r="N7565" s="345" t="s">
        <v>207</v>
      </c>
      <c r="O7565" s="345" t="s">
        <v>208</v>
      </c>
      <c r="P7565" s="345" t="s">
        <v>209</v>
      </c>
      <c r="Q7565" s="345" t="s">
        <v>210</v>
      </c>
      <c r="R7565" s="345" t="s">
        <v>223</v>
      </c>
      <c r="S7565" s="345" t="s">
        <v>224</v>
      </c>
    </row>
    <row r="7566" spans="1:19" x14ac:dyDescent="0.25">
      <c r="A7566" s="311"/>
      <c r="B7566" s="312"/>
      <c r="C7566" s="312"/>
      <c r="D7566" s="312"/>
      <c r="E7566" s="312"/>
      <c r="F7566" s="312"/>
      <c r="G7566" s="328"/>
      <c r="H7566" s="453"/>
      <c r="I7566" s="334"/>
      <c r="J7566" s="314"/>
      <c r="K7566" s="454"/>
      <c r="M7566" s="349" t="str">
        <f>N7566&amp;AS[[#This Row],[Insurer Code]]&amp;"; "&amp;O7566&amp;AS[[#This Row],[Reporting Year]]&amp;"; "&amp;P7566&amp;AS[[#This Row],[Insurance Category Code]]&amp;"; "&amp;Q7566&amp;AS[[#This Row],[Large Provider Entity Code]]&amp;"; "&amp;R7566&amp;AS[[#This Row],[Age Band Code]]&amp;"; "&amp;S7566&amp;AS[[#This Row],[Sex Code]]</f>
        <v xml:space="preserve">Insurer Code ; Reporting Year ; Insurance Category Code ; Large Provider Entity Code ; Age Band Code ; Sex Code </v>
      </c>
      <c r="N7566" s="345" t="s">
        <v>207</v>
      </c>
      <c r="O7566" s="345" t="s">
        <v>208</v>
      </c>
      <c r="P7566" s="345" t="s">
        <v>209</v>
      </c>
      <c r="Q7566" s="345" t="s">
        <v>210</v>
      </c>
      <c r="R7566" s="345" t="s">
        <v>223</v>
      </c>
      <c r="S7566" s="345" t="s">
        <v>224</v>
      </c>
    </row>
    <row r="7567" spans="1:19" x14ac:dyDescent="0.25">
      <c r="A7567" s="311"/>
      <c r="B7567" s="312"/>
      <c r="C7567" s="312"/>
      <c r="D7567" s="312"/>
      <c r="E7567" s="312"/>
      <c r="F7567" s="312"/>
      <c r="G7567" s="328"/>
      <c r="H7567" s="453"/>
      <c r="I7567" s="334"/>
      <c r="J7567" s="314"/>
      <c r="K7567" s="454"/>
      <c r="M7567" s="349" t="str">
        <f>N7567&amp;AS[[#This Row],[Insurer Code]]&amp;"; "&amp;O7567&amp;AS[[#This Row],[Reporting Year]]&amp;"; "&amp;P7567&amp;AS[[#This Row],[Insurance Category Code]]&amp;"; "&amp;Q7567&amp;AS[[#This Row],[Large Provider Entity Code]]&amp;"; "&amp;R7567&amp;AS[[#This Row],[Age Band Code]]&amp;"; "&amp;S7567&amp;AS[[#This Row],[Sex Code]]</f>
        <v xml:space="preserve">Insurer Code ; Reporting Year ; Insurance Category Code ; Large Provider Entity Code ; Age Band Code ; Sex Code </v>
      </c>
      <c r="N7567" s="345" t="s">
        <v>207</v>
      </c>
      <c r="O7567" s="345" t="s">
        <v>208</v>
      </c>
      <c r="P7567" s="345" t="s">
        <v>209</v>
      </c>
      <c r="Q7567" s="345" t="s">
        <v>210</v>
      </c>
      <c r="R7567" s="345" t="s">
        <v>223</v>
      </c>
      <c r="S7567" s="345" t="s">
        <v>224</v>
      </c>
    </row>
    <row r="7568" spans="1:19" x14ac:dyDescent="0.25">
      <c r="A7568" s="311"/>
      <c r="B7568" s="312"/>
      <c r="C7568" s="312"/>
      <c r="D7568" s="312"/>
      <c r="E7568" s="312"/>
      <c r="F7568" s="312"/>
      <c r="G7568" s="328"/>
      <c r="H7568" s="453"/>
      <c r="I7568" s="334"/>
      <c r="J7568" s="314"/>
      <c r="K7568" s="454"/>
      <c r="M7568" s="349" t="str">
        <f>N7568&amp;AS[[#This Row],[Insurer Code]]&amp;"; "&amp;O7568&amp;AS[[#This Row],[Reporting Year]]&amp;"; "&amp;P7568&amp;AS[[#This Row],[Insurance Category Code]]&amp;"; "&amp;Q7568&amp;AS[[#This Row],[Large Provider Entity Code]]&amp;"; "&amp;R7568&amp;AS[[#This Row],[Age Band Code]]&amp;"; "&amp;S7568&amp;AS[[#This Row],[Sex Code]]</f>
        <v xml:space="preserve">Insurer Code ; Reporting Year ; Insurance Category Code ; Large Provider Entity Code ; Age Band Code ; Sex Code </v>
      </c>
      <c r="N7568" s="345" t="s">
        <v>207</v>
      </c>
      <c r="O7568" s="345" t="s">
        <v>208</v>
      </c>
      <c r="P7568" s="345" t="s">
        <v>209</v>
      </c>
      <c r="Q7568" s="345" t="s">
        <v>210</v>
      </c>
      <c r="R7568" s="345" t="s">
        <v>223</v>
      </c>
      <c r="S7568" s="345" t="s">
        <v>224</v>
      </c>
    </row>
    <row r="7569" spans="1:19" x14ac:dyDescent="0.25">
      <c r="A7569" s="311"/>
      <c r="B7569" s="312"/>
      <c r="C7569" s="312"/>
      <c r="D7569" s="312"/>
      <c r="E7569" s="312"/>
      <c r="F7569" s="312"/>
      <c r="G7569" s="328"/>
      <c r="H7569" s="453"/>
      <c r="I7569" s="334"/>
      <c r="J7569" s="314"/>
      <c r="K7569" s="454"/>
      <c r="M7569" s="349" t="str">
        <f>N7569&amp;AS[[#This Row],[Insurer Code]]&amp;"; "&amp;O7569&amp;AS[[#This Row],[Reporting Year]]&amp;"; "&amp;P7569&amp;AS[[#This Row],[Insurance Category Code]]&amp;"; "&amp;Q7569&amp;AS[[#This Row],[Large Provider Entity Code]]&amp;"; "&amp;R7569&amp;AS[[#This Row],[Age Band Code]]&amp;"; "&amp;S7569&amp;AS[[#This Row],[Sex Code]]</f>
        <v xml:space="preserve">Insurer Code ; Reporting Year ; Insurance Category Code ; Large Provider Entity Code ; Age Band Code ; Sex Code </v>
      </c>
      <c r="N7569" s="345" t="s">
        <v>207</v>
      </c>
      <c r="O7569" s="345" t="s">
        <v>208</v>
      </c>
      <c r="P7569" s="345" t="s">
        <v>209</v>
      </c>
      <c r="Q7569" s="345" t="s">
        <v>210</v>
      </c>
      <c r="R7569" s="345" t="s">
        <v>223</v>
      </c>
      <c r="S7569" s="345" t="s">
        <v>224</v>
      </c>
    </row>
    <row r="7570" spans="1:19" x14ac:dyDescent="0.25">
      <c r="A7570" s="311"/>
      <c r="B7570" s="312"/>
      <c r="C7570" s="312"/>
      <c r="D7570" s="312"/>
      <c r="E7570" s="312"/>
      <c r="F7570" s="312"/>
      <c r="G7570" s="328"/>
      <c r="H7570" s="453"/>
      <c r="I7570" s="334"/>
      <c r="J7570" s="314"/>
      <c r="K7570" s="454"/>
      <c r="M7570" s="349" t="str">
        <f>N7570&amp;AS[[#This Row],[Insurer Code]]&amp;"; "&amp;O7570&amp;AS[[#This Row],[Reporting Year]]&amp;"; "&amp;P7570&amp;AS[[#This Row],[Insurance Category Code]]&amp;"; "&amp;Q7570&amp;AS[[#This Row],[Large Provider Entity Code]]&amp;"; "&amp;R7570&amp;AS[[#This Row],[Age Band Code]]&amp;"; "&amp;S7570&amp;AS[[#This Row],[Sex Code]]</f>
        <v xml:space="preserve">Insurer Code ; Reporting Year ; Insurance Category Code ; Large Provider Entity Code ; Age Band Code ; Sex Code </v>
      </c>
      <c r="N7570" s="345" t="s">
        <v>207</v>
      </c>
      <c r="O7570" s="345" t="s">
        <v>208</v>
      </c>
      <c r="P7570" s="345" t="s">
        <v>209</v>
      </c>
      <c r="Q7570" s="345" t="s">
        <v>210</v>
      </c>
      <c r="R7570" s="345" t="s">
        <v>223</v>
      </c>
      <c r="S7570" s="345" t="s">
        <v>224</v>
      </c>
    </row>
    <row r="7571" spans="1:19" x14ac:dyDescent="0.25">
      <c r="A7571" s="311"/>
      <c r="B7571" s="312"/>
      <c r="C7571" s="312"/>
      <c r="D7571" s="312"/>
      <c r="E7571" s="312"/>
      <c r="F7571" s="312"/>
      <c r="G7571" s="328"/>
      <c r="H7571" s="453"/>
      <c r="I7571" s="334"/>
      <c r="J7571" s="314"/>
      <c r="K7571" s="454"/>
      <c r="M7571" s="349" t="str">
        <f>N7571&amp;AS[[#This Row],[Insurer Code]]&amp;"; "&amp;O7571&amp;AS[[#This Row],[Reporting Year]]&amp;"; "&amp;P7571&amp;AS[[#This Row],[Insurance Category Code]]&amp;"; "&amp;Q7571&amp;AS[[#This Row],[Large Provider Entity Code]]&amp;"; "&amp;R7571&amp;AS[[#This Row],[Age Band Code]]&amp;"; "&amp;S7571&amp;AS[[#This Row],[Sex Code]]</f>
        <v xml:space="preserve">Insurer Code ; Reporting Year ; Insurance Category Code ; Large Provider Entity Code ; Age Band Code ; Sex Code </v>
      </c>
      <c r="N7571" s="345" t="s">
        <v>207</v>
      </c>
      <c r="O7571" s="345" t="s">
        <v>208</v>
      </c>
      <c r="P7571" s="345" t="s">
        <v>209</v>
      </c>
      <c r="Q7571" s="345" t="s">
        <v>210</v>
      </c>
      <c r="R7571" s="345" t="s">
        <v>223</v>
      </c>
      <c r="S7571" s="345" t="s">
        <v>224</v>
      </c>
    </row>
    <row r="7572" spans="1:19" x14ac:dyDescent="0.25">
      <c r="A7572" s="311"/>
      <c r="B7572" s="312"/>
      <c r="C7572" s="312"/>
      <c r="D7572" s="312"/>
      <c r="E7572" s="312"/>
      <c r="F7572" s="312"/>
      <c r="G7572" s="328"/>
      <c r="H7572" s="453"/>
      <c r="I7572" s="334"/>
      <c r="J7572" s="314"/>
      <c r="K7572" s="454"/>
      <c r="M7572" s="349" t="str">
        <f>N7572&amp;AS[[#This Row],[Insurer Code]]&amp;"; "&amp;O7572&amp;AS[[#This Row],[Reporting Year]]&amp;"; "&amp;P7572&amp;AS[[#This Row],[Insurance Category Code]]&amp;"; "&amp;Q7572&amp;AS[[#This Row],[Large Provider Entity Code]]&amp;"; "&amp;R7572&amp;AS[[#This Row],[Age Band Code]]&amp;"; "&amp;S7572&amp;AS[[#This Row],[Sex Code]]</f>
        <v xml:space="preserve">Insurer Code ; Reporting Year ; Insurance Category Code ; Large Provider Entity Code ; Age Band Code ; Sex Code </v>
      </c>
      <c r="N7572" s="345" t="s">
        <v>207</v>
      </c>
      <c r="O7572" s="345" t="s">
        <v>208</v>
      </c>
      <c r="P7572" s="345" t="s">
        <v>209</v>
      </c>
      <c r="Q7572" s="345" t="s">
        <v>210</v>
      </c>
      <c r="R7572" s="345" t="s">
        <v>223</v>
      </c>
      <c r="S7572" s="345" t="s">
        <v>224</v>
      </c>
    </row>
    <row r="7573" spans="1:19" x14ac:dyDescent="0.25">
      <c r="A7573" s="311"/>
      <c r="B7573" s="312"/>
      <c r="C7573" s="312"/>
      <c r="D7573" s="312"/>
      <c r="E7573" s="312"/>
      <c r="F7573" s="312"/>
      <c r="G7573" s="328"/>
      <c r="H7573" s="453"/>
      <c r="I7573" s="334"/>
      <c r="J7573" s="314"/>
      <c r="K7573" s="454"/>
      <c r="M7573" s="349" t="str">
        <f>N7573&amp;AS[[#This Row],[Insurer Code]]&amp;"; "&amp;O7573&amp;AS[[#This Row],[Reporting Year]]&amp;"; "&amp;P7573&amp;AS[[#This Row],[Insurance Category Code]]&amp;"; "&amp;Q7573&amp;AS[[#This Row],[Large Provider Entity Code]]&amp;"; "&amp;R7573&amp;AS[[#This Row],[Age Band Code]]&amp;"; "&amp;S7573&amp;AS[[#This Row],[Sex Code]]</f>
        <v xml:space="preserve">Insurer Code ; Reporting Year ; Insurance Category Code ; Large Provider Entity Code ; Age Band Code ; Sex Code </v>
      </c>
      <c r="N7573" s="345" t="s">
        <v>207</v>
      </c>
      <c r="O7573" s="345" t="s">
        <v>208</v>
      </c>
      <c r="P7573" s="345" t="s">
        <v>209</v>
      </c>
      <c r="Q7573" s="345" t="s">
        <v>210</v>
      </c>
      <c r="R7573" s="345" t="s">
        <v>223</v>
      </c>
      <c r="S7573" s="345" t="s">
        <v>224</v>
      </c>
    </row>
    <row r="7574" spans="1:19" x14ac:dyDescent="0.25">
      <c r="A7574" s="311"/>
      <c r="B7574" s="312"/>
      <c r="C7574" s="312"/>
      <c r="D7574" s="312"/>
      <c r="E7574" s="312"/>
      <c r="F7574" s="312"/>
      <c r="G7574" s="328"/>
      <c r="H7574" s="453"/>
      <c r="I7574" s="334"/>
      <c r="J7574" s="314"/>
      <c r="K7574" s="454"/>
      <c r="M7574" s="349" t="str">
        <f>N7574&amp;AS[[#This Row],[Insurer Code]]&amp;"; "&amp;O7574&amp;AS[[#This Row],[Reporting Year]]&amp;"; "&amp;P7574&amp;AS[[#This Row],[Insurance Category Code]]&amp;"; "&amp;Q7574&amp;AS[[#This Row],[Large Provider Entity Code]]&amp;"; "&amp;R7574&amp;AS[[#This Row],[Age Band Code]]&amp;"; "&amp;S7574&amp;AS[[#This Row],[Sex Code]]</f>
        <v xml:space="preserve">Insurer Code ; Reporting Year ; Insurance Category Code ; Large Provider Entity Code ; Age Band Code ; Sex Code </v>
      </c>
      <c r="N7574" s="345" t="s">
        <v>207</v>
      </c>
      <c r="O7574" s="345" t="s">
        <v>208</v>
      </c>
      <c r="P7574" s="345" t="s">
        <v>209</v>
      </c>
      <c r="Q7574" s="345" t="s">
        <v>210</v>
      </c>
      <c r="R7574" s="345" t="s">
        <v>223</v>
      </c>
      <c r="S7574" s="345" t="s">
        <v>224</v>
      </c>
    </row>
    <row r="7575" spans="1:19" x14ac:dyDescent="0.25">
      <c r="A7575" s="311"/>
      <c r="B7575" s="312"/>
      <c r="C7575" s="312"/>
      <c r="D7575" s="312"/>
      <c r="E7575" s="312"/>
      <c r="F7575" s="312"/>
      <c r="G7575" s="328"/>
      <c r="H7575" s="453"/>
      <c r="I7575" s="334"/>
      <c r="J7575" s="314"/>
      <c r="K7575" s="454"/>
      <c r="M7575" s="349" t="str">
        <f>N7575&amp;AS[[#This Row],[Insurer Code]]&amp;"; "&amp;O7575&amp;AS[[#This Row],[Reporting Year]]&amp;"; "&amp;P7575&amp;AS[[#This Row],[Insurance Category Code]]&amp;"; "&amp;Q7575&amp;AS[[#This Row],[Large Provider Entity Code]]&amp;"; "&amp;R7575&amp;AS[[#This Row],[Age Band Code]]&amp;"; "&amp;S7575&amp;AS[[#This Row],[Sex Code]]</f>
        <v xml:space="preserve">Insurer Code ; Reporting Year ; Insurance Category Code ; Large Provider Entity Code ; Age Band Code ; Sex Code </v>
      </c>
      <c r="N7575" s="345" t="s">
        <v>207</v>
      </c>
      <c r="O7575" s="345" t="s">
        <v>208</v>
      </c>
      <c r="P7575" s="345" t="s">
        <v>209</v>
      </c>
      <c r="Q7575" s="345" t="s">
        <v>210</v>
      </c>
      <c r="R7575" s="345" t="s">
        <v>223</v>
      </c>
      <c r="S7575" s="345" t="s">
        <v>224</v>
      </c>
    </row>
    <row r="7576" spans="1:19" x14ac:dyDescent="0.25">
      <c r="A7576" s="311"/>
      <c r="B7576" s="312"/>
      <c r="C7576" s="312"/>
      <c r="D7576" s="312"/>
      <c r="E7576" s="312"/>
      <c r="F7576" s="312"/>
      <c r="G7576" s="328"/>
      <c r="H7576" s="453"/>
      <c r="I7576" s="334"/>
      <c r="J7576" s="314"/>
      <c r="K7576" s="454"/>
      <c r="M7576" s="349" t="str">
        <f>N7576&amp;AS[[#This Row],[Insurer Code]]&amp;"; "&amp;O7576&amp;AS[[#This Row],[Reporting Year]]&amp;"; "&amp;P7576&amp;AS[[#This Row],[Insurance Category Code]]&amp;"; "&amp;Q7576&amp;AS[[#This Row],[Large Provider Entity Code]]&amp;"; "&amp;R7576&amp;AS[[#This Row],[Age Band Code]]&amp;"; "&amp;S7576&amp;AS[[#This Row],[Sex Code]]</f>
        <v xml:space="preserve">Insurer Code ; Reporting Year ; Insurance Category Code ; Large Provider Entity Code ; Age Band Code ; Sex Code </v>
      </c>
      <c r="N7576" s="345" t="s">
        <v>207</v>
      </c>
      <c r="O7576" s="345" t="s">
        <v>208</v>
      </c>
      <c r="P7576" s="345" t="s">
        <v>209</v>
      </c>
      <c r="Q7576" s="345" t="s">
        <v>210</v>
      </c>
      <c r="R7576" s="345" t="s">
        <v>223</v>
      </c>
      <c r="S7576" s="345" t="s">
        <v>224</v>
      </c>
    </row>
    <row r="7577" spans="1:19" x14ac:dyDescent="0.25">
      <c r="A7577" s="311"/>
      <c r="B7577" s="312"/>
      <c r="C7577" s="312"/>
      <c r="D7577" s="312"/>
      <c r="E7577" s="312"/>
      <c r="F7577" s="312"/>
      <c r="G7577" s="328"/>
      <c r="H7577" s="453"/>
      <c r="I7577" s="334"/>
      <c r="J7577" s="314"/>
      <c r="K7577" s="454"/>
      <c r="M7577" s="349" t="str">
        <f>N7577&amp;AS[[#This Row],[Insurer Code]]&amp;"; "&amp;O7577&amp;AS[[#This Row],[Reporting Year]]&amp;"; "&amp;P7577&amp;AS[[#This Row],[Insurance Category Code]]&amp;"; "&amp;Q7577&amp;AS[[#This Row],[Large Provider Entity Code]]&amp;"; "&amp;R7577&amp;AS[[#This Row],[Age Band Code]]&amp;"; "&amp;S7577&amp;AS[[#This Row],[Sex Code]]</f>
        <v xml:space="preserve">Insurer Code ; Reporting Year ; Insurance Category Code ; Large Provider Entity Code ; Age Band Code ; Sex Code </v>
      </c>
      <c r="N7577" s="345" t="s">
        <v>207</v>
      </c>
      <c r="O7577" s="345" t="s">
        <v>208</v>
      </c>
      <c r="P7577" s="345" t="s">
        <v>209</v>
      </c>
      <c r="Q7577" s="345" t="s">
        <v>210</v>
      </c>
      <c r="R7577" s="345" t="s">
        <v>223</v>
      </c>
      <c r="S7577" s="345" t="s">
        <v>224</v>
      </c>
    </row>
    <row r="7578" spans="1:19" x14ac:dyDescent="0.25">
      <c r="A7578" s="311"/>
      <c r="B7578" s="312"/>
      <c r="C7578" s="312"/>
      <c r="D7578" s="312"/>
      <c r="E7578" s="312"/>
      <c r="F7578" s="312"/>
      <c r="G7578" s="328"/>
      <c r="H7578" s="453"/>
      <c r="I7578" s="334"/>
      <c r="J7578" s="314"/>
      <c r="K7578" s="454"/>
      <c r="M7578" s="349" t="str">
        <f>N7578&amp;AS[[#This Row],[Insurer Code]]&amp;"; "&amp;O7578&amp;AS[[#This Row],[Reporting Year]]&amp;"; "&amp;P7578&amp;AS[[#This Row],[Insurance Category Code]]&amp;"; "&amp;Q7578&amp;AS[[#This Row],[Large Provider Entity Code]]&amp;"; "&amp;R7578&amp;AS[[#This Row],[Age Band Code]]&amp;"; "&amp;S7578&amp;AS[[#This Row],[Sex Code]]</f>
        <v xml:space="preserve">Insurer Code ; Reporting Year ; Insurance Category Code ; Large Provider Entity Code ; Age Band Code ; Sex Code </v>
      </c>
      <c r="N7578" s="345" t="s">
        <v>207</v>
      </c>
      <c r="O7578" s="345" t="s">
        <v>208</v>
      </c>
      <c r="P7578" s="345" t="s">
        <v>209</v>
      </c>
      <c r="Q7578" s="345" t="s">
        <v>210</v>
      </c>
      <c r="R7578" s="345" t="s">
        <v>223</v>
      </c>
      <c r="S7578" s="345" t="s">
        <v>224</v>
      </c>
    </row>
    <row r="7579" spans="1:19" x14ac:dyDescent="0.25">
      <c r="A7579" s="311"/>
      <c r="B7579" s="312"/>
      <c r="C7579" s="312"/>
      <c r="D7579" s="312"/>
      <c r="E7579" s="312"/>
      <c r="F7579" s="312"/>
      <c r="G7579" s="328"/>
      <c r="H7579" s="453"/>
      <c r="I7579" s="334"/>
      <c r="J7579" s="314"/>
      <c r="K7579" s="454"/>
      <c r="M7579" s="349" t="str">
        <f>N7579&amp;AS[[#This Row],[Insurer Code]]&amp;"; "&amp;O7579&amp;AS[[#This Row],[Reporting Year]]&amp;"; "&amp;P7579&amp;AS[[#This Row],[Insurance Category Code]]&amp;"; "&amp;Q7579&amp;AS[[#This Row],[Large Provider Entity Code]]&amp;"; "&amp;R7579&amp;AS[[#This Row],[Age Band Code]]&amp;"; "&amp;S7579&amp;AS[[#This Row],[Sex Code]]</f>
        <v xml:space="preserve">Insurer Code ; Reporting Year ; Insurance Category Code ; Large Provider Entity Code ; Age Band Code ; Sex Code </v>
      </c>
      <c r="N7579" s="345" t="s">
        <v>207</v>
      </c>
      <c r="O7579" s="345" t="s">
        <v>208</v>
      </c>
      <c r="P7579" s="345" t="s">
        <v>209</v>
      </c>
      <c r="Q7579" s="345" t="s">
        <v>210</v>
      </c>
      <c r="R7579" s="345" t="s">
        <v>223</v>
      </c>
      <c r="S7579" s="345" t="s">
        <v>224</v>
      </c>
    </row>
    <row r="7580" spans="1:19" x14ac:dyDescent="0.25">
      <c r="A7580" s="311"/>
      <c r="B7580" s="312"/>
      <c r="C7580" s="312"/>
      <c r="D7580" s="312"/>
      <c r="E7580" s="312"/>
      <c r="F7580" s="312"/>
      <c r="G7580" s="328"/>
      <c r="H7580" s="453"/>
      <c r="I7580" s="334"/>
      <c r="J7580" s="314"/>
      <c r="K7580" s="454"/>
      <c r="M7580" s="349" t="str">
        <f>N7580&amp;AS[[#This Row],[Insurer Code]]&amp;"; "&amp;O7580&amp;AS[[#This Row],[Reporting Year]]&amp;"; "&amp;P7580&amp;AS[[#This Row],[Insurance Category Code]]&amp;"; "&amp;Q7580&amp;AS[[#This Row],[Large Provider Entity Code]]&amp;"; "&amp;R7580&amp;AS[[#This Row],[Age Band Code]]&amp;"; "&amp;S7580&amp;AS[[#This Row],[Sex Code]]</f>
        <v xml:space="preserve">Insurer Code ; Reporting Year ; Insurance Category Code ; Large Provider Entity Code ; Age Band Code ; Sex Code </v>
      </c>
      <c r="N7580" s="345" t="s">
        <v>207</v>
      </c>
      <c r="O7580" s="345" t="s">
        <v>208</v>
      </c>
      <c r="P7580" s="345" t="s">
        <v>209</v>
      </c>
      <c r="Q7580" s="345" t="s">
        <v>210</v>
      </c>
      <c r="R7580" s="345" t="s">
        <v>223</v>
      </c>
      <c r="S7580" s="345" t="s">
        <v>224</v>
      </c>
    </row>
    <row r="7581" spans="1:19" x14ac:dyDescent="0.25">
      <c r="A7581" s="311"/>
      <c r="B7581" s="312"/>
      <c r="C7581" s="312"/>
      <c r="D7581" s="312"/>
      <c r="E7581" s="312"/>
      <c r="F7581" s="312"/>
      <c r="G7581" s="328"/>
      <c r="H7581" s="453"/>
      <c r="I7581" s="334"/>
      <c r="J7581" s="314"/>
      <c r="K7581" s="454"/>
      <c r="M7581" s="349" t="str">
        <f>N7581&amp;AS[[#This Row],[Insurer Code]]&amp;"; "&amp;O7581&amp;AS[[#This Row],[Reporting Year]]&amp;"; "&amp;P7581&amp;AS[[#This Row],[Insurance Category Code]]&amp;"; "&amp;Q7581&amp;AS[[#This Row],[Large Provider Entity Code]]&amp;"; "&amp;R7581&amp;AS[[#This Row],[Age Band Code]]&amp;"; "&amp;S7581&amp;AS[[#This Row],[Sex Code]]</f>
        <v xml:space="preserve">Insurer Code ; Reporting Year ; Insurance Category Code ; Large Provider Entity Code ; Age Band Code ; Sex Code </v>
      </c>
      <c r="N7581" s="345" t="s">
        <v>207</v>
      </c>
      <c r="O7581" s="345" t="s">
        <v>208</v>
      </c>
      <c r="P7581" s="345" t="s">
        <v>209</v>
      </c>
      <c r="Q7581" s="345" t="s">
        <v>210</v>
      </c>
      <c r="R7581" s="345" t="s">
        <v>223</v>
      </c>
      <c r="S7581" s="345" t="s">
        <v>224</v>
      </c>
    </row>
    <row r="7582" spans="1:19" x14ac:dyDescent="0.25">
      <c r="A7582" s="311"/>
      <c r="B7582" s="312"/>
      <c r="C7582" s="312"/>
      <c r="D7582" s="312"/>
      <c r="E7582" s="312"/>
      <c r="F7582" s="312"/>
      <c r="G7582" s="328"/>
      <c r="H7582" s="453"/>
      <c r="I7582" s="334"/>
      <c r="J7582" s="314"/>
      <c r="K7582" s="454"/>
      <c r="M7582" s="349" t="str">
        <f>N7582&amp;AS[[#This Row],[Insurer Code]]&amp;"; "&amp;O7582&amp;AS[[#This Row],[Reporting Year]]&amp;"; "&amp;P7582&amp;AS[[#This Row],[Insurance Category Code]]&amp;"; "&amp;Q7582&amp;AS[[#This Row],[Large Provider Entity Code]]&amp;"; "&amp;R7582&amp;AS[[#This Row],[Age Band Code]]&amp;"; "&amp;S7582&amp;AS[[#This Row],[Sex Code]]</f>
        <v xml:space="preserve">Insurer Code ; Reporting Year ; Insurance Category Code ; Large Provider Entity Code ; Age Band Code ; Sex Code </v>
      </c>
      <c r="N7582" s="345" t="s">
        <v>207</v>
      </c>
      <c r="O7582" s="345" t="s">
        <v>208</v>
      </c>
      <c r="P7582" s="345" t="s">
        <v>209</v>
      </c>
      <c r="Q7582" s="345" t="s">
        <v>210</v>
      </c>
      <c r="R7582" s="345" t="s">
        <v>223</v>
      </c>
      <c r="S7582" s="345" t="s">
        <v>224</v>
      </c>
    </row>
    <row r="7583" spans="1:19" x14ac:dyDescent="0.25">
      <c r="A7583" s="311"/>
      <c r="B7583" s="312"/>
      <c r="C7583" s="312"/>
      <c r="D7583" s="312"/>
      <c r="E7583" s="312"/>
      <c r="F7583" s="312"/>
      <c r="G7583" s="328"/>
      <c r="H7583" s="453"/>
      <c r="I7583" s="334"/>
      <c r="J7583" s="314"/>
      <c r="K7583" s="454"/>
      <c r="M7583" s="349" t="str">
        <f>N7583&amp;AS[[#This Row],[Insurer Code]]&amp;"; "&amp;O7583&amp;AS[[#This Row],[Reporting Year]]&amp;"; "&amp;P7583&amp;AS[[#This Row],[Insurance Category Code]]&amp;"; "&amp;Q7583&amp;AS[[#This Row],[Large Provider Entity Code]]&amp;"; "&amp;R7583&amp;AS[[#This Row],[Age Band Code]]&amp;"; "&amp;S7583&amp;AS[[#This Row],[Sex Code]]</f>
        <v xml:space="preserve">Insurer Code ; Reporting Year ; Insurance Category Code ; Large Provider Entity Code ; Age Band Code ; Sex Code </v>
      </c>
      <c r="N7583" s="345" t="s">
        <v>207</v>
      </c>
      <c r="O7583" s="345" t="s">
        <v>208</v>
      </c>
      <c r="P7583" s="345" t="s">
        <v>209</v>
      </c>
      <c r="Q7583" s="345" t="s">
        <v>210</v>
      </c>
      <c r="R7583" s="345" t="s">
        <v>223</v>
      </c>
      <c r="S7583" s="345" t="s">
        <v>224</v>
      </c>
    </row>
    <row r="7584" spans="1:19" x14ac:dyDescent="0.25">
      <c r="A7584" s="311"/>
      <c r="B7584" s="312"/>
      <c r="C7584" s="312"/>
      <c r="D7584" s="312"/>
      <c r="E7584" s="312"/>
      <c r="F7584" s="312"/>
      <c r="G7584" s="328"/>
      <c r="H7584" s="453"/>
      <c r="I7584" s="334"/>
      <c r="J7584" s="314"/>
      <c r="K7584" s="454"/>
      <c r="M7584" s="349" t="str">
        <f>N7584&amp;AS[[#This Row],[Insurer Code]]&amp;"; "&amp;O7584&amp;AS[[#This Row],[Reporting Year]]&amp;"; "&amp;P7584&amp;AS[[#This Row],[Insurance Category Code]]&amp;"; "&amp;Q7584&amp;AS[[#This Row],[Large Provider Entity Code]]&amp;"; "&amp;R7584&amp;AS[[#This Row],[Age Band Code]]&amp;"; "&amp;S7584&amp;AS[[#This Row],[Sex Code]]</f>
        <v xml:space="preserve">Insurer Code ; Reporting Year ; Insurance Category Code ; Large Provider Entity Code ; Age Band Code ; Sex Code </v>
      </c>
      <c r="N7584" s="345" t="s">
        <v>207</v>
      </c>
      <c r="O7584" s="345" t="s">
        <v>208</v>
      </c>
      <c r="P7584" s="345" t="s">
        <v>209</v>
      </c>
      <c r="Q7584" s="345" t="s">
        <v>210</v>
      </c>
      <c r="R7584" s="345" t="s">
        <v>223</v>
      </c>
      <c r="S7584" s="345" t="s">
        <v>224</v>
      </c>
    </row>
    <row r="7585" spans="1:19" x14ac:dyDescent="0.25">
      <c r="A7585" s="311"/>
      <c r="B7585" s="312"/>
      <c r="C7585" s="312"/>
      <c r="D7585" s="312"/>
      <c r="E7585" s="312"/>
      <c r="F7585" s="312"/>
      <c r="G7585" s="328"/>
      <c r="H7585" s="453"/>
      <c r="I7585" s="334"/>
      <c r="J7585" s="314"/>
      <c r="K7585" s="454"/>
      <c r="M7585" s="349" t="str">
        <f>N7585&amp;AS[[#This Row],[Insurer Code]]&amp;"; "&amp;O7585&amp;AS[[#This Row],[Reporting Year]]&amp;"; "&amp;P7585&amp;AS[[#This Row],[Insurance Category Code]]&amp;"; "&amp;Q7585&amp;AS[[#This Row],[Large Provider Entity Code]]&amp;"; "&amp;R7585&amp;AS[[#This Row],[Age Band Code]]&amp;"; "&amp;S7585&amp;AS[[#This Row],[Sex Code]]</f>
        <v xml:space="preserve">Insurer Code ; Reporting Year ; Insurance Category Code ; Large Provider Entity Code ; Age Band Code ; Sex Code </v>
      </c>
      <c r="N7585" s="345" t="s">
        <v>207</v>
      </c>
      <c r="O7585" s="345" t="s">
        <v>208</v>
      </c>
      <c r="P7585" s="345" t="s">
        <v>209</v>
      </c>
      <c r="Q7585" s="345" t="s">
        <v>210</v>
      </c>
      <c r="R7585" s="345" t="s">
        <v>223</v>
      </c>
      <c r="S7585" s="345" t="s">
        <v>224</v>
      </c>
    </row>
    <row r="7586" spans="1:19" x14ac:dyDescent="0.25">
      <c r="A7586" s="311"/>
      <c r="B7586" s="312"/>
      <c r="C7586" s="312"/>
      <c r="D7586" s="312"/>
      <c r="E7586" s="312"/>
      <c r="F7586" s="312"/>
      <c r="G7586" s="328"/>
      <c r="H7586" s="453"/>
      <c r="I7586" s="334"/>
      <c r="J7586" s="314"/>
      <c r="K7586" s="454"/>
      <c r="M7586" s="349" t="str">
        <f>N7586&amp;AS[[#This Row],[Insurer Code]]&amp;"; "&amp;O7586&amp;AS[[#This Row],[Reporting Year]]&amp;"; "&amp;P7586&amp;AS[[#This Row],[Insurance Category Code]]&amp;"; "&amp;Q7586&amp;AS[[#This Row],[Large Provider Entity Code]]&amp;"; "&amp;R7586&amp;AS[[#This Row],[Age Band Code]]&amp;"; "&amp;S7586&amp;AS[[#This Row],[Sex Code]]</f>
        <v xml:space="preserve">Insurer Code ; Reporting Year ; Insurance Category Code ; Large Provider Entity Code ; Age Band Code ; Sex Code </v>
      </c>
      <c r="N7586" s="345" t="s">
        <v>207</v>
      </c>
      <c r="O7586" s="345" t="s">
        <v>208</v>
      </c>
      <c r="P7586" s="345" t="s">
        <v>209</v>
      </c>
      <c r="Q7586" s="345" t="s">
        <v>210</v>
      </c>
      <c r="R7586" s="345" t="s">
        <v>223</v>
      </c>
      <c r="S7586" s="345" t="s">
        <v>224</v>
      </c>
    </row>
    <row r="7587" spans="1:19" x14ac:dyDescent="0.25">
      <c r="A7587" s="311"/>
      <c r="B7587" s="312"/>
      <c r="C7587" s="312"/>
      <c r="D7587" s="312"/>
      <c r="E7587" s="312"/>
      <c r="F7587" s="312"/>
      <c r="G7587" s="328"/>
      <c r="H7587" s="453"/>
      <c r="I7587" s="334"/>
      <c r="J7587" s="314"/>
      <c r="K7587" s="454"/>
      <c r="M7587" s="349" t="str">
        <f>N7587&amp;AS[[#This Row],[Insurer Code]]&amp;"; "&amp;O7587&amp;AS[[#This Row],[Reporting Year]]&amp;"; "&amp;P7587&amp;AS[[#This Row],[Insurance Category Code]]&amp;"; "&amp;Q7587&amp;AS[[#This Row],[Large Provider Entity Code]]&amp;"; "&amp;R7587&amp;AS[[#This Row],[Age Band Code]]&amp;"; "&amp;S7587&amp;AS[[#This Row],[Sex Code]]</f>
        <v xml:space="preserve">Insurer Code ; Reporting Year ; Insurance Category Code ; Large Provider Entity Code ; Age Band Code ; Sex Code </v>
      </c>
      <c r="N7587" s="345" t="s">
        <v>207</v>
      </c>
      <c r="O7587" s="345" t="s">
        <v>208</v>
      </c>
      <c r="P7587" s="345" t="s">
        <v>209</v>
      </c>
      <c r="Q7587" s="345" t="s">
        <v>210</v>
      </c>
      <c r="R7587" s="345" t="s">
        <v>223</v>
      </c>
      <c r="S7587" s="345" t="s">
        <v>224</v>
      </c>
    </row>
    <row r="7588" spans="1:19" x14ac:dyDescent="0.25">
      <c r="A7588" s="311"/>
      <c r="B7588" s="312"/>
      <c r="C7588" s="312"/>
      <c r="D7588" s="312"/>
      <c r="E7588" s="312"/>
      <c r="F7588" s="312"/>
      <c r="G7588" s="328"/>
      <c r="H7588" s="453"/>
      <c r="I7588" s="334"/>
      <c r="J7588" s="314"/>
      <c r="K7588" s="454"/>
      <c r="M7588" s="349" t="str">
        <f>N7588&amp;AS[[#This Row],[Insurer Code]]&amp;"; "&amp;O7588&amp;AS[[#This Row],[Reporting Year]]&amp;"; "&amp;P7588&amp;AS[[#This Row],[Insurance Category Code]]&amp;"; "&amp;Q7588&amp;AS[[#This Row],[Large Provider Entity Code]]&amp;"; "&amp;R7588&amp;AS[[#This Row],[Age Band Code]]&amp;"; "&amp;S7588&amp;AS[[#This Row],[Sex Code]]</f>
        <v xml:space="preserve">Insurer Code ; Reporting Year ; Insurance Category Code ; Large Provider Entity Code ; Age Band Code ; Sex Code </v>
      </c>
      <c r="N7588" s="345" t="s">
        <v>207</v>
      </c>
      <c r="O7588" s="345" t="s">
        <v>208</v>
      </c>
      <c r="P7588" s="345" t="s">
        <v>209</v>
      </c>
      <c r="Q7588" s="345" t="s">
        <v>210</v>
      </c>
      <c r="R7588" s="345" t="s">
        <v>223</v>
      </c>
      <c r="S7588" s="345" t="s">
        <v>224</v>
      </c>
    </row>
    <row r="7589" spans="1:19" x14ac:dyDescent="0.25">
      <c r="A7589" s="311"/>
      <c r="B7589" s="312"/>
      <c r="C7589" s="312"/>
      <c r="D7589" s="312"/>
      <c r="E7589" s="312"/>
      <c r="F7589" s="312"/>
      <c r="G7589" s="328"/>
      <c r="H7589" s="453"/>
      <c r="I7589" s="334"/>
      <c r="J7589" s="314"/>
      <c r="K7589" s="454"/>
      <c r="M7589" s="349" t="str">
        <f>N7589&amp;AS[[#This Row],[Insurer Code]]&amp;"; "&amp;O7589&amp;AS[[#This Row],[Reporting Year]]&amp;"; "&amp;P7589&amp;AS[[#This Row],[Insurance Category Code]]&amp;"; "&amp;Q7589&amp;AS[[#This Row],[Large Provider Entity Code]]&amp;"; "&amp;R7589&amp;AS[[#This Row],[Age Band Code]]&amp;"; "&amp;S7589&amp;AS[[#This Row],[Sex Code]]</f>
        <v xml:space="preserve">Insurer Code ; Reporting Year ; Insurance Category Code ; Large Provider Entity Code ; Age Band Code ; Sex Code </v>
      </c>
      <c r="N7589" s="345" t="s">
        <v>207</v>
      </c>
      <c r="O7589" s="345" t="s">
        <v>208</v>
      </c>
      <c r="P7589" s="345" t="s">
        <v>209</v>
      </c>
      <c r="Q7589" s="345" t="s">
        <v>210</v>
      </c>
      <c r="R7589" s="345" t="s">
        <v>223</v>
      </c>
      <c r="S7589" s="345" t="s">
        <v>224</v>
      </c>
    </row>
    <row r="7590" spans="1:19" x14ac:dyDescent="0.25">
      <c r="A7590" s="311"/>
      <c r="B7590" s="312"/>
      <c r="C7590" s="312"/>
      <c r="D7590" s="312"/>
      <c r="E7590" s="312"/>
      <c r="F7590" s="312"/>
      <c r="G7590" s="328"/>
      <c r="H7590" s="453"/>
      <c r="I7590" s="334"/>
      <c r="J7590" s="314"/>
      <c r="K7590" s="454"/>
      <c r="M7590" s="349" t="str">
        <f>N7590&amp;AS[[#This Row],[Insurer Code]]&amp;"; "&amp;O7590&amp;AS[[#This Row],[Reporting Year]]&amp;"; "&amp;P7590&amp;AS[[#This Row],[Insurance Category Code]]&amp;"; "&amp;Q7590&amp;AS[[#This Row],[Large Provider Entity Code]]&amp;"; "&amp;R7590&amp;AS[[#This Row],[Age Band Code]]&amp;"; "&amp;S7590&amp;AS[[#This Row],[Sex Code]]</f>
        <v xml:space="preserve">Insurer Code ; Reporting Year ; Insurance Category Code ; Large Provider Entity Code ; Age Band Code ; Sex Code </v>
      </c>
      <c r="N7590" s="345" t="s">
        <v>207</v>
      </c>
      <c r="O7590" s="345" t="s">
        <v>208</v>
      </c>
      <c r="P7590" s="345" t="s">
        <v>209</v>
      </c>
      <c r="Q7590" s="345" t="s">
        <v>210</v>
      </c>
      <c r="R7590" s="345" t="s">
        <v>223</v>
      </c>
      <c r="S7590" s="345" t="s">
        <v>224</v>
      </c>
    </row>
    <row r="7591" spans="1:19" x14ac:dyDescent="0.25">
      <c r="A7591" s="311"/>
      <c r="B7591" s="312"/>
      <c r="C7591" s="312"/>
      <c r="D7591" s="312"/>
      <c r="E7591" s="312"/>
      <c r="F7591" s="312"/>
      <c r="G7591" s="328"/>
      <c r="H7591" s="453"/>
      <c r="I7591" s="334"/>
      <c r="J7591" s="314"/>
      <c r="K7591" s="454"/>
      <c r="M7591" s="349" t="str">
        <f>N7591&amp;AS[[#This Row],[Insurer Code]]&amp;"; "&amp;O7591&amp;AS[[#This Row],[Reporting Year]]&amp;"; "&amp;P7591&amp;AS[[#This Row],[Insurance Category Code]]&amp;"; "&amp;Q7591&amp;AS[[#This Row],[Large Provider Entity Code]]&amp;"; "&amp;R7591&amp;AS[[#This Row],[Age Band Code]]&amp;"; "&amp;S7591&amp;AS[[#This Row],[Sex Code]]</f>
        <v xml:space="preserve">Insurer Code ; Reporting Year ; Insurance Category Code ; Large Provider Entity Code ; Age Band Code ; Sex Code </v>
      </c>
      <c r="N7591" s="345" t="s">
        <v>207</v>
      </c>
      <c r="O7591" s="345" t="s">
        <v>208</v>
      </c>
      <c r="P7591" s="345" t="s">
        <v>209</v>
      </c>
      <c r="Q7591" s="345" t="s">
        <v>210</v>
      </c>
      <c r="R7591" s="345" t="s">
        <v>223</v>
      </c>
      <c r="S7591" s="345" t="s">
        <v>224</v>
      </c>
    </row>
    <row r="7592" spans="1:19" x14ac:dyDescent="0.25">
      <c r="A7592" s="311"/>
      <c r="B7592" s="312"/>
      <c r="C7592" s="312"/>
      <c r="D7592" s="312"/>
      <c r="E7592" s="312"/>
      <c r="F7592" s="312"/>
      <c r="G7592" s="328"/>
      <c r="H7592" s="453"/>
      <c r="I7592" s="334"/>
      <c r="J7592" s="314"/>
      <c r="K7592" s="454"/>
      <c r="M7592" s="349" t="str">
        <f>N7592&amp;AS[[#This Row],[Insurer Code]]&amp;"; "&amp;O7592&amp;AS[[#This Row],[Reporting Year]]&amp;"; "&amp;P7592&amp;AS[[#This Row],[Insurance Category Code]]&amp;"; "&amp;Q7592&amp;AS[[#This Row],[Large Provider Entity Code]]&amp;"; "&amp;R7592&amp;AS[[#This Row],[Age Band Code]]&amp;"; "&amp;S7592&amp;AS[[#This Row],[Sex Code]]</f>
        <v xml:space="preserve">Insurer Code ; Reporting Year ; Insurance Category Code ; Large Provider Entity Code ; Age Band Code ; Sex Code </v>
      </c>
      <c r="N7592" s="345" t="s">
        <v>207</v>
      </c>
      <c r="O7592" s="345" t="s">
        <v>208</v>
      </c>
      <c r="P7592" s="345" t="s">
        <v>209</v>
      </c>
      <c r="Q7592" s="345" t="s">
        <v>210</v>
      </c>
      <c r="R7592" s="345" t="s">
        <v>223</v>
      </c>
      <c r="S7592" s="345" t="s">
        <v>224</v>
      </c>
    </row>
    <row r="7593" spans="1:19" x14ac:dyDescent="0.25">
      <c r="A7593" s="311"/>
      <c r="B7593" s="312"/>
      <c r="C7593" s="312"/>
      <c r="D7593" s="312"/>
      <c r="E7593" s="312"/>
      <c r="F7593" s="312"/>
      <c r="G7593" s="328"/>
      <c r="H7593" s="453"/>
      <c r="I7593" s="334"/>
      <c r="J7593" s="314"/>
      <c r="K7593" s="454"/>
      <c r="M7593" s="349" t="str">
        <f>N7593&amp;AS[[#This Row],[Insurer Code]]&amp;"; "&amp;O7593&amp;AS[[#This Row],[Reporting Year]]&amp;"; "&amp;P7593&amp;AS[[#This Row],[Insurance Category Code]]&amp;"; "&amp;Q7593&amp;AS[[#This Row],[Large Provider Entity Code]]&amp;"; "&amp;R7593&amp;AS[[#This Row],[Age Band Code]]&amp;"; "&amp;S7593&amp;AS[[#This Row],[Sex Code]]</f>
        <v xml:space="preserve">Insurer Code ; Reporting Year ; Insurance Category Code ; Large Provider Entity Code ; Age Band Code ; Sex Code </v>
      </c>
      <c r="N7593" s="345" t="s">
        <v>207</v>
      </c>
      <c r="O7593" s="345" t="s">
        <v>208</v>
      </c>
      <c r="P7593" s="345" t="s">
        <v>209</v>
      </c>
      <c r="Q7593" s="345" t="s">
        <v>210</v>
      </c>
      <c r="R7593" s="345" t="s">
        <v>223</v>
      </c>
      <c r="S7593" s="345" t="s">
        <v>224</v>
      </c>
    </row>
    <row r="7594" spans="1:19" x14ac:dyDescent="0.25">
      <c r="A7594" s="311"/>
      <c r="B7594" s="312"/>
      <c r="C7594" s="312"/>
      <c r="D7594" s="312"/>
      <c r="E7594" s="312"/>
      <c r="F7594" s="312"/>
      <c r="G7594" s="328"/>
      <c r="H7594" s="453"/>
      <c r="I7594" s="334"/>
      <c r="J7594" s="314"/>
      <c r="K7594" s="454"/>
      <c r="M7594" s="349" t="str">
        <f>N7594&amp;AS[[#This Row],[Insurer Code]]&amp;"; "&amp;O7594&amp;AS[[#This Row],[Reporting Year]]&amp;"; "&amp;P7594&amp;AS[[#This Row],[Insurance Category Code]]&amp;"; "&amp;Q7594&amp;AS[[#This Row],[Large Provider Entity Code]]&amp;"; "&amp;R7594&amp;AS[[#This Row],[Age Band Code]]&amp;"; "&amp;S7594&amp;AS[[#This Row],[Sex Code]]</f>
        <v xml:space="preserve">Insurer Code ; Reporting Year ; Insurance Category Code ; Large Provider Entity Code ; Age Band Code ; Sex Code </v>
      </c>
      <c r="N7594" s="345" t="s">
        <v>207</v>
      </c>
      <c r="O7594" s="345" t="s">
        <v>208</v>
      </c>
      <c r="P7594" s="345" t="s">
        <v>209</v>
      </c>
      <c r="Q7594" s="345" t="s">
        <v>210</v>
      </c>
      <c r="R7594" s="345" t="s">
        <v>223</v>
      </c>
      <c r="S7594" s="345" t="s">
        <v>224</v>
      </c>
    </row>
    <row r="7595" spans="1:19" x14ac:dyDescent="0.25">
      <c r="A7595" s="311"/>
      <c r="B7595" s="312"/>
      <c r="C7595" s="312"/>
      <c r="D7595" s="312"/>
      <c r="E7595" s="312"/>
      <c r="F7595" s="312"/>
      <c r="G7595" s="328"/>
      <c r="H7595" s="453"/>
      <c r="I7595" s="334"/>
      <c r="J7595" s="314"/>
      <c r="K7595" s="454"/>
      <c r="M7595" s="349" t="str">
        <f>N7595&amp;AS[[#This Row],[Insurer Code]]&amp;"; "&amp;O7595&amp;AS[[#This Row],[Reporting Year]]&amp;"; "&amp;P7595&amp;AS[[#This Row],[Insurance Category Code]]&amp;"; "&amp;Q7595&amp;AS[[#This Row],[Large Provider Entity Code]]&amp;"; "&amp;R7595&amp;AS[[#This Row],[Age Band Code]]&amp;"; "&amp;S7595&amp;AS[[#This Row],[Sex Code]]</f>
        <v xml:space="preserve">Insurer Code ; Reporting Year ; Insurance Category Code ; Large Provider Entity Code ; Age Band Code ; Sex Code </v>
      </c>
      <c r="N7595" s="345" t="s">
        <v>207</v>
      </c>
      <c r="O7595" s="345" t="s">
        <v>208</v>
      </c>
      <c r="P7595" s="345" t="s">
        <v>209</v>
      </c>
      <c r="Q7595" s="345" t="s">
        <v>210</v>
      </c>
      <c r="R7595" s="345" t="s">
        <v>223</v>
      </c>
      <c r="S7595" s="345" t="s">
        <v>224</v>
      </c>
    </row>
    <row r="7596" spans="1:19" x14ac:dyDescent="0.25">
      <c r="A7596" s="311"/>
      <c r="B7596" s="312"/>
      <c r="C7596" s="312"/>
      <c r="D7596" s="312"/>
      <c r="E7596" s="312"/>
      <c r="F7596" s="312"/>
      <c r="G7596" s="328"/>
      <c r="H7596" s="453"/>
      <c r="I7596" s="334"/>
      <c r="J7596" s="314"/>
      <c r="K7596" s="454"/>
      <c r="M7596" s="349" t="str">
        <f>N7596&amp;AS[[#This Row],[Insurer Code]]&amp;"; "&amp;O7596&amp;AS[[#This Row],[Reporting Year]]&amp;"; "&amp;P7596&amp;AS[[#This Row],[Insurance Category Code]]&amp;"; "&amp;Q7596&amp;AS[[#This Row],[Large Provider Entity Code]]&amp;"; "&amp;R7596&amp;AS[[#This Row],[Age Band Code]]&amp;"; "&amp;S7596&amp;AS[[#This Row],[Sex Code]]</f>
        <v xml:space="preserve">Insurer Code ; Reporting Year ; Insurance Category Code ; Large Provider Entity Code ; Age Band Code ; Sex Code </v>
      </c>
      <c r="N7596" s="345" t="s">
        <v>207</v>
      </c>
      <c r="O7596" s="345" t="s">
        <v>208</v>
      </c>
      <c r="P7596" s="345" t="s">
        <v>209</v>
      </c>
      <c r="Q7596" s="345" t="s">
        <v>210</v>
      </c>
      <c r="R7596" s="345" t="s">
        <v>223</v>
      </c>
      <c r="S7596" s="345" t="s">
        <v>224</v>
      </c>
    </row>
    <row r="7597" spans="1:19" x14ac:dyDescent="0.25">
      <c r="A7597" s="311"/>
      <c r="B7597" s="312"/>
      <c r="C7597" s="312"/>
      <c r="D7597" s="312"/>
      <c r="E7597" s="312"/>
      <c r="F7597" s="312"/>
      <c r="G7597" s="328"/>
      <c r="H7597" s="453"/>
      <c r="I7597" s="334"/>
      <c r="J7597" s="314"/>
      <c r="K7597" s="454"/>
      <c r="M7597" s="349" t="str">
        <f>N7597&amp;AS[[#This Row],[Insurer Code]]&amp;"; "&amp;O7597&amp;AS[[#This Row],[Reporting Year]]&amp;"; "&amp;P7597&amp;AS[[#This Row],[Insurance Category Code]]&amp;"; "&amp;Q7597&amp;AS[[#This Row],[Large Provider Entity Code]]&amp;"; "&amp;R7597&amp;AS[[#This Row],[Age Band Code]]&amp;"; "&amp;S7597&amp;AS[[#This Row],[Sex Code]]</f>
        <v xml:space="preserve">Insurer Code ; Reporting Year ; Insurance Category Code ; Large Provider Entity Code ; Age Band Code ; Sex Code </v>
      </c>
      <c r="N7597" s="345" t="s">
        <v>207</v>
      </c>
      <c r="O7597" s="345" t="s">
        <v>208</v>
      </c>
      <c r="P7597" s="345" t="s">
        <v>209</v>
      </c>
      <c r="Q7597" s="345" t="s">
        <v>210</v>
      </c>
      <c r="R7597" s="345" t="s">
        <v>223</v>
      </c>
      <c r="S7597" s="345" t="s">
        <v>224</v>
      </c>
    </row>
    <row r="7598" spans="1:19" x14ac:dyDescent="0.25">
      <c r="A7598" s="311"/>
      <c r="B7598" s="312"/>
      <c r="C7598" s="312"/>
      <c r="D7598" s="312"/>
      <c r="E7598" s="312"/>
      <c r="F7598" s="312"/>
      <c r="G7598" s="328"/>
      <c r="H7598" s="453"/>
      <c r="I7598" s="334"/>
      <c r="J7598" s="314"/>
      <c r="K7598" s="454"/>
      <c r="M7598" s="349" t="str">
        <f>N7598&amp;AS[[#This Row],[Insurer Code]]&amp;"; "&amp;O7598&amp;AS[[#This Row],[Reporting Year]]&amp;"; "&amp;P7598&amp;AS[[#This Row],[Insurance Category Code]]&amp;"; "&amp;Q7598&amp;AS[[#This Row],[Large Provider Entity Code]]&amp;"; "&amp;R7598&amp;AS[[#This Row],[Age Band Code]]&amp;"; "&amp;S7598&amp;AS[[#This Row],[Sex Code]]</f>
        <v xml:space="preserve">Insurer Code ; Reporting Year ; Insurance Category Code ; Large Provider Entity Code ; Age Band Code ; Sex Code </v>
      </c>
      <c r="N7598" s="345" t="s">
        <v>207</v>
      </c>
      <c r="O7598" s="345" t="s">
        <v>208</v>
      </c>
      <c r="P7598" s="345" t="s">
        <v>209</v>
      </c>
      <c r="Q7598" s="345" t="s">
        <v>210</v>
      </c>
      <c r="R7598" s="345" t="s">
        <v>223</v>
      </c>
      <c r="S7598" s="345" t="s">
        <v>224</v>
      </c>
    </row>
    <row r="7599" spans="1:19" x14ac:dyDescent="0.25">
      <c r="A7599" s="311"/>
      <c r="B7599" s="312"/>
      <c r="C7599" s="312"/>
      <c r="D7599" s="312"/>
      <c r="E7599" s="312"/>
      <c r="F7599" s="312"/>
      <c r="G7599" s="328"/>
      <c r="H7599" s="453"/>
      <c r="I7599" s="334"/>
      <c r="J7599" s="314"/>
      <c r="K7599" s="454"/>
      <c r="M7599" s="349" t="str">
        <f>N7599&amp;AS[[#This Row],[Insurer Code]]&amp;"; "&amp;O7599&amp;AS[[#This Row],[Reporting Year]]&amp;"; "&amp;P7599&amp;AS[[#This Row],[Insurance Category Code]]&amp;"; "&amp;Q7599&amp;AS[[#This Row],[Large Provider Entity Code]]&amp;"; "&amp;R7599&amp;AS[[#This Row],[Age Band Code]]&amp;"; "&amp;S7599&amp;AS[[#This Row],[Sex Code]]</f>
        <v xml:space="preserve">Insurer Code ; Reporting Year ; Insurance Category Code ; Large Provider Entity Code ; Age Band Code ; Sex Code </v>
      </c>
      <c r="N7599" s="345" t="s">
        <v>207</v>
      </c>
      <c r="O7599" s="345" t="s">
        <v>208</v>
      </c>
      <c r="P7599" s="345" t="s">
        <v>209</v>
      </c>
      <c r="Q7599" s="345" t="s">
        <v>210</v>
      </c>
      <c r="R7599" s="345" t="s">
        <v>223</v>
      </c>
      <c r="S7599" s="345" t="s">
        <v>224</v>
      </c>
    </row>
    <row r="7600" spans="1:19" x14ac:dyDescent="0.25">
      <c r="A7600" s="311"/>
      <c r="B7600" s="312"/>
      <c r="C7600" s="312"/>
      <c r="D7600" s="312"/>
      <c r="E7600" s="312"/>
      <c r="F7600" s="312"/>
      <c r="G7600" s="328"/>
      <c r="H7600" s="453"/>
      <c r="I7600" s="334"/>
      <c r="J7600" s="314"/>
      <c r="K7600" s="454"/>
      <c r="M7600" s="349" t="str">
        <f>N7600&amp;AS[[#This Row],[Insurer Code]]&amp;"; "&amp;O7600&amp;AS[[#This Row],[Reporting Year]]&amp;"; "&amp;P7600&amp;AS[[#This Row],[Insurance Category Code]]&amp;"; "&amp;Q7600&amp;AS[[#This Row],[Large Provider Entity Code]]&amp;"; "&amp;R7600&amp;AS[[#This Row],[Age Band Code]]&amp;"; "&amp;S7600&amp;AS[[#This Row],[Sex Code]]</f>
        <v xml:space="preserve">Insurer Code ; Reporting Year ; Insurance Category Code ; Large Provider Entity Code ; Age Band Code ; Sex Code </v>
      </c>
      <c r="N7600" s="345" t="s">
        <v>207</v>
      </c>
      <c r="O7600" s="345" t="s">
        <v>208</v>
      </c>
      <c r="P7600" s="345" t="s">
        <v>209</v>
      </c>
      <c r="Q7600" s="345" t="s">
        <v>210</v>
      </c>
      <c r="R7600" s="345" t="s">
        <v>223</v>
      </c>
      <c r="S7600" s="345" t="s">
        <v>224</v>
      </c>
    </row>
    <row r="7601" spans="1:19" x14ac:dyDescent="0.25">
      <c r="A7601" s="311"/>
      <c r="B7601" s="312"/>
      <c r="C7601" s="312"/>
      <c r="D7601" s="312"/>
      <c r="E7601" s="312"/>
      <c r="F7601" s="312"/>
      <c r="G7601" s="328"/>
      <c r="H7601" s="453"/>
      <c r="I7601" s="334"/>
      <c r="J7601" s="314"/>
      <c r="K7601" s="454"/>
      <c r="M7601" s="349" t="str">
        <f>N7601&amp;AS[[#This Row],[Insurer Code]]&amp;"; "&amp;O7601&amp;AS[[#This Row],[Reporting Year]]&amp;"; "&amp;P7601&amp;AS[[#This Row],[Insurance Category Code]]&amp;"; "&amp;Q7601&amp;AS[[#This Row],[Large Provider Entity Code]]&amp;"; "&amp;R7601&amp;AS[[#This Row],[Age Band Code]]&amp;"; "&amp;S7601&amp;AS[[#This Row],[Sex Code]]</f>
        <v xml:space="preserve">Insurer Code ; Reporting Year ; Insurance Category Code ; Large Provider Entity Code ; Age Band Code ; Sex Code </v>
      </c>
      <c r="N7601" s="345" t="s">
        <v>207</v>
      </c>
      <c r="O7601" s="345" t="s">
        <v>208</v>
      </c>
      <c r="P7601" s="345" t="s">
        <v>209</v>
      </c>
      <c r="Q7601" s="345" t="s">
        <v>210</v>
      </c>
      <c r="R7601" s="345" t="s">
        <v>223</v>
      </c>
      <c r="S7601" s="345" t="s">
        <v>224</v>
      </c>
    </row>
    <row r="7602" spans="1:19" x14ac:dyDescent="0.25">
      <c r="A7602" s="311"/>
      <c r="B7602" s="312"/>
      <c r="C7602" s="312"/>
      <c r="D7602" s="312"/>
      <c r="E7602" s="312"/>
      <c r="F7602" s="312"/>
      <c r="G7602" s="328"/>
      <c r="H7602" s="453"/>
      <c r="I7602" s="334"/>
      <c r="J7602" s="314"/>
      <c r="K7602" s="454"/>
      <c r="M7602" s="349" t="str">
        <f>N7602&amp;AS[[#This Row],[Insurer Code]]&amp;"; "&amp;O7602&amp;AS[[#This Row],[Reporting Year]]&amp;"; "&amp;P7602&amp;AS[[#This Row],[Insurance Category Code]]&amp;"; "&amp;Q7602&amp;AS[[#This Row],[Large Provider Entity Code]]&amp;"; "&amp;R7602&amp;AS[[#This Row],[Age Band Code]]&amp;"; "&amp;S7602&amp;AS[[#This Row],[Sex Code]]</f>
        <v xml:space="preserve">Insurer Code ; Reporting Year ; Insurance Category Code ; Large Provider Entity Code ; Age Band Code ; Sex Code </v>
      </c>
      <c r="N7602" s="345" t="s">
        <v>207</v>
      </c>
      <c r="O7602" s="345" t="s">
        <v>208</v>
      </c>
      <c r="P7602" s="345" t="s">
        <v>209</v>
      </c>
      <c r="Q7602" s="345" t="s">
        <v>210</v>
      </c>
      <c r="R7602" s="345" t="s">
        <v>223</v>
      </c>
      <c r="S7602" s="345" t="s">
        <v>224</v>
      </c>
    </row>
    <row r="7603" spans="1:19" x14ac:dyDescent="0.25">
      <c r="A7603" s="311"/>
      <c r="B7603" s="312"/>
      <c r="C7603" s="312"/>
      <c r="D7603" s="312"/>
      <c r="E7603" s="312"/>
      <c r="F7603" s="312"/>
      <c r="G7603" s="328"/>
      <c r="H7603" s="453"/>
      <c r="I7603" s="334"/>
      <c r="J7603" s="314"/>
      <c r="K7603" s="454"/>
      <c r="M7603" s="349" t="str">
        <f>N7603&amp;AS[[#This Row],[Insurer Code]]&amp;"; "&amp;O7603&amp;AS[[#This Row],[Reporting Year]]&amp;"; "&amp;P7603&amp;AS[[#This Row],[Insurance Category Code]]&amp;"; "&amp;Q7603&amp;AS[[#This Row],[Large Provider Entity Code]]&amp;"; "&amp;R7603&amp;AS[[#This Row],[Age Band Code]]&amp;"; "&amp;S7603&amp;AS[[#This Row],[Sex Code]]</f>
        <v xml:space="preserve">Insurer Code ; Reporting Year ; Insurance Category Code ; Large Provider Entity Code ; Age Band Code ; Sex Code </v>
      </c>
      <c r="N7603" s="345" t="s">
        <v>207</v>
      </c>
      <c r="O7603" s="345" t="s">
        <v>208</v>
      </c>
      <c r="P7603" s="345" t="s">
        <v>209</v>
      </c>
      <c r="Q7603" s="345" t="s">
        <v>210</v>
      </c>
      <c r="R7603" s="345" t="s">
        <v>223</v>
      </c>
      <c r="S7603" s="345" t="s">
        <v>224</v>
      </c>
    </row>
    <row r="7604" spans="1:19" x14ac:dyDescent="0.25">
      <c r="A7604" s="311"/>
      <c r="B7604" s="312"/>
      <c r="C7604" s="312"/>
      <c r="D7604" s="312"/>
      <c r="E7604" s="312"/>
      <c r="F7604" s="312"/>
      <c r="G7604" s="328"/>
      <c r="H7604" s="453"/>
      <c r="I7604" s="334"/>
      <c r="J7604" s="314"/>
      <c r="K7604" s="454"/>
      <c r="M7604" s="349" t="str">
        <f>N7604&amp;AS[[#This Row],[Insurer Code]]&amp;"; "&amp;O7604&amp;AS[[#This Row],[Reporting Year]]&amp;"; "&amp;P7604&amp;AS[[#This Row],[Insurance Category Code]]&amp;"; "&amp;Q7604&amp;AS[[#This Row],[Large Provider Entity Code]]&amp;"; "&amp;R7604&amp;AS[[#This Row],[Age Band Code]]&amp;"; "&amp;S7604&amp;AS[[#This Row],[Sex Code]]</f>
        <v xml:space="preserve">Insurer Code ; Reporting Year ; Insurance Category Code ; Large Provider Entity Code ; Age Band Code ; Sex Code </v>
      </c>
      <c r="N7604" s="345" t="s">
        <v>207</v>
      </c>
      <c r="O7604" s="345" t="s">
        <v>208</v>
      </c>
      <c r="P7604" s="345" t="s">
        <v>209</v>
      </c>
      <c r="Q7604" s="345" t="s">
        <v>210</v>
      </c>
      <c r="R7604" s="345" t="s">
        <v>223</v>
      </c>
      <c r="S7604" s="345" t="s">
        <v>224</v>
      </c>
    </row>
    <row r="7605" spans="1:19" x14ac:dyDescent="0.25">
      <c r="A7605" s="311"/>
      <c r="B7605" s="312"/>
      <c r="C7605" s="312"/>
      <c r="D7605" s="312"/>
      <c r="E7605" s="312"/>
      <c r="F7605" s="312"/>
      <c r="G7605" s="328"/>
      <c r="H7605" s="453"/>
      <c r="I7605" s="334"/>
      <c r="J7605" s="314"/>
      <c r="K7605" s="454"/>
      <c r="M7605" s="349" t="str">
        <f>N7605&amp;AS[[#This Row],[Insurer Code]]&amp;"; "&amp;O7605&amp;AS[[#This Row],[Reporting Year]]&amp;"; "&amp;P7605&amp;AS[[#This Row],[Insurance Category Code]]&amp;"; "&amp;Q7605&amp;AS[[#This Row],[Large Provider Entity Code]]&amp;"; "&amp;R7605&amp;AS[[#This Row],[Age Band Code]]&amp;"; "&amp;S7605&amp;AS[[#This Row],[Sex Code]]</f>
        <v xml:space="preserve">Insurer Code ; Reporting Year ; Insurance Category Code ; Large Provider Entity Code ; Age Band Code ; Sex Code </v>
      </c>
      <c r="N7605" s="345" t="s">
        <v>207</v>
      </c>
      <c r="O7605" s="345" t="s">
        <v>208</v>
      </c>
      <c r="P7605" s="345" t="s">
        <v>209</v>
      </c>
      <c r="Q7605" s="345" t="s">
        <v>210</v>
      </c>
      <c r="R7605" s="345" t="s">
        <v>223</v>
      </c>
      <c r="S7605" s="345" t="s">
        <v>224</v>
      </c>
    </row>
    <row r="7606" spans="1:19" x14ac:dyDescent="0.25">
      <c r="A7606" s="311"/>
      <c r="B7606" s="312"/>
      <c r="C7606" s="312"/>
      <c r="D7606" s="312"/>
      <c r="E7606" s="312"/>
      <c r="F7606" s="312"/>
      <c r="G7606" s="328"/>
      <c r="H7606" s="453"/>
      <c r="I7606" s="334"/>
      <c r="J7606" s="314"/>
      <c r="K7606" s="454"/>
      <c r="M7606" s="349" t="str">
        <f>N7606&amp;AS[[#This Row],[Insurer Code]]&amp;"; "&amp;O7606&amp;AS[[#This Row],[Reporting Year]]&amp;"; "&amp;P7606&amp;AS[[#This Row],[Insurance Category Code]]&amp;"; "&amp;Q7606&amp;AS[[#This Row],[Large Provider Entity Code]]&amp;"; "&amp;R7606&amp;AS[[#This Row],[Age Band Code]]&amp;"; "&amp;S7606&amp;AS[[#This Row],[Sex Code]]</f>
        <v xml:space="preserve">Insurer Code ; Reporting Year ; Insurance Category Code ; Large Provider Entity Code ; Age Band Code ; Sex Code </v>
      </c>
      <c r="N7606" s="345" t="s">
        <v>207</v>
      </c>
      <c r="O7606" s="345" t="s">
        <v>208</v>
      </c>
      <c r="P7606" s="345" t="s">
        <v>209</v>
      </c>
      <c r="Q7606" s="345" t="s">
        <v>210</v>
      </c>
      <c r="R7606" s="345" t="s">
        <v>223</v>
      </c>
      <c r="S7606" s="345" t="s">
        <v>224</v>
      </c>
    </row>
    <row r="7607" spans="1:19" x14ac:dyDescent="0.25">
      <c r="A7607" s="311"/>
      <c r="B7607" s="312"/>
      <c r="C7607" s="312"/>
      <c r="D7607" s="312"/>
      <c r="E7607" s="312"/>
      <c r="F7607" s="312"/>
      <c r="G7607" s="328"/>
      <c r="H7607" s="453"/>
      <c r="I7607" s="334"/>
      <c r="J7607" s="314"/>
      <c r="K7607" s="454"/>
      <c r="M7607" s="349" t="str">
        <f>N7607&amp;AS[[#This Row],[Insurer Code]]&amp;"; "&amp;O7607&amp;AS[[#This Row],[Reporting Year]]&amp;"; "&amp;P7607&amp;AS[[#This Row],[Insurance Category Code]]&amp;"; "&amp;Q7607&amp;AS[[#This Row],[Large Provider Entity Code]]&amp;"; "&amp;R7607&amp;AS[[#This Row],[Age Band Code]]&amp;"; "&amp;S7607&amp;AS[[#This Row],[Sex Code]]</f>
        <v xml:space="preserve">Insurer Code ; Reporting Year ; Insurance Category Code ; Large Provider Entity Code ; Age Band Code ; Sex Code </v>
      </c>
      <c r="N7607" s="345" t="s">
        <v>207</v>
      </c>
      <c r="O7607" s="345" t="s">
        <v>208</v>
      </c>
      <c r="P7607" s="345" t="s">
        <v>209</v>
      </c>
      <c r="Q7607" s="345" t="s">
        <v>210</v>
      </c>
      <c r="R7607" s="345" t="s">
        <v>223</v>
      </c>
      <c r="S7607" s="345" t="s">
        <v>224</v>
      </c>
    </row>
    <row r="7608" spans="1:19" x14ac:dyDescent="0.25">
      <c r="A7608" s="311"/>
      <c r="B7608" s="312"/>
      <c r="C7608" s="312"/>
      <c r="D7608" s="312"/>
      <c r="E7608" s="312"/>
      <c r="F7608" s="312"/>
      <c r="G7608" s="328"/>
      <c r="H7608" s="453"/>
      <c r="I7608" s="334"/>
      <c r="J7608" s="314"/>
      <c r="K7608" s="454"/>
      <c r="M7608" s="349" t="str">
        <f>N7608&amp;AS[[#This Row],[Insurer Code]]&amp;"; "&amp;O7608&amp;AS[[#This Row],[Reporting Year]]&amp;"; "&amp;P7608&amp;AS[[#This Row],[Insurance Category Code]]&amp;"; "&amp;Q7608&amp;AS[[#This Row],[Large Provider Entity Code]]&amp;"; "&amp;R7608&amp;AS[[#This Row],[Age Band Code]]&amp;"; "&amp;S7608&amp;AS[[#This Row],[Sex Code]]</f>
        <v xml:space="preserve">Insurer Code ; Reporting Year ; Insurance Category Code ; Large Provider Entity Code ; Age Band Code ; Sex Code </v>
      </c>
      <c r="N7608" s="345" t="s">
        <v>207</v>
      </c>
      <c r="O7608" s="345" t="s">
        <v>208</v>
      </c>
      <c r="P7608" s="345" t="s">
        <v>209</v>
      </c>
      <c r="Q7608" s="345" t="s">
        <v>210</v>
      </c>
      <c r="R7608" s="345" t="s">
        <v>223</v>
      </c>
      <c r="S7608" s="345" t="s">
        <v>224</v>
      </c>
    </row>
    <row r="7609" spans="1:19" x14ac:dyDescent="0.25">
      <c r="A7609" s="311"/>
      <c r="B7609" s="312"/>
      <c r="C7609" s="312"/>
      <c r="D7609" s="312"/>
      <c r="E7609" s="312"/>
      <c r="F7609" s="312"/>
      <c r="G7609" s="328"/>
      <c r="H7609" s="453"/>
      <c r="I7609" s="334"/>
      <c r="J7609" s="314"/>
      <c r="K7609" s="454"/>
      <c r="M7609" s="349" t="str">
        <f>N7609&amp;AS[[#This Row],[Insurer Code]]&amp;"; "&amp;O7609&amp;AS[[#This Row],[Reporting Year]]&amp;"; "&amp;P7609&amp;AS[[#This Row],[Insurance Category Code]]&amp;"; "&amp;Q7609&amp;AS[[#This Row],[Large Provider Entity Code]]&amp;"; "&amp;R7609&amp;AS[[#This Row],[Age Band Code]]&amp;"; "&amp;S7609&amp;AS[[#This Row],[Sex Code]]</f>
        <v xml:space="preserve">Insurer Code ; Reporting Year ; Insurance Category Code ; Large Provider Entity Code ; Age Band Code ; Sex Code </v>
      </c>
      <c r="N7609" s="345" t="s">
        <v>207</v>
      </c>
      <c r="O7609" s="345" t="s">
        <v>208</v>
      </c>
      <c r="P7609" s="345" t="s">
        <v>209</v>
      </c>
      <c r="Q7609" s="345" t="s">
        <v>210</v>
      </c>
      <c r="R7609" s="345" t="s">
        <v>223</v>
      </c>
      <c r="S7609" s="345" t="s">
        <v>224</v>
      </c>
    </row>
    <row r="7610" spans="1:19" x14ac:dyDescent="0.25">
      <c r="A7610" s="311"/>
      <c r="B7610" s="312"/>
      <c r="C7610" s="312"/>
      <c r="D7610" s="312"/>
      <c r="E7610" s="312"/>
      <c r="F7610" s="312"/>
      <c r="G7610" s="328"/>
      <c r="H7610" s="453"/>
      <c r="I7610" s="334"/>
      <c r="J7610" s="314"/>
      <c r="K7610" s="454"/>
      <c r="M7610" s="349" t="str">
        <f>N7610&amp;AS[[#This Row],[Insurer Code]]&amp;"; "&amp;O7610&amp;AS[[#This Row],[Reporting Year]]&amp;"; "&amp;P7610&amp;AS[[#This Row],[Insurance Category Code]]&amp;"; "&amp;Q7610&amp;AS[[#This Row],[Large Provider Entity Code]]&amp;"; "&amp;R7610&amp;AS[[#This Row],[Age Band Code]]&amp;"; "&amp;S7610&amp;AS[[#This Row],[Sex Code]]</f>
        <v xml:space="preserve">Insurer Code ; Reporting Year ; Insurance Category Code ; Large Provider Entity Code ; Age Band Code ; Sex Code </v>
      </c>
      <c r="N7610" s="345" t="s">
        <v>207</v>
      </c>
      <c r="O7610" s="345" t="s">
        <v>208</v>
      </c>
      <c r="P7610" s="345" t="s">
        <v>209</v>
      </c>
      <c r="Q7610" s="345" t="s">
        <v>210</v>
      </c>
      <c r="R7610" s="345" t="s">
        <v>223</v>
      </c>
      <c r="S7610" s="345" t="s">
        <v>224</v>
      </c>
    </row>
    <row r="7611" spans="1:19" x14ac:dyDescent="0.25">
      <c r="A7611" s="311"/>
      <c r="B7611" s="312"/>
      <c r="C7611" s="312"/>
      <c r="D7611" s="312"/>
      <c r="E7611" s="312"/>
      <c r="F7611" s="312"/>
      <c r="G7611" s="328"/>
      <c r="H7611" s="453"/>
      <c r="I7611" s="334"/>
      <c r="J7611" s="314"/>
      <c r="K7611" s="454"/>
      <c r="M7611" s="349" t="str">
        <f>N7611&amp;AS[[#This Row],[Insurer Code]]&amp;"; "&amp;O7611&amp;AS[[#This Row],[Reporting Year]]&amp;"; "&amp;P7611&amp;AS[[#This Row],[Insurance Category Code]]&amp;"; "&amp;Q7611&amp;AS[[#This Row],[Large Provider Entity Code]]&amp;"; "&amp;R7611&amp;AS[[#This Row],[Age Band Code]]&amp;"; "&amp;S7611&amp;AS[[#This Row],[Sex Code]]</f>
        <v xml:space="preserve">Insurer Code ; Reporting Year ; Insurance Category Code ; Large Provider Entity Code ; Age Band Code ; Sex Code </v>
      </c>
      <c r="N7611" s="345" t="s">
        <v>207</v>
      </c>
      <c r="O7611" s="345" t="s">
        <v>208</v>
      </c>
      <c r="P7611" s="345" t="s">
        <v>209</v>
      </c>
      <c r="Q7611" s="345" t="s">
        <v>210</v>
      </c>
      <c r="R7611" s="345" t="s">
        <v>223</v>
      </c>
      <c r="S7611" s="345" t="s">
        <v>224</v>
      </c>
    </row>
    <row r="7612" spans="1:19" x14ac:dyDescent="0.25">
      <c r="A7612" s="311"/>
      <c r="B7612" s="312"/>
      <c r="C7612" s="312"/>
      <c r="D7612" s="312"/>
      <c r="E7612" s="312"/>
      <c r="F7612" s="312"/>
      <c r="G7612" s="328"/>
      <c r="H7612" s="453"/>
      <c r="I7612" s="334"/>
      <c r="J7612" s="314"/>
      <c r="K7612" s="454"/>
      <c r="M7612" s="349" t="str">
        <f>N7612&amp;AS[[#This Row],[Insurer Code]]&amp;"; "&amp;O7612&amp;AS[[#This Row],[Reporting Year]]&amp;"; "&amp;P7612&amp;AS[[#This Row],[Insurance Category Code]]&amp;"; "&amp;Q7612&amp;AS[[#This Row],[Large Provider Entity Code]]&amp;"; "&amp;R7612&amp;AS[[#This Row],[Age Band Code]]&amp;"; "&amp;S7612&amp;AS[[#This Row],[Sex Code]]</f>
        <v xml:space="preserve">Insurer Code ; Reporting Year ; Insurance Category Code ; Large Provider Entity Code ; Age Band Code ; Sex Code </v>
      </c>
      <c r="N7612" s="345" t="s">
        <v>207</v>
      </c>
      <c r="O7612" s="345" t="s">
        <v>208</v>
      </c>
      <c r="P7612" s="345" t="s">
        <v>209</v>
      </c>
      <c r="Q7612" s="345" t="s">
        <v>210</v>
      </c>
      <c r="R7612" s="345" t="s">
        <v>223</v>
      </c>
      <c r="S7612" s="345" t="s">
        <v>224</v>
      </c>
    </row>
    <row r="7613" spans="1:19" x14ac:dyDescent="0.25">
      <c r="A7613" s="311"/>
      <c r="B7613" s="312"/>
      <c r="C7613" s="312"/>
      <c r="D7613" s="312"/>
      <c r="E7613" s="312"/>
      <c r="F7613" s="312"/>
      <c r="G7613" s="328"/>
      <c r="H7613" s="453"/>
      <c r="I7613" s="334"/>
      <c r="J7613" s="314"/>
      <c r="K7613" s="454"/>
      <c r="M7613" s="349" t="str">
        <f>N7613&amp;AS[[#This Row],[Insurer Code]]&amp;"; "&amp;O7613&amp;AS[[#This Row],[Reporting Year]]&amp;"; "&amp;P7613&amp;AS[[#This Row],[Insurance Category Code]]&amp;"; "&amp;Q7613&amp;AS[[#This Row],[Large Provider Entity Code]]&amp;"; "&amp;R7613&amp;AS[[#This Row],[Age Band Code]]&amp;"; "&amp;S7613&amp;AS[[#This Row],[Sex Code]]</f>
        <v xml:space="preserve">Insurer Code ; Reporting Year ; Insurance Category Code ; Large Provider Entity Code ; Age Band Code ; Sex Code </v>
      </c>
      <c r="N7613" s="345" t="s">
        <v>207</v>
      </c>
      <c r="O7613" s="345" t="s">
        <v>208</v>
      </c>
      <c r="P7613" s="345" t="s">
        <v>209</v>
      </c>
      <c r="Q7613" s="345" t="s">
        <v>210</v>
      </c>
      <c r="R7613" s="345" t="s">
        <v>223</v>
      </c>
      <c r="S7613" s="345" t="s">
        <v>224</v>
      </c>
    </row>
    <row r="7614" spans="1:19" x14ac:dyDescent="0.25">
      <c r="A7614" s="311"/>
      <c r="B7614" s="312"/>
      <c r="C7614" s="312"/>
      <c r="D7614" s="312"/>
      <c r="E7614" s="312"/>
      <c r="F7614" s="312"/>
      <c r="G7614" s="328"/>
      <c r="H7614" s="453"/>
      <c r="I7614" s="334"/>
      <c r="J7614" s="314"/>
      <c r="K7614" s="454"/>
      <c r="M7614" s="349" t="str">
        <f>N7614&amp;AS[[#This Row],[Insurer Code]]&amp;"; "&amp;O7614&amp;AS[[#This Row],[Reporting Year]]&amp;"; "&amp;P7614&amp;AS[[#This Row],[Insurance Category Code]]&amp;"; "&amp;Q7614&amp;AS[[#This Row],[Large Provider Entity Code]]&amp;"; "&amp;R7614&amp;AS[[#This Row],[Age Band Code]]&amp;"; "&amp;S7614&amp;AS[[#This Row],[Sex Code]]</f>
        <v xml:space="preserve">Insurer Code ; Reporting Year ; Insurance Category Code ; Large Provider Entity Code ; Age Band Code ; Sex Code </v>
      </c>
      <c r="N7614" s="345" t="s">
        <v>207</v>
      </c>
      <c r="O7614" s="345" t="s">
        <v>208</v>
      </c>
      <c r="P7614" s="345" t="s">
        <v>209</v>
      </c>
      <c r="Q7614" s="345" t="s">
        <v>210</v>
      </c>
      <c r="R7614" s="345" t="s">
        <v>223</v>
      </c>
      <c r="S7614" s="345" t="s">
        <v>224</v>
      </c>
    </row>
    <row r="7615" spans="1:19" x14ac:dyDescent="0.25">
      <c r="A7615" s="311"/>
      <c r="B7615" s="312"/>
      <c r="C7615" s="312"/>
      <c r="D7615" s="312"/>
      <c r="E7615" s="312"/>
      <c r="F7615" s="312"/>
      <c r="G7615" s="328"/>
      <c r="H7615" s="453"/>
      <c r="I7615" s="334"/>
      <c r="J7615" s="314"/>
      <c r="K7615" s="454"/>
      <c r="M7615" s="349" t="str">
        <f>N7615&amp;AS[[#This Row],[Insurer Code]]&amp;"; "&amp;O7615&amp;AS[[#This Row],[Reporting Year]]&amp;"; "&amp;P7615&amp;AS[[#This Row],[Insurance Category Code]]&amp;"; "&amp;Q7615&amp;AS[[#This Row],[Large Provider Entity Code]]&amp;"; "&amp;R7615&amp;AS[[#This Row],[Age Band Code]]&amp;"; "&amp;S7615&amp;AS[[#This Row],[Sex Code]]</f>
        <v xml:space="preserve">Insurer Code ; Reporting Year ; Insurance Category Code ; Large Provider Entity Code ; Age Band Code ; Sex Code </v>
      </c>
      <c r="N7615" s="345" t="s">
        <v>207</v>
      </c>
      <c r="O7615" s="345" t="s">
        <v>208</v>
      </c>
      <c r="P7615" s="345" t="s">
        <v>209</v>
      </c>
      <c r="Q7615" s="345" t="s">
        <v>210</v>
      </c>
      <c r="R7615" s="345" t="s">
        <v>223</v>
      </c>
      <c r="S7615" s="345" t="s">
        <v>224</v>
      </c>
    </row>
    <row r="7616" spans="1:19" x14ac:dyDescent="0.25">
      <c r="A7616" s="311"/>
      <c r="B7616" s="312"/>
      <c r="C7616" s="312"/>
      <c r="D7616" s="312"/>
      <c r="E7616" s="312"/>
      <c r="F7616" s="312"/>
      <c r="G7616" s="328"/>
      <c r="H7616" s="453"/>
      <c r="I7616" s="334"/>
      <c r="J7616" s="314"/>
      <c r="K7616" s="454"/>
      <c r="M7616" s="349" t="str">
        <f>N7616&amp;AS[[#This Row],[Insurer Code]]&amp;"; "&amp;O7616&amp;AS[[#This Row],[Reporting Year]]&amp;"; "&amp;P7616&amp;AS[[#This Row],[Insurance Category Code]]&amp;"; "&amp;Q7616&amp;AS[[#This Row],[Large Provider Entity Code]]&amp;"; "&amp;R7616&amp;AS[[#This Row],[Age Band Code]]&amp;"; "&amp;S7616&amp;AS[[#This Row],[Sex Code]]</f>
        <v xml:space="preserve">Insurer Code ; Reporting Year ; Insurance Category Code ; Large Provider Entity Code ; Age Band Code ; Sex Code </v>
      </c>
      <c r="N7616" s="345" t="s">
        <v>207</v>
      </c>
      <c r="O7616" s="345" t="s">
        <v>208</v>
      </c>
      <c r="P7616" s="345" t="s">
        <v>209</v>
      </c>
      <c r="Q7616" s="345" t="s">
        <v>210</v>
      </c>
      <c r="R7616" s="345" t="s">
        <v>223</v>
      </c>
      <c r="S7616" s="345" t="s">
        <v>224</v>
      </c>
    </row>
    <row r="7617" spans="1:19" x14ac:dyDescent="0.25">
      <c r="A7617" s="311"/>
      <c r="B7617" s="312"/>
      <c r="C7617" s="312"/>
      <c r="D7617" s="312"/>
      <c r="E7617" s="312"/>
      <c r="F7617" s="312"/>
      <c r="G7617" s="328"/>
      <c r="H7617" s="453"/>
      <c r="I7617" s="334"/>
      <c r="J7617" s="314"/>
      <c r="K7617" s="454"/>
      <c r="M7617" s="349" t="str">
        <f>N7617&amp;AS[[#This Row],[Insurer Code]]&amp;"; "&amp;O7617&amp;AS[[#This Row],[Reporting Year]]&amp;"; "&amp;P7617&amp;AS[[#This Row],[Insurance Category Code]]&amp;"; "&amp;Q7617&amp;AS[[#This Row],[Large Provider Entity Code]]&amp;"; "&amp;R7617&amp;AS[[#This Row],[Age Band Code]]&amp;"; "&amp;S7617&amp;AS[[#This Row],[Sex Code]]</f>
        <v xml:space="preserve">Insurer Code ; Reporting Year ; Insurance Category Code ; Large Provider Entity Code ; Age Band Code ; Sex Code </v>
      </c>
      <c r="N7617" s="345" t="s">
        <v>207</v>
      </c>
      <c r="O7617" s="345" t="s">
        <v>208</v>
      </c>
      <c r="P7617" s="345" t="s">
        <v>209</v>
      </c>
      <c r="Q7617" s="345" t="s">
        <v>210</v>
      </c>
      <c r="R7617" s="345" t="s">
        <v>223</v>
      </c>
      <c r="S7617" s="345" t="s">
        <v>224</v>
      </c>
    </row>
    <row r="7618" spans="1:19" x14ac:dyDescent="0.25">
      <c r="A7618" s="311"/>
      <c r="B7618" s="312"/>
      <c r="C7618" s="312"/>
      <c r="D7618" s="312"/>
      <c r="E7618" s="312"/>
      <c r="F7618" s="312"/>
      <c r="G7618" s="328"/>
      <c r="H7618" s="453"/>
      <c r="I7618" s="334"/>
      <c r="J7618" s="314"/>
      <c r="K7618" s="454"/>
      <c r="M7618" s="349" t="str">
        <f>N7618&amp;AS[[#This Row],[Insurer Code]]&amp;"; "&amp;O7618&amp;AS[[#This Row],[Reporting Year]]&amp;"; "&amp;P7618&amp;AS[[#This Row],[Insurance Category Code]]&amp;"; "&amp;Q7618&amp;AS[[#This Row],[Large Provider Entity Code]]&amp;"; "&amp;R7618&amp;AS[[#This Row],[Age Band Code]]&amp;"; "&amp;S7618&amp;AS[[#This Row],[Sex Code]]</f>
        <v xml:space="preserve">Insurer Code ; Reporting Year ; Insurance Category Code ; Large Provider Entity Code ; Age Band Code ; Sex Code </v>
      </c>
      <c r="N7618" s="345" t="s">
        <v>207</v>
      </c>
      <c r="O7618" s="345" t="s">
        <v>208</v>
      </c>
      <c r="P7618" s="345" t="s">
        <v>209</v>
      </c>
      <c r="Q7618" s="345" t="s">
        <v>210</v>
      </c>
      <c r="R7618" s="345" t="s">
        <v>223</v>
      </c>
      <c r="S7618" s="345" t="s">
        <v>224</v>
      </c>
    </row>
    <row r="7619" spans="1:19" x14ac:dyDescent="0.25">
      <c r="A7619" s="311"/>
      <c r="B7619" s="312"/>
      <c r="C7619" s="312"/>
      <c r="D7619" s="312"/>
      <c r="E7619" s="312"/>
      <c r="F7619" s="312"/>
      <c r="G7619" s="328"/>
      <c r="H7619" s="453"/>
      <c r="I7619" s="334"/>
      <c r="J7619" s="314"/>
      <c r="K7619" s="454"/>
      <c r="M7619" s="349" t="str">
        <f>N7619&amp;AS[[#This Row],[Insurer Code]]&amp;"; "&amp;O7619&amp;AS[[#This Row],[Reporting Year]]&amp;"; "&amp;P7619&amp;AS[[#This Row],[Insurance Category Code]]&amp;"; "&amp;Q7619&amp;AS[[#This Row],[Large Provider Entity Code]]&amp;"; "&amp;R7619&amp;AS[[#This Row],[Age Band Code]]&amp;"; "&amp;S7619&amp;AS[[#This Row],[Sex Code]]</f>
        <v xml:space="preserve">Insurer Code ; Reporting Year ; Insurance Category Code ; Large Provider Entity Code ; Age Band Code ; Sex Code </v>
      </c>
      <c r="N7619" s="345" t="s">
        <v>207</v>
      </c>
      <c r="O7619" s="345" t="s">
        <v>208</v>
      </c>
      <c r="P7619" s="345" t="s">
        <v>209</v>
      </c>
      <c r="Q7619" s="345" t="s">
        <v>210</v>
      </c>
      <c r="R7619" s="345" t="s">
        <v>223</v>
      </c>
      <c r="S7619" s="345" t="s">
        <v>224</v>
      </c>
    </row>
    <row r="7620" spans="1:19" x14ac:dyDescent="0.25">
      <c r="A7620" s="311"/>
      <c r="B7620" s="312"/>
      <c r="C7620" s="312"/>
      <c r="D7620" s="312"/>
      <c r="E7620" s="312"/>
      <c r="F7620" s="312"/>
      <c r="G7620" s="328"/>
      <c r="H7620" s="453"/>
      <c r="I7620" s="334"/>
      <c r="J7620" s="314"/>
      <c r="K7620" s="454"/>
      <c r="M7620" s="349" t="str">
        <f>N7620&amp;AS[[#This Row],[Insurer Code]]&amp;"; "&amp;O7620&amp;AS[[#This Row],[Reporting Year]]&amp;"; "&amp;P7620&amp;AS[[#This Row],[Insurance Category Code]]&amp;"; "&amp;Q7620&amp;AS[[#This Row],[Large Provider Entity Code]]&amp;"; "&amp;R7620&amp;AS[[#This Row],[Age Band Code]]&amp;"; "&amp;S7620&amp;AS[[#This Row],[Sex Code]]</f>
        <v xml:space="preserve">Insurer Code ; Reporting Year ; Insurance Category Code ; Large Provider Entity Code ; Age Band Code ; Sex Code </v>
      </c>
      <c r="N7620" s="345" t="s">
        <v>207</v>
      </c>
      <c r="O7620" s="345" t="s">
        <v>208</v>
      </c>
      <c r="P7620" s="345" t="s">
        <v>209</v>
      </c>
      <c r="Q7620" s="345" t="s">
        <v>210</v>
      </c>
      <c r="R7620" s="345" t="s">
        <v>223</v>
      </c>
      <c r="S7620" s="345" t="s">
        <v>224</v>
      </c>
    </row>
    <row r="7621" spans="1:19" x14ac:dyDescent="0.25">
      <c r="A7621" s="311"/>
      <c r="B7621" s="312"/>
      <c r="C7621" s="312"/>
      <c r="D7621" s="312"/>
      <c r="E7621" s="312"/>
      <c r="F7621" s="312"/>
      <c r="G7621" s="328"/>
      <c r="H7621" s="453"/>
      <c r="I7621" s="334"/>
      <c r="J7621" s="314"/>
      <c r="K7621" s="454"/>
      <c r="M7621" s="349" t="str">
        <f>N7621&amp;AS[[#This Row],[Insurer Code]]&amp;"; "&amp;O7621&amp;AS[[#This Row],[Reporting Year]]&amp;"; "&amp;P7621&amp;AS[[#This Row],[Insurance Category Code]]&amp;"; "&amp;Q7621&amp;AS[[#This Row],[Large Provider Entity Code]]&amp;"; "&amp;R7621&amp;AS[[#This Row],[Age Band Code]]&amp;"; "&amp;S7621&amp;AS[[#This Row],[Sex Code]]</f>
        <v xml:space="preserve">Insurer Code ; Reporting Year ; Insurance Category Code ; Large Provider Entity Code ; Age Band Code ; Sex Code </v>
      </c>
      <c r="N7621" s="345" t="s">
        <v>207</v>
      </c>
      <c r="O7621" s="345" t="s">
        <v>208</v>
      </c>
      <c r="P7621" s="345" t="s">
        <v>209</v>
      </c>
      <c r="Q7621" s="345" t="s">
        <v>210</v>
      </c>
      <c r="R7621" s="345" t="s">
        <v>223</v>
      </c>
      <c r="S7621" s="345" t="s">
        <v>224</v>
      </c>
    </row>
    <row r="7622" spans="1:19" x14ac:dyDescent="0.25">
      <c r="A7622" s="311"/>
      <c r="B7622" s="312"/>
      <c r="C7622" s="312"/>
      <c r="D7622" s="312"/>
      <c r="E7622" s="312"/>
      <c r="F7622" s="312"/>
      <c r="G7622" s="328"/>
      <c r="H7622" s="453"/>
      <c r="I7622" s="334"/>
      <c r="J7622" s="314"/>
      <c r="K7622" s="454"/>
      <c r="M7622" s="349" t="str">
        <f>N7622&amp;AS[[#This Row],[Insurer Code]]&amp;"; "&amp;O7622&amp;AS[[#This Row],[Reporting Year]]&amp;"; "&amp;P7622&amp;AS[[#This Row],[Insurance Category Code]]&amp;"; "&amp;Q7622&amp;AS[[#This Row],[Large Provider Entity Code]]&amp;"; "&amp;R7622&amp;AS[[#This Row],[Age Band Code]]&amp;"; "&amp;S7622&amp;AS[[#This Row],[Sex Code]]</f>
        <v xml:space="preserve">Insurer Code ; Reporting Year ; Insurance Category Code ; Large Provider Entity Code ; Age Band Code ; Sex Code </v>
      </c>
      <c r="N7622" s="345" t="s">
        <v>207</v>
      </c>
      <c r="O7622" s="345" t="s">
        <v>208</v>
      </c>
      <c r="P7622" s="345" t="s">
        <v>209</v>
      </c>
      <c r="Q7622" s="345" t="s">
        <v>210</v>
      </c>
      <c r="R7622" s="345" t="s">
        <v>223</v>
      </c>
      <c r="S7622" s="345" t="s">
        <v>224</v>
      </c>
    </row>
    <row r="7623" spans="1:19" x14ac:dyDescent="0.25">
      <c r="A7623" s="311"/>
      <c r="B7623" s="312"/>
      <c r="C7623" s="312"/>
      <c r="D7623" s="312"/>
      <c r="E7623" s="312"/>
      <c r="F7623" s="312"/>
      <c r="G7623" s="328"/>
      <c r="H7623" s="453"/>
      <c r="I7623" s="334"/>
      <c r="J7623" s="314"/>
      <c r="K7623" s="454"/>
      <c r="M7623" s="349" t="str">
        <f>N7623&amp;AS[[#This Row],[Insurer Code]]&amp;"; "&amp;O7623&amp;AS[[#This Row],[Reporting Year]]&amp;"; "&amp;P7623&amp;AS[[#This Row],[Insurance Category Code]]&amp;"; "&amp;Q7623&amp;AS[[#This Row],[Large Provider Entity Code]]&amp;"; "&amp;R7623&amp;AS[[#This Row],[Age Band Code]]&amp;"; "&amp;S7623&amp;AS[[#This Row],[Sex Code]]</f>
        <v xml:space="preserve">Insurer Code ; Reporting Year ; Insurance Category Code ; Large Provider Entity Code ; Age Band Code ; Sex Code </v>
      </c>
      <c r="N7623" s="345" t="s">
        <v>207</v>
      </c>
      <c r="O7623" s="345" t="s">
        <v>208</v>
      </c>
      <c r="P7623" s="345" t="s">
        <v>209</v>
      </c>
      <c r="Q7623" s="345" t="s">
        <v>210</v>
      </c>
      <c r="R7623" s="345" t="s">
        <v>223</v>
      </c>
      <c r="S7623" s="345" t="s">
        <v>224</v>
      </c>
    </row>
    <row r="7624" spans="1:19" x14ac:dyDescent="0.25">
      <c r="A7624" s="311"/>
      <c r="B7624" s="312"/>
      <c r="C7624" s="312"/>
      <c r="D7624" s="312"/>
      <c r="E7624" s="312"/>
      <c r="F7624" s="312"/>
      <c r="G7624" s="328"/>
      <c r="H7624" s="453"/>
      <c r="I7624" s="334"/>
      <c r="J7624" s="314"/>
      <c r="K7624" s="454"/>
      <c r="M7624" s="349" t="str">
        <f>N7624&amp;AS[[#This Row],[Insurer Code]]&amp;"; "&amp;O7624&amp;AS[[#This Row],[Reporting Year]]&amp;"; "&amp;P7624&amp;AS[[#This Row],[Insurance Category Code]]&amp;"; "&amp;Q7624&amp;AS[[#This Row],[Large Provider Entity Code]]&amp;"; "&amp;R7624&amp;AS[[#This Row],[Age Band Code]]&amp;"; "&amp;S7624&amp;AS[[#This Row],[Sex Code]]</f>
        <v xml:space="preserve">Insurer Code ; Reporting Year ; Insurance Category Code ; Large Provider Entity Code ; Age Band Code ; Sex Code </v>
      </c>
      <c r="N7624" s="345" t="s">
        <v>207</v>
      </c>
      <c r="O7624" s="345" t="s">
        <v>208</v>
      </c>
      <c r="P7624" s="345" t="s">
        <v>209</v>
      </c>
      <c r="Q7624" s="345" t="s">
        <v>210</v>
      </c>
      <c r="R7624" s="345" t="s">
        <v>223</v>
      </c>
      <c r="S7624" s="345" t="s">
        <v>224</v>
      </c>
    </row>
    <row r="7625" spans="1:19" x14ac:dyDescent="0.25">
      <c r="A7625" s="311"/>
      <c r="B7625" s="312"/>
      <c r="C7625" s="312"/>
      <c r="D7625" s="312"/>
      <c r="E7625" s="312"/>
      <c r="F7625" s="312"/>
      <c r="G7625" s="328"/>
      <c r="H7625" s="453"/>
      <c r="I7625" s="334"/>
      <c r="J7625" s="314"/>
      <c r="K7625" s="454"/>
      <c r="M7625" s="349" t="str">
        <f>N7625&amp;AS[[#This Row],[Insurer Code]]&amp;"; "&amp;O7625&amp;AS[[#This Row],[Reporting Year]]&amp;"; "&amp;P7625&amp;AS[[#This Row],[Insurance Category Code]]&amp;"; "&amp;Q7625&amp;AS[[#This Row],[Large Provider Entity Code]]&amp;"; "&amp;R7625&amp;AS[[#This Row],[Age Band Code]]&amp;"; "&amp;S7625&amp;AS[[#This Row],[Sex Code]]</f>
        <v xml:space="preserve">Insurer Code ; Reporting Year ; Insurance Category Code ; Large Provider Entity Code ; Age Band Code ; Sex Code </v>
      </c>
      <c r="N7625" s="345" t="s">
        <v>207</v>
      </c>
      <c r="O7625" s="345" t="s">
        <v>208</v>
      </c>
      <c r="P7625" s="345" t="s">
        <v>209</v>
      </c>
      <c r="Q7625" s="345" t="s">
        <v>210</v>
      </c>
      <c r="R7625" s="345" t="s">
        <v>223</v>
      </c>
      <c r="S7625" s="345" t="s">
        <v>224</v>
      </c>
    </row>
    <row r="7626" spans="1:19" x14ac:dyDescent="0.25">
      <c r="A7626" s="311"/>
      <c r="B7626" s="312"/>
      <c r="C7626" s="312"/>
      <c r="D7626" s="312"/>
      <c r="E7626" s="312"/>
      <c r="F7626" s="312"/>
      <c r="G7626" s="328"/>
      <c r="H7626" s="453"/>
      <c r="I7626" s="334"/>
      <c r="J7626" s="314"/>
      <c r="K7626" s="454"/>
      <c r="M7626" s="349" t="str">
        <f>N7626&amp;AS[[#This Row],[Insurer Code]]&amp;"; "&amp;O7626&amp;AS[[#This Row],[Reporting Year]]&amp;"; "&amp;P7626&amp;AS[[#This Row],[Insurance Category Code]]&amp;"; "&amp;Q7626&amp;AS[[#This Row],[Large Provider Entity Code]]&amp;"; "&amp;R7626&amp;AS[[#This Row],[Age Band Code]]&amp;"; "&amp;S7626&amp;AS[[#This Row],[Sex Code]]</f>
        <v xml:space="preserve">Insurer Code ; Reporting Year ; Insurance Category Code ; Large Provider Entity Code ; Age Band Code ; Sex Code </v>
      </c>
      <c r="N7626" s="345" t="s">
        <v>207</v>
      </c>
      <c r="O7626" s="345" t="s">
        <v>208</v>
      </c>
      <c r="P7626" s="345" t="s">
        <v>209</v>
      </c>
      <c r="Q7626" s="345" t="s">
        <v>210</v>
      </c>
      <c r="R7626" s="345" t="s">
        <v>223</v>
      </c>
      <c r="S7626" s="345" t="s">
        <v>224</v>
      </c>
    </row>
    <row r="7627" spans="1:19" x14ac:dyDescent="0.25">
      <c r="A7627" s="311"/>
      <c r="B7627" s="312"/>
      <c r="C7627" s="312"/>
      <c r="D7627" s="312"/>
      <c r="E7627" s="312"/>
      <c r="F7627" s="312"/>
      <c r="G7627" s="328"/>
      <c r="H7627" s="453"/>
      <c r="I7627" s="334"/>
      <c r="J7627" s="314"/>
      <c r="K7627" s="454"/>
      <c r="M7627" s="349" t="str">
        <f>N7627&amp;AS[[#This Row],[Insurer Code]]&amp;"; "&amp;O7627&amp;AS[[#This Row],[Reporting Year]]&amp;"; "&amp;P7627&amp;AS[[#This Row],[Insurance Category Code]]&amp;"; "&amp;Q7627&amp;AS[[#This Row],[Large Provider Entity Code]]&amp;"; "&amp;R7627&amp;AS[[#This Row],[Age Band Code]]&amp;"; "&amp;S7627&amp;AS[[#This Row],[Sex Code]]</f>
        <v xml:space="preserve">Insurer Code ; Reporting Year ; Insurance Category Code ; Large Provider Entity Code ; Age Band Code ; Sex Code </v>
      </c>
      <c r="N7627" s="345" t="s">
        <v>207</v>
      </c>
      <c r="O7627" s="345" t="s">
        <v>208</v>
      </c>
      <c r="P7627" s="345" t="s">
        <v>209</v>
      </c>
      <c r="Q7627" s="345" t="s">
        <v>210</v>
      </c>
      <c r="R7627" s="345" t="s">
        <v>223</v>
      </c>
      <c r="S7627" s="345" t="s">
        <v>224</v>
      </c>
    </row>
    <row r="7628" spans="1:19" x14ac:dyDescent="0.25">
      <c r="A7628" s="311"/>
      <c r="B7628" s="312"/>
      <c r="C7628" s="312"/>
      <c r="D7628" s="312"/>
      <c r="E7628" s="312"/>
      <c r="F7628" s="312"/>
      <c r="G7628" s="328"/>
      <c r="H7628" s="453"/>
      <c r="I7628" s="334"/>
      <c r="J7628" s="314"/>
      <c r="K7628" s="454"/>
      <c r="M7628" s="349" t="str">
        <f>N7628&amp;AS[[#This Row],[Insurer Code]]&amp;"; "&amp;O7628&amp;AS[[#This Row],[Reporting Year]]&amp;"; "&amp;P7628&amp;AS[[#This Row],[Insurance Category Code]]&amp;"; "&amp;Q7628&amp;AS[[#This Row],[Large Provider Entity Code]]&amp;"; "&amp;R7628&amp;AS[[#This Row],[Age Band Code]]&amp;"; "&amp;S7628&amp;AS[[#This Row],[Sex Code]]</f>
        <v xml:space="preserve">Insurer Code ; Reporting Year ; Insurance Category Code ; Large Provider Entity Code ; Age Band Code ; Sex Code </v>
      </c>
      <c r="N7628" s="345" t="s">
        <v>207</v>
      </c>
      <c r="O7628" s="345" t="s">
        <v>208</v>
      </c>
      <c r="P7628" s="345" t="s">
        <v>209</v>
      </c>
      <c r="Q7628" s="345" t="s">
        <v>210</v>
      </c>
      <c r="R7628" s="345" t="s">
        <v>223</v>
      </c>
      <c r="S7628" s="345" t="s">
        <v>224</v>
      </c>
    </row>
    <row r="7629" spans="1:19" x14ac:dyDescent="0.25">
      <c r="A7629" s="311"/>
      <c r="B7629" s="312"/>
      <c r="C7629" s="312"/>
      <c r="D7629" s="312"/>
      <c r="E7629" s="312"/>
      <c r="F7629" s="312"/>
      <c r="G7629" s="328"/>
      <c r="H7629" s="453"/>
      <c r="I7629" s="334"/>
      <c r="J7629" s="314"/>
      <c r="K7629" s="454"/>
      <c r="M7629" s="349" t="str">
        <f>N7629&amp;AS[[#This Row],[Insurer Code]]&amp;"; "&amp;O7629&amp;AS[[#This Row],[Reporting Year]]&amp;"; "&amp;P7629&amp;AS[[#This Row],[Insurance Category Code]]&amp;"; "&amp;Q7629&amp;AS[[#This Row],[Large Provider Entity Code]]&amp;"; "&amp;R7629&amp;AS[[#This Row],[Age Band Code]]&amp;"; "&amp;S7629&amp;AS[[#This Row],[Sex Code]]</f>
        <v xml:space="preserve">Insurer Code ; Reporting Year ; Insurance Category Code ; Large Provider Entity Code ; Age Band Code ; Sex Code </v>
      </c>
      <c r="N7629" s="345" t="s">
        <v>207</v>
      </c>
      <c r="O7629" s="345" t="s">
        <v>208</v>
      </c>
      <c r="P7629" s="345" t="s">
        <v>209</v>
      </c>
      <c r="Q7629" s="345" t="s">
        <v>210</v>
      </c>
      <c r="R7629" s="345" t="s">
        <v>223</v>
      </c>
      <c r="S7629" s="345" t="s">
        <v>224</v>
      </c>
    </row>
    <row r="7630" spans="1:19" x14ac:dyDescent="0.25">
      <c r="A7630" s="311"/>
      <c r="B7630" s="312"/>
      <c r="C7630" s="312"/>
      <c r="D7630" s="312"/>
      <c r="E7630" s="312"/>
      <c r="F7630" s="312"/>
      <c r="G7630" s="328"/>
      <c r="H7630" s="453"/>
      <c r="I7630" s="334"/>
      <c r="J7630" s="314"/>
      <c r="K7630" s="454"/>
      <c r="M7630" s="349" t="str">
        <f>N7630&amp;AS[[#This Row],[Insurer Code]]&amp;"; "&amp;O7630&amp;AS[[#This Row],[Reporting Year]]&amp;"; "&amp;P7630&amp;AS[[#This Row],[Insurance Category Code]]&amp;"; "&amp;Q7630&amp;AS[[#This Row],[Large Provider Entity Code]]&amp;"; "&amp;R7630&amp;AS[[#This Row],[Age Band Code]]&amp;"; "&amp;S7630&amp;AS[[#This Row],[Sex Code]]</f>
        <v xml:space="preserve">Insurer Code ; Reporting Year ; Insurance Category Code ; Large Provider Entity Code ; Age Band Code ; Sex Code </v>
      </c>
      <c r="N7630" s="345" t="s">
        <v>207</v>
      </c>
      <c r="O7630" s="345" t="s">
        <v>208</v>
      </c>
      <c r="P7630" s="345" t="s">
        <v>209</v>
      </c>
      <c r="Q7630" s="345" t="s">
        <v>210</v>
      </c>
      <c r="R7630" s="345" t="s">
        <v>223</v>
      </c>
      <c r="S7630" s="345" t="s">
        <v>224</v>
      </c>
    </row>
    <row r="7631" spans="1:19" x14ac:dyDescent="0.25">
      <c r="A7631" s="311"/>
      <c r="B7631" s="312"/>
      <c r="C7631" s="312"/>
      <c r="D7631" s="312"/>
      <c r="E7631" s="312"/>
      <c r="F7631" s="312"/>
      <c r="G7631" s="328"/>
      <c r="H7631" s="453"/>
      <c r="I7631" s="334"/>
      <c r="J7631" s="314"/>
      <c r="K7631" s="454"/>
      <c r="M7631" s="349" t="str">
        <f>N7631&amp;AS[[#This Row],[Insurer Code]]&amp;"; "&amp;O7631&amp;AS[[#This Row],[Reporting Year]]&amp;"; "&amp;P7631&amp;AS[[#This Row],[Insurance Category Code]]&amp;"; "&amp;Q7631&amp;AS[[#This Row],[Large Provider Entity Code]]&amp;"; "&amp;R7631&amp;AS[[#This Row],[Age Band Code]]&amp;"; "&amp;S7631&amp;AS[[#This Row],[Sex Code]]</f>
        <v xml:space="preserve">Insurer Code ; Reporting Year ; Insurance Category Code ; Large Provider Entity Code ; Age Band Code ; Sex Code </v>
      </c>
      <c r="N7631" s="345" t="s">
        <v>207</v>
      </c>
      <c r="O7631" s="345" t="s">
        <v>208</v>
      </c>
      <c r="P7631" s="345" t="s">
        <v>209</v>
      </c>
      <c r="Q7631" s="345" t="s">
        <v>210</v>
      </c>
      <c r="R7631" s="345" t="s">
        <v>223</v>
      </c>
      <c r="S7631" s="345" t="s">
        <v>224</v>
      </c>
    </row>
    <row r="7632" spans="1:19" x14ac:dyDescent="0.25">
      <c r="A7632" s="311"/>
      <c r="B7632" s="312"/>
      <c r="C7632" s="312"/>
      <c r="D7632" s="312"/>
      <c r="E7632" s="312"/>
      <c r="F7632" s="312"/>
      <c r="G7632" s="328"/>
      <c r="H7632" s="453"/>
      <c r="I7632" s="334"/>
      <c r="J7632" s="314"/>
      <c r="K7632" s="454"/>
      <c r="M7632" s="349" t="str">
        <f>N7632&amp;AS[[#This Row],[Insurer Code]]&amp;"; "&amp;O7632&amp;AS[[#This Row],[Reporting Year]]&amp;"; "&amp;P7632&amp;AS[[#This Row],[Insurance Category Code]]&amp;"; "&amp;Q7632&amp;AS[[#This Row],[Large Provider Entity Code]]&amp;"; "&amp;R7632&amp;AS[[#This Row],[Age Band Code]]&amp;"; "&amp;S7632&amp;AS[[#This Row],[Sex Code]]</f>
        <v xml:space="preserve">Insurer Code ; Reporting Year ; Insurance Category Code ; Large Provider Entity Code ; Age Band Code ; Sex Code </v>
      </c>
      <c r="N7632" s="345" t="s">
        <v>207</v>
      </c>
      <c r="O7632" s="345" t="s">
        <v>208</v>
      </c>
      <c r="P7632" s="345" t="s">
        <v>209</v>
      </c>
      <c r="Q7632" s="345" t="s">
        <v>210</v>
      </c>
      <c r="R7632" s="345" t="s">
        <v>223</v>
      </c>
      <c r="S7632" s="345" t="s">
        <v>224</v>
      </c>
    </row>
    <row r="7633" spans="1:19" x14ac:dyDescent="0.25">
      <c r="A7633" s="311"/>
      <c r="B7633" s="312"/>
      <c r="C7633" s="312"/>
      <c r="D7633" s="312"/>
      <c r="E7633" s="312"/>
      <c r="F7633" s="312"/>
      <c r="G7633" s="328"/>
      <c r="H7633" s="453"/>
      <c r="I7633" s="334"/>
      <c r="J7633" s="314"/>
      <c r="K7633" s="454"/>
      <c r="M7633" s="349" t="str">
        <f>N7633&amp;AS[[#This Row],[Insurer Code]]&amp;"; "&amp;O7633&amp;AS[[#This Row],[Reporting Year]]&amp;"; "&amp;P7633&amp;AS[[#This Row],[Insurance Category Code]]&amp;"; "&amp;Q7633&amp;AS[[#This Row],[Large Provider Entity Code]]&amp;"; "&amp;R7633&amp;AS[[#This Row],[Age Band Code]]&amp;"; "&amp;S7633&amp;AS[[#This Row],[Sex Code]]</f>
        <v xml:space="preserve">Insurer Code ; Reporting Year ; Insurance Category Code ; Large Provider Entity Code ; Age Band Code ; Sex Code </v>
      </c>
      <c r="N7633" s="345" t="s">
        <v>207</v>
      </c>
      <c r="O7633" s="345" t="s">
        <v>208</v>
      </c>
      <c r="P7633" s="345" t="s">
        <v>209</v>
      </c>
      <c r="Q7633" s="345" t="s">
        <v>210</v>
      </c>
      <c r="R7633" s="345" t="s">
        <v>223</v>
      </c>
      <c r="S7633" s="345" t="s">
        <v>224</v>
      </c>
    </row>
    <row r="7634" spans="1:19" x14ac:dyDescent="0.25">
      <c r="A7634" s="311"/>
      <c r="B7634" s="312"/>
      <c r="C7634" s="312"/>
      <c r="D7634" s="312"/>
      <c r="E7634" s="312"/>
      <c r="F7634" s="312"/>
      <c r="G7634" s="328"/>
      <c r="H7634" s="453"/>
      <c r="I7634" s="334"/>
      <c r="J7634" s="314"/>
      <c r="K7634" s="454"/>
      <c r="M7634" s="349" t="str">
        <f>N7634&amp;AS[[#This Row],[Insurer Code]]&amp;"; "&amp;O7634&amp;AS[[#This Row],[Reporting Year]]&amp;"; "&amp;P7634&amp;AS[[#This Row],[Insurance Category Code]]&amp;"; "&amp;Q7634&amp;AS[[#This Row],[Large Provider Entity Code]]&amp;"; "&amp;R7634&amp;AS[[#This Row],[Age Band Code]]&amp;"; "&amp;S7634&amp;AS[[#This Row],[Sex Code]]</f>
        <v xml:space="preserve">Insurer Code ; Reporting Year ; Insurance Category Code ; Large Provider Entity Code ; Age Band Code ; Sex Code </v>
      </c>
      <c r="N7634" s="345" t="s">
        <v>207</v>
      </c>
      <c r="O7634" s="345" t="s">
        <v>208</v>
      </c>
      <c r="P7634" s="345" t="s">
        <v>209</v>
      </c>
      <c r="Q7634" s="345" t="s">
        <v>210</v>
      </c>
      <c r="R7634" s="345" t="s">
        <v>223</v>
      </c>
      <c r="S7634" s="345" t="s">
        <v>224</v>
      </c>
    </row>
    <row r="7635" spans="1:19" x14ac:dyDescent="0.25">
      <c r="A7635" s="311"/>
      <c r="B7635" s="312"/>
      <c r="C7635" s="312"/>
      <c r="D7635" s="312"/>
      <c r="E7635" s="312"/>
      <c r="F7635" s="312"/>
      <c r="G7635" s="328"/>
      <c r="H7635" s="453"/>
      <c r="I7635" s="334"/>
      <c r="J7635" s="314"/>
      <c r="K7635" s="454"/>
      <c r="M7635" s="349" t="str">
        <f>N7635&amp;AS[[#This Row],[Insurer Code]]&amp;"; "&amp;O7635&amp;AS[[#This Row],[Reporting Year]]&amp;"; "&amp;P7635&amp;AS[[#This Row],[Insurance Category Code]]&amp;"; "&amp;Q7635&amp;AS[[#This Row],[Large Provider Entity Code]]&amp;"; "&amp;R7635&amp;AS[[#This Row],[Age Band Code]]&amp;"; "&amp;S7635&amp;AS[[#This Row],[Sex Code]]</f>
        <v xml:space="preserve">Insurer Code ; Reporting Year ; Insurance Category Code ; Large Provider Entity Code ; Age Band Code ; Sex Code </v>
      </c>
      <c r="N7635" s="345" t="s">
        <v>207</v>
      </c>
      <c r="O7635" s="345" t="s">
        <v>208</v>
      </c>
      <c r="P7635" s="345" t="s">
        <v>209</v>
      </c>
      <c r="Q7635" s="345" t="s">
        <v>210</v>
      </c>
      <c r="R7635" s="345" t="s">
        <v>223</v>
      </c>
      <c r="S7635" s="345" t="s">
        <v>224</v>
      </c>
    </row>
    <row r="7636" spans="1:19" x14ac:dyDescent="0.25">
      <c r="A7636" s="311"/>
      <c r="B7636" s="312"/>
      <c r="C7636" s="312"/>
      <c r="D7636" s="312"/>
      <c r="E7636" s="312"/>
      <c r="F7636" s="312"/>
      <c r="G7636" s="328"/>
      <c r="H7636" s="453"/>
      <c r="I7636" s="334"/>
      <c r="J7636" s="314"/>
      <c r="K7636" s="454"/>
      <c r="M7636" s="349" t="str">
        <f>N7636&amp;AS[[#This Row],[Insurer Code]]&amp;"; "&amp;O7636&amp;AS[[#This Row],[Reporting Year]]&amp;"; "&amp;P7636&amp;AS[[#This Row],[Insurance Category Code]]&amp;"; "&amp;Q7636&amp;AS[[#This Row],[Large Provider Entity Code]]&amp;"; "&amp;R7636&amp;AS[[#This Row],[Age Band Code]]&amp;"; "&amp;S7636&amp;AS[[#This Row],[Sex Code]]</f>
        <v xml:space="preserve">Insurer Code ; Reporting Year ; Insurance Category Code ; Large Provider Entity Code ; Age Band Code ; Sex Code </v>
      </c>
      <c r="N7636" s="345" t="s">
        <v>207</v>
      </c>
      <c r="O7636" s="345" t="s">
        <v>208</v>
      </c>
      <c r="P7636" s="345" t="s">
        <v>209</v>
      </c>
      <c r="Q7636" s="345" t="s">
        <v>210</v>
      </c>
      <c r="R7636" s="345" t="s">
        <v>223</v>
      </c>
      <c r="S7636" s="345" t="s">
        <v>224</v>
      </c>
    </row>
    <row r="7637" spans="1:19" x14ac:dyDescent="0.25">
      <c r="A7637" s="311"/>
      <c r="B7637" s="312"/>
      <c r="C7637" s="312"/>
      <c r="D7637" s="312"/>
      <c r="E7637" s="312"/>
      <c r="F7637" s="312"/>
      <c r="G7637" s="328"/>
      <c r="H7637" s="453"/>
      <c r="I7637" s="334"/>
      <c r="J7637" s="314"/>
      <c r="K7637" s="454"/>
      <c r="M7637" s="349" t="str">
        <f>N7637&amp;AS[[#This Row],[Insurer Code]]&amp;"; "&amp;O7637&amp;AS[[#This Row],[Reporting Year]]&amp;"; "&amp;P7637&amp;AS[[#This Row],[Insurance Category Code]]&amp;"; "&amp;Q7637&amp;AS[[#This Row],[Large Provider Entity Code]]&amp;"; "&amp;R7637&amp;AS[[#This Row],[Age Band Code]]&amp;"; "&amp;S7637&amp;AS[[#This Row],[Sex Code]]</f>
        <v xml:space="preserve">Insurer Code ; Reporting Year ; Insurance Category Code ; Large Provider Entity Code ; Age Band Code ; Sex Code </v>
      </c>
      <c r="N7637" s="345" t="s">
        <v>207</v>
      </c>
      <c r="O7637" s="345" t="s">
        <v>208</v>
      </c>
      <c r="P7637" s="345" t="s">
        <v>209</v>
      </c>
      <c r="Q7637" s="345" t="s">
        <v>210</v>
      </c>
      <c r="R7637" s="345" t="s">
        <v>223</v>
      </c>
      <c r="S7637" s="345" t="s">
        <v>224</v>
      </c>
    </row>
    <row r="7638" spans="1:19" x14ac:dyDescent="0.25">
      <c r="A7638" s="311"/>
      <c r="B7638" s="312"/>
      <c r="C7638" s="312"/>
      <c r="D7638" s="312"/>
      <c r="E7638" s="312"/>
      <c r="F7638" s="312"/>
      <c r="G7638" s="328"/>
      <c r="H7638" s="453"/>
      <c r="I7638" s="334"/>
      <c r="J7638" s="314"/>
      <c r="K7638" s="454"/>
      <c r="M7638" s="349" t="str">
        <f>N7638&amp;AS[[#This Row],[Insurer Code]]&amp;"; "&amp;O7638&amp;AS[[#This Row],[Reporting Year]]&amp;"; "&amp;P7638&amp;AS[[#This Row],[Insurance Category Code]]&amp;"; "&amp;Q7638&amp;AS[[#This Row],[Large Provider Entity Code]]&amp;"; "&amp;R7638&amp;AS[[#This Row],[Age Band Code]]&amp;"; "&amp;S7638&amp;AS[[#This Row],[Sex Code]]</f>
        <v xml:space="preserve">Insurer Code ; Reporting Year ; Insurance Category Code ; Large Provider Entity Code ; Age Band Code ; Sex Code </v>
      </c>
      <c r="N7638" s="345" t="s">
        <v>207</v>
      </c>
      <c r="O7638" s="345" t="s">
        <v>208</v>
      </c>
      <c r="P7638" s="345" t="s">
        <v>209</v>
      </c>
      <c r="Q7638" s="345" t="s">
        <v>210</v>
      </c>
      <c r="R7638" s="345" t="s">
        <v>223</v>
      </c>
      <c r="S7638" s="345" t="s">
        <v>224</v>
      </c>
    </row>
    <row r="7639" spans="1:19" x14ac:dyDescent="0.25">
      <c r="A7639" s="311"/>
      <c r="B7639" s="312"/>
      <c r="C7639" s="312"/>
      <c r="D7639" s="312"/>
      <c r="E7639" s="312"/>
      <c r="F7639" s="312"/>
      <c r="G7639" s="328"/>
      <c r="H7639" s="453"/>
      <c r="I7639" s="334"/>
      <c r="J7639" s="314"/>
      <c r="K7639" s="454"/>
      <c r="M7639" s="349" t="str">
        <f>N7639&amp;AS[[#This Row],[Insurer Code]]&amp;"; "&amp;O7639&amp;AS[[#This Row],[Reporting Year]]&amp;"; "&amp;P7639&amp;AS[[#This Row],[Insurance Category Code]]&amp;"; "&amp;Q7639&amp;AS[[#This Row],[Large Provider Entity Code]]&amp;"; "&amp;R7639&amp;AS[[#This Row],[Age Band Code]]&amp;"; "&amp;S7639&amp;AS[[#This Row],[Sex Code]]</f>
        <v xml:space="preserve">Insurer Code ; Reporting Year ; Insurance Category Code ; Large Provider Entity Code ; Age Band Code ; Sex Code </v>
      </c>
      <c r="N7639" s="345" t="s">
        <v>207</v>
      </c>
      <c r="O7639" s="345" t="s">
        <v>208</v>
      </c>
      <c r="P7639" s="345" t="s">
        <v>209</v>
      </c>
      <c r="Q7639" s="345" t="s">
        <v>210</v>
      </c>
      <c r="R7639" s="345" t="s">
        <v>223</v>
      </c>
      <c r="S7639" s="345" t="s">
        <v>224</v>
      </c>
    </row>
    <row r="7640" spans="1:19" x14ac:dyDescent="0.25">
      <c r="A7640" s="311"/>
      <c r="B7640" s="312"/>
      <c r="C7640" s="312"/>
      <c r="D7640" s="312"/>
      <c r="E7640" s="312"/>
      <c r="F7640" s="312"/>
      <c r="G7640" s="328"/>
      <c r="H7640" s="453"/>
      <c r="I7640" s="334"/>
      <c r="J7640" s="314"/>
      <c r="K7640" s="454"/>
      <c r="M7640" s="349" t="str">
        <f>N7640&amp;AS[[#This Row],[Insurer Code]]&amp;"; "&amp;O7640&amp;AS[[#This Row],[Reporting Year]]&amp;"; "&amp;P7640&amp;AS[[#This Row],[Insurance Category Code]]&amp;"; "&amp;Q7640&amp;AS[[#This Row],[Large Provider Entity Code]]&amp;"; "&amp;R7640&amp;AS[[#This Row],[Age Band Code]]&amp;"; "&amp;S7640&amp;AS[[#This Row],[Sex Code]]</f>
        <v xml:space="preserve">Insurer Code ; Reporting Year ; Insurance Category Code ; Large Provider Entity Code ; Age Band Code ; Sex Code </v>
      </c>
      <c r="N7640" s="345" t="s">
        <v>207</v>
      </c>
      <c r="O7640" s="345" t="s">
        <v>208</v>
      </c>
      <c r="P7640" s="345" t="s">
        <v>209</v>
      </c>
      <c r="Q7640" s="345" t="s">
        <v>210</v>
      </c>
      <c r="R7640" s="345" t="s">
        <v>223</v>
      </c>
      <c r="S7640" s="345" t="s">
        <v>224</v>
      </c>
    </row>
    <row r="7641" spans="1:19" x14ac:dyDescent="0.25">
      <c r="A7641" s="311"/>
      <c r="B7641" s="312"/>
      <c r="C7641" s="312"/>
      <c r="D7641" s="312"/>
      <c r="E7641" s="312"/>
      <c r="F7641" s="312"/>
      <c r="G7641" s="328"/>
      <c r="H7641" s="453"/>
      <c r="I7641" s="334"/>
      <c r="J7641" s="314"/>
      <c r="K7641" s="454"/>
      <c r="M7641" s="349" t="str">
        <f>N7641&amp;AS[[#This Row],[Insurer Code]]&amp;"; "&amp;O7641&amp;AS[[#This Row],[Reporting Year]]&amp;"; "&amp;P7641&amp;AS[[#This Row],[Insurance Category Code]]&amp;"; "&amp;Q7641&amp;AS[[#This Row],[Large Provider Entity Code]]&amp;"; "&amp;R7641&amp;AS[[#This Row],[Age Band Code]]&amp;"; "&amp;S7641&amp;AS[[#This Row],[Sex Code]]</f>
        <v xml:space="preserve">Insurer Code ; Reporting Year ; Insurance Category Code ; Large Provider Entity Code ; Age Band Code ; Sex Code </v>
      </c>
      <c r="N7641" s="345" t="s">
        <v>207</v>
      </c>
      <c r="O7641" s="345" t="s">
        <v>208</v>
      </c>
      <c r="P7641" s="345" t="s">
        <v>209</v>
      </c>
      <c r="Q7641" s="345" t="s">
        <v>210</v>
      </c>
      <c r="R7641" s="345" t="s">
        <v>223</v>
      </c>
      <c r="S7641" s="345" t="s">
        <v>224</v>
      </c>
    </row>
    <row r="7642" spans="1:19" x14ac:dyDescent="0.25">
      <c r="A7642" s="311"/>
      <c r="B7642" s="312"/>
      <c r="C7642" s="312"/>
      <c r="D7642" s="312"/>
      <c r="E7642" s="312"/>
      <c r="F7642" s="312"/>
      <c r="G7642" s="328"/>
      <c r="H7642" s="453"/>
      <c r="I7642" s="334"/>
      <c r="J7642" s="314"/>
      <c r="K7642" s="454"/>
      <c r="M7642" s="349" t="str">
        <f>N7642&amp;AS[[#This Row],[Insurer Code]]&amp;"; "&amp;O7642&amp;AS[[#This Row],[Reporting Year]]&amp;"; "&amp;P7642&amp;AS[[#This Row],[Insurance Category Code]]&amp;"; "&amp;Q7642&amp;AS[[#This Row],[Large Provider Entity Code]]&amp;"; "&amp;R7642&amp;AS[[#This Row],[Age Band Code]]&amp;"; "&amp;S7642&amp;AS[[#This Row],[Sex Code]]</f>
        <v xml:space="preserve">Insurer Code ; Reporting Year ; Insurance Category Code ; Large Provider Entity Code ; Age Band Code ; Sex Code </v>
      </c>
      <c r="N7642" s="345" t="s">
        <v>207</v>
      </c>
      <c r="O7642" s="345" t="s">
        <v>208</v>
      </c>
      <c r="P7642" s="345" t="s">
        <v>209</v>
      </c>
      <c r="Q7642" s="345" t="s">
        <v>210</v>
      </c>
      <c r="R7642" s="345" t="s">
        <v>223</v>
      </c>
      <c r="S7642" s="345" t="s">
        <v>224</v>
      </c>
    </row>
    <row r="7643" spans="1:19" x14ac:dyDescent="0.25">
      <c r="A7643" s="311"/>
      <c r="B7643" s="312"/>
      <c r="C7643" s="312"/>
      <c r="D7643" s="312"/>
      <c r="E7643" s="312"/>
      <c r="F7643" s="312"/>
      <c r="G7643" s="328"/>
      <c r="H7643" s="453"/>
      <c r="I7643" s="334"/>
      <c r="J7643" s="314"/>
      <c r="K7643" s="454"/>
      <c r="M7643" s="349" t="str">
        <f>N7643&amp;AS[[#This Row],[Insurer Code]]&amp;"; "&amp;O7643&amp;AS[[#This Row],[Reporting Year]]&amp;"; "&amp;P7643&amp;AS[[#This Row],[Insurance Category Code]]&amp;"; "&amp;Q7643&amp;AS[[#This Row],[Large Provider Entity Code]]&amp;"; "&amp;R7643&amp;AS[[#This Row],[Age Band Code]]&amp;"; "&amp;S7643&amp;AS[[#This Row],[Sex Code]]</f>
        <v xml:space="preserve">Insurer Code ; Reporting Year ; Insurance Category Code ; Large Provider Entity Code ; Age Band Code ; Sex Code </v>
      </c>
      <c r="N7643" s="345" t="s">
        <v>207</v>
      </c>
      <c r="O7643" s="345" t="s">
        <v>208</v>
      </c>
      <c r="P7643" s="345" t="s">
        <v>209</v>
      </c>
      <c r="Q7643" s="345" t="s">
        <v>210</v>
      </c>
      <c r="R7643" s="345" t="s">
        <v>223</v>
      </c>
      <c r="S7643" s="345" t="s">
        <v>224</v>
      </c>
    </row>
    <row r="7644" spans="1:19" x14ac:dyDescent="0.25">
      <c r="A7644" s="311"/>
      <c r="B7644" s="312"/>
      <c r="C7644" s="312"/>
      <c r="D7644" s="312"/>
      <c r="E7644" s="312"/>
      <c r="F7644" s="312"/>
      <c r="G7644" s="328"/>
      <c r="H7644" s="453"/>
      <c r="I7644" s="334"/>
      <c r="J7644" s="314"/>
      <c r="K7644" s="454"/>
      <c r="M7644" s="349" t="str">
        <f>N7644&amp;AS[[#This Row],[Insurer Code]]&amp;"; "&amp;O7644&amp;AS[[#This Row],[Reporting Year]]&amp;"; "&amp;P7644&amp;AS[[#This Row],[Insurance Category Code]]&amp;"; "&amp;Q7644&amp;AS[[#This Row],[Large Provider Entity Code]]&amp;"; "&amp;R7644&amp;AS[[#This Row],[Age Band Code]]&amp;"; "&amp;S7644&amp;AS[[#This Row],[Sex Code]]</f>
        <v xml:space="preserve">Insurer Code ; Reporting Year ; Insurance Category Code ; Large Provider Entity Code ; Age Band Code ; Sex Code </v>
      </c>
      <c r="N7644" s="345" t="s">
        <v>207</v>
      </c>
      <c r="O7644" s="345" t="s">
        <v>208</v>
      </c>
      <c r="P7644" s="345" t="s">
        <v>209</v>
      </c>
      <c r="Q7644" s="345" t="s">
        <v>210</v>
      </c>
      <c r="R7644" s="345" t="s">
        <v>223</v>
      </c>
      <c r="S7644" s="345" t="s">
        <v>224</v>
      </c>
    </row>
    <row r="7645" spans="1:19" x14ac:dyDescent="0.25">
      <c r="A7645" s="311"/>
      <c r="B7645" s="312"/>
      <c r="C7645" s="312"/>
      <c r="D7645" s="312"/>
      <c r="E7645" s="312"/>
      <c r="F7645" s="312"/>
      <c r="G7645" s="328"/>
      <c r="H7645" s="453"/>
      <c r="I7645" s="334"/>
      <c r="J7645" s="314"/>
      <c r="K7645" s="454"/>
      <c r="M7645" s="349" t="str">
        <f>N7645&amp;AS[[#This Row],[Insurer Code]]&amp;"; "&amp;O7645&amp;AS[[#This Row],[Reporting Year]]&amp;"; "&amp;P7645&amp;AS[[#This Row],[Insurance Category Code]]&amp;"; "&amp;Q7645&amp;AS[[#This Row],[Large Provider Entity Code]]&amp;"; "&amp;R7645&amp;AS[[#This Row],[Age Band Code]]&amp;"; "&amp;S7645&amp;AS[[#This Row],[Sex Code]]</f>
        <v xml:space="preserve">Insurer Code ; Reporting Year ; Insurance Category Code ; Large Provider Entity Code ; Age Band Code ; Sex Code </v>
      </c>
      <c r="N7645" s="345" t="s">
        <v>207</v>
      </c>
      <c r="O7645" s="345" t="s">
        <v>208</v>
      </c>
      <c r="P7645" s="345" t="s">
        <v>209</v>
      </c>
      <c r="Q7645" s="345" t="s">
        <v>210</v>
      </c>
      <c r="R7645" s="345" t="s">
        <v>223</v>
      </c>
      <c r="S7645" s="345" t="s">
        <v>224</v>
      </c>
    </row>
    <row r="7646" spans="1:19" x14ac:dyDescent="0.25">
      <c r="A7646" s="311"/>
      <c r="B7646" s="312"/>
      <c r="C7646" s="312"/>
      <c r="D7646" s="312"/>
      <c r="E7646" s="312"/>
      <c r="F7646" s="312"/>
      <c r="G7646" s="328"/>
      <c r="H7646" s="453"/>
      <c r="I7646" s="334"/>
      <c r="J7646" s="314"/>
      <c r="K7646" s="454"/>
      <c r="M7646" s="349" t="str">
        <f>N7646&amp;AS[[#This Row],[Insurer Code]]&amp;"; "&amp;O7646&amp;AS[[#This Row],[Reporting Year]]&amp;"; "&amp;P7646&amp;AS[[#This Row],[Insurance Category Code]]&amp;"; "&amp;Q7646&amp;AS[[#This Row],[Large Provider Entity Code]]&amp;"; "&amp;R7646&amp;AS[[#This Row],[Age Band Code]]&amp;"; "&amp;S7646&amp;AS[[#This Row],[Sex Code]]</f>
        <v xml:space="preserve">Insurer Code ; Reporting Year ; Insurance Category Code ; Large Provider Entity Code ; Age Band Code ; Sex Code </v>
      </c>
      <c r="N7646" s="345" t="s">
        <v>207</v>
      </c>
      <c r="O7646" s="345" t="s">
        <v>208</v>
      </c>
      <c r="P7646" s="345" t="s">
        <v>209</v>
      </c>
      <c r="Q7646" s="345" t="s">
        <v>210</v>
      </c>
      <c r="R7646" s="345" t="s">
        <v>223</v>
      </c>
      <c r="S7646" s="345" t="s">
        <v>224</v>
      </c>
    </row>
    <row r="7647" spans="1:19" x14ac:dyDescent="0.25">
      <c r="A7647" s="311"/>
      <c r="B7647" s="312"/>
      <c r="C7647" s="312"/>
      <c r="D7647" s="312"/>
      <c r="E7647" s="312"/>
      <c r="F7647" s="312"/>
      <c r="G7647" s="328"/>
      <c r="H7647" s="453"/>
      <c r="I7647" s="334"/>
      <c r="J7647" s="314"/>
      <c r="K7647" s="454"/>
      <c r="M7647" s="349" t="str">
        <f>N7647&amp;AS[[#This Row],[Insurer Code]]&amp;"; "&amp;O7647&amp;AS[[#This Row],[Reporting Year]]&amp;"; "&amp;P7647&amp;AS[[#This Row],[Insurance Category Code]]&amp;"; "&amp;Q7647&amp;AS[[#This Row],[Large Provider Entity Code]]&amp;"; "&amp;R7647&amp;AS[[#This Row],[Age Band Code]]&amp;"; "&amp;S7647&amp;AS[[#This Row],[Sex Code]]</f>
        <v xml:space="preserve">Insurer Code ; Reporting Year ; Insurance Category Code ; Large Provider Entity Code ; Age Band Code ; Sex Code </v>
      </c>
      <c r="N7647" s="345" t="s">
        <v>207</v>
      </c>
      <c r="O7647" s="345" t="s">
        <v>208</v>
      </c>
      <c r="P7647" s="345" t="s">
        <v>209</v>
      </c>
      <c r="Q7647" s="345" t="s">
        <v>210</v>
      </c>
      <c r="R7647" s="345" t="s">
        <v>223</v>
      </c>
      <c r="S7647" s="345" t="s">
        <v>224</v>
      </c>
    </row>
    <row r="7648" spans="1:19" x14ac:dyDescent="0.25">
      <c r="A7648" s="311"/>
      <c r="B7648" s="312"/>
      <c r="C7648" s="312"/>
      <c r="D7648" s="312"/>
      <c r="E7648" s="312"/>
      <c r="F7648" s="312"/>
      <c r="G7648" s="328"/>
      <c r="H7648" s="453"/>
      <c r="I7648" s="334"/>
      <c r="J7648" s="314"/>
      <c r="K7648" s="454"/>
      <c r="M7648" s="349" t="str">
        <f>N7648&amp;AS[[#This Row],[Insurer Code]]&amp;"; "&amp;O7648&amp;AS[[#This Row],[Reporting Year]]&amp;"; "&amp;P7648&amp;AS[[#This Row],[Insurance Category Code]]&amp;"; "&amp;Q7648&amp;AS[[#This Row],[Large Provider Entity Code]]&amp;"; "&amp;R7648&amp;AS[[#This Row],[Age Band Code]]&amp;"; "&amp;S7648&amp;AS[[#This Row],[Sex Code]]</f>
        <v xml:space="preserve">Insurer Code ; Reporting Year ; Insurance Category Code ; Large Provider Entity Code ; Age Band Code ; Sex Code </v>
      </c>
      <c r="N7648" s="345" t="s">
        <v>207</v>
      </c>
      <c r="O7648" s="345" t="s">
        <v>208</v>
      </c>
      <c r="P7648" s="345" t="s">
        <v>209</v>
      </c>
      <c r="Q7648" s="345" t="s">
        <v>210</v>
      </c>
      <c r="R7648" s="345" t="s">
        <v>223</v>
      </c>
      <c r="S7648" s="345" t="s">
        <v>224</v>
      </c>
    </row>
    <row r="7649" spans="1:19" x14ac:dyDescent="0.25">
      <c r="A7649" s="311"/>
      <c r="B7649" s="312"/>
      <c r="C7649" s="312"/>
      <c r="D7649" s="312"/>
      <c r="E7649" s="312"/>
      <c r="F7649" s="312"/>
      <c r="G7649" s="328"/>
      <c r="H7649" s="453"/>
      <c r="I7649" s="334"/>
      <c r="J7649" s="314"/>
      <c r="K7649" s="454"/>
      <c r="M7649" s="349" t="str">
        <f>N7649&amp;AS[[#This Row],[Insurer Code]]&amp;"; "&amp;O7649&amp;AS[[#This Row],[Reporting Year]]&amp;"; "&amp;P7649&amp;AS[[#This Row],[Insurance Category Code]]&amp;"; "&amp;Q7649&amp;AS[[#This Row],[Large Provider Entity Code]]&amp;"; "&amp;R7649&amp;AS[[#This Row],[Age Band Code]]&amp;"; "&amp;S7649&amp;AS[[#This Row],[Sex Code]]</f>
        <v xml:space="preserve">Insurer Code ; Reporting Year ; Insurance Category Code ; Large Provider Entity Code ; Age Band Code ; Sex Code </v>
      </c>
      <c r="N7649" s="345" t="s">
        <v>207</v>
      </c>
      <c r="O7649" s="345" t="s">
        <v>208</v>
      </c>
      <c r="P7649" s="345" t="s">
        <v>209</v>
      </c>
      <c r="Q7649" s="345" t="s">
        <v>210</v>
      </c>
      <c r="R7649" s="345" t="s">
        <v>223</v>
      </c>
      <c r="S7649" s="345" t="s">
        <v>224</v>
      </c>
    </row>
    <row r="7650" spans="1:19" x14ac:dyDescent="0.25">
      <c r="A7650" s="311"/>
      <c r="B7650" s="312"/>
      <c r="C7650" s="312"/>
      <c r="D7650" s="312"/>
      <c r="E7650" s="312"/>
      <c r="F7650" s="312"/>
      <c r="G7650" s="328"/>
      <c r="H7650" s="453"/>
      <c r="I7650" s="334"/>
      <c r="J7650" s="314"/>
      <c r="K7650" s="454"/>
      <c r="M7650" s="349" t="str">
        <f>N7650&amp;AS[[#This Row],[Insurer Code]]&amp;"; "&amp;O7650&amp;AS[[#This Row],[Reporting Year]]&amp;"; "&amp;P7650&amp;AS[[#This Row],[Insurance Category Code]]&amp;"; "&amp;Q7650&amp;AS[[#This Row],[Large Provider Entity Code]]&amp;"; "&amp;R7650&amp;AS[[#This Row],[Age Band Code]]&amp;"; "&amp;S7650&amp;AS[[#This Row],[Sex Code]]</f>
        <v xml:space="preserve">Insurer Code ; Reporting Year ; Insurance Category Code ; Large Provider Entity Code ; Age Band Code ; Sex Code </v>
      </c>
      <c r="N7650" s="345" t="s">
        <v>207</v>
      </c>
      <c r="O7650" s="345" t="s">
        <v>208</v>
      </c>
      <c r="P7650" s="345" t="s">
        <v>209</v>
      </c>
      <c r="Q7650" s="345" t="s">
        <v>210</v>
      </c>
      <c r="R7650" s="345" t="s">
        <v>223</v>
      </c>
      <c r="S7650" s="345" t="s">
        <v>224</v>
      </c>
    </row>
    <row r="7651" spans="1:19" x14ac:dyDescent="0.25">
      <c r="A7651" s="311"/>
      <c r="B7651" s="312"/>
      <c r="C7651" s="312"/>
      <c r="D7651" s="312"/>
      <c r="E7651" s="312"/>
      <c r="F7651" s="312"/>
      <c r="G7651" s="328"/>
      <c r="H7651" s="453"/>
      <c r="I7651" s="334"/>
      <c r="J7651" s="314"/>
      <c r="K7651" s="454"/>
      <c r="M7651" s="349" t="str">
        <f>N7651&amp;AS[[#This Row],[Insurer Code]]&amp;"; "&amp;O7651&amp;AS[[#This Row],[Reporting Year]]&amp;"; "&amp;P7651&amp;AS[[#This Row],[Insurance Category Code]]&amp;"; "&amp;Q7651&amp;AS[[#This Row],[Large Provider Entity Code]]&amp;"; "&amp;R7651&amp;AS[[#This Row],[Age Band Code]]&amp;"; "&amp;S7651&amp;AS[[#This Row],[Sex Code]]</f>
        <v xml:space="preserve">Insurer Code ; Reporting Year ; Insurance Category Code ; Large Provider Entity Code ; Age Band Code ; Sex Code </v>
      </c>
      <c r="N7651" s="345" t="s">
        <v>207</v>
      </c>
      <c r="O7651" s="345" t="s">
        <v>208</v>
      </c>
      <c r="P7651" s="345" t="s">
        <v>209</v>
      </c>
      <c r="Q7651" s="345" t="s">
        <v>210</v>
      </c>
      <c r="R7651" s="345" t="s">
        <v>223</v>
      </c>
      <c r="S7651" s="345" t="s">
        <v>224</v>
      </c>
    </row>
    <row r="7652" spans="1:19" x14ac:dyDescent="0.25">
      <c r="A7652" s="311"/>
      <c r="B7652" s="312"/>
      <c r="C7652" s="312"/>
      <c r="D7652" s="312"/>
      <c r="E7652" s="312"/>
      <c r="F7652" s="312"/>
      <c r="G7652" s="328"/>
      <c r="H7652" s="453"/>
      <c r="I7652" s="334"/>
      <c r="J7652" s="314"/>
      <c r="K7652" s="454"/>
      <c r="M7652" s="349" t="str">
        <f>N7652&amp;AS[[#This Row],[Insurer Code]]&amp;"; "&amp;O7652&amp;AS[[#This Row],[Reporting Year]]&amp;"; "&amp;P7652&amp;AS[[#This Row],[Insurance Category Code]]&amp;"; "&amp;Q7652&amp;AS[[#This Row],[Large Provider Entity Code]]&amp;"; "&amp;R7652&amp;AS[[#This Row],[Age Band Code]]&amp;"; "&amp;S7652&amp;AS[[#This Row],[Sex Code]]</f>
        <v xml:space="preserve">Insurer Code ; Reporting Year ; Insurance Category Code ; Large Provider Entity Code ; Age Band Code ; Sex Code </v>
      </c>
      <c r="N7652" s="345" t="s">
        <v>207</v>
      </c>
      <c r="O7652" s="345" t="s">
        <v>208</v>
      </c>
      <c r="P7652" s="345" t="s">
        <v>209</v>
      </c>
      <c r="Q7652" s="345" t="s">
        <v>210</v>
      </c>
      <c r="R7652" s="345" t="s">
        <v>223</v>
      </c>
      <c r="S7652" s="345" t="s">
        <v>224</v>
      </c>
    </row>
    <row r="7653" spans="1:19" x14ac:dyDescent="0.25">
      <c r="A7653" s="311"/>
      <c r="B7653" s="312"/>
      <c r="C7653" s="312"/>
      <c r="D7653" s="312"/>
      <c r="E7653" s="312"/>
      <c r="F7653" s="312"/>
      <c r="G7653" s="328"/>
      <c r="H7653" s="453"/>
      <c r="I7653" s="334"/>
      <c r="J7653" s="314"/>
      <c r="K7653" s="454"/>
      <c r="M7653" s="349" t="str">
        <f>N7653&amp;AS[[#This Row],[Insurer Code]]&amp;"; "&amp;O7653&amp;AS[[#This Row],[Reporting Year]]&amp;"; "&amp;P7653&amp;AS[[#This Row],[Insurance Category Code]]&amp;"; "&amp;Q7653&amp;AS[[#This Row],[Large Provider Entity Code]]&amp;"; "&amp;R7653&amp;AS[[#This Row],[Age Band Code]]&amp;"; "&amp;S7653&amp;AS[[#This Row],[Sex Code]]</f>
        <v xml:space="preserve">Insurer Code ; Reporting Year ; Insurance Category Code ; Large Provider Entity Code ; Age Band Code ; Sex Code </v>
      </c>
      <c r="N7653" s="345" t="s">
        <v>207</v>
      </c>
      <c r="O7653" s="345" t="s">
        <v>208</v>
      </c>
      <c r="P7653" s="345" t="s">
        <v>209</v>
      </c>
      <c r="Q7653" s="345" t="s">
        <v>210</v>
      </c>
      <c r="R7653" s="345" t="s">
        <v>223</v>
      </c>
      <c r="S7653" s="345" t="s">
        <v>224</v>
      </c>
    </row>
    <row r="7654" spans="1:19" x14ac:dyDescent="0.25">
      <c r="A7654" s="311"/>
      <c r="B7654" s="312"/>
      <c r="C7654" s="312"/>
      <c r="D7654" s="312"/>
      <c r="E7654" s="312"/>
      <c r="F7654" s="312"/>
      <c r="G7654" s="328"/>
      <c r="H7654" s="453"/>
      <c r="I7654" s="334"/>
      <c r="J7654" s="314"/>
      <c r="K7654" s="454"/>
      <c r="M7654" s="349" t="str">
        <f>N7654&amp;AS[[#This Row],[Insurer Code]]&amp;"; "&amp;O7654&amp;AS[[#This Row],[Reporting Year]]&amp;"; "&amp;P7654&amp;AS[[#This Row],[Insurance Category Code]]&amp;"; "&amp;Q7654&amp;AS[[#This Row],[Large Provider Entity Code]]&amp;"; "&amp;R7654&amp;AS[[#This Row],[Age Band Code]]&amp;"; "&amp;S7654&amp;AS[[#This Row],[Sex Code]]</f>
        <v xml:space="preserve">Insurer Code ; Reporting Year ; Insurance Category Code ; Large Provider Entity Code ; Age Band Code ; Sex Code </v>
      </c>
      <c r="N7654" s="345" t="s">
        <v>207</v>
      </c>
      <c r="O7654" s="345" t="s">
        <v>208</v>
      </c>
      <c r="P7654" s="345" t="s">
        <v>209</v>
      </c>
      <c r="Q7654" s="345" t="s">
        <v>210</v>
      </c>
      <c r="R7654" s="345" t="s">
        <v>223</v>
      </c>
      <c r="S7654" s="345" t="s">
        <v>224</v>
      </c>
    </row>
    <row r="7655" spans="1:19" x14ac:dyDescent="0.25">
      <c r="A7655" s="311"/>
      <c r="B7655" s="312"/>
      <c r="C7655" s="312"/>
      <c r="D7655" s="312"/>
      <c r="E7655" s="312"/>
      <c r="F7655" s="312"/>
      <c r="G7655" s="328"/>
      <c r="H7655" s="453"/>
      <c r="I7655" s="334"/>
      <c r="J7655" s="314"/>
      <c r="K7655" s="454"/>
      <c r="M7655" s="349" t="str">
        <f>N7655&amp;AS[[#This Row],[Insurer Code]]&amp;"; "&amp;O7655&amp;AS[[#This Row],[Reporting Year]]&amp;"; "&amp;P7655&amp;AS[[#This Row],[Insurance Category Code]]&amp;"; "&amp;Q7655&amp;AS[[#This Row],[Large Provider Entity Code]]&amp;"; "&amp;R7655&amp;AS[[#This Row],[Age Band Code]]&amp;"; "&amp;S7655&amp;AS[[#This Row],[Sex Code]]</f>
        <v xml:space="preserve">Insurer Code ; Reporting Year ; Insurance Category Code ; Large Provider Entity Code ; Age Band Code ; Sex Code </v>
      </c>
      <c r="N7655" s="345" t="s">
        <v>207</v>
      </c>
      <c r="O7655" s="345" t="s">
        <v>208</v>
      </c>
      <c r="P7655" s="345" t="s">
        <v>209</v>
      </c>
      <c r="Q7655" s="345" t="s">
        <v>210</v>
      </c>
      <c r="R7655" s="345" t="s">
        <v>223</v>
      </c>
      <c r="S7655" s="345" t="s">
        <v>224</v>
      </c>
    </row>
    <row r="7656" spans="1:19" x14ac:dyDescent="0.25">
      <c r="A7656" s="311"/>
      <c r="B7656" s="312"/>
      <c r="C7656" s="312"/>
      <c r="D7656" s="312"/>
      <c r="E7656" s="312"/>
      <c r="F7656" s="312"/>
      <c r="G7656" s="328"/>
      <c r="H7656" s="453"/>
      <c r="I7656" s="334"/>
      <c r="J7656" s="314"/>
      <c r="K7656" s="454"/>
      <c r="M7656" s="349" t="str">
        <f>N7656&amp;AS[[#This Row],[Insurer Code]]&amp;"; "&amp;O7656&amp;AS[[#This Row],[Reporting Year]]&amp;"; "&amp;P7656&amp;AS[[#This Row],[Insurance Category Code]]&amp;"; "&amp;Q7656&amp;AS[[#This Row],[Large Provider Entity Code]]&amp;"; "&amp;R7656&amp;AS[[#This Row],[Age Band Code]]&amp;"; "&amp;S7656&amp;AS[[#This Row],[Sex Code]]</f>
        <v xml:space="preserve">Insurer Code ; Reporting Year ; Insurance Category Code ; Large Provider Entity Code ; Age Band Code ; Sex Code </v>
      </c>
      <c r="N7656" s="345" t="s">
        <v>207</v>
      </c>
      <c r="O7656" s="345" t="s">
        <v>208</v>
      </c>
      <c r="P7656" s="345" t="s">
        <v>209</v>
      </c>
      <c r="Q7656" s="345" t="s">
        <v>210</v>
      </c>
      <c r="R7656" s="345" t="s">
        <v>223</v>
      </c>
      <c r="S7656" s="345" t="s">
        <v>224</v>
      </c>
    </row>
    <row r="7657" spans="1:19" x14ac:dyDescent="0.25">
      <c r="A7657" s="311"/>
      <c r="B7657" s="312"/>
      <c r="C7657" s="312"/>
      <c r="D7657" s="312"/>
      <c r="E7657" s="312"/>
      <c r="F7657" s="312"/>
      <c r="G7657" s="328"/>
      <c r="H7657" s="453"/>
      <c r="I7657" s="334"/>
      <c r="J7657" s="314"/>
      <c r="K7657" s="454"/>
      <c r="M7657" s="349" t="str">
        <f>N7657&amp;AS[[#This Row],[Insurer Code]]&amp;"; "&amp;O7657&amp;AS[[#This Row],[Reporting Year]]&amp;"; "&amp;P7657&amp;AS[[#This Row],[Insurance Category Code]]&amp;"; "&amp;Q7657&amp;AS[[#This Row],[Large Provider Entity Code]]&amp;"; "&amp;R7657&amp;AS[[#This Row],[Age Band Code]]&amp;"; "&amp;S7657&amp;AS[[#This Row],[Sex Code]]</f>
        <v xml:space="preserve">Insurer Code ; Reporting Year ; Insurance Category Code ; Large Provider Entity Code ; Age Band Code ; Sex Code </v>
      </c>
      <c r="N7657" s="345" t="s">
        <v>207</v>
      </c>
      <c r="O7657" s="345" t="s">
        <v>208</v>
      </c>
      <c r="P7657" s="345" t="s">
        <v>209</v>
      </c>
      <c r="Q7657" s="345" t="s">
        <v>210</v>
      </c>
      <c r="R7657" s="345" t="s">
        <v>223</v>
      </c>
      <c r="S7657" s="345" t="s">
        <v>224</v>
      </c>
    </row>
    <row r="7658" spans="1:19" x14ac:dyDescent="0.25">
      <c r="A7658" s="311"/>
      <c r="B7658" s="312"/>
      <c r="C7658" s="312"/>
      <c r="D7658" s="312"/>
      <c r="E7658" s="312"/>
      <c r="F7658" s="312"/>
      <c r="G7658" s="328"/>
      <c r="H7658" s="453"/>
      <c r="I7658" s="334"/>
      <c r="J7658" s="314"/>
      <c r="K7658" s="454"/>
      <c r="M7658" s="349" t="str">
        <f>N7658&amp;AS[[#This Row],[Insurer Code]]&amp;"; "&amp;O7658&amp;AS[[#This Row],[Reporting Year]]&amp;"; "&amp;P7658&amp;AS[[#This Row],[Insurance Category Code]]&amp;"; "&amp;Q7658&amp;AS[[#This Row],[Large Provider Entity Code]]&amp;"; "&amp;R7658&amp;AS[[#This Row],[Age Band Code]]&amp;"; "&amp;S7658&amp;AS[[#This Row],[Sex Code]]</f>
        <v xml:space="preserve">Insurer Code ; Reporting Year ; Insurance Category Code ; Large Provider Entity Code ; Age Band Code ; Sex Code </v>
      </c>
      <c r="N7658" s="345" t="s">
        <v>207</v>
      </c>
      <c r="O7658" s="345" t="s">
        <v>208</v>
      </c>
      <c r="P7658" s="345" t="s">
        <v>209</v>
      </c>
      <c r="Q7658" s="345" t="s">
        <v>210</v>
      </c>
      <c r="R7658" s="345" t="s">
        <v>223</v>
      </c>
      <c r="S7658" s="345" t="s">
        <v>224</v>
      </c>
    </row>
    <row r="7659" spans="1:19" x14ac:dyDescent="0.25">
      <c r="A7659" s="311"/>
      <c r="B7659" s="312"/>
      <c r="C7659" s="312"/>
      <c r="D7659" s="312"/>
      <c r="E7659" s="312"/>
      <c r="F7659" s="312"/>
      <c r="G7659" s="328"/>
      <c r="H7659" s="453"/>
      <c r="I7659" s="334"/>
      <c r="J7659" s="314"/>
      <c r="K7659" s="454"/>
      <c r="M7659" s="349" t="str">
        <f>N7659&amp;AS[[#This Row],[Insurer Code]]&amp;"; "&amp;O7659&amp;AS[[#This Row],[Reporting Year]]&amp;"; "&amp;P7659&amp;AS[[#This Row],[Insurance Category Code]]&amp;"; "&amp;Q7659&amp;AS[[#This Row],[Large Provider Entity Code]]&amp;"; "&amp;R7659&amp;AS[[#This Row],[Age Band Code]]&amp;"; "&amp;S7659&amp;AS[[#This Row],[Sex Code]]</f>
        <v xml:space="preserve">Insurer Code ; Reporting Year ; Insurance Category Code ; Large Provider Entity Code ; Age Band Code ; Sex Code </v>
      </c>
      <c r="N7659" s="345" t="s">
        <v>207</v>
      </c>
      <c r="O7659" s="345" t="s">
        <v>208</v>
      </c>
      <c r="P7659" s="345" t="s">
        <v>209</v>
      </c>
      <c r="Q7659" s="345" t="s">
        <v>210</v>
      </c>
      <c r="R7659" s="345" t="s">
        <v>223</v>
      </c>
      <c r="S7659" s="345" t="s">
        <v>224</v>
      </c>
    </row>
    <row r="7660" spans="1:19" x14ac:dyDescent="0.25">
      <c r="A7660" s="311"/>
      <c r="B7660" s="312"/>
      <c r="C7660" s="312"/>
      <c r="D7660" s="312"/>
      <c r="E7660" s="312"/>
      <c r="F7660" s="312"/>
      <c r="G7660" s="328"/>
      <c r="H7660" s="453"/>
      <c r="I7660" s="334"/>
      <c r="J7660" s="314"/>
      <c r="K7660" s="454"/>
      <c r="M7660" s="349" t="str">
        <f>N7660&amp;AS[[#This Row],[Insurer Code]]&amp;"; "&amp;O7660&amp;AS[[#This Row],[Reporting Year]]&amp;"; "&amp;P7660&amp;AS[[#This Row],[Insurance Category Code]]&amp;"; "&amp;Q7660&amp;AS[[#This Row],[Large Provider Entity Code]]&amp;"; "&amp;R7660&amp;AS[[#This Row],[Age Band Code]]&amp;"; "&amp;S7660&amp;AS[[#This Row],[Sex Code]]</f>
        <v xml:space="preserve">Insurer Code ; Reporting Year ; Insurance Category Code ; Large Provider Entity Code ; Age Band Code ; Sex Code </v>
      </c>
      <c r="N7660" s="345" t="s">
        <v>207</v>
      </c>
      <c r="O7660" s="345" t="s">
        <v>208</v>
      </c>
      <c r="P7660" s="345" t="s">
        <v>209</v>
      </c>
      <c r="Q7660" s="345" t="s">
        <v>210</v>
      </c>
      <c r="R7660" s="345" t="s">
        <v>223</v>
      </c>
      <c r="S7660" s="345" t="s">
        <v>224</v>
      </c>
    </row>
    <row r="7661" spans="1:19" x14ac:dyDescent="0.25">
      <c r="A7661" s="311"/>
      <c r="B7661" s="312"/>
      <c r="C7661" s="312"/>
      <c r="D7661" s="312"/>
      <c r="E7661" s="312"/>
      <c r="F7661" s="312"/>
      <c r="G7661" s="328"/>
      <c r="H7661" s="453"/>
      <c r="I7661" s="334"/>
      <c r="J7661" s="314"/>
      <c r="K7661" s="454"/>
      <c r="M7661" s="349" t="str">
        <f>N7661&amp;AS[[#This Row],[Insurer Code]]&amp;"; "&amp;O7661&amp;AS[[#This Row],[Reporting Year]]&amp;"; "&amp;P7661&amp;AS[[#This Row],[Insurance Category Code]]&amp;"; "&amp;Q7661&amp;AS[[#This Row],[Large Provider Entity Code]]&amp;"; "&amp;R7661&amp;AS[[#This Row],[Age Band Code]]&amp;"; "&amp;S7661&amp;AS[[#This Row],[Sex Code]]</f>
        <v xml:space="preserve">Insurer Code ; Reporting Year ; Insurance Category Code ; Large Provider Entity Code ; Age Band Code ; Sex Code </v>
      </c>
      <c r="N7661" s="345" t="s">
        <v>207</v>
      </c>
      <c r="O7661" s="345" t="s">
        <v>208</v>
      </c>
      <c r="P7661" s="345" t="s">
        <v>209</v>
      </c>
      <c r="Q7661" s="345" t="s">
        <v>210</v>
      </c>
      <c r="R7661" s="345" t="s">
        <v>223</v>
      </c>
      <c r="S7661" s="345" t="s">
        <v>224</v>
      </c>
    </row>
    <row r="7662" spans="1:19" x14ac:dyDescent="0.25">
      <c r="A7662" s="311"/>
      <c r="B7662" s="312"/>
      <c r="C7662" s="312"/>
      <c r="D7662" s="312"/>
      <c r="E7662" s="312"/>
      <c r="F7662" s="312"/>
      <c r="G7662" s="328"/>
      <c r="H7662" s="453"/>
      <c r="I7662" s="334"/>
      <c r="J7662" s="314"/>
      <c r="K7662" s="454"/>
      <c r="M7662" s="349" t="str">
        <f>N7662&amp;AS[[#This Row],[Insurer Code]]&amp;"; "&amp;O7662&amp;AS[[#This Row],[Reporting Year]]&amp;"; "&amp;P7662&amp;AS[[#This Row],[Insurance Category Code]]&amp;"; "&amp;Q7662&amp;AS[[#This Row],[Large Provider Entity Code]]&amp;"; "&amp;R7662&amp;AS[[#This Row],[Age Band Code]]&amp;"; "&amp;S7662&amp;AS[[#This Row],[Sex Code]]</f>
        <v xml:space="preserve">Insurer Code ; Reporting Year ; Insurance Category Code ; Large Provider Entity Code ; Age Band Code ; Sex Code </v>
      </c>
      <c r="N7662" s="345" t="s">
        <v>207</v>
      </c>
      <c r="O7662" s="345" t="s">
        <v>208</v>
      </c>
      <c r="P7662" s="345" t="s">
        <v>209</v>
      </c>
      <c r="Q7662" s="345" t="s">
        <v>210</v>
      </c>
      <c r="R7662" s="345" t="s">
        <v>223</v>
      </c>
      <c r="S7662" s="345" t="s">
        <v>224</v>
      </c>
    </row>
    <row r="7663" spans="1:19" x14ac:dyDescent="0.25">
      <c r="A7663" s="311"/>
      <c r="B7663" s="312"/>
      <c r="C7663" s="312"/>
      <c r="D7663" s="312"/>
      <c r="E7663" s="312"/>
      <c r="F7663" s="312"/>
      <c r="G7663" s="328"/>
      <c r="H7663" s="453"/>
      <c r="I7663" s="334"/>
      <c r="J7663" s="314"/>
      <c r="K7663" s="454"/>
      <c r="M7663" s="349" t="str">
        <f>N7663&amp;AS[[#This Row],[Insurer Code]]&amp;"; "&amp;O7663&amp;AS[[#This Row],[Reporting Year]]&amp;"; "&amp;P7663&amp;AS[[#This Row],[Insurance Category Code]]&amp;"; "&amp;Q7663&amp;AS[[#This Row],[Large Provider Entity Code]]&amp;"; "&amp;R7663&amp;AS[[#This Row],[Age Band Code]]&amp;"; "&amp;S7663&amp;AS[[#This Row],[Sex Code]]</f>
        <v xml:space="preserve">Insurer Code ; Reporting Year ; Insurance Category Code ; Large Provider Entity Code ; Age Band Code ; Sex Code </v>
      </c>
      <c r="N7663" s="345" t="s">
        <v>207</v>
      </c>
      <c r="O7663" s="345" t="s">
        <v>208</v>
      </c>
      <c r="P7663" s="345" t="s">
        <v>209</v>
      </c>
      <c r="Q7663" s="345" t="s">
        <v>210</v>
      </c>
      <c r="R7663" s="345" t="s">
        <v>223</v>
      </c>
      <c r="S7663" s="345" t="s">
        <v>224</v>
      </c>
    </row>
    <row r="7664" spans="1:19" x14ac:dyDescent="0.25">
      <c r="A7664" s="311"/>
      <c r="B7664" s="312"/>
      <c r="C7664" s="312"/>
      <c r="D7664" s="312"/>
      <c r="E7664" s="312"/>
      <c r="F7664" s="312"/>
      <c r="G7664" s="328"/>
      <c r="H7664" s="453"/>
      <c r="I7664" s="334"/>
      <c r="J7664" s="314"/>
      <c r="K7664" s="454"/>
      <c r="M7664" s="349" t="str">
        <f>N7664&amp;AS[[#This Row],[Insurer Code]]&amp;"; "&amp;O7664&amp;AS[[#This Row],[Reporting Year]]&amp;"; "&amp;P7664&amp;AS[[#This Row],[Insurance Category Code]]&amp;"; "&amp;Q7664&amp;AS[[#This Row],[Large Provider Entity Code]]&amp;"; "&amp;R7664&amp;AS[[#This Row],[Age Band Code]]&amp;"; "&amp;S7664&amp;AS[[#This Row],[Sex Code]]</f>
        <v xml:space="preserve">Insurer Code ; Reporting Year ; Insurance Category Code ; Large Provider Entity Code ; Age Band Code ; Sex Code </v>
      </c>
      <c r="N7664" s="345" t="s">
        <v>207</v>
      </c>
      <c r="O7664" s="345" t="s">
        <v>208</v>
      </c>
      <c r="P7664" s="345" t="s">
        <v>209</v>
      </c>
      <c r="Q7664" s="345" t="s">
        <v>210</v>
      </c>
      <c r="R7664" s="345" t="s">
        <v>223</v>
      </c>
      <c r="S7664" s="345" t="s">
        <v>224</v>
      </c>
    </row>
    <row r="7665" spans="1:19" x14ac:dyDescent="0.25">
      <c r="A7665" s="311"/>
      <c r="B7665" s="312"/>
      <c r="C7665" s="312"/>
      <c r="D7665" s="312"/>
      <c r="E7665" s="312"/>
      <c r="F7665" s="312"/>
      <c r="G7665" s="328"/>
      <c r="H7665" s="453"/>
      <c r="I7665" s="334"/>
      <c r="J7665" s="314"/>
      <c r="K7665" s="454"/>
      <c r="M7665" s="349" t="str">
        <f>N7665&amp;AS[[#This Row],[Insurer Code]]&amp;"; "&amp;O7665&amp;AS[[#This Row],[Reporting Year]]&amp;"; "&amp;P7665&amp;AS[[#This Row],[Insurance Category Code]]&amp;"; "&amp;Q7665&amp;AS[[#This Row],[Large Provider Entity Code]]&amp;"; "&amp;R7665&amp;AS[[#This Row],[Age Band Code]]&amp;"; "&amp;S7665&amp;AS[[#This Row],[Sex Code]]</f>
        <v xml:space="preserve">Insurer Code ; Reporting Year ; Insurance Category Code ; Large Provider Entity Code ; Age Band Code ; Sex Code </v>
      </c>
      <c r="N7665" s="345" t="s">
        <v>207</v>
      </c>
      <c r="O7665" s="345" t="s">
        <v>208</v>
      </c>
      <c r="P7665" s="345" t="s">
        <v>209</v>
      </c>
      <c r="Q7665" s="345" t="s">
        <v>210</v>
      </c>
      <c r="R7665" s="345" t="s">
        <v>223</v>
      </c>
      <c r="S7665" s="345" t="s">
        <v>224</v>
      </c>
    </row>
    <row r="7666" spans="1:19" x14ac:dyDescent="0.25">
      <c r="A7666" s="311"/>
      <c r="B7666" s="312"/>
      <c r="C7666" s="312"/>
      <c r="D7666" s="312"/>
      <c r="E7666" s="312"/>
      <c r="F7666" s="312"/>
      <c r="G7666" s="328"/>
      <c r="H7666" s="453"/>
      <c r="I7666" s="334"/>
      <c r="J7666" s="314"/>
      <c r="K7666" s="454"/>
      <c r="M7666" s="349" t="str">
        <f>N7666&amp;AS[[#This Row],[Insurer Code]]&amp;"; "&amp;O7666&amp;AS[[#This Row],[Reporting Year]]&amp;"; "&amp;P7666&amp;AS[[#This Row],[Insurance Category Code]]&amp;"; "&amp;Q7666&amp;AS[[#This Row],[Large Provider Entity Code]]&amp;"; "&amp;R7666&amp;AS[[#This Row],[Age Band Code]]&amp;"; "&amp;S7666&amp;AS[[#This Row],[Sex Code]]</f>
        <v xml:space="preserve">Insurer Code ; Reporting Year ; Insurance Category Code ; Large Provider Entity Code ; Age Band Code ; Sex Code </v>
      </c>
      <c r="N7666" s="345" t="s">
        <v>207</v>
      </c>
      <c r="O7666" s="345" t="s">
        <v>208</v>
      </c>
      <c r="P7666" s="345" t="s">
        <v>209</v>
      </c>
      <c r="Q7666" s="345" t="s">
        <v>210</v>
      </c>
      <c r="R7666" s="345" t="s">
        <v>223</v>
      </c>
      <c r="S7666" s="345" t="s">
        <v>224</v>
      </c>
    </row>
    <row r="7667" spans="1:19" x14ac:dyDescent="0.25">
      <c r="A7667" s="311"/>
      <c r="B7667" s="312"/>
      <c r="C7667" s="312"/>
      <c r="D7667" s="312"/>
      <c r="E7667" s="312"/>
      <c r="F7667" s="312"/>
      <c r="G7667" s="328"/>
      <c r="H7667" s="453"/>
      <c r="I7667" s="334"/>
      <c r="J7667" s="314"/>
      <c r="K7667" s="454"/>
      <c r="M7667" s="349" t="str">
        <f>N7667&amp;AS[[#This Row],[Insurer Code]]&amp;"; "&amp;O7667&amp;AS[[#This Row],[Reporting Year]]&amp;"; "&amp;P7667&amp;AS[[#This Row],[Insurance Category Code]]&amp;"; "&amp;Q7667&amp;AS[[#This Row],[Large Provider Entity Code]]&amp;"; "&amp;R7667&amp;AS[[#This Row],[Age Band Code]]&amp;"; "&amp;S7667&amp;AS[[#This Row],[Sex Code]]</f>
        <v xml:space="preserve">Insurer Code ; Reporting Year ; Insurance Category Code ; Large Provider Entity Code ; Age Band Code ; Sex Code </v>
      </c>
      <c r="N7667" s="345" t="s">
        <v>207</v>
      </c>
      <c r="O7667" s="345" t="s">
        <v>208</v>
      </c>
      <c r="P7667" s="345" t="s">
        <v>209</v>
      </c>
      <c r="Q7667" s="345" t="s">
        <v>210</v>
      </c>
      <c r="R7667" s="345" t="s">
        <v>223</v>
      </c>
      <c r="S7667" s="345" t="s">
        <v>224</v>
      </c>
    </row>
    <row r="7668" spans="1:19" x14ac:dyDescent="0.25">
      <c r="A7668" s="311"/>
      <c r="B7668" s="312"/>
      <c r="C7668" s="312"/>
      <c r="D7668" s="312"/>
      <c r="E7668" s="312"/>
      <c r="F7668" s="312"/>
      <c r="G7668" s="328"/>
      <c r="H7668" s="453"/>
      <c r="I7668" s="334"/>
      <c r="J7668" s="314"/>
      <c r="K7668" s="454"/>
      <c r="M7668" s="349" t="str">
        <f>N7668&amp;AS[[#This Row],[Insurer Code]]&amp;"; "&amp;O7668&amp;AS[[#This Row],[Reporting Year]]&amp;"; "&amp;P7668&amp;AS[[#This Row],[Insurance Category Code]]&amp;"; "&amp;Q7668&amp;AS[[#This Row],[Large Provider Entity Code]]&amp;"; "&amp;R7668&amp;AS[[#This Row],[Age Band Code]]&amp;"; "&amp;S7668&amp;AS[[#This Row],[Sex Code]]</f>
        <v xml:space="preserve">Insurer Code ; Reporting Year ; Insurance Category Code ; Large Provider Entity Code ; Age Band Code ; Sex Code </v>
      </c>
      <c r="N7668" s="345" t="s">
        <v>207</v>
      </c>
      <c r="O7668" s="345" t="s">
        <v>208</v>
      </c>
      <c r="P7668" s="345" t="s">
        <v>209</v>
      </c>
      <c r="Q7668" s="345" t="s">
        <v>210</v>
      </c>
      <c r="R7668" s="345" t="s">
        <v>223</v>
      </c>
      <c r="S7668" s="345" t="s">
        <v>224</v>
      </c>
    </row>
    <row r="7669" spans="1:19" x14ac:dyDescent="0.25">
      <c r="A7669" s="311"/>
      <c r="B7669" s="312"/>
      <c r="C7669" s="312"/>
      <c r="D7669" s="312"/>
      <c r="E7669" s="312"/>
      <c r="F7669" s="312"/>
      <c r="G7669" s="328"/>
      <c r="H7669" s="453"/>
      <c r="I7669" s="334"/>
      <c r="J7669" s="314"/>
      <c r="K7669" s="454"/>
      <c r="M7669" s="349" t="str">
        <f>N7669&amp;AS[[#This Row],[Insurer Code]]&amp;"; "&amp;O7669&amp;AS[[#This Row],[Reporting Year]]&amp;"; "&amp;P7669&amp;AS[[#This Row],[Insurance Category Code]]&amp;"; "&amp;Q7669&amp;AS[[#This Row],[Large Provider Entity Code]]&amp;"; "&amp;R7669&amp;AS[[#This Row],[Age Band Code]]&amp;"; "&amp;S7669&amp;AS[[#This Row],[Sex Code]]</f>
        <v xml:space="preserve">Insurer Code ; Reporting Year ; Insurance Category Code ; Large Provider Entity Code ; Age Band Code ; Sex Code </v>
      </c>
      <c r="N7669" s="345" t="s">
        <v>207</v>
      </c>
      <c r="O7669" s="345" t="s">
        <v>208</v>
      </c>
      <c r="P7669" s="345" t="s">
        <v>209</v>
      </c>
      <c r="Q7669" s="345" t="s">
        <v>210</v>
      </c>
      <c r="R7669" s="345" t="s">
        <v>223</v>
      </c>
      <c r="S7669" s="345" t="s">
        <v>224</v>
      </c>
    </row>
    <row r="7670" spans="1:19" x14ac:dyDescent="0.25">
      <c r="A7670" s="311"/>
      <c r="B7670" s="312"/>
      <c r="C7670" s="312"/>
      <c r="D7670" s="312"/>
      <c r="E7670" s="312"/>
      <c r="F7670" s="312"/>
      <c r="G7670" s="328"/>
      <c r="H7670" s="453"/>
      <c r="I7670" s="334"/>
      <c r="J7670" s="314"/>
      <c r="K7670" s="454"/>
      <c r="M7670" s="349" t="str">
        <f>N7670&amp;AS[[#This Row],[Insurer Code]]&amp;"; "&amp;O7670&amp;AS[[#This Row],[Reporting Year]]&amp;"; "&amp;P7670&amp;AS[[#This Row],[Insurance Category Code]]&amp;"; "&amp;Q7670&amp;AS[[#This Row],[Large Provider Entity Code]]&amp;"; "&amp;R7670&amp;AS[[#This Row],[Age Band Code]]&amp;"; "&amp;S7670&amp;AS[[#This Row],[Sex Code]]</f>
        <v xml:space="preserve">Insurer Code ; Reporting Year ; Insurance Category Code ; Large Provider Entity Code ; Age Band Code ; Sex Code </v>
      </c>
      <c r="N7670" s="345" t="s">
        <v>207</v>
      </c>
      <c r="O7670" s="345" t="s">
        <v>208</v>
      </c>
      <c r="P7670" s="345" t="s">
        <v>209</v>
      </c>
      <c r="Q7670" s="345" t="s">
        <v>210</v>
      </c>
      <c r="R7670" s="345" t="s">
        <v>223</v>
      </c>
      <c r="S7670" s="345" t="s">
        <v>224</v>
      </c>
    </row>
    <row r="7671" spans="1:19" x14ac:dyDescent="0.25">
      <c r="A7671" s="311"/>
      <c r="B7671" s="312"/>
      <c r="C7671" s="312"/>
      <c r="D7671" s="312"/>
      <c r="E7671" s="312"/>
      <c r="F7671" s="312"/>
      <c r="G7671" s="328"/>
      <c r="H7671" s="453"/>
      <c r="I7671" s="334"/>
      <c r="J7671" s="314"/>
      <c r="K7671" s="454"/>
      <c r="M7671" s="349" t="str">
        <f>N7671&amp;AS[[#This Row],[Insurer Code]]&amp;"; "&amp;O7671&amp;AS[[#This Row],[Reporting Year]]&amp;"; "&amp;P7671&amp;AS[[#This Row],[Insurance Category Code]]&amp;"; "&amp;Q7671&amp;AS[[#This Row],[Large Provider Entity Code]]&amp;"; "&amp;R7671&amp;AS[[#This Row],[Age Band Code]]&amp;"; "&amp;S7671&amp;AS[[#This Row],[Sex Code]]</f>
        <v xml:space="preserve">Insurer Code ; Reporting Year ; Insurance Category Code ; Large Provider Entity Code ; Age Band Code ; Sex Code </v>
      </c>
      <c r="N7671" s="345" t="s">
        <v>207</v>
      </c>
      <c r="O7671" s="345" t="s">
        <v>208</v>
      </c>
      <c r="P7671" s="345" t="s">
        <v>209</v>
      </c>
      <c r="Q7671" s="345" t="s">
        <v>210</v>
      </c>
      <c r="R7671" s="345" t="s">
        <v>223</v>
      </c>
      <c r="S7671" s="345" t="s">
        <v>224</v>
      </c>
    </row>
    <row r="7672" spans="1:19" x14ac:dyDescent="0.25">
      <c r="A7672" s="311"/>
      <c r="B7672" s="312"/>
      <c r="C7672" s="312"/>
      <c r="D7672" s="312"/>
      <c r="E7672" s="312"/>
      <c r="F7672" s="312"/>
      <c r="G7672" s="328"/>
      <c r="H7672" s="453"/>
      <c r="I7672" s="334"/>
      <c r="J7672" s="314"/>
      <c r="K7672" s="454"/>
      <c r="M7672" s="349" t="str">
        <f>N7672&amp;AS[[#This Row],[Insurer Code]]&amp;"; "&amp;O7672&amp;AS[[#This Row],[Reporting Year]]&amp;"; "&amp;P7672&amp;AS[[#This Row],[Insurance Category Code]]&amp;"; "&amp;Q7672&amp;AS[[#This Row],[Large Provider Entity Code]]&amp;"; "&amp;R7672&amp;AS[[#This Row],[Age Band Code]]&amp;"; "&amp;S7672&amp;AS[[#This Row],[Sex Code]]</f>
        <v xml:space="preserve">Insurer Code ; Reporting Year ; Insurance Category Code ; Large Provider Entity Code ; Age Band Code ; Sex Code </v>
      </c>
      <c r="N7672" s="345" t="s">
        <v>207</v>
      </c>
      <c r="O7672" s="345" t="s">
        <v>208</v>
      </c>
      <c r="P7672" s="345" t="s">
        <v>209</v>
      </c>
      <c r="Q7672" s="345" t="s">
        <v>210</v>
      </c>
      <c r="R7672" s="345" t="s">
        <v>223</v>
      </c>
      <c r="S7672" s="345" t="s">
        <v>224</v>
      </c>
    </row>
    <row r="7673" spans="1:19" x14ac:dyDescent="0.25">
      <c r="A7673" s="311"/>
      <c r="B7673" s="312"/>
      <c r="C7673" s="312"/>
      <c r="D7673" s="312"/>
      <c r="E7673" s="312"/>
      <c r="F7673" s="312"/>
      <c r="G7673" s="328"/>
      <c r="H7673" s="453"/>
      <c r="I7673" s="334"/>
      <c r="J7673" s="314"/>
      <c r="K7673" s="454"/>
      <c r="M7673" s="349" t="str">
        <f>N7673&amp;AS[[#This Row],[Insurer Code]]&amp;"; "&amp;O7673&amp;AS[[#This Row],[Reporting Year]]&amp;"; "&amp;P7673&amp;AS[[#This Row],[Insurance Category Code]]&amp;"; "&amp;Q7673&amp;AS[[#This Row],[Large Provider Entity Code]]&amp;"; "&amp;R7673&amp;AS[[#This Row],[Age Band Code]]&amp;"; "&amp;S7673&amp;AS[[#This Row],[Sex Code]]</f>
        <v xml:space="preserve">Insurer Code ; Reporting Year ; Insurance Category Code ; Large Provider Entity Code ; Age Band Code ; Sex Code </v>
      </c>
      <c r="N7673" s="345" t="s">
        <v>207</v>
      </c>
      <c r="O7673" s="345" t="s">
        <v>208</v>
      </c>
      <c r="P7673" s="345" t="s">
        <v>209</v>
      </c>
      <c r="Q7673" s="345" t="s">
        <v>210</v>
      </c>
      <c r="R7673" s="345" t="s">
        <v>223</v>
      </c>
      <c r="S7673" s="345" t="s">
        <v>224</v>
      </c>
    </row>
    <row r="7674" spans="1:19" x14ac:dyDescent="0.25">
      <c r="A7674" s="311"/>
      <c r="B7674" s="312"/>
      <c r="C7674" s="312"/>
      <c r="D7674" s="312"/>
      <c r="E7674" s="312"/>
      <c r="F7674" s="312"/>
      <c r="G7674" s="328"/>
      <c r="H7674" s="453"/>
      <c r="I7674" s="334"/>
      <c r="J7674" s="314"/>
      <c r="K7674" s="454"/>
      <c r="M7674" s="349" t="str">
        <f>N7674&amp;AS[[#This Row],[Insurer Code]]&amp;"; "&amp;O7674&amp;AS[[#This Row],[Reporting Year]]&amp;"; "&amp;P7674&amp;AS[[#This Row],[Insurance Category Code]]&amp;"; "&amp;Q7674&amp;AS[[#This Row],[Large Provider Entity Code]]&amp;"; "&amp;R7674&amp;AS[[#This Row],[Age Band Code]]&amp;"; "&amp;S7674&amp;AS[[#This Row],[Sex Code]]</f>
        <v xml:space="preserve">Insurer Code ; Reporting Year ; Insurance Category Code ; Large Provider Entity Code ; Age Band Code ; Sex Code </v>
      </c>
      <c r="N7674" s="345" t="s">
        <v>207</v>
      </c>
      <c r="O7674" s="345" t="s">
        <v>208</v>
      </c>
      <c r="P7674" s="345" t="s">
        <v>209</v>
      </c>
      <c r="Q7674" s="345" t="s">
        <v>210</v>
      </c>
      <c r="R7674" s="345" t="s">
        <v>223</v>
      </c>
      <c r="S7674" s="345" t="s">
        <v>224</v>
      </c>
    </row>
    <row r="7675" spans="1:19" x14ac:dyDescent="0.25">
      <c r="A7675" s="311"/>
      <c r="B7675" s="312"/>
      <c r="C7675" s="312"/>
      <c r="D7675" s="312"/>
      <c r="E7675" s="312"/>
      <c r="F7675" s="312"/>
      <c r="G7675" s="328"/>
      <c r="H7675" s="453"/>
      <c r="I7675" s="334"/>
      <c r="J7675" s="314"/>
      <c r="K7675" s="454"/>
      <c r="M7675" s="349" t="str">
        <f>N7675&amp;AS[[#This Row],[Insurer Code]]&amp;"; "&amp;O7675&amp;AS[[#This Row],[Reporting Year]]&amp;"; "&amp;P7675&amp;AS[[#This Row],[Insurance Category Code]]&amp;"; "&amp;Q7675&amp;AS[[#This Row],[Large Provider Entity Code]]&amp;"; "&amp;R7675&amp;AS[[#This Row],[Age Band Code]]&amp;"; "&amp;S7675&amp;AS[[#This Row],[Sex Code]]</f>
        <v xml:space="preserve">Insurer Code ; Reporting Year ; Insurance Category Code ; Large Provider Entity Code ; Age Band Code ; Sex Code </v>
      </c>
      <c r="N7675" s="345" t="s">
        <v>207</v>
      </c>
      <c r="O7675" s="345" t="s">
        <v>208</v>
      </c>
      <c r="P7675" s="345" t="s">
        <v>209</v>
      </c>
      <c r="Q7675" s="345" t="s">
        <v>210</v>
      </c>
      <c r="R7675" s="345" t="s">
        <v>223</v>
      </c>
      <c r="S7675" s="345" t="s">
        <v>224</v>
      </c>
    </row>
    <row r="7676" spans="1:19" x14ac:dyDescent="0.25">
      <c r="A7676" s="311"/>
      <c r="B7676" s="312"/>
      <c r="C7676" s="312"/>
      <c r="D7676" s="312"/>
      <c r="E7676" s="312"/>
      <c r="F7676" s="312"/>
      <c r="G7676" s="328"/>
      <c r="H7676" s="453"/>
      <c r="I7676" s="334"/>
      <c r="J7676" s="314"/>
      <c r="K7676" s="454"/>
      <c r="M7676" s="349" t="str">
        <f>N7676&amp;AS[[#This Row],[Insurer Code]]&amp;"; "&amp;O7676&amp;AS[[#This Row],[Reporting Year]]&amp;"; "&amp;P7676&amp;AS[[#This Row],[Insurance Category Code]]&amp;"; "&amp;Q7676&amp;AS[[#This Row],[Large Provider Entity Code]]&amp;"; "&amp;R7676&amp;AS[[#This Row],[Age Band Code]]&amp;"; "&amp;S7676&amp;AS[[#This Row],[Sex Code]]</f>
        <v xml:space="preserve">Insurer Code ; Reporting Year ; Insurance Category Code ; Large Provider Entity Code ; Age Band Code ; Sex Code </v>
      </c>
      <c r="N7676" s="345" t="s">
        <v>207</v>
      </c>
      <c r="O7676" s="345" t="s">
        <v>208</v>
      </c>
      <c r="P7676" s="345" t="s">
        <v>209</v>
      </c>
      <c r="Q7676" s="345" t="s">
        <v>210</v>
      </c>
      <c r="R7676" s="345" t="s">
        <v>223</v>
      </c>
      <c r="S7676" s="345" t="s">
        <v>224</v>
      </c>
    </row>
    <row r="7677" spans="1:19" x14ac:dyDescent="0.25">
      <c r="A7677" s="311"/>
      <c r="B7677" s="312"/>
      <c r="C7677" s="312"/>
      <c r="D7677" s="312"/>
      <c r="E7677" s="312"/>
      <c r="F7677" s="312"/>
      <c r="G7677" s="328"/>
      <c r="H7677" s="453"/>
      <c r="I7677" s="334"/>
      <c r="J7677" s="314"/>
      <c r="K7677" s="454"/>
      <c r="M7677" s="349" t="str">
        <f>N7677&amp;AS[[#This Row],[Insurer Code]]&amp;"; "&amp;O7677&amp;AS[[#This Row],[Reporting Year]]&amp;"; "&amp;P7677&amp;AS[[#This Row],[Insurance Category Code]]&amp;"; "&amp;Q7677&amp;AS[[#This Row],[Large Provider Entity Code]]&amp;"; "&amp;R7677&amp;AS[[#This Row],[Age Band Code]]&amp;"; "&amp;S7677&amp;AS[[#This Row],[Sex Code]]</f>
        <v xml:space="preserve">Insurer Code ; Reporting Year ; Insurance Category Code ; Large Provider Entity Code ; Age Band Code ; Sex Code </v>
      </c>
      <c r="N7677" s="345" t="s">
        <v>207</v>
      </c>
      <c r="O7677" s="345" t="s">
        <v>208</v>
      </c>
      <c r="P7677" s="345" t="s">
        <v>209</v>
      </c>
      <c r="Q7677" s="345" t="s">
        <v>210</v>
      </c>
      <c r="R7677" s="345" t="s">
        <v>223</v>
      </c>
      <c r="S7677" s="345" t="s">
        <v>224</v>
      </c>
    </row>
    <row r="7678" spans="1:19" x14ac:dyDescent="0.25">
      <c r="A7678" s="311"/>
      <c r="B7678" s="312"/>
      <c r="C7678" s="312"/>
      <c r="D7678" s="312"/>
      <c r="E7678" s="312"/>
      <c r="F7678" s="312"/>
      <c r="G7678" s="328"/>
      <c r="H7678" s="453"/>
      <c r="I7678" s="334"/>
      <c r="J7678" s="314"/>
      <c r="K7678" s="454"/>
      <c r="M7678" s="349" t="str">
        <f>N7678&amp;AS[[#This Row],[Insurer Code]]&amp;"; "&amp;O7678&amp;AS[[#This Row],[Reporting Year]]&amp;"; "&amp;P7678&amp;AS[[#This Row],[Insurance Category Code]]&amp;"; "&amp;Q7678&amp;AS[[#This Row],[Large Provider Entity Code]]&amp;"; "&amp;R7678&amp;AS[[#This Row],[Age Band Code]]&amp;"; "&amp;S7678&amp;AS[[#This Row],[Sex Code]]</f>
        <v xml:space="preserve">Insurer Code ; Reporting Year ; Insurance Category Code ; Large Provider Entity Code ; Age Band Code ; Sex Code </v>
      </c>
      <c r="N7678" s="345" t="s">
        <v>207</v>
      </c>
      <c r="O7678" s="345" t="s">
        <v>208</v>
      </c>
      <c r="P7678" s="345" t="s">
        <v>209</v>
      </c>
      <c r="Q7678" s="345" t="s">
        <v>210</v>
      </c>
      <c r="R7678" s="345" t="s">
        <v>223</v>
      </c>
      <c r="S7678" s="345" t="s">
        <v>224</v>
      </c>
    </row>
    <row r="7679" spans="1:19" x14ac:dyDescent="0.25">
      <c r="A7679" s="311"/>
      <c r="B7679" s="312"/>
      <c r="C7679" s="312"/>
      <c r="D7679" s="312"/>
      <c r="E7679" s="312"/>
      <c r="F7679" s="312"/>
      <c r="G7679" s="328"/>
      <c r="H7679" s="453"/>
      <c r="I7679" s="334"/>
      <c r="J7679" s="314"/>
      <c r="K7679" s="454"/>
      <c r="M7679" s="349" t="str">
        <f>N7679&amp;AS[[#This Row],[Insurer Code]]&amp;"; "&amp;O7679&amp;AS[[#This Row],[Reporting Year]]&amp;"; "&amp;P7679&amp;AS[[#This Row],[Insurance Category Code]]&amp;"; "&amp;Q7679&amp;AS[[#This Row],[Large Provider Entity Code]]&amp;"; "&amp;R7679&amp;AS[[#This Row],[Age Band Code]]&amp;"; "&amp;S7679&amp;AS[[#This Row],[Sex Code]]</f>
        <v xml:space="preserve">Insurer Code ; Reporting Year ; Insurance Category Code ; Large Provider Entity Code ; Age Band Code ; Sex Code </v>
      </c>
      <c r="N7679" s="345" t="s">
        <v>207</v>
      </c>
      <c r="O7679" s="345" t="s">
        <v>208</v>
      </c>
      <c r="P7679" s="345" t="s">
        <v>209</v>
      </c>
      <c r="Q7679" s="345" t="s">
        <v>210</v>
      </c>
      <c r="R7679" s="345" t="s">
        <v>223</v>
      </c>
      <c r="S7679" s="345" t="s">
        <v>224</v>
      </c>
    </row>
    <row r="7680" spans="1:19" x14ac:dyDescent="0.25">
      <c r="A7680" s="311"/>
      <c r="B7680" s="312"/>
      <c r="C7680" s="312"/>
      <c r="D7680" s="312"/>
      <c r="E7680" s="312"/>
      <c r="F7680" s="312"/>
      <c r="G7680" s="328"/>
      <c r="H7680" s="453"/>
      <c r="I7680" s="334"/>
      <c r="J7680" s="314"/>
      <c r="K7680" s="454"/>
      <c r="M7680" s="349" t="str">
        <f>N7680&amp;AS[[#This Row],[Insurer Code]]&amp;"; "&amp;O7680&amp;AS[[#This Row],[Reporting Year]]&amp;"; "&amp;P7680&amp;AS[[#This Row],[Insurance Category Code]]&amp;"; "&amp;Q7680&amp;AS[[#This Row],[Large Provider Entity Code]]&amp;"; "&amp;R7680&amp;AS[[#This Row],[Age Band Code]]&amp;"; "&amp;S7680&amp;AS[[#This Row],[Sex Code]]</f>
        <v xml:space="preserve">Insurer Code ; Reporting Year ; Insurance Category Code ; Large Provider Entity Code ; Age Band Code ; Sex Code </v>
      </c>
      <c r="N7680" s="345" t="s">
        <v>207</v>
      </c>
      <c r="O7680" s="345" t="s">
        <v>208</v>
      </c>
      <c r="P7680" s="345" t="s">
        <v>209</v>
      </c>
      <c r="Q7680" s="345" t="s">
        <v>210</v>
      </c>
      <c r="R7680" s="345" t="s">
        <v>223</v>
      </c>
      <c r="S7680" s="345" t="s">
        <v>224</v>
      </c>
    </row>
    <row r="7681" spans="1:19" x14ac:dyDescent="0.25">
      <c r="A7681" s="311"/>
      <c r="B7681" s="312"/>
      <c r="C7681" s="312"/>
      <c r="D7681" s="312"/>
      <c r="E7681" s="312"/>
      <c r="F7681" s="312"/>
      <c r="G7681" s="328"/>
      <c r="H7681" s="453"/>
      <c r="I7681" s="334"/>
      <c r="J7681" s="314"/>
      <c r="K7681" s="454"/>
      <c r="M7681" s="349" t="str">
        <f>N7681&amp;AS[[#This Row],[Insurer Code]]&amp;"; "&amp;O7681&amp;AS[[#This Row],[Reporting Year]]&amp;"; "&amp;P7681&amp;AS[[#This Row],[Insurance Category Code]]&amp;"; "&amp;Q7681&amp;AS[[#This Row],[Large Provider Entity Code]]&amp;"; "&amp;R7681&amp;AS[[#This Row],[Age Band Code]]&amp;"; "&amp;S7681&amp;AS[[#This Row],[Sex Code]]</f>
        <v xml:space="preserve">Insurer Code ; Reporting Year ; Insurance Category Code ; Large Provider Entity Code ; Age Band Code ; Sex Code </v>
      </c>
      <c r="N7681" s="345" t="s">
        <v>207</v>
      </c>
      <c r="O7681" s="345" t="s">
        <v>208</v>
      </c>
      <c r="P7681" s="345" t="s">
        <v>209</v>
      </c>
      <c r="Q7681" s="345" t="s">
        <v>210</v>
      </c>
      <c r="R7681" s="345" t="s">
        <v>223</v>
      </c>
      <c r="S7681" s="345" t="s">
        <v>224</v>
      </c>
    </row>
    <row r="7682" spans="1:19" x14ac:dyDescent="0.25">
      <c r="A7682" s="311"/>
      <c r="B7682" s="312"/>
      <c r="C7682" s="312"/>
      <c r="D7682" s="312"/>
      <c r="E7682" s="312"/>
      <c r="F7682" s="312"/>
      <c r="G7682" s="328"/>
      <c r="H7682" s="453"/>
      <c r="I7682" s="334"/>
      <c r="J7682" s="314"/>
      <c r="K7682" s="454"/>
      <c r="M7682" s="349" t="str">
        <f>N7682&amp;AS[[#This Row],[Insurer Code]]&amp;"; "&amp;O7682&amp;AS[[#This Row],[Reporting Year]]&amp;"; "&amp;P7682&amp;AS[[#This Row],[Insurance Category Code]]&amp;"; "&amp;Q7682&amp;AS[[#This Row],[Large Provider Entity Code]]&amp;"; "&amp;R7682&amp;AS[[#This Row],[Age Band Code]]&amp;"; "&amp;S7682&amp;AS[[#This Row],[Sex Code]]</f>
        <v xml:space="preserve">Insurer Code ; Reporting Year ; Insurance Category Code ; Large Provider Entity Code ; Age Band Code ; Sex Code </v>
      </c>
      <c r="N7682" s="345" t="s">
        <v>207</v>
      </c>
      <c r="O7682" s="345" t="s">
        <v>208</v>
      </c>
      <c r="P7682" s="345" t="s">
        <v>209</v>
      </c>
      <c r="Q7682" s="345" t="s">
        <v>210</v>
      </c>
      <c r="R7682" s="345" t="s">
        <v>223</v>
      </c>
      <c r="S7682" s="345" t="s">
        <v>224</v>
      </c>
    </row>
    <row r="7683" spans="1:19" x14ac:dyDescent="0.25">
      <c r="A7683" s="311"/>
      <c r="B7683" s="312"/>
      <c r="C7683" s="312"/>
      <c r="D7683" s="312"/>
      <c r="E7683" s="312"/>
      <c r="F7683" s="312"/>
      <c r="G7683" s="328"/>
      <c r="H7683" s="453"/>
      <c r="I7683" s="334"/>
      <c r="J7683" s="314"/>
      <c r="K7683" s="454"/>
      <c r="M7683" s="349" t="str">
        <f>N7683&amp;AS[[#This Row],[Insurer Code]]&amp;"; "&amp;O7683&amp;AS[[#This Row],[Reporting Year]]&amp;"; "&amp;P7683&amp;AS[[#This Row],[Insurance Category Code]]&amp;"; "&amp;Q7683&amp;AS[[#This Row],[Large Provider Entity Code]]&amp;"; "&amp;R7683&amp;AS[[#This Row],[Age Band Code]]&amp;"; "&amp;S7683&amp;AS[[#This Row],[Sex Code]]</f>
        <v xml:space="preserve">Insurer Code ; Reporting Year ; Insurance Category Code ; Large Provider Entity Code ; Age Band Code ; Sex Code </v>
      </c>
      <c r="N7683" s="345" t="s">
        <v>207</v>
      </c>
      <c r="O7683" s="345" t="s">
        <v>208</v>
      </c>
      <c r="P7683" s="345" t="s">
        <v>209</v>
      </c>
      <c r="Q7683" s="345" t="s">
        <v>210</v>
      </c>
      <c r="R7683" s="345" t="s">
        <v>223</v>
      </c>
      <c r="S7683" s="345" t="s">
        <v>224</v>
      </c>
    </row>
    <row r="7684" spans="1:19" x14ac:dyDescent="0.25">
      <c r="A7684" s="311"/>
      <c r="B7684" s="312"/>
      <c r="C7684" s="312"/>
      <c r="D7684" s="312"/>
      <c r="E7684" s="312"/>
      <c r="F7684" s="312"/>
      <c r="G7684" s="328"/>
      <c r="H7684" s="453"/>
      <c r="I7684" s="334"/>
      <c r="J7684" s="314"/>
      <c r="K7684" s="454"/>
      <c r="M7684" s="349" t="str">
        <f>N7684&amp;AS[[#This Row],[Insurer Code]]&amp;"; "&amp;O7684&amp;AS[[#This Row],[Reporting Year]]&amp;"; "&amp;P7684&amp;AS[[#This Row],[Insurance Category Code]]&amp;"; "&amp;Q7684&amp;AS[[#This Row],[Large Provider Entity Code]]&amp;"; "&amp;R7684&amp;AS[[#This Row],[Age Band Code]]&amp;"; "&amp;S7684&amp;AS[[#This Row],[Sex Code]]</f>
        <v xml:space="preserve">Insurer Code ; Reporting Year ; Insurance Category Code ; Large Provider Entity Code ; Age Band Code ; Sex Code </v>
      </c>
      <c r="N7684" s="345" t="s">
        <v>207</v>
      </c>
      <c r="O7684" s="345" t="s">
        <v>208</v>
      </c>
      <c r="P7684" s="345" t="s">
        <v>209</v>
      </c>
      <c r="Q7684" s="345" t="s">
        <v>210</v>
      </c>
      <c r="R7684" s="345" t="s">
        <v>223</v>
      </c>
      <c r="S7684" s="345" t="s">
        <v>224</v>
      </c>
    </row>
    <row r="7685" spans="1:19" x14ac:dyDescent="0.25">
      <c r="A7685" s="311"/>
      <c r="B7685" s="312"/>
      <c r="C7685" s="312"/>
      <c r="D7685" s="312"/>
      <c r="E7685" s="312"/>
      <c r="F7685" s="312"/>
      <c r="G7685" s="328"/>
      <c r="H7685" s="453"/>
      <c r="I7685" s="334"/>
      <c r="J7685" s="314"/>
      <c r="K7685" s="454"/>
      <c r="M7685" s="349" t="str">
        <f>N7685&amp;AS[[#This Row],[Insurer Code]]&amp;"; "&amp;O7685&amp;AS[[#This Row],[Reporting Year]]&amp;"; "&amp;P7685&amp;AS[[#This Row],[Insurance Category Code]]&amp;"; "&amp;Q7685&amp;AS[[#This Row],[Large Provider Entity Code]]&amp;"; "&amp;R7685&amp;AS[[#This Row],[Age Band Code]]&amp;"; "&amp;S7685&amp;AS[[#This Row],[Sex Code]]</f>
        <v xml:space="preserve">Insurer Code ; Reporting Year ; Insurance Category Code ; Large Provider Entity Code ; Age Band Code ; Sex Code </v>
      </c>
      <c r="N7685" s="345" t="s">
        <v>207</v>
      </c>
      <c r="O7685" s="345" t="s">
        <v>208</v>
      </c>
      <c r="P7685" s="345" t="s">
        <v>209</v>
      </c>
      <c r="Q7685" s="345" t="s">
        <v>210</v>
      </c>
      <c r="R7685" s="345" t="s">
        <v>223</v>
      </c>
      <c r="S7685" s="345" t="s">
        <v>224</v>
      </c>
    </row>
    <row r="7686" spans="1:19" x14ac:dyDescent="0.25">
      <c r="A7686" s="311"/>
      <c r="B7686" s="312"/>
      <c r="C7686" s="312"/>
      <c r="D7686" s="312"/>
      <c r="E7686" s="312"/>
      <c r="F7686" s="312"/>
      <c r="G7686" s="328"/>
      <c r="H7686" s="453"/>
      <c r="I7686" s="334"/>
      <c r="J7686" s="314"/>
      <c r="K7686" s="454"/>
      <c r="M7686" s="349" t="str">
        <f>N7686&amp;AS[[#This Row],[Insurer Code]]&amp;"; "&amp;O7686&amp;AS[[#This Row],[Reporting Year]]&amp;"; "&amp;P7686&amp;AS[[#This Row],[Insurance Category Code]]&amp;"; "&amp;Q7686&amp;AS[[#This Row],[Large Provider Entity Code]]&amp;"; "&amp;R7686&amp;AS[[#This Row],[Age Band Code]]&amp;"; "&amp;S7686&amp;AS[[#This Row],[Sex Code]]</f>
        <v xml:space="preserve">Insurer Code ; Reporting Year ; Insurance Category Code ; Large Provider Entity Code ; Age Band Code ; Sex Code </v>
      </c>
      <c r="N7686" s="345" t="s">
        <v>207</v>
      </c>
      <c r="O7686" s="345" t="s">
        <v>208</v>
      </c>
      <c r="P7686" s="345" t="s">
        <v>209</v>
      </c>
      <c r="Q7686" s="345" t="s">
        <v>210</v>
      </c>
      <c r="R7686" s="345" t="s">
        <v>223</v>
      </c>
      <c r="S7686" s="345" t="s">
        <v>224</v>
      </c>
    </row>
    <row r="7687" spans="1:19" x14ac:dyDescent="0.25">
      <c r="A7687" s="311"/>
      <c r="B7687" s="312"/>
      <c r="C7687" s="312"/>
      <c r="D7687" s="312"/>
      <c r="E7687" s="312"/>
      <c r="F7687" s="312"/>
      <c r="G7687" s="328"/>
      <c r="H7687" s="453"/>
      <c r="I7687" s="334"/>
      <c r="J7687" s="314"/>
      <c r="K7687" s="454"/>
      <c r="M7687" s="349" t="str">
        <f>N7687&amp;AS[[#This Row],[Insurer Code]]&amp;"; "&amp;O7687&amp;AS[[#This Row],[Reporting Year]]&amp;"; "&amp;P7687&amp;AS[[#This Row],[Insurance Category Code]]&amp;"; "&amp;Q7687&amp;AS[[#This Row],[Large Provider Entity Code]]&amp;"; "&amp;R7687&amp;AS[[#This Row],[Age Band Code]]&amp;"; "&amp;S7687&amp;AS[[#This Row],[Sex Code]]</f>
        <v xml:space="preserve">Insurer Code ; Reporting Year ; Insurance Category Code ; Large Provider Entity Code ; Age Band Code ; Sex Code </v>
      </c>
      <c r="N7687" s="345" t="s">
        <v>207</v>
      </c>
      <c r="O7687" s="345" t="s">
        <v>208</v>
      </c>
      <c r="P7687" s="345" t="s">
        <v>209</v>
      </c>
      <c r="Q7687" s="345" t="s">
        <v>210</v>
      </c>
      <c r="R7687" s="345" t="s">
        <v>223</v>
      </c>
      <c r="S7687" s="345" t="s">
        <v>224</v>
      </c>
    </row>
    <row r="7688" spans="1:19" x14ac:dyDescent="0.25">
      <c r="A7688" s="311"/>
      <c r="B7688" s="312"/>
      <c r="C7688" s="312"/>
      <c r="D7688" s="312"/>
      <c r="E7688" s="312"/>
      <c r="F7688" s="312"/>
      <c r="G7688" s="328"/>
      <c r="H7688" s="453"/>
      <c r="I7688" s="334"/>
      <c r="J7688" s="314"/>
      <c r="K7688" s="454"/>
      <c r="M7688" s="349" t="str">
        <f>N7688&amp;AS[[#This Row],[Insurer Code]]&amp;"; "&amp;O7688&amp;AS[[#This Row],[Reporting Year]]&amp;"; "&amp;P7688&amp;AS[[#This Row],[Insurance Category Code]]&amp;"; "&amp;Q7688&amp;AS[[#This Row],[Large Provider Entity Code]]&amp;"; "&amp;R7688&amp;AS[[#This Row],[Age Band Code]]&amp;"; "&amp;S7688&amp;AS[[#This Row],[Sex Code]]</f>
        <v xml:space="preserve">Insurer Code ; Reporting Year ; Insurance Category Code ; Large Provider Entity Code ; Age Band Code ; Sex Code </v>
      </c>
      <c r="N7688" s="345" t="s">
        <v>207</v>
      </c>
      <c r="O7688" s="345" t="s">
        <v>208</v>
      </c>
      <c r="P7688" s="345" t="s">
        <v>209</v>
      </c>
      <c r="Q7688" s="345" t="s">
        <v>210</v>
      </c>
      <c r="R7688" s="345" t="s">
        <v>223</v>
      </c>
      <c r="S7688" s="345" t="s">
        <v>224</v>
      </c>
    </row>
    <row r="7689" spans="1:19" x14ac:dyDescent="0.25">
      <c r="A7689" s="311"/>
      <c r="B7689" s="312"/>
      <c r="C7689" s="312"/>
      <c r="D7689" s="312"/>
      <c r="E7689" s="312"/>
      <c r="F7689" s="312"/>
      <c r="G7689" s="328"/>
      <c r="H7689" s="453"/>
      <c r="I7689" s="334"/>
      <c r="J7689" s="314"/>
      <c r="K7689" s="454"/>
      <c r="M7689" s="349" t="str">
        <f>N7689&amp;AS[[#This Row],[Insurer Code]]&amp;"; "&amp;O7689&amp;AS[[#This Row],[Reporting Year]]&amp;"; "&amp;P7689&amp;AS[[#This Row],[Insurance Category Code]]&amp;"; "&amp;Q7689&amp;AS[[#This Row],[Large Provider Entity Code]]&amp;"; "&amp;R7689&amp;AS[[#This Row],[Age Band Code]]&amp;"; "&amp;S7689&amp;AS[[#This Row],[Sex Code]]</f>
        <v xml:space="preserve">Insurer Code ; Reporting Year ; Insurance Category Code ; Large Provider Entity Code ; Age Band Code ; Sex Code </v>
      </c>
      <c r="N7689" s="345" t="s">
        <v>207</v>
      </c>
      <c r="O7689" s="345" t="s">
        <v>208</v>
      </c>
      <c r="P7689" s="345" t="s">
        <v>209</v>
      </c>
      <c r="Q7689" s="345" t="s">
        <v>210</v>
      </c>
      <c r="R7689" s="345" t="s">
        <v>223</v>
      </c>
      <c r="S7689" s="345" t="s">
        <v>224</v>
      </c>
    </row>
    <row r="7690" spans="1:19" x14ac:dyDescent="0.25">
      <c r="A7690" s="311"/>
      <c r="B7690" s="312"/>
      <c r="C7690" s="312"/>
      <c r="D7690" s="312"/>
      <c r="E7690" s="312"/>
      <c r="F7690" s="312"/>
      <c r="G7690" s="328"/>
      <c r="H7690" s="453"/>
      <c r="I7690" s="334"/>
      <c r="J7690" s="314"/>
      <c r="K7690" s="454"/>
      <c r="M7690" s="349" t="str">
        <f>N7690&amp;AS[[#This Row],[Insurer Code]]&amp;"; "&amp;O7690&amp;AS[[#This Row],[Reporting Year]]&amp;"; "&amp;P7690&amp;AS[[#This Row],[Insurance Category Code]]&amp;"; "&amp;Q7690&amp;AS[[#This Row],[Large Provider Entity Code]]&amp;"; "&amp;R7690&amp;AS[[#This Row],[Age Band Code]]&amp;"; "&amp;S7690&amp;AS[[#This Row],[Sex Code]]</f>
        <v xml:space="preserve">Insurer Code ; Reporting Year ; Insurance Category Code ; Large Provider Entity Code ; Age Band Code ; Sex Code </v>
      </c>
      <c r="N7690" s="345" t="s">
        <v>207</v>
      </c>
      <c r="O7690" s="345" t="s">
        <v>208</v>
      </c>
      <c r="P7690" s="345" t="s">
        <v>209</v>
      </c>
      <c r="Q7690" s="345" t="s">
        <v>210</v>
      </c>
      <c r="R7690" s="345" t="s">
        <v>223</v>
      </c>
      <c r="S7690" s="345" t="s">
        <v>224</v>
      </c>
    </row>
    <row r="7691" spans="1:19" x14ac:dyDescent="0.25">
      <c r="A7691" s="311"/>
      <c r="B7691" s="312"/>
      <c r="C7691" s="312"/>
      <c r="D7691" s="312"/>
      <c r="E7691" s="312"/>
      <c r="F7691" s="312"/>
      <c r="G7691" s="328"/>
      <c r="H7691" s="453"/>
      <c r="I7691" s="334"/>
      <c r="J7691" s="314"/>
      <c r="K7691" s="454"/>
      <c r="M7691" s="349" t="str">
        <f>N7691&amp;AS[[#This Row],[Insurer Code]]&amp;"; "&amp;O7691&amp;AS[[#This Row],[Reporting Year]]&amp;"; "&amp;P7691&amp;AS[[#This Row],[Insurance Category Code]]&amp;"; "&amp;Q7691&amp;AS[[#This Row],[Large Provider Entity Code]]&amp;"; "&amp;R7691&amp;AS[[#This Row],[Age Band Code]]&amp;"; "&amp;S7691&amp;AS[[#This Row],[Sex Code]]</f>
        <v xml:space="preserve">Insurer Code ; Reporting Year ; Insurance Category Code ; Large Provider Entity Code ; Age Band Code ; Sex Code </v>
      </c>
      <c r="N7691" s="345" t="s">
        <v>207</v>
      </c>
      <c r="O7691" s="345" t="s">
        <v>208</v>
      </c>
      <c r="P7691" s="345" t="s">
        <v>209</v>
      </c>
      <c r="Q7691" s="345" t="s">
        <v>210</v>
      </c>
      <c r="R7691" s="345" t="s">
        <v>223</v>
      </c>
      <c r="S7691" s="345" t="s">
        <v>224</v>
      </c>
    </row>
    <row r="7692" spans="1:19" x14ac:dyDescent="0.25">
      <c r="A7692" s="311"/>
      <c r="B7692" s="312"/>
      <c r="C7692" s="312"/>
      <c r="D7692" s="312"/>
      <c r="E7692" s="312"/>
      <c r="F7692" s="312"/>
      <c r="G7692" s="328"/>
      <c r="H7692" s="453"/>
      <c r="I7692" s="334"/>
      <c r="J7692" s="314"/>
      <c r="K7692" s="454"/>
      <c r="M7692" s="349" t="str">
        <f>N7692&amp;AS[[#This Row],[Insurer Code]]&amp;"; "&amp;O7692&amp;AS[[#This Row],[Reporting Year]]&amp;"; "&amp;P7692&amp;AS[[#This Row],[Insurance Category Code]]&amp;"; "&amp;Q7692&amp;AS[[#This Row],[Large Provider Entity Code]]&amp;"; "&amp;R7692&amp;AS[[#This Row],[Age Band Code]]&amp;"; "&amp;S7692&amp;AS[[#This Row],[Sex Code]]</f>
        <v xml:space="preserve">Insurer Code ; Reporting Year ; Insurance Category Code ; Large Provider Entity Code ; Age Band Code ; Sex Code </v>
      </c>
      <c r="N7692" s="345" t="s">
        <v>207</v>
      </c>
      <c r="O7692" s="345" t="s">
        <v>208</v>
      </c>
      <c r="P7692" s="345" t="s">
        <v>209</v>
      </c>
      <c r="Q7692" s="345" t="s">
        <v>210</v>
      </c>
      <c r="R7692" s="345" t="s">
        <v>223</v>
      </c>
      <c r="S7692" s="345" t="s">
        <v>224</v>
      </c>
    </row>
    <row r="7693" spans="1:19" x14ac:dyDescent="0.25">
      <c r="A7693" s="311"/>
      <c r="B7693" s="312"/>
      <c r="C7693" s="312"/>
      <c r="D7693" s="312"/>
      <c r="E7693" s="312"/>
      <c r="F7693" s="312"/>
      <c r="G7693" s="328"/>
      <c r="H7693" s="453"/>
      <c r="I7693" s="334"/>
      <c r="J7693" s="314"/>
      <c r="K7693" s="454"/>
      <c r="M7693" s="349" t="str">
        <f>N7693&amp;AS[[#This Row],[Insurer Code]]&amp;"; "&amp;O7693&amp;AS[[#This Row],[Reporting Year]]&amp;"; "&amp;P7693&amp;AS[[#This Row],[Insurance Category Code]]&amp;"; "&amp;Q7693&amp;AS[[#This Row],[Large Provider Entity Code]]&amp;"; "&amp;R7693&amp;AS[[#This Row],[Age Band Code]]&amp;"; "&amp;S7693&amp;AS[[#This Row],[Sex Code]]</f>
        <v xml:space="preserve">Insurer Code ; Reporting Year ; Insurance Category Code ; Large Provider Entity Code ; Age Band Code ; Sex Code </v>
      </c>
      <c r="N7693" s="345" t="s">
        <v>207</v>
      </c>
      <c r="O7693" s="345" t="s">
        <v>208</v>
      </c>
      <c r="P7693" s="345" t="s">
        <v>209</v>
      </c>
      <c r="Q7693" s="345" t="s">
        <v>210</v>
      </c>
      <c r="R7693" s="345" t="s">
        <v>223</v>
      </c>
      <c r="S7693" s="345" t="s">
        <v>224</v>
      </c>
    </row>
    <row r="7694" spans="1:19" x14ac:dyDescent="0.25">
      <c r="A7694" s="311"/>
      <c r="B7694" s="312"/>
      <c r="C7694" s="312"/>
      <c r="D7694" s="312"/>
      <c r="E7694" s="312"/>
      <c r="F7694" s="312"/>
      <c r="G7694" s="328"/>
      <c r="H7694" s="453"/>
      <c r="I7694" s="334"/>
      <c r="J7694" s="314"/>
      <c r="K7694" s="454"/>
      <c r="M7694" s="349" t="str">
        <f>N7694&amp;AS[[#This Row],[Insurer Code]]&amp;"; "&amp;O7694&amp;AS[[#This Row],[Reporting Year]]&amp;"; "&amp;P7694&amp;AS[[#This Row],[Insurance Category Code]]&amp;"; "&amp;Q7694&amp;AS[[#This Row],[Large Provider Entity Code]]&amp;"; "&amp;R7694&amp;AS[[#This Row],[Age Band Code]]&amp;"; "&amp;S7694&amp;AS[[#This Row],[Sex Code]]</f>
        <v xml:space="preserve">Insurer Code ; Reporting Year ; Insurance Category Code ; Large Provider Entity Code ; Age Band Code ; Sex Code </v>
      </c>
      <c r="N7694" s="345" t="s">
        <v>207</v>
      </c>
      <c r="O7694" s="345" t="s">
        <v>208</v>
      </c>
      <c r="P7694" s="345" t="s">
        <v>209</v>
      </c>
      <c r="Q7694" s="345" t="s">
        <v>210</v>
      </c>
      <c r="R7694" s="345" t="s">
        <v>223</v>
      </c>
      <c r="S7694" s="345" t="s">
        <v>224</v>
      </c>
    </row>
    <row r="7695" spans="1:19" x14ac:dyDescent="0.25">
      <c r="A7695" s="311"/>
      <c r="B7695" s="312"/>
      <c r="C7695" s="312"/>
      <c r="D7695" s="312"/>
      <c r="E7695" s="312"/>
      <c r="F7695" s="312"/>
      <c r="G7695" s="328"/>
      <c r="H7695" s="453"/>
      <c r="I7695" s="334"/>
      <c r="J7695" s="314"/>
      <c r="K7695" s="454"/>
      <c r="M7695" s="349" t="str">
        <f>N7695&amp;AS[[#This Row],[Insurer Code]]&amp;"; "&amp;O7695&amp;AS[[#This Row],[Reporting Year]]&amp;"; "&amp;P7695&amp;AS[[#This Row],[Insurance Category Code]]&amp;"; "&amp;Q7695&amp;AS[[#This Row],[Large Provider Entity Code]]&amp;"; "&amp;R7695&amp;AS[[#This Row],[Age Band Code]]&amp;"; "&amp;S7695&amp;AS[[#This Row],[Sex Code]]</f>
        <v xml:space="preserve">Insurer Code ; Reporting Year ; Insurance Category Code ; Large Provider Entity Code ; Age Band Code ; Sex Code </v>
      </c>
      <c r="N7695" s="345" t="s">
        <v>207</v>
      </c>
      <c r="O7695" s="345" t="s">
        <v>208</v>
      </c>
      <c r="P7695" s="345" t="s">
        <v>209</v>
      </c>
      <c r="Q7695" s="345" t="s">
        <v>210</v>
      </c>
      <c r="R7695" s="345" t="s">
        <v>223</v>
      </c>
      <c r="S7695" s="345" t="s">
        <v>224</v>
      </c>
    </row>
    <row r="7696" spans="1:19" x14ac:dyDescent="0.25">
      <c r="A7696" s="311"/>
      <c r="B7696" s="312"/>
      <c r="C7696" s="312"/>
      <c r="D7696" s="312"/>
      <c r="E7696" s="312"/>
      <c r="F7696" s="312"/>
      <c r="G7696" s="328"/>
      <c r="H7696" s="453"/>
      <c r="I7696" s="334"/>
      <c r="J7696" s="314"/>
      <c r="K7696" s="454"/>
      <c r="M7696" s="349" t="str">
        <f>N7696&amp;AS[[#This Row],[Insurer Code]]&amp;"; "&amp;O7696&amp;AS[[#This Row],[Reporting Year]]&amp;"; "&amp;P7696&amp;AS[[#This Row],[Insurance Category Code]]&amp;"; "&amp;Q7696&amp;AS[[#This Row],[Large Provider Entity Code]]&amp;"; "&amp;R7696&amp;AS[[#This Row],[Age Band Code]]&amp;"; "&amp;S7696&amp;AS[[#This Row],[Sex Code]]</f>
        <v xml:space="preserve">Insurer Code ; Reporting Year ; Insurance Category Code ; Large Provider Entity Code ; Age Band Code ; Sex Code </v>
      </c>
      <c r="N7696" s="345" t="s">
        <v>207</v>
      </c>
      <c r="O7696" s="345" t="s">
        <v>208</v>
      </c>
      <c r="P7696" s="345" t="s">
        <v>209</v>
      </c>
      <c r="Q7696" s="345" t="s">
        <v>210</v>
      </c>
      <c r="R7696" s="345" t="s">
        <v>223</v>
      </c>
      <c r="S7696" s="345" t="s">
        <v>224</v>
      </c>
    </row>
    <row r="7697" spans="1:19" x14ac:dyDescent="0.25">
      <c r="A7697" s="311"/>
      <c r="B7697" s="312"/>
      <c r="C7697" s="312"/>
      <c r="D7697" s="312"/>
      <c r="E7697" s="312"/>
      <c r="F7697" s="312"/>
      <c r="G7697" s="328"/>
      <c r="H7697" s="453"/>
      <c r="I7697" s="334"/>
      <c r="J7697" s="314"/>
      <c r="K7697" s="454"/>
      <c r="M7697" s="349" t="str">
        <f>N7697&amp;AS[[#This Row],[Insurer Code]]&amp;"; "&amp;O7697&amp;AS[[#This Row],[Reporting Year]]&amp;"; "&amp;P7697&amp;AS[[#This Row],[Insurance Category Code]]&amp;"; "&amp;Q7697&amp;AS[[#This Row],[Large Provider Entity Code]]&amp;"; "&amp;R7697&amp;AS[[#This Row],[Age Band Code]]&amp;"; "&amp;S7697&amp;AS[[#This Row],[Sex Code]]</f>
        <v xml:space="preserve">Insurer Code ; Reporting Year ; Insurance Category Code ; Large Provider Entity Code ; Age Band Code ; Sex Code </v>
      </c>
      <c r="N7697" s="345" t="s">
        <v>207</v>
      </c>
      <c r="O7697" s="345" t="s">
        <v>208</v>
      </c>
      <c r="P7697" s="345" t="s">
        <v>209</v>
      </c>
      <c r="Q7697" s="345" t="s">
        <v>210</v>
      </c>
      <c r="R7697" s="345" t="s">
        <v>223</v>
      </c>
      <c r="S7697" s="345" t="s">
        <v>224</v>
      </c>
    </row>
    <row r="7698" spans="1:19" x14ac:dyDescent="0.25">
      <c r="A7698" s="311"/>
      <c r="B7698" s="312"/>
      <c r="C7698" s="312"/>
      <c r="D7698" s="312"/>
      <c r="E7698" s="312"/>
      <c r="F7698" s="312"/>
      <c r="G7698" s="328"/>
      <c r="H7698" s="453"/>
      <c r="I7698" s="334"/>
      <c r="J7698" s="314"/>
      <c r="K7698" s="454"/>
      <c r="M7698" s="349" t="str">
        <f>N7698&amp;AS[[#This Row],[Insurer Code]]&amp;"; "&amp;O7698&amp;AS[[#This Row],[Reporting Year]]&amp;"; "&amp;P7698&amp;AS[[#This Row],[Insurance Category Code]]&amp;"; "&amp;Q7698&amp;AS[[#This Row],[Large Provider Entity Code]]&amp;"; "&amp;R7698&amp;AS[[#This Row],[Age Band Code]]&amp;"; "&amp;S7698&amp;AS[[#This Row],[Sex Code]]</f>
        <v xml:space="preserve">Insurer Code ; Reporting Year ; Insurance Category Code ; Large Provider Entity Code ; Age Band Code ; Sex Code </v>
      </c>
      <c r="N7698" s="345" t="s">
        <v>207</v>
      </c>
      <c r="O7698" s="345" t="s">
        <v>208</v>
      </c>
      <c r="P7698" s="345" t="s">
        <v>209</v>
      </c>
      <c r="Q7698" s="345" t="s">
        <v>210</v>
      </c>
      <c r="R7698" s="345" t="s">
        <v>223</v>
      </c>
      <c r="S7698" s="345" t="s">
        <v>224</v>
      </c>
    </row>
    <row r="7699" spans="1:19" x14ac:dyDescent="0.25">
      <c r="A7699" s="311"/>
      <c r="B7699" s="312"/>
      <c r="C7699" s="312"/>
      <c r="D7699" s="312"/>
      <c r="E7699" s="312"/>
      <c r="F7699" s="312"/>
      <c r="G7699" s="328"/>
      <c r="H7699" s="453"/>
      <c r="I7699" s="334"/>
      <c r="J7699" s="314"/>
      <c r="K7699" s="454"/>
      <c r="M7699" s="349" t="str">
        <f>N7699&amp;AS[[#This Row],[Insurer Code]]&amp;"; "&amp;O7699&amp;AS[[#This Row],[Reporting Year]]&amp;"; "&amp;P7699&amp;AS[[#This Row],[Insurance Category Code]]&amp;"; "&amp;Q7699&amp;AS[[#This Row],[Large Provider Entity Code]]&amp;"; "&amp;R7699&amp;AS[[#This Row],[Age Band Code]]&amp;"; "&amp;S7699&amp;AS[[#This Row],[Sex Code]]</f>
        <v xml:space="preserve">Insurer Code ; Reporting Year ; Insurance Category Code ; Large Provider Entity Code ; Age Band Code ; Sex Code </v>
      </c>
      <c r="N7699" s="345" t="s">
        <v>207</v>
      </c>
      <c r="O7699" s="345" t="s">
        <v>208</v>
      </c>
      <c r="P7699" s="345" t="s">
        <v>209</v>
      </c>
      <c r="Q7699" s="345" t="s">
        <v>210</v>
      </c>
      <c r="R7699" s="345" t="s">
        <v>223</v>
      </c>
      <c r="S7699" s="345" t="s">
        <v>224</v>
      </c>
    </row>
    <row r="7700" spans="1:19" x14ac:dyDescent="0.25">
      <c r="A7700" s="311"/>
      <c r="B7700" s="312"/>
      <c r="C7700" s="312"/>
      <c r="D7700" s="312"/>
      <c r="E7700" s="312"/>
      <c r="F7700" s="312"/>
      <c r="G7700" s="328"/>
      <c r="H7700" s="453"/>
      <c r="I7700" s="334"/>
      <c r="J7700" s="314"/>
      <c r="K7700" s="454"/>
      <c r="M7700" s="349" t="str">
        <f>N7700&amp;AS[[#This Row],[Insurer Code]]&amp;"; "&amp;O7700&amp;AS[[#This Row],[Reporting Year]]&amp;"; "&amp;P7700&amp;AS[[#This Row],[Insurance Category Code]]&amp;"; "&amp;Q7700&amp;AS[[#This Row],[Large Provider Entity Code]]&amp;"; "&amp;R7700&amp;AS[[#This Row],[Age Band Code]]&amp;"; "&amp;S7700&amp;AS[[#This Row],[Sex Code]]</f>
        <v xml:space="preserve">Insurer Code ; Reporting Year ; Insurance Category Code ; Large Provider Entity Code ; Age Band Code ; Sex Code </v>
      </c>
      <c r="N7700" s="345" t="s">
        <v>207</v>
      </c>
      <c r="O7700" s="345" t="s">
        <v>208</v>
      </c>
      <c r="P7700" s="345" t="s">
        <v>209</v>
      </c>
      <c r="Q7700" s="345" t="s">
        <v>210</v>
      </c>
      <c r="R7700" s="345" t="s">
        <v>223</v>
      </c>
      <c r="S7700" s="345" t="s">
        <v>224</v>
      </c>
    </row>
    <row r="7701" spans="1:19" x14ac:dyDescent="0.25">
      <c r="A7701" s="311"/>
      <c r="B7701" s="312"/>
      <c r="C7701" s="312"/>
      <c r="D7701" s="312"/>
      <c r="E7701" s="312"/>
      <c r="F7701" s="312"/>
      <c r="G7701" s="328"/>
      <c r="H7701" s="453"/>
      <c r="I7701" s="334"/>
      <c r="J7701" s="314"/>
      <c r="K7701" s="454"/>
      <c r="M7701" s="349" t="str">
        <f>N7701&amp;AS[[#This Row],[Insurer Code]]&amp;"; "&amp;O7701&amp;AS[[#This Row],[Reporting Year]]&amp;"; "&amp;P7701&amp;AS[[#This Row],[Insurance Category Code]]&amp;"; "&amp;Q7701&amp;AS[[#This Row],[Large Provider Entity Code]]&amp;"; "&amp;R7701&amp;AS[[#This Row],[Age Band Code]]&amp;"; "&amp;S7701&amp;AS[[#This Row],[Sex Code]]</f>
        <v xml:space="preserve">Insurer Code ; Reporting Year ; Insurance Category Code ; Large Provider Entity Code ; Age Band Code ; Sex Code </v>
      </c>
      <c r="N7701" s="345" t="s">
        <v>207</v>
      </c>
      <c r="O7701" s="345" t="s">
        <v>208</v>
      </c>
      <c r="P7701" s="345" t="s">
        <v>209</v>
      </c>
      <c r="Q7701" s="345" t="s">
        <v>210</v>
      </c>
      <c r="R7701" s="345" t="s">
        <v>223</v>
      </c>
      <c r="S7701" s="345" t="s">
        <v>224</v>
      </c>
    </row>
    <row r="7702" spans="1:19" x14ac:dyDescent="0.25">
      <c r="A7702" s="311"/>
      <c r="B7702" s="312"/>
      <c r="C7702" s="312"/>
      <c r="D7702" s="312"/>
      <c r="E7702" s="312"/>
      <c r="F7702" s="312"/>
      <c r="G7702" s="328"/>
      <c r="H7702" s="453"/>
      <c r="I7702" s="334"/>
      <c r="J7702" s="314"/>
      <c r="K7702" s="454"/>
      <c r="M7702" s="349" t="str">
        <f>N7702&amp;AS[[#This Row],[Insurer Code]]&amp;"; "&amp;O7702&amp;AS[[#This Row],[Reporting Year]]&amp;"; "&amp;P7702&amp;AS[[#This Row],[Insurance Category Code]]&amp;"; "&amp;Q7702&amp;AS[[#This Row],[Large Provider Entity Code]]&amp;"; "&amp;R7702&amp;AS[[#This Row],[Age Band Code]]&amp;"; "&amp;S7702&amp;AS[[#This Row],[Sex Code]]</f>
        <v xml:space="preserve">Insurer Code ; Reporting Year ; Insurance Category Code ; Large Provider Entity Code ; Age Band Code ; Sex Code </v>
      </c>
      <c r="N7702" s="345" t="s">
        <v>207</v>
      </c>
      <c r="O7702" s="345" t="s">
        <v>208</v>
      </c>
      <c r="P7702" s="345" t="s">
        <v>209</v>
      </c>
      <c r="Q7702" s="345" t="s">
        <v>210</v>
      </c>
      <c r="R7702" s="345" t="s">
        <v>223</v>
      </c>
      <c r="S7702" s="345" t="s">
        <v>224</v>
      </c>
    </row>
    <row r="7703" spans="1:19" x14ac:dyDescent="0.25">
      <c r="A7703" s="311"/>
      <c r="B7703" s="312"/>
      <c r="C7703" s="312"/>
      <c r="D7703" s="312"/>
      <c r="E7703" s="312"/>
      <c r="F7703" s="312"/>
      <c r="G7703" s="328"/>
      <c r="H7703" s="453"/>
      <c r="I7703" s="334"/>
      <c r="J7703" s="314"/>
      <c r="K7703" s="454"/>
      <c r="M7703" s="349" t="str">
        <f>N7703&amp;AS[[#This Row],[Insurer Code]]&amp;"; "&amp;O7703&amp;AS[[#This Row],[Reporting Year]]&amp;"; "&amp;P7703&amp;AS[[#This Row],[Insurance Category Code]]&amp;"; "&amp;Q7703&amp;AS[[#This Row],[Large Provider Entity Code]]&amp;"; "&amp;R7703&amp;AS[[#This Row],[Age Band Code]]&amp;"; "&amp;S7703&amp;AS[[#This Row],[Sex Code]]</f>
        <v xml:space="preserve">Insurer Code ; Reporting Year ; Insurance Category Code ; Large Provider Entity Code ; Age Band Code ; Sex Code </v>
      </c>
      <c r="N7703" s="345" t="s">
        <v>207</v>
      </c>
      <c r="O7703" s="345" t="s">
        <v>208</v>
      </c>
      <c r="P7703" s="345" t="s">
        <v>209</v>
      </c>
      <c r="Q7703" s="345" t="s">
        <v>210</v>
      </c>
      <c r="R7703" s="345" t="s">
        <v>223</v>
      </c>
      <c r="S7703" s="345" t="s">
        <v>224</v>
      </c>
    </row>
    <row r="7704" spans="1:19" x14ac:dyDescent="0.25">
      <c r="A7704" s="311"/>
      <c r="B7704" s="312"/>
      <c r="C7704" s="312"/>
      <c r="D7704" s="312"/>
      <c r="E7704" s="312"/>
      <c r="F7704" s="312"/>
      <c r="G7704" s="328"/>
      <c r="H7704" s="453"/>
      <c r="I7704" s="334"/>
      <c r="J7704" s="314"/>
      <c r="K7704" s="454"/>
      <c r="M7704" s="349" t="str">
        <f>N7704&amp;AS[[#This Row],[Insurer Code]]&amp;"; "&amp;O7704&amp;AS[[#This Row],[Reporting Year]]&amp;"; "&amp;P7704&amp;AS[[#This Row],[Insurance Category Code]]&amp;"; "&amp;Q7704&amp;AS[[#This Row],[Large Provider Entity Code]]&amp;"; "&amp;R7704&amp;AS[[#This Row],[Age Band Code]]&amp;"; "&amp;S7704&amp;AS[[#This Row],[Sex Code]]</f>
        <v xml:space="preserve">Insurer Code ; Reporting Year ; Insurance Category Code ; Large Provider Entity Code ; Age Band Code ; Sex Code </v>
      </c>
      <c r="N7704" s="345" t="s">
        <v>207</v>
      </c>
      <c r="O7704" s="345" t="s">
        <v>208</v>
      </c>
      <c r="P7704" s="345" t="s">
        <v>209</v>
      </c>
      <c r="Q7704" s="345" t="s">
        <v>210</v>
      </c>
      <c r="R7704" s="345" t="s">
        <v>223</v>
      </c>
      <c r="S7704" s="345" t="s">
        <v>224</v>
      </c>
    </row>
    <row r="7705" spans="1:19" x14ac:dyDescent="0.25">
      <c r="A7705" s="311"/>
      <c r="B7705" s="312"/>
      <c r="C7705" s="312"/>
      <c r="D7705" s="312"/>
      <c r="E7705" s="312"/>
      <c r="F7705" s="312"/>
      <c r="G7705" s="328"/>
      <c r="H7705" s="453"/>
      <c r="I7705" s="334"/>
      <c r="J7705" s="314"/>
      <c r="K7705" s="454"/>
      <c r="M7705" s="349" t="str">
        <f>N7705&amp;AS[[#This Row],[Insurer Code]]&amp;"; "&amp;O7705&amp;AS[[#This Row],[Reporting Year]]&amp;"; "&amp;P7705&amp;AS[[#This Row],[Insurance Category Code]]&amp;"; "&amp;Q7705&amp;AS[[#This Row],[Large Provider Entity Code]]&amp;"; "&amp;R7705&amp;AS[[#This Row],[Age Band Code]]&amp;"; "&amp;S7705&amp;AS[[#This Row],[Sex Code]]</f>
        <v xml:space="preserve">Insurer Code ; Reporting Year ; Insurance Category Code ; Large Provider Entity Code ; Age Band Code ; Sex Code </v>
      </c>
      <c r="N7705" s="345" t="s">
        <v>207</v>
      </c>
      <c r="O7705" s="345" t="s">
        <v>208</v>
      </c>
      <c r="P7705" s="345" t="s">
        <v>209</v>
      </c>
      <c r="Q7705" s="345" t="s">
        <v>210</v>
      </c>
      <c r="R7705" s="345" t="s">
        <v>223</v>
      </c>
      <c r="S7705" s="345" t="s">
        <v>224</v>
      </c>
    </row>
    <row r="7706" spans="1:19" x14ac:dyDescent="0.25">
      <c r="A7706" s="311"/>
      <c r="B7706" s="312"/>
      <c r="C7706" s="312"/>
      <c r="D7706" s="312"/>
      <c r="E7706" s="312"/>
      <c r="F7706" s="312"/>
      <c r="G7706" s="328"/>
      <c r="H7706" s="453"/>
      <c r="I7706" s="334"/>
      <c r="J7706" s="314"/>
      <c r="K7706" s="454"/>
      <c r="M7706" s="349" t="str">
        <f>N7706&amp;AS[[#This Row],[Insurer Code]]&amp;"; "&amp;O7706&amp;AS[[#This Row],[Reporting Year]]&amp;"; "&amp;P7706&amp;AS[[#This Row],[Insurance Category Code]]&amp;"; "&amp;Q7706&amp;AS[[#This Row],[Large Provider Entity Code]]&amp;"; "&amp;R7706&amp;AS[[#This Row],[Age Band Code]]&amp;"; "&amp;S7706&amp;AS[[#This Row],[Sex Code]]</f>
        <v xml:space="preserve">Insurer Code ; Reporting Year ; Insurance Category Code ; Large Provider Entity Code ; Age Band Code ; Sex Code </v>
      </c>
      <c r="N7706" s="345" t="s">
        <v>207</v>
      </c>
      <c r="O7706" s="345" t="s">
        <v>208</v>
      </c>
      <c r="P7706" s="345" t="s">
        <v>209</v>
      </c>
      <c r="Q7706" s="345" t="s">
        <v>210</v>
      </c>
      <c r="R7706" s="345" t="s">
        <v>223</v>
      </c>
      <c r="S7706" s="345" t="s">
        <v>224</v>
      </c>
    </row>
    <row r="7707" spans="1:19" x14ac:dyDescent="0.25">
      <c r="A7707" s="311"/>
      <c r="B7707" s="312"/>
      <c r="C7707" s="312"/>
      <c r="D7707" s="312"/>
      <c r="E7707" s="312"/>
      <c r="F7707" s="312"/>
      <c r="G7707" s="328"/>
      <c r="H7707" s="453"/>
      <c r="I7707" s="334"/>
      <c r="J7707" s="314"/>
      <c r="K7707" s="454"/>
      <c r="M7707" s="349" t="str">
        <f>N7707&amp;AS[[#This Row],[Insurer Code]]&amp;"; "&amp;O7707&amp;AS[[#This Row],[Reporting Year]]&amp;"; "&amp;P7707&amp;AS[[#This Row],[Insurance Category Code]]&amp;"; "&amp;Q7707&amp;AS[[#This Row],[Large Provider Entity Code]]&amp;"; "&amp;R7707&amp;AS[[#This Row],[Age Band Code]]&amp;"; "&amp;S7707&amp;AS[[#This Row],[Sex Code]]</f>
        <v xml:space="preserve">Insurer Code ; Reporting Year ; Insurance Category Code ; Large Provider Entity Code ; Age Band Code ; Sex Code </v>
      </c>
      <c r="N7707" s="345" t="s">
        <v>207</v>
      </c>
      <c r="O7707" s="345" t="s">
        <v>208</v>
      </c>
      <c r="P7707" s="345" t="s">
        <v>209</v>
      </c>
      <c r="Q7707" s="345" t="s">
        <v>210</v>
      </c>
      <c r="R7707" s="345" t="s">
        <v>223</v>
      </c>
      <c r="S7707" s="345" t="s">
        <v>224</v>
      </c>
    </row>
    <row r="7708" spans="1:19" x14ac:dyDescent="0.25">
      <c r="A7708" s="311"/>
      <c r="B7708" s="312"/>
      <c r="C7708" s="312"/>
      <c r="D7708" s="312"/>
      <c r="E7708" s="312"/>
      <c r="F7708" s="312"/>
      <c r="G7708" s="328"/>
      <c r="H7708" s="453"/>
      <c r="I7708" s="334"/>
      <c r="J7708" s="314"/>
      <c r="K7708" s="454"/>
      <c r="M7708" s="349" t="str">
        <f>N7708&amp;AS[[#This Row],[Insurer Code]]&amp;"; "&amp;O7708&amp;AS[[#This Row],[Reporting Year]]&amp;"; "&amp;P7708&amp;AS[[#This Row],[Insurance Category Code]]&amp;"; "&amp;Q7708&amp;AS[[#This Row],[Large Provider Entity Code]]&amp;"; "&amp;R7708&amp;AS[[#This Row],[Age Band Code]]&amp;"; "&amp;S7708&amp;AS[[#This Row],[Sex Code]]</f>
        <v xml:space="preserve">Insurer Code ; Reporting Year ; Insurance Category Code ; Large Provider Entity Code ; Age Band Code ; Sex Code </v>
      </c>
      <c r="N7708" s="345" t="s">
        <v>207</v>
      </c>
      <c r="O7708" s="345" t="s">
        <v>208</v>
      </c>
      <c r="P7708" s="345" t="s">
        <v>209</v>
      </c>
      <c r="Q7708" s="345" t="s">
        <v>210</v>
      </c>
      <c r="R7708" s="345" t="s">
        <v>223</v>
      </c>
      <c r="S7708" s="345" t="s">
        <v>224</v>
      </c>
    </row>
    <row r="7709" spans="1:19" x14ac:dyDescent="0.25">
      <c r="A7709" s="311"/>
      <c r="B7709" s="312"/>
      <c r="C7709" s="312"/>
      <c r="D7709" s="312"/>
      <c r="E7709" s="312"/>
      <c r="F7709" s="312"/>
      <c r="G7709" s="328"/>
      <c r="H7709" s="453"/>
      <c r="I7709" s="334"/>
      <c r="J7709" s="314"/>
      <c r="K7709" s="454"/>
      <c r="M7709" s="349" t="str">
        <f>N7709&amp;AS[[#This Row],[Insurer Code]]&amp;"; "&amp;O7709&amp;AS[[#This Row],[Reporting Year]]&amp;"; "&amp;P7709&amp;AS[[#This Row],[Insurance Category Code]]&amp;"; "&amp;Q7709&amp;AS[[#This Row],[Large Provider Entity Code]]&amp;"; "&amp;R7709&amp;AS[[#This Row],[Age Band Code]]&amp;"; "&amp;S7709&amp;AS[[#This Row],[Sex Code]]</f>
        <v xml:space="preserve">Insurer Code ; Reporting Year ; Insurance Category Code ; Large Provider Entity Code ; Age Band Code ; Sex Code </v>
      </c>
      <c r="N7709" s="345" t="s">
        <v>207</v>
      </c>
      <c r="O7709" s="345" t="s">
        <v>208</v>
      </c>
      <c r="P7709" s="345" t="s">
        <v>209</v>
      </c>
      <c r="Q7709" s="345" t="s">
        <v>210</v>
      </c>
      <c r="R7709" s="345" t="s">
        <v>223</v>
      </c>
      <c r="S7709" s="345" t="s">
        <v>224</v>
      </c>
    </row>
    <row r="7710" spans="1:19" x14ac:dyDescent="0.25">
      <c r="A7710" s="311"/>
      <c r="B7710" s="312"/>
      <c r="C7710" s="312"/>
      <c r="D7710" s="312"/>
      <c r="E7710" s="312"/>
      <c r="F7710" s="312"/>
      <c r="G7710" s="328"/>
      <c r="H7710" s="453"/>
      <c r="I7710" s="334"/>
      <c r="J7710" s="314"/>
      <c r="K7710" s="454"/>
      <c r="M7710" s="349" t="str">
        <f>N7710&amp;AS[[#This Row],[Insurer Code]]&amp;"; "&amp;O7710&amp;AS[[#This Row],[Reporting Year]]&amp;"; "&amp;P7710&amp;AS[[#This Row],[Insurance Category Code]]&amp;"; "&amp;Q7710&amp;AS[[#This Row],[Large Provider Entity Code]]&amp;"; "&amp;R7710&amp;AS[[#This Row],[Age Band Code]]&amp;"; "&amp;S7710&amp;AS[[#This Row],[Sex Code]]</f>
        <v xml:space="preserve">Insurer Code ; Reporting Year ; Insurance Category Code ; Large Provider Entity Code ; Age Band Code ; Sex Code </v>
      </c>
      <c r="N7710" s="345" t="s">
        <v>207</v>
      </c>
      <c r="O7710" s="345" t="s">
        <v>208</v>
      </c>
      <c r="P7710" s="345" t="s">
        <v>209</v>
      </c>
      <c r="Q7710" s="345" t="s">
        <v>210</v>
      </c>
      <c r="R7710" s="345" t="s">
        <v>223</v>
      </c>
      <c r="S7710" s="345" t="s">
        <v>224</v>
      </c>
    </row>
    <row r="7711" spans="1:19" x14ac:dyDescent="0.25">
      <c r="A7711" s="311"/>
      <c r="B7711" s="312"/>
      <c r="C7711" s="312"/>
      <c r="D7711" s="312"/>
      <c r="E7711" s="312"/>
      <c r="F7711" s="312"/>
      <c r="G7711" s="328"/>
      <c r="H7711" s="453"/>
      <c r="I7711" s="334"/>
      <c r="J7711" s="314"/>
      <c r="K7711" s="454"/>
      <c r="M7711" s="349" t="str">
        <f>N7711&amp;AS[[#This Row],[Insurer Code]]&amp;"; "&amp;O7711&amp;AS[[#This Row],[Reporting Year]]&amp;"; "&amp;P7711&amp;AS[[#This Row],[Insurance Category Code]]&amp;"; "&amp;Q7711&amp;AS[[#This Row],[Large Provider Entity Code]]&amp;"; "&amp;R7711&amp;AS[[#This Row],[Age Band Code]]&amp;"; "&amp;S7711&amp;AS[[#This Row],[Sex Code]]</f>
        <v xml:space="preserve">Insurer Code ; Reporting Year ; Insurance Category Code ; Large Provider Entity Code ; Age Band Code ; Sex Code </v>
      </c>
      <c r="N7711" s="345" t="s">
        <v>207</v>
      </c>
      <c r="O7711" s="345" t="s">
        <v>208</v>
      </c>
      <c r="P7711" s="345" t="s">
        <v>209</v>
      </c>
      <c r="Q7711" s="345" t="s">
        <v>210</v>
      </c>
      <c r="R7711" s="345" t="s">
        <v>223</v>
      </c>
      <c r="S7711" s="345" t="s">
        <v>224</v>
      </c>
    </row>
    <row r="7712" spans="1:19" x14ac:dyDescent="0.25">
      <c r="A7712" s="311"/>
      <c r="B7712" s="312"/>
      <c r="C7712" s="312"/>
      <c r="D7712" s="312"/>
      <c r="E7712" s="312"/>
      <c r="F7712" s="312"/>
      <c r="G7712" s="328"/>
      <c r="H7712" s="453"/>
      <c r="I7712" s="334"/>
      <c r="J7712" s="314"/>
      <c r="K7712" s="454"/>
      <c r="M7712" s="349" t="str">
        <f>N7712&amp;AS[[#This Row],[Insurer Code]]&amp;"; "&amp;O7712&amp;AS[[#This Row],[Reporting Year]]&amp;"; "&amp;P7712&amp;AS[[#This Row],[Insurance Category Code]]&amp;"; "&amp;Q7712&amp;AS[[#This Row],[Large Provider Entity Code]]&amp;"; "&amp;R7712&amp;AS[[#This Row],[Age Band Code]]&amp;"; "&amp;S7712&amp;AS[[#This Row],[Sex Code]]</f>
        <v xml:space="preserve">Insurer Code ; Reporting Year ; Insurance Category Code ; Large Provider Entity Code ; Age Band Code ; Sex Code </v>
      </c>
      <c r="N7712" s="345" t="s">
        <v>207</v>
      </c>
      <c r="O7712" s="345" t="s">
        <v>208</v>
      </c>
      <c r="P7712" s="345" t="s">
        <v>209</v>
      </c>
      <c r="Q7712" s="345" t="s">
        <v>210</v>
      </c>
      <c r="R7712" s="345" t="s">
        <v>223</v>
      </c>
      <c r="S7712" s="345" t="s">
        <v>224</v>
      </c>
    </row>
    <row r="7713" spans="1:19" x14ac:dyDescent="0.25">
      <c r="A7713" s="311"/>
      <c r="B7713" s="312"/>
      <c r="C7713" s="312"/>
      <c r="D7713" s="312"/>
      <c r="E7713" s="312"/>
      <c r="F7713" s="312"/>
      <c r="G7713" s="328"/>
      <c r="H7713" s="453"/>
      <c r="I7713" s="334"/>
      <c r="J7713" s="314"/>
      <c r="K7713" s="454"/>
      <c r="M7713" s="349" t="str">
        <f>N7713&amp;AS[[#This Row],[Insurer Code]]&amp;"; "&amp;O7713&amp;AS[[#This Row],[Reporting Year]]&amp;"; "&amp;P7713&amp;AS[[#This Row],[Insurance Category Code]]&amp;"; "&amp;Q7713&amp;AS[[#This Row],[Large Provider Entity Code]]&amp;"; "&amp;R7713&amp;AS[[#This Row],[Age Band Code]]&amp;"; "&amp;S7713&amp;AS[[#This Row],[Sex Code]]</f>
        <v xml:space="preserve">Insurer Code ; Reporting Year ; Insurance Category Code ; Large Provider Entity Code ; Age Band Code ; Sex Code </v>
      </c>
      <c r="N7713" s="345" t="s">
        <v>207</v>
      </c>
      <c r="O7713" s="345" t="s">
        <v>208</v>
      </c>
      <c r="P7713" s="345" t="s">
        <v>209</v>
      </c>
      <c r="Q7713" s="345" t="s">
        <v>210</v>
      </c>
      <c r="R7713" s="345" t="s">
        <v>223</v>
      </c>
      <c r="S7713" s="345" t="s">
        <v>224</v>
      </c>
    </row>
    <row r="7714" spans="1:19" x14ac:dyDescent="0.25">
      <c r="A7714" s="311"/>
      <c r="B7714" s="312"/>
      <c r="C7714" s="312"/>
      <c r="D7714" s="312"/>
      <c r="E7714" s="312"/>
      <c r="F7714" s="312"/>
      <c r="G7714" s="328"/>
      <c r="H7714" s="453"/>
      <c r="I7714" s="334"/>
      <c r="J7714" s="314"/>
      <c r="K7714" s="454"/>
      <c r="M7714" s="349" t="str">
        <f>N7714&amp;AS[[#This Row],[Insurer Code]]&amp;"; "&amp;O7714&amp;AS[[#This Row],[Reporting Year]]&amp;"; "&amp;P7714&amp;AS[[#This Row],[Insurance Category Code]]&amp;"; "&amp;Q7714&amp;AS[[#This Row],[Large Provider Entity Code]]&amp;"; "&amp;R7714&amp;AS[[#This Row],[Age Band Code]]&amp;"; "&amp;S7714&amp;AS[[#This Row],[Sex Code]]</f>
        <v xml:space="preserve">Insurer Code ; Reporting Year ; Insurance Category Code ; Large Provider Entity Code ; Age Band Code ; Sex Code </v>
      </c>
      <c r="N7714" s="345" t="s">
        <v>207</v>
      </c>
      <c r="O7714" s="345" t="s">
        <v>208</v>
      </c>
      <c r="P7714" s="345" t="s">
        <v>209</v>
      </c>
      <c r="Q7714" s="345" t="s">
        <v>210</v>
      </c>
      <c r="R7714" s="345" t="s">
        <v>223</v>
      </c>
      <c r="S7714" s="345" t="s">
        <v>224</v>
      </c>
    </row>
    <row r="7715" spans="1:19" x14ac:dyDescent="0.25">
      <c r="A7715" s="311"/>
      <c r="B7715" s="312"/>
      <c r="C7715" s="312"/>
      <c r="D7715" s="312"/>
      <c r="E7715" s="312"/>
      <c r="F7715" s="312"/>
      <c r="G7715" s="328"/>
      <c r="H7715" s="453"/>
      <c r="I7715" s="334"/>
      <c r="J7715" s="314"/>
      <c r="K7715" s="454"/>
      <c r="M7715" s="349" t="str">
        <f>N7715&amp;AS[[#This Row],[Insurer Code]]&amp;"; "&amp;O7715&amp;AS[[#This Row],[Reporting Year]]&amp;"; "&amp;P7715&amp;AS[[#This Row],[Insurance Category Code]]&amp;"; "&amp;Q7715&amp;AS[[#This Row],[Large Provider Entity Code]]&amp;"; "&amp;R7715&amp;AS[[#This Row],[Age Band Code]]&amp;"; "&amp;S7715&amp;AS[[#This Row],[Sex Code]]</f>
        <v xml:space="preserve">Insurer Code ; Reporting Year ; Insurance Category Code ; Large Provider Entity Code ; Age Band Code ; Sex Code </v>
      </c>
      <c r="N7715" s="345" t="s">
        <v>207</v>
      </c>
      <c r="O7715" s="345" t="s">
        <v>208</v>
      </c>
      <c r="P7715" s="345" t="s">
        <v>209</v>
      </c>
      <c r="Q7715" s="345" t="s">
        <v>210</v>
      </c>
      <c r="R7715" s="345" t="s">
        <v>223</v>
      </c>
      <c r="S7715" s="345" t="s">
        <v>224</v>
      </c>
    </row>
    <row r="7716" spans="1:19" x14ac:dyDescent="0.25">
      <c r="A7716" s="311"/>
      <c r="B7716" s="312"/>
      <c r="C7716" s="312"/>
      <c r="D7716" s="312"/>
      <c r="E7716" s="312"/>
      <c r="F7716" s="312"/>
      <c r="G7716" s="328"/>
      <c r="H7716" s="453"/>
      <c r="I7716" s="334"/>
      <c r="J7716" s="314"/>
      <c r="K7716" s="454"/>
      <c r="M7716" s="349" t="str">
        <f>N7716&amp;AS[[#This Row],[Insurer Code]]&amp;"; "&amp;O7716&amp;AS[[#This Row],[Reporting Year]]&amp;"; "&amp;P7716&amp;AS[[#This Row],[Insurance Category Code]]&amp;"; "&amp;Q7716&amp;AS[[#This Row],[Large Provider Entity Code]]&amp;"; "&amp;R7716&amp;AS[[#This Row],[Age Band Code]]&amp;"; "&amp;S7716&amp;AS[[#This Row],[Sex Code]]</f>
        <v xml:space="preserve">Insurer Code ; Reporting Year ; Insurance Category Code ; Large Provider Entity Code ; Age Band Code ; Sex Code </v>
      </c>
      <c r="N7716" s="345" t="s">
        <v>207</v>
      </c>
      <c r="O7716" s="345" t="s">
        <v>208</v>
      </c>
      <c r="P7716" s="345" t="s">
        <v>209</v>
      </c>
      <c r="Q7716" s="345" t="s">
        <v>210</v>
      </c>
      <c r="R7716" s="345" t="s">
        <v>223</v>
      </c>
      <c r="S7716" s="345" t="s">
        <v>224</v>
      </c>
    </row>
    <row r="7717" spans="1:19" x14ac:dyDescent="0.25">
      <c r="A7717" s="311"/>
      <c r="B7717" s="312"/>
      <c r="C7717" s="312"/>
      <c r="D7717" s="312"/>
      <c r="E7717" s="312"/>
      <c r="F7717" s="312"/>
      <c r="G7717" s="328"/>
      <c r="H7717" s="453"/>
      <c r="I7717" s="334"/>
      <c r="J7717" s="314"/>
      <c r="K7717" s="454"/>
      <c r="M7717" s="349" t="str">
        <f>N7717&amp;AS[[#This Row],[Insurer Code]]&amp;"; "&amp;O7717&amp;AS[[#This Row],[Reporting Year]]&amp;"; "&amp;P7717&amp;AS[[#This Row],[Insurance Category Code]]&amp;"; "&amp;Q7717&amp;AS[[#This Row],[Large Provider Entity Code]]&amp;"; "&amp;R7717&amp;AS[[#This Row],[Age Band Code]]&amp;"; "&amp;S7717&amp;AS[[#This Row],[Sex Code]]</f>
        <v xml:space="preserve">Insurer Code ; Reporting Year ; Insurance Category Code ; Large Provider Entity Code ; Age Band Code ; Sex Code </v>
      </c>
      <c r="N7717" s="345" t="s">
        <v>207</v>
      </c>
      <c r="O7717" s="345" t="s">
        <v>208</v>
      </c>
      <c r="P7717" s="345" t="s">
        <v>209</v>
      </c>
      <c r="Q7717" s="345" t="s">
        <v>210</v>
      </c>
      <c r="R7717" s="345" t="s">
        <v>223</v>
      </c>
      <c r="S7717" s="345" t="s">
        <v>224</v>
      </c>
    </row>
    <row r="7718" spans="1:19" x14ac:dyDescent="0.25">
      <c r="A7718" s="311"/>
      <c r="B7718" s="312"/>
      <c r="C7718" s="312"/>
      <c r="D7718" s="312"/>
      <c r="E7718" s="312"/>
      <c r="F7718" s="312"/>
      <c r="G7718" s="328"/>
      <c r="H7718" s="453"/>
      <c r="I7718" s="334"/>
      <c r="J7718" s="314"/>
      <c r="K7718" s="454"/>
      <c r="M7718" s="349" t="str">
        <f>N7718&amp;AS[[#This Row],[Insurer Code]]&amp;"; "&amp;O7718&amp;AS[[#This Row],[Reporting Year]]&amp;"; "&amp;P7718&amp;AS[[#This Row],[Insurance Category Code]]&amp;"; "&amp;Q7718&amp;AS[[#This Row],[Large Provider Entity Code]]&amp;"; "&amp;R7718&amp;AS[[#This Row],[Age Band Code]]&amp;"; "&amp;S7718&amp;AS[[#This Row],[Sex Code]]</f>
        <v xml:space="preserve">Insurer Code ; Reporting Year ; Insurance Category Code ; Large Provider Entity Code ; Age Band Code ; Sex Code </v>
      </c>
      <c r="N7718" s="345" t="s">
        <v>207</v>
      </c>
      <c r="O7718" s="345" t="s">
        <v>208</v>
      </c>
      <c r="P7718" s="345" t="s">
        <v>209</v>
      </c>
      <c r="Q7718" s="345" t="s">
        <v>210</v>
      </c>
      <c r="R7718" s="345" t="s">
        <v>223</v>
      </c>
      <c r="S7718" s="345" t="s">
        <v>224</v>
      </c>
    </row>
    <row r="7719" spans="1:19" x14ac:dyDescent="0.25">
      <c r="A7719" s="311"/>
      <c r="B7719" s="312"/>
      <c r="C7719" s="312"/>
      <c r="D7719" s="312"/>
      <c r="E7719" s="312"/>
      <c r="F7719" s="312"/>
      <c r="G7719" s="328"/>
      <c r="H7719" s="453"/>
      <c r="I7719" s="334"/>
      <c r="J7719" s="314"/>
      <c r="K7719" s="454"/>
      <c r="M7719" s="349" t="str">
        <f>N7719&amp;AS[[#This Row],[Insurer Code]]&amp;"; "&amp;O7719&amp;AS[[#This Row],[Reporting Year]]&amp;"; "&amp;P7719&amp;AS[[#This Row],[Insurance Category Code]]&amp;"; "&amp;Q7719&amp;AS[[#This Row],[Large Provider Entity Code]]&amp;"; "&amp;R7719&amp;AS[[#This Row],[Age Band Code]]&amp;"; "&amp;S7719&amp;AS[[#This Row],[Sex Code]]</f>
        <v xml:space="preserve">Insurer Code ; Reporting Year ; Insurance Category Code ; Large Provider Entity Code ; Age Band Code ; Sex Code </v>
      </c>
      <c r="N7719" s="345" t="s">
        <v>207</v>
      </c>
      <c r="O7719" s="345" t="s">
        <v>208</v>
      </c>
      <c r="P7719" s="345" t="s">
        <v>209</v>
      </c>
      <c r="Q7719" s="345" t="s">
        <v>210</v>
      </c>
      <c r="R7719" s="345" t="s">
        <v>223</v>
      </c>
      <c r="S7719" s="345" t="s">
        <v>224</v>
      </c>
    </row>
    <row r="7720" spans="1:19" x14ac:dyDescent="0.25">
      <c r="A7720" s="311"/>
      <c r="B7720" s="312"/>
      <c r="C7720" s="312"/>
      <c r="D7720" s="312"/>
      <c r="E7720" s="312"/>
      <c r="F7720" s="312"/>
      <c r="G7720" s="328"/>
      <c r="H7720" s="453"/>
      <c r="I7720" s="334"/>
      <c r="J7720" s="314"/>
      <c r="K7720" s="454"/>
      <c r="M7720" s="349" t="str">
        <f>N7720&amp;AS[[#This Row],[Insurer Code]]&amp;"; "&amp;O7720&amp;AS[[#This Row],[Reporting Year]]&amp;"; "&amp;P7720&amp;AS[[#This Row],[Insurance Category Code]]&amp;"; "&amp;Q7720&amp;AS[[#This Row],[Large Provider Entity Code]]&amp;"; "&amp;R7720&amp;AS[[#This Row],[Age Band Code]]&amp;"; "&amp;S7720&amp;AS[[#This Row],[Sex Code]]</f>
        <v xml:space="preserve">Insurer Code ; Reporting Year ; Insurance Category Code ; Large Provider Entity Code ; Age Band Code ; Sex Code </v>
      </c>
      <c r="N7720" s="345" t="s">
        <v>207</v>
      </c>
      <c r="O7720" s="345" t="s">
        <v>208</v>
      </c>
      <c r="P7720" s="345" t="s">
        <v>209</v>
      </c>
      <c r="Q7720" s="345" t="s">
        <v>210</v>
      </c>
      <c r="R7720" s="345" t="s">
        <v>223</v>
      </c>
      <c r="S7720" s="345" t="s">
        <v>224</v>
      </c>
    </row>
    <row r="7721" spans="1:19" x14ac:dyDescent="0.25">
      <c r="A7721" s="311"/>
      <c r="B7721" s="312"/>
      <c r="C7721" s="312"/>
      <c r="D7721" s="312"/>
      <c r="E7721" s="312"/>
      <c r="F7721" s="312"/>
      <c r="G7721" s="328"/>
      <c r="H7721" s="453"/>
      <c r="I7721" s="334"/>
      <c r="J7721" s="314"/>
      <c r="K7721" s="454"/>
      <c r="M7721" s="349" t="str">
        <f>N7721&amp;AS[[#This Row],[Insurer Code]]&amp;"; "&amp;O7721&amp;AS[[#This Row],[Reporting Year]]&amp;"; "&amp;P7721&amp;AS[[#This Row],[Insurance Category Code]]&amp;"; "&amp;Q7721&amp;AS[[#This Row],[Large Provider Entity Code]]&amp;"; "&amp;R7721&amp;AS[[#This Row],[Age Band Code]]&amp;"; "&amp;S7721&amp;AS[[#This Row],[Sex Code]]</f>
        <v xml:space="preserve">Insurer Code ; Reporting Year ; Insurance Category Code ; Large Provider Entity Code ; Age Band Code ; Sex Code </v>
      </c>
      <c r="N7721" s="345" t="s">
        <v>207</v>
      </c>
      <c r="O7721" s="345" t="s">
        <v>208</v>
      </c>
      <c r="P7721" s="345" t="s">
        <v>209</v>
      </c>
      <c r="Q7721" s="345" t="s">
        <v>210</v>
      </c>
      <c r="R7721" s="345" t="s">
        <v>223</v>
      </c>
      <c r="S7721" s="345" t="s">
        <v>224</v>
      </c>
    </row>
    <row r="7722" spans="1:19" x14ac:dyDescent="0.25">
      <c r="A7722" s="311"/>
      <c r="B7722" s="312"/>
      <c r="C7722" s="312"/>
      <c r="D7722" s="312"/>
      <c r="E7722" s="312"/>
      <c r="F7722" s="312"/>
      <c r="G7722" s="328"/>
      <c r="H7722" s="453"/>
      <c r="I7722" s="334"/>
      <c r="J7722" s="314"/>
      <c r="K7722" s="454"/>
      <c r="M7722" s="349" t="str">
        <f>N7722&amp;AS[[#This Row],[Insurer Code]]&amp;"; "&amp;O7722&amp;AS[[#This Row],[Reporting Year]]&amp;"; "&amp;P7722&amp;AS[[#This Row],[Insurance Category Code]]&amp;"; "&amp;Q7722&amp;AS[[#This Row],[Large Provider Entity Code]]&amp;"; "&amp;R7722&amp;AS[[#This Row],[Age Band Code]]&amp;"; "&amp;S7722&amp;AS[[#This Row],[Sex Code]]</f>
        <v xml:space="preserve">Insurer Code ; Reporting Year ; Insurance Category Code ; Large Provider Entity Code ; Age Band Code ; Sex Code </v>
      </c>
      <c r="N7722" s="345" t="s">
        <v>207</v>
      </c>
      <c r="O7722" s="345" t="s">
        <v>208</v>
      </c>
      <c r="P7722" s="345" t="s">
        <v>209</v>
      </c>
      <c r="Q7722" s="345" t="s">
        <v>210</v>
      </c>
      <c r="R7722" s="345" t="s">
        <v>223</v>
      </c>
      <c r="S7722" s="345" t="s">
        <v>224</v>
      </c>
    </row>
    <row r="7723" spans="1:19" x14ac:dyDescent="0.25">
      <c r="A7723" s="311"/>
      <c r="B7723" s="312"/>
      <c r="C7723" s="312"/>
      <c r="D7723" s="312"/>
      <c r="E7723" s="312"/>
      <c r="F7723" s="312"/>
      <c r="G7723" s="328"/>
      <c r="H7723" s="453"/>
      <c r="I7723" s="334"/>
      <c r="J7723" s="314"/>
      <c r="K7723" s="454"/>
      <c r="M7723" s="349" t="str">
        <f>N7723&amp;AS[[#This Row],[Insurer Code]]&amp;"; "&amp;O7723&amp;AS[[#This Row],[Reporting Year]]&amp;"; "&amp;P7723&amp;AS[[#This Row],[Insurance Category Code]]&amp;"; "&amp;Q7723&amp;AS[[#This Row],[Large Provider Entity Code]]&amp;"; "&amp;R7723&amp;AS[[#This Row],[Age Band Code]]&amp;"; "&amp;S7723&amp;AS[[#This Row],[Sex Code]]</f>
        <v xml:space="preserve">Insurer Code ; Reporting Year ; Insurance Category Code ; Large Provider Entity Code ; Age Band Code ; Sex Code </v>
      </c>
      <c r="N7723" s="345" t="s">
        <v>207</v>
      </c>
      <c r="O7723" s="345" t="s">
        <v>208</v>
      </c>
      <c r="P7723" s="345" t="s">
        <v>209</v>
      </c>
      <c r="Q7723" s="345" t="s">
        <v>210</v>
      </c>
      <c r="R7723" s="345" t="s">
        <v>223</v>
      </c>
      <c r="S7723" s="345" t="s">
        <v>224</v>
      </c>
    </row>
    <row r="7724" spans="1:19" x14ac:dyDescent="0.25">
      <c r="A7724" s="311"/>
      <c r="B7724" s="312"/>
      <c r="C7724" s="312"/>
      <c r="D7724" s="312"/>
      <c r="E7724" s="312"/>
      <c r="F7724" s="312"/>
      <c r="G7724" s="328"/>
      <c r="H7724" s="453"/>
      <c r="I7724" s="334"/>
      <c r="J7724" s="314"/>
      <c r="K7724" s="454"/>
      <c r="M7724" s="349" t="str">
        <f>N7724&amp;AS[[#This Row],[Insurer Code]]&amp;"; "&amp;O7724&amp;AS[[#This Row],[Reporting Year]]&amp;"; "&amp;P7724&amp;AS[[#This Row],[Insurance Category Code]]&amp;"; "&amp;Q7724&amp;AS[[#This Row],[Large Provider Entity Code]]&amp;"; "&amp;R7724&amp;AS[[#This Row],[Age Band Code]]&amp;"; "&amp;S7724&amp;AS[[#This Row],[Sex Code]]</f>
        <v xml:space="preserve">Insurer Code ; Reporting Year ; Insurance Category Code ; Large Provider Entity Code ; Age Band Code ; Sex Code </v>
      </c>
      <c r="N7724" s="345" t="s">
        <v>207</v>
      </c>
      <c r="O7724" s="345" t="s">
        <v>208</v>
      </c>
      <c r="P7724" s="345" t="s">
        <v>209</v>
      </c>
      <c r="Q7724" s="345" t="s">
        <v>210</v>
      </c>
      <c r="R7724" s="345" t="s">
        <v>223</v>
      </c>
      <c r="S7724" s="345" t="s">
        <v>224</v>
      </c>
    </row>
    <row r="7725" spans="1:19" x14ac:dyDescent="0.25">
      <c r="A7725" s="311"/>
      <c r="B7725" s="312"/>
      <c r="C7725" s="312"/>
      <c r="D7725" s="312"/>
      <c r="E7725" s="312"/>
      <c r="F7725" s="312"/>
      <c r="G7725" s="328"/>
      <c r="H7725" s="453"/>
      <c r="I7725" s="334"/>
      <c r="J7725" s="314"/>
      <c r="K7725" s="454"/>
      <c r="M7725" s="349" t="str">
        <f>N7725&amp;AS[[#This Row],[Insurer Code]]&amp;"; "&amp;O7725&amp;AS[[#This Row],[Reporting Year]]&amp;"; "&amp;P7725&amp;AS[[#This Row],[Insurance Category Code]]&amp;"; "&amp;Q7725&amp;AS[[#This Row],[Large Provider Entity Code]]&amp;"; "&amp;R7725&amp;AS[[#This Row],[Age Band Code]]&amp;"; "&amp;S7725&amp;AS[[#This Row],[Sex Code]]</f>
        <v xml:space="preserve">Insurer Code ; Reporting Year ; Insurance Category Code ; Large Provider Entity Code ; Age Band Code ; Sex Code </v>
      </c>
      <c r="N7725" s="345" t="s">
        <v>207</v>
      </c>
      <c r="O7725" s="345" t="s">
        <v>208</v>
      </c>
      <c r="P7725" s="345" t="s">
        <v>209</v>
      </c>
      <c r="Q7725" s="345" t="s">
        <v>210</v>
      </c>
      <c r="R7725" s="345" t="s">
        <v>223</v>
      </c>
      <c r="S7725" s="345" t="s">
        <v>224</v>
      </c>
    </row>
    <row r="7726" spans="1:19" x14ac:dyDescent="0.25">
      <c r="A7726" s="311"/>
      <c r="B7726" s="312"/>
      <c r="C7726" s="312"/>
      <c r="D7726" s="312"/>
      <c r="E7726" s="312"/>
      <c r="F7726" s="312"/>
      <c r="G7726" s="328"/>
      <c r="H7726" s="453"/>
      <c r="I7726" s="334"/>
      <c r="J7726" s="314"/>
      <c r="K7726" s="454"/>
      <c r="M7726" s="349" t="str">
        <f>N7726&amp;AS[[#This Row],[Insurer Code]]&amp;"; "&amp;O7726&amp;AS[[#This Row],[Reporting Year]]&amp;"; "&amp;P7726&amp;AS[[#This Row],[Insurance Category Code]]&amp;"; "&amp;Q7726&amp;AS[[#This Row],[Large Provider Entity Code]]&amp;"; "&amp;R7726&amp;AS[[#This Row],[Age Band Code]]&amp;"; "&amp;S7726&amp;AS[[#This Row],[Sex Code]]</f>
        <v xml:space="preserve">Insurer Code ; Reporting Year ; Insurance Category Code ; Large Provider Entity Code ; Age Band Code ; Sex Code </v>
      </c>
      <c r="N7726" s="345" t="s">
        <v>207</v>
      </c>
      <c r="O7726" s="345" t="s">
        <v>208</v>
      </c>
      <c r="P7726" s="345" t="s">
        <v>209</v>
      </c>
      <c r="Q7726" s="345" t="s">
        <v>210</v>
      </c>
      <c r="R7726" s="345" t="s">
        <v>223</v>
      </c>
      <c r="S7726" s="345" t="s">
        <v>224</v>
      </c>
    </row>
    <row r="7727" spans="1:19" x14ac:dyDescent="0.25">
      <c r="A7727" s="311"/>
      <c r="B7727" s="312"/>
      <c r="C7727" s="312"/>
      <c r="D7727" s="312"/>
      <c r="E7727" s="312"/>
      <c r="F7727" s="312"/>
      <c r="G7727" s="328"/>
      <c r="H7727" s="453"/>
      <c r="I7727" s="334"/>
      <c r="J7727" s="314"/>
      <c r="K7727" s="454"/>
      <c r="M7727" s="349" t="str">
        <f>N7727&amp;AS[[#This Row],[Insurer Code]]&amp;"; "&amp;O7727&amp;AS[[#This Row],[Reporting Year]]&amp;"; "&amp;P7727&amp;AS[[#This Row],[Insurance Category Code]]&amp;"; "&amp;Q7727&amp;AS[[#This Row],[Large Provider Entity Code]]&amp;"; "&amp;R7727&amp;AS[[#This Row],[Age Band Code]]&amp;"; "&amp;S7727&amp;AS[[#This Row],[Sex Code]]</f>
        <v xml:space="preserve">Insurer Code ; Reporting Year ; Insurance Category Code ; Large Provider Entity Code ; Age Band Code ; Sex Code </v>
      </c>
      <c r="N7727" s="345" t="s">
        <v>207</v>
      </c>
      <c r="O7727" s="345" t="s">
        <v>208</v>
      </c>
      <c r="P7727" s="345" t="s">
        <v>209</v>
      </c>
      <c r="Q7727" s="345" t="s">
        <v>210</v>
      </c>
      <c r="R7727" s="345" t="s">
        <v>223</v>
      </c>
      <c r="S7727" s="345" t="s">
        <v>224</v>
      </c>
    </row>
    <row r="7728" spans="1:19" x14ac:dyDescent="0.25">
      <c r="A7728" s="311"/>
      <c r="B7728" s="312"/>
      <c r="C7728" s="312"/>
      <c r="D7728" s="312"/>
      <c r="E7728" s="312"/>
      <c r="F7728" s="312"/>
      <c r="G7728" s="328"/>
      <c r="H7728" s="453"/>
      <c r="I7728" s="334"/>
      <c r="J7728" s="314"/>
      <c r="K7728" s="454"/>
      <c r="M7728" s="349" t="str">
        <f>N7728&amp;AS[[#This Row],[Insurer Code]]&amp;"; "&amp;O7728&amp;AS[[#This Row],[Reporting Year]]&amp;"; "&amp;P7728&amp;AS[[#This Row],[Insurance Category Code]]&amp;"; "&amp;Q7728&amp;AS[[#This Row],[Large Provider Entity Code]]&amp;"; "&amp;R7728&amp;AS[[#This Row],[Age Band Code]]&amp;"; "&amp;S7728&amp;AS[[#This Row],[Sex Code]]</f>
        <v xml:space="preserve">Insurer Code ; Reporting Year ; Insurance Category Code ; Large Provider Entity Code ; Age Band Code ; Sex Code </v>
      </c>
      <c r="N7728" s="345" t="s">
        <v>207</v>
      </c>
      <c r="O7728" s="345" t="s">
        <v>208</v>
      </c>
      <c r="P7728" s="345" t="s">
        <v>209</v>
      </c>
      <c r="Q7728" s="345" t="s">
        <v>210</v>
      </c>
      <c r="R7728" s="345" t="s">
        <v>223</v>
      </c>
      <c r="S7728" s="345" t="s">
        <v>224</v>
      </c>
    </row>
    <row r="7729" spans="1:19" x14ac:dyDescent="0.25">
      <c r="A7729" s="311"/>
      <c r="B7729" s="312"/>
      <c r="C7729" s="312"/>
      <c r="D7729" s="312"/>
      <c r="E7729" s="312"/>
      <c r="F7729" s="312"/>
      <c r="G7729" s="328"/>
      <c r="H7729" s="453"/>
      <c r="I7729" s="334"/>
      <c r="J7729" s="314"/>
      <c r="K7729" s="454"/>
      <c r="M7729" s="349" t="str">
        <f>N7729&amp;AS[[#This Row],[Insurer Code]]&amp;"; "&amp;O7729&amp;AS[[#This Row],[Reporting Year]]&amp;"; "&amp;P7729&amp;AS[[#This Row],[Insurance Category Code]]&amp;"; "&amp;Q7729&amp;AS[[#This Row],[Large Provider Entity Code]]&amp;"; "&amp;R7729&amp;AS[[#This Row],[Age Band Code]]&amp;"; "&amp;S7729&amp;AS[[#This Row],[Sex Code]]</f>
        <v xml:space="preserve">Insurer Code ; Reporting Year ; Insurance Category Code ; Large Provider Entity Code ; Age Band Code ; Sex Code </v>
      </c>
      <c r="N7729" s="345" t="s">
        <v>207</v>
      </c>
      <c r="O7729" s="345" t="s">
        <v>208</v>
      </c>
      <c r="P7729" s="345" t="s">
        <v>209</v>
      </c>
      <c r="Q7729" s="345" t="s">
        <v>210</v>
      </c>
      <c r="R7729" s="345" t="s">
        <v>223</v>
      </c>
      <c r="S7729" s="345" t="s">
        <v>224</v>
      </c>
    </row>
    <row r="7730" spans="1:19" x14ac:dyDescent="0.25">
      <c r="A7730" s="311"/>
      <c r="B7730" s="312"/>
      <c r="C7730" s="312"/>
      <c r="D7730" s="312"/>
      <c r="E7730" s="312"/>
      <c r="F7730" s="312"/>
      <c r="G7730" s="328"/>
      <c r="H7730" s="453"/>
      <c r="I7730" s="334"/>
      <c r="J7730" s="314"/>
      <c r="K7730" s="454"/>
      <c r="M7730" s="349" t="str">
        <f>N7730&amp;AS[[#This Row],[Insurer Code]]&amp;"; "&amp;O7730&amp;AS[[#This Row],[Reporting Year]]&amp;"; "&amp;P7730&amp;AS[[#This Row],[Insurance Category Code]]&amp;"; "&amp;Q7730&amp;AS[[#This Row],[Large Provider Entity Code]]&amp;"; "&amp;R7730&amp;AS[[#This Row],[Age Band Code]]&amp;"; "&amp;S7730&amp;AS[[#This Row],[Sex Code]]</f>
        <v xml:space="preserve">Insurer Code ; Reporting Year ; Insurance Category Code ; Large Provider Entity Code ; Age Band Code ; Sex Code </v>
      </c>
      <c r="N7730" s="345" t="s">
        <v>207</v>
      </c>
      <c r="O7730" s="345" t="s">
        <v>208</v>
      </c>
      <c r="P7730" s="345" t="s">
        <v>209</v>
      </c>
      <c r="Q7730" s="345" t="s">
        <v>210</v>
      </c>
      <c r="R7730" s="345" t="s">
        <v>223</v>
      </c>
      <c r="S7730" s="345" t="s">
        <v>224</v>
      </c>
    </row>
    <row r="7731" spans="1:19" x14ac:dyDescent="0.25">
      <c r="A7731" s="311"/>
      <c r="B7731" s="312"/>
      <c r="C7731" s="312"/>
      <c r="D7731" s="312"/>
      <c r="E7731" s="312"/>
      <c r="F7731" s="312"/>
      <c r="G7731" s="328"/>
      <c r="H7731" s="453"/>
      <c r="I7731" s="334"/>
      <c r="J7731" s="314"/>
      <c r="K7731" s="454"/>
      <c r="M7731" s="349" t="str">
        <f>N7731&amp;AS[[#This Row],[Insurer Code]]&amp;"; "&amp;O7731&amp;AS[[#This Row],[Reporting Year]]&amp;"; "&amp;P7731&amp;AS[[#This Row],[Insurance Category Code]]&amp;"; "&amp;Q7731&amp;AS[[#This Row],[Large Provider Entity Code]]&amp;"; "&amp;R7731&amp;AS[[#This Row],[Age Band Code]]&amp;"; "&amp;S7731&amp;AS[[#This Row],[Sex Code]]</f>
        <v xml:space="preserve">Insurer Code ; Reporting Year ; Insurance Category Code ; Large Provider Entity Code ; Age Band Code ; Sex Code </v>
      </c>
      <c r="N7731" s="345" t="s">
        <v>207</v>
      </c>
      <c r="O7731" s="345" t="s">
        <v>208</v>
      </c>
      <c r="P7731" s="345" t="s">
        <v>209</v>
      </c>
      <c r="Q7731" s="345" t="s">
        <v>210</v>
      </c>
      <c r="R7731" s="345" t="s">
        <v>223</v>
      </c>
      <c r="S7731" s="345" t="s">
        <v>224</v>
      </c>
    </row>
    <row r="7732" spans="1:19" x14ac:dyDescent="0.25">
      <c r="A7732" s="311"/>
      <c r="B7732" s="312"/>
      <c r="C7732" s="312"/>
      <c r="D7732" s="312"/>
      <c r="E7732" s="312"/>
      <c r="F7732" s="312"/>
      <c r="G7732" s="328"/>
      <c r="H7732" s="453"/>
      <c r="I7732" s="334"/>
      <c r="J7732" s="314"/>
      <c r="K7732" s="454"/>
      <c r="M7732" s="349" t="str">
        <f>N7732&amp;AS[[#This Row],[Insurer Code]]&amp;"; "&amp;O7732&amp;AS[[#This Row],[Reporting Year]]&amp;"; "&amp;P7732&amp;AS[[#This Row],[Insurance Category Code]]&amp;"; "&amp;Q7732&amp;AS[[#This Row],[Large Provider Entity Code]]&amp;"; "&amp;R7732&amp;AS[[#This Row],[Age Band Code]]&amp;"; "&amp;S7732&amp;AS[[#This Row],[Sex Code]]</f>
        <v xml:space="preserve">Insurer Code ; Reporting Year ; Insurance Category Code ; Large Provider Entity Code ; Age Band Code ; Sex Code </v>
      </c>
      <c r="N7732" s="345" t="s">
        <v>207</v>
      </c>
      <c r="O7732" s="345" t="s">
        <v>208</v>
      </c>
      <c r="P7732" s="345" t="s">
        <v>209</v>
      </c>
      <c r="Q7732" s="345" t="s">
        <v>210</v>
      </c>
      <c r="R7732" s="345" t="s">
        <v>223</v>
      </c>
      <c r="S7732" s="345" t="s">
        <v>224</v>
      </c>
    </row>
    <row r="7733" spans="1:19" x14ac:dyDescent="0.25">
      <c r="A7733" s="311"/>
      <c r="B7733" s="312"/>
      <c r="C7733" s="312"/>
      <c r="D7733" s="312"/>
      <c r="E7733" s="312"/>
      <c r="F7733" s="312"/>
      <c r="G7733" s="328"/>
      <c r="H7733" s="453"/>
      <c r="I7733" s="334"/>
      <c r="J7733" s="314"/>
      <c r="K7733" s="454"/>
      <c r="M7733" s="349" t="str">
        <f>N7733&amp;AS[[#This Row],[Insurer Code]]&amp;"; "&amp;O7733&amp;AS[[#This Row],[Reporting Year]]&amp;"; "&amp;P7733&amp;AS[[#This Row],[Insurance Category Code]]&amp;"; "&amp;Q7733&amp;AS[[#This Row],[Large Provider Entity Code]]&amp;"; "&amp;R7733&amp;AS[[#This Row],[Age Band Code]]&amp;"; "&amp;S7733&amp;AS[[#This Row],[Sex Code]]</f>
        <v xml:space="preserve">Insurer Code ; Reporting Year ; Insurance Category Code ; Large Provider Entity Code ; Age Band Code ; Sex Code </v>
      </c>
      <c r="N7733" s="345" t="s">
        <v>207</v>
      </c>
      <c r="O7733" s="345" t="s">
        <v>208</v>
      </c>
      <c r="P7733" s="345" t="s">
        <v>209</v>
      </c>
      <c r="Q7733" s="345" t="s">
        <v>210</v>
      </c>
      <c r="R7733" s="345" t="s">
        <v>223</v>
      </c>
      <c r="S7733" s="345" t="s">
        <v>224</v>
      </c>
    </row>
    <row r="7734" spans="1:19" x14ac:dyDescent="0.25">
      <c r="A7734" s="311"/>
      <c r="B7734" s="312"/>
      <c r="C7734" s="312"/>
      <c r="D7734" s="312"/>
      <c r="E7734" s="312"/>
      <c r="F7734" s="312"/>
      <c r="G7734" s="328"/>
      <c r="H7734" s="453"/>
      <c r="I7734" s="334"/>
      <c r="J7734" s="314"/>
      <c r="K7734" s="454"/>
      <c r="M7734" s="349" t="str">
        <f>N7734&amp;AS[[#This Row],[Insurer Code]]&amp;"; "&amp;O7734&amp;AS[[#This Row],[Reporting Year]]&amp;"; "&amp;P7734&amp;AS[[#This Row],[Insurance Category Code]]&amp;"; "&amp;Q7734&amp;AS[[#This Row],[Large Provider Entity Code]]&amp;"; "&amp;R7734&amp;AS[[#This Row],[Age Band Code]]&amp;"; "&amp;S7734&amp;AS[[#This Row],[Sex Code]]</f>
        <v xml:space="preserve">Insurer Code ; Reporting Year ; Insurance Category Code ; Large Provider Entity Code ; Age Band Code ; Sex Code </v>
      </c>
      <c r="N7734" s="345" t="s">
        <v>207</v>
      </c>
      <c r="O7734" s="345" t="s">
        <v>208</v>
      </c>
      <c r="P7734" s="345" t="s">
        <v>209</v>
      </c>
      <c r="Q7734" s="345" t="s">
        <v>210</v>
      </c>
      <c r="R7734" s="345" t="s">
        <v>223</v>
      </c>
      <c r="S7734" s="345" t="s">
        <v>224</v>
      </c>
    </row>
    <row r="7735" spans="1:19" x14ac:dyDescent="0.25">
      <c r="A7735" s="311"/>
      <c r="B7735" s="312"/>
      <c r="C7735" s="312"/>
      <c r="D7735" s="312"/>
      <c r="E7735" s="312"/>
      <c r="F7735" s="312"/>
      <c r="G7735" s="328"/>
      <c r="H7735" s="453"/>
      <c r="I7735" s="334"/>
      <c r="J7735" s="314"/>
      <c r="K7735" s="454"/>
      <c r="M7735" s="349" t="str">
        <f>N7735&amp;AS[[#This Row],[Insurer Code]]&amp;"; "&amp;O7735&amp;AS[[#This Row],[Reporting Year]]&amp;"; "&amp;P7735&amp;AS[[#This Row],[Insurance Category Code]]&amp;"; "&amp;Q7735&amp;AS[[#This Row],[Large Provider Entity Code]]&amp;"; "&amp;R7735&amp;AS[[#This Row],[Age Band Code]]&amp;"; "&amp;S7735&amp;AS[[#This Row],[Sex Code]]</f>
        <v xml:space="preserve">Insurer Code ; Reporting Year ; Insurance Category Code ; Large Provider Entity Code ; Age Band Code ; Sex Code </v>
      </c>
      <c r="N7735" s="345" t="s">
        <v>207</v>
      </c>
      <c r="O7735" s="345" t="s">
        <v>208</v>
      </c>
      <c r="P7735" s="345" t="s">
        <v>209</v>
      </c>
      <c r="Q7735" s="345" t="s">
        <v>210</v>
      </c>
      <c r="R7735" s="345" t="s">
        <v>223</v>
      </c>
      <c r="S7735" s="345" t="s">
        <v>224</v>
      </c>
    </row>
    <row r="7736" spans="1:19" x14ac:dyDescent="0.25">
      <c r="A7736" s="311"/>
      <c r="B7736" s="312"/>
      <c r="C7736" s="312"/>
      <c r="D7736" s="312"/>
      <c r="E7736" s="312"/>
      <c r="F7736" s="312"/>
      <c r="G7736" s="328"/>
      <c r="H7736" s="453"/>
      <c r="I7736" s="334"/>
      <c r="J7736" s="314"/>
      <c r="K7736" s="454"/>
      <c r="M7736" s="349" t="str">
        <f>N7736&amp;AS[[#This Row],[Insurer Code]]&amp;"; "&amp;O7736&amp;AS[[#This Row],[Reporting Year]]&amp;"; "&amp;P7736&amp;AS[[#This Row],[Insurance Category Code]]&amp;"; "&amp;Q7736&amp;AS[[#This Row],[Large Provider Entity Code]]&amp;"; "&amp;R7736&amp;AS[[#This Row],[Age Band Code]]&amp;"; "&amp;S7736&amp;AS[[#This Row],[Sex Code]]</f>
        <v xml:space="preserve">Insurer Code ; Reporting Year ; Insurance Category Code ; Large Provider Entity Code ; Age Band Code ; Sex Code </v>
      </c>
      <c r="N7736" s="345" t="s">
        <v>207</v>
      </c>
      <c r="O7736" s="345" t="s">
        <v>208</v>
      </c>
      <c r="P7736" s="345" t="s">
        <v>209</v>
      </c>
      <c r="Q7736" s="345" t="s">
        <v>210</v>
      </c>
      <c r="R7736" s="345" t="s">
        <v>223</v>
      </c>
      <c r="S7736" s="345" t="s">
        <v>224</v>
      </c>
    </row>
    <row r="7737" spans="1:19" x14ac:dyDescent="0.25">
      <c r="A7737" s="311"/>
      <c r="B7737" s="312"/>
      <c r="C7737" s="312"/>
      <c r="D7737" s="312"/>
      <c r="E7737" s="312"/>
      <c r="F7737" s="312"/>
      <c r="G7737" s="328"/>
      <c r="H7737" s="453"/>
      <c r="I7737" s="334"/>
      <c r="J7737" s="314"/>
      <c r="K7737" s="454"/>
      <c r="M7737" s="349" t="str">
        <f>N7737&amp;AS[[#This Row],[Insurer Code]]&amp;"; "&amp;O7737&amp;AS[[#This Row],[Reporting Year]]&amp;"; "&amp;P7737&amp;AS[[#This Row],[Insurance Category Code]]&amp;"; "&amp;Q7737&amp;AS[[#This Row],[Large Provider Entity Code]]&amp;"; "&amp;R7737&amp;AS[[#This Row],[Age Band Code]]&amp;"; "&amp;S7737&amp;AS[[#This Row],[Sex Code]]</f>
        <v xml:space="preserve">Insurer Code ; Reporting Year ; Insurance Category Code ; Large Provider Entity Code ; Age Band Code ; Sex Code </v>
      </c>
      <c r="N7737" s="345" t="s">
        <v>207</v>
      </c>
      <c r="O7737" s="345" t="s">
        <v>208</v>
      </c>
      <c r="P7737" s="345" t="s">
        <v>209</v>
      </c>
      <c r="Q7737" s="345" t="s">
        <v>210</v>
      </c>
      <c r="R7737" s="345" t="s">
        <v>223</v>
      </c>
      <c r="S7737" s="345" t="s">
        <v>224</v>
      </c>
    </row>
    <row r="7738" spans="1:19" x14ac:dyDescent="0.25">
      <c r="A7738" s="311"/>
      <c r="B7738" s="312"/>
      <c r="C7738" s="312"/>
      <c r="D7738" s="312"/>
      <c r="E7738" s="312"/>
      <c r="F7738" s="312"/>
      <c r="G7738" s="328"/>
      <c r="H7738" s="453"/>
      <c r="I7738" s="334"/>
      <c r="J7738" s="314"/>
      <c r="K7738" s="454"/>
      <c r="M7738" s="349" t="str">
        <f>N7738&amp;AS[[#This Row],[Insurer Code]]&amp;"; "&amp;O7738&amp;AS[[#This Row],[Reporting Year]]&amp;"; "&amp;P7738&amp;AS[[#This Row],[Insurance Category Code]]&amp;"; "&amp;Q7738&amp;AS[[#This Row],[Large Provider Entity Code]]&amp;"; "&amp;R7738&amp;AS[[#This Row],[Age Band Code]]&amp;"; "&amp;S7738&amp;AS[[#This Row],[Sex Code]]</f>
        <v xml:space="preserve">Insurer Code ; Reporting Year ; Insurance Category Code ; Large Provider Entity Code ; Age Band Code ; Sex Code </v>
      </c>
      <c r="N7738" s="345" t="s">
        <v>207</v>
      </c>
      <c r="O7738" s="345" t="s">
        <v>208</v>
      </c>
      <c r="P7738" s="345" t="s">
        <v>209</v>
      </c>
      <c r="Q7738" s="345" t="s">
        <v>210</v>
      </c>
      <c r="R7738" s="345" t="s">
        <v>223</v>
      </c>
      <c r="S7738" s="345" t="s">
        <v>224</v>
      </c>
    </row>
    <row r="7739" spans="1:19" x14ac:dyDescent="0.25">
      <c r="A7739" s="311"/>
      <c r="B7739" s="312"/>
      <c r="C7739" s="312"/>
      <c r="D7739" s="312"/>
      <c r="E7739" s="312"/>
      <c r="F7739" s="312"/>
      <c r="G7739" s="328"/>
      <c r="H7739" s="453"/>
      <c r="I7739" s="334"/>
      <c r="J7739" s="314"/>
      <c r="K7739" s="454"/>
      <c r="M7739" s="349" t="str">
        <f>N7739&amp;AS[[#This Row],[Insurer Code]]&amp;"; "&amp;O7739&amp;AS[[#This Row],[Reporting Year]]&amp;"; "&amp;P7739&amp;AS[[#This Row],[Insurance Category Code]]&amp;"; "&amp;Q7739&amp;AS[[#This Row],[Large Provider Entity Code]]&amp;"; "&amp;R7739&amp;AS[[#This Row],[Age Band Code]]&amp;"; "&amp;S7739&amp;AS[[#This Row],[Sex Code]]</f>
        <v xml:space="preserve">Insurer Code ; Reporting Year ; Insurance Category Code ; Large Provider Entity Code ; Age Band Code ; Sex Code </v>
      </c>
      <c r="N7739" s="345" t="s">
        <v>207</v>
      </c>
      <c r="O7739" s="345" t="s">
        <v>208</v>
      </c>
      <c r="P7739" s="345" t="s">
        <v>209</v>
      </c>
      <c r="Q7739" s="345" t="s">
        <v>210</v>
      </c>
      <c r="R7739" s="345" t="s">
        <v>223</v>
      </c>
      <c r="S7739" s="345" t="s">
        <v>224</v>
      </c>
    </row>
    <row r="7740" spans="1:19" x14ac:dyDescent="0.25">
      <c r="A7740" s="311"/>
      <c r="B7740" s="312"/>
      <c r="C7740" s="312"/>
      <c r="D7740" s="312"/>
      <c r="E7740" s="312"/>
      <c r="F7740" s="312"/>
      <c r="G7740" s="328"/>
      <c r="H7740" s="453"/>
      <c r="I7740" s="334"/>
      <c r="J7740" s="314"/>
      <c r="K7740" s="454"/>
      <c r="M7740" s="349" t="str">
        <f>N7740&amp;AS[[#This Row],[Insurer Code]]&amp;"; "&amp;O7740&amp;AS[[#This Row],[Reporting Year]]&amp;"; "&amp;P7740&amp;AS[[#This Row],[Insurance Category Code]]&amp;"; "&amp;Q7740&amp;AS[[#This Row],[Large Provider Entity Code]]&amp;"; "&amp;R7740&amp;AS[[#This Row],[Age Band Code]]&amp;"; "&amp;S7740&amp;AS[[#This Row],[Sex Code]]</f>
        <v xml:space="preserve">Insurer Code ; Reporting Year ; Insurance Category Code ; Large Provider Entity Code ; Age Band Code ; Sex Code </v>
      </c>
      <c r="N7740" s="345" t="s">
        <v>207</v>
      </c>
      <c r="O7740" s="345" t="s">
        <v>208</v>
      </c>
      <c r="P7740" s="345" t="s">
        <v>209</v>
      </c>
      <c r="Q7740" s="345" t="s">
        <v>210</v>
      </c>
      <c r="R7740" s="345" t="s">
        <v>223</v>
      </c>
      <c r="S7740" s="345" t="s">
        <v>224</v>
      </c>
    </row>
    <row r="7741" spans="1:19" x14ac:dyDescent="0.25">
      <c r="A7741" s="311"/>
      <c r="B7741" s="312"/>
      <c r="C7741" s="312"/>
      <c r="D7741" s="312"/>
      <c r="E7741" s="312"/>
      <c r="F7741" s="312"/>
      <c r="G7741" s="328"/>
      <c r="H7741" s="453"/>
      <c r="I7741" s="334"/>
      <c r="J7741" s="314"/>
      <c r="K7741" s="454"/>
      <c r="M7741" s="349" t="str">
        <f>N7741&amp;AS[[#This Row],[Insurer Code]]&amp;"; "&amp;O7741&amp;AS[[#This Row],[Reporting Year]]&amp;"; "&amp;P7741&amp;AS[[#This Row],[Insurance Category Code]]&amp;"; "&amp;Q7741&amp;AS[[#This Row],[Large Provider Entity Code]]&amp;"; "&amp;R7741&amp;AS[[#This Row],[Age Band Code]]&amp;"; "&amp;S7741&amp;AS[[#This Row],[Sex Code]]</f>
        <v xml:space="preserve">Insurer Code ; Reporting Year ; Insurance Category Code ; Large Provider Entity Code ; Age Band Code ; Sex Code </v>
      </c>
      <c r="N7741" s="345" t="s">
        <v>207</v>
      </c>
      <c r="O7741" s="345" t="s">
        <v>208</v>
      </c>
      <c r="P7741" s="345" t="s">
        <v>209</v>
      </c>
      <c r="Q7741" s="345" t="s">
        <v>210</v>
      </c>
      <c r="R7741" s="345" t="s">
        <v>223</v>
      </c>
      <c r="S7741" s="345" t="s">
        <v>224</v>
      </c>
    </row>
    <row r="7742" spans="1:19" x14ac:dyDescent="0.25">
      <c r="A7742" s="311"/>
      <c r="B7742" s="312"/>
      <c r="C7742" s="312"/>
      <c r="D7742" s="312"/>
      <c r="E7742" s="312"/>
      <c r="F7742" s="312"/>
      <c r="G7742" s="328"/>
      <c r="H7742" s="453"/>
      <c r="I7742" s="334"/>
      <c r="J7742" s="314"/>
      <c r="K7742" s="454"/>
      <c r="M7742" s="349" t="str">
        <f>N7742&amp;AS[[#This Row],[Insurer Code]]&amp;"; "&amp;O7742&amp;AS[[#This Row],[Reporting Year]]&amp;"; "&amp;P7742&amp;AS[[#This Row],[Insurance Category Code]]&amp;"; "&amp;Q7742&amp;AS[[#This Row],[Large Provider Entity Code]]&amp;"; "&amp;R7742&amp;AS[[#This Row],[Age Band Code]]&amp;"; "&amp;S7742&amp;AS[[#This Row],[Sex Code]]</f>
        <v xml:space="preserve">Insurer Code ; Reporting Year ; Insurance Category Code ; Large Provider Entity Code ; Age Band Code ; Sex Code </v>
      </c>
      <c r="N7742" s="345" t="s">
        <v>207</v>
      </c>
      <c r="O7742" s="345" t="s">
        <v>208</v>
      </c>
      <c r="P7742" s="345" t="s">
        <v>209</v>
      </c>
      <c r="Q7742" s="345" t="s">
        <v>210</v>
      </c>
      <c r="R7742" s="345" t="s">
        <v>223</v>
      </c>
      <c r="S7742" s="345" t="s">
        <v>224</v>
      </c>
    </row>
    <row r="7743" spans="1:19" x14ac:dyDescent="0.25">
      <c r="A7743" s="311"/>
      <c r="B7743" s="312"/>
      <c r="C7743" s="312"/>
      <c r="D7743" s="312"/>
      <c r="E7743" s="312"/>
      <c r="F7743" s="312"/>
      <c r="G7743" s="328"/>
      <c r="H7743" s="453"/>
      <c r="I7743" s="334"/>
      <c r="J7743" s="314"/>
      <c r="K7743" s="454"/>
      <c r="M7743" s="349" t="str">
        <f>N7743&amp;AS[[#This Row],[Insurer Code]]&amp;"; "&amp;O7743&amp;AS[[#This Row],[Reporting Year]]&amp;"; "&amp;P7743&amp;AS[[#This Row],[Insurance Category Code]]&amp;"; "&amp;Q7743&amp;AS[[#This Row],[Large Provider Entity Code]]&amp;"; "&amp;R7743&amp;AS[[#This Row],[Age Band Code]]&amp;"; "&amp;S7743&amp;AS[[#This Row],[Sex Code]]</f>
        <v xml:space="preserve">Insurer Code ; Reporting Year ; Insurance Category Code ; Large Provider Entity Code ; Age Band Code ; Sex Code </v>
      </c>
      <c r="N7743" s="345" t="s">
        <v>207</v>
      </c>
      <c r="O7743" s="345" t="s">
        <v>208</v>
      </c>
      <c r="P7743" s="345" t="s">
        <v>209</v>
      </c>
      <c r="Q7743" s="345" t="s">
        <v>210</v>
      </c>
      <c r="R7743" s="345" t="s">
        <v>223</v>
      </c>
      <c r="S7743" s="345" t="s">
        <v>224</v>
      </c>
    </row>
    <row r="7744" spans="1:19" x14ac:dyDescent="0.25">
      <c r="A7744" s="311"/>
      <c r="B7744" s="312"/>
      <c r="C7744" s="312"/>
      <c r="D7744" s="312"/>
      <c r="E7744" s="312"/>
      <c r="F7744" s="312"/>
      <c r="G7744" s="328"/>
      <c r="H7744" s="453"/>
      <c r="I7744" s="334"/>
      <c r="J7744" s="314"/>
      <c r="K7744" s="454"/>
      <c r="M7744" s="349" t="str">
        <f>N7744&amp;AS[[#This Row],[Insurer Code]]&amp;"; "&amp;O7744&amp;AS[[#This Row],[Reporting Year]]&amp;"; "&amp;P7744&amp;AS[[#This Row],[Insurance Category Code]]&amp;"; "&amp;Q7744&amp;AS[[#This Row],[Large Provider Entity Code]]&amp;"; "&amp;R7744&amp;AS[[#This Row],[Age Band Code]]&amp;"; "&amp;S7744&amp;AS[[#This Row],[Sex Code]]</f>
        <v xml:space="preserve">Insurer Code ; Reporting Year ; Insurance Category Code ; Large Provider Entity Code ; Age Band Code ; Sex Code </v>
      </c>
      <c r="N7744" s="345" t="s">
        <v>207</v>
      </c>
      <c r="O7744" s="345" t="s">
        <v>208</v>
      </c>
      <c r="P7744" s="345" t="s">
        <v>209</v>
      </c>
      <c r="Q7744" s="345" t="s">
        <v>210</v>
      </c>
      <c r="R7744" s="345" t="s">
        <v>223</v>
      </c>
      <c r="S7744" s="345" t="s">
        <v>224</v>
      </c>
    </row>
    <row r="7745" spans="1:19" x14ac:dyDescent="0.25">
      <c r="A7745" s="311"/>
      <c r="B7745" s="312"/>
      <c r="C7745" s="312"/>
      <c r="D7745" s="312"/>
      <c r="E7745" s="312"/>
      <c r="F7745" s="312"/>
      <c r="G7745" s="328"/>
      <c r="H7745" s="453"/>
      <c r="I7745" s="334"/>
      <c r="J7745" s="314"/>
      <c r="K7745" s="454"/>
      <c r="M7745" s="349" t="str">
        <f>N7745&amp;AS[[#This Row],[Insurer Code]]&amp;"; "&amp;O7745&amp;AS[[#This Row],[Reporting Year]]&amp;"; "&amp;P7745&amp;AS[[#This Row],[Insurance Category Code]]&amp;"; "&amp;Q7745&amp;AS[[#This Row],[Large Provider Entity Code]]&amp;"; "&amp;R7745&amp;AS[[#This Row],[Age Band Code]]&amp;"; "&amp;S7745&amp;AS[[#This Row],[Sex Code]]</f>
        <v xml:space="preserve">Insurer Code ; Reporting Year ; Insurance Category Code ; Large Provider Entity Code ; Age Band Code ; Sex Code </v>
      </c>
      <c r="N7745" s="345" t="s">
        <v>207</v>
      </c>
      <c r="O7745" s="345" t="s">
        <v>208</v>
      </c>
      <c r="P7745" s="345" t="s">
        <v>209</v>
      </c>
      <c r="Q7745" s="345" t="s">
        <v>210</v>
      </c>
      <c r="R7745" s="345" t="s">
        <v>223</v>
      </c>
      <c r="S7745" s="345" t="s">
        <v>224</v>
      </c>
    </row>
    <row r="7746" spans="1:19" x14ac:dyDescent="0.25">
      <c r="A7746" s="311"/>
      <c r="B7746" s="312"/>
      <c r="C7746" s="312"/>
      <c r="D7746" s="312"/>
      <c r="E7746" s="312"/>
      <c r="F7746" s="312"/>
      <c r="G7746" s="328"/>
      <c r="H7746" s="453"/>
      <c r="I7746" s="334"/>
      <c r="J7746" s="314"/>
      <c r="K7746" s="454"/>
      <c r="M7746" s="349" t="str">
        <f>N7746&amp;AS[[#This Row],[Insurer Code]]&amp;"; "&amp;O7746&amp;AS[[#This Row],[Reporting Year]]&amp;"; "&amp;P7746&amp;AS[[#This Row],[Insurance Category Code]]&amp;"; "&amp;Q7746&amp;AS[[#This Row],[Large Provider Entity Code]]&amp;"; "&amp;R7746&amp;AS[[#This Row],[Age Band Code]]&amp;"; "&amp;S7746&amp;AS[[#This Row],[Sex Code]]</f>
        <v xml:space="preserve">Insurer Code ; Reporting Year ; Insurance Category Code ; Large Provider Entity Code ; Age Band Code ; Sex Code </v>
      </c>
      <c r="N7746" s="345" t="s">
        <v>207</v>
      </c>
      <c r="O7746" s="345" t="s">
        <v>208</v>
      </c>
      <c r="P7746" s="345" t="s">
        <v>209</v>
      </c>
      <c r="Q7746" s="345" t="s">
        <v>210</v>
      </c>
      <c r="R7746" s="345" t="s">
        <v>223</v>
      </c>
      <c r="S7746" s="345" t="s">
        <v>224</v>
      </c>
    </row>
    <row r="7747" spans="1:19" x14ac:dyDescent="0.25">
      <c r="A7747" s="311"/>
      <c r="B7747" s="312"/>
      <c r="C7747" s="312"/>
      <c r="D7747" s="312"/>
      <c r="E7747" s="312"/>
      <c r="F7747" s="312"/>
      <c r="G7747" s="328"/>
      <c r="H7747" s="453"/>
      <c r="I7747" s="334"/>
      <c r="J7747" s="314"/>
      <c r="K7747" s="454"/>
      <c r="M7747" s="349" t="str">
        <f>N7747&amp;AS[[#This Row],[Insurer Code]]&amp;"; "&amp;O7747&amp;AS[[#This Row],[Reporting Year]]&amp;"; "&amp;P7747&amp;AS[[#This Row],[Insurance Category Code]]&amp;"; "&amp;Q7747&amp;AS[[#This Row],[Large Provider Entity Code]]&amp;"; "&amp;R7747&amp;AS[[#This Row],[Age Band Code]]&amp;"; "&amp;S7747&amp;AS[[#This Row],[Sex Code]]</f>
        <v xml:space="preserve">Insurer Code ; Reporting Year ; Insurance Category Code ; Large Provider Entity Code ; Age Band Code ; Sex Code </v>
      </c>
      <c r="N7747" s="345" t="s">
        <v>207</v>
      </c>
      <c r="O7747" s="345" t="s">
        <v>208</v>
      </c>
      <c r="P7747" s="345" t="s">
        <v>209</v>
      </c>
      <c r="Q7747" s="345" t="s">
        <v>210</v>
      </c>
      <c r="R7747" s="345" t="s">
        <v>223</v>
      </c>
      <c r="S7747" s="345" t="s">
        <v>224</v>
      </c>
    </row>
    <row r="7748" spans="1:19" x14ac:dyDescent="0.25">
      <c r="A7748" s="311"/>
      <c r="B7748" s="312"/>
      <c r="C7748" s="312"/>
      <c r="D7748" s="312"/>
      <c r="E7748" s="312"/>
      <c r="F7748" s="312"/>
      <c r="G7748" s="328"/>
      <c r="H7748" s="453"/>
      <c r="I7748" s="334"/>
      <c r="J7748" s="314"/>
      <c r="K7748" s="454"/>
      <c r="M7748" s="349" t="str">
        <f>N7748&amp;AS[[#This Row],[Insurer Code]]&amp;"; "&amp;O7748&amp;AS[[#This Row],[Reporting Year]]&amp;"; "&amp;P7748&amp;AS[[#This Row],[Insurance Category Code]]&amp;"; "&amp;Q7748&amp;AS[[#This Row],[Large Provider Entity Code]]&amp;"; "&amp;R7748&amp;AS[[#This Row],[Age Band Code]]&amp;"; "&amp;S7748&amp;AS[[#This Row],[Sex Code]]</f>
        <v xml:space="preserve">Insurer Code ; Reporting Year ; Insurance Category Code ; Large Provider Entity Code ; Age Band Code ; Sex Code </v>
      </c>
      <c r="N7748" s="345" t="s">
        <v>207</v>
      </c>
      <c r="O7748" s="345" t="s">
        <v>208</v>
      </c>
      <c r="P7748" s="345" t="s">
        <v>209</v>
      </c>
      <c r="Q7748" s="345" t="s">
        <v>210</v>
      </c>
      <c r="R7748" s="345" t="s">
        <v>223</v>
      </c>
      <c r="S7748" s="345" t="s">
        <v>224</v>
      </c>
    </row>
    <row r="7749" spans="1:19" x14ac:dyDescent="0.25">
      <c r="A7749" s="311"/>
      <c r="B7749" s="312"/>
      <c r="C7749" s="312"/>
      <c r="D7749" s="312"/>
      <c r="E7749" s="312"/>
      <c r="F7749" s="312"/>
      <c r="G7749" s="328"/>
      <c r="H7749" s="453"/>
      <c r="I7749" s="334"/>
      <c r="J7749" s="314"/>
      <c r="K7749" s="454"/>
      <c r="M7749" s="349" t="str">
        <f>N7749&amp;AS[[#This Row],[Insurer Code]]&amp;"; "&amp;O7749&amp;AS[[#This Row],[Reporting Year]]&amp;"; "&amp;P7749&amp;AS[[#This Row],[Insurance Category Code]]&amp;"; "&amp;Q7749&amp;AS[[#This Row],[Large Provider Entity Code]]&amp;"; "&amp;R7749&amp;AS[[#This Row],[Age Band Code]]&amp;"; "&amp;S7749&amp;AS[[#This Row],[Sex Code]]</f>
        <v xml:space="preserve">Insurer Code ; Reporting Year ; Insurance Category Code ; Large Provider Entity Code ; Age Band Code ; Sex Code </v>
      </c>
      <c r="N7749" s="345" t="s">
        <v>207</v>
      </c>
      <c r="O7749" s="345" t="s">
        <v>208</v>
      </c>
      <c r="P7749" s="345" t="s">
        <v>209</v>
      </c>
      <c r="Q7749" s="345" t="s">
        <v>210</v>
      </c>
      <c r="R7749" s="345" t="s">
        <v>223</v>
      </c>
      <c r="S7749" s="345" t="s">
        <v>224</v>
      </c>
    </row>
    <row r="7750" spans="1:19" x14ac:dyDescent="0.25">
      <c r="A7750" s="311"/>
      <c r="B7750" s="312"/>
      <c r="C7750" s="312"/>
      <c r="D7750" s="312"/>
      <c r="E7750" s="312"/>
      <c r="F7750" s="312"/>
      <c r="G7750" s="328"/>
      <c r="H7750" s="453"/>
      <c r="I7750" s="334"/>
      <c r="J7750" s="314"/>
      <c r="K7750" s="454"/>
      <c r="M7750" s="349" t="str">
        <f>N7750&amp;AS[[#This Row],[Insurer Code]]&amp;"; "&amp;O7750&amp;AS[[#This Row],[Reporting Year]]&amp;"; "&amp;P7750&amp;AS[[#This Row],[Insurance Category Code]]&amp;"; "&amp;Q7750&amp;AS[[#This Row],[Large Provider Entity Code]]&amp;"; "&amp;R7750&amp;AS[[#This Row],[Age Band Code]]&amp;"; "&amp;S7750&amp;AS[[#This Row],[Sex Code]]</f>
        <v xml:space="preserve">Insurer Code ; Reporting Year ; Insurance Category Code ; Large Provider Entity Code ; Age Band Code ; Sex Code </v>
      </c>
      <c r="N7750" s="345" t="s">
        <v>207</v>
      </c>
      <c r="O7750" s="345" t="s">
        <v>208</v>
      </c>
      <c r="P7750" s="345" t="s">
        <v>209</v>
      </c>
      <c r="Q7750" s="345" t="s">
        <v>210</v>
      </c>
      <c r="R7750" s="345" t="s">
        <v>223</v>
      </c>
      <c r="S7750" s="345" t="s">
        <v>224</v>
      </c>
    </row>
    <row r="7751" spans="1:19" x14ac:dyDescent="0.25">
      <c r="A7751" s="311"/>
      <c r="B7751" s="312"/>
      <c r="C7751" s="312"/>
      <c r="D7751" s="312"/>
      <c r="E7751" s="312"/>
      <c r="F7751" s="312"/>
      <c r="G7751" s="328"/>
      <c r="H7751" s="453"/>
      <c r="I7751" s="334"/>
      <c r="J7751" s="314"/>
      <c r="K7751" s="454"/>
      <c r="M7751" s="349" t="str">
        <f>N7751&amp;AS[[#This Row],[Insurer Code]]&amp;"; "&amp;O7751&amp;AS[[#This Row],[Reporting Year]]&amp;"; "&amp;P7751&amp;AS[[#This Row],[Insurance Category Code]]&amp;"; "&amp;Q7751&amp;AS[[#This Row],[Large Provider Entity Code]]&amp;"; "&amp;R7751&amp;AS[[#This Row],[Age Band Code]]&amp;"; "&amp;S7751&amp;AS[[#This Row],[Sex Code]]</f>
        <v xml:space="preserve">Insurer Code ; Reporting Year ; Insurance Category Code ; Large Provider Entity Code ; Age Band Code ; Sex Code </v>
      </c>
      <c r="N7751" s="345" t="s">
        <v>207</v>
      </c>
      <c r="O7751" s="345" t="s">
        <v>208</v>
      </c>
      <c r="P7751" s="345" t="s">
        <v>209</v>
      </c>
      <c r="Q7751" s="345" t="s">
        <v>210</v>
      </c>
      <c r="R7751" s="345" t="s">
        <v>223</v>
      </c>
      <c r="S7751" s="345" t="s">
        <v>224</v>
      </c>
    </row>
    <row r="7752" spans="1:19" x14ac:dyDescent="0.25">
      <c r="A7752" s="311"/>
      <c r="B7752" s="312"/>
      <c r="C7752" s="312"/>
      <c r="D7752" s="312"/>
      <c r="E7752" s="312"/>
      <c r="F7752" s="312"/>
      <c r="G7752" s="328"/>
      <c r="H7752" s="453"/>
      <c r="I7752" s="334"/>
      <c r="J7752" s="314"/>
      <c r="K7752" s="454"/>
      <c r="M7752" s="349" t="str">
        <f>N7752&amp;AS[[#This Row],[Insurer Code]]&amp;"; "&amp;O7752&amp;AS[[#This Row],[Reporting Year]]&amp;"; "&amp;P7752&amp;AS[[#This Row],[Insurance Category Code]]&amp;"; "&amp;Q7752&amp;AS[[#This Row],[Large Provider Entity Code]]&amp;"; "&amp;R7752&amp;AS[[#This Row],[Age Band Code]]&amp;"; "&amp;S7752&amp;AS[[#This Row],[Sex Code]]</f>
        <v xml:space="preserve">Insurer Code ; Reporting Year ; Insurance Category Code ; Large Provider Entity Code ; Age Band Code ; Sex Code </v>
      </c>
      <c r="N7752" s="345" t="s">
        <v>207</v>
      </c>
      <c r="O7752" s="345" t="s">
        <v>208</v>
      </c>
      <c r="P7752" s="345" t="s">
        <v>209</v>
      </c>
      <c r="Q7752" s="345" t="s">
        <v>210</v>
      </c>
      <c r="R7752" s="345" t="s">
        <v>223</v>
      </c>
      <c r="S7752" s="345" t="s">
        <v>224</v>
      </c>
    </row>
    <row r="7753" spans="1:19" x14ac:dyDescent="0.25">
      <c r="A7753" s="311"/>
      <c r="B7753" s="312"/>
      <c r="C7753" s="312"/>
      <c r="D7753" s="312"/>
      <c r="E7753" s="312"/>
      <c r="F7753" s="312"/>
      <c r="G7753" s="328"/>
      <c r="H7753" s="453"/>
      <c r="I7753" s="334"/>
      <c r="J7753" s="314"/>
      <c r="K7753" s="454"/>
      <c r="M7753" s="349" t="str">
        <f>N7753&amp;AS[[#This Row],[Insurer Code]]&amp;"; "&amp;O7753&amp;AS[[#This Row],[Reporting Year]]&amp;"; "&amp;P7753&amp;AS[[#This Row],[Insurance Category Code]]&amp;"; "&amp;Q7753&amp;AS[[#This Row],[Large Provider Entity Code]]&amp;"; "&amp;R7753&amp;AS[[#This Row],[Age Band Code]]&amp;"; "&amp;S7753&amp;AS[[#This Row],[Sex Code]]</f>
        <v xml:space="preserve">Insurer Code ; Reporting Year ; Insurance Category Code ; Large Provider Entity Code ; Age Band Code ; Sex Code </v>
      </c>
      <c r="N7753" s="345" t="s">
        <v>207</v>
      </c>
      <c r="O7753" s="345" t="s">
        <v>208</v>
      </c>
      <c r="P7753" s="345" t="s">
        <v>209</v>
      </c>
      <c r="Q7753" s="345" t="s">
        <v>210</v>
      </c>
      <c r="R7753" s="345" t="s">
        <v>223</v>
      </c>
      <c r="S7753" s="345" t="s">
        <v>224</v>
      </c>
    </row>
    <row r="7754" spans="1:19" x14ac:dyDescent="0.25">
      <c r="A7754" s="311"/>
      <c r="B7754" s="312"/>
      <c r="C7754" s="312"/>
      <c r="D7754" s="312"/>
      <c r="E7754" s="312"/>
      <c r="F7754" s="312"/>
      <c r="G7754" s="328"/>
      <c r="H7754" s="453"/>
      <c r="I7754" s="334"/>
      <c r="J7754" s="314"/>
      <c r="K7754" s="454"/>
      <c r="M7754" s="349" t="str">
        <f>N7754&amp;AS[[#This Row],[Insurer Code]]&amp;"; "&amp;O7754&amp;AS[[#This Row],[Reporting Year]]&amp;"; "&amp;P7754&amp;AS[[#This Row],[Insurance Category Code]]&amp;"; "&amp;Q7754&amp;AS[[#This Row],[Large Provider Entity Code]]&amp;"; "&amp;R7754&amp;AS[[#This Row],[Age Band Code]]&amp;"; "&amp;S7754&amp;AS[[#This Row],[Sex Code]]</f>
        <v xml:space="preserve">Insurer Code ; Reporting Year ; Insurance Category Code ; Large Provider Entity Code ; Age Band Code ; Sex Code </v>
      </c>
      <c r="N7754" s="345" t="s">
        <v>207</v>
      </c>
      <c r="O7754" s="345" t="s">
        <v>208</v>
      </c>
      <c r="P7754" s="345" t="s">
        <v>209</v>
      </c>
      <c r="Q7754" s="345" t="s">
        <v>210</v>
      </c>
      <c r="R7754" s="345" t="s">
        <v>223</v>
      </c>
      <c r="S7754" s="345" t="s">
        <v>224</v>
      </c>
    </row>
    <row r="7755" spans="1:19" x14ac:dyDescent="0.25">
      <c r="A7755" s="311"/>
      <c r="B7755" s="312"/>
      <c r="C7755" s="312"/>
      <c r="D7755" s="312"/>
      <c r="E7755" s="312"/>
      <c r="F7755" s="312"/>
      <c r="G7755" s="328"/>
      <c r="H7755" s="453"/>
      <c r="I7755" s="334"/>
      <c r="J7755" s="314"/>
      <c r="K7755" s="454"/>
      <c r="M7755" s="349" t="str">
        <f>N7755&amp;AS[[#This Row],[Insurer Code]]&amp;"; "&amp;O7755&amp;AS[[#This Row],[Reporting Year]]&amp;"; "&amp;P7755&amp;AS[[#This Row],[Insurance Category Code]]&amp;"; "&amp;Q7755&amp;AS[[#This Row],[Large Provider Entity Code]]&amp;"; "&amp;R7755&amp;AS[[#This Row],[Age Band Code]]&amp;"; "&amp;S7755&amp;AS[[#This Row],[Sex Code]]</f>
        <v xml:space="preserve">Insurer Code ; Reporting Year ; Insurance Category Code ; Large Provider Entity Code ; Age Band Code ; Sex Code </v>
      </c>
      <c r="N7755" s="345" t="s">
        <v>207</v>
      </c>
      <c r="O7755" s="345" t="s">
        <v>208</v>
      </c>
      <c r="P7755" s="345" t="s">
        <v>209</v>
      </c>
      <c r="Q7755" s="345" t="s">
        <v>210</v>
      </c>
      <c r="R7755" s="345" t="s">
        <v>223</v>
      </c>
      <c r="S7755" s="345" t="s">
        <v>224</v>
      </c>
    </row>
    <row r="7756" spans="1:19" x14ac:dyDescent="0.25">
      <c r="A7756" s="311"/>
      <c r="B7756" s="312"/>
      <c r="C7756" s="312"/>
      <c r="D7756" s="312"/>
      <c r="E7756" s="312"/>
      <c r="F7756" s="312"/>
      <c r="G7756" s="328"/>
      <c r="H7756" s="453"/>
      <c r="I7756" s="334"/>
      <c r="J7756" s="314"/>
      <c r="K7756" s="454"/>
      <c r="M7756" s="349" t="str">
        <f>N7756&amp;AS[[#This Row],[Insurer Code]]&amp;"; "&amp;O7756&amp;AS[[#This Row],[Reporting Year]]&amp;"; "&amp;P7756&amp;AS[[#This Row],[Insurance Category Code]]&amp;"; "&amp;Q7756&amp;AS[[#This Row],[Large Provider Entity Code]]&amp;"; "&amp;R7756&amp;AS[[#This Row],[Age Band Code]]&amp;"; "&amp;S7756&amp;AS[[#This Row],[Sex Code]]</f>
        <v xml:space="preserve">Insurer Code ; Reporting Year ; Insurance Category Code ; Large Provider Entity Code ; Age Band Code ; Sex Code </v>
      </c>
      <c r="N7756" s="345" t="s">
        <v>207</v>
      </c>
      <c r="O7756" s="345" t="s">
        <v>208</v>
      </c>
      <c r="P7756" s="345" t="s">
        <v>209</v>
      </c>
      <c r="Q7756" s="345" t="s">
        <v>210</v>
      </c>
      <c r="R7756" s="345" t="s">
        <v>223</v>
      </c>
      <c r="S7756" s="345" t="s">
        <v>224</v>
      </c>
    </row>
    <row r="7757" spans="1:19" x14ac:dyDescent="0.25">
      <c r="A7757" s="311"/>
      <c r="B7757" s="312"/>
      <c r="C7757" s="312"/>
      <c r="D7757" s="312"/>
      <c r="E7757" s="312"/>
      <c r="F7757" s="312"/>
      <c r="G7757" s="328"/>
      <c r="H7757" s="453"/>
      <c r="I7757" s="334"/>
      <c r="J7757" s="314"/>
      <c r="K7757" s="454"/>
      <c r="M7757" s="349" t="str">
        <f>N7757&amp;AS[[#This Row],[Insurer Code]]&amp;"; "&amp;O7757&amp;AS[[#This Row],[Reporting Year]]&amp;"; "&amp;P7757&amp;AS[[#This Row],[Insurance Category Code]]&amp;"; "&amp;Q7757&amp;AS[[#This Row],[Large Provider Entity Code]]&amp;"; "&amp;R7757&amp;AS[[#This Row],[Age Band Code]]&amp;"; "&amp;S7757&amp;AS[[#This Row],[Sex Code]]</f>
        <v xml:space="preserve">Insurer Code ; Reporting Year ; Insurance Category Code ; Large Provider Entity Code ; Age Band Code ; Sex Code </v>
      </c>
      <c r="N7757" s="345" t="s">
        <v>207</v>
      </c>
      <c r="O7757" s="345" t="s">
        <v>208</v>
      </c>
      <c r="P7757" s="345" t="s">
        <v>209</v>
      </c>
      <c r="Q7757" s="345" t="s">
        <v>210</v>
      </c>
      <c r="R7757" s="345" t="s">
        <v>223</v>
      </c>
      <c r="S7757" s="345" t="s">
        <v>224</v>
      </c>
    </row>
    <row r="7758" spans="1:19" x14ac:dyDescent="0.25">
      <c r="A7758" s="311"/>
      <c r="B7758" s="312"/>
      <c r="C7758" s="312"/>
      <c r="D7758" s="312"/>
      <c r="E7758" s="312"/>
      <c r="F7758" s="312"/>
      <c r="G7758" s="328"/>
      <c r="H7758" s="453"/>
      <c r="I7758" s="334"/>
      <c r="J7758" s="314"/>
      <c r="K7758" s="454"/>
      <c r="M7758" s="349" t="str">
        <f>N7758&amp;AS[[#This Row],[Insurer Code]]&amp;"; "&amp;O7758&amp;AS[[#This Row],[Reporting Year]]&amp;"; "&amp;P7758&amp;AS[[#This Row],[Insurance Category Code]]&amp;"; "&amp;Q7758&amp;AS[[#This Row],[Large Provider Entity Code]]&amp;"; "&amp;R7758&amp;AS[[#This Row],[Age Band Code]]&amp;"; "&amp;S7758&amp;AS[[#This Row],[Sex Code]]</f>
        <v xml:space="preserve">Insurer Code ; Reporting Year ; Insurance Category Code ; Large Provider Entity Code ; Age Band Code ; Sex Code </v>
      </c>
      <c r="N7758" s="345" t="s">
        <v>207</v>
      </c>
      <c r="O7758" s="345" t="s">
        <v>208</v>
      </c>
      <c r="P7758" s="345" t="s">
        <v>209</v>
      </c>
      <c r="Q7758" s="345" t="s">
        <v>210</v>
      </c>
      <c r="R7758" s="345" t="s">
        <v>223</v>
      </c>
      <c r="S7758" s="345" t="s">
        <v>224</v>
      </c>
    </row>
    <row r="7759" spans="1:19" x14ac:dyDescent="0.25">
      <c r="A7759" s="311"/>
      <c r="B7759" s="312"/>
      <c r="C7759" s="312"/>
      <c r="D7759" s="312"/>
      <c r="E7759" s="312"/>
      <c r="F7759" s="312"/>
      <c r="G7759" s="328"/>
      <c r="H7759" s="453"/>
      <c r="I7759" s="334"/>
      <c r="J7759" s="314"/>
      <c r="K7759" s="454"/>
      <c r="M7759" s="349" t="str">
        <f>N7759&amp;AS[[#This Row],[Insurer Code]]&amp;"; "&amp;O7759&amp;AS[[#This Row],[Reporting Year]]&amp;"; "&amp;P7759&amp;AS[[#This Row],[Insurance Category Code]]&amp;"; "&amp;Q7759&amp;AS[[#This Row],[Large Provider Entity Code]]&amp;"; "&amp;R7759&amp;AS[[#This Row],[Age Band Code]]&amp;"; "&amp;S7759&amp;AS[[#This Row],[Sex Code]]</f>
        <v xml:space="preserve">Insurer Code ; Reporting Year ; Insurance Category Code ; Large Provider Entity Code ; Age Band Code ; Sex Code </v>
      </c>
      <c r="N7759" s="345" t="s">
        <v>207</v>
      </c>
      <c r="O7759" s="345" t="s">
        <v>208</v>
      </c>
      <c r="P7759" s="345" t="s">
        <v>209</v>
      </c>
      <c r="Q7759" s="345" t="s">
        <v>210</v>
      </c>
      <c r="R7759" s="345" t="s">
        <v>223</v>
      </c>
      <c r="S7759" s="345" t="s">
        <v>224</v>
      </c>
    </row>
    <row r="7760" spans="1:19" x14ac:dyDescent="0.25">
      <c r="A7760" s="311"/>
      <c r="B7760" s="312"/>
      <c r="C7760" s="312"/>
      <c r="D7760" s="312"/>
      <c r="E7760" s="312"/>
      <c r="F7760" s="312"/>
      <c r="G7760" s="328"/>
      <c r="H7760" s="453"/>
      <c r="I7760" s="334"/>
      <c r="J7760" s="314"/>
      <c r="K7760" s="454"/>
      <c r="M7760" s="349" t="str">
        <f>N7760&amp;AS[[#This Row],[Insurer Code]]&amp;"; "&amp;O7760&amp;AS[[#This Row],[Reporting Year]]&amp;"; "&amp;P7760&amp;AS[[#This Row],[Insurance Category Code]]&amp;"; "&amp;Q7760&amp;AS[[#This Row],[Large Provider Entity Code]]&amp;"; "&amp;R7760&amp;AS[[#This Row],[Age Band Code]]&amp;"; "&amp;S7760&amp;AS[[#This Row],[Sex Code]]</f>
        <v xml:space="preserve">Insurer Code ; Reporting Year ; Insurance Category Code ; Large Provider Entity Code ; Age Band Code ; Sex Code </v>
      </c>
      <c r="N7760" s="345" t="s">
        <v>207</v>
      </c>
      <c r="O7760" s="345" t="s">
        <v>208</v>
      </c>
      <c r="P7760" s="345" t="s">
        <v>209</v>
      </c>
      <c r="Q7760" s="345" t="s">
        <v>210</v>
      </c>
      <c r="R7760" s="345" t="s">
        <v>223</v>
      </c>
      <c r="S7760" s="345" t="s">
        <v>224</v>
      </c>
    </row>
    <row r="7761" spans="1:19" x14ac:dyDescent="0.25">
      <c r="A7761" s="311"/>
      <c r="B7761" s="312"/>
      <c r="C7761" s="312"/>
      <c r="D7761" s="312"/>
      <c r="E7761" s="312"/>
      <c r="F7761" s="312"/>
      <c r="G7761" s="328"/>
      <c r="H7761" s="453"/>
      <c r="I7761" s="334"/>
      <c r="J7761" s="314"/>
      <c r="K7761" s="454"/>
      <c r="M7761" s="349" t="str">
        <f>N7761&amp;AS[[#This Row],[Insurer Code]]&amp;"; "&amp;O7761&amp;AS[[#This Row],[Reporting Year]]&amp;"; "&amp;P7761&amp;AS[[#This Row],[Insurance Category Code]]&amp;"; "&amp;Q7761&amp;AS[[#This Row],[Large Provider Entity Code]]&amp;"; "&amp;R7761&amp;AS[[#This Row],[Age Band Code]]&amp;"; "&amp;S7761&amp;AS[[#This Row],[Sex Code]]</f>
        <v xml:space="preserve">Insurer Code ; Reporting Year ; Insurance Category Code ; Large Provider Entity Code ; Age Band Code ; Sex Code </v>
      </c>
      <c r="N7761" s="345" t="s">
        <v>207</v>
      </c>
      <c r="O7761" s="345" t="s">
        <v>208</v>
      </c>
      <c r="P7761" s="345" t="s">
        <v>209</v>
      </c>
      <c r="Q7761" s="345" t="s">
        <v>210</v>
      </c>
      <c r="R7761" s="345" t="s">
        <v>223</v>
      </c>
      <c r="S7761" s="345" t="s">
        <v>224</v>
      </c>
    </row>
    <row r="7762" spans="1:19" x14ac:dyDescent="0.25">
      <c r="A7762" s="311"/>
      <c r="B7762" s="312"/>
      <c r="C7762" s="312"/>
      <c r="D7762" s="312"/>
      <c r="E7762" s="312"/>
      <c r="F7762" s="312"/>
      <c r="G7762" s="328"/>
      <c r="H7762" s="453"/>
      <c r="I7762" s="334"/>
      <c r="J7762" s="314"/>
      <c r="K7762" s="454"/>
      <c r="M7762" s="349" t="str">
        <f>N7762&amp;AS[[#This Row],[Insurer Code]]&amp;"; "&amp;O7762&amp;AS[[#This Row],[Reporting Year]]&amp;"; "&amp;P7762&amp;AS[[#This Row],[Insurance Category Code]]&amp;"; "&amp;Q7762&amp;AS[[#This Row],[Large Provider Entity Code]]&amp;"; "&amp;R7762&amp;AS[[#This Row],[Age Band Code]]&amp;"; "&amp;S7762&amp;AS[[#This Row],[Sex Code]]</f>
        <v xml:space="preserve">Insurer Code ; Reporting Year ; Insurance Category Code ; Large Provider Entity Code ; Age Band Code ; Sex Code </v>
      </c>
      <c r="N7762" s="345" t="s">
        <v>207</v>
      </c>
      <c r="O7762" s="345" t="s">
        <v>208</v>
      </c>
      <c r="P7762" s="345" t="s">
        <v>209</v>
      </c>
      <c r="Q7762" s="345" t="s">
        <v>210</v>
      </c>
      <c r="R7762" s="345" t="s">
        <v>223</v>
      </c>
      <c r="S7762" s="345" t="s">
        <v>224</v>
      </c>
    </row>
    <row r="7763" spans="1:19" x14ac:dyDescent="0.25">
      <c r="A7763" s="311"/>
      <c r="B7763" s="312"/>
      <c r="C7763" s="312"/>
      <c r="D7763" s="312"/>
      <c r="E7763" s="312"/>
      <c r="F7763" s="312"/>
      <c r="G7763" s="328"/>
      <c r="H7763" s="453"/>
      <c r="I7763" s="334"/>
      <c r="J7763" s="314"/>
      <c r="K7763" s="454"/>
      <c r="M7763" s="349" t="str">
        <f>N7763&amp;AS[[#This Row],[Insurer Code]]&amp;"; "&amp;O7763&amp;AS[[#This Row],[Reporting Year]]&amp;"; "&amp;P7763&amp;AS[[#This Row],[Insurance Category Code]]&amp;"; "&amp;Q7763&amp;AS[[#This Row],[Large Provider Entity Code]]&amp;"; "&amp;R7763&amp;AS[[#This Row],[Age Band Code]]&amp;"; "&amp;S7763&amp;AS[[#This Row],[Sex Code]]</f>
        <v xml:space="preserve">Insurer Code ; Reporting Year ; Insurance Category Code ; Large Provider Entity Code ; Age Band Code ; Sex Code </v>
      </c>
      <c r="N7763" s="345" t="s">
        <v>207</v>
      </c>
      <c r="O7763" s="345" t="s">
        <v>208</v>
      </c>
      <c r="P7763" s="345" t="s">
        <v>209</v>
      </c>
      <c r="Q7763" s="345" t="s">
        <v>210</v>
      </c>
      <c r="R7763" s="345" t="s">
        <v>223</v>
      </c>
      <c r="S7763" s="345" t="s">
        <v>224</v>
      </c>
    </row>
    <row r="7764" spans="1:19" x14ac:dyDescent="0.25">
      <c r="A7764" s="311"/>
      <c r="B7764" s="312"/>
      <c r="C7764" s="312"/>
      <c r="D7764" s="312"/>
      <c r="E7764" s="312"/>
      <c r="F7764" s="312"/>
      <c r="G7764" s="328"/>
      <c r="H7764" s="453"/>
      <c r="I7764" s="334"/>
      <c r="J7764" s="314"/>
      <c r="K7764" s="454"/>
      <c r="M7764" s="349" t="str">
        <f>N7764&amp;AS[[#This Row],[Insurer Code]]&amp;"; "&amp;O7764&amp;AS[[#This Row],[Reporting Year]]&amp;"; "&amp;P7764&amp;AS[[#This Row],[Insurance Category Code]]&amp;"; "&amp;Q7764&amp;AS[[#This Row],[Large Provider Entity Code]]&amp;"; "&amp;R7764&amp;AS[[#This Row],[Age Band Code]]&amp;"; "&amp;S7764&amp;AS[[#This Row],[Sex Code]]</f>
        <v xml:space="preserve">Insurer Code ; Reporting Year ; Insurance Category Code ; Large Provider Entity Code ; Age Band Code ; Sex Code </v>
      </c>
      <c r="N7764" s="345" t="s">
        <v>207</v>
      </c>
      <c r="O7764" s="345" t="s">
        <v>208</v>
      </c>
      <c r="P7764" s="345" t="s">
        <v>209</v>
      </c>
      <c r="Q7764" s="345" t="s">
        <v>210</v>
      </c>
      <c r="R7764" s="345" t="s">
        <v>223</v>
      </c>
      <c r="S7764" s="345" t="s">
        <v>224</v>
      </c>
    </row>
    <row r="7765" spans="1:19" x14ac:dyDescent="0.25">
      <c r="A7765" s="311"/>
      <c r="B7765" s="312"/>
      <c r="C7765" s="312"/>
      <c r="D7765" s="312"/>
      <c r="E7765" s="312"/>
      <c r="F7765" s="312"/>
      <c r="G7765" s="328"/>
      <c r="H7765" s="453"/>
      <c r="I7765" s="334"/>
      <c r="J7765" s="314"/>
      <c r="K7765" s="454"/>
      <c r="M7765" s="349" t="str">
        <f>N7765&amp;AS[[#This Row],[Insurer Code]]&amp;"; "&amp;O7765&amp;AS[[#This Row],[Reporting Year]]&amp;"; "&amp;P7765&amp;AS[[#This Row],[Insurance Category Code]]&amp;"; "&amp;Q7765&amp;AS[[#This Row],[Large Provider Entity Code]]&amp;"; "&amp;R7765&amp;AS[[#This Row],[Age Band Code]]&amp;"; "&amp;S7765&amp;AS[[#This Row],[Sex Code]]</f>
        <v xml:space="preserve">Insurer Code ; Reporting Year ; Insurance Category Code ; Large Provider Entity Code ; Age Band Code ; Sex Code </v>
      </c>
      <c r="N7765" s="345" t="s">
        <v>207</v>
      </c>
      <c r="O7765" s="345" t="s">
        <v>208</v>
      </c>
      <c r="P7765" s="345" t="s">
        <v>209</v>
      </c>
      <c r="Q7765" s="345" t="s">
        <v>210</v>
      </c>
      <c r="R7765" s="345" t="s">
        <v>223</v>
      </c>
      <c r="S7765" s="345" t="s">
        <v>224</v>
      </c>
    </row>
    <row r="7766" spans="1:19" x14ac:dyDescent="0.25">
      <c r="A7766" s="311"/>
      <c r="B7766" s="312"/>
      <c r="C7766" s="312"/>
      <c r="D7766" s="312"/>
      <c r="E7766" s="312"/>
      <c r="F7766" s="312"/>
      <c r="G7766" s="328"/>
      <c r="H7766" s="453"/>
      <c r="I7766" s="334"/>
      <c r="J7766" s="314"/>
      <c r="K7766" s="454"/>
      <c r="M7766" s="349" t="str">
        <f>N7766&amp;AS[[#This Row],[Insurer Code]]&amp;"; "&amp;O7766&amp;AS[[#This Row],[Reporting Year]]&amp;"; "&amp;P7766&amp;AS[[#This Row],[Insurance Category Code]]&amp;"; "&amp;Q7766&amp;AS[[#This Row],[Large Provider Entity Code]]&amp;"; "&amp;R7766&amp;AS[[#This Row],[Age Band Code]]&amp;"; "&amp;S7766&amp;AS[[#This Row],[Sex Code]]</f>
        <v xml:space="preserve">Insurer Code ; Reporting Year ; Insurance Category Code ; Large Provider Entity Code ; Age Band Code ; Sex Code </v>
      </c>
      <c r="N7766" s="345" t="s">
        <v>207</v>
      </c>
      <c r="O7766" s="345" t="s">
        <v>208</v>
      </c>
      <c r="P7766" s="345" t="s">
        <v>209</v>
      </c>
      <c r="Q7766" s="345" t="s">
        <v>210</v>
      </c>
      <c r="R7766" s="345" t="s">
        <v>223</v>
      </c>
      <c r="S7766" s="345" t="s">
        <v>224</v>
      </c>
    </row>
    <row r="7767" spans="1:19" x14ac:dyDescent="0.25">
      <c r="A7767" s="311"/>
      <c r="B7767" s="312"/>
      <c r="C7767" s="312"/>
      <c r="D7767" s="312"/>
      <c r="E7767" s="312"/>
      <c r="F7767" s="312"/>
      <c r="G7767" s="328"/>
      <c r="H7767" s="453"/>
      <c r="I7767" s="334"/>
      <c r="J7767" s="314"/>
      <c r="K7767" s="454"/>
      <c r="M7767" s="349" t="str">
        <f>N7767&amp;AS[[#This Row],[Insurer Code]]&amp;"; "&amp;O7767&amp;AS[[#This Row],[Reporting Year]]&amp;"; "&amp;P7767&amp;AS[[#This Row],[Insurance Category Code]]&amp;"; "&amp;Q7767&amp;AS[[#This Row],[Large Provider Entity Code]]&amp;"; "&amp;R7767&amp;AS[[#This Row],[Age Band Code]]&amp;"; "&amp;S7767&amp;AS[[#This Row],[Sex Code]]</f>
        <v xml:space="preserve">Insurer Code ; Reporting Year ; Insurance Category Code ; Large Provider Entity Code ; Age Band Code ; Sex Code </v>
      </c>
      <c r="N7767" s="345" t="s">
        <v>207</v>
      </c>
      <c r="O7767" s="345" t="s">
        <v>208</v>
      </c>
      <c r="P7767" s="345" t="s">
        <v>209</v>
      </c>
      <c r="Q7767" s="345" t="s">
        <v>210</v>
      </c>
      <c r="R7767" s="345" t="s">
        <v>223</v>
      </c>
      <c r="S7767" s="345" t="s">
        <v>224</v>
      </c>
    </row>
    <row r="7768" spans="1:19" x14ac:dyDescent="0.25">
      <c r="A7768" s="311"/>
      <c r="B7768" s="312"/>
      <c r="C7768" s="312"/>
      <c r="D7768" s="312"/>
      <c r="E7768" s="312"/>
      <c r="F7768" s="312"/>
      <c r="G7768" s="328"/>
      <c r="H7768" s="453"/>
      <c r="I7768" s="334"/>
      <c r="J7768" s="314"/>
      <c r="K7768" s="454"/>
      <c r="M7768" s="349" t="str">
        <f>N7768&amp;AS[[#This Row],[Insurer Code]]&amp;"; "&amp;O7768&amp;AS[[#This Row],[Reporting Year]]&amp;"; "&amp;P7768&amp;AS[[#This Row],[Insurance Category Code]]&amp;"; "&amp;Q7768&amp;AS[[#This Row],[Large Provider Entity Code]]&amp;"; "&amp;R7768&amp;AS[[#This Row],[Age Band Code]]&amp;"; "&amp;S7768&amp;AS[[#This Row],[Sex Code]]</f>
        <v xml:space="preserve">Insurer Code ; Reporting Year ; Insurance Category Code ; Large Provider Entity Code ; Age Band Code ; Sex Code </v>
      </c>
      <c r="N7768" s="345" t="s">
        <v>207</v>
      </c>
      <c r="O7768" s="345" t="s">
        <v>208</v>
      </c>
      <c r="P7768" s="345" t="s">
        <v>209</v>
      </c>
      <c r="Q7768" s="345" t="s">
        <v>210</v>
      </c>
      <c r="R7768" s="345" t="s">
        <v>223</v>
      </c>
      <c r="S7768" s="345" t="s">
        <v>224</v>
      </c>
    </row>
    <row r="7769" spans="1:19" x14ac:dyDescent="0.25">
      <c r="A7769" s="311"/>
      <c r="B7769" s="312"/>
      <c r="C7769" s="312"/>
      <c r="D7769" s="312"/>
      <c r="E7769" s="312"/>
      <c r="F7769" s="312"/>
      <c r="G7769" s="328"/>
      <c r="H7769" s="453"/>
      <c r="I7769" s="334"/>
      <c r="J7769" s="314"/>
      <c r="K7769" s="454"/>
      <c r="M7769" s="349" t="str">
        <f>N7769&amp;AS[[#This Row],[Insurer Code]]&amp;"; "&amp;O7769&amp;AS[[#This Row],[Reporting Year]]&amp;"; "&amp;P7769&amp;AS[[#This Row],[Insurance Category Code]]&amp;"; "&amp;Q7769&amp;AS[[#This Row],[Large Provider Entity Code]]&amp;"; "&amp;R7769&amp;AS[[#This Row],[Age Band Code]]&amp;"; "&amp;S7769&amp;AS[[#This Row],[Sex Code]]</f>
        <v xml:space="preserve">Insurer Code ; Reporting Year ; Insurance Category Code ; Large Provider Entity Code ; Age Band Code ; Sex Code </v>
      </c>
      <c r="N7769" s="345" t="s">
        <v>207</v>
      </c>
      <c r="O7769" s="345" t="s">
        <v>208</v>
      </c>
      <c r="P7769" s="345" t="s">
        <v>209</v>
      </c>
      <c r="Q7769" s="345" t="s">
        <v>210</v>
      </c>
      <c r="R7769" s="345" t="s">
        <v>223</v>
      </c>
      <c r="S7769" s="345" t="s">
        <v>224</v>
      </c>
    </row>
    <row r="7770" spans="1:19" x14ac:dyDescent="0.25">
      <c r="A7770" s="311"/>
      <c r="B7770" s="312"/>
      <c r="C7770" s="312"/>
      <c r="D7770" s="312"/>
      <c r="E7770" s="312"/>
      <c r="F7770" s="312"/>
      <c r="G7770" s="328"/>
      <c r="H7770" s="453"/>
      <c r="I7770" s="334"/>
      <c r="J7770" s="314"/>
      <c r="K7770" s="454"/>
      <c r="M7770" s="349" t="str">
        <f>N7770&amp;AS[[#This Row],[Insurer Code]]&amp;"; "&amp;O7770&amp;AS[[#This Row],[Reporting Year]]&amp;"; "&amp;P7770&amp;AS[[#This Row],[Insurance Category Code]]&amp;"; "&amp;Q7770&amp;AS[[#This Row],[Large Provider Entity Code]]&amp;"; "&amp;R7770&amp;AS[[#This Row],[Age Band Code]]&amp;"; "&amp;S7770&amp;AS[[#This Row],[Sex Code]]</f>
        <v xml:space="preserve">Insurer Code ; Reporting Year ; Insurance Category Code ; Large Provider Entity Code ; Age Band Code ; Sex Code </v>
      </c>
      <c r="N7770" s="345" t="s">
        <v>207</v>
      </c>
      <c r="O7770" s="345" t="s">
        <v>208</v>
      </c>
      <c r="P7770" s="345" t="s">
        <v>209</v>
      </c>
      <c r="Q7770" s="345" t="s">
        <v>210</v>
      </c>
      <c r="R7770" s="345" t="s">
        <v>223</v>
      </c>
      <c r="S7770" s="345" t="s">
        <v>224</v>
      </c>
    </row>
    <row r="7771" spans="1:19" x14ac:dyDescent="0.25">
      <c r="A7771" s="311"/>
      <c r="B7771" s="312"/>
      <c r="C7771" s="312"/>
      <c r="D7771" s="312"/>
      <c r="E7771" s="312"/>
      <c r="F7771" s="312"/>
      <c r="G7771" s="328"/>
      <c r="H7771" s="453"/>
      <c r="I7771" s="334"/>
      <c r="J7771" s="314"/>
      <c r="K7771" s="454"/>
      <c r="M7771" s="349" t="str">
        <f>N7771&amp;AS[[#This Row],[Insurer Code]]&amp;"; "&amp;O7771&amp;AS[[#This Row],[Reporting Year]]&amp;"; "&amp;P7771&amp;AS[[#This Row],[Insurance Category Code]]&amp;"; "&amp;Q7771&amp;AS[[#This Row],[Large Provider Entity Code]]&amp;"; "&amp;R7771&amp;AS[[#This Row],[Age Band Code]]&amp;"; "&amp;S7771&amp;AS[[#This Row],[Sex Code]]</f>
        <v xml:space="preserve">Insurer Code ; Reporting Year ; Insurance Category Code ; Large Provider Entity Code ; Age Band Code ; Sex Code </v>
      </c>
      <c r="N7771" s="345" t="s">
        <v>207</v>
      </c>
      <c r="O7771" s="345" t="s">
        <v>208</v>
      </c>
      <c r="P7771" s="345" t="s">
        <v>209</v>
      </c>
      <c r="Q7771" s="345" t="s">
        <v>210</v>
      </c>
      <c r="R7771" s="345" t="s">
        <v>223</v>
      </c>
      <c r="S7771" s="345" t="s">
        <v>224</v>
      </c>
    </row>
    <row r="7772" spans="1:19" x14ac:dyDescent="0.25">
      <c r="A7772" s="311"/>
      <c r="B7772" s="312"/>
      <c r="C7772" s="312"/>
      <c r="D7772" s="312"/>
      <c r="E7772" s="312"/>
      <c r="F7772" s="312"/>
      <c r="G7772" s="328"/>
      <c r="H7772" s="453"/>
      <c r="I7772" s="334"/>
      <c r="J7772" s="314"/>
      <c r="K7772" s="454"/>
      <c r="M7772" s="349" t="str">
        <f>N7772&amp;AS[[#This Row],[Insurer Code]]&amp;"; "&amp;O7772&amp;AS[[#This Row],[Reporting Year]]&amp;"; "&amp;P7772&amp;AS[[#This Row],[Insurance Category Code]]&amp;"; "&amp;Q7772&amp;AS[[#This Row],[Large Provider Entity Code]]&amp;"; "&amp;R7772&amp;AS[[#This Row],[Age Band Code]]&amp;"; "&amp;S7772&amp;AS[[#This Row],[Sex Code]]</f>
        <v xml:space="preserve">Insurer Code ; Reporting Year ; Insurance Category Code ; Large Provider Entity Code ; Age Band Code ; Sex Code </v>
      </c>
      <c r="N7772" s="345" t="s">
        <v>207</v>
      </c>
      <c r="O7772" s="345" t="s">
        <v>208</v>
      </c>
      <c r="P7772" s="345" t="s">
        <v>209</v>
      </c>
      <c r="Q7772" s="345" t="s">
        <v>210</v>
      </c>
      <c r="R7772" s="345" t="s">
        <v>223</v>
      </c>
      <c r="S7772" s="345" t="s">
        <v>224</v>
      </c>
    </row>
    <row r="7773" spans="1:19" x14ac:dyDescent="0.25">
      <c r="A7773" s="311"/>
      <c r="B7773" s="312"/>
      <c r="C7773" s="312"/>
      <c r="D7773" s="312"/>
      <c r="E7773" s="312"/>
      <c r="F7773" s="312"/>
      <c r="G7773" s="328"/>
      <c r="H7773" s="453"/>
      <c r="I7773" s="334"/>
      <c r="J7773" s="314"/>
      <c r="K7773" s="454"/>
      <c r="M7773" s="349" t="str">
        <f>N7773&amp;AS[[#This Row],[Insurer Code]]&amp;"; "&amp;O7773&amp;AS[[#This Row],[Reporting Year]]&amp;"; "&amp;P7773&amp;AS[[#This Row],[Insurance Category Code]]&amp;"; "&amp;Q7773&amp;AS[[#This Row],[Large Provider Entity Code]]&amp;"; "&amp;R7773&amp;AS[[#This Row],[Age Band Code]]&amp;"; "&amp;S7773&amp;AS[[#This Row],[Sex Code]]</f>
        <v xml:space="preserve">Insurer Code ; Reporting Year ; Insurance Category Code ; Large Provider Entity Code ; Age Band Code ; Sex Code </v>
      </c>
      <c r="N7773" s="345" t="s">
        <v>207</v>
      </c>
      <c r="O7773" s="345" t="s">
        <v>208</v>
      </c>
      <c r="P7773" s="345" t="s">
        <v>209</v>
      </c>
      <c r="Q7773" s="345" t="s">
        <v>210</v>
      </c>
      <c r="R7773" s="345" t="s">
        <v>223</v>
      </c>
      <c r="S7773" s="345" t="s">
        <v>224</v>
      </c>
    </row>
    <row r="7774" spans="1:19" x14ac:dyDescent="0.25">
      <c r="A7774" s="311"/>
      <c r="B7774" s="312"/>
      <c r="C7774" s="312"/>
      <c r="D7774" s="312"/>
      <c r="E7774" s="312"/>
      <c r="F7774" s="312"/>
      <c r="G7774" s="328"/>
      <c r="H7774" s="453"/>
      <c r="I7774" s="334"/>
      <c r="J7774" s="314"/>
      <c r="K7774" s="454"/>
      <c r="M7774" s="349" t="str">
        <f>N7774&amp;AS[[#This Row],[Insurer Code]]&amp;"; "&amp;O7774&amp;AS[[#This Row],[Reporting Year]]&amp;"; "&amp;P7774&amp;AS[[#This Row],[Insurance Category Code]]&amp;"; "&amp;Q7774&amp;AS[[#This Row],[Large Provider Entity Code]]&amp;"; "&amp;R7774&amp;AS[[#This Row],[Age Band Code]]&amp;"; "&amp;S7774&amp;AS[[#This Row],[Sex Code]]</f>
        <v xml:space="preserve">Insurer Code ; Reporting Year ; Insurance Category Code ; Large Provider Entity Code ; Age Band Code ; Sex Code </v>
      </c>
      <c r="N7774" s="345" t="s">
        <v>207</v>
      </c>
      <c r="O7774" s="345" t="s">
        <v>208</v>
      </c>
      <c r="P7774" s="345" t="s">
        <v>209</v>
      </c>
      <c r="Q7774" s="345" t="s">
        <v>210</v>
      </c>
      <c r="R7774" s="345" t="s">
        <v>223</v>
      </c>
      <c r="S7774" s="345" t="s">
        <v>224</v>
      </c>
    </row>
    <row r="7775" spans="1:19" x14ac:dyDescent="0.25">
      <c r="A7775" s="311"/>
      <c r="B7775" s="312"/>
      <c r="C7775" s="312"/>
      <c r="D7775" s="312"/>
      <c r="E7775" s="312"/>
      <c r="F7775" s="312"/>
      <c r="G7775" s="328"/>
      <c r="H7775" s="453"/>
      <c r="I7775" s="334"/>
      <c r="J7775" s="314"/>
      <c r="K7775" s="454"/>
      <c r="M7775" s="349" t="str">
        <f>N7775&amp;AS[[#This Row],[Insurer Code]]&amp;"; "&amp;O7775&amp;AS[[#This Row],[Reporting Year]]&amp;"; "&amp;P7775&amp;AS[[#This Row],[Insurance Category Code]]&amp;"; "&amp;Q7775&amp;AS[[#This Row],[Large Provider Entity Code]]&amp;"; "&amp;R7775&amp;AS[[#This Row],[Age Band Code]]&amp;"; "&amp;S7775&amp;AS[[#This Row],[Sex Code]]</f>
        <v xml:space="preserve">Insurer Code ; Reporting Year ; Insurance Category Code ; Large Provider Entity Code ; Age Band Code ; Sex Code </v>
      </c>
      <c r="N7775" s="345" t="s">
        <v>207</v>
      </c>
      <c r="O7775" s="345" t="s">
        <v>208</v>
      </c>
      <c r="P7775" s="345" t="s">
        <v>209</v>
      </c>
      <c r="Q7775" s="345" t="s">
        <v>210</v>
      </c>
      <c r="R7775" s="345" t="s">
        <v>223</v>
      </c>
      <c r="S7775" s="345" t="s">
        <v>224</v>
      </c>
    </row>
    <row r="7776" spans="1:19" x14ac:dyDescent="0.25">
      <c r="A7776" s="311"/>
      <c r="B7776" s="312"/>
      <c r="C7776" s="312"/>
      <c r="D7776" s="312"/>
      <c r="E7776" s="312"/>
      <c r="F7776" s="312"/>
      <c r="G7776" s="328"/>
      <c r="H7776" s="453"/>
      <c r="I7776" s="334"/>
      <c r="J7776" s="314"/>
      <c r="K7776" s="454"/>
      <c r="M7776" s="349" t="str">
        <f>N7776&amp;AS[[#This Row],[Insurer Code]]&amp;"; "&amp;O7776&amp;AS[[#This Row],[Reporting Year]]&amp;"; "&amp;P7776&amp;AS[[#This Row],[Insurance Category Code]]&amp;"; "&amp;Q7776&amp;AS[[#This Row],[Large Provider Entity Code]]&amp;"; "&amp;R7776&amp;AS[[#This Row],[Age Band Code]]&amp;"; "&amp;S7776&amp;AS[[#This Row],[Sex Code]]</f>
        <v xml:space="preserve">Insurer Code ; Reporting Year ; Insurance Category Code ; Large Provider Entity Code ; Age Band Code ; Sex Code </v>
      </c>
      <c r="N7776" s="345" t="s">
        <v>207</v>
      </c>
      <c r="O7776" s="345" t="s">
        <v>208</v>
      </c>
      <c r="P7776" s="345" t="s">
        <v>209</v>
      </c>
      <c r="Q7776" s="345" t="s">
        <v>210</v>
      </c>
      <c r="R7776" s="345" t="s">
        <v>223</v>
      </c>
      <c r="S7776" s="345" t="s">
        <v>224</v>
      </c>
    </row>
    <row r="7777" spans="1:19" x14ac:dyDescent="0.25">
      <c r="A7777" s="311"/>
      <c r="B7777" s="312"/>
      <c r="C7777" s="312"/>
      <c r="D7777" s="312"/>
      <c r="E7777" s="312"/>
      <c r="F7777" s="312"/>
      <c r="G7777" s="328"/>
      <c r="H7777" s="453"/>
      <c r="I7777" s="334"/>
      <c r="J7777" s="314"/>
      <c r="K7777" s="454"/>
      <c r="M7777" s="349" t="str">
        <f>N7777&amp;AS[[#This Row],[Insurer Code]]&amp;"; "&amp;O7777&amp;AS[[#This Row],[Reporting Year]]&amp;"; "&amp;P7777&amp;AS[[#This Row],[Insurance Category Code]]&amp;"; "&amp;Q7777&amp;AS[[#This Row],[Large Provider Entity Code]]&amp;"; "&amp;R7777&amp;AS[[#This Row],[Age Band Code]]&amp;"; "&amp;S7777&amp;AS[[#This Row],[Sex Code]]</f>
        <v xml:space="preserve">Insurer Code ; Reporting Year ; Insurance Category Code ; Large Provider Entity Code ; Age Band Code ; Sex Code </v>
      </c>
      <c r="N7777" s="345" t="s">
        <v>207</v>
      </c>
      <c r="O7777" s="345" t="s">
        <v>208</v>
      </c>
      <c r="P7777" s="345" t="s">
        <v>209</v>
      </c>
      <c r="Q7777" s="345" t="s">
        <v>210</v>
      </c>
      <c r="R7777" s="345" t="s">
        <v>223</v>
      </c>
      <c r="S7777" s="345" t="s">
        <v>224</v>
      </c>
    </row>
    <row r="7778" spans="1:19" x14ac:dyDescent="0.25">
      <c r="A7778" s="311"/>
      <c r="B7778" s="312"/>
      <c r="C7778" s="312"/>
      <c r="D7778" s="312"/>
      <c r="E7778" s="312"/>
      <c r="F7778" s="312"/>
      <c r="G7778" s="328"/>
      <c r="H7778" s="453"/>
      <c r="I7778" s="334"/>
      <c r="J7778" s="314"/>
      <c r="K7778" s="454"/>
      <c r="M7778" s="349" t="str">
        <f>N7778&amp;AS[[#This Row],[Insurer Code]]&amp;"; "&amp;O7778&amp;AS[[#This Row],[Reporting Year]]&amp;"; "&amp;P7778&amp;AS[[#This Row],[Insurance Category Code]]&amp;"; "&amp;Q7778&amp;AS[[#This Row],[Large Provider Entity Code]]&amp;"; "&amp;R7778&amp;AS[[#This Row],[Age Band Code]]&amp;"; "&amp;S7778&amp;AS[[#This Row],[Sex Code]]</f>
        <v xml:space="preserve">Insurer Code ; Reporting Year ; Insurance Category Code ; Large Provider Entity Code ; Age Band Code ; Sex Code </v>
      </c>
      <c r="N7778" s="345" t="s">
        <v>207</v>
      </c>
      <c r="O7778" s="345" t="s">
        <v>208</v>
      </c>
      <c r="P7778" s="345" t="s">
        <v>209</v>
      </c>
      <c r="Q7778" s="345" t="s">
        <v>210</v>
      </c>
      <c r="R7778" s="345" t="s">
        <v>223</v>
      </c>
      <c r="S7778" s="345" t="s">
        <v>224</v>
      </c>
    </row>
    <row r="7779" spans="1:19" x14ac:dyDescent="0.25">
      <c r="A7779" s="311"/>
      <c r="B7779" s="312"/>
      <c r="C7779" s="312"/>
      <c r="D7779" s="312"/>
      <c r="E7779" s="312"/>
      <c r="F7779" s="312"/>
      <c r="G7779" s="328"/>
      <c r="H7779" s="453"/>
      <c r="I7779" s="334"/>
      <c r="J7779" s="314"/>
      <c r="K7779" s="454"/>
      <c r="M7779" s="349" t="str">
        <f>N7779&amp;AS[[#This Row],[Insurer Code]]&amp;"; "&amp;O7779&amp;AS[[#This Row],[Reporting Year]]&amp;"; "&amp;P7779&amp;AS[[#This Row],[Insurance Category Code]]&amp;"; "&amp;Q7779&amp;AS[[#This Row],[Large Provider Entity Code]]&amp;"; "&amp;R7779&amp;AS[[#This Row],[Age Band Code]]&amp;"; "&amp;S7779&amp;AS[[#This Row],[Sex Code]]</f>
        <v xml:space="preserve">Insurer Code ; Reporting Year ; Insurance Category Code ; Large Provider Entity Code ; Age Band Code ; Sex Code </v>
      </c>
      <c r="N7779" s="345" t="s">
        <v>207</v>
      </c>
      <c r="O7779" s="345" t="s">
        <v>208</v>
      </c>
      <c r="P7779" s="345" t="s">
        <v>209</v>
      </c>
      <c r="Q7779" s="345" t="s">
        <v>210</v>
      </c>
      <c r="R7779" s="345" t="s">
        <v>223</v>
      </c>
      <c r="S7779" s="345" t="s">
        <v>224</v>
      </c>
    </row>
    <row r="7780" spans="1:19" x14ac:dyDescent="0.25">
      <c r="A7780" s="311"/>
      <c r="B7780" s="312"/>
      <c r="C7780" s="312"/>
      <c r="D7780" s="312"/>
      <c r="E7780" s="312"/>
      <c r="F7780" s="312"/>
      <c r="G7780" s="328"/>
      <c r="H7780" s="453"/>
      <c r="I7780" s="334"/>
      <c r="J7780" s="314"/>
      <c r="K7780" s="454"/>
      <c r="M7780" s="349" t="str">
        <f>N7780&amp;AS[[#This Row],[Insurer Code]]&amp;"; "&amp;O7780&amp;AS[[#This Row],[Reporting Year]]&amp;"; "&amp;P7780&amp;AS[[#This Row],[Insurance Category Code]]&amp;"; "&amp;Q7780&amp;AS[[#This Row],[Large Provider Entity Code]]&amp;"; "&amp;R7780&amp;AS[[#This Row],[Age Band Code]]&amp;"; "&amp;S7780&amp;AS[[#This Row],[Sex Code]]</f>
        <v xml:space="preserve">Insurer Code ; Reporting Year ; Insurance Category Code ; Large Provider Entity Code ; Age Band Code ; Sex Code </v>
      </c>
      <c r="N7780" s="345" t="s">
        <v>207</v>
      </c>
      <c r="O7780" s="345" t="s">
        <v>208</v>
      </c>
      <c r="P7780" s="345" t="s">
        <v>209</v>
      </c>
      <c r="Q7780" s="345" t="s">
        <v>210</v>
      </c>
      <c r="R7780" s="345" t="s">
        <v>223</v>
      </c>
      <c r="S7780" s="345" t="s">
        <v>224</v>
      </c>
    </row>
    <row r="7781" spans="1:19" x14ac:dyDescent="0.25">
      <c r="A7781" s="311"/>
      <c r="B7781" s="312"/>
      <c r="C7781" s="312"/>
      <c r="D7781" s="312"/>
      <c r="E7781" s="312"/>
      <c r="F7781" s="312"/>
      <c r="G7781" s="328"/>
      <c r="H7781" s="453"/>
      <c r="I7781" s="334"/>
      <c r="J7781" s="314"/>
      <c r="K7781" s="454"/>
      <c r="M7781" s="349" t="str">
        <f>N7781&amp;AS[[#This Row],[Insurer Code]]&amp;"; "&amp;O7781&amp;AS[[#This Row],[Reporting Year]]&amp;"; "&amp;P7781&amp;AS[[#This Row],[Insurance Category Code]]&amp;"; "&amp;Q7781&amp;AS[[#This Row],[Large Provider Entity Code]]&amp;"; "&amp;R7781&amp;AS[[#This Row],[Age Band Code]]&amp;"; "&amp;S7781&amp;AS[[#This Row],[Sex Code]]</f>
        <v xml:space="preserve">Insurer Code ; Reporting Year ; Insurance Category Code ; Large Provider Entity Code ; Age Band Code ; Sex Code </v>
      </c>
      <c r="N7781" s="345" t="s">
        <v>207</v>
      </c>
      <c r="O7781" s="345" t="s">
        <v>208</v>
      </c>
      <c r="P7781" s="345" t="s">
        <v>209</v>
      </c>
      <c r="Q7781" s="345" t="s">
        <v>210</v>
      </c>
      <c r="R7781" s="345" t="s">
        <v>223</v>
      </c>
      <c r="S7781" s="345" t="s">
        <v>224</v>
      </c>
    </row>
    <row r="7782" spans="1:19" x14ac:dyDescent="0.25">
      <c r="A7782" s="311"/>
      <c r="B7782" s="312"/>
      <c r="C7782" s="312"/>
      <c r="D7782" s="312"/>
      <c r="E7782" s="312"/>
      <c r="F7782" s="312"/>
      <c r="G7782" s="328"/>
      <c r="H7782" s="453"/>
      <c r="I7782" s="334"/>
      <c r="J7782" s="314"/>
      <c r="K7782" s="454"/>
      <c r="M7782" s="349" t="str">
        <f>N7782&amp;AS[[#This Row],[Insurer Code]]&amp;"; "&amp;O7782&amp;AS[[#This Row],[Reporting Year]]&amp;"; "&amp;P7782&amp;AS[[#This Row],[Insurance Category Code]]&amp;"; "&amp;Q7782&amp;AS[[#This Row],[Large Provider Entity Code]]&amp;"; "&amp;R7782&amp;AS[[#This Row],[Age Band Code]]&amp;"; "&amp;S7782&amp;AS[[#This Row],[Sex Code]]</f>
        <v xml:space="preserve">Insurer Code ; Reporting Year ; Insurance Category Code ; Large Provider Entity Code ; Age Band Code ; Sex Code </v>
      </c>
      <c r="N7782" s="345" t="s">
        <v>207</v>
      </c>
      <c r="O7782" s="345" t="s">
        <v>208</v>
      </c>
      <c r="P7782" s="345" t="s">
        <v>209</v>
      </c>
      <c r="Q7782" s="345" t="s">
        <v>210</v>
      </c>
      <c r="R7782" s="345" t="s">
        <v>223</v>
      </c>
      <c r="S7782" s="345" t="s">
        <v>224</v>
      </c>
    </row>
    <row r="7783" spans="1:19" x14ac:dyDescent="0.25">
      <c r="A7783" s="311"/>
      <c r="B7783" s="312"/>
      <c r="C7783" s="312"/>
      <c r="D7783" s="312"/>
      <c r="E7783" s="312"/>
      <c r="F7783" s="312"/>
      <c r="G7783" s="328"/>
      <c r="H7783" s="453"/>
      <c r="I7783" s="334"/>
      <c r="J7783" s="314"/>
      <c r="K7783" s="454"/>
      <c r="M7783" s="349" t="str">
        <f>N7783&amp;AS[[#This Row],[Insurer Code]]&amp;"; "&amp;O7783&amp;AS[[#This Row],[Reporting Year]]&amp;"; "&amp;P7783&amp;AS[[#This Row],[Insurance Category Code]]&amp;"; "&amp;Q7783&amp;AS[[#This Row],[Large Provider Entity Code]]&amp;"; "&amp;R7783&amp;AS[[#This Row],[Age Band Code]]&amp;"; "&amp;S7783&amp;AS[[#This Row],[Sex Code]]</f>
        <v xml:space="preserve">Insurer Code ; Reporting Year ; Insurance Category Code ; Large Provider Entity Code ; Age Band Code ; Sex Code </v>
      </c>
      <c r="N7783" s="345" t="s">
        <v>207</v>
      </c>
      <c r="O7783" s="345" t="s">
        <v>208</v>
      </c>
      <c r="P7783" s="345" t="s">
        <v>209</v>
      </c>
      <c r="Q7783" s="345" t="s">
        <v>210</v>
      </c>
      <c r="R7783" s="345" t="s">
        <v>223</v>
      </c>
      <c r="S7783" s="345" t="s">
        <v>224</v>
      </c>
    </row>
    <row r="7784" spans="1:19" x14ac:dyDescent="0.25">
      <c r="A7784" s="311"/>
      <c r="B7784" s="312"/>
      <c r="C7784" s="312"/>
      <c r="D7784" s="312"/>
      <c r="E7784" s="312"/>
      <c r="F7784" s="312"/>
      <c r="G7784" s="328"/>
      <c r="H7784" s="453"/>
      <c r="I7784" s="334"/>
      <c r="J7784" s="314"/>
      <c r="K7784" s="454"/>
      <c r="M7784" s="349" t="str">
        <f>N7784&amp;AS[[#This Row],[Insurer Code]]&amp;"; "&amp;O7784&amp;AS[[#This Row],[Reporting Year]]&amp;"; "&amp;P7784&amp;AS[[#This Row],[Insurance Category Code]]&amp;"; "&amp;Q7784&amp;AS[[#This Row],[Large Provider Entity Code]]&amp;"; "&amp;R7784&amp;AS[[#This Row],[Age Band Code]]&amp;"; "&amp;S7784&amp;AS[[#This Row],[Sex Code]]</f>
        <v xml:space="preserve">Insurer Code ; Reporting Year ; Insurance Category Code ; Large Provider Entity Code ; Age Band Code ; Sex Code </v>
      </c>
      <c r="N7784" s="345" t="s">
        <v>207</v>
      </c>
      <c r="O7784" s="345" t="s">
        <v>208</v>
      </c>
      <c r="P7784" s="345" t="s">
        <v>209</v>
      </c>
      <c r="Q7784" s="345" t="s">
        <v>210</v>
      </c>
      <c r="R7784" s="345" t="s">
        <v>223</v>
      </c>
      <c r="S7784" s="345" t="s">
        <v>224</v>
      </c>
    </row>
    <row r="7785" spans="1:19" x14ac:dyDescent="0.25">
      <c r="A7785" s="311"/>
      <c r="B7785" s="312"/>
      <c r="C7785" s="312"/>
      <c r="D7785" s="312"/>
      <c r="E7785" s="312"/>
      <c r="F7785" s="312"/>
      <c r="G7785" s="328"/>
      <c r="H7785" s="453"/>
      <c r="I7785" s="334"/>
      <c r="J7785" s="314"/>
      <c r="K7785" s="454"/>
      <c r="M7785" s="349" t="str">
        <f>N7785&amp;AS[[#This Row],[Insurer Code]]&amp;"; "&amp;O7785&amp;AS[[#This Row],[Reporting Year]]&amp;"; "&amp;P7785&amp;AS[[#This Row],[Insurance Category Code]]&amp;"; "&amp;Q7785&amp;AS[[#This Row],[Large Provider Entity Code]]&amp;"; "&amp;R7785&amp;AS[[#This Row],[Age Band Code]]&amp;"; "&amp;S7785&amp;AS[[#This Row],[Sex Code]]</f>
        <v xml:space="preserve">Insurer Code ; Reporting Year ; Insurance Category Code ; Large Provider Entity Code ; Age Band Code ; Sex Code </v>
      </c>
      <c r="N7785" s="345" t="s">
        <v>207</v>
      </c>
      <c r="O7785" s="345" t="s">
        <v>208</v>
      </c>
      <c r="P7785" s="345" t="s">
        <v>209</v>
      </c>
      <c r="Q7785" s="345" t="s">
        <v>210</v>
      </c>
      <c r="R7785" s="345" t="s">
        <v>223</v>
      </c>
      <c r="S7785" s="345" t="s">
        <v>224</v>
      </c>
    </row>
    <row r="7786" spans="1:19" x14ac:dyDescent="0.25">
      <c r="A7786" s="311"/>
      <c r="B7786" s="312"/>
      <c r="C7786" s="312"/>
      <c r="D7786" s="312"/>
      <c r="E7786" s="312"/>
      <c r="F7786" s="312"/>
      <c r="G7786" s="328"/>
      <c r="H7786" s="453"/>
      <c r="I7786" s="334"/>
      <c r="J7786" s="314"/>
      <c r="K7786" s="454"/>
      <c r="M7786" s="349" t="str">
        <f>N7786&amp;AS[[#This Row],[Insurer Code]]&amp;"; "&amp;O7786&amp;AS[[#This Row],[Reporting Year]]&amp;"; "&amp;P7786&amp;AS[[#This Row],[Insurance Category Code]]&amp;"; "&amp;Q7786&amp;AS[[#This Row],[Large Provider Entity Code]]&amp;"; "&amp;R7786&amp;AS[[#This Row],[Age Band Code]]&amp;"; "&amp;S7786&amp;AS[[#This Row],[Sex Code]]</f>
        <v xml:space="preserve">Insurer Code ; Reporting Year ; Insurance Category Code ; Large Provider Entity Code ; Age Band Code ; Sex Code </v>
      </c>
      <c r="N7786" s="345" t="s">
        <v>207</v>
      </c>
      <c r="O7786" s="345" t="s">
        <v>208</v>
      </c>
      <c r="P7786" s="345" t="s">
        <v>209</v>
      </c>
      <c r="Q7786" s="345" t="s">
        <v>210</v>
      </c>
      <c r="R7786" s="345" t="s">
        <v>223</v>
      </c>
      <c r="S7786" s="345" t="s">
        <v>224</v>
      </c>
    </row>
    <row r="7787" spans="1:19" x14ac:dyDescent="0.25">
      <c r="A7787" s="311"/>
      <c r="B7787" s="312"/>
      <c r="C7787" s="312"/>
      <c r="D7787" s="312"/>
      <c r="E7787" s="312"/>
      <c r="F7787" s="312"/>
      <c r="G7787" s="328"/>
      <c r="H7787" s="453"/>
      <c r="I7787" s="334"/>
      <c r="J7787" s="314"/>
      <c r="K7787" s="454"/>
      <c r="M7787" s="349" t="str">
        <f>N7787&amp;AS[[#This Row],[Insurer Code]]&amp;"; "&amp;O7787&amp;AS[[#This Row],[Reporting Year]]&amp;"; "&amp;P7787&amp;AS[[#This Row],[Insurance Category Code]]&amp;"; "&amp;Q7787&amp;AS[[#This Row],[Large Provider Entity Code]]&amp;"; "&amp;R7787&amp;AS[[#This Row],[Age Band Code]]&amp;"; "&amp;S7787&amp;AS[[#This Row],[Sex Code]]</f>
        <v xml:space="preserve">Insurer Code ; Reporting Year ; Insurance Category Code ; Large Provider Entity Code ; Age Band Code ; Sex Code </v>
      </c>
      <c r="N7787" s="345" t="s">
        <v>207</v>
      </c>
      <c r="O7787" s="345" t="s">
        <v>208</v>
      </c>
      <c r="P7787" s="345" t="s">
        <v>209</v>
      </c>
      <c r="Q7787" s="345" t="s">
        <v>210</v>
      </c>
      <c r="R7787" s="345" t="s">
        <v>223</v>
      </c>
      <c r="S7787" s="345" t="s">
        <v>224</v>
      </c>
    </row>
    <row r="7788" spans="1:19" x14ac:dyDescent="0.25">
      <c r="A7788" s="311"/>
      <c r="B7788" s="312"/>
      <c r="C7788" s="312"/>
      <c r="D7788" s="312"/>
      <c r="E7788" s="312"/>
      <c r="F7788" s="312"/>
      <c r="G7788" s="328"/>
      <c r="H7788" s="453"/>
      <c r="I7788" s="334"/>
      <c r="J7788" s="314"/>
      <c r="K7788" s="454"/>
      <c r="M7788" s="349" t="str">
        <f>N7788&amp;AS[[#This Row],[Insurer Code]]&amp;"; "&amp;O7788&amp;AS[[#This Row],[Reporting Year]]&amp;"; "&amp;P7788&amp;AS[[#This Row],[Insurance Category Code]]&amp;"; "&amp;Q7788&amp;AS[[#This Row],[Large Provider Entity Code]]&amp;"; "&amp;R7788&amp;AS[[#This Row],[Age Band Code]]&amp;"; "&amp;S7788&amp;AS[[#This Row],[Sex Code]]</f>
        <v xml:space="preserve">Insurer Code ; Reporting Year ; Insurance Category Code ; Large Provider Entity Code ; Age Band Code ; Sex Code </v>
      </c>
      <c r="N7788" s="345" t="s">
        <v>207</v>
      </c>
      <c r="O7788" s="345" t="s">
        <v>208</v>
      </c>
      <c r="P7788" s="345" t="s">
        <v>209</v>
      </c>
      <c r="Q7788" s="345" t="s">
        <v>210</v>
      </c>
      <c r="R7788" s="345" t="s">
        <v>223</v>
      </c>
      <c r="S7788" s="345" t="s">
        <v>224</v>
      </c>
    </row>
    <row r="7789" spans="1:19" x14ac:dyDescent="0.25">
      <c r="A7789" s="311"/>
      <c r="B7789" s="312"/>
      <c r="C7789" s="312"/>
      <c r="D7789" s="312"/>
      <c r="E7789" s="312"/>
      <c r="F7789" s="312"/>
      <c r="G7789" s="328"/>
      <c r="H7789" s="453"/>
      <c r="I7789" s="334"/>
      <c r="J7789" s="314"/>
      <c r="K7789" s="454"/>
      <c r="M7789" s="349" t="str">
        <f>N7789&amp;AS[[#This Row],[Insurer Code]]&amp;"; "&amp;O7789&amp;AS[[#This Row],[Reporting Year]]&amp;"; "&amp;P7789&amp;AS[[#This Row],[Insurance Category Code]]&amp;"; "&amp;Q7789&amp;AS[[#This Row],[Large Provider Entity Code]]&amp;"; "&amp;R7789&amp;AS[[#This Row],[Age Band Code]]&amp;"; "&amp;S7789&amp;AS[[#This Row],[Sex Code]]</f>
        <v xml:space="preserve">Insurer Code ; Reporting Year ; Insurance Category Code ; Large Provider Entity Code ; Age Band Code ; Sex Code </v>
      </c>
      <c r="N7789" s="345" t="s">
        <v>207</v>
      </c>
      <c r="O7789" s="345" t="s">
        <v>208</v>
      </c>
      <c r="P7789" s="345" t="s">
        <v>209</v>
      </c>
      <c r="Q7789" s="345" t="s">
        <v>210</v>
      </c>
      <c r="R7789" s="345" t="s">
        <v>223</v>
      </c>
      <c r="S7789" s="345" t="s">
        <v>224</v>
      </c>
    </row>
    <row r="7790" spans="1:19" x14ac:dyDescent="0.25">
      <c r="A7790" s="311"/>
      <c r="B7790" s="312"/>
      <c r="C7790" s="312"/>
      <c r="D7790" s="312"/>
      <c r="E7790" s="312"/>
      <c r="F7790" s="312"/>
      <c r="G7790" s="328"/>
      <c r="H7790" s="453"/>
      <c r="I7790" s="334"/>
      <c r="J7790" s="314"/>
      <c r="K7790" s="454"/>
      <c r="M7790" s="349" t="str">
        <f>N7790&amp;AS[[#This Row],[Insurer Code]]&amp;"; "&amp;O7790&amp;AS[[#This Row],[Reporting Year]]&amp;"; "&amp;P7790&amp;AS[[#This Row],[Insurance Category Code]]&amp;"; "&amp;Q7790&amp;AS[[#This Row],[Large Provider Entity Code]]&amp;"; "&amp;R7790&amp;AS[[#This Row],[Age Band Code]]&amp;"; "&amp;S7790&amp;AS[[#This Row],[Sex Code]]</f>
        <v xml:space="preserve">Insurer Code ; Reporting Year ; Insurance Category Code ; Large Provider Entity Code ; Age Band Code ; Sex Code </v>
      </c>
      <c r="N7790" s="345" t="s">
        <v>207</v>
      </c>
      <c r="O7790" s="345" t="s">
        <v>208</v>
      </c>
      <c r="P7790" s="345" t="s">
        <v>209</v>
      </c>
      <c r="Q7790" s="345" t="s">
        <v>210</v>
      </c>
      <c r="R7790" s="345" t="s">
        <v>223</v>
      </c>
      <c r="S7790" s="345" t="s">
        <v>224</v>
      </c>
    </row>
    <row r="7791" spans="1:19" x14ac:dyDescent="0.25">
      <c r="A7791" s="311"/>
      <c r="B7791" s="312"/>
      <c r="C7791" s="312"/>
      <c r="D7791" s="312"/>
      <c r="E7791" s="312"/>
      <c r="F7791" s="312"/>
      <c r="G7791" s="328"/>
      <c r="H7791" s="453"/>
      <c r="I7791" s="334"/>
      <c r="J7791" s="314"/>
      <c r="K7791" s="454"/>
      <c r="M7791" s="349" t="str">
        <f>N7791&amp;AS[[#This Row],[Insurer Code]]&amp;"; "&amp;O7791&amp;AS[[#This Row],[Reporting Year]]&amp;"; "&amp;P7791&amp;AS[[#This Row],[Insurance Category Code]]&amp;"; "&amp;Q7791&amp;AS[[#This Row],[Large Provider Entity Code]]&amp;"; "&amp;R7791&amp;AS[[#This Row],[Age Band Code]]&amp;"; "&amp;S7791&amp;AS[[#This Row],[Sex Code]]</f>
        <v xml:space="preserve">Insurer Code ; Reporting Year ; Insurance Category Code ; Large Provider Entity Code ; Age Band Code ; Sex Code </v>
      </c>
      <c r="N7791" s="345" t="s">
        <v>207</v>
      </c>
      <c r="O7791" s="345" t="s">
        <v>208</v>
      </c>
      <c r="P7791" s="345" t="s">
        <v>209</v>
      </c>
      <c r="Q7791" s="345" t="s">
        <v>210</v>
      </c>
      <c r="R7791" s="345" t="s">
        <v>223</v>
      </c>
      <c r="S7791" s="345" t="s">
        <v>224</v>
      </c>
    </row>
    <row r="7792" spans="1:19" x14ac:dyDescent="0.25">
      <c r="A7792" s="311"/>
      <c r="B7792" s="312"/>
      <c r="C7792" s="312"/>
      <c r="D7792" s="312"/>
      <c r="E7792" s="312"/>
      <c r="F7792" s="312"/>
      <c r="G7792" s="328"/>
      <c r="H7792" s="453"/>
      <c r="I7792" s="334"/>
      <c r="J7792" s="314"/>
      <c r="K7792" s="454"/>
      <c r="M7792" s="349" t="str">
        <f>N7792&amp;AS[[#This Row],[Insurer Code]]&amp;"; "&amp;O7792&amp;AS[[#This Row],[Reporting Year]]&amp;"; "&amp;P7792&amp;AS[[#This Row],[Insurance Category Code]]&amp;"; "&amp;Q7792&amp;AS[[#This Row],[Large Provider Entity Code]]&amp;"; "&amp;R7792&amp;AS[[#This Row],[Age Band Code]]&amp;"; "&amp;S7792&amp;AS[[#This Row],[Sex Code]]</f>
        <v xml:space="preserve">Insurer Code ; Reporting Year ; Insurance Category Code ; Large Provider Entity Code ; Age Band Code ; Sex Code </v>
      </c>
      <c r="N7792" s="345" t="s">
        <v>207</v>
      </c>
      <c r="O7792" s="345" t="s">
        <v>208</v>
      </c>
      <c r="P7792" s="345" t="s">
        <v>209</v>
      </c>
      <c r="Q7792" s="345" t="s">
        <v>210</v>
      </c>
      <c r="R7792" s="345" t="s">
        <v>223</v>
      </c>
      <c r="S7792" s="345" t="s">
        <v>224</v>
      </c>
    </row>
    <row r="7793" spans="1:19" x14ac:dyDescent="0.25">
      <c r="A7793" s="311"/>
      <c r="B7793" s="312"/>
      <c r="C7793" s="312"/>
      <c r="D7793" s="312"/>
      <c r="E7793" s="312"/>
      <c r="F7793" s="312"/>
      <c r="G7793" s="328"/>
      <c r="H7793" s="453"/>
      <c r="I7793" s="334"/>
      <c r="J7793" s="314"/>
      <c r="K7793" s="454"/>
      <c r="M7793" s="349" t="str">
        <f>N7793&amp;AS[[#This Row],[Insurer Code]]&amp;"; "&amp;O7793&amp;AS[[#This Row],[Reporting Year]]&amp;"; "&amp;P7793&amp;AS[[#This Row],[Insurance Category Code]]&amp;"; "&amp;Q7793&amp;AS[[#This Row],[Large Provider Entity Code]]&amp;"; "&amp;R7793&amp;AS[[#This Row],[Age Band Code]]&amp;"; "&amp;S7793&amp;AS[[#This Row],[Sex Code]]</f>
        <v xml:space="preserve">Insurer Code ; Reporting Year ; Insurance Category Code ; Large Provider Entity Code ; Age Band Code ; Sex Code </v>
      </c>
      <c r="N7793" s="345" t="s">
        <v>207</v>
      </c>
      <c r="O7793" s="345" t="s">
        <v>208</v>
      </c>
      <c r="P7793" s="345" t="s">
        <v>209</v>
      </c>
      <c r="Q7793" s="345" t="s">
        <v>210</v>
      </c>
      <c r="R7793" s="345" t="s">
        <v>223</v>
      </c>
      <c r="S7793" s="345" t="s">
        <v>224</v>
      </c>
    </row>
    <row r="7794" spans="1:19" x14ac:dyDescent="0.25">
      <c r="A7794" s="311"/>
      <c r="B7794" s="312"/>
      <c r="C7794" s="312"/>
      <c r="D7794" s="312"/>
      <c r="E7794" s="312"/>
      <c r="F7794" s="312"/>
      <c r="G7794" s="328"/>
      <c r="H7794" s="453"/>
      <c r="I7794" s="334"/>
      <c r="J7794" s="314"/>
      <c r="K7794" s="454"/>
      <c r="M7794" s="349" t="str">
        <f>N7794&amp;AS[[#This Row],[Insurer Code]]&amp;"; "&amp;O7794&amp;AS[[#This Row],[Reporting Year]]&amp;"; "&amp;P7794&amp;AS[[#This Row],[Insurance Category Code]]&amp;"; "&amp;Q7794&amp;AS[[#This Row],[Large Provider Entity Code]]&amp;"; "&amp;R7794&amp;AS[[#This Row],[Age Band Code]]&amp;"; "&amp;S7794&amp;AS[[#This Row],[Sex Code]]</f>
        <v xml:space="preserve">Insurer Code ; Reporting Year ; Insurance Category Code ; Large Provider Entity Code ; Age Band Code ; Sex Code </v>
      </c>
      <c r="N7794" s="345" t="s">
        <v>207</v>
      </c>
      <c r="O7794" s="345" t="s">
        <v>208</v>
      </c>
      <c r="P7794" s="345" t="s">
        <v>209</v>
      </c>
      <c r="Q7794" s="345" t="s">
        <v>210</v>
      </c>
      <c r="R7794" s="345" t="s">
        <v>223</v>
      </c>
      <c r="S7794" s="345" t="s">
        <v>224</v>
      </c>
    </row>
    <row r="7795" spans="1:19" x14ac:dyDescent="0.25">
      <c r="A7795" s="311"/>
      <c r="B7795" s="312"/>
      <c r="C7795" s="312"/>
      <c r="D7795" s="312"/>
      <c r="E7795" s="312"/>
      <c r="F7795" s="312"/>
      <c r="G7795" s="328"/>
      <c r="H7795" s="453"/>
      <c r="I7795" s="334"/>
      <c r="J7795" s="314"/>
      <c r="K7795" s="454"/>
      <c r="M7795" s="349" t="str">
        <f>N7795&amp;AS[[#This Row],[Insurer Code]]&amp;"; "&amp;O7795&amp;AS[[#This Row],[Reporting Year]]&amp;"; "&amp;P7795&amp;AS[[#This Row],[Insurance Category Code]]&amp;"; "&amp;Q7795&amp;AS[[#This Row],[Large Provider Entity Code]]&amp;"; "&amp;R7795&amp;AS[[#This Row],[Age Band Code]]&amp;"; "&amp;S7795&amp;AS[[#This Row],[Sex Code]]</f>
        <v xml:space="preserve">Insurer Code ; Reporting Year ; Insurance Category Code ; Large Provider Entity Code ; Age Band Code ; Sex Code </v>
      </c>
      <c r="N7795" s="345" t="s">
        <v>207</v>
      </c>
      <c r="O7795" s="345" t="s">
        <v>208</v>
      </c>
      <c r="P7795" s="345" t="s">
        <v>209</v>
      </c>
      <c r="Q7795" s="345" t="s">
        <v>210</v>
      </c>
      <c r="R7795" s="345" t="s">
        <v>223</v>
      </c>
      <c r="S7795" s="345" t="s">
        <v>224</v>
      </c>
    </row>
    <row r="7796" spans="1:19" x14ac:dyDescent="0.25">
      <c r="A7796" s="311"/>
      <c r="B7796" s="312"/>
      <c r="C7796" s="312"/>
      <c r="D7796" s="312"/>
      <c r="E7796" s="312"/>
      <c r="F7796" s="312"/>
      <c r="G7796" s="328"/>
      <c r="H7796" s="453"/>
      <c r="I7796" s="334"/>
      <c r="J7796" s="314"/>
      <c r="K7796" s="454"/>
      <c r="M7796" s="349" t="str">
        <f>N7796&amp;AS[[#This Row],[Insurer Code]]&amp;"; "&amp;O7796&amp;AS[[#This Row],[Reporting Year]]&amp;"; "&amp;P7796&amp;AS[[#This Row],[Insurance Category Code]]&amp;"; "&amp;Q7796&amp;AS[[#This Row],[Large Provider Entity Code]]&amp;"; "&amp;R7796&amp;AS[[#This Row],[Age Band Code]]&amp;"; "&amp;S7796&amp;AS[[#This Row],[Sex Code]]</f>
        <v xml:space="preserve">Insurer Code ; Reporting Year ; Insurance Category Code ; Large Provider Entity Code ; Age Band Code ; Sex Code </v>
      </c>
      <c r="N7796" s="345" t="s">
        <v>207</v>
      </c>
      <c r="O7796" s="345" t="s">
        <v>208</v>
      </c>
      <c r="P7796" s="345" t="s">
        <v>209</v>
      </c>
      <c r="Q7796" s="345" t="s">
        <v>210</v>
      </c>
      <c r="R7796" s="345" t="s">
        <v>223</v>
      </c>
      <c r="S7796" s="345" t="s">
        <v>224</v>
      </c>
    </row>
    <row r="7797" spans="1:19" x14ac:dyDescent="0.25">
      <c r="A7797" s="311"/>
      <c r="B7797" s="312"/>
      <c r="C7797" s="312"/>
      <c r="D7797" s="312"/>
      <c r="E7797" s="312"/>
      <c r="F7797" s="312"/>
      <c r="G7797" s="328"/>
      <c r="H7797" s="453"/>
      <c r="I7797" s="334"/>
      <c r="J7797" s="314"/>
      <c r="K7797" s="454"/>
      <c r="M7797" s="349" t="str">
        <f>N7797&amp;AS[[#This Row],[Insurer Code]]&amp;"; "&amp;O7797&amp;AS[[#This Row],[Reporting Year]]&amp;"; "&amp;P7797&amp;AS[[#This Row],[Insurance Category Code]]&amp;"; "&amp;Q7797&amp;AS[[#This Row],[Large Provider Entity Code]]&amp;"; "&amp;R7797&amp;AS[[#This Row],[Age Band Code]]&amp;"; "&amp;S7797&amp;AS[[#This Row],[Sex Code]]</f>
        <v xml:space="preserve">Insurer Code ; Reporting Year ; Insurance Category Code ; Large Provider Entity Code ; Age Band Code ; Sex Code </v>
      </c>
      <c r="N7797" s="345" t="s">
        <v>207</v>
      </c>
      <c r="O7797" s="345" t="s">
        <v>208</v>
      </c>
      <c r="P7797" s="345" t="s">
        <v>209</v>
      </c>
      <c r="Q7797" s="345" t="s">
        <v>210</v>
      </c>
      <c r="R7797" s="345" t="s">
        <v>223</v>
      </c>
      <c r="S7797" s="345" t="s">
        <v>224</v>
      </c>
    </row>
    <row r="7798" spans="1:19" x14ac:dyDescent="0.25">
      <c r="A7798" s="311"/>
      <c r="B7798" s="312"/>
      <c r="C7798" s="312"/>
      <c r="D7798" s="312"/>
      <c r="E7798" s="312"/>
      <c r="F7798" s="312"/>
      <c r="G7798" s="328"/>
      <c r="H7798" s="453"/>
      <c r="I7798" s="334"/>
      <c r="J7798" s="314"/>
      <c r="K7798" s="454"/>
      <c r="M7798" s="349" t="str">
        <f>N7798&amp;AS[[#This Row],[Insurer Code]]&amp;"; "&amp;O7798&amp;AS[[#This Row],[Reporting Year]]&amp;"; "&amp;P7798&amp;AS[[#This Row],[Insurance Category Code]]&amp;"; "&amp;Q7798&amp;AS[[#This Row],[Large Provider Entity Code]]&amp;"; "&amp;R7798&amp;AS[[#This Row],[Age Band Code]]&amp;"; "&amp;S7798&amp;AS[[#This Row],[Sex Code]]</f>
        <v xml:space="preserve">Insurer Code ; Reporting Year ; Insurance Category Code ; Large Provider Entity Code ; Age Band Code ; Sex Code </v>
      </c>
      <c r="N7798" s="345" t="s">
        <v>207</v>
      </c>
      <c r="O7798" s="345" t="s">
        <v>208</v>
      </c>
      <c r="P7798" s="345" t="s">
        <v>209</v>
      </c>
      <c r="Q7798" s="345" t="s">
        <v>210</v>
      </c>
      <c r="R7798" s="345" t="s">
        <v>223</v>
      </c>
      <c r="S7798" s="345" t="s">
        <v>224</v>
      </c>
    </row>
    <row r="7799" spans="1:19" x14ac:dyDescent="0.25">
      <c r="A7799" s="311"/>
      <c r="B7799" s="312"/>
      <c r="C7799" s="312"/>
      <c r="D7799" s="312"/>
      <c r="E7799" s="312"/>
      <c r="F7799" s="312"/>
      <c r="G7799" s="328"/>
      <c r="H7799" s="453"/>
      <c r="I7799" s="334"/>
      <c r="J7799" s="314"/>
      <c r="K7799" s="454"/>
      <c r="M7799" s="349" t="str">
        <f>N7799&amp;AS[[#This Row],[Insurer Code]]&amp;"; "&amp;O7799&amp;AS[[#This Row],[Reporting Year]]&amp;"; "&amp;P7799&amp;AS[[#This Row],[Insurance Category Code]]&amp;"; "&amp;Q7799&amp;AS[[#This Row],[Large Provider Entity Code]]&amp;"; "&amp;R7799&amp;AS[[#This Row],[Age Band Code]]&amp;"; "&amp;S7799&amp;AS[[#This Row],[Sex Code]]</f>
        <v xml:space="preserve">Insurer Code ; Reporting Year ; Insurance Category Code ; Large Provider Entity Code ; Age Band Code ; Sex Code </v>
      </c>
      <c r="N7799" s="345" t="s">
        <v>207</v>
      </c>
      <c r="O7799" s="345" t="s">
        <v>208</v>
      </c>
      <c r="P7799" s="345" t="s">
        <v>209</v>
      </c>
      <c r="Q7799" s="345" t="s">
        <v>210</v>
      </c>
      <c r="R7799" s="345" t="s">
        <v>223</v>
      </c>
      <c r="S7799" s="345" t="s">
        <v>224</v>
      </c>
    </row>
    <row r="7800" spans="1:19" x14ac:dyDescent="0.25">
      <c r="A7800" s="311"/>
      <c r="B7800" s="312"/>
      <c r="C7800" s="312"/>
      <c r="D7800" s="312"/>
      <c r="E7800" s="312"/>
      <c r="F7800" s="312"/>
      <c r="G7800" s="328"/>
      <c r="H7800" s="453"/>
      <c r="I7800" s="334"/>
      <c r="J7800" s="314"/>
      <c r="K7800" s="454"/>
      <c r="M7800" s="349" t="str">
        <f>N7800&amp;AS[[#This Row],[Insurer Code]]&amp;"; "&amp;O7800&amp;AS[[#This Row],[Reporting Year]]&amp;"; "&amp;P7800&amp;AS[[#This Row],[Insurance Category Code]]&amp;"; "&amp;Q7800&amp;AS[[#This Row],[Large Provider Entity Code]]&amp;"; "&amp;R7800&amp;AS[[#This Row],[Age Band Code]]&amp;"; "&amp;S7800&amp;AS[[#This Row],[Sex Code]]</f>
        <v xml:space="preserve">Insurer Code ; Reporting Year ; Insurance Category Code ; Large Provider Entity Code ; Age Band Code ; Sex Code </v>
      </c>
      <c r="N7800" s="345" t="s">
        <v>207</v>
      </c>
      <c r="O7800" s="345" t="s">
        <v>208</v>
      </c>
      <c r="P7800" s="345" t="s">
        <v>209</v>
      </c>
      <c r="Q7800" s="345" t="s">
        <v>210</v>
      </c>
      <c r="R7800" s="345" t="s">
        <v>223</v>
      </c>
      <c r="S7800" s="345" t="s">
        <v>224</v>
      </c>
    </row>
    <row r="7801" spans="1:19" x14ac:dyDescent="0.25">
      <c r="A7801" s="311"/>
      <c r="B7801" s="312"/>
      <c r="C7801" s="312"/>
      <c r="D7801" s="312"/>
      <c r="E7801" s="312"/>
      <c r="F7801" s="312"/>
      <c r="G7801" s="328"/>
      <c r="H7801" s="453"/>
      <c r="I7801" s="334"/>
      <c r="J7801" s="314"/>
      <c r="K7801" s="454"/>
      <c r="M7801" s="349" t="str">
        <f>N7801&amp;AS[[#This Row],[Insurer Code]]&amp;"; "&amp;O7801&amp;AS[[#This Row],[Reporting Year]]&amp;"; "&amp;P7801&amp;AS[[#This Row],[Insurance Category Code]]&amp;"; "&amp;Q7801&amp;AS[[#This Row],[Large Provider Entity Code]]&amp;"; "&amp;R7801&amp;AS[[#This Row],[Age Band Code]]&amp;"; "&amp;S7801&amp;AS[[#This Row],[Sex Code]]</f>
        <v xml:space="preserve">Insurer Code ; Reporting Year ; Insurance Category Code ; Large Provider Entity Code ; Age Band Code ; Sex Code </v>
      </c>
      <c r="N7801" s="345" t="s">
        <v>207</v>
      </c>
      <c r="O7801" s="345" t="s">
        <v>208</v>
      </c>
      <c r="P7801" s="345" t="s">
        <v>209</v>
      </c>
      <c r="Q7801" s="345" t="s">
        <v>210</v>
      </c>
      <c r="R7801" s="345" t="s">
        <v>223</v>
      </c>
      <c r="S7801" s="345" t="s">
        <v>224</v>
      </c>
    </row>
    <row r="7802" spans="1:19" x14ac:dyDescent="0.25">
      <c r="A7802" s="311"/>
      <c r="B7802" s="312"/>
      <c r="C7802" s="312"/>
      <c r="D7802" s="312"/>
      <c r="E7802" s="312"/>
      <c r="F7802" s="312"/>
      <c r="G7802" s="328"/>
      <c r="H7802" s="453"/>
      <c r="I7802" s="334"/>
      <c r="J7802" s="314"/>
      <c r="K7802" s="454"/>
      <c r="M7802" s="349" t="str">
        <f>N7802&amp;AS[[#This Row],[Insurer Code]]&amp;"; "&amp;O7802&amp;AS[[#This Row],[Reporting Year]]&amp;"; "&amp;P7802&amp;AS[[#This Row],[Insurance Category Code]]&amp;"; "&amp;Q7802&amp;AS[[#This Row],[Large Provider Entity Code]]&amp;"; "&amp;R7802&amp;AS[[#This Row],[Age Band Code]]&amp;"; "&amp;S7802&amp;AS[[#This Row],[Sex Code]]</f>
        <v xml:space="preserve">Insurer Code ; Reporting Year ; Insurance Category Code ; Large Provider Entity Code ; Age Band Code ; Sex Code </v>
      </c>
      <c r="N7802" s="345" t="s">
        <v>207</v>
      </c>
      <c r="O7802" s="345" t="s">
        <v>208</v>
      </c>
      <c r="P7802" s="345" t="s">
        <v>209</v>
      </c>
      <c r="Q7802" s="345" t="s">
        <v>210</v>
      </c>
      <c r="R7802" s="345" t="s">
        <v>223</v>
      </c>
      <c r="S7802" s="345" t="s">
        <v>224</v>
      </c>
    </row>
    <row r="7803" spans="1:19" x14ac:dyDescent="0.25">
      <c r="A7803" s="311"/>
      <c r="B7803" s="312"/>
      <c r="C7803" s="312"/>
      <c r="D7803" s="312"/>
      <c r="E7803" s="312"/>
      <c r="F7803" s="312"/>
      <c r="G7803" s="328"/>
      <c r="H7803" s="453"/>
      <c r="I7803" s="334"/>
      <c r="J7803" s="314"/>
      <c r="K7803" s="454"/>
      <c r="M7803" s="349" t="str">
        <f>N7803&amp;AS[[#This Row],[Insurer Code]]&amp;"; "&amp;O7803&amp;AS[[#This Row],[Reporting Year]]&amp;"; "&amp;P7803&amp;AS[[#This Row],[Insurance Category Code]]&amp;"; "&amp;Q7803&amp;AS[[#This Row],[Large Provider Entity Code]]&amp;"; "&amp;R7803&amp;AS[[#This Row],[Age Band Code]]&amp;"; "&amp;S7803&amp;AS[[#This Row],[Sex Code]]</f>
        <v xml:space="preserve">Insurer Code ; Reporting Year ; Insurance Category Code ; Large Provider Entity Code ; Age Band Code ; Sex Code </v>
      </c>
      <c r="N7803" s="345" t="s">
        <v>207</v>
      </c>
      <c r="O7803" s="345" t="s">
        <v>208</v>
      </c>
      <c r="P7803" s="345" t="s">
        <v>209</v>
      </c>
      <c r="Q7803" s="345" t="s">
        <v>210</v>
      </c>
      <c r="R7803" s="345" t="s">
        <v>223</v>
      </c>
      <c r="S7803" s="345" t="s">
        <v>224</v>
      </c>
    </row>
    <row r="7804" spans="1:19" x14ac:dyDescent="0.25">
      <c r="A7804" s="311"/>
      <c r="B7804" s="312"/>
      <c r="C7804" s="312"/>
      <c r="D7804" s="312"/>
      <c r="E7804" s="312"/>
      <c r="F7804" s="312"/>
      <c r="G7804" s="328"/>
      <c r="H7804" s="453"/>
      <c r="I7804" s="334"/>
      <c r="J7804" s="314"/>
      <c r="K7804" s="454"/>
      <c r="M7804" s="349" t="str">
        <f>N7804&amp;AS[[#This Row],[Insurer Code]]&amp;"; "&amp;O7804&amp;AS[[#This Row],[Reporting Year]]&amp;"; "&amp;P7804&amp;AS[[#This Row],[Insurance Category Code]]&amp;"; "&amp;Q7804&amp;AS[[#This Row],[Large Provider Entity Code]]&amp;"; "&amp;R7804&amp;AS[[#This Row],[Age Band Code]]&amp;"; "&amp;S7804&amp;AS[[#This Row],[Sex Code]]</f>
        <v xml:space="preserve">Insurer Code ; Reporting Year ; Insurance Category Code ; Large Provider Entity Code ; Age Band Code ; Sex Code </v>
      </c>
      <c r="N7804" s="345" t="s">
        <v>207</v>
      </c>
      <c r="O7804" s="345" t="s">
        <v>208</v>
      </c>
      <c r="P7804" s="345" t="s">
        <v>209</v>
      </c>
      <c r="Q7804" s="345" t="s">
        <v>210</v>
      </c>
      <c r="R7804" s="345" t="s">
        <v>223</v>
      </c>
      <c r="S7804" s="345" t="s">
        <v>224</v>
      </c>
    </row>
    <row r="7805" spans="1:19" x14ac:dyDescent="0.25">
      <c r="A7805" s="311"/>
      <c r="B7805" s="312"/>
      <c r="C7805" s="312"/>
      <c r="D7805" s="312"/>
      <c r="E7805" s="312"/>
      <c r="F7805" s="312"/>
      <c r="G7805" s="328"/>
      <c r="H7805" s="453"/>
      <c r="I7805" s="334"/>
      <c r="J7805" s="314"/>
      <c r="K7805" s="454"/>
      <c r="M7805" s="349" t="str">
        <f>N7805&amp;AS[[#This Row],[Insurer Code]]&amp;"; "&amp;O7805&amp;AS[[#This Row],[Reporting Year]]&amp;"; "&amp;P7805&amp;AS[[#This Row],[Insurance Category Code]]&amp;"; "&amp;Q7805&amp;AS[[#This Row],[Large Provider Entity Code]]&amp;"; "&amp;R7805&amp;AS[[#This Row],[Age Band Code]]&amp;"; "&amp;S7805&amp;AS[[#This Row],[Sex Code]]</f>
        <v xml:space="preserve">Insurer Code ; Reporting Year ; Insurance Category Code ; Large Provider Entity Code ; Age Band Code ; Sex Code </v>
      </c>
      <c r="N7805" s="345" t="s">
        <v>207</v>
      </c>
      <c r="O7805" s="345" t="s">
        <v>208</v>
      </c>
      <c r="P7805" s="345" t="s">
        <v>209</v>
      </c>
      <c r="Q7805" s="345" t="s">
        <v>210</v>
      </c>
      <c r="R7805" s="345" t="s">
        <v>223</v>
      </c>
      <c r="S7805" s="345" t="s">
        <v>224</v>
      </c>
    </row>
    <row r="7806" spans="1:19" x14ac:dyDescent="0.25">
      <c r="A7806" s="311"/>
      <c r="B7806" s="312"/>
      <c r="C7806" s="312"/>
      <c r="D7806" s="312"/>
      <c r="E7806" s="312"/>
      <c r="F7806" s="312"/>
      <c r="G7806" s="328"/>
      <c r="H7806" s="453"/>
      <c r="I7806" s="334"/>
      <c r="J7806" s="314"/>
      <c r="K7806" s="454"/>
      <c r="M7806" s="349" t="str">
        <f>N7806&amp;AS[[#This Row],[Insurer Code]]&amp;"; "&amp;O7806&amp;AS[[#This Row],[Reporting Year]]&amp;"; "&amp;P7806&amp;AS[[#This Row],[Insurance Category Code]]&amp;"; "&amp;Q7806&amp;AS[[#This Row],[Large Provider Entity Code]]&amp;"; "&amp;R7806&amp;AS[[#This Row],[Age Band Code]]&amp;"; "&amp;S7806&amp;AS[[#This Row],[Sex Code]]</f>
        <v xml:space="preserve">Insurer Code ; Reporting Year ; Insurance Category Code ; Large Provider Entity Code ; Age Band Code ; Sex Code </v>
      </c>
      <c r="N7806" s="345" t="s">
        <v>207</v>
      </c>
      <c r="O7806" s="345" t="s">
        <v>208</v>
      </c>
      <c r="P7806" s="345" t="s">
        <v>209</v>
      </c>
      <c r="Q7806" s="345" t="s">
        <v>210</v>
      </c>
      <c r="R7806" s="345" t="s">
        <v>223</v>
      </c>
      <c r="S7806" s="345" t="s">
        <v>224</v>
      </c>
    </row>
    <row r="7807" spans="1:19" x14ac:dyDescent="0.25">
      <c r="A7807" s="311"/>
      <c r="B7807" s="312"/>
      <c r="C7807" s="312"/>
      <c r="D7807" s="312"/>
      <c r="E7807" s="312"/>
      <c r="F7807" s="312"/>
      <c r="G7807" s="328"/>
      <c r="H7807" s="453"/>
      <c r="I7807" s="334"/>
      <c r="J7807" s="314"/>
      <c r="K7807" s="454"/>
      <c r="M7807" s="349" t="str">
        <f>N7807&amp;AS[[#This Row],[Insurer Code]]&amp;"; "&amp;O7807&amp;AS[[#This Row],[Reporting Year]]&amp;"; "&amp;P7807&amp;AS[[#This Row],[Insurance Category Code]]&amp;"; "&amp;Q7807&amp;AS[[#This Row],[Large Provider Entity Code]]&amp;"; "&amp;R7807&amp;AS[[#This Row],[Age Band Code]]&amp;"; "&amp;S7807&amp;AS[[#This Row],[Sex Code]]</f>
        <v xml:space="preserve">Insurer Code ; Reporting Year ; Insurance Category Code ; Large Provider Entity Code ; Age Band Code ; Sex Code </v>
      </c>
      <c r="N7807" s="345" t="s">
        <v>207</v>
      </c>
      <c r="O7807" s="345" t="s">
        <v>208</v>
      </c>
      <c r="P7807" s="345" t="s">
        <v>209</v>
      </c>
      <c r="Q7807" s="345" t="s">
        <v>210</v>
      </c>
      <c r="R7807" s="345" t="s">
        <v>223</v>
      </c>
      <c r="S7807" s="345" t="s">
        <v>224</v>
      </c>
    </row>
    <row r="7808" spans="1:19" x14ac:dyDescent="0.25">
      <c r="A7808" s="311"/>
      <c r="B7808" s="312"/>
      <c r="C7808" s="312"/>
      <c r="D7808" s="312"/>
      <c r="E7808" s="312"/>
      <c r="F7808" s="312"/>
      <c r="G7808" s="328"/>
      <c r="H7808" s="453"/>
      <c r="I7808" s="334"/>
      <c r="J7808" s="314"/>
      <c r="K7808" s="454"/>
      <c r="M7808" s="349" t="str">
        <f>N7808&amp;AS[[#This Row],[Insurer Code]]&amp;"; "&amp;O7808&amp;AS[[#This Row],[Reporting Year]]&amp;"; "&amp;P7808&amp;AS[[#This Row],[Insurance Category Code]]&amp;"; "&amp;Q7808&amp;AS[[#This Row],[Large Provider Entity Code]]&amp;"; "&amp;R7808&amp;AS[[#This Row],[Age Band Code]]&amp;"; "&amp;S7808&amp;AS[[#This Row],[Sex Code]]</f>
        <v xml:space="preserve">Insurer Code ; Reporting Year ; Insurance Category Code ; Large Provider Entity Code ; Age Band Code ; Sex Code </v>
      </c>
      <c r="N7808" s="345" t="s">
        <v>207</v>
      </c>
      <c r="O7808" s="345" t="s">
        <v>208</v>
      </c>
      <c r="P7808" s="345" t="s">
        <v>209</v>
      </c>
      <c r="Q7808" s="345" t="s">
        <v>210</v>
      </c>
      <c r="R7808" s="345" t="s">
        <v>223</v>
      </c>
      <c r="S7808" s="345" t="s">
        <v>224</v>
      </c>
    </row>
    <row r="7809" spans="1:19" x14ac:dyDescent="0.25">
      <c r="A7809" s="311"/>
      <c r="B7809" s="312"/>
      <c r="C7809" s="312"/>
      <c r="D7809" s="312"/>
      <c r="E7809" s="312"/>
      <c r="F7809" s="312"/>
      <c r="G7809" s="328"/>
      <c r="H7809" s="453"/>
      <c r="I7809" s="334"/>
      <c r="J7809" s="314"/>
      <c r="K7809" s="454"/>
      <c r="M7809" s="349" t="str">
        <f>N7809&amp;AS[[#This Row],[Insurer Code]]&amp;"; "&amp;O7809&amp;AS[[#This Row],[Reporting Year]]&amp;"; "&amp;P7809&amp;AS[[#This Row],[Insurance Category Code]]&amp;"; "&amp;Q7809&amp;AS[[#This Row],[Large Provider Entity Code]]&amp;"; "&amp;R7809&amp;AS[[#This Row],[Age Band Code]]&amp;"; "&amp;S7809&amp;AS[[#This Row],[Sex Code]]</f>
        <v xml:space="preserve">Insurer Code ; Reporting Year ; Insurance Category Code ; Large Provider Entity Code ; Age Band Code ; Sex Code </v>
      </c>
      <c r="N7809" s="345" t="s">
        <v>207</v>
      </c>
      <c r="O7809" s="345" t="s">
        <v>208</v>
      </c>
      <c r="P7809" s="345" t="s">
        <v>209</v>
      </c>
      <c r="Q7809" s="345" t="s">
        <v>210</v>
      </c>
      <c r="R7809" s="345" t="s">
        <v>223</v>
      </c>
      <c r="S7809" s="345" t="s">
        <v>224</v>
      </c>
    </row>
    <row r="7810" spans="1:19" x14ac:dyDescent="0.25">
      <c r="A7810" s="311"/>
      <c r="B7810" s="312"/>
      <c r="C7810" s="312"/>
      <c r="D7810" s="312"/>
      <c r="E7810" s="312"/>
      <c r="F7810" s="312"/>
      <c r="G7810" s="328"/>
      <c r="H7810" s="453"/>
      <c r="I7810" s="334"/>
      <c r="J7810" s="314"/>
      <c r="K7810" s="454"/>
      <c r="M7810" s="349" t="str">
        <f>N7810&amp;AS[[#This Row],[Insurer Code]]&amp;"; "&amp;O7810&amp;AS[[#This Row],[Reporting Year]]&amp;"; "&amp;P7810&amp;AS[[#This Row],[Insurance Category Code]]&amp;"; "&amp;Q7810&amp;AS[[#This Row],[Large Provider Entity Code]]&amp;"; "&amp;R7810&amp;AS[[#This Row],[Age Band Code]]&amp;"; "&amp;S7810&amp;AS[[#This Row],[Sex Code]]</f>
        <v xml:space="preserve">Insurer Code ; Reporting Year ; Insurance Category Code ; Large Provider Entity Code ; Age Band Code ; Sex Code </v>
      </c>
      <c r="N7810" s="345" t="s">
        <v>207</v>
      </c>
      <c r="O7810" s="345" t="s">
        <v>208</v>
      </c>
      <c r="P7810" s="345" t="s">
        <v>209</v>
      </c>
      <c r="Q7810" s="345" t="s">
        <v>210</v>
      </c>
      <c r="R7810" s="345" t="s">
        <v>223</v>
      </c>
      <c r="S7810" s="345" t="s">
        <v>224</v>
      </c>
    </row>
    <row r="7811" spans="1:19" x14ac:dyDescent="0.25">
      <c r="A7811" s="311"/>
      <c r="B7811" s="312"/>
      <c r="C7811" s="312"/>
      <c r="D7811" s="312"/>
      <c r="E7811" s="312"/>
      <c r="F7811" s="312"/>
      <c r="G7811" s="328"/>
      <c r="H7811" s="453"/>
      <c r="I7811" s="334"/>
      <c r="J7811" s="314"/>
      <c r="K7811" s="454"/>
      <c r="M7811" s="349" t="str">
        <f>N7811&amp;AS[[#This Row],[Insurer Code]]&amp;"; "&amp;O7811&amp;AS[[#This Row],[Reporting Year]]&amp;"; "&amp;P7811&amp;AS[[#This Row],[Insurance Category Code]]&amp;"; "&amp;Q7811&amp;AS[[#This Row],[Large Provider Entity Code]]&amp;"; "&amp;R7811&amp;AS[[#This Row],[Age Band Code]]&amp;"; "&amp;S7811&amp;AS[[#This Row],[Sex Code]]</f>
        <v xml:space="preserve">Insurer Code ; Reporting Year ; Insurance Category Code ; Large Provider Entity Code ; Age Band Code ; Sex Code </v>
      </c>
      <c r="N7811" s="345" t="s">
        <v>207</v>
      </c>
      <c r="O7811" s="345" t="s">
        <v>208</v>
      </c>
      <c r="P7811" s="345" t="s">
        <v>209</v>
      </c>
      <c r="Q7811" s="345" t="s">
        <v>210</v>
      </c>
      <c r="R7811" s="345" t="s">
        <v>223</v>
      </c>
      <c r="S7811" s="345" t="s">
        <v>224</v>
      </c>
    </row>
    <row r="7812" spans="1:19" x14ac:dyDescent="0.25">
      <c r="A7812" s="311"/>
      <c r="B7812" s="312"/>
      <c r="C7812" s="312"/>
      <c r="D7812" s="312"/>
      <c r="E7812" s="312"/>
      <c r="F7812" s="312"/>
      <c r="G7812" s="328"/>
      <c r="H7812" s="453"/>
      <c r="I7812" s="334"/>
      <c r="J7812" s="314"/>
      <c r="K7812" s="454"/>
      <c r="M7812" s="349" t="str">
        <f>N7812&amp;AS[[#This Row],[Insurer Code]]&amp;"; "&amp;O7812&amp;AS[[#This Row],[Reporting Year]]&amp;"; "&amp;P7812&amp;AS[[#This Row],[Insurance Category Code]]&amp;"; "&amp;Q7812&amp;AS[[#This Row],[Large Provider Entity Code]]&amp;"; "&amp;R7812&amp;AS[[#This Row],[Age Band Code]]&amp;"; "&amp;S7812&amp;AS[[#This Row],[Sex Code]]</f>
        <v xml:space="preserve">Insurer Code ; Reporting Year ; Insurance Category Code ; Large Provider Entity Code ; Age Band Code ; Sex Code </v>
      </c>
      <c r="N7812" s="345" t="s">
        <v>207</v>
      </c>
      <c r="O7812" s="345" t="s">
        <v>208</v>
      </c>
      <c r="P7812" s="345" t="s">
        <v>209</v>
      </c>
      <c r="Q7812" s="345" t="s">
        <v>210</v>
      </c>
      <c r="R7812" s="345" t="s">
        <v>223</v>
      </c>
      <c r="S7812" s="345" t="s">
        <v>224</v>
      </c>
    </row>
    <row r="7813" spans="1:19" x14ac:dyDescent="0.25">
      <c r="A7813" s="311"/>
      <c r="B7813" s="312"/>
      <c r="C7813" s="312"/>
      <c r="D7813" s="312"/>
      <c r="E7813" s="312"/>
      <c r="F7813" s="312"/>
      <c r="G7813" s="328"/>
      <c r="H7813" s="453"/>
      <c r="I7813" s="334"/>
      <c r="J7813" s="314"/>
      <c r="K7813" s="454"/>
      <c r="M7813" s="349" t="str">
        <f>N7813&amp;AS[[#This Row],[Insurer Code]]&amp;"; "&amp;O7813&amp;AS[[#This Row],[Reporting Year]]&amp;"; "&amp;P7813&amp;AS[[#This Row],[Insurance Category Code]]&amp;"; "&amp;Q7813&amp;AS[[#This Row],[Large Provider Entity Code]]&amp;"; "&amp;R7813&amp;AS[[#This Row],[Age Band Code]]&amp;"; "&amp;S7813&amp;AS[[#This Row],[Sex Code]]</f>
        <v xml:space="preserve">Insurer Code ; Reporting Year ; Insurance Category Code ; Large Provider Entity Code ; Age Band Code ; Sex Code </v>
      </c>
      <c r="N7813" s="345" t="s">
        <v>207</v>
      </c>
      <c r="O7813" s="345" t="s">
        <v>208</v>
      </c>
      <c r="P7813" s="345" t="s">
        <v>209</v>
      </c>
      <c r="Q7813" s="345" t="s">
        <v>210</v>
      </c>
      <c r="R7813" s="345" t="s">
        <v>223</v>
      </c>
      <c r="S7813" s="345" t="s">
        <v>224</v>
      </c>
    </row>
    <row r="7814" spans="1:19" x14ac:dyDescent="0.25">
      <c r="A7814" s="311"/>
      <c r="B7814" s="312"/>
      <c r="C7814" s="312"/>
      <c r="D7814" s="312"/>
      <c r="E7814" s="312"/>
      <c r="F7814" s="312"/>
      <c r="G7814" s="328"/>
      <c r="H7814" s="453"/>
      <c r="I7814" s="334"/>
      <c r="J7814" s="314"/>
      <c r="K7814" s="454"/>
      <c r="M7814" s="349" t="str">
        <f>N7814&amp;AS[[#This Row],[Insurer Code]]&amp;"; "&amp;O7814&amp;AS[[#This Row],[Reporting Year]]&amp;"; "&amp;P7814&amp;AS[[#This Row],[Insurance Category Code]]&amp;"; "&amp;Q7814&amp;AS[[#This Row],[Large Provider Entity Code]]&amp;"; "&amp;R7814&amp;AS[[#This Row],[Age Band Code]]&amp;"; "&amp;S7814&amp;AS[[#This Row],[Sex Code]]</f>
        <v xml:space="preserve">Insurer Code ; Reporting Year ; Insurance Category Code ; Large Provider Entity Code ; Age Band Code ; Sex Code </v>
      </c>
      <c r="N7814" s="345" t="s">
        <v>207</v>
      </c>
      <c r="O7814" s="345" t="s">
        <v>208</v>
      </c>
      <c r="P7814" s="345" t="s">
        <v>209</v>
      </c>
      <c r="Q7814" s="345" t="s">
        <v>210</v>
      </c>
      <c r="R7814" s="345" t="s">
        <v>223</v>
      </c>
      <c r="S7814" s="345" t="s">
        <v>224</v>
      </c>
    </row>
    <row r="7815" spans="1:19" x14ac:dyDescent="0.25">
      <c r="A7815" s="311"/>
      <c r="B7815" s="312"/>
      <c r="C7815" s="312"/>
      <c r="D7815" s="312"/>
      <c r="E7815" s="312"/>
      <c r="F7815" s="312"/>
      <c r="G7815" s="328"/>
      <c r="H7815" s="453"/>
      <c r="I7815" s="334"/>
      <c r="J7815" s="314"/>
      <c r="K7815" s="454"/>
      <c r="M7815" s="349" t="str">
        <f>N7815&amp;AS[[#This Row],[Insurer Code]]&amp;"; "&amp;O7815&amp;AS[[#This Row],[Reporting Year]]&amp;"; "&amp;P7815&amp;AS[[#This Row],[Insurance Category Code]]&amp;"; "&amp;Q7815&amp;AS[[#This Row],[Large Provider Entity Code]]&amp;"; "&amp;R7815&amp;AS[[#This Row],[Age Band Code]]&amp;"; "&amp;S7815&amp;AS[[#This Row],[Sex Code]]</f>
        <v xml:space="preserve">Insurer Code ; Reporting Year ; Insurance Category Code ; Large Provider Entity Code ; Age Band Code ; Sex Code </v>
      </c>
      <c r="N7815" s="345" t="s">
        <v>207</v>
      </c>
      <c r="O7815" s="345" t="s">
        <v>208</v>
      </c>
      <c r="P7815" s="345" t="s">
        <v>209</v>
      </c>
      <c r="Q7815" s="345" t="s">
        <v>210</v>
      </c>
      <c r="R7815" s="345" t="s">
        <v>223</v>
      </c>
      <c r="S7815" s="345" t="s">
        <v>224</v>
      </c>
    </row>
    <row r="7816" spans="1:19" x14ac:dyDescent="0.25">
      <c r="A7816" s="311"/>
      <c r="B7816" s="312"/>
      <c r="C7816" s="312"/>
      <c r="D7816" s="312"/>
      <c r="E7816" s="312"/>
      <c r="F7816" s="312"/>
      <c r="G7816" s="328"/>
      <c r="H7816" s="453"/>
      <c r="I7816" s="334"/>
      <c r="J7816" s="314"/>
      <c r="K7816" s="454"/>
      <c r="M7816" s="349" t="str">
        <f>N7816&amp;AS[[#This Row],[Insurer Code]]&amp;"; "&amp;O7816&amp;AS[[#This Row],[Reporting Year]]&amp;"; "&amp;P7816&amp;AS[[#This Row],[Insurance Category Code]]&amp;"; "&amp;Q7816&amp;AS[[#This Row],[Large Provider Entity Code]]&amp;"; "&amp;R7816&amp;AS[[#This Row],[Age Band Code]]&amp;"; "&amp;S7816&amp;AS[[#This Row],[Sex Code]]</f>
        <v xml:space="preserve">Insurer Code ; Reporting Year ; Insurance Category Code ; Large Provider Entity Code ; Age Band Code ; Sex Code </v>
      </c>
      <c r="N7816" s="345" t="s">
        <v>207</v>
      </c>
      <c r="O7816" s="345" t="s">
        <v>208</v>
      </c>
      <c r="P7816" s="345" t="s">
        <v>209</v>
      </c>
      <c r="Q7816" s="345" t="s">
        <v>210</v>
      </c>
      <c r="R7816" s="345" t="s">
        <v>223</v>
      </c>
      <c r="S7816" s="345" t="s">
        <v>224</v>
      </c>
    </row>
    <row r="7817" spans="1:19" x14ac:dyDescent="0.25">
      <c r="A7817" s="311"/>
      <c r="B7817" s="312"/>
      <c r="C7817" s="312"/>
      <c r="D7817" s="312"/>
      <c r="E7817" s="312"/>
      <c r="F7817" s="312"/>
      <c r="G7817" s="328"/>
      <c r="H7817" s="453"/>
      <c r="I7817" s="334"/>
      <c r="J7817" s="314"/>
      <c r="K7817" s="454"/>
      <c r="M7817" s="349" t="str">
        <f>N7817&amp;AS[[#This Row],[Insurer Code]]&amp;"; "&amp;O7817&amp;AS[[#This Row],[Reporting Year]]&amp;"; "&amp;P7817&amp;AS[[#This Row],[Insurance Category Code]]&amp;"; "&amp;Q7817&amp;AS[[#This Row],[Large Provider Entity Code]]&amp;"; "&amp;R7817&amp;AS[[#This Row],[Age Band Code]]&amp;"; "&amp;S7817&amp;AS[[#This Row],[Sex Code]]</f>
        <v xml:space="preserve">Insurer Code ; Reporting Year ; Insurance Category Code ; Large Provider Entity Code ; Age Band Code ; Sex Code </v>
      </c>
      <c r="N7817" s="345" t="s">
        <v>207</v>
      </c>
      <c r="O7817" s="345" t="s">
        <v>208</v>
      </c>
      <c r="P7817" s="345" t="s">
        <v>209</v>
      </c>
      <c r="Q7817" s="345" t="s">
        <v>210</v>
      </c>
      <c r="R7817" s="345" t="s">
        <v>223</v>
      </c>
      <c r="S7817" s="345" t="s">
        <v>224</v>
      </c>
    </row>
    <row r="7818" spans="1:19" x14ac:dyDescent="0.25">
      <c r="A7818" s="311"/>
      <c r="B7818" s="312"/>
      <c r="C7818" s="312"/>
      <c r="D7818" s="312"/>
      <c r="E7818" s="312"/>
      <c r="F7818" s="312"/>
      <c r="G7818" s="328"/>
      <c r="H7818" s="453"/>
      <c r="I7818" s="334"/>
      <c r="J7818" s="314"/>
      <c r="K7818" s="454"/>
      <c r="M7818" s="349" t="str">
        <f>N7818&amp;AS[[#This Row],[Insurer Code]]&amp;"; "&amp;O7818&amp;AS[[#This Row],[Reporting Year]]&amp;"; "&amp;P7818&amp;AS[[#This Row],[Insurance Category Code]]&amp;"; "&amp;Q7818&amp;AS[[#This Row],[Large Provider Entity Code]]&amp;"; "&amp;R7818&amp;AS[[#This Row],[Age Band Code]]&amp;"; "&amp;S7818&amp;AS[[#This Row],[Sex Code]]</f>
        <v xml:space="preserve">Insurer Code ; Reporting Year ; Insurance Category Code ; Large Provider Entity Code ; Age Band Code ; Sex Code </v>
      </c>
      <c r="N7818" s="345" t="s">
        <v>207</v>
      </c>
      <c r="O7818" s="345" t="s">
        <v>208</v>
      </c>
      <c r="P7818" s="345" t="s">
        <v>209</v>
      </c>
      <c r="Q7818" s="345" t="s">
        <v>210</v>
      </c>
      <c r="R7818" s="345" t="s">
        <v>223</v>
      </c>
      <c r="S7818" s="345" t="s">
        <v>224</v>
      </c>
    </row>
    <row r="7819" spans="1:19" x14ac:dyDescent="0.25">
      <c r="A7819" s="311"/>
      <c r="B7819" s="312"/>
      <c r="C7819" s="312"/>
      <c r="D7819" s="312"/>
      <c r="E7819" s="312"/>
      <c r="F7819" s="312"/>
      <c r="G7819" s="328"/>
      <c r="H7819" s="453"/>
      <c r="I7819" s="334"/>
      <c r="J7819" s="314"/>
      <c r="K7819" s="454"/>
      <c r="M7819" s="349" t="str">
        <f>N7819&amp;AS[[#This Row],[Insurer Code]]&amp;"; "&amp;O7819&amp;AS[[#This Row],[Reporting Year]]&amp;"; "&amp;P7819&amp;AS[[#This Row],[Insurance Category Code]]&amp;"; "&amp;Q7819&amp;AS[[#This Row],[Large Provider Entity Code]]&amp;"; "&amp;R7819&amp;AS[[#This Row],[Age Band Code]]&amp;"; "&amp;S7819&amp;AS[[#This Row],[Sex Code]]</f>
        <v xml:space="preserve">Insurer Code ; Reporting Year ; Insurance Category Code ; Large Provider Entity Code ; Age Band Code ; Sex Code </v>
      </c>
      <c r="N7819" s="345" t="s">
        <v>207</v>
      </c>
      <c r="O7819" s="345" t="s">
        <v>208</v>
      </c>
      <c r="P7819" s="345" t="s">
        <v>209</v>
      </c>
      <c r="Q7819" s="345" t="s">
        <v>210</v>
      </c>
      <c r="R7819" s="345" t="s">
        <v>223</v>
      </c>
      <c r="S7819" s="345" t="s">
        <v>224</v>
      </c>
    </row>
    <row r="7820" spans="1:19" x14ac:dyDescent="0.25">
      <c r="A7820" s="311"/>
      <c r="B7820" s="312"/>
      <c r="C7820" s="312"/>
      <c r="D7820" s="312"/>
      <c r="E7820" s="312"/>
      <c r="F7820" s="312"/>
      <c r="G7820" s="328"/>
      <c r="H7820" s="453"/>
      <c r="I7820" s="334"/>
      <c r="J7820" s="314"/>
      <c r="K7820" s="454"/>
      <c r="M7820" s="349" t="str">
        <f>N7820&amp;AS[[#This Row],[Insurer Code]]&amp;"; "&amp;O7820&amp;AS[[#This Row],[Reporting Year]]&amp;"; "&amp;P7820&amp;AS[[#This Row],[Insurance Category Code]]&amp;"; "&amp;Q7820&amp;AS[[#This Row],[Large Provider Entity Code]]&amp;"; "&amp;R7820&amp;AS[[#This Row],[Age Band Code]]&amp;"; "&amp;S7820&amp;AS[[#This Row],[Sex Code]]</f>
        <v xml:space="preserve">Insurer Code ; Reporting Year ; Insurance Category Code ; Large Provider Entity Code ; Age Band Code ; Sex Code </v>
      </c>
      <c r="N7820" s="345" t="s">
        <v>207</v>
      </c>
      <c r="O7820" s="345" t="s">
        <v>208</v>
      </c>
      <c r="P7820" s="345" t="s">
        <v>209</v>
      </c>
      <c r="Q7820" s="345" t="s">
        <v>210</v>
      </c>
      <c r="R7820" s="345" t="s">
        <v>223</v>
      </c>
      <c r="S7820" s="345" t="s">
        <v>224</v>
      </c>
    </row>
    <row r="7821" spans="1:19" x14ac:dyDescent="0.25">
      <c r="A7821" s="311"/>
      <c r="B7821" s="312"/>
      <c r="C7821" s="312"/>
      <c r="D7821" s="312"/>
      <c r="E7821" s="312"/>
      <c r="F7821" s="312"/>
      <c r="G7821" s="328"/>
      <c r="H7821" s="453"/>
      <c r="I7821" s="334"/>
      <c r="J7821" s="314"/>
      <c r="K7821" s="454"/>
      <c r="M7821" s="349" t="str">
        <f>N7821&amp;AS[[#This Row],[Insurer Code]]&amp;"; "&amp;O7821&amp;AS[[#This Row],[Reporting Year]]&amp;"; "&amp;P7821&amp;AS[[#This Row],[Insurance Category Code]]&amp;"; "&amp;Q7821&amp;AS[[#This Row],[Large Provider Entity Code]]&amp;"; "&amp;R7821&amp;AS[[#This Row],[Age Band Code]]&amp;"; "&amp;S7821&amp;AS[[#This Row],[Sex Code]]</f>
        <v xml:space="preserve">Insurer Code ; Reporting Year ; Insurance Category Code ; Large Provider Entity Code ; Age Band Code ; Sex Code </v>
      </c>
      <c r="N7821" s="345" t="s">
        <v>207</v>
      </c>
      <c r="O7821" s="345" t="s">
        <v>208</v>
      </c>
      <c r="P7821" s="345" t="s">
        <v>209</v>
      </c>
      <c r="Q7821" s="345" t="s">
        <v>210</v>
      </c>
      <c r="R7821" s="345" t="s">
        <v>223</v>
      </c>
      <c r="S7821" s="345" t="s">
        <v>224</v>
      </c>
    </row>
    <row r="7822" spans="1:19" x14ac:dyDescent="0.25">
      <c r="A7822" s="311"/>
      <c r="B7822" s="312"/>
      <c r="C7822" s="312"/>
      <c r="D7822" s="312"/>
      <c r="E7822" s="312"/>
      <c r="F7822" s="312"/>
      <c r="G7822" s="328"/>
      <c r="H7822" s="453"/>
      <c r="I7822" s="334"/>
      <c r="J7822" s="314"/>
      <c r="K7822" s="454"/>
      <c r="M7822" s="349" t="str">
        <f>N7822&amp;AS[[#This Row],[Insurer Code]]&amp;"; "&amp;O7822&amp;AS[[#This Row],[Reporting Year]]&amp;"; "&amp;P7822&amp;AS[[#This Row],[Insurance Category Code]]&amp;"; "&amp;Q7822&amp;AS[[#This Row],[Large Provider Entity Code]]&amp;"; "&amp;R7822&amp;AS[[#This Row],[Age Band Code]]&amp;"; "&amp;S7822&amp;AS[[#This Row],[Sex Code]]</f>
        <v xml:space="preserve">Insurer Code ; Reporting Year ; Insurance Category Code ; Large Provider Entity Code ; Age Band Code ; Sex Code </v>
      </c>
      <c r="N7822" s="345" t="s">
        <v>207</v>
      </c>
      <c r="O7822" s="345" t="s">
        <v>208</v>
      </c>
      <c r="P7822" s="345" t="s">
        <v>209</v>
      </c>
      <c r="Q7822" s="345" t="s">
        <v>210</v>
      </c>
      <c r="R7822" s="345" t="s">
        <v>223</v>
      </c>
      <c r="S7822" s="345" t="s">
        <v>224</v>
      </c>
    </row>
    <row r="7823" spans="1:19" x14ac:dyDescent="0.25">
      <c r="A7823" s="311"/>
      <c r="B7823" s="312"/>
      <c r="C7823" s="312"/>
      <c r="D7823" s="312"/>
      <c r="E7823" s="312"/>
      <c r="F7823" s="312"/>
      <c r="G7823" s="328"/>
      <c r="H7823" s="453"/>
      <c r="I7823" s="334"/>
      <c r="J7823" s="314"/>
      <c r="K7823" s="454"/>
      <c r="M7823" s="349" t="str">
        <f>N7823&amp;AS[[#This Row],[Insurer Code]]&amp;"; "&amp;O7823&amp;AS[[#This Row],[Reporting Year]]&amp;"; "&amp;P7823&amp;AS[[#This Row],[Insurance Category Code]]&amp;"; "&amp;Q7823&amp;AS[[#This Row],[Large Provider Entity Code]]&amp;"; "&amp;R7823&amp;AS[[#This Row],[Age Band Code]]&amp;"; "&amp;S7823&amp;AS[[#This Row],[Sex Code]]</f>
        <v xml:space="preserve">Insurer Code ; Reporting Year ; Insurance Category Code ; Large Provider Entity Code ; Age Band Code ; Sex Code </v>
      </c>
      <c r="N7823" s="345" t="s">
        <v>207</v>
      </c>
      <c r="O7823" s="345" t="s">
        <v>208</v>
      </c>
      <c r="P7823" s="345" t="s">
        <v>209</v>
      </c>
      <c r="Q7823" s="345" t="s">
        <v>210</v>
      </c>
      <c r="R7823" s="345" t="s">
        <v>223</v>
      </c>
      <c r="S7823" s="345" t="s">
        <v>224</v>
      </c>
    </row>
    <row r="7824" spans="1:19" x14ac:dyDescent="0.25">
      <c r="A7824" s="311"/>
      <c r="B7824" s="312"/>
      <c r="C7824" s="312"/>
      <c r="D7824" s="312"/>
      <c r="E7824" s="312"/>
      <c r="F7824" s="312"/>
      <c r="G7824" s="328"/>
      <c r="H7824" s="453"/>
      <c r="I7824" s="334"/>
      <c r="J7824" s="314"/>
      <c r="K7824" s="454"/>
      <c r="M7824" s="349" t="str">
        <f>N7824&amp;AS[[#This Row],[Insurer Code]]&amp;"; "&amp;O7824&amp;AS[[#This Row],[Reporting Year]]&amp;"; "&amp;P7824&amp;AS[[#This Row],[Insurance Category Code]]&amp;"; "&amp;Q7824&amp;AS[[#This Row],[Large Provider Entity Code]]&amp;"; "&amp;R7824&amp;AS[[#This Row],[Age Band Code]]&amp;"; "&amp;S7824&amp;AS[[#This Row],[Sex Code]]</f>
        <v xml:space="preserve">Insurer Code ; Reporting Year ; Insurance Category Code ; Large Provider Entity Code ; Age Band Code ; Sex Code </v>
      </c>
      <c r="N7824" s="345" t="s">
        <v>207</v>
      </c>
      <c r="O7824" s="345" t="s">
        <v>208</v>
      </c>
      <c r="P7824" s="345" t="s">
        <v>209</v>
      </c>
      <c r="Q7824" s="345" t="s">
        <v>210</v>
      </c>
      <c r="R7824" s="345" t="s">
        <v>223</v>
      </c>
      <c r="S7824" s="345" t="s">
        <v>224</v>
      </c>
    </row>
    <row r="7825" spans="1:19" x14ac:dyDescent="0.25">
      <c r="A7825" s="311"/>
      <c r="B7825" s="312"/>
      <c r="C7825" s="312"/>
      <c r="D7825" s="312"/>
      <c r="E7825" s="312"/>
      <c r="F7825" s="312"/>
      <c r="G7825" s="328"/>
      <c r="H7825" s="453"/>
      <c r="I7825" s="334"/>
      <c r="J7825" s="314"/>
      <c r="K7825" s="454"/>
      <c r="M7825" s="349" t="str">
        <f>N7825&amp;AS[[#This Row],[Insurer Code]]&amp;"; "&amp;O7825&amp;AS[[#This Row],[Reporting Year]]&amp;"; "&amp;P7825&amp;AS[[#This Row],[Insurance Category Code]]&amp;"; "&amp;Q7825&amp;AS[[#This Row],[Large Provider Entity Code]]&amp;"; "&amp;R7825&amp;AS[[#This Row],[Age Band Code]]&amp;"; "&amp;S7825&amp;AS[[#This Row],[Sex Code]]</f>
        <v xml:space="preserve">Insurer Code ; Reporting Year ; Insurance Category Code ; Large Provider Entity Code ; Age Band Code ; Sex Code </v>
      </c>
      <c r="N7825" s="345" t="s">
        <v>207</v>
      </c>
      <c r="O7825" s="345" t="s">
        <v>208</v>
      </c>
      <c r="P7825" s="345" t="s">
        <v>209</v>
      </c>
      <c r="Q7825" s="345" t="s">
        <v>210</v>
      </c>
      <c r="R7825" s="345" t="s">
        <v>223</v>
      </c>
      <c r="S7825" s="345" t="s">
        <v>224</v>
      </c>
    </row>
    <row r="7826" spans="1:19" x14ac:dyDescent="0.25">
      <c r="A7826" s="311"/>
      <c r="B7826" s="312"/>
      <c r="C7826" s="312"/>
      <c r="D7826" s="312"/>
      <c r="E7826" s="312"/>
      <c r="F7826" s="312"/>
      <c r="G7826" s="328"/>
      <c r="H7826" s="453"/>
      <c r="I7826" s="334"/>
      <c r="J7826" s="314"/>
      <c r="K7826" s="454"/>
      <c r="M7826" s="349" t="str">
        <f>N7826&amp;AS[[#This Row],[Insurer Code]]&amp;"; "&amp;O7826&amp;AS[[#This Row],[Reporting Year]]&amp;"; "&amp;P7826&amp;AS[[#This Row],[Insurance Category Code]]&amp;"; "&amp;Q7826&amp;AS[[#This Row],[Large Provider Entity Code]]&amp;"; "&amp;R7826&amp;AS[[#This Row],[Age Band Code]]&amp;"; "&amp;S7826&amp;AS[[#This Row],[Sex Code]]</f>
        <v xml:space="preserve">Insurer Code ; Reporting Year ; Insurance Category Code ; Large Provider Entity Code ; Age Band Code ; Sex Code </v>
      </c>
      <c r="N7826" s="345" t="s">
        <v>207</v>
      </c>
      <c r="O7826" s="345" t="s">
        <v>208</v>
      </c>
      <c r="P7826" s="345" t="s">
        <v>209</v>
      </c>
      <c r="Q7826" s="345" t="s">
        <v>210</v>
      </c>
      <c r="R7826" s="345" t="s">
        <v>223</v>
      </c>
      <c r="S7826" s="345" t="s">
        <v>224</v>
      </c>
    </row>
    <row r="7827" spans="1:19" x14ac:dyDescent="0.25">
      <c r="A7827" s="311"/>
      <c r="B7827" s="312"/>
      <c r="C7827" s="312"/>
      <c r="D7827" s="312"/>
      <c r="E7827" s="312"/>
      <c r="F7827" s="312"/>
      <c r="G7827" s="328"/>
      <c r="H7827" s="453"/>
      <c r="I7827" s="334"/>
      <c r="J7827" s="314"/>
      <c r="K7827" s="454"/>
      <c r="M7827" s="349" t="str">
        <f>N7827&amp;AS[[#This Row],[Insurer Code]]&amp;"; "&amp;O7827&amp;AS[[#This Row],[Reporting Year]]&amp;"; "&amp;P7827&amp;AS[[#This Row],[Insurance Category Code]]&amp;"; "&amp;Q7827&amp;AS[[#This Row],[Large Provider Entity Code]]&amp;"; "&amp;R7827&amp;AS[[#This Row],[Age Band Code]]&amp;"; "&amp;S7827&amp;AS[[#This Row],[Sex Code]]</f>
        <v xml:space="preserve">Insurer Code ; Reporting Year ; Insurance Category Code ; Large Provider Entity Code ; Age Band Code ; Sex Code </v>
      </c>
      <c r="N7827" s="345" t="s">
        <v>207</v>
      </c>
      <c r="O7827" s="345" t="s">
        <v>208</v>
      </c>
      <c r="P7827" s="345" t="s">
        <v>209</v>
      </c>
      <c r="Q7827" s="345" t="s">
        <v>210</v>
      </c>
      <c r="R7827" s="345" t="s">
        <v>223</v>
      </c>
      <c r="S7827" s="345" t="s">
        <v>224</v>
      </c>
    </row>
    <row r="7828" spans="1:19" x14ac:dyDescent="0.25">
      <c r="A7828" s="311"/>
      <c r="B7828" s="312"/>
      <c r="C7828" s="312"/>
      <c r="D7828" s="312"/>
      <c r="E7828" s="312"/>
      <c r="F7828" s="312"/>
      <c r="G7828" s="328"/>
      <c r="H7828" s="453"/>
      <c r="I7828" s="334"/>
      <c r="J7828" s="314"/>
      <c r="K7828" s="454"/>
      <c r="M7828" s="349" t="str">
        <f>N7828&amp;AS[[#This Row],[Insurer Code]]&amp;"; "&amp;O7828&amp;AS[[#This Row],[Reporting Year]]&amp;"; "&amp;P7828&amp;AS[[#This Row],[Insurance Category Code]]&amp;"; "&amp;Q7828&amp;AS[[#This Row],[Large Provider Entity Code]]&amp;"; "&amp;R7828&amp;AS[[#This Row],[Age Band Code]]&amp;"; "&amp;S7828&amp;AS[[#This Row],[Sex Code]]</f>
        <v xml:space="preserve">Insurer Code ; Reporting Year ; Insurance Category Code ; Large Provider Entity Code ; Age Band Code ; Sex Code </v>
      </c>
      <c r="N7828" s="345" t="s">
        <v>207</v>
      </c>
      <c r="O7828" s="345" t="s">
        <v>208</v>
      </c>
      <c r="P7828" s="345" t="s">
        <v>209</v>
      </c>
      <c r="Q7828" s="345" t="s">
        <v>210</v>
      </c>
      <c r="R7828" s="345" t="s">
        <v>223</v>
      </c>
      <c r="S7828" s="345" t="s">
        <v>224</v>
      </c>
    </row>
    <row r="7829" spans="1:19" x14ac:dyDescent="0.25">
      <c r="A7829" s="311"/>
      <c r="B7829" s="312"/>
      <c r="C7829" s="312"/>
      <c r="D7829" s="312"/>
      <c r="E7829" s="312"/>
      <c r="F7829" s="312"/>
      <c r="G7829" s="328"/>
      <c r="H7829" s="453"/>
      <c r="I7829" s="334"/>
      <c r="J7829" s="314"/>
      <c r="K7829" s="454"/>
      <c r="M7829" s="349" t="str">
        <f>N7829&amp;AS[[#This Row],[Insurer Code]]&amp;"; "&amp;O7829&amp;AS[[#This Row],[Reporting Year]]&amp;"; "&amp;P7829&amp;AS[[#This Row],[Insurance Category Code]]&amp;"; "&amp;Q7829&amp;AS[[#This Row],[Large Provider Entity Code]]&amp;"; "&amp;R7829&amp;AS[[#This Row],[Age Band Code]]&amp;"; "&amp;S7829&amp;AS[[#This Row],[Sex Code]]</f>
        <v xml:space="preserve">Insurer Code ; Reporting Year ; Insurance Category Code ; Large Provider Entity Code ; Age Band Code ; Sex Code </v>
      </c>
      <c r="N7829" s="345" t="s">
        <v>207</v>
      </c>
      <c r="O7829" s="345" t="s">
        <v>208</v>
      </c>
      <c r="P7829" s="345" t="s">
        <v>209</v>
      </c>
      <c r="Q7829" s="345" t="s">
        <v>210</v>
      </c>
      <c r="R7829" s="345" t="s">
        <v>223</v>
      </c>
      <c r="S7829" s="345" t="s">
        <v>224</v>
      </c>
    </row>
    <row r="7830" spans="1:19" x14ac:dyDescent="0.25">
      <c r="A7830" s="311"/>
      <c r="B7830" s="312"/>
      <c r="C7830" s="312"/>
      <c r="D7830" s="312"/>
      <c r="E7830" s="312"/>
      <c r="F7830" s="312"/>
      <c r="G7830" s="328"/>
      <c r="H7830" s="453"/>
      <c r="I7830" s="334"/>
      <c r="J7830" s="314"/>
      <c r="K7830" s="454"/>
      <c r="M7830" s="349" t="str">
        <f>N7830&amp;AS[[#This Row],[Insurer Code]]&amp;"; "&amp;O7830&amp;AS[[#This Row],[Reporting Year]]&amp;"; "&amp;P7830&amp;AS[[#This Row],[Insurance Category Code]]&amp;"; "&amp;Q7830&amp;AS[[#This Row],[Large Provider Entity Code]]&amp;"; "&amp;R7830&amp;AS[[#This Row],[Age Band Code]]&amp;"; "&amp;S7830&amp;AS[[#This Row],[Sex Code]]</f>
        <v xml:space="preserve">Insurer Code ; Reporting Year ; Insurance Category Code ; Large Provider Entity Code ; Age Band Code ; Sex Code </v>
      </c>
      <c r="N7830" s="345" t="s">
        <v>207</v>
      </c>
      <c r="O7830" s="345" t="s">
        <v>208</v>
      </c>
      <c r="P7830" s="345" t="s">
        <v>209</v>
      </c>
      <c r="Q7830" s="345" t="s">
        <v>210</v>
      </c>
      <c r="R7830" s="345" t="s">
        <v>223</v>
      </c>
      <c r="S7830" s="345" t="s">
        <v>224</v>
      </c>
    </row>
    <row r="7831" spans="1:19" x14ac:dyDescent="0.25">
      <c r="A7831" s="311"/>
      <c r="B7831" s="312"/>
      <c r="C7831" s="312"/>
      <c r="D7831" s="312"/>
      <c r="E7831" s="312"/>
      <c r="F7831" s="312"/>
      <c r="G7831" s="328"/>
      <c r="H7831" s="453"/>
      <c r="I7831" s="334"/>
      <c r="J7831" s="314"/>
      <c r="K7831" s="454"/>
      <c r="M7831" s="349" t="str">
        <f>N7831&amp;AS[[#This Row],[Insurer Code]]&amp;"; "&amp;O7831&amp;AS[[#This Row],[Reporting Year]]&amp;"; "&amp;P7831&amp;AS[[#This Row],[Insurance Category Code]]&amp;"; "&amp;Q7831&amp;AS[[#This Row],[Large Provider Entity Code]]&amp;"; "&amp;R7831&amp;AS[[#This Row],[Age Band Code]]&amp;"; "&amp;S7831&amp;AS[[#This Row],[Sex Code]]</f>
        <v xml:space="preserve">Insurer Code ; Reporting Year ; Insurance Category Code ; Large Provider Entity Code ; Age Band Code ; Sex Code </v>
      </c>
      <c r="N7831" s="345" t="s">
        <v>207</v>
      </c>
      <c r="O7831" s="345" t="s">
        <v>208</v>
      </c>
      <c r="P7831" s="345" t="s">
        <v>209</v>
      </c>
      <c r="Q7831" s="345" t="s">
        <v>210</v>
      </c>
      <c r="R7831" s="345" t="s">
        <v>223</v>
      </c>
      <c r="S7831" s="345" t="s">
        <v>224</v>
      </c>
    </row>
    <row r="7832" spans="1:19" x14ac:dyDescent="0.25">
      <c r="A7832" s="311"/>
      <c r="B7832" s="312"/>
      <c r="C7832" s="312"/>
      <c r="D7832" s="312"/>
      <c r="E7832" s="312"/>
      <c r="F7832" s="312"/>
      <c r="G7832" s="328"/>
      <c r="H7832" s="453"/>
      <c r="I7832" s="334"/>
      <c r="J7832" s="314"/>
      <c r="K7832" s="454"/>
      <c r="M7832" s="349" t="str">
        <f>N7832&amp;AS[[#This Row],[Insurer Code]]&amp;"; "&amp;O7832&amp;AS[[#This Row],[Reporting Year]]&amp;"; "&amp;P7832&amp;AS[[#This Row],[Insurance Category Code]]&amp;"; "&amp;Q7832&amp;AS[[#This Row],[Large Provider Entity Code]]&amp;"; "&amp;R7832&amp;AS[[#This Row],[Age Band Code]]&amp;"; "&amp;S7832&amp;AS[[#This Row],[Sex Code]]</f>
        <v xml:space="preserve">Insurer Code ; Reporting Year ; Insurance Category Code ; Large Provider Entity Code ; Age Band Code ; Sex Code </v>
      </c>
      <c r="N7832" s="345" t="s">
        <v>207</v>
      </c>
      <c r="O7832" s="345" t="s">
        <v>208</v>
      </c>
      <c r="P7832" s="345" t="s">
        <v>209</v>
      </c>
      <c r="Q7832" s="345" t="s">
        <v>210</v>
      </c>
      <c r="R7832" s="345" t="s">
        <v>223</v>
      </c>
      <c r="S7832" s="345" t="s">
        <v>224</v>
      </c>
    </row>
    <row r="7833" spans="1:19" x14ac:dyDescent="0.25">
      <c r="A7833" s="311"/>
      <c r="B7833" s="312"/>
      <c r="C7833" s="312"/>
      <c r="D7833" s="312"/>
      <c r="E7833" s="312"/>
      <c r="F7833" s="312"/>
      <c r="G7833" s="328"/>
      <c r="H7833" s="453"/>
      <c r="I7833" s="334"/>
      <c r="J7833" s="314"/>
      <c r="K7833" s="454"/>
      <c r="M7833" s="349" t="str">
        <f>N7833&amp;AS[[#This Row],[Insurer Code]]&amp;"; "&amp;O7833&amp;AS[[#This Row],[Reporting Year]]&amp;"; "&amp;P7833&amp;AS[[#This Row],[Insurance Category Code]]&amp;"; "&amp;Q7833&amp;AS[[#This Row],[Large Provider Entity Code]]&amp;"; "&amp;R7833&amp;AS[[#This Row],[Age Band Code]]&amp;"; "&amp;S7833&amp;AS[[#This Row],[Sex Code]]</f>
        <v xml:space="preserve">Insurer Code ; Reporting Year ; Insurance Category Code ; Large Provider Entity Code ; Age Band Code ; Sex Code </v>
      </c>
      <c r="N7833" s="345" t="s">
        <v>207</v>
      </c>
      <c r="O7833" s="345" t="s">
        <v>208</v>
      </c>
      <c r="P7833" s="345" t="s">
        <v>209</v>
      </c>
      <c r="Q7833" s="345" t="s">
        <v>210</v>
      </c>
      <c r="R7833" s="345" t="s">
        <v>223</v>
      </c>
      <c r="S7833" s="345" t="s">
        <v>224</v>
      </c>
    </row>
    <row r="7834" spans="1:19" x14ac:dyDescent="0.25">
      <c r="A7834" s="311"/>
      <c r="B7834" s="312"/>
      <c r="C7834" s="312"/>
      <c r="D7834" s="312"/>
      <c r="E7834" s="312"/>
      <c r="F7834" s="312"/>
      <c r="G7834" s="328"/>
      <c r="H7834" s="453"/>
      <c r="I7834" s="334"/>
      <c r="J7834" s="314"/>
      <c r="K7834" s="454"/>
      <c r="M7834" s="349" t="str">
        <f>N7834&amp;AS[[#This Row],[Insurer Code]]&amp;"; "&amp;O7834&amp;AS[[#This Row],[Reporting Year]]&amp;"; "&amp;P7834&amp;AS[[#This Row],[Insurance Category Code]]&amp;"; "&amp;Q7834&amp;AS[[#This Row],[Large Provider Entity Code]]&amp;"; "&amp;R7834&amp;AS[[#This Row],[Age Band Code]]&amp;"; "&amp;S7834&amp;AS[[#This Row],[Sex Code]]</f>
        <v xml:space="preserve">Insurer Code ; Reporting Year ; Insurance Category Code ; Large Provider Entity Code ; Age Band Code ; Sex Code </v>
      </c>
      <c r="N7834" s="345" t="s">
        <v>207</v>
      </c>
      <c r="O7834" s="345" t="s">
        <v>208</v>
      </c>
      <c r="P7834" s="345" t="s">
        <v>209</v>
      </c>
      <c r="Q7834" s="345" t="s">
        <v>210</v>
      </c>
      <c r="R7834" s="345" t="s">
        <v>223</v>
      </c>
      <c r="S7834" s="345" t="s">
        <v>224</v>
      </c>
    </row>
    <row r="7835" spans="1:19" x14ac:dyDescent="0.25">
      <c r="A7835" s="311"/>
      <c r="B7835" s="312"/>
      <c r="C7835" s="312"/>
      <c r="D7835" s="312"/>
      <c r="E7835" s="312"/>
      <c r="F7835" s="312"/>
      <c r="G7835" s="328"/>
      <c r="H7835" s="453"/>
      <c r="I7835" s="334"/>
      <c r="J7835" s="314"/>
      <c r="K7835" s="454"/>
      <c r="M7835" s="349" t="str">
        <f>N7835&amp;AS[[#This Row],[Insurer Code]]&amp;"; "&amp;O7835&amp;AS[[#This Row],[Reporting Year]]&amp;"; "&amp;P7835&amp;AS[[#This Row],[Insurance Category Code]]&amp;"; "&amp;Q7835&amp;AS[[#This Row],[Large Provider Entity Code]]&amp;"; "&amp;R7835&amp;AS[[#This Row],[Age Band Code]]&amp;"; "&amp;S7835&amp;AS[[#This Row],[Sex Code]]</f>
        <v xml:space="preserve">Insurer Code ; Reporting Year ; Insurance Category Code ; Large Provider Entity Code ; Age Band Code ; Sex Code </v>
      </c>
      <c r="N7835" s="345" t="s">
        <v>207</v>
      </c>
      <c r="O7835" s="345" t="s">
        <v>208</v>
      </c>
      <c r="P7835" s="345" t="s">
        <v>209</v>
      </c>
      <c r="Q7835" s="345" t="s">
        <v>210</v>
      </c>
      <c r="R7835" s="345" t="s">
        <v>223</v>
      </c>
      <c r="S7835" s="345" t="s">
        <v>224</v>
      </c>
    </row>
    <row r="7836" spans="1:19" x14ac:dyDescent="0.25">
      <c r="A7836" s="311"/>
      <c r="B7836" s="312"/>
      <c r="C7836" s="312"/>
      <c r="D7836" s="312"/>
      <c r="E7836" s="312"/>
      <c r="F7836" s="312"/>
      <c r="G7836" s="328"/>
      <c r="H7836" s="453"/>
      <c r="I7836" s="334"/>
      <c r="J7836" s="314"/>
      <c r="K7836" s="454"/>
      <c r="M7836" s="349" t="str">
        <f>N7836&amp;AS[[#This Row],[Insurer Code]]&amp;"; "&amp;O7836&amp;AS[[#This Row],[Reporting Year]]&amp;"; "&amp;P7836&amp;AS[[#This Row],[Insurance Category Code]]&amp;"; "&amp;Q7836&amp;AS[[#This Row],[Large Provider Entity Code]]&amp;"; "&amp;R7836&amp;AS[[#This Row],[Age Band Code]]&amp;"; "&amp;S7836&amp;AS[[#This Row],[Sex Code]]</f>
        <v xml:space="preserve">Insurer Code ; Reporting Year ; Insurance Category Code ; Large Provider Entity Code ; Age Band Code ; Sex Code </v>
      </c>
      <c r="N7836" s="345" t="s">
        <v>207</v>
      </c>
      <c r="O7836" s="345" t="s">
        <v>208</v>
      </c>
      <c r="P7836" s="345" t="s">
        <v>209</v>
      </c>
      <c r="Q7836" s="345" t="s">
        <v>210</v>
      </c>
      <c r="R7836" s="345" t="s">
        <v>223</v>
      </c>
      <c r="S7836" s="345" t="s">
        <v>224</v>
      </c>
    </row>
    <row r="7837" spans="1:19" x14ac:dyDescent="0.25">
      <c r="A7837" s="311"/>
      <c r="B7837" s="312"/>
      <c r="C7837" s="312"/>
      <c r="D7837" s="312"/>
      <c r="E7837" s="312"/>
      <c r="F7837" s="312"/>
      <c r="G7837" s="328"/>
      <c r="H7837" s="453"/>
      <c r="I7837" s="334"/>
      <c r="J7837" s="314"/>
      <c r="K7837" s="454"/>
      <c r="M7837" s="349" t="str">
        <f>N7837&amp;AS[[#This Row],[Insurer Code]]&amp;"; "&amp;O7837&amp;AS[[#This Row],[Reporting Year]]&amp;"; "&amp;P7837&amp;AS[[#This Row],[Insurance Category Code]]&amp;"; "&amp;Q7837&amp;AS[[#This Row],[Large Provider Entity Code]]&amp;"; "&amp;R7837&amp;AS[[#This Row],[Age Band Code]]&amp;"; "&amp;S7837&amp;AS[[#This Row],[Sex Code]]</f>
        <v xml:space="preserve">Insurer Code ; Reporting Year ; Insurance Category Code ; Large Provider Entity Code ; Age Band Code ; Sex Code </v>
      </c>
      <c r="N7837" s="345" t="s">
        <v>207</v>
      </c>
      <c r="O7837" s="345" t="s">
        <v>208</v>
      </c>
      <c r="P7837" s="345" t="s">
        <v>209</v>
      </c>
      <c r="Q7837" s="345" t="s">
        <v>210</v>
      </c>
      <c r="R7837" s="345" t="s">
        <v>223</v>
      </c>
      <c r="S7837" s="345" t="s">
        <v>224</v>
      </c>
    </row>
    <row r="7838" spans="1:19" x14ac:dyDescent="0.25">
      <c r="A7838" s="311"/>
      <c r="B7838" s="312"/>
      <c r="C7838" s="312"/>
      <c r="D7838" s="312"/>
      <c r="E7838" s="312"/>
      <c r="F7838" s="312"/>
      <c r="G7838" s="328"/>
      <c r="H7838" s="453"/>
      <c r="I7838" s="334"/>
      <c r="J7838" s="314"/>
      <c r="K7838" s="454"/>
      <c r="M7838" s="349" t="str">
        <f>N7838&amp;AS[[#This Row],[Insurer Code]]&amp;"; "&amp;O7838&amp;AS[[#This Row],[Reporting Year]]&amp;"; "&amp;P7838&amp;AS[[#This Row],[Insurance Category Code]]&amp;"; "&amp;Q7838&amp;AS[[#This Row],[Large Provider Entity Code]]&amp;"; "&amp;R7838&amp;AS[[#This Row],[Age Band Code]]&amp;"; "&amp;S7838&amp;AS[[#This Row],[Sex Code]]</f>
        <v xml:space="preserve">Insurer Code ; Reporting Year ; Insurance Category Code ; Large Provider Entity Code ; Age Band Code ; Sex Code </v>
      </c>
      <c r="N7838" s="345" t="s">
        <v>207</v>
      </c>
      <c r="O7838" s="345" t="s">
        <v>208</v>
      </c>
      <c r="P7838" s="345" t="s">
        <v>209</v>
      </c>
      <c r="Q7838" s="345" t="s">
        <v>210</v>
      </c>
      <c r="R7838" s="345" t="s">
        <v>223</v>
      </c>
      <c r="S7838" s="345" t="s">
        <v>224</v>
      </c>
    </row>
    <row r="7839" spans="1:19" x14ac:dyDescent="0.25">
      <c r="A7839" s="311"/>
      <c r="B7839" s="312"/>
      <c r="C7839" s="312"/>
      <c r="D7839" s="312"/>
      <c r="E7839" s="312"/>
      <c r="F7839" s="312"/>
      <c r="G7839" s="328"/>
      <c r="H7839" s="453"/>
      <c r="I7839" s="334"/>
      <c r="J7839" s="314"/>
      <c r="K7839" s="454"/>
      <c r="M7839" s="349" t="str">
        <f>N7839&amp;AS[[#This Row],[Insurer Code]]&amp;"; "&amp;O7839&amp;AS[[#This Row],[Reporting Year]]&amp;"; "&amp;P7839&amp;AS[[#This Row],[Insurance Category Code]]&amp;"; "&amp;Q7839&amp;AS[[#This Row],[Large Provider Entity Code]]&amp;"; "&amp;R7839&amp;AS[[#This Row],[Age Band Code]]&amp;"; "&amp;S7839&amp;AS[[#This Row],[Sex Code]]</f>
        <v xml:space="preserve">Insurer Code ; Reporting Year ; Insurance Category Code ; Large Provider Entity Code ; Age Band Code ; Sex Code </v>
      </c>
      <c r="N7839" s="345" t="s">
        <v>207</v>
      </c>
      <c r="O7839" s="345" t="s">
        <v>208</v>
      </c>
      <c r="P7839" s="345" t="s">
        <v>209</v>
      </c>
      <c r="Q7839" s="345" t="s">
        <v>210</v>
      </c>
      <c r="R7839" s="345" t="s">
        <v>223</v>
      </c>
      <c r="S7839" s="345" t="s">
        <v>224</v>
      </c>
    </row>
    <row r="7840" spans="1:19" x14ac:dyDescent="0.25">
      <c r="A7840" s="311"/>
      <c r="B7840" s="312"/>
      <c r="C7840" s="312"/>
      <c r="D7840" s="312"/>
      <c r="E7840" s="312"/>
      <c r="F7840" s="312"/>
      <c r="G7840" s="328"/>
      <c r="H7840" s="453"/>
      <c r="I7840" s="334"/>
      <c r="J7840" s="314"/>
      <c r="K7840" s="454"/>
      <c r="M7840" s="349" t="str">
        <f>N7840&amp;AS[[#This Row],[Insurer Code]]&amp;"; "&amp;O7840&amp;AS[[#This Row],[Reporting Year]]&amp;"; "&amp;P7840&amp;AS[[#This Row],[Insurance Category Code]]&amp;"; "&amp;Q7840&amp;AS[[#This Row],[Large Provider Entity Code]]&amp;"; "&amp;R7840&amp;AS[[#This Row],[Age Band Code]]&amp;"; "&amp;S7840&amp;AS[[#This Row],[Sex Code]]</f>
        <v xml:space="preserve">Insurer Code ; Reporting Year ; Insurance Category Code ; Large Provider Entity Code ; Age Band Code ; Sex Code </v>
      </c>
      <c r="N7840" s="345" t="s">
        <v>207</v>
      </c>
      <c r="O7840" s="345" t="s">
        <v>208</v>
      </c>
      <c r="P7840" s="345" t="s">
        <v>209</v>
      </c>
      <c r="Q7840" s="345" t="s">
        <v>210</v>
      </c>
      <c r="R7840" s="345" t="s">
        <v>223</v>
      </c>
      <c r="S7840" s="345" t="s">
        <v>224</v>
      </c>
    </row>
    <row r="7841" spans="1:19" x14ac:dyDescent="0.25">
      <c r="A7841" s="311"/>
      <c r="B7841" s="312"/>
      <c r="C7841" s="312"/>
      <c r="D7841" s="312"/>
      <c r="E7841" s="312"/>
      <c r="F7841" s="312"/>
      <c r="G7841" s="328"/>
      <c r="H7841" s="453"/>
      <c r="I7841" s="334"/>
      <c r="J7841" s="314"/>
      <c r="K7841" s="454"/>
      <c r="M7841" s="349" t="str">
        <f>N7841&amp;AS[[#This Row],[Insurer Code]]&amp;"; "&amp;O7841&amp;AS[[#This Row],[Reporting Year]]&amp;"; "&amp;P7841&amp;AS[[#This Row],[Insurance Category Code]]&amp;"; "&amp;Q7841&amp;AS[[#This Row],[Large Provider Entity Code]]&amp;"; "&amp;R7841&amp;AS[[#This Row],[Age Band Code]]&amp;"; "&amp;S7841&amp;AS[[#This Row],[Sex Code]]</f>
        <v xml:space="preserve">Insurer Code ; Reporting Year ; Insurance Category Code ; Large Provider Entity Code ; Age Band Code ; Sex Code </v>
      </c>
      <c r="N7841" s="345" t="s">
        <v>207</v>
      </c>
      <c r="O7841" s="345" t="s">
        <v>208</v>
      </c>
      <c r="P7841" s="345" t="s">
        <v>209</v>
      </c>
      <c r="Q7841" s="345" t="s">
        <v>210</v>
      </c>
      <c r="R7841" s="345" t="s">
        <v>223</v>
      </c>
      <c r="S7841" s="345" t="s">
        <v>224</v>
      </c>
    </row>
    <row r="7842" spans="1:19" x14ac:dyDescent="0.25">
      <c r="A7842" s="311"/>
      <c r="B7842" s="312"/>
      <c r="C7842" s="312"/>
      <c r="D7842" s="312"/>
      <c r="E7842" s="312"/>
      <c r="F7842" s="312"/>
      <c r="G7842" s="328"/>
      <c r="H7842" s="453"/>
      <c r="I7842" s="334"/>
      <c r="J7842" s="314"/>
      <c r="K7842" s="454"/>
      <c r="M7842" s="349" t="str">
        <f>N7842&amp;AS[[#This Row],[Insurer Code]]&amp;"; "&amp;O7842&amp;AS[[#This Row],[Reporting Year]]&amp;"; "&amp;P7842&amp;AS[[#This Row],[Insurance Category Code]]&amp;"; "&amp;Q7842&amp;AS[[#This Row],[Large Provider Entity Code]]&amp;"; "&amp;R7842&amp;AS[[#This Row],[Age Band Code]]&amp;"; "&amp;S7842&amp;AS[[#This Row],[Sex Code]]</f>
        <v xml:space="preserve">Insurer Code ; Reporting Year ; Insurance Category Code ; Large Provider Entity Code ; Age Band Code ; Sex Code </v>
      </c>
      <c r="N7842" s="345" t="s">
        <v>207</v>
      </c>
      <c r="O7842" s="345" t="s">
        <v>208</v>
      </c>
      <c r="P7842" s="345" t="s">
        <v>209</v>
      </c>
      <c r="Q7842" s="345" t="s">
        <v>210</v>
      </c>
      <c r="R7842" s="345" t="s">
        <v>223</v>
      </c>
      <c r="S7842" s="345" t="s">
        <v>224</v>
      </c>
    </row>
    <row r="7843" spans="1:19" x14ac:dyDescent="0.25">
      <c r="A7843" s="311"/>
      <c r="B7843" s="312"/>
      <c r="C7843" s="312"/>
      <c r="D7843" s="312"/>
      <c r="E7843" s="312"/>
      <c r="F7843" s="312"/>
      <c r="G7843" s="328"/>
      <c r="H7843" s="453"/>
      <c r="I7843" s="334"/>
      <c r="J7843" s="314"/>
      <c r="K7843" s="454"/>
      <c r="M7843" s="349" t="str">
        <f>N7843&amp;AS[[#This Row],[Insurer Code]]&amp;"; "&amp;O7843&amp;AS[[#This Row],[Reporting Year]]&amp;"; "&amp;P7843&amp;AS[[#This Row],[Insurance Category Code]]&amp;"; "&amp;Q7843&amp;AS[[#This Row],[Large Provider Entity Code]]&amp;"; "&amp;R7843&amp;AS[[#This Row],[Age Band Code]]&amp;"; "&amp;S7843&amp;AS[[#This Row],[Sex Code]]</f>
        <v xml:space="preserve">Insurer Code ; Reporting Year ; Insurance Category Code ; Large Provider Entity Code ; Age Band Code ; Sex Code </v>
      </c>
      <c r="N7843" s="345" t="s">
        <v>207</v>
      </c>
      <c r="O7843" s="345" t="s">
        <v>208</v>
      </c>
      <c r="P7843" s="345" t="s">
        <v>209</v>
      </c>
      <c r="Q7843" s="345" t="s">
        <v>210</v>
      </c>
      <c r="R7843" s="345" t="s">
        <v>223</v>
      </c>
      <c r="S7843" s="345" t="s">
        <v>224</v>
      </c>
    </row>
    <row r="7844" spans="1:19" x14ac:dyDescent="0.25">
      <c r="A7844" s="311"/>
      <c r="B7844" s="312"/>
      <c r="C7844" s="312"/>
      <c r="D7844" s="312"/>
      <c r="E7844" s="312"/>
      <c r="F7844" s="312"/>
      <c r="G7844" s="328"/>
      <c r="H7844" s="453"/>
      <c r="I7844" s="334"/>
      <c r="J7844" s="314"/>
      <c r="K7844" s="454"/>
      <c r="M7844" s="349" t="str">
        <f>N7844&amp;AS[[#This Row],[Insurer Code]]&amp;"; "&amp;O7844&amp;AS[[#This Row],[Reporting Year]]&amp;"; "&amp;P7844&amp;AS[[#This Row],[Insurance Category Code]]&amp;"; "&amp;Q7844&amp;AS[[#This Row],[Large Provider Entity Code]]&amp;"; "&amp;R7844&amp;AS[[#This Row],[Age Band Code]]&amp;"; "&amp;S7844&amp;AS[[#This Row],[Sex Code]]</f>
        <v xml:space="preserve">Insurer Code ; Reporting Year ; Insurance Category Code ; Large Provider Entity Code ; Age Band Code ; Sex Code </v>
      </c>
      <c r="N7844" s="345" t="s">
        <v>207</v>
      </c>
      <c r="O7844" s="345" t="s">
        <v>208</v>
      </c>
      <c r="P7844" s="345" t="s">
        <v>209</v>
      </c>
      <c r="Q7844" s="345" t="s">
        <v>210</v>
      </c>
      <c r="R7844" s="345" t="s">
        <v>223</v>
      </c>
      <c r="S7844" s="345" t="s">
        <v>224</v>
      </c>
    </row>
    <row r="7845" spans="1:19" x14ac:dyDescent="0.25">
      <c r="A7845" s="311"/>
      <c r="B7845" s="312"/>
      <c r="C7845" s="312"/>
      <c r="D7845" s="312"/>
      <c r="E7845" s="312"/>
      <c r="F7845" s="312"/>
      <c r="G7845" s="328"/>
      <c r="H7845" s="453"/>
      <c r="I7845" s="334"/>
      <c r="J7845" s="314"/>
      <c r="K7845" s="454"/>
      <c r="M7845" s="349" t="str">
        <f>N7845&amp;AS[[#This Row],[Insurer Code]]&amp;"; "&amp;O7845&amp;AS[[#This Row],[Reporting Year]]&amp;"; "&amp;P7845&amp;AS[[#This Row],[Insurance Category Code]]&amp;"; "&amp;Q7845&amp;AS[[#This Row],[Large Provider Entity Code]]&amp;"; "&amp;R7845&amp;AS[[#This Row],[Age Band Code]]&amp;"; "&amp;S7845&amp;AS[[#This Row],[Sex Code]]</f>
        <v xml:space="preserve">Insurer Code ; Reporting Year ; Insurance Category Code ; Large Provider Entity Code ; Age Band Code ; Sex Code </v>
      </c>
      <c r="N7845" s="345" t="s">
        <v>207</v>
      </c>
      <c r="O7845" s="345" t="s">
        <v>208</v>
      </c>
      <c r="P7845" s="345" t="s">
        <v>209</v>
      </c>
      <c r="Q7845" s="345" t="s">
        <v>210</v>
      </c>
      <c r="R7845" s="345" t="s">
        <v>223</v>
      </c>
      <c r="S7845" s="345" t="s">
        <v>224</v>
      </c>
    </row>
    <row r="7846" spans="1:19" x14ac:dyDescent="0.25">
      <c r="A7846" s="311"/>
      <c r="B7846" s="312"/>
      <c r="C7846" s="312"/>
      <c r="D7846" s="312"/>
      <c r="E7846" s="312"/>
      <c r="F7846" s="312"/>
      <c r="G7846" s="328"/>
      <c r="H7846" s="453"/>
      <c r="I7846" s="334"/>
      <c r="J7846" s="314"/>
      <c r="K7846" s="454"/>
      <c r="M7846" s="349" t="str">
        <f>N7846&amp;AS[[#This Row],[Insurer Code]]&amp;"; "&amp;O7846&amp;AS[[#This Row],[Reporting Year]]&amp;"; "&amp;P7846&amp;AS[[#This Row],[Insurance Category Code]]&amp;"; "&amp;Q7846&amp;AS[[#This Row],[Large Provider Entity Code]]&amp;"; "&amp;R7846&amp;AS[[#This Row],[Age Band Code]]&amp;"; "&amp;S7846&amp;AS[[#This Row],[Sex Code]]</f>
        <v xml:space="preserve">Insurer Code ; Reporting Year ; Insurance Category Code ; Large Provider Entity Code ; Age Band Code ; Sex Code </v>
      </c>
      <c r="N7846" s="345" t="s">
        <v>207</v>
      </c>
      <c r="O7846" s="345" t="s">
        <v>208</v>
      </c>
      <c r="P7846" s="345" t="s">
        <v>209</v>
      </c>
      <c r="Q7846" s="345" t="s">
        <v>210</v>
      </c>
      <c r="R7846" s="345" t="s">
        <v>223</v>
      </c>
      <c r="S7846" s="345" t="s">
        <v>224</v>
      </c>
    </row>
    <row r="7847" spans="1:19" x14ac:dyDescent="0.25">
      <c r="A7847" s="311"/>
      <c r="B7847" s="312"/>
      <c r="C7847" s="312"/>
      <c r="D7847" s="312"/>
      <c r="E7847" s="312"/>
      <c r="F7847" s="312"/>
      <c r="G7847" s="328"/>
      <c r="H7847" s="453"/>
      <c r="I7847" s="334"/>
      <c r="J7847" s="314"/>
      <c r="K7847" s="454"/>
      <c r="M7847" s="349" t="str">
        <f>N7847&amp;AS[[#This Row],[Insurer Code]]&amp;"; "&amp;O7847&amp;AS[[#This Row],[Reporting Year]]&amp;"; "&amp;P7847&amp;AS[[#This Row],[Insurance Category Code]]&amp;"; "&amp;Q7847&amp;AS[[#This Row],[Large Provider Entity Code]]&amp;"; "&amp;R7847&amp;AS[[#This Row],[Age Band Code]]&amp;"; "&amp;S7847&amp;AS[[#This Row],[Sex Code]]</f>
        <v xml:space="preserve">Insurer Code ; Reporting Year ; Insurance Category Code ; Large Provider Entity Code ; Age Band Code ; Sex Code </v>
      </c>
      <c r="N7847" s="345" t="s">
        <v>207</v>
      </c>
      <c r="O7847" s="345" t="s">
        <v>208</v>
      </c>
      <c r="P7847" s="345" t="s">
        <v>209</v>
      </c>
      <c r="Q7847" s="345" t="s">
        <v>210</v>
      </c>
      <c r="R7847" s="345" t="s">
        <v>223</v>
      </c>
      <c r="S7847" s="345" t="s">
        <v>224</v>
      </c>
    </row>
    <row r="7848" spans="1:19" x14ac:dyDescent="0.25">
      <c r="A7848" s="311"/>
      <c r="B7848" s="312"/>
      <c r="C7848" s="312"/>
      <c r="D7848" s="312"/>
      <c r="E7848" s="312"/>
      <c r="F7848" s="312"/>
      <c r="G7848" s="328"/>
      <c r="H7848" s="453"/>
      <c r="I7848" s="334"/>
      <c r="J7848" s="314"/>
      <c r="K7848" s="454"/>
      <c r="M7848" s="349" t="str">
        <f>N7848&amp;AS[[#This Row],[Insurer Code]]&amp;"; "&amp;O7848&amp;AS[[#This Row],[Reporting Year]]&amp;"; "&amp;P7848&amp;AS[[#This Row],[Insurance Category Code]]&amp;"; "&amp;Q7848&amp;AS[[#This Row],[Large Provider Entity Code]]&amp;"; "&amp;R7848&amp;AS[[#This Row],[Age Band Code]]&amp;"; "&amp;S7848&amp;AS[[#This Row],[Sex Code]]</f>
        <v xml:space="preserve">Insurer Code ; Reporting Year ; Insurance Category Code ; Large Provider Entity Code ; Age Band Code ; Sex Code </v>
      </c>
      <c r="N7848" s="345" t="s">
        <v>207</v>
      </c>
      <c r="O7848" s="345" t="s">
        <v>208</v>
      </c>
      <c r="P7848" s="345" t="s">
        <v>209</v>
      </c>
      <c r="Q7848" s="345" t="s">
        <v>210</v>
      </c>
      <c r="R7848" s="345" t="s">
        <v>223</v>
      </c>
      <c r="S7848" s="345" t="s">
        <v>224</v>
      </c>
    </row>
    <row r="7849" spans="1:19" x14ac:dyDescent="0.25">
      <c r="A7849" s="311"/>
      <c r="B7849" s="312"/>
      <c r="C7849" s="312"/>
      <c r="D7849" s="312"/>
      <c r="E7849" s="312"/>
      <c r="F7849" s="312"/>
      <c r="G7849" s="328"/>
      <c r="H7849" s="453"/>
      <c r="I7849" s="334"/>
      <c r="J7849" s="314"/>
      <c r="K7849" s="454"/>
      <c r="M7849" s="349" t="str">
        <f>N7849&amp;AS[[#This Row],[Insurer Code]]&amp;"; "&amp;O7849&amp;AS[[#This Row],[Reporting Year]]&amp;"; "&amp;P7849&amp;AS[[#This Row],[Insurance Category Code]]&amp;"; "&amp;Q7849&amp;AS[[#This Row],[Large Provider Entity Code]]&amp;"; "&amp;R7849&amp;AS[[#This Row],[Age Band Code]]&amp;"; "&amp;S7849&amp;AS[[#This Row],[Sex Code]]</f>
        <v xml:space="preserve">Insurer Code ; Reporting Year ; Insurance Category Code ; Large Provider Entity Code ; Age Band Code ; Sex Code </v>
      </c>
      <c r="N7849" s="345" t="s">
        <v>207</v>
      </c>
      <c r="O7849" s="345" t="s">
        <v>208</v>
      </c>
      <c r="P7849" s="345" t="s">
        <v>209</v>
      </c>
      <c r="Q7849" s="345" t="s">
        <v>210</v>
      </c>
      <c r="R7849" s="345" t="s">
        <v>223</v>
      </c>
      <c r="S7849" s="345" t="s">
        <v>224</v>
      </c>
    </row>
    <row r="7850" spans="1:19" x14ac:dyDescent="0.25">
      <c r="A7850" s="311"/>
      <c r="B7850" s="312"/>
      <c r="C7850" s="312"/>
      <c r="D7850" s="312"/>
      <c r="E7850" s="312"/>
      <c r="F7850" s="312"/>
      <c r="G7850" s="328"/>
      <c r="H7850" s="453"/>
      <c r="I7850" s="334"/>
      <c r="J7850" s="314"/>
      <c r="K7850" s="454"/>
      <c r="M7850" s="349" t="str">
        <f>N7850&amp;AS[[#This Row],[Insurer Code]]&amp;"; "&amp;O7850&amp;AS[[#This Row],[Reporting Year]]&amp;"; "&amp;P7850&amp;AS[[#This Row],[Insurance Category Code]]&amp;"; "&amp;Q7850&amp;AS[[#This Row],[Large Provider Entity Code]]&amp;"; "&amp;R7850&amp;AS[[#This Row],[Age Band Code]]&amp;"; "&amp;S7850&amp;AS[[#This Row],[Sex Code]]</f>
        <v xml:space="preserve">Insurer Code ; Reporting Year ; Insurance Category Code ; Large Provider Entity Code ; Age Band Code ; Sex Code </v>
      </c>
      <c r="N7850" s="345" t="s">
        <v>207</v>
      </c>
      <c r="O7850" s="345" t="s">
        <v>208</v>
      </c>
      <c r="P7850" s="345" t="s">
        <v>209</v>
      </c>
      <c r="Q7850" s="345" t="s">
        <v>210</v>
      </c>
      <c r="R7850" s="345" t="s">
        <v>223</v>
      </c>
      <c r="S7850" s="345" t="s">
        <v>224</v>
      </c>
    </row>
    <row r="7851" spans="1:19" x14ac:dyDescent="0.25">
      <c r="A7851" s="311"/>
      <c r="B7851" s="312"/>
      <c r="C7851" s="312"/>
      <c r="D7851" s="312"/>
      <c r="E7851" s="312"/>
      <c r="F7851" s="312"/>
      <c r="G7851" s="328"/>
      <c r="H7851" s="453"/>
      <c r="I7851" s="334"/>
      <c r="J7851" s="314"/>
      <c r="K7851" s="454"/>
      <c r="M7851" s="349" t="str">
        <f>N7851&amp;AS[[#This Row],[Insurer Code]]&amp;"; "&amp;O7851&amp;AS[[#This Row],[Reporting Year]]&amp;"; "&amp;P7851&amp;AS[[#This Row],[Insurance Category Code]]&amp;"; "&amp;Q7851&amp;AS[[#This Row],[Large Provider Entity Code]]&amp;"; "&amp;R7851&amp;AS[[#This Row],[Age Band Code]]&amp;"; "&amp;S7851&amp;AS[[#This Row],[Sex Code]]</f>
        <v xml:space="preserve">Insurer Code ; Reporting Year ; Insurance Category Code ; Large Provider Entity Code ; Age Band Code ; Sex Code </v>
      </c>
      <c r="N7851" s="345" t="s">
        <v>207</v>
      </c>
      <c r="O7851" s="345" t="s">
        <v>208</v>
      </c>
      <c r="P7851" s="345" t="s">
        <v>209</v>
      </c>
      <c r="Q7851" s="345" t="s">
        <v>210</v>
      </c>
      <c r="R7851" s="345" t="s">
        <v>223</v>
      </c>
      <c r="S7851" s="345" t="s">
        <v>224</v>
      </c>
    </row>
    <row r="7852" spans="1:19" x14ac:dyDescent="0.25">
      <c r="A7852" s="311"/>
      <c r="B7852" s="312"/>
      <c r="C7852" s="312"/>
      <c r="D7852" s="312"/>
      <c r="E7852" s="312"/>
      <c r="F7852" s="312"/>
      <c r="G7852" s="328"/>
      <c r="H7852" s="453"/>
      <c r="I7852" s="334"/>
      <c r="J7852" s="314"/>
      <c r="K7852" s="454"/>
      <c r="M7852" s="349" t="str">
        <f>N7852&amp;AS[[#This Row],[Insurer Code]]&amp;"; "&amp;O7852&amp;AS[[#This Row],[Reporting Year]]&amp;"; "&amp;P7852&amp;AS[[#This Row],[Insurance Category Code]]&amp;"; "&amp;Q7852&amp;AS[[#This Row],[Large Provider Entity Code]]&amp;"; "&amp;R7852&amp;AS[[#This Row],[Age Band Code]]&amp;"; "&amp;S7852&amp;AS[[#This Row],[Sex Code]]</f>
        <v xml:space="preserve">Insurer Code ; Reporting Year ; Insurance Category Code ; Large Provider Entity Code ; Age Band Code ; Sex Code </v>
      </c>
      <c r="N7852" s="345" t="s">
        <v>207</v>
      </c>
      <c r="O7852" s="345" t="s">
        <v>208</v>
      </c>
      <c r="P7852" s="345" t="s">
        <v>209</v>
      </c>
      <c r="Q7852" s="345" t="s">
        <v>210</v>
      </c>
      <c r="R7852" s="345" t="s">
        <v>223</v>
      </c>
      <c r="S7852" s="345" t="s">
        <v>224</v>
      </c>
    </row>
    <row r="7853" spans="1:19" x14ac:dyDescent="0.25">
      <c r="A7853" s="311"/>
      <c r="B7853" s="312"/>
      <c r="C7853" s="312"/>
      <c r="D7853" s="312"/>
      <c r="E7853" s="312"/>
      <c r="F7853" s="312"/>
      <c r="G7853" s="328"/>
      <c r="H7853" s="453"/>
      <c r="I7853" s="334"/>
      <c r="J7853" s="314"/>
      <c r="K7853" s="454"/>
      <c r="M7853" s="349" t="str">
        <f>N7853&amp;AS[[#This Row],[Insurer Code]]&amp;"; "&amp;O7853&amp;AS[[#This Row],[Reporting Year]]&amp;"; "&amp;P7853&amp;AS[[#This Row],[Insurance Category Code]]&amp;"; "&amp;Q7853&amp;AS[[#This Row],[Large Provider Entity Code]]&amp;"; "&amp;R7853&amp;AS[[#This Row],[Age Band Code]]&amp;"; "&amp;S7853&amp;AS[[#This Row],[Sex Code]]</f>
        <v xml:space="preserve">Insurer Code ; Reporting Year ; Insurance Category Code ; Large Provider Entity Code ; Age Band Code ; Sex Code </v>
      </c>
      <c r="N7853" s="345" t="s">
        <v>207</v>
      </c>
      <c r="O7853" s="345" t="s">
        <v>208</v>
      </c>
      <c r="P7853" s="345" t="s">
        <v>209</v>
      </c>
      <c r="Q7853" s="345" t="s">
        <v>210</v>
      </c>
      <c r="R7853" s="345" t="s">
        <v>223</v>
      </c>
      <c r="S7853" s="345" t="s">
        <v>224</v>
      </c>
    </row>
    <row r="7854" spans="1:19" x14ac:dyDescent="0.25">
      <c r="A7854" s="311"/>
      <c r="B7854" s="312"/>
      <c r="C7854" s="312"/>
      <c r="D7854" s="312"/>
      <c r="E7854" s="312"/>
      <c r="F7854" s="312"/>
      <c r="G7854" s="328"/>
      <c r="H7854" s="453"/>
      <c r="I7854" s="334"/>
      <c r="J7854" s="314"/>
      <c r="K7854" s="454"/>
      <c r="M7854" s="349" t="str">
        <f>N7854&amp;AS[[#This Row],[Insurer Code]]&amp;"; "&amp;O7854&amp;AS[[#This Row],[Reporting Year]]&amp;"; "&amp;P7854&amp;AS[[#This Row],[Insurance Category Code]]&amp;"; "&amp;Q7854&amp;AS[[#This Row],[Large Provider Entity Code]]&amp;"; "&amp;R7854&amp;AS[[#This Row],[Age Band Code]]&amp;"; "&amp;S7854&amp;AS[[#This Row],[Sex Code]]</f>
        <v xml:space="preserve">Insurer Code ; Reporting Year ; Insurance Category Code ; Large Provider Entity Code ; Age Band Code ; Sex Code </v>
      </c>
      <c r="N7854" s="345" t="s">
        <v>207</v>
      </c>
      <c r="O7854" s="345" t="s">
        <v>208</v>
      </c>
      <c r="P7854" s="345" t="s">
        <v>209</v>
      </c>
      <c r="Q7854" s="345" t="s">
        <v>210</v>
      </c>
      <c r="R7854" s="345" t="s">
        <v>223</v>
      </c>
      <c r="S7854" s="345" t="s">
        <v>224</v>
      </c>
    </row>
    <row r="7855" spans="1:19" x14ac:dyDescent="0.25">
      <c r="A7855" s="311"/>
      <c r="B7855" s="312"/>
      <c r="C7855" s="312"/>
      <c r="D7855" s="312"/>
      <c r="E7855" s="312"/>
      <c r="F7855" s="312"/>
      <c r="G7855" s="328"/>
      <c r="H7855" s="453"/>
      <c r="I7855" s="334"/>
      <c r="J7855" s="314"/>
      <c r="K7855" s="454"/>
      <c r="M7855" s="349" t="str">
        <f>N7855&amp;AS[[#This Row],[Insurer Code]]&amp;"; "&amp;O7855&amp;AS[[#This Row],[Reporting Year]]&amp;"; "&amp;P7855&amp;AS[[#This Row],[Insurance Category Code]]&amp;"; "&amp;Q7855&amp;AS[[#This Row],[Large Provider Entity Code]]&amp;"; "&amp;R7855&amp;AS[[#This Row],[Age Band Code]]&amp;"; "&amp;S7855&amp;AS[[#This Row],[Sex Code]]</f>
        <v xml:space="preserve">Insurer Code ; Reporting Year ; Insurance Category Code ; Large Provider Entity Code ; Age Band Code ; Sex Code </v>
      </c>
      <c r="N7855" s="345" t="s">
        <v>207</v>
      </c>
      <c r="O7855" s="345" t="s">
        <v>208</v>
      </c>
      <c r="P7855" s="345" t="s">
        <v>209</v>
      </c>
      <c r="Q7855" s="345" t="s">
        <v>210</v>
      </c>
      <c r="R7855" s="345" t="s">
        <v>223</v>
      </c>
      <c r="S7855" s="345" t="s">
        <v>224</v>
      </c>
    </row>
    <row r="7856" spans="1:19" x14ac:dyDescent="0.25">
      <c r="A7856" s="311"/>
      <c r="B7856" s="312"/>
      <c r="C7856" s="312"/>
      <c r="D7856" s="312"/>
      <c r="E7856" s="312"/>
      <c r="F7856" s="312"/>
      <c r="G7856" s="328"/>
      <c r="H7856" s="453"/>
      <c r="I7856" s="334"/>
      <c r="J7856" s="314"/>
      <c r="K7856" s="454"/>
      <c r="M7856" s="349" t="str">
        <f>N7856&amp;AS[[#This Row],[Insurer Code]]&amp;"; "&amp;O7856&amp;AS[[#This Row],[Reporting Year]]&amp;"; "&amp;P7856&amp;AS[[#This Row],[Insurance Category Code]]&amp;"; "&amp;Q7856&amp;AS[[#This Row],[Large Provider Entity Code]]&amp;"; "&amp;R7856&amp;AS[[#This Row],[Age Band Code]]&amp;"; "&amp;S7856&amp;AS[[#This Row],[Sex Code]]</f>
        <v xml:space="preserve">Insurer Code ; Reporting Year ; Insurance Category Code ; Large Provider Entity Code ; Age Band Code ; Sex Code </v>
      </c>
      <c r="N7856" s="345" t="s">
        <v>207</v>
      </c>
      <c r="O7856" s="345" t="s">
        <v>208</v>
      </c>
      <c r="P7856" s="345" t="s">
        <v>209</v>
      </c>
      <c r="Q7856" s="345" t="s">
        <v>210</v>
      </c>
      <c r="R7856" s="345" t="s">
        <v>223</v>
      </c>
      <c r="S7856" s="345" t="s">
        <v>224</v>
      </c>
    </row>
    <row r="7857" spans="1:19" x14ac:dyDescent="0.25">
      <c r="A7857" s="311"/>
      <c r="B7857" s="312"/>
      <c r="C7857" s="312"/>
      <c r="D7857" s="312"/>
      <c r="E7857" s="312"/>
      <c r="F7857" s="312"/>
      <c r="G7857" s="328"/>
      <c r="H7857" s="453"/>
      <c r="I7857" s="334"/>
      <c r="J7857" s="314"/>
      <c r="K7857" s="454"/>
      <c r="M7857" s="349" t="str">
        <f>N7857&amp;AS[[#This Row],[Insurer Code]]&amp;"; "&amp;O7857&amp;AS[[#This Row],[Reporting Year]]&amp;"; "&amp;P7857&amp;AS[[#This Row],[Insurance Category Code]]&amp;"; "&amp;Q7857&amp;AS[[#This Row],[Large Provider Entity Code]]&amp;"; "&amp;R7857&amp;AS[[#This Row],[Age Band Code]]&amp;"; "&amp;S7857&amp;AS[[#This Row],[Sex Code]]</f>
        <v xml:space="preserve">Insurer Code ; Reporting Year ; Insurance Category Code ; Large Provider Entity Code ; Age Band Code ; Sex Code </v>
      </c>
      <c r="N7857" s="345" t="s">
        <v>207</v>
      </c>
      <c r="O7857" s="345" t="s">
        <v>208</v>
      </c>
      <c r="P7857" s="345" t="s">
        <v>209</v>
      </c>
      <c r="Q7857" s="345" t="s">
        <v>210</v>
      </c>
      <c r="R7857" s="345" t="s">
        <v>223</v>
      </c>
      <c r="S7857" s="345" t="s">
        <v>224</v>
      </c>
    </row>
    <row r="7858" spans="1:19" x14ac:dyDescent="0.25">
      <c r="A7858" s="311"/>
      <c r="B7858" s="312"/>
      <c r="C7858" s="312"/>
      <c r="D7858" s="312"/>
      <c r="E7858" s="312"/>
      <c r="F7858" s="312"/>
      <c r="G7858" s="328"/>
      <c r="H7858" s="453"/>
      <c r="I7858" s="334"/>
      <c r="J7858" s="314"/>
      <c r="K7858" s="454"/>
      <c r="M7858" s="349" t="str">
        <f>N7858&amp;AS[[#This Row],[Insurer Code]]&amp;"; "&amp;O7858&amp;AS[[#This Row],[Reporting Year]]&amp;"; "&amp;P7858&amp;AS[[#This Row],[Insurance Category Code]]&amp;"; "&amp;Q7858&amp;AS[[#This Row],[Large Provider Entity Code]]&amp;"; "&amp;R7858&amp;AS[[#This Row],[Age Band Code]]&amp;"; "&amp;S7858&amp;AS[[#This Row],[Sex Code]]</f>
        <v xml:space="preserve">Insurer Code ; Reporting Year ; Insurance Category Code ; Large Provider Entity Code ; Age Band Code ; Sex Code </v>
      </c>
      <c r="N7858" s="345" t="s">
        <v>207</v>
      </c>
      <c r="O7858" s="345" t="s">
        <v>208</v>
      </c>
      <c r="P7858" s="345" t="s">
        <v>209</v>
      </c>
      <c r="Q7858" s="345" t="s">
        <v>210</v>
      </c>
      <c r="R7858" s="345" t="s">
        <v>223</v>
      </c>
      <c r="S7858" s="345" t="s">
        <v>224</v>
      </c>
    </row>
    <row r="7859" spans="1:19" x14ac:dyDescent="0.25">
      <c r="A7859" s="311"/>
      <c r="B7859" s="312"/>
      <c r="C7859" s="312"/>
      <c r="D7859" s="312"/>
      <c r="E7859" s="312"/>
      <c r="F7859" s="312"/>
      <c r="G7859" s="328"/>
      <c r="H7859" s="453"/>
      <c r="I7859" s="334"/>
      <c r="J7859" s="314"/>
      <c r="K7859" s="454"/>
      <c r="M7859" s="349" t="str">
        <f>N7859&amp;AS[[#This Row],[Insurer Code]]&amp;"; "&amp;O7859&amp;AS[[#This Row],[Reporting Year]]&amp;"; "&amp;P7859&amp;AS[[#This Row],[Insurance Category Code]]&amp;"; "&amp;Q7859&amp;AS[[#This Row],[Large Provider Entity Code]]&amp;"; "&amp;R7859&amp;AS[[#This Row],[Age Band Code]]&amp;"; "&amp;S7859&amp;AS[[#This Row],[Sex Code]]</f>
        <v xml:space="preserve">Insurer Code ; Reporting Year ; Insurance Category Code ; Large Provider Entity Code ; Age Band Code ; Sex Code </v>
      </c>
      <c r="N7859" s="345" t="s">
        <v>207</v>
      </c>
      <c r="O7859" s="345" t="s">
        <v>208</v>
      </c>
      <c r="P7859" s="345" t="s">
        <v>209</v>
      </c>
      <c r="Q7859" s="345" t="s">
        <v>210</v>
      </c>
      <c r="R7859" s="345" t="s">
        <v>223</v>
      </c>
      <c r="S7859" s="345" t="s">
        <v>224</v>
      </c>
    </row>
    <row r="7860" spans="1:19" x14ac:dyDescent="0.25">
      <c r="A7860" s="311"/>
      <c r="B7860" s="312"/>
      <c r="C7860" s="312"/>
      <c r="D7860" s="312"/>
      <c r="E7860" s="312"/>
      <c r="F7860" s="312"/>
      <c r="G7860" s="328"/>
      <c r="H7860" s="453"/>
      <c r="I7860" s="334"/>
      <c r="J7860" s="314"/>
      <c r="K7860" s="454"/>
      <c r="M7860" s="349" t="str">
        <f>N7860&amp;AS[[#This Row],[Insurer Code]]&amp;"; "&amp;O7860&amp;AS[[#This Row],[Reporting Year]]&amp;"; "&amp;P7860&amp;AS[[#This Row],[Insurance Category Code]]&amp;"; "&amp;Q7860&amp;AS[[#This Row],[Large Provider Entity Code]]&amp;"; "&amp;R7860&amp;AS[[#This Row],[Age Band Code]]&amp;"; "&amp;S7860&amp;AS[[#This Row],[Sex Code]]</f>
        <v xml:space="preserve">Insurer Code ; Reporting Year ; Insurance Category Code ; Large Provider Entity Code ; Age Band Code ; Sex Code </v>
      </c>
      <c r="N7860" s="345" t="s">
        <v>207</v>
      </c>
      <c r="O7860" s="345" t="s">
        <v>208</v>
      </c>
      <c r="P7860" s="345" t="s">
        <v>209</v>
      </c>
      <c r="Q7860" s="345" t="s">
        <v>210</v>
      </c>
      <c r="R7860" s="345" t="s">
        <v>223</v>
      </c>
      <c r="S7860" s="345" t="s">
        <v>224</v>
      </c>
    </row>
    <row r="7861" spans="1:19" x14ac:dyDescent="0.25">
      <c r="A7861" s="311"/>
      <c r="B7861" s="312"/>
      <c r="C7861" s="312"/>
      <c r="D7861" s="312"/>
      <c r="E7861" s="312"/>
      <c r="F7861" s="312"/>
      <c r="G7861" s="328"/>
      <c r="H7861" s="453"/>
      <c r="I7861" s="334"/>
      <c r="J7861" s="314"/>
      <c r="K7861" s="454"/>
      <c r="M7861" s="349" t="str">
        <f>N7861&amp;AS[[#This Row],[Insurer Code]]&amp;"; "&amp;O7861&amp;AS[[#This Row],[Reporting Year]]&amp;"; "&amp;P7861&amp;AS[[#This Row],[Insurance Category Code]]&amp;"; "&amp;Q7861&amp;AS[[#This Row],[Large Provider Entity Code]]&amp;"; "&amp;R7861&amp;AS[[#This Row],[Age Band Code]]&amp;"; "&amp;S7861&amp;AS[[#This Row],[Sex Code]]</f>
        <v xml:space="preserve">Insurer Code ; Reporting Year ; Insurance Category Code ; Large Provider Entity Code ; Age Band Code ; Sex Code </v>
      </c>
      <c r="N7861" s="345" t="s">
        <v>207</v>
      </c>
      <c r="O7861" s="345" t="s">
        <v>208</v>
      </c>
      <c r="P7861" s="345" t="s">
        <v>209</v>
      </c>
      <c r="Q7861" s="345" t="s">
        <v>210</v>
      </c>
      <c r="R7861" s="345" t="s">
        <v>223</v>
      </c>
      <c r="S7861" s="345" t="s">
        <v>224</v>
      </c>
    </row>
    <row r="7862" spans="1:19" x14ac:dyDescent="0.25">
      <c r="A7862" s="311"/>
      <c r="B7862" s="312"/>
      <c r="C7862" s="312"/>
      <c r="D7862" s="312"/>
      <c r="E7862" s="312"/>
      <c r="F7862" s="312"/>
      <c r="G7862" s="328"/>
      <c r="H7862" s="453"/>
      <c r="I7862" s="334"/>
      <c r="J7862" s="314"/>
      <c r="K7862" s="454"/>
      <c r="M7862" s="349" t="str">
        <f>N7862&amp;AS[[#This Row],[Insurer Code]]&amp;"; "&amp;O7862&amp;AS[[#This Row],[Reporting Year]]&amp;"; "&amp;P7862&amp;AS[[#This Row],[Insurance Category Code]]&amp;"; "&amp;Q7862&amp;AS[[#This Row],[Large Provider Entity Code]]&amp;"; "&amp;R7862&amp;AS[[#This Row],[Age Band Code]]&amp;"; "&amp;S7862&amp;AS[[#This Row],[Sex Code]]</f>
        <v xml:space="preserve">Insurer Code ; Reporting Year ; Insurance Category Code ; Large Provider Entity Code ; Age Band Code ; Sex Code </v>
      </c>
      <c r="N7862" s="345" t="s">
        <v>207</v>
      </c>
      <c r="O7862" s="345" t="s">
        <v>208</v>
      </c>
      <c r="P7862" s="345" t="s">
        <v>209</v>
      </c>
      <c r="Q7862" s="345" t="s">
        <v>210</v>
      </c>
      <c r="R7862" s="345" t="s">
        <v>223</v>
      </c>
      <c r="S7862" s="345" t="s">
        <v>224</v>
      </c>
    </row>
    <row r="7863" spans="1:19" x14ac:dyDescent="0.25">
      <c r="A7863" s="311"/>
      <c r="B7863" s="312"/>
      <c r="C7863" s="312"/>
      <c r="D7863" s="312"/>
      <c r="E7863" s="312"/>
      <c r="F7863" s="312"/>
      <c r="G7863" s="328"/>
      <c r="H7863" s="453"/>
      <c r="I7863" s="334"/>
      <c r="J7863" s="314"/>
      <c r="K7863" s="454"/>
      <c r="M7863" s="349" t="str">
        <f>N7863&amp;AS[[#This Row],[Insurer Code]]&amp;"; "&amp;O7863&amp;AS[[#This Row],[Reporting Year]]&amp;"; "&amp;P7863&amp;AS[[#This Row],[Insurance Category Code]]&amp;"; "&amp;Q7863&amp;AS[[#This Row],[Large Provider Entity Code]]&amp;"; "&amp;R7863&amp;AS[[#This Row],[Age Band Code]]&amp;"; "&amp;S7863&amp;AS[[#This Row],[Sex Code]]</f>
        <v xml:space="preserve">Insurer Code ; Reporting Year ; Insurance Category Code ; Large Provider Entity Code ; Age Band Code ; Sex Code </v>
      </c>
      <c r="N7863" s="345" t="s">
        <v>207</v>
      </c>
      <c r="O7863" s="345" t="s">
        <v>208</v>
      </c>
      <c r="P7863" s="345" t="s">
        <v>209</v>
      </c>
      <c r="Q7863" s="345" t="s">
        <v>210</v>
      </c>
      <c r="R7863" s="345" t="s">
        <v>223</v>
      </c>
      <c r="S7863" s="345" t="s">
        <v>224</v>
      </c>
    </row>
    <row r="7864" spans="1:19" x14ac:dyDescent="0.25">
      <c r="A7864" s="311"/>
      <c r="B7864" s="312"/>
      <c r="C7864" s="312"/>
      <c r="D7864" s="312"/>
      <c r="E7864" s="312"/>
      <c r="F7864" s="312"/>
      <c r="G7864" s="328"/>
      <c r="H7864" s="453"/>
      <c r="I7864" s="334"/>
      <c r="J7864" s="314"/>
      <c r="K7864" s="454"/>
      <c r="M7864" s="349" t="str">
        <f>N7864&amp;AS[[#This Row],[Insurer Code]]&amp;"; "&amp;O7864&amp;AS[[#This Row],[Reporting Year]]&amp;"; "&amp;P7864&amp;AS[[#This Row],[Insurance Category Code]]&amp;"; "&amp;Q7864&amp;AS[[#This Row],[Large Provider Entity Code]]&amp;"; "&amp;R7864&amp;AS[[#This Row],[Age Band Code]]&amp;"; "&amp;S7864&amp;AS[[#This Row],[Sex Code]]</f>
        <v xml:space="preserve">Insurer Code ; Reporting Year ; Insurance Category Code ; Large Provider Entity Code ; Age Band Code ; Sex Code </v>
      </c>
      <c r="N7864" s="345" t="s">
        <v>207</v>
      </c>
      <c r="O7864" s="345" t="s">
        <v>208</v>
      </c>
      <c r="P7864" s="345" t="s">
        <v>209</v>
      </c>
      <c r="Q7864" s="345" t="s">
        <v>210</v>
      </c>
      <c r="R7864" s="345" t="s">
        <v>223</v>
      </c>
      <c r="S7864" s="345" t="s">
        <v>224</v>
      </c>
    </row>
    <row r="7865" spans="1:19" x14ac:dyDescent="0.25">
      <c r="A7865" s="311"/>
      <c r="B7865" s="312"/>
      <c r="C7865" s="312"/>
      <c r="D7865" s="312"/>
      <c r="E7865" s="312"/>
      <c r="F7865" s="312"/>
      <c r="G7865" s="328"/>
      <c r="H7865" s="453"/>
      <c r="I7865" s="334"/>
      <c r="J7865" s="314"/>
      <c r="K7865" s="454"/>
      <c r="M7865" s="349" t="str">
        <f>N7865&amp;AS[[#This Row],[Insurer Code]]&amp;"; "&amp;O7865&amp;AS[[#This Row],[Reporting Year]]&amp;"; "&amp;P7865&amp;AS[[#This Row],[Insurance Category Code]]&amp;"; "&amp;Q7865&amp;AS[[#This Row],[Large Provider Entity Code]]&amp;"; "&amp;R7865&amp;AS[[#This Row],[Age Band Code]]&amp;"; "&amp;S7865&amp;AS[[#This Row],[Sex Code]]</f>
        <v xml:space="preserve">Insurer Code ; Reporting Year ; Insurance Category Code ; Large Provider Entity Code ; Age Band Code ; Sex Code </v>
      </c>
      <c r="N7865" s="345" t="s">
        <v>207</v>
      </c>
      <c r="O7865" s="345" t="s">
        <v>208</v>
      </c>
      <c r="P7865" s="345" t="s">
        <v>209</v>
      </c>
      <c r="Q7865" s="345" t="s">
        <v>210</v>
      </c>
      <c r="R7865" s="345" t="s">
        <v>223</v>
      </c>
      <c r="S7865" s="345" t="s">
        <v>224</v>
      </c>
    </row>
    <row r="7866" spans="1:19" x14ac:dyDescent="0.25">
      <c r="A7866" s="311"/>
      <c r="B7866" s="312"/>
      <c r="C7866" s="312"/>
      <c r="D7866" s="312"/>
      <c r="E7866" s="312"/>
      <c r="F7866" s="312"/>
      <c r="G7866" s="328"/>
      <c r="H7866" s="453"/>
      <c r="I7866" s="334"/>
      <c r="J7866" s="314"/>
      <c r="K7866" s="454"/>
      <c r="M7866" s="349" t="str">
        <f>N7866&amp;AS[[#This Row],[Insurer Code]]&amp;"; "&amp;O7866&amp;AS[[#This Row],[Reporting Year]]&amp;"; "&amp;P7866&amp;AS[[#This Row],[Insurance Category Code]]&amp;"; "&amp;Q7866&amp;AS[[#This Row],[Large Provider Entity Code]]&amp;"; "&amp;R7866&amp;AS[[#This Row],[Age Band Code]]&amp;"; "&amp;S7866&amp;AS[[#This Row],[Sex Code]]</f>
        <v xml:space="preserve">Insurer Code ; Reporting Year ; Insurance Category Code ; Large Provider Entity Code ; Age Band Code ; Sex Code </v>
      </c>
      <c r="N7866" s="345" t="s">
        <v>207</v>
      </c>
      <c r="O7866" s="345" t="s">
        <v>208</v>
      </c>
      <c r="P7866" s="345" t="s">
        <v>209</v>
      </c>
      <c r="Q7866" s="345" t="s">
        <v>210</v>
      </c>
      <c r="R7866" s="345" t="s">
        <v>223</v>
      </c>
      <c r="S7866" s="345" t="s">
        <v>224</v>
      </c>
    </row>
    <row r="7867" spans="1:19" x14ac:dyDescent="0.25">
      <c r="A7867" s="311"/>
      <c r="B7867" s="312"/>
      <c r="C7867" s="312"/>
      <c r="D7867" s="312"/>
      <c r="E7867" s="312"/>
      <c r="F7867" s="312"/>
      <c r="G7867" s="328"/>
      <c r="H7867" s="453"/>
      <c r="I7867" s="334"/>
      <c r="J7867" s="314"/>
      <c r="K7867" s="454"/>
      <c r="M7867" s="349" t="str">
        <f>N7867&amp;AS[[#This Row],[Insurer Code]]&amp;"; "&amp;O7867&amp;AS[[#This Row],[Reporting Year]]&amp;"; "&amp;P7867&amp;AS[[#This Row],[Insurance Category Code]]&amp;"; "&amp;Q7867&amp;AS[[#This Row],[Large Provider Entity Code]]&amp;"; "&amp;R7867&amp;AS[[#This Row],[Age Band Code]]&amp;"; "&amp;S7867&amp;AS[[#This Row],[Sex Code]]</f>
        <v xml:space="preserve">Insurer Code ; Reporting Year ; Insurance Category Code ; Large Provider Entity Code ; Age Band Code ; Sex Code </v>
      </c>
      <c r="N7867" s="345" t="s">
        <v>207</v>
      </c>
      <c r="O7867" s="345" t="s">
        <v>208</v>
      </c>
      <c r="P7867" s="345" t="s">
        <v>209</v>
      </c>
      <c r="Q7867" s="345" t="s">
        <v>210</v>
      </c>
      <c r="R7867" s="345" t="s">
        <v>223</v>
      </c>
      <c r="S7867" s="345" t="s">
        <v>224</v>
      </c>
    </row>
    <row r="7868" spans="1:19" x14ac:dyDescent="0.25">
      <c r="A7868" s="311"/>
      <c r="B7868" s="312"/>
      <c r="C7868" s="312"/>
      <c r="D7868" s="312"/>
      <c r="E7868" s="312"/>
      <c r="F7868" s="312"/>
      <c r="G7868" s="328"/>
      <c r="H7868" s="453"/>
      <c r="I7868" s="334"/>
      <c r="J7868" s="314"/>
      <c r="K7868" s="454"/>
      <c r="M7868" s="349" t="str">
        <f>N7868&amp;AS[[#This Row],[Insurer Code]]&amp;"; "&amp;O7868&amp;AS[[#This Row],[Reporting Year]]&amp;"; "&amp;P7868&amp;AS[[#This Row],[Insurance Category Code]]&amp;"; "&amp;Q7868&amp;AS[[#This Row],[Large Provider Entity Code]]&amp;"; "&amp;R7868&amp;AS[[#This Row],[Age Band Code]]&amp;"; "&amp;S7868&amp;AS[[#This Row],[Sex Code]]</f>
        <v xml:space="preserve">Insurer Code ; Reporting Year ; Insurance Category Code ; Large Provider Entity Code ; Age Band Code ; Sex Code </v>
      </c>
      <c r="N7868" s="345" t="s">
        <v>207</v>
      </c>
      <c r="O7868" s="345" t="s">
        <v>208</v>
      </c>
      <c r="P7868" s="345" t="s">
        <v>209</v>
      </c>
      <c r="Q7868" s="345" t="s">
        <v>210</v>
      </c>
      <c r="R7868" s="345" t="s">
        <v>223</v>
      </c>
      <c r="S7868" s="345" t="s">
        <v>224</v>
      </c>
    </row>
    <row r="7869" spans="1:19" x14ac:dyDescent="0.25">
      <c r="A7869" s="311"/>
      <c r="B7869" s="312"/>
      <c r="C7869" s="312"/>
      <c r="D7869" s="312"/>
      <c r="E7869" s="312"/>
      <c r="F7869" s="312"/>
      <c r="G7869" s="328"/>
      <c r="H7869" s="453"/>
      <c r="I7869" s="334"/>
      <c r="J7869" s="314"/>
      <c r="K7869" s="454"/>
      <c r="M7869" s="349" t="str">
        <f>N7869&amp;AS[[#This Row],[Insurer Code]]&amp;"; "&amp;O7869&amp;AS[[#This Row],[Reporting Year]]&amp;"; "&amp;P7869&amp;AS[[#This Row],[Insurance Category Code]]&amp;"; "&amp;Q7869&amp;AS[[#This Row],[Large Provider Entity Code]]&amp;"; "&amp;R7869&amp;AS[[#This Row],[Age Band Code]]&amp;"; "&amp;S7869&amp;AS[[#This Row],[Sex Code]]</f>
        <v xml:space="preserve">Insurer Code ; Reporting Year ; Insurance Category Code ; Large Provider Entity Code ; Age Band Code ; Sex Code </v>
      </c>
      <c r="N7869" s="345" t="s">
        <v>207</v>
      </c>
      <c r="O7869" s="345" t="s">
        <v>208</v>
      </c>
      <c r="P7869" s="345" t="s">
        <v>209</v>
      </c>
      <c r="Q7869" s="345" t="s">
        <v>210</v>
      </c>
      <c r="R7869" s="345" t="s">
        <v>223</v>
      </c>
      <c r="S7869" s="345" t="s">
        <v>224</v>
      </c>
    </row>
    <row r="7870" spans="1:19" x14ac:dyDescent="0.25">
      <c r="A7870" s="311"/>
      <c r="B7870" s="312"/>
      <c r="C7870" s="312"/>
      <c r="D7870" s="312"/>
      <c r="E7870" s="312"/>
      <c r="F7870" s="312"/>
      <c r="G7870" s="328"/>
      <c r="H7870" s="453"/>
      <c r="I7870" s="334"/>
      <c r="J7870" s="314"/>
      <c r="K7870" s="454"/>
      <c r="M7870" s="349" t="str">
        <f>N7870&amp;AS[[#This Row],[Insurer Code]]&amp;"; "&amp;O7870&amp;AS[[#This Row],[Reporting Year]]&amp;"; "&amp;P7870&amp;AS[[#This Row],[Insurance Category Code]]&amp;"; "&amp;Q7870&amp;AS[[#This Row],[Large Provider Entity Code]]&amp;"; "&amp;R7870&amp;AS[[#This Row],[Age Band Code]]&amp;"; "&amp;S7870&amp;AS[[#This Row],[Sex Code]]</f>
        <v xml:space="preserve">Insurer Code ; Reporting Year ; Insurance Category Code ; Large Provider Entity Code ; Age Band Code ; Sex Code </v>
      </c>
      <c r="N7870" s="345" t="s">
        <v>207</v>
      </c>
      <c r="O7870" s="345" t="s">
        <v>208</v>
      </c>
      <c r="P7870" s="345" t="s">
        <v>209</v>
      </c>
      <c r="Q7870" s="345" t="s">
        <v>210</v>
      </c>
      <c r="R7870" s="345" t="s">
        <v>223</v>
      </c>
      <c r="S7870" s="345" t="s">
        <v>224</v>
      </c>
    </row>
    <row r="7871" spans="1:19" x14ac:dyDescent="0.25">
      <c r="A7871" s="311"/>
      <c r="B7871" s="312"/>
      <c r="C7871" s="312"/>
      <c r="D7871" s="312"/>
      <c r="E7871" s="312"/>
      <c r="F7871" s="312"/>
      <c r="G7871" s="328"/>
      <c r="H7871" s="453"/>
      <c r="I7871" s="334"/>
      <c r="J7871" s="314"/>
      <c r="K7871" s="454"/>
      <c r="M7871" s="349" t="str">
        <f>N7871&amp;AS[[#This Row],[Insurer Code]]&amp;"; "&amp;O7871&amp;AS[[#This Row],[Reporting Year]]&amp;"; "&amp;P7871&amp;AS[[#This Row],[Insurance Category Code]]&amp;"; "&amp;Q7871&amp;AS[[#This Row],[Large Provider Entity Code]]&amp;"; "&amp;R7871&amp;AS[[#This Row],[Age Band Code]]&amp;"; "&amp;S7871&amp;AS[[#This Row],[Sex Code]]</f>
        <v xml:space="preserve">Insurer Code ; Reporting Year ; Insurance Category Code ; Large Provider Entity Code ; Age Band Code ; Sex Code </v>
      </c>
      <c r="N7871" s="345" t="s">
        <v>207</v>
      </c>
      <c r="O7871" s="345" t="s">
        <v>208</v>
      </c>
      <c r="P7871" s="345" t="s">
        <v>209</v>
      </c>
      <c r="Q7871" s="345" t="s">
        <v>210</v>
      </c>
      <c r="R7871" s="345" t="s">
        <v>223</v>
      </c>
      <c r="S7871" s="345" t="s">
        <v>224</v>
      </c>
    </row>
    <row r="7872" spans="1:19" x14ac:dyDescent="0.25">
      <c r="A7872" s="311"/>
      <c r="B7872" s="312"/>
      <c r="C7872" s="312"/>
      <c r="D7872" s="312"/>
      <c r="E7872" s="312"/>
      <c r="F7872" s="312"/>
      <c r="G7872" s="328"/>
      <c r="H7872" s="453"/>
      <c r="I7872" s="334"/>
      <c r="J7872" s="314"/>
      <c r="K7872" s="454"/>
      <c r="M7872" s="349" t="str">
        <f>N7872&amp;AS[[#This Row],[Insurer Code]]&amp;"; "&amp;O7872&amp;AS[[#This Row],[Reporting Year]]&amp;"; "&amp;P7872&amp;AS[[#This Row],[Insurance Category Code]]&amp;"; "&amp;Q7872&amp;AS[[#This Row],[Large Provider Entity Code]]&amp;"; "&amp;R7872&amp;AS[[#This Row],[Age Band Code]]&amp;"; "&amp;S7872&amp;AS[[#This Row],[Sex Code]]</f>
        <v xml:space="preserve">Insurer Code ; Reporting Year ; Insurance Category Code ; Large Provider Entity Code ; Age Band Code ; Sex Code </v>
      </c>
      <c r="N7872" s="345" t="s">
        <v>207</v>
      </c>
      <c r="O7872" s="345" t="s">
        <v>208</v>
      </c>
      <c r="P7872" s="345" t="s">
        <v>209</v>
      </c>
      <c r="Q7872" s="345" t="s">
        <v>210</v>
      </c>
      <c r="R7872" s="345" t="s">
        <v>223</v>
      </c>
      <c r="S7872" s="345" t="s">
        <v>224</v>
      </c>
    </row>
    <row r="7873" spans="1:19" x14ac:dyDescent="0.25">
      <c r="A7873" s="311"/>
      <c r="B7873" s="312"/>
      <c r="C7873" s="312"/>
      <c r="D7873" s="312"/>
      <c r="E7873" s="312"/>
      <c r="F7873" s="312"/>
      <c r="G7873" s="328"/>
      <c r="H7873" s="453"/>
      <c r="I7873" s="334"/>
      <c r="J7873" s="314"/>
      <c r="K7873" s="454"/>
      <c r="M7873" s="349" t="str">
        <f>N7873&amp;AS[[#This Row],[Insurer Code]]&amp;"; "&amp;O7873&amp;AS[[#This Row],[Reporting Year]]&amp;"; "&amp;P7873&amp;AS[[#This Row],[Insurance Category Code]]&amp;"; "&amp;Q7873&amp;AS[[#This Row],[Large Provider Entity Code]]&amp;"; "&amp;R7873&amp;AS[[#This Row],[Age Band Code]]&amp;"; "&amp;S7873&amp;AS[[#This Row],[Sex Code]]</f>
        <v xml:space="preserve">Insurer Code ; Reporting Year ; Insurance Category Code ; Large Provider Entity Code ; Age Band Code ; Sex Code </v>
      </c>
      <c r="N7873" s="345" t="s">
        <v>207</v>
      </c>
      <c r="O7873" s="345" t="s">
        <v>208</v>
      </c>
      <c r="P7873" s="345" t="s">
        <v>209</v>
      </c>
      <c r="Q7873" s="345" t="s">
        <v>210</v>
      </c>
      <c r="R7873" s="345" t="s">
        <v>223</v>
      </c>
      <c r="S7873" s="345" t="s">
        <v>224</v>
      </c>
    </row>
    <row r="7874" spans="1:19" x14ac:dyDescent="0.25">
      <c r="A7874" s="311"/>
      <c r="B7874" s="312"/>
      <c r="C7874" s="312"/>
      <c r="D7874" s="312"/>
      <c r="E7874" s="312"/>
      <c r="F7874" s="312"/>
      <c r="G7874" s="328"/>
      <c r="H7874" s="453"/>
      <c r="I7874" s="334"/>
      <c r="J7874" s="314"/>
      <c r="K7874" s="454"/>
      <c r="M7874" s="349" t="str">
        <f>N7874&amp;AS[[#This Row],[Insurer Code]]&amp;"; "&amp;O7874&amp;AS[[#This Row],[Reporting Year]]&amp;"; "&amp;P7874&amp;AS[[#This Row],[Insurance Category Code]]&amp;"; "&amp;Q7874&amp;AS[[#This Row],[Large Provider Entity Code]]&amp;"; "&amp;R7874&amp;AS[[#This Row],[Age Band Code]]&amp;"; "&amp;S7874&amp;AS[[#This Row],[Sex Code]]</f>
        <v xml:space="preserve">Insurer Code ; Reporting Year ; Insurance Category Code ; Large Provider Entity Code ; Age Band Code ; Sex Code </v>
      </c>
      <c r="N7874" s="345" t="s">
        <v>207</v>
      </c>
      <c r="O7874" s="345" t="s">
        <v>208</v>
      </c>
      <c r="P7874" s="345" t="s">
        <v>209</v>
      </c>
      <c r="Q7874" s="345" t="s">
        <v>210</v>
      </c>
      <c r="R7874" s="345" t="s">
        <v>223</v>
      </c>
      <c r="S7874" s="345" t="s">
        <v>224</v>
      </c>
    </row>
    <row r="7875" spans="1:19" x14ac:dyDescent="0.25">
      <c r="A7875" s="311"/>
      <c r="B7875" s="312"/>
      <c r="C7875" s="312"/>
      <c r="D7875" s="312"/>
      <c r="E7875" s="312"/>
      <c r="F7875" s="312"/>
      <c r="G7875" s="328"/>
      <c r="H7875" s="453"/>
      <c r="I7875" s="334"/>
      <c r="J7875" s="314"/>
      <c r="K7875" s="454"/>
      <c r="M7875" s="349" t="str">
        <f>N7875&amp;AS[[#This Row],[Insurer Code]]&amp;"; "&amp;O7875&amp;AS[[#This Row],[Reporting Year]]&amp;"; "&amp;P7875&amp;AS[[#This Row],[Insurance Category Code]]&amp;"; "&amp;Q7875&amp;AS[[#This Row],[Large Provider Entity Code]]&amp;"; "&amp;R7875&amp;AS[[#This Row],[Age Band Code]]&amp;"; "&amp;S7875&amp;AS[[#This Row],[Sex Code]]</f>
        <v xml:space="preserve">Insurer Code ; Reporting Year ; Insurance Category Code ; Large Provider Entity Code ; Age Band Code ; Sex Code </v>
      </c>
      <c r="N7875" s="345" t="s">
        <v>207</v>
      </c>
      <c r="O7875" s="345" t="s">
        <v>208</v>
      </c>
      <c r="P7875" s="345" t="s">
        <v>209</v>
      </c>
      <c r="Q7875" s="345" t="s">
        <v>210</v>
      </c>
      <c r="R7875" s="345" t="s">
        <v>223</v>
      </c>
      <c r="S7875" s="345" t="s">
        <v>224</v>
      </c>
    </row>
    <row r="7876" spans="1:19" x14ac:dyDescent="0.25">
      <c r="A7876" s="311"/>
      <c r="B7876" s="312"/>
      <c r="C7876" s="312"/>
      <c r="D7876" s="312"/>
      <c r="E7876" s="312"/>
      <c r="F7876" s="312"/>
      <c r="G7876" s="328"/>
      <c r="H7876" s="453"/>
      <c r="I7876" s="334"/>
      <c r="J7876" s="314"/>
      <c r="K7876" s="454"/>
      <c r="M7876" s="349" t="str">
        <f>N7876&amp;AS[[#This Row],[Insurer Code]]&amp;"; "&amp;O7876&amp;AS[[#This Row],[Reporting Year]]&amp;"; "&amp;P7876&amp;AS[[#This Row],[Insurance Category Code]]&amp;"; "&amp;Q7876&amp;AS[[#This Row],[Large Provider Entity Code]]&amp;"; "&amp;R7876&amp;AS[[#This Row],[Age Band Code]]&amp;"; "&amp;S7876&amp;AS[[#This Row],[Sex Code]]</f>
        <v xml:space="preserve">Insurer Code ; Reporting Year ; Insurance Category Code ; Large Provider Entity Code ; Age Band Code ; Sex Code </v>
      </c>
      <c r="N7876" s="345" t="s">
        <v>207</v>
      </c>
      <c r="O7876" s="345" t="s">
        <v>208</v>
      </c>
      <c r="P7876" s="345" t="s">
        <v>209</v>
      </c>
      <c r="Q7876" s="345" t="s">
        <v>210</v>
      </c>
      <c r="R7876" s="345" t="s">
        <v>223</v>
      </c>
      <c r="S7876" s="345" t="s">
        <v>224</v>
      </c>
    </row>
    <row r="7877" spans="1:19" x14ac:dyDescent="0.25">
      <c r="A7877" s="311"/>
      <c r="B7877" s="312"/>
      <c r="C7877" s="312"/>
      <c r="D7877" s="312"/>
      <c r="E7877" s="312"/>
      <c r="F7877" s="312"/>
      <c r="G7877" s="328"/>
      <c r="H7877" s="453"/>
      <c r="I7877" s="334"/>
      <c r="J7877" s="314"/>
      <c r="K7877" s="454"/>
      <c r="M7877" s="349" t="str">
        <f>N7877&amp;AS[[#This Row],[Insurer Code]]&amp;"; "&amp;O7877&amp;AS[[#This Row],[Reporting Year]]&amp;"; "&amp;P7877&amp;AS[[#This Row],[Insurance Category Code]]&amp;"; "&amp;Q7877&amp;AS[[#This Row],[Large Provider Entity Code]]&amp;"; "&amp;R7877&amp;AS[[#This Row],[Age Band Code]]&amp;"; "&amp;S7877&amp;AS[[#This Row],[Sex Code]]</f>
        <v xml:space="preserve">Insurer Code ; Reporting Year ; Insurance Category Code ; Large Provider Entity Code ; Age Band Code ; Sex Code </v>
      </c>
      <c r="N7877" s="345" t="s">
        <v>207</v>
      </c>
      <c r="O7877" s="345" t="s">
        <v>208</v>
      </c>
      <c r="P7877" s="345" t="s">
        <v>209</v>
      </c>
      <c r="Q7877" s="345" t="s">
        <v>210</v>
      </c>
      <c r="R7877" s="345" t="s">
        <v>223</v>
      </c>
      <c r="S7877" s="345" t="s">
        <v>224</v>
      </c>
    </row>
    <row r="7878" spans="1:19" x14ac:dyDescent="0.25">
      <c r="A7878" s="311"/>
      <c r="B7878" s="312"/>
      <c r="C7878" s="312"/>
      <c r="D7878" s="312"/>
      <c r="E7878" s="312"/>
      <c r="F7878" s="312"/>
      <c r="G7878" s="328"/>
      <c r="H7878" s="453"/>
      <c r="I7878" s="334"/>
      <c r="J7878" s="314"/>
      <c r="K7878" s="454"/>
      <c r="M7878" s="349" t="str">
        <f>N7878&amp;AS[[#This Row],[Insurer Code]]&amp;"; "&amp;O7878&amp;AS[[#This Row],[Reporting Year]]&amp;"; "&amp;P7878&amp;AS[[#This Row],[Insurance Category Code]]&amp;"; "&amp;Q7878&amp;AS[[#This Row],[Large Provider Entity Code]]&amp;"; "&amp;R7878&amp;AS[[#This Row],[Age Band Code]]&amp;"; "&amp;S7878&amp;AS[[#This Row],[Sex Code]]</f>
        <v xml:space="preserve">Insurer Code ; Reporting Year ; Insurance Category Code ; Large Provider Entity Code ; Age Band Code ; Sex Code </v>
      </c>
      <c r="N7878" s="345" t="s">
        <v>207</v>
      </c>
      <c r="O7878" s="345" t="s">
        <v>208</v>
      </c>
      <c r="P7878" s="345" t="s">
        <v>209</v>
      </c>
      <c r="Q7878" s="345" t="s">
        <v>210</v>
      </c>
      <c r="R7878" s="345" t="s">
        <v>223</v>
      </c>
      <c r="S7878" s="345" t="s">
        <v>224</v>
      </c>
    </row>
    <row r="7879" spans="1:19" x14ac:dyDescent="0.25">
      <c r="A7879" s="311"/>
      <c r="B7879" s="312"/>
      <c r="C7879" s="312"/>
      <c r="D7879" s="312"/>
      <c r="E7879" s="312"/>
      <c r="F7879" s="312"/>
      <c r="G7879" s="328"/>
      <c r="H7879" s="453"/>
      <c r="I7879" s="334"/>
      <c r="J7879" s="314"/>
      <c r="K7879" s="454"/>
      <c r="M7879" s="349" t="str">
        <f>N7879&amp;AS[[#This Row],[Insurer Code]]&amp;"; "&amp;O7879&amp;AS[[#This Row],[Reporting Year]]&amp;"; "&amp;P7879&amp;AS[[#This Row],[Insurance Category Code]]&amp;"; "&amp;Q7879&amp;AS[[#This Row],[Large Provider Entity Code]]&amp;"; "&amp;R7879&amp;AS[[#This Row],[Age Band Code]]&amp;"; "&amp;S7879&amp;AS[[#This Row],[Sex Code]]</f>
        <v xml:space="preserve">Insurer Code ; Reporting Year ; Insurance Category Code ; Large Provider Entity Code ; Age Band Code ; Sex Code </v>
      </c>
      <c r="N7879" s="345" t="s">
        <v>207</v>
      </c>
      <c r="O7879" s="345" t="s">
        <v>208</v>
      </c>
      <c r="P7879" s="345" t="s">
        <v>209</v>
      </c>
      <c r="Q7879" s="345" t="s">
        <v>210</v>
      </c>
      <c r="R7879" s="345" t="s">
        <v>223</v>
      </c>
      <c r="S7879" s="345" t="s">
        <v>224</v>
      </c>
    </row>
    <row r="7880" spans="1:19" x14ac:dyDescent="0.25">
      <c r="A7880" s="311"/>
      <c r="B7880" s="312"/>
      <c r="C7880" s="312"/>
      <c r="D7880" s="312"/>
      <c r="E7880" s="312"/>
      <c r="F7880" s="312"/>
      <c r="G7880" s="328"/>
      <c r="H7880" s="453"/>
      <c r="I7880" s="334"/>
      <c r="J7880" s="314"/>
      <c r="K7880" s="454"/>
      <c r="M7880" s="349" t="str">
        <f>N7880&amp;AS[[#This Row],[Insurer Code]]&amp;"; "&amp;O7880&amp;AS[[#This Row],[Reporting Year]]&amp;"; "&amp;P7880&amp;AS[[#This Row],[Insurance Category Code]]&amp;"; "&amp;Q7880&amp;AS[[#This Row],[Large Provider Entity Code]]&amp;"; "&amp;R7880&amp;AS[[#This Row],[Age Band Code]]&amp;"; "&amp;S7880&amp;AS[[#This Row],[Sex Code]]</f>
        <v xml:space="preserve">Insurer Code ; Reporting Year ; Insurance Category Code ; Large Provider Entity Code ; Age Band Code ; Sex Code </v>
      </c>
      <c r="N7880" s="345" t="s">
        <v>207</v>
      </c>
      <c r="O7880" s="345" t="s">
        <v>208</v>
      </c>
      <c r="P7880" s="345" t="s">
        <v>209</v>
      </c>
      <c r="Q7880" s="345" t="s">
        <v>210</v>
      </c>
      <c r="R7880" s="345" t="s">
        <v>223</v>
      </c>
      <c r="S7880" s="345" t="s">
        <v>224</v>
      </c>
    </row>
    <row r="7881" spans="1:19" x14ac:dyDescent="0.25">
      <c r="A7881" s="311"/>
      <c r="B7881" s="312"/>
      <c r="C7881" s="312"/>
      <c r="D7881" s="312"/>
      <c r="E7881" s="312"/>
      <c r="F7881" s="312"/>
      <c r="G7881" s="328"/>
      <c r="H7881" s="453"/>
      <c r="I7881" s="334"/>
      <c r="J7881" s="314"/>
      <c r="K7881" s="454"/>
      <c r="M7881" s="349" t="str">
        <f>N7881&amp;AS[[#This Row],[Insurer Code]]&amp;"; "&amp;O7881&amp;AS[[#This Row],[Reporting Year]]&amp;"; "&amp;P7881&amp;AS[[#This Row],[Insurance Category Code]]&amp;"; "&amp;Q7881&amp;AS[[#This Row],[Large Provider Entity Code]]&amp;"; "&amp;R7881&amp;AS[[#This Row],[Age Band Code]]&amp;"; "&amp;S7881&amp;AS[[#This Row],[Sex Code]]</f>
        <v xml:space="preserve">Insurer Code ; Reporting Year ; Insurance Category Code ; Large Provider Entity Code ; Age Band Code ; Sex Code </v>
      </c>
      <c r="N7881" s="345" t="s">
        <v>207</v>
      </c>
      <c r="O7881" s="345" t="s">
        <v>208</v>
      </c>
      <c r="P7881" s="345" t="s">
        <v>209</v>
      </c>
      <c r="Q7881" s="345" t="s">
        <v>210</v>
      </c>
      <c r="R7881" s="345" t="s">
        <v>223</v>
      </c>
      <c r="S7881" s="345" t="s">
        <v>224</v>
      </c>
    </row>
    <row r="7882" spans="1:19" x14ac:dyDescent="0.25">
      <c r="A7882" s="311"/>
      <c r="B7882" s="312"/>
      <c r="C7882" s="312"/>
      <c r="D7882" s="312"/>
      <c r="E7882" s="312"/>
      <c r="F7882" s="312"/>
      <c r="G7882" s="328"/>
      <c r="H7882" s="453"/>
      <c r="I7882" s="334"/>
      <c r="J7882" s="314"/>
      <c r="K7882" s="454"/>
      <c r="M7882" s="349" t="str">
        <f>N7882&amp;AS[[#This Row],[Insurer Code]]&amp;"; "&amp;O7882&amp;AS[[#This Row],[Reporting Year]]&amp;"; "&amp;P7882&amp;AS[[#This Row],[Insurance Category Code]]&amp;"; "&amp;Q7882&amp;AS[[#This Row],[Large Provider Entity Code]]&amp;"; "&amp;R7882&amp;AS[[#This Row],[Age Band Code]]&amp;"; "&amp;S7882&amp;AS[[#This Row],[Sex Code]]</f>
        <v xml:space="preserve">Insurer Code ; Reporting Year ; Insurance Category Code ; Large Provider Entity Code ; Age Band Code ; Sex Code </v>
      </c>
      <c r="N7882" s="345" t="s">
        <v>207</v>
      </c>
      <c r="O7882" s="345" t="s">
        <v>208</v>
      </c>
      <c r="P7882" s="345" t="s">
        <v>209</v>
      </c>
      <c r="Q7882" s="345" t="s">
        <v>210</v>
      </c>
      <c r="R7882" s="345" t="s">
        <v>223</v>
      </c>
      <c r="S7882" s="345" t="s">
        <v>224</v>
      </c>
    </row>
    <row r="7883" spans="1:19" x14ac:dyDescent="0.25">
      <c r="A7883" s="311"/>
      <c r="B7883" s="312"/>
      <c r="C7883" s="312"/>
      <c r="D7883" s="312"/>
      <c r="E7883" s="312"/>
      <c r="F7883" s="312"/>
      <c r="G7883" s="328"/>
      <c r="H7883" s="453"/>
      <c r="I7883" s="334"/>
      <c r="J7883" s="314"/>
      <c r="K7883" s="454"/>
      <c r="M7883" s="349" t="str">
        <f>N7883&amp;AS[[#This Row],[Insurer Code]]&amp;"; "&amp;O7883&amp;AS[[#This Row],[Reporting Year]]&amp;"; "&amp;P7883&amp;AS[[#This Row],[Insurance Category Code]]&amp;"; "&amp;Q7883&amp;AS[[#This Row],[Large Provider Entity Code]]&amp;"; "&amp;R7883&amp;AS[[#This Row],[Age Band Code]]&amp;"; "&amp;S7883&amp;AS[[#This Row],[Sex Code]]</f>
        <v xml:space="preserve">Insurer Code ; Reporting Year ; Insurance Category Code ; Large Provider Entity Code ; Age Band Code ; Sex Code </v>
      </c>
      <c r="N7883" s="345" t="s">
        <v>207</v>
      </c>
      <c r="O7883" s="345" t="s">
        <v>208</v>
      </c>
      <c r="P7883" s="345" t="s">
        <v>209</v>
      </c>
      <c r="Q7883" s="345" t="s">
        <v>210</v>
      </c>
      <c r="R7883" s="345" t="s">
        <v>223</v>
      </c>
      <c r="S7883" s="345" t="s">
        <v>224</v>
      </c>
    </row>
    <row r="7884" spans="1:19" x14ac:dyDescent="0.25">
      <c r="A7884" s="311"/>
      <c r="B7884" s="312"/>
      <c r="C7884" s="312"/>
      <c r="D7884" s="312"/>
      <c r="E7884" s="312"/>
      <c r="F7884" s="312"/>
      <c r="G7884" s="328"/>
      <c r="H7884" s="453"/>
      <c r="I7884" s="334"/>
      <c r="J7884" s="314"/>
      <c r="K7884" s="454"/>
      <c r="M7884" s="349" t="str">
        <f>N7884&amp;AS[[#This Row],[Insurer Code]]&amp;"; "&amp;O7884&amp;AS[[#This Row],[Reporting Year]]&amp;"; "&amp;P7884&amp;AS[[#This Row],[Insurance Category Code]]&amp;"; "&amp;Q7884&amp;AS[[#This Row],[Large Provider Entity Code]]&amp;"; "&amp;R7884&amp;AS[[#This Row],[Age Band Code]]&amp;"; "&amp;S7884&amp;AS[[#This Row],[Sex Code]]</f>
        <v xml:space="preserve">Insurer Code ; Reporting Year ; Insurance Category Code ; Large Provider Entity Code ; Age Band Code ; Sex Code </v>
      </c>
      <c r="N7884" s="345" t="s">
        <v>207</v>
      </c>
      <c r="O7884" s="345" t="s">
        <v>208</v>
      </c>
      <c r="P7884" s="345" t="s">
        <v>209</v>
      </c>
      <c r="Q7884" s="345" t="s">
        <v>210</v>
      </c>
      <c r="R7884" s="345" t="s">
        <v>223</v>
      </c>
      <c r="S7884" s="345" t="s">
        <v>224</v>
      </c>
    </row>
    <row r="7885" spans="1:19" x14ac:dyDescent="0.25">
      <c r="A7885" s="311"/>
      <c r="B7885" s="312"/>
      <c r="C7885" s="312"/>
      <c r="D7885" s="312"/>
      <c r="E7885" s="312"/>
      <c r="F7885" s="312"/>
      <c r="G7885" s="328"/>
      <c r="H7885" s="453"/>
      <c r="I7885" s="334"/>
      <c r="J7885" s="314"/>
      <c r="K7885" s="454"/>
      <c r="M7885" s="349" t="str">
        <f>N7885&amp;AS[[#This Row],[Insurer Code]]&amp;"; "&amp;O7885&amp;AS[[#This Row],[Reporting Year]]&amp;"; "&amp;P7885&amp;AS[[#This Row],[Insurance Category Code]]&amp;"; "&amp;Q7885&amp;AS[[#This Row],[Large Provider Entity Code]]&amp;"; "&amp;R7885&amp;AS[[#This Row],[Age Band Code]]&amp;"; "&amp;S7885&amp;AS[[#This Row],[Sex Code]]</f>
        <v xml:space="preserve">Insurer Code ; Reporting Year ; Insurance Category Code ; Large Provider Entity Code ; Age Band Code ; Sex Code </v>
      </c>
      <c r="N7885" s="345" t="s">
        <v>207</v>
      </c>
      <c r="O7885" s="345" t="s">
        <v>208</v>
      </c>
      <c r="P7885" s="345" t="s">
        <v>209</v>
      </c>
      <c r="Q7885" s="345" t="s">
        <v>210</v>
      </c>
      <c r="R7885" s="345" t="s">
        <v>223</v>
      </c>
      <c r="S7885" s="345" t="s">
        <v>224</v>
      </c>
    </row>
    <row r="7886" spans="1:19" x14ac:dyDescent="0.25">
      <c r="A7886" s="311"/>
      <c r="B7886" s="312"/>
      <c r="C7886" s="312"/>
      <c r="D7886" s="312"/>
      <c r="E7886" s="312"/>
      <c r="F7886" s="312"/>
      <c r="G7886" s="328"/>
      <c r="H7886" s="453"/>
      <c r="I7886" s="334"/>
      <c r="J7886" s="314"/>
      <c r="K7886" s="454"/>
      <c r="M7886" s="349" t="str">
        <f>N7886&amp;AS[[#This Row],[Insurer Code]]&amp;"; "&amp;O7886&amp;AS[[#This Row],[Reporting Year]]&amp;"; "&amp;P7886&amp;AS[[#This Row],[Insurance Category Code]]&amp;"; "&amp;Q7886&amp;AS[[#This Row],[Large Provider Entity Code]]&amp;"; "&amp;R7886&amp;AS[[#This Row],[Age Band Code]]&amp;"; "&amp;S7886&amp;AS[[#This Row],[Sex Code]]</f>
        <v xml:space="preserve">Insurer Code ; Reporting Year ; Insurance Category Code ; Large Provider Entity Code ; Age Band Code ; Sex Code </v>
      </c>
      <c r="N7886" s="345" t="s">
        <v>207</v>
      </c>
      <c r="O7886" s="345" t="s">
        <v>208</v>
      </c>
      <c r="P7886" s="345" t="s">
        <v>209</v>
      </c>
      <c r="Q7886" s="345" t="s">
        <v>210</v>
      </c>
      <c r="R7886" s="345" t="s">
        <v>223</v>
      </c>
      <c r="S7886" s="345" t="s">
        <v>224</v>
      </c>
    </row>
    <row r="7887" spans="1:19" x14ac:dyDescent="0.25">
      <c r="A7887" s="311"/>
      <c r="B7887" s="312"/>
      <c r="C7887" s="312"/>
      <c r="D7887" s="312"/>
      <c r="E7887" s="312"/>
      <c r="F7887" s="312"/>
      <c r="G7887" s="328"/>
      <c r="H7887" s="453"/>
      <c r="I7887" s="334"/>
      <c r="J7887" s="314"/>
      <c r="K7887" s="454"/>
      <c r="M7887" s="349" t="str">
        <f>N7887&amp;AS[[#This Row],[Insurer Code]]&amp;"; "&amp;O7887&amp;AS[[#This Row],[Reporting Year]]&amp;"; "&amp;P7887&amp;AS[[#This Row],[Insurance Category Code]]&amp;"; "&amp;Q7887&amp;AS[[#This Row],[Large Provider Entity Code]]&amp;"; "&amp;R7887&amp;AS[[#This Row],[Age Band Code]]&amp;"; "&amp;S7887&amp;AS[[#This Row],[Sex Code]]</f>
        <v xml:space="preserve">Insurer Code ; Reporting Year ; Insurance Category Code ; Large Provider Entity Code ; Age Band Code ; Sex Code </v>
      </c>
      <c r="N7887" s="345" t="s">
        <v>207</v>
      </c>
      <c r="O7887" s="345" t="s">
        <v>208</v>
      </c>
      <c r="P7887" s="345" t="s">
        <v>209</v>
      </c>
      <c r="Q7887" s="345" t="s">
        <v>210</v>
      </c>
      <c r="R7887" s="345" t="s">
        <v>223</v>
      </c>
      <c r="S7887" s="345" t="s">
        <v>224</v>
      </c>
    </row>
    <row r="7888" spans="1:19" x14ac:dyDescent="0.25">
      <c r="A7888" s="311"/>
      <c r="B7888" s="312"/>
      <c r="C7888" s="312"/>
      <c r="D7888" s="312"/>
      <c r="E7888" s="312"/>
      <c r="F7888" s="312"/>
      <c r="G7888" s="328"/>
      <c r="H7888" s="453"/>
      <c r="I7888" s="334"/>
      <c r="J7888" s="314"/>
      <c r="K7888" s="454"/>
      <c r="M7888" s="349" t="str">
        <f>N7888&amp;AS[[#This Row],[Insurer Code]]&amp;"; "&amp;O7888&amp;AS[[#This Row],[Reporting Year]]&amp;"; "&amp;P7888&amp;AS[[#This Row],[Insurance Category Code]]&amp;"; "&amp;Q7888&amp;AS[[#This Row],[Large Provider Entity Code]]&amp;"; "&amp;R7888&amp;AS[[#This Row],[Age Band Code]]&amp;"; "&amp;S7888&amp;AS[[#This Row],[Sex Code]]</f>
        <v xml:space="preserve">Insurer Code ; Reporting Year ; Insurance Category Code ; Large Provider Entity Code ; Age Band Code ; Sex Code </v>
      </c>
      <c r="N7888" s="345" t="s">
        <v>207</v>
      </c>
      <c r="O7888" s="345" t="s">
        <v>208</v>
      </c>
      <c r="P7888" s="345" t="s">
        <v>209</v>
      </c>
      <c r="Q7888" s="345" t="s">
        <v>210</v>
      </c>
      <c r="R7888" s="345" t="s">
        <v>223</v>
      </c>
      <c r="S7888" s="345" t="s">
        <v>224</v>
      </c>
    </row>
    <row r="7889" spans="1:19" x14ac:dyDescent="0.25">
      <c r="A7889" s="311"/>
      <c r="B7889" s="312"/>
      <c r="C7889" s="312"/>
      <c r="D7889" s="312"/>
      <c r="E7889" s="312"/>
      <c r="F7889" s="312"/>
      <c r="G7889" s="328"/>
      <c r="H7889" s="453"/>
      <c r="I7889" s="334"/>
      <c r="J7889" s="314"/>
      <c r="K7889" s="454"/>
      <c r="M7889" s="349" t="str">
        <f>N7889&amp;AS[[#This Row],[Insurer Code]]&amp;"; "&amp;O7889&amp;AS[[#This Row],[Reporting Year]]&amp;"; "&amp;P7889&amp;AS[[#This Row],[Insurance Category Code]]&amp;"; "&amp;Q7889&amp;AS[[#This Row],[Large Provider Entity Code]]&amp;"; "&amp;R7889&amp;AS[[#This Row],[Age Band Code]]&amp;"; "&amp;S7889&amp;AS[[#This Row],[Sex Code]]</f>
        <v xml:space="preserve">Insurer Code ; Reporting Year ; Insurance Category Code ; Large Provider Entity Code ; Age Band Code ; Sex Code </v>
      </c>
      <c r="N7889" s="345" t="s">
        <v>207</v>
      </c>
      <c r="O7889" s="345" t="s">
        <v>208</v>
      </c>
      <c r="P7889" s="345" t="s">
        <v>209</v>
      </c>
      <c r="Q7889" s="345" t="s">
        <v>210</v>
      </c>
      <c r="R7889" s="345" t="s">
        <v>223</v>
      </c>
      <c r="S7889" s="345" t="s">
        <v>224</v>
      </c>
    </row>
    <row r="7890" spans="1:19" x14ac:dyDescent="0.25">
      <c r="A7890" s="311"/>
      <c r="B7890" s="312"/>
      <c r="C7890" s="312"/>
      <c r="D7890" s="312"/>
      <c r="E7890" s="312"/>
      <c r="F7890" s="312"/>
      <c r="G7890" s="328"/>
      <c r="H7890" s="453"/>
      <c r="I7890" s="334"/>
      <c r="J7890" s="314"/>
      <c r="K7890" s="454"/>
      <c r="M7890" s="349" t="str">
        <f>N7890&amp;AS[[#This Row],[Insurer Code]]&amp;"; "&amp;O7890&amp;AS[[#This Row],[Reporting Year]]&amp;"; "&amp;P7890&amp;AS[[#This Row],[Insurance Category Code]]&amp;"; "&amp;Q7890&amp;AS[[#This Row],[Large Provider Entity Code]]&amp;"; "&amp;R7890&amp;AS[[#This Row],[Age Band Code]]&amp;"; "&amp;S7890&amp;AS[[#This Row],[Sex Code]]</f>
        <v xml:space="preserve">Insurer Code ; Reporting Year ; Insurance Category Code ; Large Provider Entity Code ; Age Band Code ; Sex Code </v>
      </c>
      <c r="N7890" s="345" t="s">
        <v>207</v>
      </c>
      <c r="O7890" s="345" t="s">
        <v>208</v>
      </c>
      <c r="P7890" s="345" t="s">
        <v>209</v>
      </c>
      <c r="Q7890" s="345" t="s">
        <v>210</v>
      </c>
      <c r="R7890" s="345" t="s">
        <v>223</v>
      </c>
      <c r="S7890" s="345" t="s">
        <v>224</v>
      </c>
    </row>
    <row r="7891" spans="1:19" x14ac:dyDescent="0.25">
      <c r="A7891" s="311"/>
      <c r="B7891" s="312"/>
      <c r="C7891" s="312"/>
      <c r="D7891" s="312"/>
      <c r="E7891" s="312"/>
      <c r="F7891" s="312"/>
      <c r="G7891" s="328"/>
      <c r="H7891" s="453"/>
      <c r="I7891" s="334"/>
      <c r="J7891" s="314"/>
      <c r="K7891" s="454"/>
      <c r="M7891" s="349" t="str">
        <f>N7891&amp;AS[[#This Row],[Insurer Code]]&amp;"; "&amp;O7891&amp;AS[[#This Row],[Reporting Year]]&amp;"; "&amp;P7891&amp;AS[[#This Row],[Insurance Category Code]]&amp;"; "&amp;Q7891&amp;AS[[#This Row],[Large Provider Entity Code]]&amp;"; "&amp;R7891&amp;AS[[#This Row],[Age Band Code]]&amp;"; "&amp;S7891&amp;AS[[#This Row],[Sex Code]]</f>
        <v xml:space="preserve">Insurer Code ; Reporting Year ; Insurance Category Code ; Large Provider Entity Code ; Age Band Code ; Sex Code </v>
      </c>
      <c r="N7891" s="345" t="s">
        <v>207</v>
      </c>
      <c r="O7891" s="345" t="s">
        <v>208</v>
      </c>
      <c r="P7891" s="345" t="s">
        <v>209</v>
      </c>
      <c r="Q7891" s="345" t="s">
        <v>210</v>
      </c>
      <c r="R7891" s="345" t="s">
        <v>223</v>
      </c>
      <c r="S7891" s="345" t="s">
        <v>224</v>
      </c>
    </row>
    <row r="7892" spans="1:19" x14ac:dyDescent="0.25">
      <c r="A7892" s="311"/>
      <c r="B7892" s="312"/>
      <c r="C7892" s="312"/>
      <c r="D7892" s="312"/>
      <c r="E7892" s="312"/>
      <c r="F7892" s="312"/>
      <c r="G7892" s="328"/>
      <c r="H7892" s="453"/>
      <c r="I7892" s="334"/>
      <c r="J7892" s="314"/>
      <c r="K7892" s="454"/>
      <c r="M7892" s="349" t="str">
        <f>N7892&amp;AS[[#This Row],[Insurer Code]]&amp;"; "&amp;O7892&amp;AS[[#This Row],[Reporting Year]]&amp;"; "&amp;P7892&amp;AS[[#This Row],[Insurance Category Code]]&amp;"; "&amp;Q7892&amp;AS[[#This Row],[Large Provider Entity Code]]&amp;"; "&amp;R7892&amp;AS[[#This Row],[Age Band Code]]&amp;"; "&amp;S7892&amp;AS[[#This Row],[Sex Code]]</f>
        <v xml:space="preserve">Insurer Code ; Reporting Year ; Insurance Category Code ; Large Provider Entity Code ; Age Band Code ; Sex Code </v>
      </c>
      <c r="N7892" s="345" t="s">
        <v>207</v>
      </c>
      <c r="O7892" s="345" t="s">
        <v>208</v>
      </c>
      <c r="P7892" s="345" t="s">
        <v>209</v>
      </c>
      <c r="Q7892" s="345" t="s">
        <v>210</v>
      </c>
      <c r="R7892" s="345" t="s">
        <v>223</v>
      </c>
      <c r="S7892" s="345" t="s">
        <v>224</v>
      </c>
    </row>
    <row r="7893" spans="1:19" x14ac:dyDescent="0.25">
      <c r="A7893" s="311"/>
      <c r="B7893" s="312"/>
      <c r="C7893" s="312"/>
      <c r="D7893" s="312"/>
      <c r="E7893" s="312"/>
      <c r="F7893" s="312"/>
      <c r="G7893" s="328"/>
      <c r="H7893" s="453"/>
      <c r="I7893" s="334"/>
      <c r="J7893" s="314"/>
      <c r="K7893" s="454"/>
      <c r="M7893" s="349" t="str">
        <f>N7893&amp;AS[[#This Row],[Insurer Code]]&amp;"; "&amp;O7893&amp;AS[[#This Row],[Reporting Year]]&amp;"; "&amp;P7893&amp;AS[[#This Row],[Insurance Category Code]]&amp;"; "&amp;Q7893&amp;AS[[#This Row],[Large Provider Entity Code]]&amp;"; "&amp;R7893&amp;AS[[#This Row],[Age Band Code]]&amp;"; "&amp;S7893&amp;AS[[#This Row],[Sex Code]]</f>
        <v xml:space="preserve">Insurer Code ; Reporting Year ; Insurance Category Code ; Large Provider Entity Code ; Age Band Code ; Sex Code </v>
      </c>
      <c r="N7893" s="345" t="s">
        <v>207</v>
      </c>
      <c r="O7893" s="345" t="s">
        <v>208</v>
      </c>
      <c r="P7893" s="345" t="s">
        <v>209</v>
      </c>
      <c r="Q7893" s="345" t="s">
        <v>210</v>
      </c>
      <c r="R7893" s="345" t="s">
        <v>223</v>
      </c>
      <c r="S7893" s="345" t="s">
        <v>224</v>
      </c>
    </row>
    <row r="7894" spans="1:19" x14ac:dyDescent="0.25">
      <c r="A7894" s="311"/>
      <c r="B7894" s="312"/>
      <c r="C7894" s="312"/>
      <c r="D7894" s="312"/>
      <c r="E7894" s="312"/>
      <c r="F7894" s="312"/>
      <c r="G7894" s="328"/>
      <c r="H7894" s="453"/>
      <c r="I7894" s="334"/>
      <c r="J7894" s="314"/>
      <c r="K7894" s="454"/>
      <c r="M7894" s="349" t="str">
        <f>N7894&amp;AS[[#This Row],[Insurer Code]]&amp;"; "&amp;O7894&amp;AS[[#This Row],[Reporting Year]]&amp;"; "&amp;P7894&amp;AS[[#This Row],[Insurance Category Code]]&amp;"; "&amp;Q7894&amp;AS[[#This Row],[Large Provider Entity Code]]&amp;"; "&amp;R7894&amp;AS[[#This Row],[Age Band Code]]&amp;"; "&amp;S7894&amp;AS[[#This Row],[Sex Code]]</f>
        <v xml:space="preserve">Insurer Code ; Reporting Year ; Insurance Category Code ; Large Provider Entity Code ; Age Band Code ; Sex Code </v>
      </c>
      <c r="N7894" s="345" t="s">
        <v>207</v>
      </c>
      <c r="O7894" s="345" t="s">
        <v>208</v>
      </c>
      <c r="P7894" s="345" t="s">
        <v>209</v>
      </c>
      <c r="Q7894" s="345" t="s">
        <v>210</v>
      </c>
      <c r="R7894" s="345" t="s">
        <v>223</v>
      </c>
      <c r="S7894" s="345" t="s">
        <v>224</v>
      </c>
    </row>
    <row r="7895" spans="1:19" x14ac:dyDescent="0.25">
      <c r="A7895" s="311"/>
      <c r="B7895" s="312"/>
      <c r="C7895" s="312"/>
      <c r="D7895" s="312"/>
      <c r="E7895" s="312"/>
      <c r="F7895" s="312"/>
      <c r="G7895" s="328"/>
      <c r="H7895" s="453"/>
      <c r="I7895" s="334"/>
      <c r="J7895" s="314"/>
      <c r="K7895" s="454"/>
      <c r="M7895" s="349" t="str">
        <f>N7895&amp;AS[[#This Row],[Insurer Code]]&amp;"; "&amp;O7895&amp;AS[[#This Row],[Reporting Year]]&amp;"; "&amp;P7895&amp;AS[[#This Row],[Insurance Category Code]]&amp;"; "&amp;Q7895&amp;AS[[#This Row],[Large Provider Entity Code]]&amp;"; "&amp;R7895&amp;AS[[#This Row],[Age Band Code]]&amp;"; "&amp;S7895&amp;AS[[#This Row],[Sex Code]]</f>
        <v xml:space="preserve">Insurer Code ; Reporting Year ; Insurance Category Code ; Large Provider Entity Code ; Age Band Code ; Sex Code </v>
      </c>
      <c r="N7895" s="345" t="s">
        <v>207</v>
      </c>
      <c r="O7895" s="345" t="s">
        <v>208</v>
      </c>
      <c r="P7895" s="345" t="s">
        <v>209</v>
      </c>
      <c r="Q7895" s="345" t="s">
        <v>210</v>
      </c>
      <c r="R7895" s="345" t="s">
        <v>223</v>
      </c>
      <c r="S7895" s="345" t="s">
        <v>224</v>
      </c>
    </row>
    <row r="7896" spans="1:19" x14ac:dyDescent="0.25">
      <c r="A7896" s="311"/>
      <c r="B7896" s="312"/>
      <c r="C7896" s="312"/>
      <c r="D7896" s="312"/>
      <c r="E7896" s="312"/>
      <c r="F7896" s="312"/>
      <c r="G7896" s="328"/>
      <c r="H7896" s="453"/>
      <c r="I7896" s="334"/>
      <c r="J7896" s="314"/>
      <c r="K7896" s="454"/>
      <c r="M7896" s="349" t="str">
        <f>N7896&amp;AS[[#This Row],[Insurer Code]]&amp;"; "&amp;O7896&amp;AS[[#This Row],[Reporting Year]]&amp;"; "&amp;P7896&amp;AS[[#This Row],[Insurance Category Code]]&amp;"; "&amp;Q7896&amp;AS[[#This Row],[Large Provider Entity Code]]&amp;"; "&amp;R7896&amp;AS[[#This Row],[Age Band Code]]&amp;"; "&amp;S7896&amp;AS[[#This Row],[Sex Code]]</f>
        <v xml:space="preserve">Insurer Code ; Reporting Year ; Insurance Category Code ; Large Provider Entity Code ; Age Band Code ; Sex Code </v>
      </c>
      <c r="N7896" s="345" t="s">
        <v>207</v>
      </c>
      <c r="O7896" s="345" t="s">
        <v>208</v>
      </c>
      <c r="P7896" s="345" t="s">
        <v>209</v>
      </c>
      <c r="Q7896" s="345" t="s">
        <v>210</v>
      </c>
      <c r="R7896" s="345" t="s">
        <v>223</v>
      </c>
      <c r="S7896" s="345" t="s">
        <v>224</v>
      </c>
    </row>
    <row r="7897" spans="1:19" x14ac:dyDescent="0.25">
      <c r="A7897" s="311"/>
      <c r="B7897" s="312"/>
      <c r="C7897" s="312"/>
      <c r="D7897" s="312"/>
      <c r="E7897" s="312"/>
      <c r="F7897" s="312"/>
      <c r="G7897" s="328"/>
      <c r="H7897" s="453"/>
      <c r="I7897" s="334"/>
      <c r="J7897" s="314"/>
      <c r="K7897" s="454"/>
      <c r="M7897" s="349" t="str">
        <f>N7897&amp;AS[[#This Row],[Insurer Code]]&amp;"; "&amp;O7897&amp;AS[[#This Row],[Reporting Year]]&amp;"; "&amp;P7897&amp;AS[[#This Row],[Insurance Category Code]]&amp;"; "&amp;Q7897&amp;AS[[#This Row],[Large Provider Entity Code]]&amp;"; "&amp;R7897&amp;AS[[#This Row],[Age Band Code]]&amp;"; "&amp;S7897&amp;AS[[#This Row],[Sex Code]]</f>
        <v xml:space="preserve">Insurer Code ; Reporting Year ; Insurance Category Code ; Large Provider Entity Code ; Age Band Code ; Sex Code </v>
      </c>
      <c r="N7897" s="345" t="s">
        <v>207</v>
      </c>
      <c r="O7897" s="345" t="s">
        <v>208</v>
      </c>
      <c r="P7897" s="345" t="s">
        <v>209</v>
      </c>
      <c r="Q7897" s="345" t="s">
        <v>210</v>
      </c>
      <c r="R7897" s="345" t="s">
        <v>223</v>
      </c>
      <c r="S7897" s="345" t="s">
        <v>224</v>
      </c>
    </row>
    <row r="7898" spans="1:19" x14ac:dyDescent="0.25">
      <c r="A7898" s="311"/>
      <c r="B7898" s="312"/>
      <c r="C7898" s="312"/>
      <c r="D7898" s="312"/>
      <c r="E7898" s="312"/>
      <c r="F7898" s="312"/>
      <c r="G7898" s="328"/>
      <c r="H7898" s="453"/>
      <c r="I7898" s="334"/>
      <c r="J7898" s="314"/>
      <c r="K7898" s="454"/>
      <c r="M7898" s="349" t="str">
        <f>N7898&amp;AS[[#This Row],[Insurer Code]]&amp;"; "&amp;O7898&amp;AS[[#This Row],[Reporting Year]]&amp;"; "&amp;P7898&amp;AS[[#This Row],[Insurance Category Code]]&amp;"; "&amp;Q7898&amp;AS[[#This Row],[Large Provider Entity Code]]&amp;"; "&amp;R7898&amp;AS[[#This Row],[Age Band Code]]&amp;"; "&amp;S7898&amp;AS[[#This Row],[Sex Code]]</f>
        <v xml:space="preserve">Insurer Code ; Reporting Year ; Insurance Category Code ; Large Provider Entity Code ; Age Band Code ; Sex Code </v>
      </c>
      <c r="N7898" s="345" t="s">
        <v>207</v>
      </c>
      <c r="O7898" s="345" t="s">
        <v>208</v>
      </c>
      <c r="P7898" s="345" t="s">
        <v>209</v>
      </c>
      <c r="Q7898" s="345" t="s">
        <v>210</v>
      </c>
      <c r="R7898" s="345" t="s">
        <v>223</v>
      </c>
      <c r="S7898" s="345" t="s">
        <v>224</v>
      </c>
    </row>
    <row r="7899" spans="1:19" x14ac:dyDescent="0.25">
      <c r="A7899" s="311"/>
      <c r="B7899" s="312"/>
      <c r="C7899" s="312"/>
      <c r="D7899" s="312"/>
      <c r="E7899" s="312"/>
      <c r="F7899" s="312"/>
      <c r="G7899" s="328"/>
      <c r="H7899" s="453"/>
      <c r="I7899" s="334"/>
      <c r="J7899" s="314"/>
      <c r="K7899" s="454"/>
      <c r="M7899" s="349" t="str">
        <f>N7899&amp;AS[[#This Row],[Insurer Code]]&amp;"; "&amp;O7899&amp;AS[[#This Row],[Reporting Year]]&amp;"; "&amp;P7899&amp;AS[[#This Row],[Insurance Category Code]]&amp;"; "&amp;Q7899&amp;AS[[#This Row],[Large Provider Entity Code]]&amp;"; "&amp;R7899&amp;AS[[#This Row],[Age Band Code]]&amp;"; "&amp;S7899&amp;AS[[#This Row],[Sex Code]]</f>
        <v xml:space="preserve">Insurer Code ; Reporting Year ; Insurance Category Code ; Large Provider Entity Code ; Age Band Code ; Sex Code </v>
      </c>
      <c r="N7899" s="345" t="s">
        <v>207</v>
      </c>
      <c r="O7899" s="345" t="s">
        <v>208</v>
      </c>
      <c r="P7899" s="345" t="s">
        <v>209</v>
      </c>
      <c r="Q7899" s="345" t="s">
        <v>210</v>
      </c>
      <c r="R7899" s="345" t="s">
        <v>223</v>
      </c>
      <c r="S7899" s="345" t="s">
        <v>224</v>
      </c>
    </row>
    <row r="7900" spans="1:19" x14ac:dyDescent="0.25">
      <c r="A7900" s="311"/>
      <c r="B7900" s="312"/>
      <c r="C7900" s="312"/>
      <c r="D7900" s="312"/>
      <c r="E7900" s="312"/>
      <c r="F7900" s="312"/>
      <c r="G7900" s="328"/>
      <c r="H7900" s="453"/>
      <c r="I7900" s="334"/>
      <c r="J7900" s="314"/>
      <c r="K7900" s="454"/>
      <c r="M7900" s="349" t="str">
        <f>N7900&amp;AS[[#This Row],[Insurer Code]]&amp;"; "&amp;O7900&amp;AS[[#This Row],[Reporting Year]]&amp;"; "&amp;P7900&amp;AS[[#This Row],[Insurance Category Code]]&amp;"; "&amp;Q7900&amp;AS[[#This Row],[Large Provider Entity Code]]&amp;"; "&amp;R7900&amp;AS[[#This Row],[Age Band Code]]&amp;"; "&amp;S7900&amp;AS[[#This Row],[Sex Code]]</f>
        <v xml:space="preserve">Insurer Code ; Reporting Year ; Insurance Category Code ; Large Provider Entity Code ; Age Band Code ; Sex Code </v>
      </c>
      <c r="N7900" s="345" t="s">
        <v>207</v>
      </c>
      <c r="O7900" s="345" t="s">
        <v>208</v>
      </c>
      <c r="P7900" s="345" t="s">
        <v>209</v>
      </c>
      <c r="Q7900" s="345" t="s">
        <v>210</v>
      </c>
      <c r="R7900" s="345" t="s">
        <v>223</v>
      </c>
      <c r="S7900" s="345" t="s">
        <v>224</v>
      </c>
    </row>
    <row r="7901" spans="1:19" x14ac:dyDescent="0.25">
      <c r="A7901" s="311"/>
      <c r="B7901" s="312"/>
      <c r="C7901" s="312"/>
      <c r="D7901" s="312"/>
      <c r="E7901" s="312"/>
      <c r="F7901" s="312"/>
      <c r="G7901" s="328"/>
      <c r="H7901" s="453"/>
      <c r="I7901" s="334"/>
      <c r="J7901" s="314"/>
      <c r="K7901" s="454"/>
      <c r="M7901" s="349" t="str">
        <f>N7901&amp;AS[[#This Row],[Insurer Code]]&amp;"; "&amp;O7901&amp;AS[[#This Row],[Reporting Year]]&amp;"; "&amp;P7901&amp;AS[[#This Row],[Insurance Category Code]]&amp;"; "&amp;Q7901&amp;AS[[#This Row],[Large Provider Entity Code]]&amp;"; "&amp;R7901&amp;AS[[#This Row],[Age Band Code]]&amp;"; "&amp;S7901&amp;AS[[#This Row],[Sex Code]]</f>
        <v xml:space="preserve">Insurer Code ; Reporting Year ; Insurance Category Code ; Large Provider Entity Code ; Age Band Code ; Sex Code </v>
      </c>
      <c r="N7901" s="345" t="s">
        <v>207</v>
      </c>
      <c r="O7901" s="345" t="s">
        <v>208</v>
      </c>
      <c r="P7901" s="345" t="s">
        <v>209</v>
      </c>
      <c r="Q7901" s="345" t="s">
        <v>210</v>
      </c>
      <c r="R7901" s="345" t="s">
        <v>223</v>
      </c>
      <c r="S7901" s="345" t="s">
        <v>224</v>
      </c>
    </row>
    <row r="7902" spans="1:19" x14ac:dyDescent="0.25">
      <c r="A7902" s="311"/>
      <c r="B7902" s="312"/>
      <c r="C7902" s="312"/>
      <c r="D7902" s="312"/>
      <c r="E7902" s="312"/>
      <c r="F7902" s="312"/>
      <c r="G7902" s="328"/>
      <c r="H7902" s="453"/>
      <c r="I7902" s="334"/>
      <c r="J7902" s="314"/>
      <c r="K7902" s="454"/>
      <c r="M7902" s="349" t="str">
        <f>N7902&amp;AS[[#This Row],[Insurer Code]]&amp;"; "&amp;O7902&amp;AS[[#This Row],[Reporting Year]]&amp;"; "&amp;P7902&amp;AS[[#This Row],[Insurance Category Code]]&amp;"; "&amp;Q7902&amp;AS[[#This Row],[Large Provider Entity Code]]&amp;"; "&amp;R7902&amp;AS[[#This Row],[Age Band Code]]&amp;"; "&amp;S7902&amp;AS[[#This Row],[Sex Code]]</f>
        <v xml:space="preserve">Insurer Code ; Reporting Year ; Insurance Category Code ; Large Provider Entity Code ; Age Band Code ; Sex Code </v>
      </c>
      <c r="N7902" s="345" t="s">
        <v>207</v>
      </c>
      <c r="O7902" s="345" t="s">
        <v>208</v>
      </c>
      <c r="P7902" s="345" t="s">
        <v>209</v>
      </c>
      <c r="Q7902" s="345" t="s">
        <v>210</v>
      </c>
      <c r="R7902" s="345" t="s">
        <v>223</v>
      </c>
      <c r="S7902" s="345" t="s">
        <v>224</v>
      </c>
    </row>
    <row r="7903" spans="1:19" x14ac:dyDescent="0.25">
      <c r="A7903" s="311"/>
      <c r="B7903" s="312"/>
      <c r="C7903" s="312"/>
      <c r="D7903" s="312"/>
      <c r="E7903" s="312"/>
      <c r="F7903" s="312"/>
      <c r="G7903" s="328"/>
      <c r="H7903" s="453"/>
      <c r="I7903" s="334"/>
      <c r="J7903" s="314"/>
      <c r="K7903" s="454"/>
      <c r="M7903" s="349" t="str">
        <f>N7903&amp;AS[[#This Row],[Insurer Code]]&amp;"; "&amp;O7903&amp;AS[[#This Row],[Reporting Year]]&amp;"; "&amp;P7903&amp;AS[[#This Row],[Insurance Category Code]]&amp;"; "&amp;Q7903&amp;AS[[#This Row],[Large Provider Entity Code]]&amp;"; "&amp;R7903&amp;AS[[#This Row],[Age Band Code]]&amp;"; "&amp;S7903&amp;AS[[#This Row],[Sex Code]]</f>
        <v xml:space="preserve">Insurer Code ; Reporting Year ; Insurance Category Code ; Large Provider Entity Code ; Age Band Code ; Sex Code </v>
      </c>
      <c r="N7903" s="345" t="s">
        <v>207</v>
      </c>
      <c r="O7903" s="345" t="s">
        <v>208</v>
      </c>
      <c r="P7903" s="345" t="s">
        <v>209</v>
      </c>
      <c r="Q7903" s="345" t="s">
        <v>210</v>
      </c>
      <c r="R7903" s="345" t="s">
        <v>223</v>
      </c>
      <c r="S7903" s="345" t="s">
        <v>224</v>
      </c>
    </row>
    <row r="7904" spans="1:19" x14ac:dyDescent="0.25">
      <c r="A7904" s="311"/>
      <c r="B7904" s="312"/>
      <c r="C7904" s="312"/>
      <c r="D7904" s="312"/>
      <c r="E7904" s="312"/>
      <c r="F7904" s="312"/>
      <c r="G7904" s="328"/>
      <c r="H7904" s="453"/>
      <c r="I7904" s="334"/>
      <c r="J7904" s="314"/>
      <c r="K7904" s="454"/>
      <c r="M7904" s="349" t="str">
        <f>N7904&amp;AS[[#This Row],[Insurer Code]]&amp;"; "&amp;O7904&amp;AS[[#This Row],[Reporting Year]]&amp;"; "&amp;P7904&amp;AS[[#This Row],[Insurance Category Code]]&amp;"; "&amp;Q7904&amp;AS[[#This Row],[Large Provider Entity Code]]&amp;"; "&amp;R7904&amp;AS[[#This Row],[Age Band Code]]&amp;"; "&amp;S7904&amp;AS[[#This Row],[Sex Code]]</f>
        <v xml:space="preserve">Insurer Code ; Reporting Year ; Insurance Category Code ; Large Provider Entity Code ; Age Band Code ; Sex Code </v>
      </c>
      <c r="N7904" s="345" t="s">
        <v>207</v>
      </c>
      <c r="O7904" s="345" t="s">
        <v>208</v>
      </c>
      <c r="P7904" s="345" t="s">
        <v>209</v>
      </c>
      <c r="Q7904" s="345" t="s">
        <v>210</v>
      </c>
      <c r="R7904" s="345" t="s">
        <v>223</v>
      </c>
      <c r="S7904" s="345" t="s">
        <v>224</v>
      </c>
    </row>
    <row r="7905" spans="1:19" x14ac:dyDescent="0.25">
      <c r="A7905" s="311"/>
      <c r="B7905" s="312"/>
      <c r="C7905" s="312"/>
      <c r="D7905" s="312"/>
      <c r="E7905" s="312"/>
      <c r="F7905" s="312"/>
      <c r="G7905" s="328"/>
      <c r="H7905" s="453"/>
      <c r="I7905" s="334"/>
      <c r="J7905" s="314"/>
      <c r="K7905" s="454"/>
      <c r="M7905" s="349" t="str">
        <f>N7905&amp;AS[[#This Row],[Insurer Code]]&amp;"; "&amp;O7905&amp;AS[[#This Row],[Reporting Year]]&amp;"; "&amp;P7905&amp;AS[[#This Row],[Insurance Category Code]]&amp;"; "&amp;Q7905&amp;AS[[#This Row],[Large Provider Entity Code]]&amp;"; "&amp;R7905&amp;AS[[#This Row],[Age Band Code]]&amp;"; "&amp;S7905&amp;AS[[#This Row],[Sex Code]]</f>
        <v xml:space="preserve">Insurer Code ; Reporting Year ; Insurance Category Code ; Large Provider Entity Code ; Age Band Code ; Sex Code </v>
      </c>
      <c r="N7905" s="345" t="s">
        <v>207</v>
      </c>
      <c r="O7905" s="345" t="s">
        <v>208</v>
      </c>
      <c r="P7905" s="345" t="s">
        <v>209</v>
      </c>
      <c r="Q7905" s="345" t="s">
        <v>210</v>
      </c>
      <c r="R7905" s="345" t="s">
        <v>223</v>
      </c>
      <c r="S7905" s="345" t="s">
        <v>224</v>
      </c>
    </row>
    <row r="7906" spans="1:19" x14ac:dyDescent="0.25">
      <c r="A7906" s="311"/>
      <c r="B7906" s="312"/>
      <c r="C7906" s="312"/>
      <c r="D7906" s="312"/>
      <c r="E7906" s="312"/>
      <c r="F7906" s="312"/>
      <c r="G7906" s="328"/>
      <c r="H7906" s="453"/>
      <c r="I7906" s="334"/>
      <c r="J7906" s="314"/>
      <c r="K7906" s="454"/>
      <c r="M7906" s="349" t="str">
        <f>N7906&amp;AS[[#This Row],[Insurer Code]]&amp;"; "&amp;O7906&amp;AS[[#This Row],[Reporting Year]]&amp;"; "&amp;P7906&amp;AS[[#This Row],[Insurance Category Code]]&amp;"; "&amp;Q7906&amp;AS[[#This Row],[Large Provider Entity Code]]&amp;"; "&amp;R7906&amp;AS[[#This Row],[Age Band Code]]&amp;"; "&amp;S7906&amp;AS[[#This Row],[Sex Code]]</f>
        <v xml:space="preserve">Insurer Code ; Reporting Year ; Insurance Category Code ; Large Provider Entity Code ; Age Band Code ; Sex Code </v>
      </c>
      <c r="N7906" s="345" t="s">
        <v>207</v>
      </c>
      <c r="O7906" s="345" t="s">
        <v>208</v>
      </c>
      <c r="P7906" s="345" t="s">
        <v>209</v>
      </c>
      <c r="Q7906" s="345" t="s">
        <v>210</v>
      </c>
      <c r="R7906" s="345" t="s">
        <v>223</v>
      </c>
      <c r="S7906" s="345" t="s">
        <v>224</v>
      </c>
    </row>
    <row r="7907" spans="1:19" x14ac:dyDescent="0.25">
      <c r="A7907" s="311"/>
      <c r="B7907" s="312"/>
      <c r="C7907" s="312"/>
      <c r="D7907" s="312"/>
      <c r="E7907" s="312"/>
      <c r="F7907" s="312"/>
      <c r="G7907" s="328"/>
      <c r="H7907" s="453"/>
      <c r="I7907" s="334"/>
      <c r="J7907" s="314"/>
      <c r="K7907" s="454"/>
      <c r="M7907" s="349" t="str">
        <f>N7907&amp;AS[[#This Row],[Insurer Code]]&amp;"; "&amp;O7907&amp;AS[[#This Row],[Reporting Year]]&amp;"; "&amp;P7907&amp;AS[[#This Row],[Insurance Category Code]]&amp;"; "&amp;Q7907&amp;AS[[#This Row],[Large Provider Entity Code]]&amp;"; "&amp;R7907&amp;AS[[#This Row],[Age Band Code]]&amp;"; "&amp;S7907&amp;AS[[#This Row],[Sex Code]]</f>
        <v xml:space="preserve">Insurer Code ; Reporting Year ; Insurance Category Code ; Large Provider Entity Code ; Age Band Code ; Sex Code </v>
      </c>
      <c r="N7907" s="345" t="s">
        <v>207</v>
      </c>
      <c r="O7907" s="345" t="s">
        <v>208</v>
      </c>
      <c r="P7907" s="345" t="s">
        <v>209</v>
      </c>
      <c r="Q7907" s="345" t="s">
        <v>210</v>
      </c>
      <c r="R7907" s="345" t="s">
        <v>223</v>
      </c>
      <c r="S7907" s="345" t="s">
        <v>224</v>
      </c>
    </row>
    <row r="7908" spans="1:19" x14ac:dyDescent="0.25">
      <c r="A7908" s="311"/>
      <c r="B7908" s="312"/>
      <c r="C7908" s="312"/>
      <c r="D7908" s="312"/>
      <c r="E7908" s="312"/>
      <c r="F7908" s="312"/>
      <c r="G7908" s="328"/>
      <c r="H7908" s="453"/>
      <c r="I7908" s="334"/>
      <c r="J7908" s="314"/>
      <c r="K7908" s="454"/>
      <c r="M7908" s="349" t="str">
        <f>N7908&amp;AS[[#This Row],[Insurer Code]]&amp;"; "&amp;O7908&amp;AS[[#This Row],[Reporting Year]]&amp;"; "&amp;P7908&amp;AS[[#This Row],[Insurance Category Code]]&amp;"; "&amp;Q7908&amp;AS[[#This Row],[Large Provider Entity Code]]&amp;"; "&amp;R7908&amp;AS[[#This Row],[Age Band Code]]&amp;"; "&amp;S7908&amp;AS[[#This Row],[Sex Code]]</f>
        <v xml:space="preserve">Insurer Code ; Reporting Year ; Insurance Category Code ; Large Provider Entity Code ; Age Band Code ; Sex Code </v>
      </c>
      <c r="N7908" s="345" t="s">
        <v>207</v>
      </c>
      <c r="O7908" s="345" t="s">
        <v>208</v>
      </c>
      <c r="P7908" s="345" t="s">
        <v>209</v>
      </c>
      <c r="Q7908" s="345" t="s">
        <v>210</v>
      </c>
      <c r="R7908" s="345" t="s">
        <v>223</v>
      </c>
      <c r="S7908" s="345" t="s">
        <v>224</v>
      </c>
    </row>
    <row r="7909" spans="1:19" x14ac:dyDescent="0.25">
      <c r="A7909" s="311"/>
      <c r="B7909" s="312"/>
      <c r="C7909" s="312"/>
      <c r="D7909" s="312"/>
      <c r="E7909" s="312"/>
      <c r="F7909" s="312"/>
      <c r="G7909" s="328"/>
      <c r="H7909" s="453"/>
      <c r="I7909" s="334"/>
      <c r="J7909" s="314"/>
      <c r="K7909" s="454"/>
      <c r="M7909" s="349" t="str">
        <f>N7909&amp;AS[[#This Row],[Insurer Code]]&amp;"; "&amp;O7909&amp;AS[[#This Row],[Reporting Year]]&amp;"; "&amp;P7909&amp;AS[[#This Row],[Insurance Category Code]]&amp;"; "&amp;Q7909&amp;AS[[#This Row],[Large Provider Entity Code]]&amp;"; "&amp;R7909&amp;AS[[#This Row],[Age Band Code]]&amp;"; "&amp;S7909&amp;AS[[#This Row],[Sex Code]]</f>
        <v xml:space="preserve">Insurer Code ; Reporting Year ; Insurance Category Code ; Large Provider Entity Code ; Age Band Code ; Sex Code </v>
      </c>
      <c r="N7909" s="345" t="s">
        <v>207</v>
      </c>
      <c r="O7909" s="345" t="s">
        <v>208</v>
      </c>
      <c r="P7909" s="345" t="s">
        <v>209</v>
      </c>
      <c r="Q7909" s="345" t="s">
        <v>210</v>
      </c>
      <c r="R7909" s="345" t="s">
        <v>223</v>
      </c>
      <c r="S7909" s="345" t="s">
        <v>224</v>
      </c>
    </row>
    <row r="7910" spans="1:19" x14ac:dyDescent="0.25">
      <c r="A7910" s="311"/>
      <c r="B7910" s="312"/>
      <c r="C7910" s="312"/>
      <c r="D7910" s="312"/>
      <c r="E7910" s="312"/>
      <c r="F7910" s="312"/>
      <c r="G7910" s="328"/>
      <c r="H7910" s="453"/>
      <c r="I7910" s="334"/>
      <c r="J7910" s="314"/>
      <c r="K7910" s="454"/>
      <c r="M7910" s="349" t="str">
        <f>N7910&amp;AS[[#This Row],[Insurer Code]]&amp;"; "&amp;O7910&amp;AS[[#This Row],[Reporting Year]]&amp;"; "&amp;P7910&amp;AS[[#This Row],[Insurance Category Code]]&amp;"; "&amp;Q7910&amp;AS[[#This Row],[Large Provider Entity Code]]&amp;"; "&amp;R7910&amp;AS[[#This Row],[Age Band Code]]&amp;"; "&amp;S7910&amp;AS[[#This Row],[Sex Code]]</f>
        <v xml:space="preserve">Insurer Code ; Reporting Year ; Insurance Category Code ; Large Provider Entity Code ; Age Band Code ; Sex Code </v>
      </c>
      <c r="N7910" s="345" t="s">
        <v>207</v>
      </c>
      <c r="O7910" s="345" t="s">
        <v>208</v>
      </c>
      <c r="P7910" s="345" t="s">
        <v>209</v>
      </c>
      <c r="Q7910" s="345" t="s">
        <v>210</v>
      </c>
      <c r="R7910" s="345" t="s">
        <v>223</v>
      </c>
      <c r="S7910" s="345" t="s">
        <v>224</v>
      </c>
    </row>
    <row r="7911" spans="1:19" x14ac:dyDescent="0.25">
      <c r="A7911" s="311"/>
      <c r="B7911" s="312"/>
      <c r="C7911" s="312"/>
      <c r="D7911" s="312"/>
      <c r="E7911" s="312"/>
      <c r="F7911" s="312"/>
      <c r="G7911" s="328"/>
      <c r="H7911" s="453"/>
      <c r="I7911" s="334"/>
      <c r="J7911" s="314"/>
      <c r="K7911" s="454"/>
      <c r="M7911" s="349" t="str">
        <f>N7911&amp;AS[[#This Row],[Insurer Code]]&amp;"; "&amp;O7911&amp;AS[[#This Row],[Reporting Year]]&amp;"; "&amp;P7911&amp;AS[[#This Row],[Insurance Category Code]]&amp;"; "&amp;Q7911&amp;AS[[#This Row],[Large Provider Entity Code]]&amp;"; "&amp;R7911&amp;AS[[#This Row],[Age Band Code]]&amp;"; "&amp;S7911&amp;AS[[#This Row],[Sex Code]]</f>
        <v xml:space="preserve">Insurer Code ; Reporting Year ; Insurance Category Code ; Large Provider Entity Code ; Age Band Code ; Sex Code </v>
      </c>
      <c r="N7911" s="345" t="s">
        <v>207</v>
      </c>
      <c r="O7911" s="345" t="s">
        <v>208</v>
      </c>
      <c r="P7911" s="345" t="s">
        <v>209</v>
      </c>
      <c r="Q7911" s="345" t="s">
        <v>210</v>
      </c>
      <c r="R7911" s="345" t="s">
        <v>223</v>
      </c>
      <c r="S7911" s="345" t="s">
        <v>224</v>
      </c>
    </row>
    <row r="7912" spans="1:19" x14ac:dyDescent="0.25">
      <c r="A7912" s="311"/>
      <c r="B7912" s="312"/>
      <c r="C7912" s="312"/>
      <c r="D7912" s="312"/>
      <c r="E7912" s="312"/>
      <c r="F7912" s="312"/>
      <c r="G7912" s="328"/>
      <c r="H7912" s="453"/>
      <c r="I7912" s="334"/>
      <c r="J7912" s="314"/>
      <c r="K7912" s="454"/>
      <c r="M7912" s="349" t="str">
        <f>N7912&amp;AS[[#This Row],[Insurer Code]]&amp;"; "&amp;O7912&amp;AS[[#This Row],[Reporting Year]]&amp;"; "&amp;P7912&amp;AS[[#This Row],[Insurance Category Code]]&amp;"; "&amp;Q7912&amp;AS[[#This Row],[Large Provider Entity Code]]&amp;"; "&amp;R7912&amp;AS[[#This Row],[Age Band Code]]&amp;"; "&amp;S7912&amp;AS[[#This Row],[Sex Code]]</f>
        <v xml:space="preserve">Insurer Code ; Reporting Year ; Insurance Category Code ; Large Provider Entity Code ; Age Band Code ; Sex Code </v>
      </c>
      <c r="N7912" s="345" t="s">
        <v>207</v>
      </c>
      <c r="O7912" s="345" t="s">
        <v>208</v>
      </c>
      <c r="P7912" s="345" t="s">
        <v>209</v>
      </c>
      <c r="Q7912" s="345" t="s">
        <v>210</v>
      </c>
      <c r="R7912" s="345" t="s">
        <v>223</v>
      </c>
      <c r="S7912" s="345" t="s">
        <v>224</v>
      </c>
    </row>
    <row r="7913" spans="1:19" x14ac:dyDescent="0.25">
      <c r="A7913" s="311"/>
      <c r="B7913" s="312"/>
      <c r="C7913" s="312"/>
      <c r="D7913" s="312"/>
      <c r="E7913" s="312"/>
      <c r="F7913" s="312"/>
      <c r="G7913" s="328"/>
      <c r="H7913" s="453"/>
      <c r="I7913" s="334"/>
      <c r="J7913" s="314"/>
      <c r="K7913" s="454"/>
      <c r="M7913" s="349" t="str">
        <f>N7913&amp;AS[[#This Row],[Insurer Code]]&amp;"; "&amp;O7913&amp;AS[[#This Row],[Reporting Year]]&amp;"; "&amp;P7913&amp;AS[[#This Row],[Insurance Category Code]]&amp;"; "&amp;Q7913&amp;AS[[#This Row],[Large Provider Entity Code]]&amp;"; "&amp;R7913&amp;AS[[#This Row],[Age Band Code]]&amp;"; "&amp;S7913&amp;AS[[#This Row],[Sex Code]]</f>
        <v xml:space="preserve">Insurer Code ; Reporting Year ; Insurance Category Code ; Large Provider Entity Code ; Age Band Code ; Sex Code </v>
      </c>
      <c r="N7913" s="345" t="s">
        <v>207</v>
      </c>
      <c r="O7913" s="345" t="s">
        <v>208</v>
      </c>
      <c r="P7913" s="345" t="s">
        <v>209</v>
      </c>
      <c r="Q7913" s="345" t="s">
        <v>210</v>
      </c>
      <c r="R7913" s="345" t="s">
        <v>223</v>
      </c>
      <c r="S7913" s="345" t="s">
        <v>224</v>
      </c>
    </row>
    <row r="7914" spans="1:19" x14ac:dyDescent="0.25">
      <c r="A7914" s="311"/>
      <c r="B7914" s="312"/>
      <c r="C7914" s="312"/>
      <c r="D7914" s="312"/>
      <c r="E7914" s="312"/>
      <c r="F7914" s="312"/>
      <c r="G7914" s="328"/>
      <c r="H7914" s="453"/>
      <c r="I7914" s="334"/>
      <c r="J7914" s="314"/>
      <c r="K7914" s="454"/>
      <c r="M7914" s="349" t="str">
        <f>N7914&amp;AS[[#This Row],[Insurer Code]]&amp;"; "&amp;O7914&amp;AS[[#This Row],[Reporting Year]]&amp;"; "&amp;P7914&amp;AS[[#This Row],[Insurance Category Code]]&amp;"; "&amp;Q7914&amp;AS[[#This Row],[Large Provider Entity Code]]&amp;"; "&amp;R7914&amp;AS[[#This Row],[Age Band Code]]&amp;"; "&amp;S7914&amp;AS[[#This Row],[Sex Code]]</f>
        <v xml:space="preserve">Insurer Code ; Reporting Year ; Insurance Category Code ; Large Provider Entity Code ; Age Band Code ; Sex Code </v>
      </c>
      <c r="N7914" s="345" t="s">
        <v>207</v>
      </c>
      <c r="O7914" s="345" t="s">
        <v>208</v>
      </c>
      <c r="P7914" s="345" t="s">
        <v>209</v>
      </c>
      <c r="Q7914" s="345" t="s">
        <v>210</v>
      </c>
      <c r="R7914" s="345" t="s">
        <v>223</v>
      </c>
      <c r="S7914" s="345" t="s">
        <v>224</v>
      </c>
    </row>
    <row r="7915" spans="1:19" x14ac:dyDescent="0.25">
      <c r="A7915" s="311"/>
      <c r="B7915" s="312"/>
      <c r="C7915" s="312"/>
      <c r="D7915" s="312"/>
      <c r="E7915" s="312"/>
      <c r="F7915" s="312"/>
      <c r="G7915" s="328"/>
      <c r="H7915" s="453"/>
      <c r="I7915" s="334"/>
      <c r="J7915" s="314"/>
      <c r="K7915" s="454"/>
      <c r="M7915" s="349" t="str">
        <f>N7915&amp;AS[[#This Row],[Insurer Code]]&amp;"; "&amp;O7915&amp;AS[[#This Row],[Reporting Year]]&amp;"; "&amp;P7915&amp;AS[[#This Row],[Insurance Category Code]]&amp;"; "&amp;Q7915&amp;AS[[#This Row],[Large Provider Entity Code]]&amp;"; "&amp;R7915&amp;AS[[#This Row],[Age Band Code]]&amp;"; "&amp;S7915&amp;AS[[#This Row],[Sex Code]]</f>
        <v xml:space="preserve">Insurer Code ; Reporting Year ; Insurance Category Code ; Large Provider Entity Code ; Age Band Code ; Sex Code </v>
      </c>
      <c r="N7915" s="345" t="s">
        <v>207</v>
      </c>
      <c r="O7915" s="345" t="s">
        <v>208</v>
      </c>
      <c r="P7915" s="345" t="s">
        <v>209</v>
      </c>
      <c r="Q7915" s="345" t="s">
        <v>210</v>
      </c>
      <c r="R7915" s="345" t="s">
        <v>223</v>
      </c>
      <c r="S7915" s="345" t="s">
        <v>224</v>
      </c>
    </row>
    <row r="7916" spans="1:19" x14ac:dyDescent="0.25">
      <c r="A7916" s="311"/>
      <c r="B7916" s="312"/>
      <c r="C7916" s="312"/>
      <c r="D7916" s="312"/>
      <c r="E7916" s="312"/>
      <c r="F7916" s="312"/>
      <c r="G7916" s="328"/>
      <c r="H7916" s="453"/>
      <c r="I7916" s="334"/>
      <c r="J7916" s="314"/>
      <c r="K7916" s="454"/>
      <c r="M7916" s="349" t="str">
        <f>N7916&amp;AS[[#This Row],[Insurer Code]]&amp;"; "&amp;O7916&amp;AS[[#This Row],[Reporting Year]]&amp;"; "&amp;P7916&amp;AS[[#This Row],[Insurance Category Code]]&amp;"; "&amp;Q7916&amp;AS[[#This Row],[Large Provider Entity Code]]&amp;"; "&amp;R7916&amp;AS[[#This Row],[Age Band Code]]&amp;"; "&amp;S7916&amp;AS[[#This Row],[Sex Code]]</f>
        <v xml:space="preserve">Insurer Code ; Reporting Year ; Insurance Category Code ; Large Provider Entity Code ; Age Band Code ; Sex Code </v>
      </c>
      <c r="N7916" s="345" t="s">
        <v>207</v>
      </c>
      <c r="O7916" s="345" t="s">
        <v>208</v>
      </c>
      <c r="P7916" s="345" t="s">
        <v>209</v>
      </c>
      <c r="Q7916" s="345" t="s">
        <v>210</v>
      </c>
      <c r="R7916" s="345" t="s">
        <v>223</v>
      </c>
      <c r="S7916" s="345" t="s">
        <v>224</v>
      </c>
    </row>
    <row r="7917" spans="1:19" x14ac:dyDescent="0.25">
      <c r="A7917" s="311"/>
      <c r="B7917" s="312"/>
      <c r="C7917" s="312"/>
      <c r="D7917" s="312"/>
      <c r="E7917" s="312"/>
      <c r="F7917" s="312"/>
      <c r="G7917" s="328"/>
      <c r="H7917" s="453"/>
      <c r="I7917" s="334"/>
      <c r="J7917" s="314"/>
      <c r="K7917" s="454"/>
      <c r="M7917" s="349" t="str">
        <f>N7917&amp;AS[[#This Row],[Insurer Code]]&amp;"; "&amp;O7917&amp;AS[[#This Row],[Reporting Year]]&amp;"; "&amp;P7917&amp;AS[[#This Row],[Insurance Category Code]]&amp;"; "&amp;Q7917&amp;AS[[#This Row],[Large Provider Entity Code]]&amp;"; "&amp;R7917&amp;AS[[#This Row],[Age Band Code]]&amp;"; "&amp;S7917&amp;AS[[#This Row],[Sex Code]]</f>
        <v xml:space="preserve">Insurer Code ; Reporting Year ; Insurance Category Code ; Large Provider Entity Code ; Age Band Code ; Sex Code </v>
      </c>
      <c r="N7917" s="345" t="s">
        <v>207</v>
      </c>
      <c r="O7917" s="345" t="s">
        <v>208</v>
      </c>
      <c r="P7917" s="345" t="s">
        <v>209</v>
      </c>
      <c r="Q7917" s="345" t="s">
        <v>210</v>
      </c>
      <c r="R7917" s="345" t="s">
        <v>223</v>
      </c>
      <c r="S7917" s="345" t="s">
        <v>224</v>
      </c>
    </row>
    <row r="7918" spans="1:19" x14ac:dyDescent="0.25">
      <c r="A7918" s="311"/>
      <c r="B7918" s="312"/>
      <c r="C7918" s="312"/>
      <c r="D7918" s="312"/>
      <c r="E7918" s="312"/>
      <c r="F7918" s="312"/>
      <c r="G7918" s="328"/>
      <c r="H7918" s="453"/>
      <c r="I7918" s="334"/>
      <c r="J7918" s="314"/>
      <c r="K7918" s="454"/>
      <c r="M7918" s="349" t="str">
        <f>N7918&amp;AS[[#This Row],[Insurer Code]]&amp;"; "&amp;O7918&amp;AS[[#This Row],[Reporting Year]]&amp;"; "&amp;P7918&amp;AS[[#This Row],[Insurance Category Code]]&amp;"; "&amp;Q7918&amp;AS[[#This Row],[Large Provider Entity Code]]&amp;"; "&amp;R7918&amp;AS[[#This Row],[Age Band Code]]&amp;"; "&amp;S7918&amp;AS[[#This Row],[Sex Code]]</f>
        <v xml:space="preserve">Insurer Code ; Reporting Year ; Insurance Category Code ; Large Provider Entity Code ; Age Band Code ; Sex Code </v>
      </c>
      <c r="N7918" s="345" t="s">
        <v>207</v>
      </c>
      <c r="O7918" s="345" t="s">
        <v>208</v>
      </c>
      <c r="P7918" s="345" t="s">
        <v>209</v>
      </c>
      <c r="Q7918" s="345" t="s">
        <v>210</v>
      </c>
      <c r="R7918" s="345" t="s">
        <v>223</v>
      </c>
      <c r="S7918" s="345" t="s">
        <v>224</v>
      </c>
    </row>
    <row r="7919" spans="1:19" x14ac:dyDescent="0.25">
      <c r="A7919" s="311"/>
      <c r="B7919" s="312"/>
      <c r="C7919" s="312"/>
      <c r="D7919" s="312"/>
      <c r="E7919" s="312"/>
      <c r="F7919" s="312"/>
      <c r="G7919" s="328"/>
      <c r="H7919" s="453"/>
      <c r="I7919" s="334"/>
      <c r="J7919" s="314"/>
      <c r="K7919" s="454"/>
      <c r="M7919" s="349" t="str">
        <f>N7919&amp;AS[[#This Row],[Insurer Code]]&amp;"; "&amp;O7919&amp;AS[[#This Row],[Reporting Year]]&amp;"; "&amp;P7919&amp;AS[[#This Row],[Insurance Category Code]]&amp;"; "&amp;Q7919&amp;AS[[#This Row],[Large Provider Entity Code]]&amp;"; "&amp;R7919&amp;AS[[#This Row],[Age Band Code]]&amp;"; "&amp;S7919&amp;AS[[#This Row],[Sex Code]]</f>
        <v xml:space="preserve">Insurer Code ; Reporting Year ; Insurance Category Code ; Large Provider Entity Code ; Age Band Code ; Sex Code </v>
      </c>
      <c r="N7919" s="345" t="s">
        <v>207</v>
      </c>
      <c r="O7919" s="345" t="s">
        <v>208</v>
      </c>
      <c r="P7919" s="345" t="s">
        <v>209</v>
      </c>
      <c r="Q7919" s="345" t="s">
        <v>210</v>
      </c>
      <c r="R7919" s="345" t="s">
        <v>223</v>
      </c>
      <c r="S7919" s="345" t="s">
        <v>224</v>
      </c>
    </row>
    <row r="7920" spans="1:19" x14ac:dyDescent="0.25">
      <c r="A7920" s="311"/>
      <c r="B7920" s="312"/>
      <c r="C7920" s="312"/>
      <c r="D7920" s="312"/>
      <c r="E7920" s="312"/>
      <c r="F7920" s="312"/>
      <c r="G7920" s="328"/>
      <c r="H7920" s="453"/>
      <c r="I7920" s="334"/>
      <c r="J7920" s="314"/>
      <c r="K7920" s="454"/>
      <c r="M7920" s="349" t="str">
        <f>N7920&amp;AS[[#This Row],[Insurer Code]]&amp;"; "&amp;O7920&amp;AS[[#This Row],[Reporting Year]]&amp;"; "&amp;P7920&amp;AS[[#This Row],[Insurance Category Code]]&amp;"; "&amp;Q7920&amp;AS[[#This Row],[Large Provider Entity Code]]&amp;"; "&amp;R7920&amp;AS[[#This Row],[Age Band Code]]&amp;"; "&amp;S7920&amp;AS[[#This Row],[Sex Code]]</f>
        <v xml:space="preserve">Insurer Code ; Reporting Year ; Insurance Category Code ; Large Provider Entity Code ; Age Band Code ; Sex Code </v>
      </c>
      <c r="N7920" s="345" t="s">
        <v>207</v>
      </c>
      <c r="O7920" s="345" t="s">
        <v>208</v>
      </c>
      <c r="P7920" s="345" t="s">
        <v>209</v>
      </c>
      <c r="Q7920" s="345" t="s">
        <v>210</v>
      </c>
      <c r="R7920" s="345" t="s">
        <v>223</v>
      </c>
      <c r="S7920" s="345" t="s">
        <v>224</v>
      </c>
    </row>
    <row r="7921" spans="1:19" x14ac:dyDescent="0.25">
      <c r="A7921" s="311"/>
      <c r="B7921" s="312"/>
      <c r="C7921" s="312"/>
      <c r="D7921" s="312"/>
      <c r="E7921" s="312"/>
      <c r="F7921" s="312"/>
      <c r="G7921" s="328"/>
      <c r="H7921" s="453"/>
      <c r="I7921" s="334"/>
      <c r="J7921" s="314"/>
      <c r="K7921" s="454"/>
      <c r="M7921" s="349" t="str">
        <f>N7921&amp;AS[[#This Row],[Insurer Code]]&amp;"; "&amp;O7921&amp;AS[[#This Row],[Reporting Year]]&amp;"; "&amp;P7921&amp;AS[[#This Row],[Insurance Category Code]]&amp;"; "&amp;Q7921&amp;AS[[#This Row],[Large Provider Entity Code]]&amp;"; "&amp;R7921&amp;AS[[#This Row],[Age Band Code]]&amp;"; "&amp;S7921&amp;AS[[#This Row],[Sex Code]]</f>
        <v xml:space="preserve">Insurer Code ; Reporting Year ; Insurance Category Code ; Large Provider Entity Code ; Age Band Code ; Sex Code </v>
      </c>
      <c r="N7921" s="345" t="s">
        <v>207</v>
      </c>
      <c r="O7921" s="345" t="s">
        <v>208</v>
      </c>
      <c r="P7921" s="345" t="s">
        <v>209</v>
      </c>
      <c r="Q7921" s="345" t="s">
        <v>210</v>
      </c>
      <c r="R7921" s="345" t="s">
        <v>223</v>
      </c>
      <c r="S7921" s="345" t="s">
        <v>224</v>
      </c>
    </row>
    <row r="7922" spans="1:19" x14ac:dyDescent="0.25">
      <c r="A7922" s="311"/>
      <c r="B7922" s="312"/>
      <c r="C7922" s="312"/>
      <c r="D7922" s="312"/>
      <c r="E7922" s="312"/>
      <c r="F7922" s="312"/>
      <c r="G7922" s="328"/>
      <c r="H7922" s="453"/>
      <c r="I7922" s="334"/>
      <c r="J7922" s="314"/>
      <c r="K7922" s="454"/>
      <c r="M7922" s="349" t="str">
        <f>N7922&amp;AS[[#This Row],[Insurer Code]]&amp;"; "&amp;O7922&amp;AS[[#This Row],[Reporting Year]]&amp;"; "&amp;P7922&amp;AS[[#This Row],[Insurance Category Code]]&amp;"; "&amp;Q7922&amp;AS[[#This Row],[Large Provider Entity Code]]&amp;"; "&amp;R7922&amp;AS[[#This Row],[Age Band Code]]&amp;"; "&amp;S7922&amp;AS[[#This Row],[Sex Code]]</f>
        <v xml:space="preserve">Insurer Code ; Reporting Year ; Insurance Category Code ; Large Provider Entity Code ; Age Band Code ; Sex Code </v>
      </c>
      <c r="N7922" s="345" t="s">
        <v>207</v>
      </c>
      <c r="O7922" s="345" t="s">
        <v>208</v>
      </c>
      <c r="P7922" s="345" t="s">
        <v>209</v>
      </c>
      <c r="Q7922" s="345" t="s">
        <v>210</v>
      </c>
      <c r="R7922" s="345" t="s">
        <v>223</v>
      </c>
      <c r="S7922" s="345" t="s">
        <v>224</v>
      </c>
    </row>
    <row r="7923" spans="1:19" x14ac:dyDescent="0.25">
      <c r="A7923" s="311"/>
      <c r="B7923" s="312"/>
      <c r="C7923" s="312"/>
      <c r="D7923" s="312"/>
      <c r="E7923" s="312"/>
      <c r="F7923" s="312"/>
      <c r="G7923" s="328"/>
      <c r="H7923" s="453"/>
      <c r="I7923" s="334"/>
      <c r="J7923" s="314"/>
      <c r="K7923" s="454"/>
      <c r="M7923" s="349" t="str">
        <f>N7923&amp;AS[[#This Row],[Insurer Code]]&amp;"; "&amp;O7923&amp;AS[[#This Row],[Reporting Year]]&amp;"; "&amp;P7923&amp;AS[[#This Row],[Insurance Category Code]]&amp;"; "&amp;Q7923&amp;AS[[#This Row],[Large Provider Entity Code]]&amp;"; "&amp;R7923&amp;AS[[#This Row],[Age Band Code]]&amp;"; "&amp;S7923&amp;AS[[#This Row],[Sex Code]]</f>
        <v xml:space="preserve">Insurer Code ; Reporting Year ; Insurance Category Code ; Large Provider Entity Code ; Age Band Code ; Sex Code </v>
      </c>
      <c r="N7923" s="345" t="s">
        <v>207</v>
      </c>
      <c r="O7923" s="345" t="s">
        <v>208</v>
      </c>
      <c r="P7923" s="345" t="s">
        <v>209</v>
      </c>
      <c r="Q7923" s="345" t="s">
        <v>210</v>
      </c>
      <c r="R7923" s="345" t="s">
        <v>223</v>
      </c>
      <c r="S7923" s="345" t="s">
        <v>224</v>
      </c>
    </row>
    <row r="7924" spans="1:19" x14ac:dyDescent="0.25">
      <c r="A7924" s="311"/>
      <c r="B7924" s="312"/>
      <c r="C7924" s="312"/>
      <c r="D7924" s="312"/>
      <c r="E7924" s="312"/>
      <c r="F7924" s="312"/>
      <c r="G7924" s="328"/>
      <c r="H7924" s="453"/>
      <c r="I7924" s="334"/>
      <c r="J7924" s="314"/>
      <c r="K7924" s="454"/>
      <c r="M7924" s="349" t="str">
        <f>N7924&amp;AS[[#This Row],[Insurer Code]]&amp;"; "&amp;O7924&amp;AS[[#This Row],[Reporting Year]]&amp;"; "&amp;P7924&amp;AS[[#This Row],[Insurance Category Code]]&amp;"; "&amp;Q7924&amp;AS[[#This Row],[Large Provider Entity Code]]&amp;"; "&amp;R7924&amp;AS[[#This Row],[Age Band Code]]&amp;"; "&amp;S7924&amp;AS[[#This Row],[Sex Code]]</f>
        <v xml:space="preserve">Insurer Code ; Reporting Year ; Insurance Category Code ; Large Provider Entity Code ; Age Band Code ; Sex Code </v>
      </c>
      <c r="N7924" s="345" t="s">
        <v>207</v>
      </c>
      <c r="O7924" s="345" t="s">
        <v>208</v>
      </c>
      <c r="P7924" s="345" t="s">
        <v>209</v>
      </c>
      <c r="Q7924" s="345" t="s">
        <v>210</v>
      </c>
      <c r="R7924" s="345" t="s">
        <v>223</v>
      </c>
      <c r="S7924" s="345" t="s">
        <v>224</v>
      </c>
    </row>
    <row r="7925" spans="1:19" x14ac:dyDescent="0.25">
      <c r="A7925" s="311"/>
      <c r="B7925" s="312"/>
      <c r="C7925" s="312"/>
      <c r="D7925" s="312"/>
      <c r="E7925" s="312"/>
      <c r="F7925" s="312"/>
      <c r="G7925" s="328"/>
      <c r="H7925" s="453"/>
      <c r="I7925" s="334"/>
      <c r="J7925" s="314"/>
      <c r="K7925" s="454"/>
      <c r="M7925" s="349" t="str">
        <f>N7925&amp;AS[[#This Row],[Insurer Code]]&amp;"; "&amp;O7925&amp;AS[[#This Row],[Reporting Year]]&amp;"; "&amp;P7925&amp;AS[[#This Row],[Insurance Category Code]]&amp;"; "&amp;Q7925&amp;AS[[#This Row],[Large Provider Entity Code]]&amp;"; "&amp;R7925&amp;AS[[#This Row],[Age Band Code]]&amp;"; "&amp;S7925&amp;AS[[#This Row],[Sex Code]]</f>
        <v xml:space="preserve">Insurer Code ; Reporting Year ; Insurance Category Code ; Large Provider Entity Code ; Age Band Code ; Sex Code </v>
      </c>
      <c r="N7925" s="345" t="s">
        <v>207</v>
      </c>
      <c r="O7925" s="345" t="s">
        <v>208</v>
      </c>
      <c r="P7925" s="345" t="s">
        <v>209</v>
      </c>
      <c r="Q7925" s="345" t="s">
        <v>210</v>
      </c>
      <c r="R7925" s="345" t="s">
        <v>223</v>
      </c>
      <c r="S7925" s="345" t="s">
        <v>224</v>
      </c>
    </row>
    <row r="7926" spans="1:19" x14ac:dyDescent="0.25">
      <c r="A7926" s="311"/>
      <c r="B7926" s="312"/>
      <c r="C7926" s="312"/>
      <c r="D7926" s="312"/>
      <c r="E7926" s="312"/>
      <c r="F7926" s="312"/>
      <c r="G7926" s="328"/>
      <c r="H7926" s="453"/>
      <c r="I7926" s="334"/>
      <c r="J7926" s="314"/>
      <c r="K7926" s="454"/>
      <c r="M7926" s="349" t="str">
        <f>N7926&amp;AS[[#This Row],[Insurer Code]]&amp;"; "&amp;O7926&amp;AS[[#This Row],[Reporting Year]]&amp;"; "&amp;P7926&amp;AS[[#This Row],[Insurance Category Code]]&amp;"; "&amp;Q7926&amp;AS[[#This Row],[Large Provider Entity Code]]&amp;"; "&amp;R7926&amp;AS[[#This Row],[Age Band Code]]&amp;"; "&amp;S7926&amp;AS[[#This Row],[Sex Code]]</f>
        <v xml:space="preserve">Insurer Code ; Reporting Year ; Insurance Category Code ; Large Provider Entity Code ; Age Band Code ; Sex Code </v>
      </c>
      <c r="N7926" s="345" t="s">
        <v>207</v>
      </c>
      <c r="O7926" s="345" t="s">
        <v>208</v>
      </c>
      <c r="P7926" s="345" t="s">
        <v>209</v>
      </c>
      <c r="Q7926" s="345" t="s">
        <v>210</v>
      </c>
      <c r="R7926" s="345" t="s">
        <v>223</v>
      </c>
      <c r="S7926" s="345" t="s">
        <v>224</v>
      </c>
    </row>
    <row r="7927" spans="1:19" x14ac:dyDescent="0.25">
      <c r="A7927" s="311"/>
      <c r="B7927" s="312"/>
      <c r="C7927" s="312"/>
      <c r="D7927" s="312"/>
      <c r="E7927" s="312"/>
      <c r="F7927" s="312"/>
      <c r="G7927" s="328"/>
      <c r="H7927" s="453"/>
      <c r="I7927" s="334"/>
      <c r="J7927" s="314"/>
      <c r="K7927" s="454"/>
      <c r="M7927" s="349" t="str">
        <f>N7927&amp;AS[[#This Row],[Insurer Code]]&amp;"; "&amp;O7927&amp;AS[[#This Row],[Reporting Year]]&amp;"; "&amp;P7927&amp;AS[[#This Row],[Insurance Category Code]]&amp;"; "&amp;Q7927&amp;AS[[#This Row],[Large Provider Entity Code]]&amp;"; "&amp;R7927&amp;AS[[#This Row],[Age Band Code]]&amp;"; "&amp;S7927&amp;AS[[#This Row],[Sex Code]]</f>
        <v xml:space="preserve">Insurer Code ; Reporting Year ; Insurance Category Code ; Large Provider Entity Code ; Age Band Code ; Sex Code </v>
      </c>
      <c r="N7927" s="345" t="s">
        <v>207</v>
      </c>
      <c r="O7927" s="345" t="s">
        <v>208</v>
      </c>
      <c r="P7927" s="345" t="s">
        <v>209</v>
      </c>
      <c r="Q7927" s="345" t="s">
        <v>210</v>
      </c>
      <c r="R7927" s="345" t="s">
        <v>223</v>
      </c>
      <c r="S7927" s="345" t="s">
        <v>224</v>
      </c>
    </row>
    <row r="7928" spans="1:19" x14ac:dyDescent="0.25">
      <c r="A7928" s="311"/>
      <c r="B7928" s="312"/>
      <c r="C7928" s="312"/>
      <c r="D7928" s="312"/>
      <c r="E7928" s="312"/>
      <c r="F7928" s="312"/>
      <c r="G7928" s="328"/>
      <c r="H7928" s="453"/>
      <c r="I7928" s="334"/>
      <c r="J7928" s="314"/>
      <c r="K7928" s="454"/>
      <c r="M7928" s="349" t="str">
        <f>N7928&amp;AS[[#This Row],[Insurer Code]]&amp;"; "&amp;O7928&amp;AS[[#This Row],[Reporting Year]]&amp;"; "&amp;P7928&amp;AS[[#This Row],[Insurance Category Code]]&amp;"; "&amp;Q7928&amp;AS[[#This Row],[Large Provider Entity Code]]&amp;"; "&amp;R7928&amp;AS[[#This Row],[Age Band Code]]&amp;"; "&amp;S7928&amp;AS[[#This Row],[Sex Code]]</f>
        <v xml:space="preserve">Insurer Code ; Reporting Year ; Insurance Category Code ; Large Provider Entity Code ; Age Band Code ; Sex Code </v>
      </c>
      <c r="N7928" s="345" t="s">
        <v>207</v>
      </c>
      <c r="O7928" s="345" t="s">
        <v>208</v>
      </c>
      <c r="P7928" s="345" t="s">
        <v>209</v>
      </c>
      <c r="Q7928" s="345" t="s">
        <v>210</v>
      </c>
      <c r="R7928" s="345" t="s">
        <v>223</v>
      </c>
      <c r="S7928" s="345" t="s">
        <v>224</v>
      </c>
    </row>
    <row r="7929" spans="1:19" x14ac:dyDescent="0.25">
      <c r="A7929" s="311"/>
      <c r="B7929" s="312"/>
      <c r="C7929" s="312"/>
      <c r="D7929" s="312"/>
      <c r="E7929" s="312"/>
      <c r="F7929" s="312"/>
      <c r="G7929" s="328"/>
      <c r="H7929" s="453"/>
      <c r="I7929" s="334"/>
      <c r="J7929" s="314"/>
      <c r="K7929" s="454"/>
      <c r="M7929" s="349" t="str">
        <f>N7929&amp;AS[[#This Row],[Insurer Code]]&amp;"; "&amp;O7929&amp;AS[[#This Row],[Reporting Year]]&amp;"; "&amp;P7929&amp;AS[[#This Row],[Insurance Category Code]]&amp;"; "&amp;Q7929&amp;AS[[#This Row],[Large Provider Entity Code]]&amp;"; "&amp;R7929&amp;AS[[#This Row],[Age Band Code]]&amp;"; "&amp;S7929&amp;AS[[#This Row],[Sex Code]]</f>
        <v xml:space="preserve">Insurer Code ; Reporting Year ; Insurance Category Code ; Large Provider Entity Code ; Age Band Code ; Sex Code </v>
      </c>
      <c r="N7929" s="345" t="s">
        <v>207</v>
      </c>
      <c r="O7929" s="345" t="s">
        <v>208</v>
      </c>
      <c r="P7929" s="345" t="s">
        <v>209</v>
      </c>
      <c r="Q7929" s="345" t="s">
        <v>210</v>
      </c>
      <c r="R7929" s="345" t="s">
        <v>223</v>
      </c>
      <c r="S7929" s="345" t="s">
        <v>224</v>
      </c>
    </row>
    <row r="7930" spans="1:19" x14ac:dyDescent="0.25">
      <c r="A7930" s="311"/>
      <c r="B7930" s="312"/>
      <c r="C7930" s="312"/>
      <c r="D7930" s="312"/>
      <c r="E7930" s="312"/>
      <c r="F7930" s="312"/>
      <c r="G7930" s="328"/>
      <c r="H7930" s="453"/>
      <c r="I7930" s="334"/>
      <c r="J7930" s="314"/>
      <c r="K7930" s="454"/>
      <c r="M7930" s="349" t="str">
        <f>N7930&amp;AS[[#This Row],[Insurer Code]]&amp;"; "&amp;O7930&amp;AS[[#This Row],[Reporting Year]]&amp;"; "&amp;P7930&amp;AS[[#This Row],[Insurance Category Code]]&amp;"; "&amp;Q7930&amp;AS[[#This Row],[Large Provider Entity Code]]&amp;"; "&amp;R7930&amp;AS[[#This Row],[Age Band Code]]&amp;"; "&amp;S7930&amp;AS[[#This Row],[Sex Code]]</f>
        <v xml:space="preserve">Insurer Code ; Reporting Year ; Insurance Category Code ; Large Provider Entity Code ; Age Band Code ; Sex Code </v>
      </c>
      <c r="N7930" s="345" t="s">
        <v>207</v>
      </c>
      <c r="O7930" s="345" t="s">
        <v>208</v>
      </c>
      <c r="P7930" s="345" t="s">
        <v>209</v>
      </c>
      <c r="Q7930" s="345" t="s">
        <v>210</v>
      </c>
      <c r="R7930" s="345" t="s">
        <v>223</v>
      </c>
      <c r="S7930" s="345" t="s">
        <v>224</v>
      </c>
    </row>
    <row r="7931" spans="1:19" x14ac:dyDescent="0.25">
      <c r="A7931" s="311"/>
      <c r="B7931" s="312"/>
      <c r="C7931" s="312"/>
      <c r="D7931" s="312"/>
      <c r="E7931" s="312"/>
      <c r="F7931" s="312"/>
      <c r="G7931" s="328"/>
      <c r="H7931" s="453"/>
      <c r="I7931" s="334"/>
      <c r="J7931" s="314"/>
      <c r="K7931" s="454"/>
      <c r="M7931" s="349" t="str">
        <f>N7931&amp;AS[[#This Row],[Insurer Code]]&amp;"; "&amp;O7931&amp;AS[[#This Row],[Reporting Year]]&amp;"; "&amp;P7931&amp;AS[[#This Row],[Insurance Category Code]]&amp;"; "&amp;Q7931&amp;AS[[#This Row],[Large Provider Entity Code]]&amp;"; "&amp;R7931&amp;AS[[#This Row],[Age Band Code]]&amp;"; "&amp;S7931&amp;AS[[#This Row],[Sex Code]]</f>
        <v xml:space="preserve">Insurer Code ; Reporting Year ; Insurance Category Code ; Large Provider Entity Code ; Age Band Code ; Sex Code </v>
      </c>
      <c r="N7931" s="345" t="s">
        <v>207</v>
      </c>
      <c r="O7931" s="345" t="s">
        <v>208</v>
      </c>
      <c r="P7931" s="345" t="s">
        <v>209</v>
      </c>
      <c r="Q7931" s="345" t="s">
        <v>210</v>
      </c>
      <c r="R7931" s="345" t="s">
        <v>223</v>
      </c>
      <c r="S7931" s="345" t="s">
        <v>224</v>
      </c>
    </row>
    <row r="7932" spans="1:19" x14ac:dyDescent="0.25">
      <c r="A7932" s="311"/>
      <c r="B7932" s="312"/>
      <c r="C7932" s="312"/>
      <c r="D7932" s="312"/>
      <c r="E7932" s="312"/>
      <c r="F7932" s="312"/>
      <c r="G7932" s="328"/>
      <c r="H7932" s="453"/>
      <c r="I7932" s="334"/>
      <c r="J7932" s="314"/>
      <c r="K7932" s="454"/>
      <c r="M7932" s="349" t="str">
        <f>N7932&amp;AS[[#This Row],[Insurer Code]]&amp;"; "&amp;O7932&amp;AS[[#This Row],[Reporting Year]]&amp;"; "&amp;P7932&amp;AS[[#This Row],[Insurance Category Code]]&amp;"; "&amp;Q7932&amp;AS[[#This Row],[Large Provider Entity Code]]&amp;"; "&amp;R7932&amp;AS[[#This Row],[Age Band Code]]&amp;"; "&amp;S7932&amp;AS[[#This Row],[Sex Code]]</f>
        <v xml:space="preserve">Insurer Code ; Reporting Year ; Insurance Category Code ; Large Provider Entity Code ; Age Band Code ; Sex Code </v>
      </c>
      <c r="N7932" s="345" t="s">
        <v>207</v>
      </c>
      <c r="O7932" s="345" t="s">
        <v>208</v>
      </c>
      <c r="P7932" s="345" t="s">
        <v>209</v>
      </c>
      <c r="Q7932" s="345" t="s">
        <v>210</v>
      </c>
      <c r="R7932" s="345" t="s">
        <v>223</v>
      </c>
      <c r="S7932" s="345" t="s">
        <v>224</v>
      </c>
    </row>
    <row r="7933" spans="1:19" x14ac:dyDescent="0.25">
      <c r="A7933" s="311"/>
      <c r="B7933" s="312"/>
      <c r="C7933" s="312"/>
      <c r="D7933" s="312"/>
      <c r="E7933" s="312"/>
      <c r="F7933" s="312"/>
      <c r="G7933" s="328"/>
      <c r="H7933" s="453"/>
      <c r="I7933" s="334"/>
      <c r="J7933" s="314"/>
      <c r="K7933" s="454"/>
      <c r="M7933" s="349" t="str">
        <f>N7933&amp;AS[[#This Row],[Insurer Code]]&amp;"; "&amp;O7933&amp;AS[[#This Row],[Reporting Year]]&amp;"; "&amp;P7933&amp;AS[[#This Row],[Insurance Category Code]]&amp;"; "&amp;Q7933&amp;AS[[#This Row],[Large Provider Entity Code]]&amp;"; "&amp;R7933&amp;AS[[#This Row],[Age Band Code]]&amp;"; "&amp;S7933&amp;AS[[#This Row],[Sex Code]]</f>
        <v xml:space="preserve">Insurer Code ; Reporting Year ; Insurance Category Code ; Large Provider Entity Code ; Age Band Code ; Sex Code </v>
      </c>
      <c r="N7933" s="345" t="s">
        <v>207</v>
      </c>
      <c r="O7933" s="345" t="s">
        <v>208</v>
      </c>
      <c r="P7933" s="345" t="s">
        <v>209</v>
      </c>
      <c r="Q7933" s="345" t="s">
        <v>210</v>
      </c>
      <c r="R7933" s="345" t="s">
        <v>223</v>
      </c>
      <c r="S7933" s="345" t="s">
        <v>224</v>
      </c>
    </row>
    <row r="7934" spans="1:19" x14ac:dyDescent="0.25">
      <c r="A7934" s="311"/>
      <c r="B7934" s="312"/>
      <c r="C7934" s="312"/>
      <c r="D7934" s="312"/>
      <c r="E7934" s="312"/>
      <c r="F7934" s="312"/>
      <c r="G7934" s="328"/>
      <c r="H7934" s="453"/>
      <c r="I7934" s="334"/>
      <c r="J7934" s="314"/>
      <c r="K7934" s="454"/>
      <c r="M7934" s="349" t="str">
        <f>N7934&amp;AS[[#This Row],[Insurer Code]]&amp;"; "&amp;O7934&amp;AS[[#This Row],[Reporting Year]]&amp;"; "&amp;P7934&amp;AS[[#This Row],[Insurance Category Code]]&amp;"; "&amp;Q7934&amp;AS[[#This Row],[Large Provider Entity Code]]&amp;"; "&amp;R7934&amp;AS[[#This Row],[Age Band Code]]&amp;"; "&amp;S7934&amp;AS[[#This Row],[Sex Code]]</f>
        <v xml:space="preserve">Insurer Code ; Reporting Year ; Insurance Category Code ; Large Provider Entity Code ; Age Band Code ; Sex Code </v>
      </c>
      <c r="N7934" s="345" t="s">
        <v>207</v>
      </c>
      <c r="O7934" s="345" t="s">
        <v>208</v>
      </c>
      <c r="P7934" s="345" t="s">
        <v>209</v>
      </c>
      <c r="Q7934" s="345" t="s">
        <v>210</v>
      </c>
      <c r="R7934" s="345" t="s">
        <v>223</v>
      </c>
      <c r="S7934" s="345" t="s">
        <v>224</v>
      </c>
    </row>
    <row r="7935" spans="1:19" x14ac:dyDescent="0.25">
      <c r="A7935" s="311"/>
      <c r="B7935" s="312"/>
      <c r="C7935" s="312"/>
      <c r="D7935" s="312"/>
      <c r="E7935" s="312"/>
      <c r="F7935" s="312"/>
      <c r="G7935" s="328"/>
      <c r="H7935" s="453"/>
      <c r="I7935" s="334"/>
      <c r="J7935" s="314"/>
      <c r="K7935" s="454"/>
      <c r="M7935" s="349" t="str">
        <f>N7935&amp;AS[[#This Row],[Insurer Code]]&amp;"; "&amp;O7935&amp;AS[[#This Row],[Reporting Year]]&amp;"; "&amp;P7935&amp;AS[[#This Row],[Insurance Category Code]]&amp;"; "&amp;Q7935&amp;AS[[#This Row],[Large Provider Entity Code]]&amp;"; "&amp;R7935&amp;AS[[#This Row],[Age Band Code]]&amp;"; "&amp;S7935&amp;AS[[#This Row],[Sex Code]]</f>
        <v xml:space="preserve">Insurer Code ; Reporting Year ; Insurance Category Code ; Large Provider Entity Code ; Age Band Code ; Sex Code </v>
      </c>
      <c r="N7935" s="345" t="s">
        <v>207</v>
      </c>
      <c r="O7935" s="345" t="s">
        <v>208</v>
      </c>
      <c r="P7935" s="345" t="s">
        <v>209</v>
      </c>
      <c r="Q7935" s="345" t="s">
        <v>210</v>
      </c>
      <c r="R7935" s="345" t="s">
        <v>223</v>
      </c>
      <c r="S7935" s="345" t="s">
        <v>224</v>
      </c>
    </row>
    <row r="7936" spans="1:19" x14ac:dyDescent="0.25">
      <c r="A7936" s="311"/>
      <c r="B7936" s="312"/>
      <c r="C7936" s="312"/>
      <c r="D7936" s="312"/>
      <c r="E7936" s="312"/>
      <c r="F7936" s="312"/>
      <c r="G7936" s="328"/>
      <c r="H7936" s="453"/>
      <c r="I7936" s="334"/>
      <c r="J7936" s="314"/>
      <c r="K7936" s="454"/>
      <c r="M7936" s="349" t="str">
        <f>N7936&amp;AS[[#This Row],[Insurer Code]]&amp;"; "&amp;O7936&amp;AS[[#This Row],[Reporting Year]]&amp;"; "&amp;P7936&amp;AS[[#This Row],[Insurance Category Code]]&amp;"; "&amp;Q7936&amp;AS[[#This Row],[Large Provider Entity Code]]&amp;"; "&amp;R7936&amp;AS[[#This Row],[Age Band Code]]&amp;"; "&amp;S7936&amp;AS[[#This Row],[Sex Code]]</f>
        <v xml:space="preserve">Insurer Code ; Reporting Year ; Insurance Category Code ; Large Provider Entity Code ; Age Band Code ; Sex Code </v>
      </c>
      <c r="N7936" s="345" t="s">
        <v>207</v>
      </c>
      <c r="O7936" s="345" t="s">
        <v>208</v>
      </c>
      <c r="P7936" s="345" t="s">
        <v>209</v>
      </c>
      <c r="Q7936" s="345" t="s">
        <v>210</v>
      </c>
      <c r="R7936" s="345" t="s">
        <v>223</v>
      </c>
      <c r="S7936" s="345" t="s">
        <v>224</v>
      </c>
    </row>
    <row r="7937" spans="1:19" x14ac:dyDescent="0.25">
      <c r="A7937" s="311"/>
      <c r="B7937" s="312"/>
      <c r="C7937" s="312"/>
      <c r="D7937" s="312"/>
      <c r="E7937" s="312"/>
      <c r="F7937" s="312"/>
      <c r="G7937" s="328"/>
      <c r="H7937" s="453"/>
      <c r="I7937" s="334"/>
      <c r="J7937" s="314"/>
      <c r="K7937" s="454"/>
      <c r="M7937" s="349" t="str">
        <f>N7937&amp;AS[[#This Row],[Insurer Code]]&amp;"; "&amp;O7937&amp;AS[[#This Row],[Reporting Year]]&amp;"; "&amp;P7937&amp;AS[[#This Row],[Insurance Category Code]]&amp;"; "&amp;Q7937&amp;AS[[#This Row],[Large Provider Entity Code]]&amp;"; "&amp;R7937&amp;AS[[#This Row],[Age Band Code]]&amp;"; "&amp;S7937&amp;AS[[#This Row],[Sex Code]]</f>
        <v xml:space="preserve">Insurer Code ; Reporting Year ; Insurance Category Code ; Large Provider Entity Code ; Age Band Code ; Sex Code </v>
      </c>
      <c r="N7937" s="345" t="s">
        <v>207</v>
      </c>
      <c r="O7937" s="345" t="s">
        <v>208</v>
      </c>
      <c r="P7937" s="345" t="s">
        <v>209</v>
      </c>
      <c r="Q7937" s="345" t="s">
        <v>210</v>
      </c>
      <c r="R7937" s="345" t="s">
        <v>223</v>
      </c>
      <c r="S7937" s="345" t="s">
        <v>224</v>
      </c>
    </row>
    <row r="7938" spans="1:19" x14ac:dyDescent="0.25">
      <c r="A7938" s="311"/>
      <c r="B7938" s="312"/>
      <c r="C7938" s="312"/>
      <c r="D7938" s="312"/>
      <c r="E7938" s="312"/>
      <c r="F7938" s="312"/>
      <c r="G7938" s="328"/>
      <c r="H7938" s="453"/>
      <c r="I7938" s="334"/>
      <c r="J7938" s="314"/>
      <c r="K7938" s="454"/>
      <c r="M7938" s="349" t="str">
        <f>N7938&amp;AS[[#This Row],[Insurer Code]]&amp;"; "&amp;O7938&amp;AS[[#This Row],[Reporting Year]]&amp;"; "&amp;P7938&amp;AS[[#This Row],[Insurance Category Code]]&amp;"; "&amp;Q7938&amp;AS[[#This Row],[Large Provider Entity Code]]&amp;"; "&amp;R7938&amp;AS[[#This Row],[Age Band Code]]&amp;"; "&amp;S7938&amp;AS[[#This Row],[Sex Code]]</f>
        <v xml:space="preserve">Insurer Code ; Reporting Year ; Insurance Category Code ; Large Provider Entity Code ; Age Band Code ; Sex Code </v>
      </c>
      <c r="N7938" s="345" t="s">
        <v>207</v>
      </c>
      <c r="O7938" s="345" t="s">
        <v>208</v>
      </c>
      <c r="P7938" s="345" t="s">
        <v>209</v>
      </c>
      <c r="Q7938" s="345" t="s">
        <v>210</v>
      </c>
      <c r="R7938" s="345" t="s">
        <v>223</v>
      </c>
      <c r="S7938" s="345" t="s">
        <v>224</v>
      </c>
    </row>
    <row r="7939" spans="1:19" x14ac:dyDescent="0.25">
      <c r="A7939" s="311"/>
      <c r="B7939" s="312"/>
      <c r="C7939" s="312"/>
      <c r="D7939" s="312"/>
      <c r="E7939" s="312"/>
      <c r="F7939" s="312"/>
      <c r="G7939" s="328"/>
      <c r="H7939" s="453"/>
      <c r="I7939" s="334"/>
      <c r="J7939" s="314"/>
      <c r="K7939" s="454"/>
      <c r="M7939" s="349" t="str">
        <f>N7939&amp;AS[[#This Row],[Insurer Code]]&amp;"; "&amp;O7939&amp;AS[[#This Row],[Reporting Year]]&amp;"; "&amp;P7939&amp;AS[[#This Row],[Insurance Category Code]]&amp;"; "&amp;Q7939&amp;AS[[#This Row],[Large Provider Entity Code]]&amp;"; "&amp;R7939&amp;AS[[#This Row],[Age Band Code]]&amp;"; "&amp;S7939&amp;AS[[#This Row],[Sex Code]]</f>
        <v xml:space="preserve">Insurer Code ; Reporting Year ; Insurance Category Code ; Large Provider Entity Code ; Age Band Code ; Sex Code </v>
      </c>
      <c r="N7939" s="345" t="s">
        <v>207</v>
      </c>
      <c r="O7939" s="345" t="s">
        <v>208</v>
      </c>
      <c r="P7939" s="345" t="s">
        <v>209</v>
      </c>
      <c r="Q7939" s="345" t="s">
        <v>210</v>
      </c>
      <c r="R7939" s="345" t="s">
        <v>223</v>
      </c>
      <c r="S7939" s="345" t="s">
        <v>224</v>
      </c>
    </row>
    <row r="7940" spans="1:19" x14ac:dyDescent="0.25">
      <c r="A7940" s="311"/>
      <c r="B7940" s="312"/>
      <c r="C7940" s="312"/>
      <c r="D7940" s="312"/>
      <c r="E7940" s="312"/>
      <c r="F7940" s="312"/>
      <c r="G7940" s="328"/>
      <c r="H7940" s="453"/>
      <c r="I7940" s="334"/>
      <c r="J7940" s="314"/>
      <c r="K7940" s="454"/>
      <c r="M7940" s="349" t="str">
        <f>N7940&amp;AS[[#This Row],[Insurer Code]]&amp;"; "&amp;O7940&amp;AS[[#This Row],[Reporting Year]]&amp;"; "&amp;P7940&amp;AS[[#This Row],[Insurance Category Code]]&amp;"; "&amp;Q7940&amp;AS[[#This Row],[Large Provider Entity Code]]&amp;"; "&amp;R7940&amp;AS[[#This Row],[Age Band Code]]&amp;"; "&amp;S7940&amp;AS[[#This Row],[Sex Code]]</f>
        <v xml:space="preserve">Insurer Code ; Reporting Year ; Insurance Category Code ; Large Provider Entity Code ; Age Band Code ; Sex Code </v>
      </c>
      <c r="N7940" s="345" t="s">
        <v>207</v>
      </c>
      <c r="O7940" s="345" t="s">
        <v>208</v>
      </c>
      <c r="P7940" s="345" t="s">
        <v>209</v>
      </c>
      <c r="Q7940" s="345" t="s">
        <v>210</v>
      </c>
      <c r="R7940" s="345" t="s">
        <v>223</v>
      </c>
      <c r="S7940" s="345" t="s">
        <v>224</v>
      </c>
    </row>
    <row r="7941" spans="1:19" x14ac:dyDescent="0.25">
      <c r="A7941" s="311"/>
      <c r="B7941" s="312"/>
      <c r="C7941" s="312"/>
      <c r="D7941" s="312"/>
      <c r="E7941" s="312"/>
      <c r="F7941" s="312"/>
      <c r="G7941" s="328"/>
      <c r="H7941" s="453"/>
      <c r="I7941" s="334"/>
      <c r="J7941" s="314"/>
      <c r="K7941" s="454"/>
      <c r="M7941" s="349" t="str">
        <f>N7941&amp;AS[[#This Row],[Insurer Code]]&amp;"; "&amp;O7941&amp;AS[[#This Row],[Reporting Year]]&amp;"; "&amp;P7941&amp;AS[[#This Row],[Insurance Category Code]]&amp;"; "&amp;Q7941&amp;AS[[#This Row],[Large Provider Entity Code]]&amp;"; "&amp;R7941&amp;AS[[#This Row],[Age Band Code]]&amp;"; "&amp;S7941&amp;AS[[#This Row],[Sex Code]]</f>
        <v xml:space="preserve">Insurer Code ; Reporting Year ; Insurance Category Code ; Large Provider Entity Code ; Age Band Code ; Sex Code </v>
      </c>
      <c r="N7941" s="345" t="s">
        <v>207</v>
      </c>
      <c r="O7941" s="345" t="s">
        <v>208</v>
      </c>
      <c r="P7941" s="345" t="s">
        <v>209</v>
      </c>
      <c r="Q7941" s="345" t="s">
        <v>210</v>
      </c>
      <c r="R7941" s="345" t="s">
        <v>223</v>
      </c>
      <c r="S7941" s="345" t="s">
        <v>224</v>
      </c>
    </row>
    <row r="7942" spans="1:19" x14ac:dyDescent="0.25">
      <c r="A7942" s="311"/>
      <c r="B7942" s="312"/>
      <c r="C7942" s="312"/>
      <c r="D7942" s="312"/>
      <c r="E7942" s="312"/>
      <c r="F7942" s="312"/>
      <c r="G7942" s="328"/>
      <c r="H7942" s="453"/>
      <c r="I7942" s="334"/>
      <c r="J7942" s="314"/>
      <c r="K7942" s="454"/>
      <c r="M7942" s="349" t="str">
        <f>N7942&amp;AS[[#This Row],[Insurer Code]]&amp;"; "&amp;O7942&amp;AS[[#This Row],[Reporting Year]]&amp;"; "&amp;P7942&amp;AS[[#This Row],[Insurance Category Code]]&amp;"; "&amp;Q7942&amp;AS[[#This Row],[Large Provider Entity Code]]&amp;"; "&amp;R7942&amp;AS[[#This Row],[Age Band Code]]&amp;"; "&amp;S7942&amp;AS[[#This Row],[Sex Code]]</f>
        <v xml:space="preserve">Insurer Code ; Reporting Year ; Insurance Category Code ; Large Provider Entity Code ; Age Band Code ; Sex Code </v>
      </c>
      <c r="N7942" s="345" t="s">
        <v>207</v>
      </c>
      <c r="O7942" s="345" t="s">
        <v>208</v>
      </c>
      <c r="P7942" s="345" t="s">
        <v>209</v>
      </c>
      <c r="Q7942" s="345" t="s">
        <v>210</v>
      </c>
      <c r="R7942" s="345" t="s">
        <v>223</v>
      </c>
      <c r="S7942" s="345" t="s">
        <v>224</v>
      </c>
    </row>
    <row r="7943" spans="1:19" x14ac:dyDescent="0.25">
      <c r="A7943" s="311"/>
      <c r="B7943" s="312"/>
      <c r="C7943" s="312"/>
      <c r="D7943" s="312"/>
      <c r="E7943" s="312"/>
      <c r="F7943" s="312"/>
      <c r="G7943" s="328"/>
      <c r="H7943" s="453"/>
      <c r="I7943" s="334"/>
      <c r="J7943" s="314"/>
      <c r="K7943" s="454"/>
      <c r="M7943" s="349" t="str">
        <f>N7943&amp;AS[[#This Row],[Insurer Code]]&amp;"; "&amp;O7943&amp;AS[[#This Row],[Reporting Year]]&amp;"; "&amp;P7943&amp;AS[[#This Row],[Insurance Category Code]]&amp;"; "&amp;Q7943&amp;AS[[#This Row],[Large Provider Entity Code]]&amp;"; "&amp;R7943&amp;AS[[#This Row],[Age Band Code]]&amp;"; "&amp;S7943&amp;AS[[#This Row],[Sex Code]]</f>
        <v xml:space="preserve">Insurer Code ; Reporting Year ; Insurance Category Code ; Large Provider Entity Code ; Age Band Code ; Sex Code </v>
      </c>
      <c r="N7943" s="345" t="s">
        <v>207</v>
      </c>
      <c r="O7943" s="345" t="s">
        <v>208</v>
      </c>
      <c r="P7943" s="345" t="s">
        <v>209</v>
      </c>
      <c r="Q7943" s="345" t="s">
        <v>210</v>
      </c>
      <c r="R7943" s="345" t="s">
        <v>223</v>
      </c>
      <c r="S7943" s="345" t="s">
        <v>224</v>
      </c>
    </row>
    <row r="7944" spans="1:19" x14ac:dyDescent="0.25">
      <c r="A7944" s="311"/>
      <c r="B7944" s="312"/>
      <c r="C7944" s="312"/>
      <c r="D7944" s="312"/>
      <c r="E7944" s="312"/>
      <c r="F7944" s="312"/>
      <c r="G7944" s="328"/>
      <c r="H7944" s="453"/>
      <c r="I7944" s="334"/>
      <c r="J7944" s="314"/>
      <c r="K7944" s="454"/>
      <c r="M7944" s="349" t="str">
        <f>N7944&amp;AS[[#This Row],[Insurer Code]]&amp;"; "&amp;O7944&amp;AS[[#This Row],[Reporting Year]]&amp;"; "&amp;P7944&amp;AS[[#This Row],[Insurance Category Code]]&amp;"; "&amp;Q7944&amp;AS[[#This Row],[Large Provider Entity Code]]&amp;"; "&amp;R7944&amp;AS[[#This Row],[Age Band Code]]&amp;"; "&amp;S7944&amp;AS[[#This Row],[Sex Code]]</f>
        <v xml:space="preserve">Insurer Code ; Reporting Year ; Insurance Category Code ; Large Provider Entity Code ; Age Band Code ; Sex Code </v>
      </c>
      <c r="N7944" s="345" t="s">
        <v>207</v>
      </c>
      <c r="O7944" s="345" t="s">
        <v>208</v>
      </c>
      <c r="P7944" s="345" t="s">
        <v>209</v>
      </c>
      <c r="Q7944" s="345" t="s">
        <v>210</v>
      </c>
      <c r="R7944" s="345" t="s">
        <v>223</v>
      </c>
      <c r="S7944" s="345" t="s">
        <v>224</v>
      </c>
    </row>
    <row r="7945" spans="1:19" x14ac:dyDescent="0.25">
      <c r="A7945" s="311"/>
      <c r="B7945" s="312"/>
      <c r="C7945" s="312"/>
      <c r="D7945" s="312"/>
      <c r="E7945" s="312"/>
      <c r="F7945" s="312"/>
      <c r="G7945" s="328"/>
      <c r="H7945" s="453"/>
      <c r="I7945" s="334"/>
      <c r="J7945" s="314"/>
      <c r="K7945" s="454"/>
      <c r="M7945" s="349" t="str">
        <f>N7945&amp;AS[[#This Row],[Insurer Code]]&amp;"; "&amp;O7945&amp;AS[[#This Row],[Reporting Year]]&amp;"; "&amp;P7945&amp;AS[[#This Row],[Insurance Category Code]]&amp;"; "&amp;Q7945&amp;AS[[#This Row],[Large Provider Entity Code]]&amp;"; "&amp;R7945&amp;AS[[#This Row],[Age Band Code]]&amp;"; "&amp;S7945&amp;AS[[#This Row],[Sex Code]]</f>
        <v xml:space="preserve">Insurer Code ; Reporting Year ; Insurance Category Code ; Large Provider Entity Code ; Age Band Code ; Sex Code </v>
      </c>
      <c r="N7945" s="345" t="s">
        <v>207</v>
      </c>
      <c r="O7945" s="345" t="s">
        <v>208</v>
      </c>
      <c r="P7945" s="345" t="s">
        <v>209</v>
      </c>
      <c r="Q7945" s="345" t="s">
        <v>210</v>
      </c>
      <c r="R7945" s="345" t="s">
        <v>223</v>
      </c>
      <c r="S7945" s="345" t="s">
        <v>224</v>
      </c>
    </row>
    <row r="7946" spans="1:19" x14ac:dyDescent="0.25">
      <c r="A7946" s="311"/>
      <c r="B7946" s="312"/>
      <c r="C7946" s="312"/>
      <c r="D7946" s="312"/>
      <c r="E7946" s="312"/>
      <c r="F7946" s="312"/>
      <c r="G7946" s="328"/>
      <c r="H7946" s="453"/>
      <c r="I7946" s="334"/>
      <c r="J7946" s="314"/>
      <c r="K7946" s="454"/>
      <c r="M7946" s="349" t="str">
        <f>N7946&amp;AS[[#This Row],[Insurer Code]]&amp;"; "&amp;O7946&amp;AS[[#This Row],[Reporting Year]]&amp;"; "&amp;P7946&amp;AS[[#This Row],[Insurance Category Code]]&amp;"; "&amp;Q7946&amp;AS[[#This Row],[Large Provider Entity Code]]&amp;"; "&amp;R7946&amp;AS[[#This Row],[Age Band Code]]&amp;"; "&amp;S7946&amp;AS[[#This Row],[Sex Code]]</f>
        <v xml:space="preserve">Insurer Code ; Reporting Year ; Insurance Category Code ; Large Provider Entity Code ; Age Band Code ; Sex Code </v>
      </c>
      <c r="N7946" s="345" t="s">
        <v>207</v>
      </c>
      <c r="O7946" s="345" t="s">
        <v>208</v>
      </c>
      <c r="P7946" s="345" t="s">
        <v>209</v>
      </c>
      <c r="Q7946" s="345" t="s">
        <v>210</v>
      </c>
      <c r="R7946" s="345" t="s">
        <v>223</v>
      </c>
      <c r="S7946" s="345" t="s">
        <v>224</v>
      </c>
    </row>
    <row r="7947" spans="1:19" x14ac:dyDescent="0.25">
      <c r="A7947" s="311"/>
      <c r="B7947" s="312"/>
      <c r="C7947" s="312"/>
      <c r="D7947" s="312"/>
      <c r="E7947" s="312"/>
      <c r="F7947" s="312"/>
      <c r="G7947" s="328"/>
      <c r="H7947" s="453"/>
      <c r="I7947" s="334"/>
      <c r="J7947" s="314"/>
      <c r="K7947" s="454"/>
      <c r="M7947" s="349" t="str">
        <f>N7947&amp;AS[[#This Row],[Insurer Code]]&amp;"; "&amp;O7947&amp;AS[[#This Row],[Reporting Year]]&amp;"; "&amp;P7947&amp;AS[[#This Row],[Insurance Category Code]]&amp;"; "&amp;Q7947&amp;AS[[#This Row],[Large Provider Entity Code]]&amp;"; "&amp;R7947&amp;AS[[#This Row],[Age Band Code]]&amp;"; "&amp;S7947&amp;AS[[#This Row],[Sex Code]]</f>
        <v xml:space="preserve">Insurer Code ; Reporting Year ; Insurance Category Code ; Large Provider Entity Code ; Age Band Code ; Sex Code </v>
      </c>
      <c r="N7947" s="345" t="s">
        <v>207</v>
      </c>
      <c r="O7947" s="345" t="s">
        <v>208</v>
      </c>
      <c r="P7947" s="345" t="s">
        <v>209</v>
      </c>
      <c r="Q7947" s="345" t="s">
        <v>210</v>
      </c>
      <c r="R7947" s="345" t="s">
        <v>223</v>
      </c>
      <c r="S7947" s="345" t="s">
        <v>224</v>
      </c>
    </row>
    <row r="7948" spans="1:19" x14ac:dyDescent="0.25">
      <c r="A7948" s="311"/>
      <c r="B7948" s="312"/>
      <c r="C7948" s="312"/>
      <c r="D7948" s="312"/>
      <c r="E7948" s="312"/>
      <c r="F7948" s="312"/>
      <c r="G7948" s="328"/>
      <c r="H7948" s="453"/>
      <c r="I7948" s="334"/>
      <c r="J7948" s="314"/>
      <c r="K7948" s="454"/>
      <c r="M7948" s="349" t="str">
        <f>N7948&amp;AS[[#This Row],[Insurer Code]]&amp;"; "&amp;O7948&amp;AS[[#This Row],[Reporting Year]]&amp;"; "&amp;P7948&amp;AS[[#This Row],[Insurance Category Code]]&amp;"; "&amp;Q7948&amp;AS[[#This Row],[Large Provider Entity Code]]&amp;"; "&amp;R7948&amp;AS[[#This Row],[Age Band Code]]&amp;"; "&amp;S7948&amp;AS[[#This Row],[Sex Code]]</f>
        <v xml:space="preserve">Insurer Code ; Reporting Year ; Insurance Category Code ; Large Provider Entity Code ; Age Band Code ; Sex Code </v>
      </c>
      <c r="N7948" s="345" t="s">
        <v>207</v>
      </c>
      <c r="O7948" s="345" t="s">
        <v>208</v>
      </c>
      <c r="P7948" s="345" t="s">
        <v>209</v>
      </c>
      <c r="Q7948" s="345" t="s">
        <v>210</v>
      </c>
      <c r="R7948" s="345" t="s">
        <v>223</v>
      </c>
      <c r="S7948" s="345" t="s">
        <v>224</v>
      </c>
    </row>
    <row r="7949" spans="1:19" x14ac:dyDescent="0.25">
      <c r="A7949" s="311"/>
      <c r="B7949" s="312"/>
      <c r="C7949" s="312"/>
      <c r="D7949" s="312"/>
      <c r="E7949" s="312"/>
      <c r="F7949" s="312"/>
      <c r="G7949" s="328"/>
      <c r="H7949" s="453"/>
      <c r="I7949" s="334"/>
      <c r="J7949" s="314"/>
      <c r="K7949" s="454"/>
      <c r="M7949" s="349" t="str">
        <f>N7949&amp;AS[[#This Row],[Insurer Code]]&amp;"; "&amp;O7949&amp;AS[[#This Row],[Reporting Year]]&amp;"; "&amp;P7949&amp;AS[[#This Row],[Insurance Category Code]]&amp;"; "&amp;Q7949&amp;AS[[#This Row],[Large Provider Entity Code]]&amp;"; "&amp;R7949&amp;AS[[#This Row],[Age Band Code]]&amp;"; "&amp;S7949&amp;AS[[#This Row],[Sex Code]]</f>
        <v xml:space="preserve">Insurer Code ; Reporting Year ; Insurance Category Code ; Large Provider Entity Code ; Age Band Code ; Sex Code </v>
      </c>
      <c r="N7949" s="345" t="s">
        <v>207</v>
      </c>
      <c r="O7949" s="345" t="s">
        <v>208</v>
      </c>
      <c r="P7949" s="345" t="s">
        <v>209</v>
      </c>
      <c r="Q7949" s="345" t="s">
        <v>210</v>
      </c>
      <c r="R7949" s="345" t="s">
        <v>223</v>
      </c>
      <c r="S7949" s="345" t="s">
        <v>224</v>
      </c>
    </row>
    <row r="7950" spans="1:19" x14ac:dyDescent="0.25">
      <c r="A7950" s="311"/>
      <c r="B7950" s="312"/>
      <c r="C7950" s="312"/>
      <c r="D7950" s="312"/>
      <c r="E7950" s="312"/>
      <c r="F7950" s="312"/>
      <c r="G7950" s="328"/>
      <c r="H7950" s="453"/>
      <c r="I7950" s="334"/>
      <c r="J7950" s="314"/>
      <c r="K7950" s="454"/>
      <c r="M7950" s="349" t="str">
        <f>N7950&amp;AS[[#This Row],[Insurer Code]]&amp;"; "&amp;O7950&amp;AS[[#This Row],[Reporting Year]]&amp;"; "&amp;P7950&amp;AS[[#This Row],[Insurance Category Code]]&amp;"; "&amp;Q7950&amp;AS[[#This Row],[Large Provider Entity Code]]&amp;"; "&amp;R7950&amp;AS[[#This Row],[Age Band Code]]&amp;"; "&amp;S7950&amp;AS[[#This Row],[Sex Code]]</f>
        <v xml:space="preserve">Insurer Code ; Reporting Year ; Insurance Category Code ; Large Provider Entity Code ; Age Band Code ; Sex Code </v>
      </c>
      <c r="N7950" s="345" t="s">
        <v>207</v>
      </c>
      <c r="O7950" s="345" t="s">
        <v>208</v>
      </c>
      <c r="P7950" s="345" t="s">
        <v>209</v>
      </c>
      <c r="Q7950" s="345" t="s">
        <v>210</v>
      </c>
      <c r="R7950" s="345" t="s">
        <v>223</v>
      </c>
      <c r="S7950" s="345" t="s">
        <v>224</v>
      </c>
    </row>
    <row r="7951" spans="1:19" x14ac:dyDescent="0.25">
      <c r="A7951" s="311"/>
      <c r="B7951" s="312"/>
      <c r="C7951" s="312"/>
      <c r="D7951" s="312"/>
      <c r="E7951" s="312"/>
      <c r="F7951" s="312"/>
      <c r="G7951" s="328"/>
      <c r="H7951" s="453"/>
      <c r="I7951" s="334"/>
      <c r="J7951" s="314"/>
      <c r="K7951" s="454"/>
      <c r="M7951" s="349" t="str">
        <f>N7951&amp;AS[[#This Row],[Insurer Code]]&amp;"; "&amp;O7951&amp;AS[[#This Row],[Reporting Year]]&amp;"; "&amp;P7951&amp;AS[[#This Row],[Insurance Category Code]]&amp;"; "&amp;Q7951&amp;AS[[#This Row],[Large Provider Entity Code]]&amp;"; "&amp;R7951&amp;AS[[#This Row],[Age Band Code]]&amp;"; "&amp;S7951&amp;AS[[#This Row],[Sex Code]]</f>
        <v xml:space="preserve">Insurer Code ; Reporting Year ; Insurance Category Code ; Large Provider Entity Code ; Age Band Code ; Sex Code </v>
      </c>
      <c r="N7951" s="345" t="s">
        <v>207</v>
      </c>
      <c r="O7951" s="345" t="s">
        <v>208</v>
      </c>
      <c r="P7951" s="345" t="s">
        <v>209</v>
      </c>
      <c r="Q7951" s="345" t="s">
        <v>210</v>
      </c>
      <c r="R7951" s="345" t="s">
        <v>223</v>
      </c>
      <c r="S7951" s="345" t="s">
        <v>224</v>
      </c>
    </row>
    <row r="7952" spans="1:19" x14ac:dyDescent="0.25">
      <c r="A7952" s="311"/>
      <c r="B7952" s="312"/>
      <c r="C7952" s="312"/>
      <c r="D7952" s="312"/>
      <c r="E7952" s="312"/>
      <c r="F7952" s="312"/>
      <c r="G7952" s="328"/>
      <c r="H7952" s="453"/>
      <c r="I7952" s="334"/>
      <c r="J7952" s="314"/>
      <c r="K7952" s="454"/>
      <c r="M7952" s="349" t="str">
        <f>N7952&amp;AS[[#This Row],[Insurer Code]]&amp;"; "&amp;O7952&amp;AS[[#This Row],[Reporting Year]]&amp;"; "&amp;P7952&amp;AS[[#This Row],[Insurance Category Code]]&amp;"; "&amp;Q7952&amp;AS[[#This Row],[Large Provider Entity Code]]&amp;"; "&amp;R7952&amp;AS[[#This Row],[Age Band Code]]&amp;"; "&amp;S7952&amp;AS[[#This Row],[Sex Code]]</f>
        <v xml:space="preserve">Insurer Code ; Reporting Year ; Insurance Category Code ; Large Provider Entity Code ; Age Band Code ; Sex Code </v>
      </c>
      <c r="N7952" s="345" t="s">
        <v>207</v>
      </c>
      <c r="O7952" s="345" t="s">
        <v>208</v>
      </c>
      <c r="P7952" s="345" t="s">
        <v>209</v>
      </c>
      <c r="Q7952" s="345" t="s">
        <v>210</v>
      </c>
      <c r="R7952" s="345" t="s">
        <v>223</v>
      </c>
      <c r="S7952" s="345" t="s">
        <v>224</v>
      </c>
    </row>
    <row r="7953" spans="1:19" x14ac:dyDescent="0.25">
      <c r="A7953" s="311"/>
      <c r="B7953" s="312"/>
      <c r="C7953" s="312"/>
      <c r="D7953" s="312"/>
      <c r="E7953" s="312"/>
      <c r="F7953" s="312"/>
      <c r="G7953" s="328"/>
      <c r="H7953" s="453"/>
      <c r="I7953" s="334"/>
      <c r="J7953" s="314"/>
      <c r="K7953" s="454"/>
      <c r="M7953" s="349" t="str">
        <f>N7953&amp;AS[[#This Row],[Insurer Code]]&amp;"; "&amp;O7953&amp;AS[[#This Row],[Reporting Year]]&amp;"; "&amp;P7953&amp;AS[[#This Row],[Insurance Category Code]]&amp;"; "&amp;Q7953&amp;AS[[#This Row],[Large Provider Entity Code]]&amp;"; "&amp;R7953&amp;AS[[#This Row],[Age Band Code]]&amp;"; "&amp;S7953&amp;AS[[#This Row],[Sex Code]]</f>
        <v xml:space="preserve">Insurer Code ; Reporting Year ; Insurance Category Code ; Large Provider Entity Code ; Age Band Code ; Sex Code </v>
      </c>
      <c r="N7953" s="345" t="s">
        <v>207</v>
      </c>
      <c r="O7953" s="345" t="s">
        <v>208</v>
      </c>
      <c r="P7953" s="345" t="s">
        <v>209</v>
      </c>
      <c r="Q7953" s="345" t="s">
        <v>210</v>
      </c>
      <c r="R7953" s="345" t="s">
        <v>223</v>
      </c>
      <c r="S7953" s="345" t="s">
        <v>224</v>
      </c>
    </row>
    <row r="7954" spans="1:19" x14ac:dyDescent="0.25">
      <c r="A7954" s="311"/>
      <c r="B7954" s="312"/>
      <c r="C7954" s="312"/>
      <c r="D7954" s="312"/>
      <c r="E7954" s="312"/>
      <c r="F7954" s="312"/>
      <c r="G7954" s="328"/>
      <c r="H7954" s="453"/>
      <c r="I7954" s="334"/>
      <c r="J7954" s="314"/>
      <c r="K7954" s="454"/>
      <c r="M7954" s="349" t="str">
        <f>N7954&amp;AS[[#This Row],[Insurer Code]]&amp;"; "&amp;O7954&amp;AS[[#This Row],[Reporting Year]]&amp;"; "&amp;P7954&amp;AS[[#This Row],[Insurance Category Code]]&amp;"; "&amp;Q7954&amp;AS[[#This Row],[Large Provider Entity Code]]&amp;"; "&amp;R7954&amp;AS[[#This Row],[Age Band Code]]&amp;"; "&amp;S7954&amp;AS[[#This Row],[Sex Code]]</f>
        <v xml:space="preserve">Insurer Code ; Reporting Year ; Insurance Category Code ; Large Provider Entity Code ; Age Band Code ; Sex Code </v>
      </c>
      <c r="N7954" s="345" t="s">
        <v>207</v>
      </c>
      <c r="O7954" s="345" t="s">
        <v>208</v>
      </c>
      <c r="P7954" s="345" t="s">
        <v>209</v>
      </c>
      <c r="Q7954" s="345" t="s">
        <v>210</v>
      </c>
      <c r="R7954" s="345" t="s">
        <v>223</v>
      </c>
      <c r="S7954" s="345" t="s">
        <v>224</v>
      </c>
    </row>
    <row r="7955" spans="1:19" x14ac:dyDescent="0.25">
      <c r="A7955" s="311"/>
      <c r="B7955" s="312"/>
      <c r="C7955" s="312"/>
      <c r="D7955" s="312"/>
      <c r="E7955" s="312"/>
      <c r="F7955" s="312"/>
      <c r="G7955" s="328"/>
      <c r="H7955" s="453"/>
      <c r="I7955" s="334"/>
      <c r="J7955" s="314"/>
      <c r="K7955" s="454"/>
      <c r="M7955" s="349" t="str">
        <f>N7955&amp;AS[[#This Row],[Insurer Code]]&amp;"; "&amp;O7955&amp;AS[[#This Row],[Reporting Year]]&amp;"; "&amp;P7955&amp;AS[[#This Row],[Insurance Category Code]]&amp;"; "&amp;Q7955&amp;AS[[#This Row],[Large Provider Entity Code]]&amp;"; "&amp;R7955&amp;AS[[#This Row],[Age Band Code]]&amp;"; "&amp;S7955&amp;AS[[#This Row],[Sex Code]]</f>
        <v xml:space="preserve">Insurer Code ; Reporting Year ; Insurance Category Code ; Large Provider Entity Code ; Age Band Code ; Sex Code </v>
      </c>
      <c r="N7955" s="345" t="s">
        <v>207</v>
      </c>
      <c r="O7955" s="345" t="s">
        <v>208</v>
      </c>
      <c r="P7955" s="345" t="s">
        <v>209</v>
      </c>
      <c r="Q7955" s="345" t="s">
        <v>210</v>
      </c>
      <c r="R7955" s="345" t="s">
        <v>223</v>
      </c>
      <c r="S7955" s="345" t="s">
        <v>224</v>
      </c>
    </row>
    <row r="7956" spans="1:19" x14ac:dyDescent="0.25">
      <c r="A7956" s="311"/>
      <c r="B7956" s="312"/>
      <c r="C7956" s="312"/>
      <c r="D7956" s="312"/>
      <c r="E7956" s="312"/>
      <c r="F7956" s="312"/>
      <c r="G7956" s="328"/>
      <c r="H7956" s="453"/>
      <c r="I7956" s="334"/>
      <c r="J7956" s="314"/>
      <c r="K7956" s="454"/>
      <c r="M7956" s="349" t="str">
        <f>N7956&amp;AS[[#This Row],[Insurer Code]]&amp;"; "&amp;O7956&amp;AS[[#This Row],[Reporting Year]]&amp;"; "&amp;P7956&amp;AS[[#This Row],[Insurance Category Code]]&amp;"; "&amp;Q7956&amp;AS[[#This Row],[Large Provider Entity Code]]&amp;"; "&amp;R7956&amp;AS[[#This Row],[Age Band Code]]&amp;"; "&amp;S7956&amp;AS[[#This Row],[Sex Code]]</f>
        <v xml:space="preserve">Insurer Code ; Reporting Year ; Insurance Category Code ; Large Provider Entity Code ; Age Band Code ; Sex Code </v>
      </c>
      <c r="N7956" s="345" t="s">
        <v>207</v>
      </c>
      <c r="O7956" s="345" t="s">
        <v>208</v>
      </c>
      <c r="P7956" s="345" t="s">
        <v>209</v>
      </c>
      <c r="Q7956" s="345" t="s">
        <v>210</v>
      </c>
      <c r="R7956" s="345" t="s">
        <v>223</v>
      </c>
      <c r="S7956" s="345" t="s">
        <v>224</v>
      </c>
    </row>
    <row r="7957" spans="1:19" x14ac:dyDescent="0.25">
      <c r="A7957" s="311"/>
      <c r="B7957" s="312"/>
      <c r="C7957" s="312"/>
      <c r="D7957" s="312"/>
      <c r="E7957" s="312"/>
      <c r="F7957" s="312"/>
      <c r="G7957" s="328"/>
      <c r="H7957" s="453"/>
      <c r="I7957" s="334"/>
      <c r="J7957" s="314"/>
      <c r="K7957" s="454"/>
      <c r="M7957" s="349" t="str">
        <f>N7957&amp;AS[[#This Row],[Insurer Code]]&amp;"; "&amp;O7957&amp;AS[[#This Row],[Reporting Year]]&amp;"; "&amp;P7957&amp;AS[[#This Row],[Insurance Category Code]]&amp;"; "&amp;Q7957&amp;AS[[#This Row],[Large Provider Entity Code]]&amp;"; "&amp;R7957&amp;AS[[#This Row],[Age Band Code]]&amp;"; "&amp;S7957&amp;AS[[#This Row],[Sex Code]]</f>
        <v xml:space="preserve">Insurer Code ; Reporting Year ; Insurance Category Code ; Large Provider Entity Code ; Age Band Code ; Sex Code </v>
      </c>
      <c r="N7957" s="345" t="s">
        <v>207</v>
      </c>
      <c r="O7957" s="345" t="s">
        <v>208</v>
      </c>
      <c r="P7957" s="345" t="s">
        <v>209</v>
      </c>
      <c r="Q7957" s="345" t="s">
        <v>210</v>
      </c>
      <c r="R7957" s="345" t="s">
        <v>223</v>
      </c>
      <c r="S7957" s="345" t="s">
        <v>224</v>
      </c>
    </row>
    <row r="7958" spans="1:19" x14ac:dyDescent="0.25">
      <c r="A7958" s="311"/>
      <c r="B7958" s="312"/>
      <c r="C7958" s="312"/>
      <c r="D7958" s="312"/>
      <c r="E7958" s="312"/>
      <c r="F7958" s="312"/>
      <c r="G7958" s="328"/>
      <c r="H7958" s="453"/>
      <c r="I7958" s="334"/>
      <c r="J7958" s="314"/>
      <c r="K7958" s="454"/>
      <c r="M7958" s="349" t="str">
        <f>N7958&amp;AS[[#This Row],[Insurer Code]]&amp;"; "&amp;O7958&amp;AS[[#This Row],[Reporting Year]]&amp;"; "&amp;P7958&amp;AS[[#This Row],[Insurance Category Code]]&amp;"; "&amp;Q7958&amp;AS[[#This Row],[Large Provider Entity Code]]&amp;"; "&amp;R7958&amp;AS[[#This Row],[Age Band Code]]&amp;"; "&amp;S7958&amp;AS[[#This Row],[Sex Code]]</f>
        <v xml:space="preserve">Insurer Code ; Reporting Year ; Insurance Category Code ; Large Provider Entity Code ; Age Band Code ; Sex Code </v>
      </c>
      <c r="N7958" s="345" t="s">
        <v>207</v>
      </c>
      <c r="O7958" s="345" t="s">
        <v>208</v>
      </c>
      <c r="P7958" s="345" t="s">
        <v>209</v>
      </c>
      <c r="Q7958" s="345" t="s">
        <v>210</v>
      </c>
      <c r="R7958" s="345" t="s">
        <v>223</v>
      </c>
      <c r="S7958" s="345" t="s">
        <v>224</v>
      </c>
    </row>
    <row r="7959" spans="1:19" x14ac:dyDescent="0.25">
      <c r="A7959" s="311"/>
      <c r="B7959" s="312"/>
      <c r="C7959" s="312"/>
      <c r="D7959" s="312"/>
      <c r="E7959" s="312"/>
      <c r="F7959" s="312"/>
      <c r="G7959" s="328"/>
      <c r="H7959" s="453"/>
      <c r="I7959" s="334"/>
      <c r="J7959" s="314"/>
      <c r="K7959" s="454"/>
      <c r="M7959" s="349" t="str">
        <f>N7959&amp;AS[[#This Row],[Insurer Code]]&amp;"; "&amp;O7959&amp;AS[[#This Row],[Reporting Year]]&amp;"; "&amp;P7959&amp;AS[[#This Row],[Insurance Category Code]]&amp;"; "&amp;Q7959&amp;AS[[#This Row],[Large Provider Entity Code]]&amp;"; "&amp;R7959&amp;AS[[#This Row],[Age Band Code]]&amp;"; "&amp;S7959&amp;AS[[#This Row],[Sex Code]]</f>
        <v xml:space="preserve">Insurer Code ; Reporting Year ; Insurance Category Code ; Large Provider Entity Code ; Age Band Code ; Sex Code </v>
      </c>
      <c r="N7959" s="345" t="s">
        <v>207</v>
      </c>
      <c r="O7959" s="345" t="s">
        <v>208</v>
      </c>
      <c r="P7959" s="345" t="s">
        <v>209</v>
      </c>
      <c r="Q7959" s="345" t="s">
        <v>210</v>
      </c>
      <c r="R7959" s="345" t="s">
        <v>223</v>
      </c>
      <c r="S7959" s="345" t="s">
        <v>224</v>
      </c>
    </row>
    <row r="7960" spans="1:19" x14ac:dyDescent="0.25">
      <c r="A7960" s="311"/>
      <c r="B7960" s="312"/>
      <c r="C7960" s="312"/>
      <c r="D7960" s="312"/>
      <c r="E7960" s="312"/>
      <c r="F7960" s="312"/>
      <c r="G7960" s="328"/>
      <c r="H7960" s="453"/>
      <c r="I7960" s="334"/>
      <c r="J7960" s="314"/>
      <c r="K7960" s="454"/>
      <c r="M7960" s="349" t="str">
        <f>N7960&amp;AS[[#This Row],[Insurer Code]]&amp;"; "&amp;O7960&amp;AS[[#This Row],[Reporting Year]]&amp;"; "&amp;P7960&amp;AS[[#This Row],[Insurance Category Code]]&amp;"; "&amp;Q7960&amp;AS[[#This Row],[Large Provider Entity Code]]&amp;"; "&amp;R7960&amp;AS[[#This Row],[Age Band Code]]&amp;"; "&amp;S7960&amp;AS[[#This Row],[Sex Code]]</f>
        <v xml:space="preserve">Insurer Code ; Reporting Year ; Insurance Category Code ; Large Provider Entity Code ; Age Band Code ; Sex Code </v>
      </c>
      <c r="N7960" s="345" t="s">
        <v>207</v>
      </c>
      <c r="O7960" s="345" t="s">
        <v>208</v>
      </c>
      <c r="P7960" s="345" t="s">
        <v>209</v>
      </c>
      <c r="Q7960" s="345" t="s">
        <v>210</v>
      </c>
      <c r="R7960" s="345" t="s">
        <v>223</v>
      </c>
      <c r="S7960" s="345" t="s">
        <v>224</v>
      </c>
    </row>
    <row r="7961" spans="1:19" x14ac:dyDescent="0.25">
      <c r="A7961" s="311"/>
      <c r="B7961" s="312"/>
      <c r="C7961" s="312"/>
      <c r="D7961" s="312"/>
      <c r="E7961" s="312"/>
      <c r="F7961" s="312"/>
      <c r="G7961" s="328"/>
      <c r="H7961" s="453"/>
      <c r="I7961" s="334"/>
      <c r="J7961" s="314"/>
      <c r="K7961" s="454"/>
      <c r="M7961" s="349" t="str">
        <f>N7961&amp;AS[[#This Row],[Insurer Code]]&amp;"; "&amp;O7961&amp;AS[[#This Row],[Reporting Year]]&amp;"; "&amp;P7961&amp;AS[[#This Row],[Insurance Category Code]]&amp;"; "&amp;Q7961&amp;AS[[#This Row],[Large Provider Entity Code]]&amp;"; "&amp;R7961&amp;AS[[#This Row],[Age Band Code]]&amp;"; "&amp;S7961&amp;AS[[#This Row],[Sex Code]]</f>
        <v xml:space="preserve">Insurer Code ; Reporting Year ; Insurance Category Code ; Large Provider Entity Code ; Age Band Code ; Sex Code </v>
      </c>
      <c r="N7961" s="345" t="s">
        <v>207</v>
      </c>
      <c r="O7961" s="345" t="s">
        <v>208</v>
      </c>
      <c r="P7961" s="345" t="s">
        <v>209</v>
      </c>
      <c r="Q7961" s="345" t="s">
        <v>210</v>
      </c>
      <c r="R7961" s="345" t="s">
        <v>223</v>
      </c>
      <c r="S7961" s="345" t="s">
        <v>224</v>
      </c>
    </row>
    <row r="7962" spans="1:19" x14ac:dyDescent="0.25">
      <c r="A7962" s="311"/>
      <c r="B7962" s="312"/>
      <c r="C7962" s="312"/>
      <c r="D7962" s="312"/>
      <c r="E7962" s="312"/>
      <c r="F7962" s="312"/>
      <c r="G7962" s="328"/>
      <c r="H7962" s="453"/>
      <c r="I7962" s="334"/>
      <c r="J7962" s="314"/>
      <c r="K7962" s="454"/>
      <c r="M7962" s="349" t="str">
        <f>N7962&amp;AS[[#This Row],[Insurer Code]]&amp;"; "&amp;O7962&amp;AS[[#This Row],[Reporting Year]]&amp;"; "&amp;P7962&amp;AS[[#This Row],[Insurance Category Code]]&amp;"; "&amp;Q7962&amp;AS[[#This Row],[Large Provider Entity Code]]&amp;"; "&amp;R7962&amp;AS[[#This Row],[Age Band Code]]&amp;"; "&amp;S7962&amp;AS[[#This Row],[Sex Code]]</f>
        <v xml:space="preserve">Insurer Code ; Reporting Year ; Insurance Category Code ; Large Provider Entity Code ; Age Band Code ; Sex Code </v>
      </c>
      <c r="N7962" s="345" t="s">
        <v>207</v>
      </c>
      <c r="O7962" s="345" t="s">
        <v>208</v>
      </c>
      <c r="P7962" s="345" t="s">
        <v>209</v>
      </c>
      <c r="Q7962" s="345" t="s">
        <v>210</v>
      </c>
      <c r="R7962" s="345" t="s">
        <v>223</v>
      </c>
      <c r="S7962" s="345" t="s">
        <v>224</v>
      </c>
    </row>
    <row r="7963" spans="1:19" x14ac:dyDescent="0.25">
      <c r="A7963" s="311"/>
      <c r="B7963" s="312"/>
      <c r="C7963" s="312"/>
      <c r="D7963" s="312"/>
      <c r="E7963" s="312"/>
      <c r="F7963" s="312"/>
      <c r="G7963" s="328"/>
      <c r="H7963" s="453"/>
      <c r="I7963" s="334"/>
      <c r="J7963" s="314"/>
      <c r="K7963" s="454"/>
      <c r="M7963" s="349" t="str">
        <f>N7963&amp;AS[[#This Row],[Insurer Code]]&amp;"; "&amp;O7963&amp;AS[[#This Row],[Reporting Year]]&amp;"; "&amp;P7963&amp;AS[[#This Row],[Insurance Category Code]]&amp;"; "&amp;Q7963&amp;AS[[#This Row],[Large Provider Entity Code]]&amp;"; "&amp;R7963&amp;AS[[#This Row],[Age Band Code]]&amp;"; "&amp;S7963&amp;AS[[#This Row],[Sex Code]]</f>
        <v xml:space="preserve">Insurer Code ; Reporting Year ; Insurance Category Code ; Large Provider Entity Code ; Age Band Code ; Sex Code </v>
      </c>
      <c r="N7963" s="345" t="s">
        <v>207</v>
      </c>
      <c r="O7963" s="345" t="s">
        <v>208</v>
      </c>
      <c r="P7963" s="345" t="s">
        <v>209</v>
      </c>
      <c r="Q7963" s="345" t="s">
        <v>210</v>
      </c>
      <c r="R7963" s="345" t="s">
        <v>223</v>
      </c>
      <c r="S7963" s="345" t="s">
        <v>224</v>
      </c>
    </row>
    <row r="7964" spans="1:19" x14ac:dyDescent="0.25">
      <c r="A7964" s="311"/>
      <c r="B7964" s="312"/>
      <c r="C7964" s="312"/>
      <c r="D7964" s="312"/>
      <c r="E7964" s="312"/>
      <c r="F7964" s="312"/>
      <c r="G7964" s="328"/>
      <c r="H7964" s="453"/>
      <c r="I7964" s="334"/>
      <c r="J7964" s="314"/>
      <c r="K7964" s="454"/>
      <c r="M7964" s="349" t="str">
        <f>N7964&amp;AS[[#This Row],[Insurer Code]]&amp;"; "&amp;O7964&amp;AS[[#This Row],[Reporting Year]]&amp;"; "&amp;P7964&amp;AS[[#This Row],[Insurance Category Code]]&amp;"; "&amp;Q7964&amp;AS[[#This Row],[Large Provider Entity Code]]&amp;"; "&amp;R7964&amp;AS[[#This Row],[Age Band Code]]&amp;"; "&amp;S7964&amp;AS[[#This Row],[Sex Code]]</f>
        <v xml:space="preserve">Insurer Code ; Reporting Year ; Insurance Category Code ; Large Provider Entity Code ; Age Band Code ; Sex Code </v>
      </c>
      <c r="N7964" s="345" t="s">
        <v>207</v>
      </c>
      <c r="O7964" s="345" t="s">
        <v>208</v>
      </c>
      <c r="P7964" s="345" t="s">
        <v>209</v>
      </c>
      <c r="Q7964" s="345" t="s">
        <v>210</v>
      </c>
      <c r="R7964" s="345" t="s">
        <v>223</v>
      </c>
      <c r="S7964" s="345" t="s">
        <v>224</v>
      </c>
    </row>
    <row r="7965" spans="1:19" x14ac:dyDescent="0.25">
      <c r="A7965" s="311"/>
      <c r="B7965" s="312"/>
      <c r="C7965" s="312"/>
      <c r="D7965" s="312"/>
      <c r="E7965" s="312"/>
      <c r="F7965" s="312"/>
      <c r="G7965" s="328"/>
      <c r="H7965" s="453"/>
      <c r="I7965" s="334"/>
      <c r="J7965" s="314"/>
      <c r="K7965" s="454"/>
      <c r="M7965" s="349" t="str">
        <f>N7965&amp;AS[[#This Row],[Insurer Code]]&amp;"; "&amp;O7965&amp;AS[[#This Row],[Reporting Year]]&amp;"; "&amp;P7965&amp;AS[[#This Row],[Insurance Category Code]]&amp;"; "&amp;Q7965&amp;AS[[#This Row],[Large Provider Entity Code]]&amp;"; "&amp;R7965&amp;AS[[#This Row],[Age Band Code]]&amp;"; "&amp;S7965&amp;AS[[#This Row],[Sex Code]]</f>
        <v xml:space="preserve">Insurer Code ; Reporting Year ; Insurance Category Code ; Large Provider Entity Code ; Age Band Code ; Sex Code </v>
      </c>
      <c r="N7965" s="345" t="s">
        <v>207</v>
      </c>
      <c r="O7965" s="345" t="s">
        <v>208</v>
      </c>
      <c r="P7965" s="345" t="s">
        <v>209</v>
      </c>
      <c r="Q7965" s="345" t="s">
        <v>210</v>
      </c>
      <c r="R7965" s="345" t="s">
        <v>223</v>
      </c>
      <c r="S7965" s="345" t="s">
        <v>224</v>
      </c>
    </row>
    <row r="7966" spans="1:19" x14ac:dyDescent="0.25">
      <c r="A7966" s="311"/>
      <c r="B7966" s="312"/>
      <c r="C7966" s="312"/>
      <c r="D7966" s="312"/>
      <c r="E7966" s="312"/>
      <c r="F7966" s="312"/>
      <c r="G7966" s="328"/>
      <c r="H7966" s="453"/>
      <c r="I7966" s="334"/>
      <c r="J7966" s="314"/>
      <c r="K7966" s="454"/>
      <c r="M7966" s="349" t="str">
        <f>N7966&amp;AS[[#This Row],[Insurer Code]]&amp;"; "&amp;O7966&amp;AS[[#This Row],[Reporting Year]]&amp;"; "&amp;P7966&amp;AS[[#This Row],[Insurance Category Code]]&amp;"; "&amp;Q7966&amp;AS[[#This Row],[Large Provider Entity Code]]&amp;"; "&amp;R7966&amp;AS[[#This Row],[Age Band Code]]&amp;"; "&amp;S7966&amp;AS[[#This Row],[Sex Code]]</f>
        <v xml:space="preserve">Insurer Code ; Reporting Year ; Insurance Category Code ; Large Provider Entity Code ; Age Band Code ; Sex Code </v>
      </c>
      <c r="N7966" s="345" t="s">
        <v>207</v>
      </c>
      <c r="O7966" s="345" t="s">
        <v>208</v>
      </c>
      <c r="P7966" s="345" t="s">
        <v>209</v>
      </c>
      <c r="Q7966" s="345" t="s">
        <v>210</v>
      </c>
      <c r="R7966" s="345" t="s">
        <v>223</v>
      </c>
      <c r="S7966" s="345" t="s">
        <v>224</v>
      </c>
    </row>
    <row r="7967" spans="1:19" x14ac:dyDescent="0.25">
      <c r="A7967" s="311"/>
      <c r="B7967" s="312"/>
      <c r="C7967" s="312"/>
      <c r="D7967" s="312"/>
      <c r="E7967" s="312"/>
      <c r="F7967" s="312"/>
      <c r="G7967" s="328"/>
      <c r="H7967" s="453"/>
      <c r="I7967" s="334"/>
      <c r="J7967" s="314"/>
      <c r="K7967" s="454"/>
      <c r="M7967" s="349" t="str">
        <f>N7967&amp;AS[[#This Row],[Insurer Code]]&amp;"; "&amp;O7967&amp;AS[[#This Row],[Reporting Year]]&amp;"; "&amp;P7967&amp;AS[[#This Row],[Insurance Category Code]]&amp;"; "&amp;Q7967&amp;AS[[#This Row],[Large Provider Entity Code]]&amp;"; "&amp;R7967&amp;AS[[#This Row],[Age Band Code]]&amp;"; "&amp;S7967&amp;AS[[#This Row],[Sex Code]]</f>
        <v xml:space="preserve">Insurer Code ; Reporting Year ; Insurance Category Code ; Large Provider Entity Code ; Age Band Code ; Sex Code </v>
      </c>
      <c r="N7967" s="345" t="s">
        <v>207</v>
      </c>
      <c r="O7967" s="345" t="s">
        <v>208</v>
      </c>
      <c r="P7967" s="345" t="s">
        <v>209</v>
      </c>
      <c r="Q7967" s="345" t="s">
        <v>210</v>
      </c>
      <c r="R7967" s="345" t="s">
        <v>223</v>
      </c>
      <c r="S7967" s="345" t="s">
        <v>224</v>
      </c>
    </row>
    <row r="7968" spans="1:19" x14ac:dyDescent="0.25">
      <c r="A7968" s="311"/>
      <c r="B7968" s="312"/>
      <c r="C7968" s="312"/>
      <c r="D7968" s="312"/>
      <c r="E7968" s="312"/>
      <c r="F7968" s="312"/>
      <c r="G7968" s="328"/>
      <c r="H7968" s="453"/>
      <c r="I7968" s="334"/>
      <c r="J7968" s="314"/>
      <c r="K7968" s="454"/>
      <c r="M7968" s="349" t="str">
        <f>N7968&amp;AS[[#This Row],[Insurer Code]]&amp;"; "&amp;O7968&amp;AS[[#This Row],[Reporting Year]]&amp;"; "&amp;P7968&amp;AS[[#This Row],[Insurance Category Code]]&amp;"; "&amp;Q7968&amp;AS[[#This Row],[Large Provider Entity Code]]&amp;"; "&amp;R7968&amp;AS[[#This Row],[Age Band Code]]&amp;"; "&amp;S7968&amp;AS[[#This Row],[Sex Code]]</f>
        <v xml:space="preserve">Insurer Code ; Reporting Year ; Insurance Category Code ; Large Provider Entity Code ; Age Band Code ; Sex Code </v>
      </c>
      <c r="N7968" s="345" t="s">
        <v>207</v>
      </c>
      <c r="O7968" s="345" t="s">
        <v>208</v>
      </c>
      <c r="P7968" s="345" t="s">
        <v>209</v>
      </c>
      <c r="Q7968" s="345" t="s">
        <v>210</v>
      </c>
      <c r="R7968" s="345" t="s">
        <v>223</v>
      </c>
      <c r="S7968" s="345" t="s">
        <v>224</v>
      </c>
    </row>
    <row r="7969" spans="1:19" x14ac:dyDescent="0.25">
      <c r="A7969" s="311"/>
      <c r="B7969" s="312"/>
      <c r="C7969" s="312"/>
      <c r="D7969" s="312"/>
      <c r="E7969" s="312"/>
      <c r="F7969" s="312"/>
      <c r="G7969" s="328"/>
      <c r="H7969" s="453"/>
      <c r="I7969" s="334"/>
      <c r="J7969" s="314"/>
      <c r="K7969" s="454"/>
      <c r="M7969" s="349" t="str">
        <f>N7969&amp;AS[[#This Row],[Insurer Code]]&amp;"; "&amp;O7969&amp;AS[[#This Row],[Reporting Year]]&amp;"; "&amp;P7969&amp;AS[[#This Row],[Insurance Category Code]]&amp;"; "&amp;Q7969&amp;AS[[#This Row],[Large Provider Entity Code]]&amp;"; "&amp;R7969&amp;AS[[#This Row],[Age Band Code]]&amp;"; "&amp;S7969&amp;AS[[#This Row],[Sex Code]]</f>
        <v xml:space="preserve">Insurer Code ; Reporting Year ; Insurance Category Code ; Large Provider Entity Code ; Age Band Code ; Sex Code </v>
      </c>
      <c r="N7969" s="345" t="s">
        <v>207</v>
      </c>
      <c r="O7969" s="345" t="s">
        <v>208</v>
      </c>
      <c r="P7969" s="345" t="s">
        <v>209</v>
      </c>
      <c r="Q7969" s="345" t="s">
        <v>210</v>
      </c>
      <c r="R7969" s="345" t="s">
        <v>223</v>
      </c>
      <c r="S7969" s="345" t="s">
        <v>224</v>
      </c>
    </row>
    <row r="7970" spans="1:19" x14ac:dyDescent="0.25">
      <c r="A7970" s="311"/>
      <c r="B7970" s="312"/>
      <c r="C7970" s="312"/>
      <c r="D7970" s="312"/>
      <c r="E7970" s="312"/>
      <c r="F7970" s="312"/>
      <c r="G7970" s="328"/>
      <c r="H7970" s="453"/>
      <c r="I7970" s="334"/>
      <c r="J7970" s="314"/>
      <c r="K7970" s="454"/>
      <c r="M7970" s="349" t="str">
        <f>N7970&amp;AS[[#This Row],[Insurer Code]]&amp;"; "&amp;O7970&amp;AS[[#This Row],[Reporting Year]]&amp;"; "&amp;P7970&amp;AS[[#This Row],[Insurance Category Code]]&amp;"; "&amp;Q7970&amp;AS[[#This Row],[Large Provider Entity Code]]&amp;"; "&amp;R7970&amp;AS[[#This Row],[Age Band Code]]&amp;"; "&amp;S7970&amp;AS[[#This Row],[Sex Code]]</f>
        <v xml:space="preserve">Insurer Code ; Reporting Year ; Insurance Category Code ; Large Provider Entity Code ; Age Band Code ; Sex Code </v>
      </c>
      <c r="N7970" s="345" t="s">
        <v>207</v>
      </c>
      <c r="O7970" s="345" t="s">
        <v>208</v>
      </c>
      <c r="P7970" s="345" t="s">
        <v>209</v>
      </c>
      <c r="Q7970" s="345" t="s">
        <v>210</v>
      </c>
      <c r="R7970" s="345" t="s">
        <v>223</v>
      </c>
      <c r="S7970" s="345" t="s">
        <v>224</v>
      </c>
    </row>
    <row r="7971" spans="1:19" x14ac:dyDescent="0.25">
      <c r="A7971" s="311"/>
      <c r="B7971" s="312"/>
      <c r="C7971" s="312"/>
      <c r="D7971" s="312"/>
      <c r="E7971" s="312"/>
      <c r="F7971" s="312"/>
      <c r="G7971" s="328"/>
      <c r="H7971" s="453"/>
      <c r="I7971" s="334"/>
      <c r="J7971" s="314"/>
      <c r="K7971" s="454"/>
      <c r="M7971" s="349" t="str">
        <f>N7971&amp;AS[[#This Row],[Insurer Code]]&amp;"; "&amp;O7971&amp;AS[[#This Row],[Reporting Year]]&amp;"; "&amp;P7971&amp;AS[[#This Row],[Insurance Category Code]]&amp;"; "&amp;Q7971&amp;AS[[#This Row],[Large Provider Entity Code]]&amp;"; "&amp;R7971&amp;AS[[#This Row],[Age Band Code]]&amp;"; "&amp;S7971&amp;AS[[#This Row],[Sex Code]]</f>
        <v xml:space="preserve">Insurer Code ; Reporting Year ; Insurance Category Code ; Large Provider Entity Code ; Age Band Code ; Sex Code </v>
      </c>
      <c r="N7971" s="345" t="s">
        <v>207</v>
      </c>
      <c r="O7971" s="345" t="s">
        <v>208</v>
      </c>
      <c r="P7971" s="345" t="s">
        <v>209</v>
      </c>
      <c r="Q7971" s="345" t="s">
        <v>210</v>
      </c>
      <c r="R7971" s="345" t="s">
        <v>223</v>
      </c>
      <c r="S7971" s="345" t="s">
        <v>224</v>
      </c>
    </row>
    <row r="7972" spans="1:19" x14ac:dyDescent="0.25">
      <c r="A7972" s="311"/>
      <c r="B7972" s="312"/>
      <c r="C7972" s="312"/>
      <c r="D7972" s="312"/>
      <c r="E7972" s="312"/>
      <c r="F7972" s="312"/>
      <c r="G7972" s="328"/>
      <c r="H7972" s="453"/>
      <c r="I7972" s="334"/>
      <c r="J7972" s="314"/>
      <c r="K7972" s="454"/>
      <c r="M7972" s="349" t="str">
        <f>N7972&amp;AS[[#This Row],[Insurer Code]]&amp;"; "&amp;O7972&amp;AS[[#This Row],[Reporting Year]]&amp;"; "&amp;P7972&amp;AS[[#This Row],[Insurance Category Code]]&amp;"; "&amp;Q7972&amp;AS[[#This Row],[Large Provider Entity Code]]&amp;"; "&amp;R7972&amp;AS[[#This Row],[Age Band Code]]&amp;"; "&amp;S7972&amp;AS[[#This Row],[Sex Code]]</f>
        <v xml:space="preserve">Insurer Code ; Reporting Year ; Insurance Category Code ; Large Provider Entity Code ; Age Band Code ; Sex Code </v>
      </c>
      <c r="N7972" s="345" t="s">
        <v>207</v>
      </c>
      <c r="O7972" s="345" t="s">
        <v>208</v>
      </c>
      <c r="P7972" s="345" t="s">
        <v>209</v>
      </c>
      <c r="Q7972" s="345" t="s">
        <v>210</v>
      </c>
      <c r="R7972" s="345" t="s">
        <v>223</v>
      </c>
      <c r="S7972" s="345" t="s">
        <v>224</v>
      </c>
    </row>
    <row r="7973" spans="1:19" x14ac:dyDescent="0.25">
      <c r="A7973" s="311"/>
      <c r="B7973" s="312"/>
      <c r="C7973" s="312"/>
      <c r="D7973" s="312"/>
      <c r="E7973" s="312"/>
      <c r="F7973" s="312"/>
      <c r="G7973" s="328"/>
      <c r="H7973" s="453"/>
      <c r="I7973" s="334"/>
      <c r="J7973" s="314"/>
      <c r="K7973" s="454"/>
      <c r="M7973" s="349" t="str">
        <f>N7973&amp;AS[[#This Row],[Insurer Code]]&amp;"; "&amp;O7973&amp;AS[[#This Row],[Reporting Year]]&amp;"; "&amp;P7973&amp;AS[[#This Row],[Insurance Category Code]]&amp;"; "&amp;Q7973&amp;AS[[#This Row],[Large Provider Entity Code]]&amp;"; "&amp;R7973&amp;AS[[#This Row],[Age Band Code]]&amp;"; "&amp;S7973&amp;AS[[#This Row],[Sex Code]]</f>
        <v xml:space="preserve">Insurer Code ; Reporting Year ; Insurance Category Code ; Large Provider Entity Code ; Age Band Code ; Sex Code </v>
      </c>
      <c r="N7973" s="345" t="s">
        <v>207</v>
      </c>
      <c r="O7973" s="345" t="s">
        <v>208</v>
      </c>
      <c r="P7973" s="345" t="s">
        <v>209</v>
      </c>
      <c r="Q7973" s="345" t="s">
        <v>210</v>
      </c>
      <c r="R7973" s="345" t="s">
        <v>223</v>
      </c>
      <c r="S7973" s="345" t="s">
        <v>224</v>
      </c>
    </row>
    <row r="7974" spans="1:19" x14ac:dyDescent="0.25">
      <c r="A7974" s="311"/>
      <c r="B7974" s="312"/>
      <c r="C7974" s="312"/>
      <c r="D7974" s="312"/>
      <c r="E7974" s="312"/>
      <c r="F7974" s="312"/>
      <c r="G7974" s="328"/>
      <c r="H7974" s="453"/>
      <c r="I7974" s="334"/>
      <c r="J7974" s="314"/>
      <c r="K7974" s="454"/>
      <c r="M7974" s="349" t="str">
        <f>N7974&amp;AS[[#This Row],[Insurer Code]]&amp;"; "&amp;O7974&amp;AS[[#This Row],[Reporting Year]]&amp;"; "&amp;P7974&amp;AS[[#This Row],[Insurance Category Code]]&amp;"; "&amp;Q7974&amp;AS[[#This Row],[Large Provider Entity Code]]&amp;"; "&amp;R7974&amp;AS[[#This Row],[Age Band Code]]&amp;"; "&amp;S7974&amp;AS[[#This Row],[Sex Code]]</f>
        <v xml:space="preserve">Insurer Code ; Reporting Year ; Insurance Category Code ; Large Provider Entity Code ; Age Band Code ; Sex Code </v>
      </c>
      <c r="N7974" s="345" t="s">
        <v>207</v>
      </c>
      <c r="O7974" s="345" t="s">
        <v>208</v>
      </c>
      <c r="P7974" s="345" t="s">
        <v>209</v>
      </c>
      <c r="Q7974" s="345" t="s">
        <v>210</v>
      </c>
      <c r="R7974" s="345" t="s">
        <v>223</v>
      </c>
      <c r="S7974" s="345" t="s">
        <v>224</v>
      </c>
    </row>
    <row r="7975" spans="1:19" x14ac:dyDescent="0.25">
      <c r="A7975" s="311"/>
      <c r="B7975" s="312"/>
      <c r="C7975" s="312"/>
      <c r="D7975" s="312"/>
      <c r="E7975" s="312"/>
      <c r="F7975" s="312"/>
      <c r="G7975" s="328"/>
      <c r="H7975" s="453"/>
      <c r="I7975" s="334"/>
      <c r="J7975" s="314"/>
      <c r="K7975" s="454"/>
      <c r="M7975" s="349" t="str">
        <f>N7975&amp;AS[[#This Row],[Insurer Code]]&amp;"; "&amp;O7975&amp;AS[[#This Row],[Reporting Year]]&amp;"; "&amp;P7975&amp;AS[[#This Row],[Insurance Category Code]]&amp;"; "&amp;Q7975&amp;AS[[#This Row],[Large Provider Entity Code]]&amp;"; "&amp;R7975&amp;AS[[#This Row],[Age Band Code]]&amp;"; "&amp;S7975&amp;AS[[#This Row],[Sex Code]]</f>
        <v xml:space="preserve">Insurer Code ; Reporting Year ; Insurance Category Code ; Large Provider Entity Code ; Age Band Code ; Sex Code </v>
      </c>
      <c r="N7975" s="345" t="s">
        <v>207</v>
      </c>
      <c r="O7975" s="345" t="s">
        <v>208</v>
      </c>
      <c r="P7975" s="345" t="s">
        <v>209</v>
      </c>
      <c r="Q7975" s="345" t="s">
        <v>210</v>
      </c>
      <c r="R7975" s="345" t="s">
        <v>223</v>
      </c>
      <c r="S7975" s="345" t="s">
        <v>224</v>
      </c>
    </row>
    <row r="7976" spans="1:19" x14ac:dyDescent="0.25">
      <c r="A7976" s="311"/>
      <c r="B7976" s="312"/>
      <c r="C7976" s="312"/>
      <c r="D7976" s="312"/>
      <c r="E7976" s="312"/>
      <c r="F7976" s="312"/>
      <c r="G7976" s="328"/>
      <c r="H7976" s="453"/>
      <c r="I7976" s="334"/>
      <c r="J7976" s="314"/>
      <c r="K7976" s="454"/>
      <c r="M7976" s="349" t="str">
        <f>N7976&amp;AS[[#This Row],[Insurer Code]]&amp;"; "&amp;O7976&amp;AS[[#This Row],[Reporting Year]]&amp;"; "&amp;P7976&amp;AS[[#This Row],[Insurance Category Code]]&amp;"; "&amp;Q7976&amp;AS[[#This Row],[Large Provider Entity Code]]&amp;"; "&amp;R7976&amp;AS[[#This Row],[Age Band Code]]&amp;"; "&amp;S7976&amp;AS[[#This Row],[Sex Code]]</f>
        <v xml:space="preserve">Insurer Code ; Reporting Year ; Insurance Category Code ; Large Provider Entity Code ; Age Band Code ; Sex Code </v>
      </c>
      <c r="N7976" s="345" t="s">
        <v>207</v>
      </c>
      <c r="O7976" s="345" t="s">
        <v>208</v>
      </c>
      <c r="P7976" s="345" t="s">
        <v>209</v>
      </c>
      <c r="Q7976" s="345" t="s">
        <v>210</v>
      </c>
      <c r="R7976" s="345" t="s">
        <v>223</v>
      </c>
      <c r="S7976" s="345" t="s">
        <v>224</v>
      </c>
    </row>
    <row r="7977" spans="1:19" x14ac:dyDescent="0.25">
      <c r="A7977" s="311"/>
      <c r="B7977" s="312"/>
      <c r="C7977" s="312"/>
      <c r="D7977" s="312"/>
      <c r="E7977" s="312"/>
      <c r="F7977" s="312"/>
      <c r="G7977" s="328"/>
      <c r="H7977" s="453"/>
      <c r="I7977" s="334"/>
      <c r="J7977" s="314"/>
      <c r="K7977" s="454"/>
      <c r="M7977" s="349" t="str">
        <f>N7977&amp;AS[[#This Row],[Insurer Code]]&amp;"; "&amp;O7977&amp;AS[[#This Row],[Reporting Year]]&amp;"; "&amp;P7977&amp;AS[[#This Row],[Insurance Category Code]]&amp;"; "&amp;Q7977&amp;AS[[#This Row],[Large Provider Entity Code]]&amp;"; "&amp;R7977&amp;AS[[#This Row],[Age Band Code]]&amp;"; "&amp;S7977&amp;AS[[#This Row],[Sex Code]]</f>
        <v xml:space="preserve">Insurer Code ; Reporting Year ; Insurance Category Code ; Large Provider Entity Code ; Age Band Code ; Sex Code </v>
      </c>
      <c r="N7977" s="345" t="s">
        <v>207</v>
      </c>
      <c r="O7977" s="345" t="s">
        <v>208</v>
      </c>
      <c r="P7977" s="345" t="s">
        <v>209</v>
      </c>
      <c r="Q7977" s="345" t="s">
        <v>210</v>
      </c>
      <c r="R7977" s="345" t="s">
        <v>223</v>
      </c>
      <c r="S7977" s="345" t="s">
        <v>224</v>
      </c>
    </row>
    <row r="7978" spans="1:19" x14ac:dyDescent="0.25">
      <c r="A7978" s="311"/>
      <c r="B7978" s="312"/>
      <c r="C7978" s="312"/>
      <c r="D7978" s="312"/>
      <c r="E7978" s="312"/>
      <c r="F7978" s="312"/>
      <c r="G7978" s="328"/>
      <c r="H7978" s="453"/>
      <c r="I7978" s="334"/>
      <c r="J7978" s="314"/>
      <c r="K7978" s="454"/>
      <c r="M7978" s="349" t="str">
        <f>N7978&amp;AS[[#This Row],[Insurer Code]]&amp;"; "&amp;O7978&amp;AS[[#This Row],[Reporting Year]]&amp;"; "&amp;P7978&amp;AS[[#This Row],[Insurance Category Code]]&amp;"; "&amp;Q7978&amp;AS[[#This Row],[Large Provider Entity Code]]&amp;"; "&amp;R7978&amp;AS[[#This Row],[Age Band Code]]&amp;"; "&amp;S7978&amp;AS[[#This Row],[Sex Code]]</f>
        <v xml:space="preserve">Insurer Code ; Reporting Year ; Insurance Category Code ; Large Provider Entity Code ; Age Band Code ; Sex Code </v>
      </c>
      <c r="N7978" s="345" t="s">
        <v>207</v>
      </c>
      <c r="O7978" s="345" t="s">
        <v>208</v>
      </c>
      <c r="P7978" s="345" t="s">
        <v>209</v>
      </c>
      <c r="Q7978" s="345" t="s">
        <v>210</v>
      </c>
      <c r="R7978" s="345" t="s">
        <v>223</v>
      </c>
      <c r="S7978" s="345" t="s">
        <v>224</v>
      </c>
    </row>
    <row r="7979" spans="1:19" x14ac:dyDescent="0.25">
      <c r="A7979" s="311"/>
      <c r="B7979" s="312"/>
      <c r="C7979" s="312"/>
      <c r="D7979" s="312"/>
      <c r="E7979" s="312"/>
      <c r="F7979" s="312"/>
      <c r="G7979" s="328"/>
      <c r="H7979" s="453"/>
      <c r="I7979" s="334"/>
      <c r="J7979" s="314"/>
      <c r="K7979" s="454"/>
      <c r="M7979" s="349" t="str">
        <f>N7979&amp;AS[[#This Row],[Insurer Code]]&amp;"; "&amp;O7979&amp;AS[[#This Row],[Reporting Year]]&amp;"; "&amp;P7979&amp;AS[[#This Row],[Insurance Category Code]]&amp;"; "&amp;Q7979&amp;AS[[#This Row],[Large Provider Entity Code]]&amp;"; "&amp;R7979&amp;AS[[#This Row],[Age Band Code]]&amp;"; "&amp;S7979&amp;AS[[#This Row],[Sex Code]]</f>
        <v xml:space="preserve">Insurer Code ; Reporting Year ; Insurance Category Code ; Large Provider Entity Code ; Age Band Code ; Sex Code </v>
      </c>
      <c r="N7979" s="345" t="s">
        <v>207</v>
      </c>
      <c r="O7979" s="345" t="s">
        <v>208</v>
      </c>
      <c r="P7979" s="345" t="s">
        <v>209</v>
      </c>
      <c r="Q7979" s="345" t="s">
        <v>210</v>
      </c>
      <c r="R7979" s="345" t="s">
        <v>223</v>
      </c>
      <c r="S7979" s="345" t="s">
        <v>224</v>
      </c>
    </row>
    <row r="7980" spans="1:19" x14ac:dyDescent="0.25">
      <c r="A7980" s="311"/>
      <c r="B7980" s="312"/>
      <c r="C7980" s="312"/>
      <c r="D7980" s="312"/>
      <c r="E7980" s="312"/>
      <c r="F7980" s="312"/>
      <c r="G7980" s="328"/>
      <c r="H7980" s="453"/>
      <c r="I7980" s="334"/>
      <c r="J7980" s="314"/>
      <c r="K7980" s="454"/>
      <c r="M7980" s="349" t="str">
        <f>N7980&amp;AS[[#This Row],[Insurer Code]]&amp;"; "&amp;O7980&amp;AS[[#This Row],[Reporting Year]]&amp;"; "&amp;P7980&amp;AS[[#This Row],[Insurance Category Code]]&amp;"; "&amp;Q7980&amp;AS[[#This Row],[Large Provider Entity Code]]&amp;"; "&amp;R7980&amp;AS[[#This Row],[Age Band Code]]&amp;"; "&amp;S7980&amp;AS[[#This Row],[Sex Code]]</f>
        <v xml:space="preserve">Insurer Code ; Reporting Year ; Insurance Category Code ; Large Provider Entity Code ; Age Band Code ; Sex Code </v>
      </c>
      <c r="N7980" s="345" t="s">
        <v>207</v>
      </c>
      <c r="O7980" s="345" t="s">
        <v>208</v>
      </c>
      <c r="P7980" s="345" t="s">
        <v>209</v>
      </c>
      <c r="Q7980" s="345" t="s">
        <v>210</v>
      </c>
      <c r="R7980" s="345" t="s">
        <v>223</v>
      </c>
      <c r="S7980" s="345" t="s">
        <v>224</v>
      </c>
    </row>
    <row r="7981" spans="1:19" x14ac:dyDescent="0.25">
      <c r="A7981" s="311"/>
      <c r="B7981" s="312"/>
      <c r="C7981" s="312"/>
      <c r="D7981" s="312"/>
      <c r="E7981" s="312"/>
      <c r="F7981" s="312"/>
      <c r="G7981" s="328"/>
      <c r="H7981" s="453"/>
      <c r="I7981" s="334"/>
      <c r="J7981" s="314"/>
      <c r="K7981" s="454"/>
      <c r="M7981" s="349" t="str">
        <f>N7981&amp;AS[[#This Row],[Insurer Code]]&amp;"; "&amp;O7981&amp;AS[[#This Row],[Reporting Year]]&amp;"; "&amp;P7981&amp;AS[[#This Row],[Insurance Category Code]]&amp;"; "&amp;Q7981&amp;AS[[#This Row],[Large Provider Entity Code]]&amp;"; "&amp;R7981&amp;AS[[#This Row],[Age Band Code]]&amp;"; "&amp;S7981&amp;AS[[#This Row],[Sex Code]]</f>
        <v xml:space="preserve">Insurer Code ; Reporting Year ; Insurance Category Code ; Large Provider Entity Code ; Age Band Code ; Sex Code </v>
      </c>
      <c r="N7981" s="345" t="s">
        <v>207</v>
      </c>
      <c r="O7981" s="345" t="s">
        <v>208</v>
      </c>
      <c r="P7981" s="345" t="s">
        <v>209</v>
      </c>
      <c r="Q7981" s="345" t="s">
        <v>210</v>
      </c>
      <c r="R7981" s="345" t="s">
        <v>223</v>
      </c>
      <c r="S7981" s="345" t="s">
        <v>224</v>
      </c>
    </row>
    <row r="7982" spans="1:19" x14ac:dyDescent="0.25">
      <c r="A7982" s="311"/>
      <c r="B7982" s="312"/>
      <c r="C7982" s="312"/>
      <c r="D7982" s="312"/>
      <c r="E7982" s="312"/>
      <c r="F7982" s="312"/>
      <c r="G7982" s="328"/>
      <c r="H7982" s="453"/>
      <c r="I7982" s="334"/>
      <c r="J7982" s="314"/>
      <c r="K7982" s="454"/>
      <c r="M7982" s="349" t="str">
        <f>N7982&amp;AS[[#This Row],[Insurer Code]]&amp;"; "&amp;O7982&amp;AS[[#This Row],[Reporting Year]]&amp;"; "&amp;P7982&amp;AS[[#This Row],[Insurance Category Code]]&amp;"; "&amp;Q7982&amp;AS[[#This Row],[Large Provider Entity Code]]&amp;"; "&amp;R7982&amp;AS[[#This Row],[Age Band Code]]&amp;"; "&amp;S7982&amp;AS[[#This Row],[Sex Code]]</f>
        <v xml:space="preserve">Insurer Code ; Reporting Year ; Insurance Category Code ; Large Provider Entity Code ; Age Band Code ; Sex Code </v>
      </c>
      <c r="N7982" s="345" t="s">
        <v>207</v>
      </c>
      <c r="O7982" s="345" t="s">
        <v>208</v>
      </c>
      <c r="P7982" s="345" t="s">
        <v>209</v>
      </c>
      <c r="Q7982" s="345" t="s">
        <v>210</v>
      </c>
      <c r="R7982" s="345" t="s">
        <v>223</v>
      </c>
      <c r="S7982" s="345" t="s">
        <v>224</v>
      </c>
    </row>
    <row r="7983" spans="1:19" x14ac:dyDescent="0.25">
      <c r="A7983" s="311"/>
      <c r="B7983" s="312"/>
      <c r="C7983" s="312"/>
      <c r="D7983" s="312"/>
      <c r="E7983" s="312"/>
      <c r="F7983" s="312"/>
      <c r="G7983" s="328"/>
      <c r="H7983" s="453"/>
      <c r="I7983" s="334"/>
      <c r="J7983" s="314"/>
      <c r="K7983" s="454"/>
      <c r="M7983" s="349" t="str">
        <f>N7983&amp;AS[[#This Row],[Insurer Code]]&amp;"; "&amp;O7983&amp;AS[[#This Row],[Reporting Year]]&amp;"; "&amp;P7983&amp;AS[[#This Row],[Insurance Category Code]]&amp;"; "&amp;Q7983&amp;AS[[#This Row],[Large Provider Entity Code]]&amp;"; "&amp;R7983&amp;AS[[#This Row],[Age Band Code]]&amp;"; "&amp;S7983&amp;AS[[#This Row],[Sex Code]]</f>
        <v xml:space="preserve">Insurer Code ; Reporting Year ; Insurance Category Code ; Large Provider Entity Code ; Age Band Code ; Sex Code </v>
      </c>
      <c r="N7983" s="345" t="s">
        <v>207</v>
      </c>
      <c r="O7983" s="345" t="s">
        <v>208</v>
      </c>
      <c r="P7983" s="345" t="s">
        <v>209</v>
      </c>
      <c r="Q7983" s="345" t="s">
        <v>210</v>
      </c>
      <c r="R7983" s="345" t="s">
        <v>223</v>
      </c>
      <c r="S7983" s="345" t="s">
        <v>224</v>
      </c>
    </row>
    <row r="7984" spans="1:19" x14ac:dyDescent="0.25">
      <c r="A7984" s="311"/>
      <c r="B7984" s="312"/>
      <c r="C7984" s="312"/>
      <c r="D7984" s="312"/>
      <c r="E7984" s="312"/>
      <c r="F7984" s="312"/>
      <c r="G7984" s="328"/>
      <c r="H7984" s="453"/>
      <c r="I7984" s="334"/>
      <c r="J7984" s="314"/>
      <c r="K7984" s="454"/>
      <c r="M7984" s="349" t="str">
        <f>N7984&amp;AS[[#This Row],[Insurer Code]]&amp;"; "&amp;O7984&amp;AS[[#This Row],[Reporting Year]]&amp;"; "&amp;P7984&amp;AS[[#This Row],[Insurance Category Code]]&amp;"; "&amp;Q7984&amp;AS[[#This Row],[Large Provider Entity Code]]&amp;"; "&amp;R7984&amp;AS[[#This Row],[Age Band Code]]&amp;"; "&amp;S7984&amp;AS[[#This Row],[Sex Code]]</f>
        <v xml:space="preserve">Insurer Code ; Reporting Year ; Insurance Category Code ; Large Provider Entity Code ; Age Band Code ; Sex Code </v>
      </c>
      <c r="N7984" s="345" t="s">
        <v>207</v>
      </c>
      <c r="O7984" s="345" t="s">
        <v>208</v>
      </c>
      <c r="P7984" s="345" t="s">
        <v>209</v>
      </c>
      <c r="Q7984" s="345" t="s">
        <v>210</v>
      </c>
      <c r="R7984" s="345" t="s">
        <v>223</v>
      </c>
      <c r="S7984" s="345" t="s">
        <v>224</v>
      </c>
    </row>
    <row r="7985" spans="1:19" x14ac:dyDescent="0.25">
      <c r="A7985" s="311"/>
      <c r="B7985" s="312"/>
      <c r="C7985" s="312"/>
      <c r="D7985" s="312"/>
      <c r="E7985" s="312"/>
      <c r="F7985" s="312"/>
      <c r="G7985" s="328"/>
      <c r="H7985" s="453"/>
      <c r="I7985" s="334"/>
      <c r="J7985" s="314"/>
      <c r="K7985" s="454"/>
      <c r="M7985" s="349" t="str">
        <f>N7985&amp;AS[[#This Row],[Insurer Code]]&amp;"; "&amp;O7985&amp;AS[[#This Row],[Reporting Year]]&amp;"; "&amp;P7985&amp;AS[[#This Row],[Insurance Category Code]]&amp;"; "&amp;Q7985&amp;AS[[#This Row],[Large Provider Entity Code]]&amp;"; "&amp;R7985&amp;AS[[#This Row],[Age Band Code]]&amp;"; "&amp;S7985&amp;AS[[#This Row],[Sex Code]]</f>
        <v xml:space="preserve">Insurer Code ; Reporting Year ; Insurance Category Code ; Large Provider Entity Code ; Age Band Code ; Sex Code </v>
      </c>
      <c r="N7985" s="345" t="s">
        <v>207</v>
      </c>
      <c r="O7985" s="345" t="s">
        <v>208</v>
      </c>
      <c r="P7985" s="345" t="s">
        <v>209</v>
      </c>
      <c r="Q7985" s="345" t="s">
        <v>210</v>
      </c>
      <c r="R7985" s="345" t="s">
        <v>223</v>
      </c>
      <c r="S7985" s="345" t="s">
        <v>224</v>
      </c>
    </row>
    <row r="7986" spans="1:19" x14ac:dyDescent="0.25">
      <c r="A7986" s="311"/>
      <c r="B7986" s="312"/>
      <c r="C7986" s="312"/>
      <c r="D7986" s="312"/>
      <c r="E7986" s="312"/>
      <c r="F7986" s="312"/>
      <c r="G7986" s="328"/>
      <c r="H7986" s="453"/>
      <c r="I7986" s="334"/>
      <c r="J7986" s="314"/>
      <c r="K7986" s="454"/>
      <c r="M7986" s="349" t="str">
        <f>N7986&amp;AS[[#This Row],[Insurer Code]]&amp;"; "&amp;O7986&amp;AS[[#This Row],[Reporting Year]]&amp;"; "&amp;P7986&amp;AS[[#This Row],[Insurance Category Code]]&amp;"; "&amp;Q7986&amp;AS[[#This Row],[Large Provider Entity Code]]&amp;"; "&amp;R7986&amp;AS[[#This Row],[Age Band Code]]&amp;"; "&amp;S7986&amp;AS[[#This Row],[Sex Code]]</f>
        <v xml:space="preserve">Insurer Code ; Reporting Year ; Insurance Category Code ; Large Provider Entity Code ; Age Band Code ; Sex Code </v>
      </c>
      <c r="N7986" s="345" t="s">
        <v>207</v>
      </c>
      <c r="O7986" s="345" t="s">
        <v>208</v>
      </c>
      <c r="P7986" s="345" t="s">
        <v>209</v>
      </c>
      <c r="Q7986" s="345" t="s">
        <v>210</v>
      </c>
      <c r="R7986" s="345" t="s">
        <v>223</v>
      </c>
      <c r="S7986" s="345" t="s">
        <v>224</v>
      </c>
    </row>
    <row r="7987" spans="1:19" x14ac:dyDescent="0.25">
      <c r="A7987" s="311"/>
      <c r="B7987" s="312"/>
      <c r="C7987" s="312"/>
      <c r="D7987" s="312"/>
      <c r="E7987" s="312"/>
      <c r="F7987" s="312"/>
      <c r="G7987" s="328"/>
      <c r="H7987" s="453"/>
      <c r="I7987" s="334"/>
      <c r="J7987" s="314"/>
      <c r="K7987" s="454"/>
      <c r="M7987" s="349" t="str">
        <f>N7987&amp;AS[[#This Row],[Insurer Code]]&amp;"; "&amp;O7987&amp;AS[[#This Row],[Reporting Year]]&amp;"; "&amp;P7987&amp;AS[[#This Row],[Insurance Category Code]]&amp;"; "&amp;Q7987&amp;AS[[#This Row],[Large Provider Entity Code]]&amp;"; "&amp;R7987&amp;AS[[#This Row],[Age Band Code]]&amp;"; "&amp;S7987&amp;AS[[#This Row],[Sex Code]]</f>
        <v xml:space="preserve">Insurer Code ; Reporting Year ; Insurance Category Code ; Large Provider Entity Code ; Age Band Code ; Sex Code </v>
      </c>
      <c r="N7987" s="345" t="s">
        <v>207</v>
      </c>
      <c r="O7987" s="345" t="s">
        <v>208</v>
      </c>
      <c r="P7987" s="345" t="s">
        <v>209</v>
      </c>
      <c r="Q7987" s="345" t="s">
        <v>210</v>
      </c>
      <c r="R7987" s="345" t="s">
        <v>223</v>
      </c>
      <c r="S7987" s="345" t="s">
        <v>224</v>
      </c>
    </row>
    <row r="7988" spans="1:19" x14ac:dyDescent="0.25">
      <c r="A7988" s="311"/>
      <c r="B7988" s="312"/>
      <c r="C7988" s="312"/>
      <c r="D7988" s="312"/>
      <c r="E7988" s="312"/>
      <c r="F7988" s="312"/>
      <c r="G7988" s="328"/>
      <c r="H7988" s="453"/>
      <c r="I7988" s="334"/>
      <c r="J7988" s="314"/>
      <c r="K7988" s="454"/>
      <c r="M7988" s="349" t="str">
        <f>N7988&amp;AS[[#This Row],[Insurer Code]]&amp;"; "&amp;O7988&amp;AS[[#This Row],[Reporting Year]]&amp;"; "&amp;P7988&amp;AS[[#This Row],[Insurance Category Code]]&amp;"; "&amp;Q7988&amp;AS[[#This Row],[Large Provider Entity Code]]&amp;"; "&amp;R7988&amp;AS[[#This Row],[Age Band Code]]&amp;"; "&amp;S7988&amp;AS[[#This Row],[Sex Code]]</f>
        <v xml:space="preserve">Insurer Code ; Reporting Year ; Insurance Category Code ; Large Provider Entity Code ; Age Band Code ; Sex Code </v>
      </c>
      <c r="N7988" s="345" t="s">
        <v>207</v>
      </c>
      <c r="O7988" s="345" t="s">
        <v>208</v>
      </c>
      <c r="P7988" s="345" t="s">
        <v>209</v>
      </c>
      <c r="Q7988" s="345" t="s">
        <v>210</v>
      </c>
      <c r="R7988" s="345" t="s">
        <v>223</v>
      </c>
      <c r="S7988" s="345" t="s">
        <v>224</v>
      </c>
    </row>
    <row r="7989" spans="1:19" x14ac:dyDescent="0.25">
      <c r="A7989" s="311"/>
      <c r="B7989" s="312"/>
      <c r="C7989" s="312"/>
      <c r="D7989" s="312"/>
      <c r="E7989" s="312"/>
      <c r="F7989" s="312"/>
      <c r="G7989" s="328"/>
      <c r="H7989" s="453"/>
      <c r="I7989" s="334"/>
      <c r="J7989" s="314"/>
      <c r="K7989" s="454"/>
      <c r="M7989" s="349" t="str">
        <f>N7989&amp;AS[[#This Row],[Insurer Code]]&amp;"; "&amp;O7989&amp;AS[[#This Row],[Reporting Year]]&amp;"; "&amp;P7989&amp;AS[[#This Row],[Insurance Category Code]]&amp;"; "&amp;Q7989&amp;AS[[#This Row],[Large Provider Entity Code]]&amp;"; "&amp;R7989&amp;AS[[#This Row],[Age Band Code]]&amp;"; "&amp;S7989&amp;AS[[#This Row],[Sex Code]]</f>
        <v xml:space="preserve">Insurer Code ; Reporting Year ; Insurance Category Code ; Large Provider Entity Code ; Age Band Code ; Sex Code </v>
      </c>
      <c r="N7989" s="345" t="s">
        <v>207</v>
      </c>
      <c r="O7989" s="345" t="s">
        <v>208</v>
      </c>
      <c r="P7989" s="345" t="s">
        <v>209</v>
      </c>
      <c r="Q7989" s="345" t="s">
        <v>210</v>
      </c>
      <c r="R7989" s="345" t="s">
        <v>223</v>
      </c>
      <c r="S7989" s="345" t="s">
        <v>224</v>
      </c>
    </row>
    <row r="7990" spans="1:19" x14ac:dyDescent="0.25">
      <c r="A7990" s="311"/>
      <c r="B7990" s="312"/>
      <c r="C7990" s="312"/>
      <c r="D7990" s="312"/>
      <c r="E7990" s="312"/>
      <c r="F7990" s="312"/>
      <c r="G7990" s="328"/>
      <c r="H7990" s="453"/>
      <c r="I7990" s="334"/>
      <c r="J7990" s="314"/>
      <c r="K7990" s="454"/>
      <c r="M7990" s="349" t="str">
        <f>N7990&amp;AS[[#This Row],[Insurer Code]]&amp;"; "&amp;O7990&amp;AS[[#This Row],[Reporting Year]]&amp;"; "&amp;P7990&amp;AS[[#This Row],[Insurance Category Code]]&amp;"; "&amp;Q7990&amp;AS[[#This Row],[Large Provider Entity Code]]&amp;"; "&amp;R7990&amp;AS[[#This Row],[Age Band Code]]&amp;"; "&amp;S7990&amp;AS[[#This Row],[Sex Code]]</f>
        <v xml:space="preserve">Insurer Code ; Reporting Year ; Insurance Category Code ; Large Provider Entity Code ; Age Band Code ; Sex Code </v>
      </c>
      <c r="N7990" s="345" t="s">
        <v>207</v>
      </c>
      <c r="O7990" s="345" t="s">
        <v>208</v>
      </c>
      <c r="P7990" s="345" t="s">
        <v>209</v>
      </c>
      <c r="Q7990" s="345" t="s">
        <v>210</v>
      </c>
      <c r="R7990" s="345" t="s">
        <v>223</v>
      </c>
      <c r="S7990" s="345" t="s">
        <v>224</v>
      </c>
    </row>
    <row r="7991" spans="1:19" x14ac:dyDescent="0.25">
      <c r="A7991" s="311"/>
      <c r="B7991" s="312"/>
      <c r="C7991" s="312"/>
      <c r="D7991" s="312"/>
      <c r="E7991" s="312"/>
      <c r="F7991" s="312"/>
      <c r="G7991" s="328"/>
      <c r="H7991" s="453"/>
      <c r="I7991" s="334"/>
      <c r="J7991" s="314"/>
      <c r="K7991" s="454"/>
      <c r="M7991" s="349" t="str">
        <f>N7991&amp;AS[[#This Row],[Insurer Code]]&amp;"; "&amp;O7991&amp;AS[[#This Row],[Reporting Year]]&amp;"; "&amp;P7991&amp;AS[[#This Row],[Insurance Category Code]]&amp;"; "&amp;Q7991&amp;AS[[#This Row],[Large Provider Entity Code]]&amp;"; "&amp;R7991&amp;AS[[#This Row],[Age Band Code]]&amp;"; "&amp;S7991&amp;AS[[#This Row],[Sex Code]]</f>
        <v xml:space="preserve">Insurer Code ; Reporting Year ; Insurance Category Code ; Large Provider Entity Code ; Age Band Code ; Sex Code </v>
      </c>
      <c r="N7991" s="345" t="s">
        <v>207</v>
      </c>
      <c r="O7991" s="345" t="s">
        <v>208</v>
      </c>
      <c r="P7991" s="345" t="s">
        <v>209</v>
      </c>
      <c r="Q7991" s="345" t="s">
        <v>210</v>
      </c>
      <c r="R7991" s="345" t="s">
        <v>223</v>
      </c>
      <c r="S7991" s="345" t="s">
        <v>224</v>
      </c>
    </row>
    <row r="7992" spans="1:19" x14ac:dyDescent="0.25">
      <c r="A7992" s="311"/>
      <c r="B7992" s="312"/>
      <c r="C7992" s="312"/>
      <c r="D7992" s="312"/>
      <c r="E7992" s="312"/>
      <c r="F7992" s="312"/>
      <c r="G7992" s="328"/>
      <c r="H7992" s="453"/>
      <c r="I7992" s="334"/>
      <c r="J7992" s="314"/>
      <c r="K7992" s="454"/>
      <c r="M7992" s="349" t="str">
        <f>N7992&amp;AS[[#This Row],[Insurer Code]]&amp;"; "&amp;O7992&amp;AS[[#This Row],[Reporting Year]]&amp;"; "&amp;P7992&amp;AS[[#This Row],[Insurance Category Code]]&amp;"; "&amp;Q7992&amp;AS[[#This Row],[Large Provider Entity Code]]&amp;"; "&amp;R7992&amp;AS[[#This Row],[Age Band Code]]&amp;"; "&amp;S7992&amp;AS[[#This Row],[Sex Code]]</f>
        <v xml:space="preserve">Insurer Code ; Reporting Year ; Insurance Category Code ; Large Provider Entity Code ; Age Band Code ; Sex Code </v>
      </c>
      <c r="N7992" s="345" t="s">
        <v>207</v>
      </c>
      <c r="O7992" s="345" t="s">
        <v>208</v>
      </c>
      <c r="P7992" s="345" t="s">
        <v>209</v>
      </c>
      <c r="Q7992" s="345" t="s">
        <v>210</v>
      </c>
      <c r="R7992" s="345" t="s">
        <v>223</v>
      </c>
      <c r="S7992" s="345" t="s">
        <v>224</v>
      </c>
    </row>
    <row r="7993" spans="1:19" x14ac:dyDescent="0.25">
      <c r="A7993" s="311"/>
      <c r="B7993" s="312"/>
      <c r="C7993" s="312"/>
      <c r="D7993" s="312"/>
      <c r="E7993" s="312"/>
      <c r="F7993" s="312"/>
      <c r="G7993" s="328"/>
      <c r="H7993" s="453"/>
      <c r="I7993" s="334"/>
      <c r="J7993" s="314"/>
      <c r="K7993" s="454"/>
      <c r="M7993" s="349" t="str">
        <f>N7993&amp;AS[[#This Row],[Insurer Code]]&amp;"; "&amp;O7993&amp;AS[[#This Row],[Reporting Year]]&amp;"; "&amp;P7993&amp;AS[[#This Row],[Insurance Category Code]]&amp;"; "&amp;Q7993&amp;AS[[#This Row],[Large Provider Entity Code]]&amp;"; "&amp;R7993&amp;AS[[#This Row],[Age Band Code]]&amp;"; "&amp;S7993&amp;AS[[#This Row],[Sex Code]]</f>
        <v xml:space="preserve">Insurer Code ; Reporting Year ; Insurance Category Code ; Large Provider Entity Code ; Age Band Code ; Sex Code </v>
      </c>
      <c r="N7993" s="345" t="s">
        <v>207</v>
      </c>
      <c r="O7993" s="345" t="s">
        <v>208</v>
      </c>
      <c r="P7993" s="345" t="s">
        <v>209</v>
      </c>
      <c r="Q7993" s="345" t="s">
        <v>210</v>
      </c>
      <c r="R7993" s="345" t="s">
        <v>223</v>
      </c>
      <c r="S7993" s="345" t="s">
        <v>224</v>
      </c>
    </row>
    <row r="7994" spans="1:19" x14ac:dyDescent="0.25">
      <c r="A7994" s="311"/>
      <c r="B7994" s="312"/>
      <c r="C7994" s="312"/>
      <c r="D7994" s="312"/>
      <c r="E7994" s="312"/>
      <c r="F7994" s="312"/>
      <c r="G7994" s="328"/>
      <c r="H7994" s="453"/>
      <c r="I7994" s="334"/>
      <c r="J7994" s="314"/>
      <c r="K7994" s="454"/>
      <c r="M7994" s="349" t="str">
        <f>N7994&amp;AS[[#This Row],[Insurer Code]]&amp;"; "&amp;O7994&amp;AS[[#This Row],[Reporting Year]]&amp;"; "&amp;P7994&amp;AS[[#This Row],[Insurance Category Code]]&amp;"; "&amp;Q7994&amp;AS[[#This Row],[Large Provider Entity Code]]&amp;"; "&amp;R7994&amp;AS[[#This Row],[Age Band Code]]&amp;"; "&amp;S7994&amp;AS[[#This Row],[Sex Code]]</f>
        <v xml:space="preserve">Insurer Code ; Reporting Year ; Insurance Category Code ; Large Provider Entity Code ; Age Band Code ; Sex Code </v>
      </c>
      <c r="N7994" s="345" t="s">
        <v>207</v>
      </c>
      <c r="O7994" s="345" t="s">
        <v>208</v>
      </c>
      <c r="P7994" s="345" t="s">
        <v>209</v>
      </c>
      <c r="Q7994" s="345" t="s">
        <v>210</v>
      </c>
      <c r="R7994" s="345" t="s">
        <v>223</v>
      </c>
      <c r="S7994" s="345" t="s">
        <v>224</v>
      </c>
    </row>
    <row r="7995" spans="1:19" x14ac:dyDescent="0.25">
      <c r="A7995" s="311"/>
      <c r="B7995" s="312"/>
      <c r="C7995" s="312"/>
      <c r="D7995" s="312"/>
      <c r="E7995" s="312"/>
      <c r="F7995" s="312"/>
      <c r="G7995" s="328"/>
      <c r="H7995" s="453"/>
      <c r="I7995" s="334"/>
      <c r="J7995" s="314"/>
      <c r="K7995" s="454"/>
      <c r="M7995" s="349" t="str">
        <f>N7995&amp;AS[[#This Row],[Insurer Code]]&amp;"; "&amp;O7995&amp;AS[[#This Row],[Reporting Year]]&amp;"; "&amp;P7995&amp;AS[[#This Row],[Insurance Category Code]]&amp;"; "&amp;Q7995&amp;AS[[#This Row],[Large Provider Entity Code]]&amp;"; "&amp;R7995&amp;AS[[#This Row],[Age Band Code]]&amp;"; "&amp;S7995&amp;AS[[#This Row],[Sex Code]]</f>
        <v xml:space="preserve">Insurer Code ; Reporting Year ; Insurance Category Code ; Large Provider Entity Code ; Age Band Code ; Sex Code </v>
      </c>
      <c r="N7995" s="345" t="s">
        <v>207</v>
      </c>
      <c r="O7995" s="345" t="s">
        <v>208</v>
      </c>
      <c r="P7995" s="345" t="s">
        <v>209</v>
      </c>
      <c r="Q7995" s="345" t="s">
        <v>210</v>
      </c>
      <c r="R7995" s="345" t="s">
        <v>223</v>
      </c>
      <c r="S7995" s="345" t="s">
        <v>224</v>
      </c>
    </row>
    <row r="7996" spans="1:19" x14ac:dyDescent="0.25">
      <c r="A7996" s="311"/>
      <c r="B7996" s="312"/>
      <c r="C7996" s="312"/>
      <c r="D7996" s="312"/>
      <c r="E7996" s="312"/>
      <c r="F7996" s="312"/>
      <c r="G7996" s="328"/>
      <c r="H7996" s="453"/>
      <c r="I7996" s="334"/>
      <c r="J7996" s="314"/>
      <c r="K7996" s="454"/>
      <c r="M7996" s="349" t="str">
        <f>N7996&amp;AS[[#This Row],[Insurer Code]]&amp;"; "&amp;O7996&amp;AS[[#This Row],[Reporting Year]]&amp;"; "&amp;P7996&amp;AS[[#This Row],[Insurance Category Code]]&amp;"; "&amp;Q7996&amp;AS[[#This Row],[Large Provider Entity Code]]&amp;"; "&amp;R7996&amp;AS[[#This Row],[Age Band Code]]&amp;"; "&amp;S7996&amp;AS[[#This Row],[Sex Code]]</f>
        <v xml:space="preserve">Insurer Code ; Reporting Year ; Insurance Category Code ; Large Provider Entity Code ; Age Band Code ; Sex Code </v>
      </c>
      <c r="N7996" s="345" t="s">
        <v>207</v>
      </c>
      <c r="O7996" s="345" t="s">
        <v>208</v>
      </c>
      <c r="P7996" s="345" t="s">
        <v>209</v>
      </c>
      <c r="Q7996" s="345" t="s">
        <v>210</v>
      </c>
      <c r="R7996" s="345" t="s">
        <v>223</v>
      </c>
      <c r="S7996" s="345" t="s">
        <v>224</v>
      </c>
    </row>
    <row r="7997" spans="1:19" x14ac:dyDescent="0.25">
      <c r="A7997" s="311"/>
      <c r="B7997" s="312"/>
      <c r="C7997" s="312"/>
      <c r="D7997" s="312"/>
      <c r="E7997" s="312"/>
      <c r="F7997" s="312"/>
      <c r="G7997" s="328"/>
      <c r="H7997" s="453"/>
      <c r="I7997" s="334"/>
      <c r="J7997" s="314"/>
      <c r="K7997" s="454"/>
      <c r="M7997" s="349" t="str">
        <f>N7997&amp;AS[[#This Row],[Insurer Code]]&amp;"; "&amp;O7997&amp;AS[[#This Row],[Reporting Year]]&amp;"; "&amp;P7997&amp;AS[[#This Row],[Insurance Category Code]]&amp;"; "&amp;Q7997&amp;AS[[#This Row],[Large Provider Entity Code]]&amp;"; "&amp;R7997&amp;AS[[#This Row],[Age Band Code]]&amp;"; "&amp;S7997&amp;AS[[#This Row],[Sex Code]]</f>
        <v xml:space="preserve">Insurer Code ; Reporting Year ; Insurance Category Code ; Large Provider Entity Code ; Age Band Code ; Sex Code </v>
      </c>
      <c r="N7997" s="345" t="s">
        <v>207</v>
      </c>
      <c r="O7997" s="345" t="s">
        <v>208</v>
      </c>
      <c r="P7997" s="345" t="s">
        <v>209</v>
      </c>
      <c r="Q7997" s="345" t="s">
        <v>210</v>
      </c>
      <c r="R7997" s="345" t="s">
        <v>223</v>
      </c>
      <c r="S7997" s="345" t="s">
        <v>224</v>
      </c>
    </row>
    <row r="7998" spans="1:19" x14ac:dyDescent="0.25">
      <c r="A7998" s="311"/>
      <c r="B7998" s="312"/>
      <c r="C7998" s="312"/>
      <c r="D7998" s="312"/>
      <c r="E7998" s="312"/>
      <c r="F7998" s="312"/>
      <c r="G7998" s="328"/>
      <c r="H7998" s="453"/>
      <c r="I7998" s="334"/>
      <c r="J7998" s="314"/>
      <c r="K7998" s="454"/>
      <c r="M7998" s="349" t="str">
        <f>N7998&amp;AS[[#This Row],[Insurer Code]]&amp;"; "&amp;O7998&amp;AS[[#This Row],[Reporting Year]]&amp;"; "&amp;P7998&amp;AS[[#This Row],[Insurance Category Code]]&amp;"; "&amp;Q7998&amp;AS[[#This Row],[Large Provider Entity Code]]&amp;"; "&amp;R7998&amp;AS[[#This Row],[Age Band Code]]&amp;"; "&amp;S7998&amp;AS[[#This Row],[Sex Code]]</f>
        <v xml:space="preserve">Insurer Code ; Reporting Year ; Insurance Category Code ; Large Provider Entity Code ; Age Band Code ; Sex Code </v>
      </c>
      <c r="N7998" s="345" t="s">
        <v>207</v>
      </c>
      <c r="O7998" s="345" t="s">
        <v>208</v>
      </c>
      <c r="P7998" s="345" t="s">
        <v>209</v>
      </c>
      <c r="Q7998" s="345" t="s">
        <v>210</v>
      </c>
      <c r="R7998" s="345" t="s">
        <v>223</v>
      </c>
      <c r="S7998" s="345" t="s">
        <v>224</v>
      </c>
    </row>
    <row r="7999" spans="1:19" x14ac:dyDescent="0.25">
      <c r="A7999" s="311"/>
      <c r="B7999" s="312"/>
      <c r="C7999" s="312"/>
      <c r="D7999" s="312"/>
      <c r="E7999" s="312"/>
      <c r="F7999" s="312"/>
      <c r="G7999" s="328"/>
      <c r="H7999" s="453"/>
      <c r="I7999" s="334"/>
      <c r="J7999" s="314"/>
      <c r="K7999" s="454"/>
      <c r="M7999" s="349" t="str">
        <f>N7999&amp;AS[[#This Row],[Insurer Code]]&amp;"; "&amp;O7999&amp;AS[[#This Row],[Reporting Year]]&amp;"; "&amp;P7999&amp;AS[[#This Row],[Insurance Category Code]]&amp;"; "&amp;Q7999&amp;AS[[#This Row],[Large Provider Entity Code]]&amp;"; "&amp;R7999&amp;AS[[#This Row],[Age Band Code]]&amp;"; "&amp;S7999&amp;AS[[#This Row],[Sex Code]]</f>
        <v xml:space="preserve">Insurer Code ; Reporting Year ; Insurance Category Code ; Large Provider Entity Code ; Age Band Code ; Sex Code </v>
      </c>
      <c r="N7999" s="345" t="s">
        <v>207</v>
      </c>
      <c r="O7999" s="345" t="s">
        <v>208</v>
      </c>
      <c r="P7999" s="345" t="s">
        <v>209</v>
      </c>
      <c r="Q7999" s="345" t="s">
        <v>210</v>
      </c>
      <c r="R7999" s="345" t="s">
        <v>223</v>
      </c>
      <c r="S7999" s="345" t="s">
        <v>224</v>
      </c>
    </row>
    <row r="8000" spans="1:19" x14ac:dyDescent="0.25">
      <c r="A8000" s="311"/>
      <c r="B8000" s="312"/>
      <c r="C8000" s="312"/>
      <c r="D8000" s="312"/>
      <c r="E8000" s="312"/>
      <c r="F8000" s="312"/>
      <c r="G8000" s="328"/>
      <c r="H8000" s="453"/>
      <c r="I8000" s="334"/>
      <c r="J8000" s="314"/>
      <c r="K8000" s="454"/>
      <c r="M8000" s="349" t="str">
        <f>N8000&amp;AS[[#This Row],[Insurer Code]]&amp;"; "&amp;O8000&amp;AS[[#This Row],[Reporting Year]]&amp;"; "&amp;P8000&amp;AS[[#This Row],[Insurance Category Code]]&amp;"; "&amp;Q8000&amp;AS[[#This Row],[Large Provider Entity Code]]&amp;"; "&amp;R8000&amp;AS[[#This Row],[Age Band Code]]&amp;"; "&amp;S8000&amp;AS[[#This Row],[Sex Code]]</f>
        <v xml:space="preserve">Insurer Code ; Reporting Year ; Insurance Category Code ; Large Provider Entity Code ; Age Band Code ; Sex Code </v>
      </c>
      <c r="N8000" s="345" t="s">
        <v>207</v>
      </c>
      <c r="O8000" s="345" t="s">
        <v>208</v>
      </c>
      <c r="P8000" s="345" t="s">
        <v>209</v>
      </c>
      <c r="Q8000" s="345" t="s">
        <v>210</v>
      </c>
      <c r="R8000" s="345" t="s">
        <v>223</v>
      </c>
      <c r="S8000" s="345" t="s">
        <v>224</v>
      </c>
    </row>
    <row r="8001" spans="1:19" x14ac:dyDescent="0.25">
      <c r="A8001" s="311"/>
      <c r="B8001" s="312"/>
      <c r="C8001" s="312"/>
      <c r="D8001" s="312"/>
      <c r="E8001" s="312"/>
      <c r="F8001" s="312"/>
      <c r="G8001" s="328"/>
      <c r="H8001" s="453"/>
      <c r="I8001" s="334"/>
      <c r="J8001" s="314"/>
      <c r="K8001" s="454"/>
      <c r="M8001" s="349" t="str">
        <f>N8001&amp;AS[[#This Row],[Insurer Code]]&amp;"; "&amp;O8001&amp;AS[[#This Row],[Reporting Year]]&amp;"; "&amp;P8001&amp;AS[[#This Row],[Insurance Category Code]]&amp;"; "&amp;Q8001&amp;AS[[#This Row],[Large Provider Entity Code]]&amp;"; "&amp;R8001&amp;AS[[#This Row],[Age Band Code]]&amp;"; "&amp;S8001&amp;AS[[#This Row],[Sex Code]]</f>
        <v xml:space="preserve">Insurer Code ; Reporting Year ; Insurance Category Code ; Large Provider Entity Code ; Age Band Code ; Sex Code </v>
      </c>
      <c r="N8001" s="345" t="s">
        <v>207</v>
      </c>
      <c r="O8001" s="345" t="s">
        <v>208</v>
      </c>
      <c r="P8001" s="345" t="s">
        <v>209</v>
      </c>
      <c r="Q8001" s="345" t="s">
        <v>210</v>
      </c>
      <c r="R8001" s="345" t="s">
        <v>223</v>
      </c>
      <c r="S8001" s="345" t="s">
        <v>224</v>
      </c>
    </row>
    <row r="8002" spans="1:19" x14ac:dyDescent="0.25">
      <c r="A8002" s="311"/>
      <c r="B8002" s="312"/>
      <c r="C8002" s="312"/>
      <c r="D8002" s="312"/>
      <c r="E8002" s="312"/>
      <c r="F8002" s="312"/>
      <c r="G8002" s="328"/>
      <c r="H8002" s="453"/>
      <c r="I8002" s="334"/>
      <c r="J8002" s="314"/>
      <c r="K8002" s="454"/>
      <c r="M8002" s="349" t="str">
        <f>N8002&amp;AS[[#This Row],[Insurer Code]]&amp;"; "&amp;O8002&amp;AS[[#This Row],[Reporting Year]]&amp;"; "&amp;P8002&amp;AS[[#This Row],[Insurance Category Code]]&amp;"; "&amp;Q8002&amp;AS[[#This Row],[Large Provider Entity Code]]&amp;"; "&amp;R8002&amp;AS[[#This Row],[Age Band Code]]&amp;"; "&amp;S8002&amp;AS[[#This Row],[Sex Code]]</f>
        <v xml:space="preserve">Insurer Code ; Reporting Year ; Insurance Category Code ; Large Provider Entity Code ; Age Band Code ; Sex Code </v>
      </c>
      <c r="N8002" s="345" t="s">
        <v>207</v>
      </c>
      <c r="O8002" s="345" t="s">
        <v>208</v>
      </c>
      <c r="P8002" s="345" t="s">
        <v>209</v>
      </c>
      <c r="Q8002" s="345" t="s">
        <v>210</v>
      </c>
      <c r="R8002" s="345" t="s">
        <v>223</v>
      </c>
      <c r="S8002" s="345" t="s">
        <v>224</v>
      </c>
    </row>
    <row r="8003" spans="1:19" x14ac:dyDescent="0.25">
      <c r="A8003" s="311"/>
      <c r="B8003" s="312"/>
      <c r="C8003" s="312"/>
      <c r="D8003" s="312"/>
      <c r="E8003" s="312"/>
      <c r="F8003" s="312"/>
      <c r="G8003" s="328"/>
      <c r="H8003" s="453"/>
      <c r="I8003" s="334"/>
      <c r="J8003" s="314"/>
      <c r="K8003" s="454"/>
      <c r="M8003" s="349" t="str">
        <f>N8003&amp;AS[[#This Row],[Insurer Code]]&amp;"; "&amp;O8003&amp;AS[[#This Row],[Reporting Year]]&amp;"; "&amp;P8003&amp;AS[[#This Row],[Insurance Category Code]]&amp;"; "&amp;Q8003&amp;AS[[#This Row],[Large Provider Entity Code]]&amp;"; "&amp;R8003&amp;AS[[#This Row],[Age Band Code]]&amp;"; "&amp;S8003&amp;AS[[#This Row],[Sex Code]]</f>
        <v xml:space="preserve">Insurer Code ; Reporting Year ; Insurance Category Code ; Large Provider Entity Code ; Age Band Code ; Sex Code </v>
      </c>
      <c r="N8003" s="345" t="s">
        <v>207</v>
      </c>
      <c r="O8003" s="345" t="s">
        <v>208</v>
      </c>
      <c r="P8003" s="345" t="s">
        <v>209</v>
      </c>
      <c r="Q8003" s="345" t="s">
        <v>210</v>
      </c>
      <c r="R8003" s="345" t="s">
        <v>223</v>
      </c>
      <c r="S8003" s="345" t="s">
        <v>224</v>
      </c>
    </row>
    <row r="8004" spans="1:19" x14ac:dyDescent="0.25">
      <c r="A8004" s="311"/>
      <c r="B8004" s="312"/>
      <c r="C8004" s="312"/>
      <c r="D8004" s="312"/>
      <c r="E8004" s="312"/>
      <c r="F8004" s="312"/>
      <c r="G8004" s="328"/>
      <c r="H8004" s="453"/>
      <c r="I8004" s="334"/>
      <c r="J8004" s="314"/>
      <c r="K8004" s="454"/>
      <c r="M8004" s="349" t="str">
        <f>N8004&amp;AS[[#This Row],[Insurer Code]]&amp;"; "&amp;O8004&amp;AS[[#This Row],[Reporting Year]]&amp;"; "&amp;P8004&amp;AS[[#This Row],[Insurance Category Code]]&amp;"; "&amp;Q8004&amp;AS[[#This Row],[Large Provider Entity Code]]&amp;"; "&amp;R8004&amp;AS[[#This Row],[Age Band Code]]&amp;"; "&amp;S8004&amp;AS[[#This Row],[Sex Code]]</f>
        <v xml:space="preserve">Insurer Code ; Reporting Year ; Insurance Category Code ; Large Provider Entity Code ; Age Band Code ; Sex Code </v>
      </c>
      <c r="N8004" s="345" t="s">
        <v>207</v>
      </c>
      <c r="O8004" s="345" t="s">
        <v>208</v>
      </c>
      <c r="P8004" s="345" t="s">
        <v>209</v>
      </c>
      <c r="Q8004" s="345" t="s">
        <v>210</v>
      </c>
      <c r="R8004" s="345" t="s">
        <v>223</v>
      </c>
      <c r="S8004" s="345" t="s">
        <v>224</v>
      </c>
    </row>
    <row r="8005" spans="1:19" x14ac:dyDescent="0.25">
      <c r="A8005" s="311"/>
      <c r="B8005" s="312"/>
      <c r="C8005" s="312"/>
      <c r="D8005" s="312"/>
      <c r="E8005" s="312"/>
      <c r="F8005" s="312"/>
      <c r="G8005" s="328"/>
      <c r="H8005" s="453"/>
      <c r="I8005" s="334"/>
      <c r="J8005" s="314"/>
      <c r="K8005" s="454"/>
      <c r="M8005" s="349" t="str">
        <f>N8005&amp;AS[[#This Row],[Insurer Code]]&amp;"; "&amp;O8005&amp;AS[[#This Row],[Reporting Year]]&amp;"; "&amp;P8005&amp;AS[[#This Row],[Insurance Category Code]]&amp;"; "&amp;Q8005&amp;AS[[#This Row],[Large Provider Entity Code]]&amp;"; "&amp;R8005&amp;AS[[#This Row],[Age Band Code]]&amp;"; "&amp;S8005&amp;AS[[#This Row],[Sex Code]]</f>
        <v xml:space="preserve">Insurer Code ; Reporting Year ; Insurance Category Code ; Large Provider Entity Code ; Age Band Code ; Sex Code </v>
      </c>
      <c r="N8005" s="345" t="s">
        <v>207</v>
      </c>
      <c r="O8005" s="345" t="s">
        <v>208</v>
      </c>
      <c r="P8005" s="345" t="s">
        <v>209</v>
      </c>
      <c r="Q8005" s="345" t="s">
        <v>210</v>
      </c>
      <c r="R8005" s="345" t="s">
        <v>223</v>
      </c>
      <c r="S8005" s="345" t="s">
        <v>224</v>
      </c>
    </row>
    <row r="8006" spans="1:19" x14ac:dyDescent="0.25">
      <c r="A8006" s="311"/>
      <c r="B8006" s="312"/>
      <c r="C8006" s="312"/>
      <c r="D8006" s="312"/>
      <c r="E8006" s="312"/>
      <c r="F8006" s="312"/>
      <c r="G8006" s="328"/>
      <c r="H8006" s="453"/>
      <c r="I8006" s="334"/>
      <c r="J8006" s="314"/>
      <c r="K8006" s="454"/>
      <c r="M8006" s="349" t="str">
        <f>N8006&amp;AS[[#This Row],[Insurer Code]]&amp;"; "&amp;O8006&amp;AS[[#This Row],[Reporting Year]]&amp;"; "&amp;P8006&amp;AS[[#This Row],[Insurance Category Code]]&amp;"; "&amp;Q8006&amp;AS[[#This Row],[Large Provider Entity Code]]&amp;"; "&amp;R8006&amp;AS[[#This Row],[Age Band Code]]&amp;"; "&amp;S8006&amp;AS[[#This Row],[Sex Code]]</f>
        <v xml:space="preserve">Insurer Code ; Reporting Year ; Insurance Category Code ; Large Provider Entity Code ; Age Band Code ; Sex Code </v>
      </c>
      <c r="N8006" s="345" t="s">
        <v>207</v>
      </c>
      <c r="O8006" s="345" t="s">
        <v>208</v>
      </c>
      <c r="P8006" s="345" t="s">
        <v>209</v>
      </c>
      <c r="Q8006" s="345" t="s">
        <v>210</v>
      </c>
      <c r="R8006" s="345" t="s">
        <v>223</v>
      </c>
      <c r="S8006" s="345" t="s">
        <v>224</v>
      </c>
    </row>
    <row r="8007" spans="1:19" x14ac:dyDescent="0.25">
      <c r="A8007" s="311"/>
      <c r="B8007" s="312"/>
      <c r="C8007" s="312"/>
      <c r="D8007" s="312"/>
      <c r="E8007" s="312"/>
      <c r="F8007" s="312"/>
      <c r="G8007" s="328"/>
      <c r="H8007" s="453"/>
      <c r="I8007" s="334"/>
      <c r="J8007" s="314"/>
      <c r="K8007" s="454"/>
      <c r="M8007" s="349" t="str">
        <f>N8007&amp;AS[[#This Row],[Insurer Code]]&amp;"; "&amp;O8007&amp;AS[[#This Row],[Reporting Year]]&amp;"; "&amp;P8007&amp;AS[[#This Row],[Insurance Category Code]]&amp;"; "&amp;Q8007&amp;AS[[#This Row],[Large Provider Entity Code]]&amp;"; "&amp;R8007&amp;AS[[#This Row],[Age Band Code]]&amp;"; "&amp;S8007&amp;AS[[#This Row],[Sex Code]]</f>
        <v xml:space="preserve">Insurer Code ; Reporting Year ; Insurance Category Code ; Large Provider Entity Code ; Age Band Code ; Sex Code </v>
      </c>
      <c r="N8007" s="345" t="s">
        <v>207</v>
      </c>
      <c r="O8007" s="345" t="s">
        <v>208</v>
      </c>
      <c r="P8007" s="345" t="s">
        <v>209</v>
      </c>
      <c r="Q8007" s="345" t="s">
        <v>210</v>
      </c>
      <c r="R8007" s="345" t="s">
        <v>223</v>
      </c>
      <c r="S8007" s="345" t="s">
        <v>224</v>
      </c>
    </row>
    <row r="8008" spans="1:19" x14ac:dyDescent="0.25">
      <c r="A8008" s="311"/>
      <c r="B8008" s="312"/>
      <c r="C8008" s="312"/>
      <c r="D8008" s="312"/>
      <c r="E8008" s="312"/>
      <c r="F8008" s="312"/>
      <c r="G8008" s="328"/>
      <c r="H8008" s="453"/>
      <c r="I8008" s="334"/>
      <c r="J8008" s="314"/>
      <c r="K8008" s="454"/>
      <c r="M8008" s="349" t="str">
        <f>N8008&amp;AS[[#This Row],[Insurer Code]]&amp;"; "&amp;O8008&amp;AS[[#This Row],[Reporting Year]]&amp;"; "&amp;P8008&amp;AS[[#This Row],[Insurance Category Code]]&amp;"; "&amp;Q8008&amp;AS[[#This Row],[Large Provider Entity Code]]&amp;"; "&amp;R8008&amp;AS[[#This Row],[Age Band Code]]&amp;"; "&amp;S8008&amp;AS[[#This Row],[Sex Code]]</f>
        <v xml:space="preserve">Insurer Code ; Reporting Year ; Insurance Category Code ; Large Provider Entity Code ; Age Band Code ; Sex Code </v>
      </c>
      <c r="N8008" s="345" t="s">
        <v>207</v>
      </c>
      <c r="O8008" s="345" t="s">
        <v>208</v>
      </c>
      <c r="P8008" s="345" t="s">
        <v>209</v>
      </c>
      <c r="Q8008" s="345" t="s">
        <v>210</v>
      </c>
      <c r="R8008" s="345" t="s">
        <v>223</v>
      </c>
      <c r="S8008" s="345" t="s">
        <v>224</v>
      </c>
    </row>
    <row r="8009" spans="1:19" x14ac:dyDescent="0.25">
      <c r="A8009" s="311"/>
      <c r="B8009" s="312"/>
      <c r="C8009" s="312"/>
      <c r="D8009" s="312"/>
      <c r="E8009" s="312"/>
      <c r="F8009" s="312"/>
      <c r="G8009" s="328"/>
      <c r="H8009" s="453"/>
      <c r="I8009" s="334"/>
      <c r="J8009" s="314"/>
      <c r="K8009" s="454"/>
      <c r="M8009" s="349" t="str">
        <f>N8009&amp;AS[[#This Row],[Insurer Code]]&amp;"; "&amp;O8009&amp;AS[[#This Row],[Reporting Year]]&amp;"; "&amp;P8009&amp;AS[[#This Row],[Insurance Category Code]]&amp;"; "&amp;Q8009&amp;AS[[#This Row],[Large Provider Entity Code]]&amp;"; "&amp;R8009&amp;AS[[#This Row],[Age Band Code]]&amp;"; "&amp;S8009&amp;AS[[#This Row],[Sex Code]]</f>
        <v xml:space="preserve">Insurer Code ; Reporting Year ; Insurance Category Code ; Large Provider Entity Code ; Age Band Code ; Sex Code </v>
      </c>
      <c r="N8009" s="345" t="s">
        <v>207</v>
      </c>
      <c r="O8009" s="345" t="s">
        <v>208</v>
      </c>
      <c r="P8009" s="345" t="s">
        <v>209</v>
      </c>
      <c r="Q8009" s="345" t="s">
        <v>210</v>
      </c>
      <c r="R8009" s="345" t="s">
        <v>223</v>
      </c>
      <c r="S8009" s="345" t="s">
        <v>224</v>
      </c>
    </row>
    <row r="8010" spans="1:19" x14ac:dyDescent="0.25">
      <c r="A8010" s="311"/>
      <c r="B8010" s="312"/>
      <c r="C8010" s="312"/>
      <c r="D8010" s="312"/>
      <c r="E8010" s="312"/>
      <c r="F8010" s="312"/>
      <c r="G8010" s="328"/>
      <c r="H8010" s="453"/>
      <c r="I8010" s="334"/>
      <c r="J8010" s="314"/>
      <c r="K8010" s="454"/>
      <c r="M8010" s="349" t="str">
        <f>N8010&amp;AS[[#This Row],[Insurer Code]]&amp;"; "&amp;O8010&amp;AS[[#This Row],[Reporting Year]]&amp;"; "&amp;P8010&amp;AS[[#This Row],[Insurance Category Code]]&amp;"; "&amp;Q8010&amp;AS[[#This Row],[Large Provider Entity Code]]&amp;"; "&amp;R8010&amp;AS[[#This Row],[Age Band Code]]&amp;"; "&amp;S8010&amp;AS[[#This Row],[Sex Code]]</f>
        <v xml:space="preserve">Insurer Code ; Reporting Year ; Insurance Category Code ; Large Provider Entity Code ; Age Band Code ; Sex Code </v>
      </c>
      <c r="N8010" s="345" t="s">
        <v>207</v>
      </c>
      <c r="O8010" s="345" t="s">
        <v>208</v>
      </c>
      <c r="P8010" s="345" t="s">
        <v>209</v>
      </c>
      <c r="Q8010" s="345" t="s">
        <v>210</v>
      </c>
      <c r="R8010" s="345" t="s">
        <v>223</v>
      </c>
      <c r="S8010" s="345" t="s">
        <v>224</v>
      </c>
    </row>
    <row r="8011" spans="1:19" x14ac:dyDescent="0.25">
      <c r="A8011" s="311"/>
      <c r="B8011" s="312"/>
      <c r="C8011" s="312"/>
      <c r="D8011" s="312"/>
      <c r="E8011" s="312"/>
      <c r="F8011" s="312"/>
      <c r="G8011" s="328"/>
      <c r="H8011" s="453"/>
      <c r="I8011" s="334"/>
      <c r="J8011" s="314"/>
      <c r="K8011" s="454"/>
      <c r="M8011" s="349" t="str">
        <f>N8011&amp;AS[[#This Row],[Insurer Code]]&amp;"; "&amp;O8011&amp;AS[[#This Row],[Reporting Year]]&amp;"; "&amp;P8011&amp;AS[[#This Row],[Insurance Category Code]]&amp;"; "&amp;Q8011&amp;AS[[#This Row],[Large Provider Entity Code]]&amp;"; "&amp;R8011&amp;AS[[#This Row],[Age Band Code]]&amp;"; "&amp;S8011&amp;AS[[#This Row],[Sex Code]]</f>
        <v xml:space="preserve">Insurer Code ; Reporting Year ; Insurance Category Code ; Large Provider Entity Code ; Age Band Code ; Sex Code </v>
      </c>
      <c r="N8011" s="345" t="s">
        <v>207</v>
      </c>
      <c r="O8011" s="345" t="s">
        <v>208</v>
      </c>
      <c r="P8011" s="345" t="s">
        <v>209</v>
      </c>
      <c r="Q8011" s="345" t="s">
        <v>210</v>
      </c>
      <c r="R8011" s="345" t="s">
        <v>223</v>
      </c>
      <c r="S8011" s="345" t="s">
        <v>224</v>
      </c>
    </row>
    <row r="8012" spans="1:19" x14ac:dyDescent="0.25">
      <c r="A8012" s="311"/>
      <c r="B8012" s="312"/>
      <c r="C8012" s="312"/>
      <c r="D8012" s="312"/>
      <c r="E8012" s="312"/>
      <c r="F8012" s="312"/>
      <c r="G8012" s="328"/>
      <c r="H8012" s="453"/>
      <c r="I8012" s="334"/>
      <c r="J8012" s="314"/>
      <c r="K8012" s="454"/>
      <c r="M8012" s="349" t="str">
        <f>N8012&amp;AS[[#This Row],[Insurer Code]]&amp;"; "&amp;O8012&amp;AS[[#This Row],[Reporting Year]]&amp;"; "&amp;P8012&amp;AS[[#This Row],[Insurance Category Code]]&amp;"; "&amp;Q8012&amp;AS[[#This Row],[Large Provider Entity Code]]&amp;"; "&amp;R8012&amp;AS[[#This Row],[Age Band Code]]&amp;"; "&amp;S8012&amp;AS[[#This Row],[Sex Code]]</f>
        <v xml:space="preserve">Insurer Code ; Reporting Year ; Insurance Category Code ; Large Provider Entity Code ; Age Band Code ; Sex Code </v>
      </c>
      <c r="N8012" s="345" t="s">
        <v>207</v>
      </c>
      <c r="O8012" s="345" t="s">
        <v>208</v>
      </c>
      <c r="P8012" s="345" t="s">
        <v>209</v>
      </c>
      <c r="Q8012" s="345" t="s">
        <v>210</v>
      </c>
      <c r="R8012" s="345" t="s">
        <v>223</v>
      </c>
      <c r="S8012" s="345" t="s">
        <v>224</v>
      </c>
    </row>
    <row r="8013" spans="1:19" x14ac:dyDescent="0.25">
      <c r="A8013" s="311"/>
      <c r="B8013" s="312"/>
      <c r="C8013" s="312"/>
      <c r="D8013" s="312"/>
      <c r="E8013" s="312"/>
      <c r="F8013" s="312"/>
      <c r="G8013" s="328"/>
      <c r="H8013" s="453"/>
      <c r="I8013" s="334"/>
      <c r="J8013" s="314"/>
      <c r="K8013" s="454"/>
      <c r="M8013" s="349" t="str">
        <f>N8013&amp;AS[[#This Row],[Insurer Code]]&amp;"; "&amp;O8013&amp;AS[[#This Row],[Reporting Year]]&amp;"; "&amp;P8013&amp;AS[[#This Row],[Insurance Category Code]]&amp;"; "&amp;Q8013&amp;AS[[#This Row],[Large Provider Entity Code]]&amp;"; "&amp;R8013&amp;AS[[#This Row],[Age Band Code]]&amp;"; "&amp;S8013&amp;AS[[#This Row],[Sex Code]]</f>
        <v xml:space="preserve">Insurer Code ; Reporting Year ; Insurance Category Code ; Large Provider Entity Code ; Age Band Code ; Sex Code </v>
      </c>
      <c r="N8013" s="345" t="s">
        <v>207</v>
      </c>
      <c r="O8013" s="345" t="s">
        <v>208</v>
      </c>
      <c r="P8013" s="345" t="s">
        <v>209</v>
      </c>
      <c r="Q8013" s="345" t="s">
        <v>210</v>
      </c>
      <c r="R8013" s="345" t="s">
        <v>223</v>
      </c>
      <c r="S8013" s="345" t="s">
        <v>224</v>
      </c>
    </row>
    <row r="8014" spans="1:19" x14ac:dyDescent="0.25">
      <c r="A8014" s="311"/>
      <c r="B8014" s="312"/>
      <c r="C8014" s="312"/>
      <c r="D8014" s="312"/>
      <c r="E8014" s="312"/>
      <c r="F8014" s="312"/>
      <c r="G8014" s="328"/>
      <c r="H8014" s="453"/>
      <c r="I8014" s="334"/>
      <c r="J8014" s="314"/>
      <c r="K8014" s="454"/>
      <c r="M8014" s="349" t="str">
        <f>N8014&amp;AS[[#This Row],[Insurer Code]]&amp;"; "&amp;O8014&amp;AS[[#This Row],[Reporting Year]]&amp;"; "&amp;P8014&amp;AS[[#This Row],[Insurance Category Code]]&amp;"; "&amp;Q8014&amp;AS[[#This Row],[Large Provider Entity Code]]&amp;"; "&amp;R8014&amp;AS[[#This Row],[Age Band Code]]&amp;"; "&amp;S8014&amp;AS[[#This Row],[Sex Code]]</f>
        <v xml:space="preserve">Insurer Code ; Reporting Year ; Insurance Category Code ; Large Provider Entity Code ; Age Band Code ; Sex Code </v>
      </c>
      <c r="N8014" s="345" t="s">
        <v>207</v>
      </c>
      <c r="O8014" s="345" t="s">
        <v>208</v>
      </c>
      <c r="P8014" s="345" t="s">
        <v>209</v>
      </c>
      <c r="Q8014" s="345" t="s">
        <v>210</v>
      </c>
      <c r="R8014" s="345" t="s">
        <v>223</v>
      </c>
      <c r="S8014" s="345" t="s">
        <v>224</v>
      </c>
    </row>
    <row r="8015" spans="1:19" x14ac:dyDescent="0.25">
      <c r="A8015" s="311"/>
      <c r="B8015" s="312"/>
      <c r="C8015" s="312"/>
      <c r="D8015" s="312"/>
      <c r="E8015" s="312"/>
      <c r="F8015" s="312"/>
      <c r="G8015" s="328"/>
      <c r="H8015" s="453"/>
      <c r="I8015" s="334"/>
      <c r="J8015" s="314"/>
      <c r="K8015" s="454"/>
      <c r="M8015" s="349" t="str">
        <f>N8015&amp;AS[[#This Row],[Insurer Code]]&amp;"; "&amp;O8015&amp;AS[[#This Row],[Reporting Year]]&amp;"; "&amp;P8015&amp;AS[[#This Row],[Insurance Category Code]]&amp;"; "&amp;Q8015&amp;AS[[#This Row],[Large Provider Entity Code]]&amp;"; "&amp;R8015&amp;AS[[#This Row],[Age Band Code]]&amp;"; "&amp;S8015&amp;AS[[#This Row],[Sex Code]]</f>
        <v xml:space="preserve">Insurer Code ; Reporting Year ; Insurance Category Code ; Large Provider Entity Code ; Age Band Code ; Sex Code </v>
      </c>
      <c r="N8015" s="345" t="s">
        <v>207</v>
      </c>
      <c r="O8015" s="345" t="s">
        <v>208</v>
      </c>
      <c r="P8015" s="345" t="s">
        <v>209</v>
      </c>
      <c r="Q8015" s="345" t="s">
        <v>210</v>
      </c>
      <c r="R8015" s="345" t="s">
        <v>223</v>
      </c>
      <c r="S8015" s="345" t="s">
        <v>224</v>
      </c>
    </row>
    <row r="8016" spans="1:19" x14ac:dyDescent="0.25">
      <c r="A8016" s="311"/>
      <c r="B8016" s="312"/>
      <c r="C8016" s="312"/>
      <c r="D8016" s="312"/>
      <c r="E8016" s="312"/>
      <c r="F8016" s="312"/>
      <c r="G8016" s="328"/>
      <c r="H8016" s="453"/>
      <c r="I8016" s="334"/>
      <c r="J8016" s="314"/>
      <c r="K8016" s="454"/>
      <c r="M8016" s="349" t="str">
        <f>N8016&amp;AS[[#This Row],[Insurer Code]]&amp;"; "&amp;O8016&amp;AS[[#This Row],[Reporting Year]]&amp;"; "&amp;P8016&amp;AS[[#This Row],[Insurance Category Code]]&amp;"; "&amp;Q8016&amp;AS[[#This Row],[Large Provider Entity Code]]&amp;"; "&amp;R8016&amp;AS[[#This Row],[Age Band Code]]&amp;"; "&amp;S8016&amp;AS[[#This Row],[Sex Code]]</f>
        <v xml:space="preserve">Insurer Code ; Reporting Year ; Insurance Category Code ; Large Provider Entity Code ; Age Band Code ; Sex Code </v>
      </c>
      <c r="N8016" s="345" t="s">
        <v>207</v>
      </c>
      <c r="O8016" s="345" t="s">
        <v>208</v>
      </c>
      <c r="P8016" s="345" t="s">
        <v>209</v>
      </c>
      <c r="Q8016" s="345" t="s">
        <v>210</v>
      </c>
      <c r="R8016" s="345" t="s">
        <v>223</v>
      </c>
      <c r="S8016" s="345" t="s">
        <v>224</v>
      </c>
    </row>
    <row r="8017" spans="1:19" x14ac:dyDescent="0.25">
      <c r="A8017" s="311"/>
      <c r="B8017" s="312"/>
      <c r="C8017" s="312"/>
      <c r="D8017" s="312"/>
      <c r="E8017" s="312"/>
      <c r="F8017" s="312"/>
      <c r="G8017" s="328"/>
      <c r="H8017" s="453"/>
      <c r="I8017" s="334"/>
      <c r="J8017" s="314"/>
      <c r="K8017" s="454"/>
      <c r="M8017" s="349" t="str">
        <f>N8017&amp;AS[[#This Row],[Insurer Code]]&amp;"; "&amp;O8017&amp;AS[[#This Row],[Reporting Year]]&amp;"; "&amp;P8017&amp;AS[[#This Row],[Insurance Category Code]]&amp;"; "&amp;Q8017&amp;AS[[#This Row],[Large Provider Entity Code]]&amp;"; "&amp;R8017&amp;AS[[#This Row],[Age Band Code]]&amp;"; "&amp;S8017&amp;AS[[#This Row],[Sex Code]]</f>
        <v xml:space="preserve">Insurer Code ; Reporting Year ; Insurance Category Code ; Large Provider Entity Code ; Age Band Code ; Sex Code </v>
      </c>
      <c r="N8017" s="345" t="s">
        <v>207</v>
      </c>
      <c r="O8017" s="345" t="s">
        <v>208</v>
      </c>
      <c r="P8017" s="345" t="s">
        <v>209</v>
      </c>
      <c r="Q8017" s="345" t="s">
        <v>210</v>
      </c>
      <c r="R8017" s="345" t="s">
        <v>223</v>
      </c>
      <c r="S8017" s="345" t="s">
        <v>224</v>
      </c>
    </row>
    <row r="8018" spans="1:19" x14ac:dyDescent="0.25">
      <c r="A8018" s="311"/>
      <c r="B8018" s="312"/>
      <c r="C8018" s="312"/>
      <c r="D8018" s="312"/>
      <c r="E8018" s="312"/>
      <c r="F8018" s="312"/>
      <c r="G8018" s="328"/>
      <c r="H8018" s="453"/>
      <c r="I8018" s="334"/>
      <c r="J8018" s="314"/>
      <c r="K8018" s="454"/>
      <c r="M8018" s="349" t="str">
        <f>N8018&amp;AS[[#This Row],[Insurer Code]]&amp;"; "&amp;O8018&amp;AS[[#This Row],[Reporting Year]]&amp;"; "&amp;P8018&amp;AS[[#This Row],[Insurance Category Code]]&amp;"; "&amp;Q8018&amp;AS[[#This Row],[Large Provider Entity Code]]&amp;"; "&amp;R8018&amp;AS[[#This Row],[Age Band Code]]&amp;"; "&amp;S8018&amp;AS[[#This Row],[Sex Code]]</f>
        <v xml:space="preserve">Insurer Code ; Reporting Year ; Insurance Category Code ; Large Provider Entity Code ; Age Band Code ; Sex Code </v>
      </c>
      <c r="N8018" s="345" t="s">
        <v>207</v>
      </c>
      <c r="O8018" s="345" t="s">
        <v>208</v>
      </c>
      <c r="P8018" s="345" t="s">
        <v>209</v>
      </c>
      <c r="Q8018" s="345" t="s">
        <v>210</v>
      </c>
      <c r="R8018" s="345" t="s">
        <v>223</v>
      </c>
      <c r="S8018" s="345" t="s">
        <v>224</v>
      </c>
    </row>
    <row r="8019" spans="1:19" x14ac:dyDescent="0.25">
      <c r="A8019" s="311"/>
      <c r="B8019" s="312"/>
      <c r="C8019" s="312"/>
      <c r="D8019" s="312"/>
      <c r="E8019" s="312"/>
      <c r="F8019" s="312"/>
      <c r="G8019" s="328"/>
      <c r="H8019" s="453"/>
      <c r="I8019" s="334"/>
      <c r="J8019" s="314"/>
      <c r="K8019" s="454"/>
      <c r="M8019" s="349" t="str">
        <f>N8019&amp;AS[[#This Row],[Insurer Code]]&amp;"; "&amp;O8019&amp;AS[[#This Row],[Reporting Year]]&amp;"; "&amp;P8019&amp;AS[[#This Row],[Insurance Category Code]]&amp;"; "&amp;Q8019&amp;AS[[#This Row],[Large Provider Entity Code]]&amp;"; "&amp;R8019&amp;AS[[#This Row],[Age Band Code]]&amp;"; "&amp;S8019&amp;AS[[#This Row],[Sex Code]]</f>
        <v xml:space="preserve">Insurer Code ; Reporting Year ; Insurance Category Code ; Large Provider Entity Code ; Age Band Code ; Sex Code </v>
      </c>
      <c r="N8019" s="345" t="s">
        <v>207</v>
      </c>
      <c r="O8019" s="345" t="s">
        <v>208</v>
      </c>
      <c r="P8019" s="345" t="s">
        <v>209</v>
      </c>
      <c r="Q8019" s="345" t="s">
        <v>210</v>
      </c>
      <c r="R8019" s="345" t="s">
        <v>223</v>
      </c>
      <c r="S8019" s="345" t="s">
        <v>224</v>
      </c>
    </row>
    <row r="8020" spans="1:19" x14ac:dyDescent="0.25">
      <c r="A8020" s="311"/>
      <c r="B8020" s="312"/>
      <c r="C8020" s="312"/>
      <c r="D8020" s="312"/>
      <c r="E8020" s="312"/>
      <c r="F8020" s="312"/>
      <c r="G8020" s="328"/>
      <c r="H8020" s="453"/>
      <c r="I8020" s="334"/>
      <c r="J8020" s="314"/>
      <c r="K8020" s="454"/>
      <c r="M8020" s="349" t="str">
        <f>N8020&amp;AS[[#This Row],[Insurer Code]]&amp;"; "&amp;O8020&amp;AS[[#This Row],[Reporting Year]]&amp;"; "&amp;P8020&amp;AS[[#This Row],[Insurance Category Code]]&amp;"; "&amp;Q8020&amp;AS[[#This Row],[Large Provider Entity Code]]&amp;"; "&amp;R8020&amp;AS[[#This Row],[Age Band Code]]&amp;"; "&amp;S8020&amp;AS[[#This Row],[Sex Code]]</f>
        <v xml:space="preserve">Insurer Code ; Reporting Year ; Insurance Category Code ; Large Provider Entity Code ; Age Band Code ; Sex Code </v>
      </c>
      <c r="N8020" s="345" t="s">
        <v>207</v>
      </c>
      <c r="O8020" s="345" t="s">
        <v>208</v>
      </c>
      <c r="P8020" s="345" t="s">
        <v>209</v>
      </c>
      <c r="Q8020" s="345" t="s">
        <v>210</v>
      </c>
      <c r="R8020" s="345" t="s">
        <v>223</v>
      </c>
      <c r="S8020" s="345" t="s">
        <v>224</v>
      </c>
    </row>
    <row r="8021" spans="1:19" x14ac:dyDescent="0.25">
      <c r="A8021" s="311"/>
      <c r="B8021" s="312"/>
      <c r="C8021" s="312"/>
      <c r="D8021" s="312"/>
      <c r="E8021" s="312"/>
      <c r="F8021" s="312"/>
      <c r="G8021" s="328"/>
      <c r="H8021" s="453"/>
      <c r="I8021" s="334"/>
      <c r="J8021" s="314"/>
      <c r="K8021" s="454"/>
      <c r="M8021" s="349" t="str">
        <f>N8021&amp;AS[[#This Row],[Insurer Code]]&amp;"; "&amp;O8021&amp;AS[[#This Row],[Reporting Year]]&amp;"; "&amp;P8021&amp;AS[[#This Row],[Insurance Category Code]]&amp;"; "&amp;Q8021&amp;AS[[#This Row],[Large Provider Entity Code]]&amp;"; "&amp;R8021&amp;AS[[#This Row],[Age Band Code]]&amp;"; "&amp;S8021&amp;AS[[#This Row],[Sex Code]]</f>
        <v xml:space="preserve">Insurer Code ; Reporting Year ; Insurance Category Code ; Large Provider Entity Code ; Age Band Code ; Sex Code </v>
      </c>
      <c r="N8021" s="345" t="s">
        <v>207</v>
      </c>
      <c r="O8021" s="345" t="s">
        <v>208</v>
      </c>
      <c r="P8021" s="345" t="s">
        <v>209</v>
      </c>
      <c r="Q8021" s="345" t="s">
        <v>210</v>
      </c>
      <c r="R8021" s="345" t="s">
        <v>223</v>
      </c>
      <c r="S8021" s="345" t="s">
        <v>224</v>
      </c>
    </row>
    <row r="8022" spans="1:19" x14ac:dyDescent="0.25">
      <c r="A8022" s="311"/>
      <c r="B8022" s="312"/>
      <c r="C8022" s="312"/>
      <c r="D8022" s="312"/>
      <c r="E8022" s="312"/>
      <c r="F8022" s="312"/>
      <c r="G8022" s="328"/>
      <c r="H8022" s="453"/>
      <c r="I8022" s="334"/>
      <c r="J8022" s="314"/>
      <c r="K8022" s="454"/>
      <c r="M8022" s="349" t="str">
        <f>N8022&amp;AS[[#This Row],[Insurer Code]]&amp;"; "&amp;O8022&amp;AS[[#This Row],[Reporting Year]]&amp;"; "&amp;P8022&amp;AS[[#This Row],[Insurance Category Code]]&amp;"; "&amp;Q8022&amp;AS[[#This Row],[Large Provider Entity Code]]&amp;"; "&amp;R8022&amp;AS[[#This Row],[Age Band Code]]&amp;"; "&amp;S8022&amp;AS[[#This Row],[Sex Code]]</f>
        <v xml:space="preserve">Insurer Code ; Reporting Year ; Insurance Category Code ; Large Provider Entity Code ; Age Band Code ; Sex Code </v>
      </c>
      <c r="N8022" s="345" t="s">
        <v>207</v>
      </c>
      <c r="O8022" s="345" t="s">
        <v>208</v>
      </c>
      <c r="P8022" s="345" t="s">
        <v>209</v>
      </c>
      <c r="Q8022" s="345" t="s">
        <v>210</v>
      </c>
      <c r="R8022" s="345" t="s">
        <v>223</v>
      </c>
      <c r="S8022" s="345" t="s">
        <v>224</v>
      </c>
    </row>
    <row r="8023" spans="1:19" x14ac:dyDescent="0.25">
      <c r="A8023" s="311"/>
      <c r="B8023" s="312"/>
      <c r="C8023" s="312"/>
      <c r="D8023" s="312"/>
      <c r="E8023" s="312"/>
      <c r="F8023" s="312"/>
      <c r="G8023" s="328"/>
      <c r="H8023" s="453"/>
      <c r="I8023" s="334"/>
      <c r="J8023" s="314"/>
      <c r="K8023" s="454"/>
      <c r="M8023" s="349" t="str">
        <f>N8023&amp;AS[[#This Row],[Insurer Code]]&amp;"; "&amp;O8023&amp;AS[[#This Row],[Reporting Year]]&amp;"; "&amp;P8023&amp;AS[[#This Row],[Insurance Category Code]]&amp;"; "&amp;Q8023&amp;AS[[#This Row],[Large Provider Entity Code]]&amp;"; "&amp;R8023&amp;AS[[#This Row],[Age Band Code]]&amp;"; "&amp;S8023&amp;AS[[#This Row],[Sex Code]]</f>
        <v xml:space="preserve">Insurer Code ; Reporting Year ; Insurance Category Code ; Large Provider Entity Code ; Age Band Code ; Sex Code </v>
      </c>
      <c r="N8023" s="345" t="s">
        <v>207</v>
      </c>
      <c r="O8023" s="345" t="s">
        <v>208</v>
      </c>
      <c r="P8023" s="345" t="s">
        <v>209</v>
      </c>
      <c r="Q8023" s="345" t="s">
        <v>210</v>
      </c>
      <c r="R8023" s="345" t="s">
        <v>223</v>
      </c>
      <c r="S8023" s="345" t="s">
        <v>224</v>
      </c>
    </row>
    <row r="8024" spans="1:19" x14ac:dyDescent="0.25">
      <c r="A8024" s="311"/>
      <c r="B8024" s="312"/>
      <c r="C8024" s="312"/>
      <c r="D8024" s="312"/>
      <c r="E8024" s="312"/>
      <c r="F8024" s="312"/>
      <c r="G8024" s="328"/>
      <c r="H8024" s="453"/>
      <c r="I8024" s="334"/>
      <c r="J8024" s="314"/>
      <c r="K8024" s="454"/>
      <c r="M8024" s="349" t="str">
        <f>N8024&amp;AS[[#This Row],[Insurer Code]]&amp;"; "&amp;O8024&amp;AS[[#This Row],[Reporting Year]]&amp;"; "&amp;P8024&amp;AS[[#This Row],[Insurance Category Code]]&amp;"; "&amp;Q8024&amp;AS[[#This Row],[Large Provider Entity Code]]&amp;"; "&amp;R8024&amp;AS[[#This Row],[Age Band Code]]&amp;"; "&amp;S8024&amp;AS[[#This Row],[Sex Code]]</f>
        <v xml:space="preserve">Insurer Code ; Reporting Year ; Insurance Category Code ; Large Provider Entity Code ; Age Band Code ; Sex Code </v>
      </c>
      <c r="N8024" s="345" t="s">
        <v>207</v>
      </c>
      <c r="O8024" s="345" t="s">
        <v>208</v>
      </c>
      <c r="P8024" s="345" t="s">
        <v>209</v>
      </c>
      <c r="Q8024" s="345" t="s">
        <v>210</v>
      </c>
      <c r="R8024" s="345" t="s">
        <v>223</v>
      </c>
      <c r="S8024" s="345" t="s">
        <v>224</v>
      </c>
    </row>
    <row r="8025" spans="1:19" x14ac:dyDescent="0.25">
      <c r="A8025" s="311"/>
      <c r="B8025" s="312"/>
      <c r="C8025" s="312"/>
      <c r="D8025" s="312"/>
      <c r="E8025" s="312"/>
      <c r="F8025" s="312"/>
      <c r="G8025" s="328"/>
      <c r="H8025" s="453"/>
      <c r="I8025" s="334"/>
      <c r="J8025" s="314"/>
      <c r="K8025" s="454"/>
      <c r="M8025" s="349" t="str">
        <f>N8025&amp;AS[[#This Row],[Insurer Code]]&amp;"; "&amp;O8025&amp;AS[[#This Row],[Reporting Year]]&amp;"; "&amp;P8025&amp;AS[[#This Row],[Insurance Category Code]]&amp;"; "&amp;Q8025&amp;AS[[#This Row],[Large Provider Entity Code]]&amp;"; "&amp;R8025&amp;AS[[#This Row],[Age Band Code]]&amp;"; "&amp;S8025&amp;AS[[#This Row],[Sex Code]]</f>
        <v xml:space="preserve">Insurer Code ; Reporting Year ; Insurance Category Code ; Large Provider Entity Code ; Age Band Code ; Sex Code </v>
      </c>
      <c r="N8025" s="345" t="s">
        <v>207</v>
      </c>
      <c r="O8025" s="345" t="s">
        <v>208</v>
      </c>
      <c r="P8025" s="345" t="s">
        <v>209</v>
      </c>
      <c r="Q8025" s="345" t="s">
        <v>210</v>
      </c>
      <c r="R8025" s="345" t="s">
        <v>223</v>
      </c>
      <c r="S8025" s="345" t="s">
        <v>224</v>
      </c>
    </row>
    <row r="8026" spans="1:19" x14ac:dyDescent="0.25">
      <c r="A8026" s="311"/>
      <c r="B8026" s="312"/>
      <c r="C8026" s="312"/>
      <c r="D8026" s="312"/>
      <c r="E8026" s="312"/>
      <c r="F8026" s="312"/>
      <c r="G8026" s="328"/>
      <c r="H8026" s="453"/>
      <c r="I8026" s="334"/>
      <c r="J8026" s="314"/>
      <c r="K8026" s="454"/>
      <c r="M8026" s="349" t="str">
        <f>N8026&amp;AS[[#This Row],[Insurer Code]]&amp;"; "&amp;O8026&amp;AS[[#This Row],[Reporting Year]]&amp;"; "&amp;P8026&amp;AS[[#This Row],[Insurance Category Code]]&amp;"; "&amp;Q8026&amp;AS[[#This Row],[Large Provider Entity Code]]&amp;"; "&amp;R8026&amp;AS[[#This Row],[Age Band Code]]&amp;"; "&amp;S8026&amp;AS[[#This Row],[Sex Code]]</f>
        <v xml:space="preserve">Insurer Code ; Reporting Year ; Insurance Category Code ; Large Provider Entity Code ; Age Band Code ; Sex Code </v>
      </c>
      <c r="N8026" s="345" t="s">
        <v>207</v>
      </c>
      <c r="O8026" s="345" t="s">
        <v>208</v>
      </c>
      <c r="P8026" s="345" t="s">
        <v>209</v>
      </c>
      <c r="Q8026" s="345" t="s">
        <v>210</v>
      </c>
      <c r="R8026" s="345" t="s">
        <v>223</v>
      </c>
      <c r="S8026" s="345" t="s">
        <v>224</v>
      </c>
    </row>
    <row r="8027" spans="1:19" x14ac:dyDescent="0.25">
      <c r="A8027" s="311"/>
      <c r="B8027" s="312"/>
      <c r="C8027" s="312"/>
      <c r="D8027" s="312"/>
      <c r="E8027" s="312"/>
      <c r="F8027" s="312"/>
      <c r="G8027" s="328"/>
      <c r="H8027" s="453"/>
      <c r="I8027" s="334"/>
      <c r="J8027" s="314"/>
      <c r="K8027" s="454"/>
      <c r="M8027" s="349" t="str">
        <f>N8027&amp;AS[[#This Row],[Insurer Code]]&amp;"; "&amp;O8027&amp;AS[[#This Row],[Reporting Year]]&amp;"; "&amp;P8027&amp;AS[[#This Row],[Insurance Category Code]]&amp;"; "&amp;Q8027&amp;AS[[#This Row],[Large Provider Entity Code]]&amp;"; "&amp;R8027&amp;AS[[#This Row],[Age Band Code]]&amp;"; "&amp;S8027&amp;AS[[#This Row],[Sex Code]]</f>
        <v xml:space="preserve">Insurer Code ; Reporting Year ; Insurance Category Code ; Large Provider Entity Code ; Age Band Code ; Sex Code </v>
      </c>
      <c r="N8027" s="345" t="s">
        <v>207</v>
      </c>
      <c r="O8027" s="345" t="s">
        <v>208</v>
      </c>
      <c r="P8027" s="345" t="s">
        <v>209</v>
      </c>
      <c r="Q8027" s="345" t="s">
        <v>210</v>
      </c>
      <c r="R8027" s="345" t="s">
        <v>223</v>
      </c>
      <c r="S8027" s="345" t="s">
        <v>224</v>
      </c>
    </row>
    <row r="8028" spans="1:19" x14ac:dyDescent="0.25">
      <c r="A8028" s="311"/>
      <c r="B8028" s="312"/>
      <c r="C8028" s="312"/>
      <c r="D8028" s="312"/>
      <c r="E8028" s="312"/>
      <c r="F8028" s="312"/>
      <c r="G8028" s="328"/>
      <c r="H8028" s="453"/>
      <c r="I8028" s="334"/>
      <c r="J8028" s="314"/>
      <c r="K8028" s="454"/>
      <c r="M8028" s="349" t="str">
        <f>N8028&amp;AS[[#This Row],[Insurer Code]]&amp;"; "&amp;O8028&amp;AS[[#This Row],[Reporting Year]]&amp;"; "&amp;P8028&amp;AS[[#This Row],[Insurance Category Code]]&amp;"; "&amp;Q8028&amp;AS[[#This Row],[Large Provider Entity Code]]&amp;"; "&amp;R8028&amp;AS[[#This Row],[Age Band Code]]&amp;"; "&amp;S8028&amp;AS[[#This Row],[Sex Code]]</f>
        <v xml:space="preserve">Insurer Code ; Reporting Year ; Insurance Category Code ; Large Provider Entity Code ; Age Band Code ; Sex Code </v>
      </c>
      <c r="N8028" s="345" t="s">
        <v>207</v>
      </c>
      <c r="O8028" s="345" t="s">
        <v>208</v>
      </c>
      <c r="P8028" s="345" t="s">
        <v>209</v>
      </c>
      <c r="Q8028" s="345" t="s">
        <v>210</v>
      </c>
      <c r="R8028" s="345" t="s">
        <v>223</v>
      </c>
      <c r="S8028" s="345" t="s">
        <v>224</v>
      </c>
    </row>
    <row r="8029" spans="1:19" x14ac:dyDescent="0.25">
      <c r="A8029" s="311"/>
      <c r="B8029" s="312"/>
      <c r="C8029" s="312"/>
      <c r="D8029" s="312"/>
      <c r="E8029" s="312"/>
      <c r="F8029" s="312"/>
      <c r="G8029" s="328"/>
      <c r="H8029" s="453"/>
      <c r="I8029" s="334"/>
      <c r="J8029" s="314"/>
      <c r="K8029" s="454"/>
      <c r="M8029" s="349" t="str">
        <f>N8029&amp;AS[[#This Row],[Insurer Code]]&amp;"; "&amp;O8029&amp;AS[[#This Row],[Reporting Year]]&amp;"; "&amp;P8029&amp;AS[[#This Row],[Insurance Category Code]]&amp;"; "&amp;Q8029&amp;AS[[#This Row],[Large Provider Entity Code]]&amp;"; "&amp;R8029&amp;AS[[#This Row],[Age Band Code]]&amp;"; "&amp;S8029&amp;AS[[#This Row],[Sex Code]]</f>
        <v xml:space="preserve">Insurer Code ; Reporting Year ; Insurance Category Code ; Large Provider Entity Code ; Age Band Code ; Sex Code </v>
      </c>
      <c r="N8029" s="345" t="s">
        <v>207</v>
      </c>
      <c r="O8029" s="345" t="s">
        <v>208</v>
      </c>
      <c r="P8029" s="345" t="s">
        <v>209</v>
      </c>
      <c r="Q8029" s="345" t="s">
        <v>210</v>
      </c>
      <c r="R8029" s="345" t="s">
        <v>223</v>
      </c>
      <c r="S8029" s="345" t="s">
        <v>224</v>
      </c>
    </row>
    <row r="8030" spans="1:19" x14ac:dyDescent="0.25">
      <c r="A8030" s="311"/>
      <c r="B8030" s="312"/>
      <c r="C8030" s="312"/>
      <c r="D8030" s="312"/>
      <c r="E8030" s="312"/>
      <c r="F8030" s="312"/>
      <c r="G8030" s="328"/>
      <c r="H8030" s="453"/>
      <c r="I8030" s="334"/>
      <c r="J8030" s="314"/>
      <c r="K8030" s="454"/>
      <c r="M8030" s="349" t="str">
        <f>N8030&amp;AS[[#This Row],[Insurer Code]]&amp;"; "&amp;O8030&amp;AS[[#This Row],[Reporting Year]]&amp;"; "&amp;P8030&amp;AS[[#This Row],[Insurance Category Code]]&amp;"; "&amp;Q8030&amp;AS[[#This Row],[Large Provider Entity Code]]&amp;"; "&amp;R8030&amp;AS[[#This Row],[Age Band Code]]&amp;"; "&amp;S8030&amp;AS[[#This Row],[Sex Code]]</f>
        <v xml:space="preserve">Insurer Code ; Reporting Year ; Insurance Category Code ; Large Provider Entity Code ; Age Band Code ; Sex Code </v>
      </c>
      <c r="N8030" s="345" t="s">
        <v>207</v>
      </c>
      <c r="O8030" s="345" t="s">
        <v>208</v>
      </c>
      <c r="P8030" s="345" t="s">
        <v>209</v>
      </c>
      <c r="Q8030" s="345" t="s">
        <v>210</v>
      </c>
      <c r="R8030" s="345" t="s">
        <v>223</v>
      </c>
      <c r="S8030" s="345" t="s">
        <v>224</v>
      </c>
    </row>
    <row r="8031" spans="1:19" x14ac:dyDescent="0.25">
      <c r="A8031" s="311"/>
      <c r="B8031" s="312"/>
      <c r="C8031" s="312"/>
      <c r="D8031" s="312"/>
      <c r="E8031" s="312"/>
      <c r="F8031" s="312"/>
      <c r="G8031" s="328"/>
      <c r="H8031" s="453"/>
      <c r="I8031" s="334"/>
      <c r="J8031" s="314"/>
      <c r="K8031" s="454"/>
      <c r="M8031" s="349" t="str">
        <f>N8031&amp;AS[[#This Row],[Insurer Code]]&amp;"; "&amp;O8031&amp;AS[[#This Row],[Reporting Year]]&amp;"; "&amp;P8031&amp;AS[[#This Row],[Insurance Category Code]]&amp;"; "&amp;Q8031&amp;AS[[#This Row],[Large Provider Entity Code]]&amp;"; "&amp;R8031&amp;AS[[#This Row],[Age Band Code]]&amp;"; "&amp;S8031&amp;AS[[#This Row],[Sex Code]]</f>
        <v xml:space="preserve">Insurer Code ; Reporting Year ; Insurance Category Code ; Large Provider Entity Code ; Age Band Code ; Sex Code </v>
      </c>
      <c r="N8031" s="345" t="s">
        <v>207</v>
      </c>
      <c r="O8031" s="345" t="s">
        <v>208</v>
      </c>
      <c r="P8031" s="345" t="s">
        <v>209</v>
      </c>
      <c r="Q8031" s="345" t="s">
        <v>210</v>
      </c>
      <c r="R8031" s="345" t="s">
        <v>223</v>
      </c>
      <c r="S8031" s="345" t="s">
        <v>224</v>
      </c>
    </row>
    <row r="8032" spans="1:19" x14ac:dyDescent="0.25">
      <c r="A8032" s="311"/>
      <c r="B8032" s="312"/>
      <c r="C8032" s="312"/>
      <c r="D8032" s="312"/>
      <c r="E8032" s="312"/>
      <c r="F8032" s="312"/>
      <c r="G8032" s="328"/>
      <c r="H8032" s="453"/>
      <c r="I8032" s="334"/>
      <c r="J8032" s="314"/>
      <c r="K8032" s="454"/>
      <c r="M8032" s="349" t="str">
        <f>N8032&amp;AS[[#This Row],[Insurer Code]]&amp;"; "&amp;O8032&amp;AS[[#This Row],[Reporting Year]]&amp;"; "&amp;P8032&amp;AS[[#This Row],[Insurance Category Code]]&amp;"; "&amp;Q8032&amp;AS[[#This Row],[Large Provider Entity Code]]&amp;"; "&amp;R8032&amp;AS[[#This Row],[Age Band Code]]&amp;"; "&amp;S8032&amp;AS[[#This Row],[Sex Code]]</f>
        <v xml:space="preserve">Insurer Code ; Reporting Year ; Insurance Category Code ; Large Provider Entity Code ; Age Band Code ; Sex Code </v>
      </c>
      <c r="N8032" s="345" t="s">
        <v>207</v>
      </c>
      <c r="O8032" s="345" t="s">
        <v>208</v>
      </c>
      <c r="P8032" s="345" t="s">
        <v>209</v>
      </c>
      <c r="Q8032" s="345" t="s">
        <v>210</v>
      </c>
      <c r="R8032" s="345" t="s">
        <v>223</v>
      </c>
      <c r="S8032" s="345" t="s">
        <v>224</v>
      </c>
    </row>
    <row r="8033" spans="1:19" x14ac:dyDescent="0.25">
      <c r="A8033" s="311"/>
      <c r="B8033" s="312"/>
      <c r="C8033" s="312"/>
      <c r="D8033" s="312"/>
      <c r="E8033" s="312"/>
      <c r="F8033" s="312"/>
      <c r="G8033" s="328"/>
      <c r="H8033" s="453"/>
      <c r="I8033" s="334"/>
      <c r="J8033" s="314"/>
      <c r="K8033" s="454"/>
      <c r="M8033" s="349" t="str">
        <f>N8033&amp;AS[[#This Row],[Insurer Code]]&amp;"; "&amp;O8033&amp;AS[[#This Row],[Reporting Year]]&amp;"; "&amp;P8033&amp;AS[[#This Row],[Insurance Category Code]]&amp;"; "&amp;Q8033&amp;AS[[#This Row],[Large Provider Entity Code]]&amp;"; "&amp;R8033&amp;AS[[#This Row],[Age Band Code]]&amp;"; "&amp;S8033&amp;AS[[#This Row],[Sex Code]]</f>
        <v xml:space="preserve">Insurer Code ; Reporting Year ; Insurance Category Code ; Large Provider Entity Code ; Age Band Code ; Sex Code </v>
      </c>
      <c r="N8033" s="345" t="s">
        <v>207</v>
      </c>
      <c r="O8033" s="345" t="s">
        <v>208</v>
      </c>
      <c r="P8033" s="345" t="s">
        <v>209</v>
      </c>
      <c r="Q8033" s="345" t="s">
        <v>210</v>
      </c>
      <c r="R8033" s="345" t="s">
        <v>223</v>
      </c>
      <c r="S8033" s="345" t="s">
        <v>224</v>
      </c>
    </row>
    <row r="8034" spans="1:19" x14ac:dyDescent="0.25">
      <c r="A8034" s="311"/>
      <c r="B8034" s="312"/>
      <c r="C8034" s="312"/>
      <c r="D8034" s="312"/>
      <c r="E8034" s="312"/>
      <c r="F8034" s="312"/>
      <c r="G8034" s="328"/>
      <c r="H8034" s="453"/>
      <c r="I8034" s="334"/>
      <c r="J8034" s="314"/>
      <c r="K8034" s="454"/>
      <c r="M8034" s="349" t="str">
        <f>N8034&amp;AS[[#This Row],[Insurer Code]]&amp;"; "&amp;O8034&amp;AS[[#This Row],[Reporting Year]]&amp;"; "&amp;P8034&amp;AS[[#This Row],[Insurance Category Code]]&amp;"; "&amp;Q8034&amp;AS[[#This Row],[Large Provider Entity Code]]&amp;"; "&amp;R8034&amp;AS[[#This Row],[Age Band Code]]&amp;"; "&amp;S8034&amp;AS[[#This Row],[Sex Code]]</f>
        <v xml:space="preserve">Insurer Code ; Reporting Year ; Insurance Category Code ; Large Provider Entity Code ; Age Band Code ; Sex Code </v>
      </c>
      <c r="N8034" s="345" t="s">
        <v>207</v>
      </c>
      <c r="O8034" s="345" t="s">
        <v>208</v>
      </c>
      <c r="P8034" s="345" t="s">
        <v>209</v>
      </c>
      <c r="Q8034" s="345" t="s">
        <v>210</v>
      </c>
      <c r="R8034" s="345" t="s">
        <v>223</v>
      </c>
      <c r="S8034" s="345" t="s">
        <v>224</v>
      </c>
    </row>
    <row r="8035" spans="1:19" x14ac:dyDescent="0.25">
      <c r="A8035" s="311"/>
      <c r="B8035" s="312"/>
      <c r="C8035" s="312"/>
      <c r="D8035" s="312"/>
      <c r="E8035" s="312"/>
      <c r="F8035" s="312"/>
      <c r="G8035" s="328"/>
      <c r="H8035" s="453"/>
      <c r="I8035" s="334"/>
      <c r="J8035" s="314"/>
      <c r="K8035" s="454"/>
      <c r="M8035" s="349" t="str">
        <f>N8035&amp;AS[[#This Row],[Insurer Code]]&amp;"; "&amp;O8035&amp;AS[[#This Row],[Reporting Year]]&amp;"; "&amp;P8035&amp;AS[[#This Row],[Insurance Category Code]]&amp;"; "&amp;Q8035&amp;AS[[#This Row],[Large Provider Entity Code]]&amp;"; "&amp;R8035&amp;AS[[#This Row],[Age Band Code]]&amp;"; "&amp;S8035&amp;AS[[#This Row],[Sex Code]]</f>
        <v xml:space="preserve">Insurer Code ; Reporting Year ; Insurance Category Code ; Large Provider Entity Code ; Age Band Code ; Sex Code </v>
      </c>
      <c r="N8035" s="345" t="s">
        <v>207</v>
      </c>
      <c r="O8035" s="345" t="s">
        <v>208</v>
      </c>
      <c r="P8035" s="345" t="s">
        <v>209</v>
      </c>
      <c r="Q8035" s="345" t="s">
        <v>210</v>
      </c>
      <c r="R8035" s="345" t="s">
        <v>223</v>
      </c>
      <c r="S8035" s="345" t="s">
        <v>224</v>
      </c>
    </row>
    <row r="8036" spans="1:19" x14ac:dyDescent="0.25">
      <c r="A8036" s="311"/>
      <c r="B8036" s="312"/>
      <c r="C8036" s="312"/>
      <c r="D8036" s="312"/>
      <c r="E8036" s="312"/>
      <c r="F8036" s="312"/>
      <c r="G8036" s="328"/>
      <c r="H8036" s="453"/>
      <c r="I8036" s="334"/>
      <c r="J8036" s="314"/>
      <c r="K8036" s="454"/>
      <c r="M8036" s="349" t="str">
        <f>N8036&amp;AS[[#This Row],[Insurer Code]]&amp;"; "&amp;O8036&amp;AS[[#This Row],[Reporting Year]]&amp;"; "&amp;P8036&amp;AS[[#This Row],[Insurance Category Code]]&amp;"; "&amp;Q8036&amp;AS[[#This Row],[Large Provider Entity Code]]&amp;"; "&amp;R8036&amp;AS[[#This Row],[Age Band Code]]&amp;"; "&amp;S8036&amp;AS[[#This Row],[Sex Code]]</f>
        <v xml:space="preserve">Insurer Code ; Reporting Year ; Insurance Category Code ; Large Provider Entity Code ; Age Band Code ; Sex Code </v>
      </c>
      <c r="N8036" s="345" t="s">
        <v>207</v>
      </c>
      <c r="O8036" s="345" t="s">
        <v>208</v>
      </c>
      <c r="P8036" s="345" t="s">
        <v>209</v>
      </c>
      <c r="Q8036" s="345" t="s">
        <v>210</v>
      </c>
      <c r="R8036" s="345" t="s">
        <v>223</v>
      </c>
      <c r="S8036" s="345" t="s">
        <v>224</v>
      </c>
    </row>
    <row r="8037" spans="1:19" x14ac:dyDescent="0.25">
      <c r="A8037" s="311"/>
      <c r="B8037" s="312"/>
      <c r="C8037" s="312"/>
      <c r="D8037" s="312"/>
      <c r="E8037" s="312"/>
      <c r="F8037" s="312"/>
      <c r="G8037" s="328"/>
      <c r="H8037" s="453"/>
      <c r="I8037" s="334"/>
      <c r="J8037" s="314"/>
      <c r="K8037" s="454"/>
      <c r="M8037" s="349" t="str">
        <f>N8037&amp;AS[[#This Row],[Insurer Code]]&amp;"; "&amp;O8037&amp;AS[[#This Row],[Reporting Year]]&amp;"; "&amp;P8037&amp;AS[[#This Row],[Insurance Category Code]]&amp;"; "&amp;Q8037&amp;AS[[#This Row],[Large Provider Entity Code]]&amp;"; "&amp;R8037&amp;AS[[#This Row],[Age Band Code]]&amp;"; "&amp;S8037&amp;AS[[#This Row],[Sex Code]]</f>
        <v xml:space="preserve">Insurer Code ; Reporting Year ; Insurance Category Code ; Large Provider Entity Code ; Age Band Code ; Sex Code </v>
      </c>
      <c r="N8037" s="345" t="s">
        <v>207</v>
      </c>
      <c r="O8037" s="345" t="s">
        <v>208</v>
      </c>
      <c r="P8037" s="345" t="s">
        <v>209</v>
      </c>
      <c r="Q8037" s="345" t="s">
        <v>210</v>
      </c>
      <c r="R8037" s="345" t="s">
        <v>223</v>
      </c>
      <c r="S8037" s="345" t="s">
        <v>224</v>
      </c>
    </row>
    <row r="8038" spans="1:19" x14ac:dyDescent="0.25">
      <c r="A8038" s="311"/>
      <c r="B8038" s="312"/>
      <c r="C8038" s="312"/>
      <c r="D8038" s="312"/>
      <c r="E8038" s="312"/>
      <c r="F8038" s="312"/>
      <c r="G8038" s="328"/>
      <c r="H8038" s="453"/>
      <c r="I8038" s="334"/>
      <c r="J8038" s="314"/>
      <c r="K8038" s="454"/>
      <c r="M8038" s="349" t="str">
        <f>N8038&amp;AS[[#This Row],[Insurer Code]]&amp;"; "&amp;O8038&amp;AS[[#This Row],[Reporting Year]]&amp;"; "&amp;P8038&amp;AS[[#This Row],[Insurance Category Code]]&amp;"; "&amp;Q8038&amp;AS[[#This Row],[Large Provider Entity Code]]&amp;"; "&amp;R8038&amp;AS[[#This Row],[Age Band Code]]&amp;"; "&amp;S8038&amp;AS[[#This Row],[Sex Code]]</f>
        <v xml:space="preserve">Insurer Code ; Reporting Year ; Insurance Category Code ; Large Provider Entity Code ; Age Band Code ; Sex Code </v>
      </c>
      <c r="N8038" s="345" t="s">
        <v>207</v>
      </c>
      <c r="O8038" s="345" t="s">
        <v>208</v>
      </c>
      <c r="P8038" s="345" t="s">
        <v>209</v>
      </c>
      <c r="Q8038" s="345" t="s">
        <v>210</v>
      </c>
      <c r="R8038" s="345" t="s">
        <v>223</v>
      </c>
      <c r="S8038" s="345" t="s">
        <v>224</v>
      </c>
    </row>
    <row r="8039" spans="1:19" x14ac:dyDescent="0.25">
      <c r="A8039" s="311"/>
      <c r="B8039" s="312"/>
      <c r="C8039" s="312"/>
      <c r="D8039" s="312"/>
      <c r="E8039" s="312"/>
      <c r="F8039" s="312"/>
      <c r="G8039" s="328"/>
      <c r="H8039" s="453"/>
      <c r="I8039" s="334"/>
      <c r="J8039" s="314"/>
      <c r="K8039" s="454"/>
      <c r="M8039" s="349" t="str">
        <f>N8039&amp;AS[[#This Row],[Insurer Code]]&amp;"; "&amp;O8039&amp;AS[[#This Row],[Reporting Year]]&amp;"; "&amp;P8039&amp;AS[[#This Row],[Insurance Category Code]]&amp;"; "&amp;Q8039&amp;AS[[#This Row],[Large Provider Entity Code]]&amp;"; "&amp;R8039&amp;AS[[#This Row],[Age Band Code]]&amp;"; "&amp;S8039&amp;AS[[#This Row],[Sex Code]]</f>
        <v xml:space="preserve">Insurer Code ; Reporting Year ; Insurance Category Code ; Large Provider Entity Code ; Age Band Code ; Sex Code </v>
      </c>
      <c r="N8039" s="345" t="s">
        <v>207</v>
      </c>
      <c r="O8039" s="345" t="s">
        <v>208</v>
      </c>
      <c r="P8039" s="345" t="s">
        <v>209</v>
      </c>
      <c r="Q8039" s="345" t="s">
        <v>210</v>
      </c>
      <c r="R8039" s="345" t="s">
        <v>223</v>
      </c>
      <c r="S8039" s="345" t="s">
        <v>224</v>
      </c>
    </row>
    <row r="8040" spans="1:19" x14ac:dyDescent="0.25">
      <c r="A8040" s="311"/>
      <c r="B8040" s="312"/>
      <c r="C8040" s="312"/>
      <c r="D8040" s="312"/>
      <c r="E8040" s="312"/>
      <c r="F8040" s="312"/>
      <c r="G8040" s="328"/>
      <c r="H8040" s="453"/>
      <c r="I8040" s="334"/>
      <c r="J8040" s="314"/>
      <c r="K8040" s="454"/>
      <c r="M8040" s="349" t="str">
        <f>N8040&amp;AS[[#This Row],[Insurer Code]]&amp;"; "&amp;O8040&amp;AS[[#This Row],[Reporting Year]]&amp;"; "&amp;P8040&amp;AS[[#This Row],[Insurance Category Code]]&amp;"; "&amp;Q8040&amp;AS[[#This Row],[Large Provider Entity Code]]&amp;"; "&amp;R8040&amp;AS[[#This Row],[Age Band Code]]&amp;"; "&amp;S8040&amp;AS[[#This Row],[Sex Code]]</f>
        <v xml:space="preserve">Insurer Code ; Reporting Year ; Insurance Category Code ; Large Provider Entity Code ; Age Band Code ; Sex Code </v>
      </c>
      <c r="N8040" s="345" t="s">
        <v>207</v>
      </c>
      <c r="O8040" s="345" t="s">
        <v>208</v>
      </c>
      <c r="P8040" s="345" t="s">
        <v>209</v>
      </c>
      <c r="Q8040" s="345" t="s">
        <v>210</v>
      </c>
      <c r="R8040" s="345" t="s">
        <v>223</v>
      </c>
      <c r="S8040" s="345" t="s">
        <v>224</v>
      </c>
    </row>
    <row r="8041" spans="1:19" x14ac:dyDescent="0.25">
      <c r="A8041" s="311"/>
      <c r="B8041" s="312"/>
      <c r="C8041" s="312"/>
      <c r="D8041" s="312"/>
      <c r="E8041" s="312"/>
      <c r="F8041" s="312"/>
      <c r="G8041" s="328"/>
      <c r="H8041" s="453"/>
      <c r="I8041" s="334"/>
      <c r="J8041" s="314"/>
      <c r="K8041" s="454"/>
      <c r="M8041" s="349" t="str">
        <f>N8041&amp;AS[[#This Row],[Insurer Code]]&amp;"; "&amp;O8041&amp;AS[[#This Row],[Reporting Year]]&amp;"; "&amp;P8041&amp;AS[[#This Row],[Insurance Category Code]]&amp;"; "&amp;Q8041&amp;AS[[#This Row],[Large Provider Entity Code]]&amp;"; "&amp;R8041&amp;AS[[#This Row],[Age Band Code]]&amp;"; "&amp;S8041&amp;AS[[#This Row],[Sex Code]]</f>
        <v xml:space="preserve">Insurer Code ; Reporting Year ; Insurance Category Code ; Large Provider Entity Code ; Age Band Code ; Sex Code </v>
      </c>
      <c r="N8041" s="345" t="s">
        <v>207</v>
      </c>
      <c r="O8041" s="345" t="s">
        <v>208</v>
      </c>
      <c r="P8041" s="345" t="s">
        <v>209</v>
      </c>
      <c r="Q8041" s="345" t="s">
        <v>210</v>
      </c>
      <c r="R8041" s="345" t="s">
        <v>223</v>
      </c>
      <c r="S8041" s="345" t="s">
        <v>224</v>
      </c>
    </row>
    <row r="8042" spans="1:19" x14ac:dyDescent="0.25">
      <c r="A8042" s="311"/>
      <c r="B8042" s="312"/>
      <c r="C8042" s="312"/>
      <c r="D8042" s="312"/>
      <c r="E8042" s="312"/>
      <c r="F8042" s="312"/>
      <c r="G8042" s="328"/>
      <c r="H8042" s="453"/>
      <c r="I8042" s="334"/>
      <c r="J8042" s="314"/>
      <c r="K8042" s="454"/>
      <c r="M8042" s="349" t="str">
        <f>N8042&amp;AS[[#This Row],[Insurer Code]]&amp;"; "&amp;O8042&amp;AS[[#This Row],[Reporting Year]]&amp;"; "&amp;P8042&amp;AS[[#This Row],[Insurance Category Code]]&amp;"; "&amp;Q8042&amp;AS[[#This Row],[Large Provider Entity Code]]&amp;"; "&amp;R8042&amp;AS[[#This Row],[Age Band Code]]&amp;"; "&amp;S8042&amp;AS[[#This Row],[Sex Code]]</f>
        <v xml:space="preserve">Insurer Code ; Reporting Year ; Insurance Category Code ; Large Provider Entity Code ; Age Band Code ; Sex Code </v>
      </c>
      <c r="N8042" s="345" t="s">
        <v>207</v>
      </c>
      <c r="O8042" s="345" t="s">
        <v>208</v>
      </c>
      <c r="P8042" s="345" t="s">
        <v>209</v>
      </c>
      <c r="Q8042" s="345" t="s">
        <v>210</v>
      </c>
      <c r="R8042" s="345" t="s">
        <v>223</v>
      </c>
      <c r="S8042" s="345" t="s">
        <v>224</v>
      </c>
    </row>
    <row r="8043" spans="1:19" x14ac:dyDescent="0.25">
      <c r="A8043" s="311"/>
      <c r="B8043" s="312"/>
      <c r="C8043" s="312"/>
      <c r="D8043" s="312"/>
      <c r="E8043" s="312"/>
      <c r="F8043" s="312"/>
      <c r="G8043" s="328"/>
      <c r="H8043" s="453"/>
      <c r="I8043" s="334"/>
      <c r="J8043" s="314"/>
      <c r="K8043" s="454"/>
      <c r="M8043" s="349" t="str">
        <f>N8043&amp;AS[[#This Row],[Insurer Code]]&amp;"; "&amp;O8043&amp;AS[[#This Row],[Reporting Year]]&amp;"; "&amp;P8043&amp;AS[[#This Row],[Insurance Category Code]]&amp;"; "&amp;Q8043&amp;AS[[#This Row],[Large Provider Entity Code]]&amp;"; "&amp;R8043&amp;AS[[#This Row],[Age Band Code]]&amp;"; "&amp;S8043&amp;AS[[#This Row],[Sex Code]]</f>
        <v xml:space="preserve">Insurer Code ; Reporting Year ; Insurance Category Code ; Large Provider Entity Code ; Age Band Code ; Sex Code </v>
      </c>
      <c r="N8043" s="345" t="s">
        <v>207</v>
      </c>
      <c r="O8043" s="345" t="s">
        <v>208</v>
      </c>
      <c r="P8043" s="345" t="s">
        <v>209</v>
      </c>
      <c r="Q8043" s="345" t="s">
        <v>210</v>
      </c>
      <c r="R8043" s="345" t="s">
        <v>223</v>
      </c>
      <c r="S8043" s="345" t="s">
        <v>224</v>
      </c>
    </row>
    <row r="8044" spans="1:19" x14ac:dyDescent="0.25">
      <c r="A8044" s="311"/>
      <c r="B8044" s="312"/>
      <c r="C8044" s="312"/>
      <c r="D8044" s="312"/>
      <c r="E8044" s="312"/>
      <c r="F8044" s="312"/>
      <c r="G8044" s="328"/>
      <c r="H8044" s="453"/>
      <c r="I8044" s="334"/>
      <c r="J8044" s="314"/>
      <c r="K8044" s="454"/>
      <c r="M8044" s="349" t="str">
        <f>N8044&amp;AS[[#This Row],[Insurer Code]]&amp;"; "&amp;O8044&amp;AS[[#This Row],[Reporting Year]]&amp;"; "&amp;P8044&amp;AS[[#This Row],[Insurance Category Code]]&amp;"; "&amp;Q8044&amp;AS[[#This Row],[Large Provider Entity Code]]&amp;"; "&amp;R8044&amp;AS[[#This Row],[Age Band Code]]&amp;"; "&amp;S8044&amp;AS[[#This Row],[Sex Code]]</f>
        <v xml:space="preserve">Insurer Code ; Reporting Year ; Insurance Category Code ; Large Provider Entity Code ; Age Band Code ; Sex Code </v>
      </c>
      <c r="N8044" s="345" t="s">
        <v>207</v>
      </c>
      <c r="O8044" s="345" t="s">
        <v>208</v>
      </c>
      <c r="P8044" s="345" t="s">
        <v>209</v>
      </c>
      <c r="Q8044" s="345" t="s">
        <v>210</v>
      </c>
      <c r="R8044" s="345" t="s">
        <v>223</v>
      </c>
      <c r="S8044" s="345" t="s">
        <v>224</v>
      </c>
    </row>
    <row r="8045" spans="1:19" x14ac:dyDescent="0.25">
      <c r="A8045" s="311"/>
      <c r="B8045" s="312"/>
      <c r="C8045" s="312"/>
      <c r="D8045" s="312"/>
      <c r="E8045" s="312"/>
      <c r="F8045" s="312"/>
      <c r="G8045" s="328"/>
      <c r="H8045" s="453"/>
      <c r="I8045" s="334"/>
      <c r="J8045" s="314"/>
      <c r="K8045" s="454"/>
      <c r="M8045" s="349" t="str">
        <f>N8045&amp;AS[[#This Row],[Insurer Code]]&amp;"; "&amp;O8045&amp;AS[[#This Row],[Reporting Year]]&amp;"; "&amp;P8045&amp;AS[[#This Row],[Insurance Category Code]]&amp;"; "&amp;Q8045&amp;AS[[#This Row],[Large Provider Entity Code]]&amp;"; "&amp;R8045&amp;AS[[#This Row],[Age Band Code]]&amp;"; "&amp;S8045&amp;AS[[#This Row],[Sex Code]]</f>
        <v xml:space="preserve">Insurer Code ; Reporting Year ; Insurance Category Code ; Large Provider Entity Code ; Age Band Code ; Sex Code </v>
      </c>
      <c r="N8045" s="345" t="s">
        <v>207</v>
      </c>
      <c r="O8045" s="345" t="s">
        <v>208</v>
      </c>
      <c r="P8045" s="345" t="s">
        <v>209</v>
      </c>
      <c r="Q8045" s="345" t="s">
        <v>210</v>
      </c>
      <c r="R8045" s="345" t="s">
        <v>223</v>
      </c>
      <c r="S8045" s="345" t="s">
        <v>224</v>
      </c>
    </row>
    <row r="8046" spans="1:19" x14ac:dyDescent="0.25">
      <c r="A8046" s="311"/>
      <c r="B8046" s="312"/>
      <c r="C8046" s="312"/>
      <c r="D8046" s="312"/>
      <c r="E8046" s="312"/>
      <c r="F8046" s="312"/>
      <c r="G8046" s="328"/>
      <c r="H8046" s="453"/>
      <c r="I8046" s="334"/>
      <c r="J8046" s="314"/>
      <c r="K8046" s="454"/>
      <c r="M8046" s="349" t="str">
        <f>N8046&amp;AS[[#This Row],[Insurer Code]]&amp;"; "&amp;O8046&amp;AS[[#This Row],[Reporting Year]]&amp;"; "&amp;P8046&amp;AS[[#This Row],[Insurance Category Code]]&amp;"; "&amp;Q8046&amp;AS[[#This Row],[Large Provider Entity Code]]&amp;"; "&amp;R8046&amp;AS[[#This Row],[Age Band Code]]&amp;"; "&amp;S8046&amp;AS[[#This Row],[Sex Code]]</f>
        <v xml:space="preserve">Insurer Code ; Reporting Year ; Insurance Category Code ; Large Provider Entity Code ; Age Band Code ; Sex Code </v>
      </c>
      <c r="N8046" s="345" t="s">
        <v>207</v>
      </c>
      <c r="O8046" s="345" t="s">
        <v>208</v>
      </c>
      <c r="P8046" s="345" t="s">
        <v>209</v>
      </c>
      <c r="Q8046" s="345" t="s">
        <v>210</v>
      </c>
      <c r="R8046" s="345" t="s">
        <v>223</v>
      </c>
      <c r="S8046" s="345" t="s">
        <v>224</v>
      </c>
    </row>
    <row r="8047" spans="1:19" x14ac:dyDescent="0.25">
      <c r="A8047" s="311"/>
      <c r="B8047" s="312"/>
      <c r="C8047" s="312"/>
      <c r="D8047" s="312"/>
      <c r="E8047" s="312"/>
      <c r="F8047" s="312"/>
      <c r="G8047" s="328"/>
      <c r="H8047" s="453"/>
      <c r="I8047" s="334"/>
      <c r="J8047" s="314"/>
      <c r="K8047" s="454"/>
      <c r="M8047" s="349" t="str">
        <f>N8047&amp;AS[[#This Row],[Insurer Code]]&amp;"; "&amp;O8047&amp;AS[[#This Row],[Reporting Year]]&amp;"; "&amp;P8047&amp;AS[[#This Row],[Insurance Category Code]]&amp;"; "&amp;Q8047&amp;AS[[#This Row],[Large Provider Entity Code]]&amp;"; "&amp;R8047&amp;AS[[#This Row],[Age Band Code]]&amp;"; "&amp;S8047&amp;AS[[#This Row],[Sex Code]]</f>
        <v xml:space="preserve">Insurer Code ; Reporting Year ; Insurance Category Code ; Large Provider Entity Code ; Age Band Code ; Sex Code </v>
      </c>
      <c r="N8047" s="345" t="s">
        <v>207</v>
      </c>
      <c r="O8047" s="345" t="s">
        <v>208</v>
      </c>
      <c r="P8047" s="345" t="s">
        <v>209</v>
      </c>
      <c r="Q8047" s="345" t="s">
        <v>210</v>
      </c>
      <c r="R8047" s="345" t="s">
        <v>223</v>
      </c>
      <c r="S8047" s="345" t="s">
        <v>224</v>
      </c>
    </row>
    <row r="8048" spans="1:19" x14ac:dyDescent="0.25">
      <c r="A8048" s="311"/>
      <c r="B8048" s="312"/>
      <c r="C8048" s="312"/>
      <c r="D8048" s="312"/>
      <c r="E8048" s="312"/>
      <c r="F8048" s="312"/>
      <c r="G8048" s="328"/>
      <c r="H8048" s="453"/>
      <c r="I8048" s="334"/>
      <c r="J8048" s="314"/>
      <c r="K8048" s="454"/>
      <c r="M8048" s="349" t="str">
        <f>N8048&amp;AS[[#This Row],[Insurer Code]]&amp;"; "&amp;O8048&amp;AS[[#This Row],[Reporting Year]]&amp;"; "&amp;P8048&amp;AS[[#This Row],[Insurance Category Code]]&amp;"; "&amp;Q8048&amp;AS[[#This Row],[Large Provider Entity Code]]&amp;"; "&amp;R8048&amp;AS[[#This Row],[Age Band Code]]&amp;"; "&amp;S8048&amp;AS[[#This Row],[Sex Code]]</f>
        <v xml:space="preserve">Insurer Code ; Reporting Year ; Insurance Category Code ; Large Provider Entity Code ; Age Band Code ; Sex Code </v>
      </c>
      <c r="N8048" s="345" t="s">
        <v>207</v>
      </c>
      <c r="O8048" s="345" t="s">
        <v>208</v>
      </c>
      <c r="P8048" s="345" t="s">
        <v>209</v>
      </c>
      <c r="Q8048" s="345" t="s">
        <v>210</v>
      </c>
      <c r="R8048" s="345" t="s">
        <v>223</v>
      </c>
      <c r="S8048" s="345" t="s">
        <v>224</v>
      </c>
    </row>
    <row r="8049" spans="1:19" x14ac:dyDescent="0.25">
      <c r="A8049" s="311"/>
      <c r="B8049" s="312"/>
      <c r="C8049" s="312"/>
      <c r="D8049" s="312"/>
      <c r="E8049" s="312"/>
      <c r="F8049" s="312"/>
      <c r="G8049" s="328"/>
      <c r="H8049" s="453"/>
      <c r="I8049" s="334"/>
      <c r="J8049" s="314"/>
      <c r="K8049" s="454"/>
      <c r="M8049" s="349" t="str">
        <f>N8049&amp;AS[[#This Row],[Insurer Code]]&amp;"; "&amp;O8049&amp;AS[[#This Row],[Reporting Year]]&amp;"; "&amp;P8049&amp;AS[[#This Row],[Insurance Category Code]]&amp;"; "&amp;Q8049&amp;AS[[#This Row],[Large Provider Entity Code]]&amp;"; "&amp;R8049&amp;AS[[#This Row],[Age Band Code]]&amp;"; "&amp;S8049&amp;AS[[#This Row],[Sex Code]]</f>
        <v xml:space="preserve">Insurer Code ; Reporting Year ; Insurance Category Code ; Large Provider Entity Code ; Age Band Code ; Sex Code </v>
      </c>
      <c r="N8049" s="345" t="s">
        <v>207</v>
      </c>
      <c r="O8049" s="345" t="s">
        <v>208</v>
      </c>
      <c r="P8049" s="345" t="s">
        <v>209</v>
      </c>
      <c r="Q8049" s="345" t="s">
        <v>210</v>
      </c>
      <c r="R8049" s="345" t="s">
        <v>223</v>
      </c>
      <c r="S8049" s="345" t="s">
        <v>224</v>
      </c>
    </row>
    <row r="8050" spans="1:19" x14ac:dyDescent="0.25">
      <c r="A8050" s="311"/>
      <c r="B8050" s="312"/>
      <c r="C8050" s="312"/>
      <c r="D8050" s="312"/>
      <c r="E8050" s="312"/>
      <c r="F8050" s="312"/>
      <c r="G8050" s="328"/>
      <c r="H8050" s="453"/>
      <c r="I8050" s="334"/>
      <c r="J8050" s="314"/>
      <c r="K8050" s="454"/>
      <c r="M8050" s="349" t="str">
        <f>N8050&amp;AS[[#This Row],[Insurer Code]]&amp;"; "&amp;O8050&amp;AS[[#This Row],[Reporting Year]]&amp;"; "&amp;P8050&amp;AS[[#This Row],[Insurance Category Code]]&amp;"; "&amp;Q8050&amp;AS[[#This Row],[Large Provider Entity Code]]&amp;"; "&amp;R8050&amp;AS[[#This Row],[Age Band Code]]&amp;"; "&amp;S8050&amp;AS[[#This Row],[Sex Code]]</f>
        <v xml:space="preserve">Insurer Code ; Reporting Year ; Insurance Category Code ; Large Provider Entity Code ; Age Band Code ; Sex Code </v>
      </c>
      <c r="N8050" s="345" t="s">
        <v>207</v>
      </c>
      <c r="O8050" s="345" t="s">
        <v>208</v>
      </c>
      <c r="P8050" s="345" t="s">
        <v>209</v>
      </c>
      <c r="Q8050" s="345" t="s">
        <v>210</v>
      </c>
      <c r="R8050" s="345" t="s">
        <v>223</v>
      </c>
      <c r="S8050" s="345" t="s">
        <v>224</v>
      </c>
    </row>
    <row r="8051" spans="1:19" x14ac:dyDescent="0.25">
      <c r="A8051" s="311"/>
      <c r="B8051" s="312"/>
      <c r="C8051" s="312"/>
      <c r="D8051" s="312"/>
      <c r="E8051" s="312"/>
      <c r="F8051" s="312"/>
      <c r="G8051" s="328"/>
      <c r="H8051" s="453"/>
      <c r="I8051" s="334"/>
      <c r="J8051" s="314"/>
      <c r="K8051" s="454"/>
      <c r="M8051" s="349" t="str">
        <f>N8051&amp;AS[[#This Row],[Insurer Code]]&amp;"; "&amp;O8051&amp;AS[[#This Row],[Reporting Year]]&amp;"; "&amp;P8051&amp;AS[[#This Row],[Insurance Category Code]]&amp;"; "&amp;Q8051&amp;AS[[#This Row],[Large Provider Entity Code]]&amp;"; "&amp;R8051&amp;AS[[#This Row],[Age Band Code]]&amp;"; "&amp;S8051&amp;AS[[#This Row],[Sex Code]]</f>
        <v xml:space="preserve">Insurer Code ; Reporting Year ; Insurance Category Code ; Large Provider Entity Code ; Age Band Code ; Sex Code </v>
      </c>
      <c r="N8051" s="345" t="s">
        <v>207</v>
      </c>
      <c r="O8051" s="345" t="s">
        <v>208</v>
      </c>
      <c r="P8051" s="345" t="s">
        <v>209</v>
      </c>
      <c r="Q8051" s="345" t="s">
        <v>210</v>
      </c>
      <c r="R8051" s="345" t="s">
        <v>223</v>
      </c>
      <c r="S8051" s="345" t="s">
        <v>224</v>
      </c>
    </row>
    <row r="8052" spans="1:19" x14ac:dyDescent="0.25">
      <c r="A8052" s="311"/>
      <c r="B8052" s="312"/>
      <c r="C8052" s="312"/>
      <c r="D8052" s="312"/>
      <c r="E8052" s="312"/>
      <c r="F8052" s="312"/>
      <c r="G8052" s="328"/>
      <c r="H8052" s="453"/>
      <c r="I8052" s="334"/>
      <c r="J8052" s="314"/>
      <c r="K8052" s="454"/>
      <c r="M8052" s="349" t="str">
        <f>N8052&amp;AS[[#This Row],[Insurer Code]]&amp;"; "&amp;O8052&amp;AS[[#This Row],[Reporting Year]]&amp;"; "&amp;P8052&amp;AS[[#This Row],[Insurance Category Code]]&amp;"; "&amp;Q8052&amp;AS[[#This Row],[Large Provider Entity Code]]&amp;"; "&amp;R8052&amp;AS[[#This Row],[Age Band Code]]&amp;"; "&amp;S8052&amp;AS[[#This Row],[Sex Code]]</f>
        <v xml:space="preserve">Insurer Code ; Reporting Year ; Insurance Category Code ; Large Provider Entity Code ; Age Band Code ; Sex Code </v>
      </c>
      <c r="N8052" s="345" t="s">
        <v>207</v>
      </c>
      <c r="O8052" s="345" t="s">
        <v>208</v>
      </c>
      <c r="P8052" s="345" t="s">
        <v>209</v>
      </c>
      <c r="Q8052" s="345" t="s">
        <v>210</v>
      </c>
      <c r="R8052" s="345" t="s">
        <v>223</v>
      </c>
      <c r="S8052" s="345" t="s">
        <v>224</v>
      </c>
    </row>
    <row r="8053" spans="1:19" x14ac:dyDescent="0.25">
      <c r="A8053" s="311"/>
      <c r="B8053" s="312"/>
      <c r="C8053" s="312"/>
      <c r="D8053" s="312"/>
      <c r="E8053" s="312"/>
      <c r="F8053" s="312"/>
      <c r="G8053" s="328"/>
      <c r="H8053" s="453"/>
      <c r="I8053" s="334"/>
      <c r="J8053" s="314"/>
      <c r="K8053" s="454"/>
      <c r="M8053" s="349" t="str">
        <f>N8053&amp;AS[[#This Row],[Insurer Code]]&amp;"; "&amp;O8053&amp;AS[[#This Row],[Reporting Year]]&amp;"; "&amp;P8053&amp;AS[[#This Row],[Insurance Category Code]]&amp;"; "&amp;Q8053&amp;AS[[#This Row],[Large Provider Entity Code]]&amp;"; "&amp;R8053&amp;AS[[#This Row],[Age Band Code]]&amp;"; "&amp;S8053&amp;AS[[#This Row],[Sex Code]]</f>
        <v xml:space="preserve">Insurer Code ; Reporting Year ; Insurance Category Code ; Large Provider Entity Code ; Age Band Code ; Sex Code </v>
      </c>
      <c r="N8053" s="345" t="s">
        <v>207</v>
      </c>
      <c r="O8053" s="345" t="s">
        <v>208</v>
      </c>
      <c r="P8053" s="345" t="s">
        <v>209</v>
      </c>
      <c r="Q8053" s="345" t="s">
        <v>210</v>
      </c>
      <c r="R8053" s="345" t="s">
        <v>223</v>
      </c>
      <c r="S8053" s="345" t="s">
        <v>224</v>
      </c>
    </row>
    <row r="8054" spans="1:19" x14ac:dyDescent="0.25">
      <c r="A8054" s="311"/>
      <c r="B8054" s="312"/>
      <c r="C8054" s="312"/>
      <c r="D8054" s="312"/>
      <c r="E8054" s="312"/>
      <c r="F8054" s="312"/>
      <c r="G8054" s="328"/>
      <c r="H8054" s="453"/>
      <c r="I8054" s="334"/>
      <c r="J8054" s="314"/>
      <c r="K8054" s="454"/>
      <c r="M8054" s="349" t="str">
        <f>N8054&amp;AS[[#This Row],[Insurer Code]]&amp;"; "&amp;O8054&amp;AS[[#This Row],[Reporting Year]]&amp;"; "&amp;P8054&amp;AS[[#This Row],[Insurance Category Code]]&amp;"; "&amp;Q8054&amp;AS[[#This Row],[Large Provider Entity Code]]&amp;"; "&amp;R8054&amp;AS[[#This Row],[Age Band Code]]&amp;"; "&amp;S8054&amp;AS[[#This Row],[Sex Code]]</f>
        <v xml:space="preserve">Insurer Code ; Reporting Year ; Insurance Category Code ; Large Provider Entity Code ; Age Band Code ; Sex Code </v>
      </c>
      <c r="N8054" s="345" t="s">
        <v>207</v>
      </c>
      <c r="O8054" s="345" t="s">
        <v>208</v>
      </c>
      <c r="P8054" s="345" t="s">
        <v>209</v>
      </c>
      <c r="Q8054" s="345" t="s">
        <v>210</v>
      </c>
      <c r="R8054" s="345" t="s">
        <v>223</v>
      </c>
      <c r="S8054" s="345" t="s">
        <v>224</v>
      </c>
    </row>
    <row r="8055" spans="1:19" x14ac:dyDescent="0.25">
      <c r="A8055" s="311"/>
      <c r="B8055" s="312"/>
      <c r="C8055" s="312"/>
      <c r="D8055" s="312"/>
      <c r="E8055" s="312"/>
      <c r="F8055" s="312"/>
      <c r="G8055" s="328"/>
      <c r="H8055" s="453"/>
      <c r="I8055" s="334"/>
      <c r="J8055" s="314"/>
      <c r="K8055" s="454"/>
      <c r="M8055" s="349" t="str">
        <f>N8055&amp;AS[[#This Row],[Insurer Code]]&amp;"; "&amp;O8055&amp;AS[[#This Row],[Reporting Year]]&amp;"; "&amp;P8055&amp;AS[[#This Row],[Insurance Category Code]]&amp;"; "&amp;Q8055&amp;AS[[#This Row],[Large Provider Entity Code]]&amp;"; "&amp;R8055&amp;AS[[#This Row],[Age Band Code]]&amp;"; "&amp;S8055&amp;AS[[#This Row],[Sex Code]]</f>
        <v xml:space="preserve">Insurer Code ; Reporting Year ; Insurance Category Code ; Large Provider Entity Code ; Age Band Code ; Sex Code </v>
      </c>
      <c r="N8055" s="345" t="s">
        <v>207</v>
      </c>
      <c r="O8055" s="345" t="s">
        <v>208</v>
      </c>
      <c r="P8055" s="345" t="s">
        <v>209</v>
      </c>
      <c r="Q8055" s="345" t="s">
        <v>210</v>
      </c>
      <c r="R8055" s="345" t="s">
        <v>223</v>
      </c>
      <c r="S8055" s="345" t="s">
        <v>224</v>
      </c>
    </row>
    <row r="8056" spans="1:19" x14ac:dyDescent="0.25">
      <c r="A8056" s="311"/>
      <c r="B8056" s="312"/>
      <c r="C8056" s="312"/>
      <c r="D8056" s="312"/>
      <c r="E8056" s="312"/>
      <c r="F8056" s="312"/>
      <c r="G8056" s="328"/>
      <c r="H8056" s="453"/>
      <c r="I8056" s="334"/>
      <c r="J8056" s="314"/>
      <c r="K8056" s="454"/>
      <c r="M8056" s="349" t="str">
        <f>N8056&amp;AS[[#This Row],[Insurer Code]]&amp;"; "&amp;O8056&amp;AS[[#This Row],[Reporting Year]]&amp;"; "&amp;P8056&amp;AS[[#This Row],[Insurance Category Code]]&amp;"; "&amp;Q8056&amp;AS[[#This Row],[Large Provider Entity Code]]&amp;"; "&amp;R8056&amp;AS[[#This Row],[Age Band Code]]&amp;"; "&amp;S8056&amp;AS[[#This Row],[Sex Code]]</f>
        <v xml:space="preserve">Insurer Code ; Reporting Year ; Insurance Category Code ; Large Provider Entity Code ; Age Band Code ; Sex Code </v>
      </c>
      <c r="N8056" s="345" t="s">
        <v>207</v>
      </c>
      <c r="O8056" s="345" t="s">
        <v>208</v>
      </c>
      <c r="P8056" s="345" t="s">
        <v>209</v>
      </c>
      <c r="Q8056" s="345" t="s">
        <v>210</v>
      </c>
      <c r="R8056" s="345" t="s">
        <v>223</v>
      </c>
      <c r="S8056" s="345" t="s">
        <v>224</v>
      </c>
    </row>
    <row r="8057" spans="1:19" x14ac:dyDescent="0.25">
      <c r="A8057" s="311"/>
      <c r="B8057" s="312"/>
      <c r="C8057" s="312"/>
      <c r="D8057" s="312"/>
      <c r="E8057" s="312"/>
      <c r="F8057" s="312"/>
      <c r="G8057" s="328"/>
      <c r="H8057" s="453"/>
      <c r="I8057" s="334"/>
      <c r="J8057" s="314"/>
      <c r="K8057" s="454"/>
      <c r="M8057" s="349" t="str">
        <f>N8057&amp;AS[[#This Row],[Insurer Code]]&amp;"; "&amp;O8057&amp;AS[[#This Row],[Reporting Year]]&amp;"; "&amp;P8057&amp;AS[[#This Row],[Insurance Category Code]]&amp;"; "&amp;Q8057&amp;AS[[#This Row],[Large Provider Entity Code]]&amp;"; "&amp;R8057&amp;AS[[#This Row],[Age Band Code]]&amp;"; "&amp;S8057&amp;AS[[#This Row],[Sex Code]]</f>
        <v xml:space="preserve">Insurer Code ; Reporting Year ; Insurance Category Code ; Large Provider Entity Code ; Age Band Code ; Sex Code </v>
      </c>
      <c r="N8057" s="345" t="s">
        <v>207</v>
      </c>
      <c r="O8057" s="345" t="s">
        <v>208</v>
      </c>
      <c r="P8057" s="345" t="s">
        <v>209</v>
      </c>
      <c r="Q8057" s="345" t="s">
        <v>210</v>
      </c>
      <c r="R8057" s="345" t="s">
        <v>223</v>
      </c>
      <c r="S8057" s="345" t="s">
        <v>224</v>
      </c>
    </row>
    <row r="8058" spans="1:19" x14ac:dyDescent="0.25">
      <c r="A8058" s="311"/>
      <c r="B8058" s="312"/>
      <c r="C8058" s="312"/>
      <c r="D8058" s="312"/>
      <c r="E8058" s="312"/>
      <c r="F8058" s="312"/>
      <c r="G8058" s="328"/>
      <c r="H8058" s="453"/>
      <c r="I8058" s="334"/>
      <c r="J8058" s="314"/>
      <c r="K8058" s="454"/>
      <c r="M8058" s="349" t="str">
        <f>N8058&amp;AS[[#This Row],[Insurer Code]]&amp;"; "&amp;O8058&amp;AS[[#This Row],[Reporting Year]]&amp;"; "&amp;P8058&amp;AS[[#This Row],[Insurance Category Code]]&amp;"; "&amp;Q8058&amp;AS[[#This Row],[Large Provider Entity Code]]&amp;"; "&amp;R8058&amp;AS[[#This Row],[Age Band Code]]&amp;"; "&amp;S8058&amp;AS[[#This Row],[Sex Code]]</f>
        <v xml:space="preserve">Insurer Code ; Reporting Year ; Insurance Category Code ; Large Provider Entity Code ; Age Band Code ; Sex Code </v>
      </c>
      <c r="N8058" s="345" t="s">
        <v>207</v>
      </c>
      <c r="O8058" s="345" t="s">
        <v>208</v>
      </c>
      <c r="P8058" s="345" t="s">
        <v>209</v>
      </c>
      <c r="Q8058" s="345" t="s">
        <v>210</v>
      </c>
      <c r="R8058" s="345" t="s">
        <v>223</v>
      </c>
      <c r="S8058" s="345" t="s">
        <v>224</v>
      </c>
    </row>
    <row r="8059" spans="1:19" x14ac:dyDescent="0.25">
      <c r="A8059" s="311"/>
      <c r="B8059" s="312"/>
      <c r="C8059" s="312"/>
      <c r="D8059" s="312"/>
      <c r="E8059" s="312"/>
      <c r="F8059" s="312"/>
      <c r="G8059" s="328"/>
      <c r="H8059" s="453"/>
      <c r="I8059" s="334"/>
      <c r="J8059" s="314"/>
      <c r="K8059" s="454"/>
      <c r="M8059" s="349" t="str">
        <f>N8059&amp;AS[[#This Row],[Insurer Code]]&amp;"; "&amp;O8059&amp;AS[[#This Row],[Reporting Year]]&amp;"; "&amp;P8059&amp;AS[[#This Row],[Insurance Category Code]]&amp;"; "&amp;Q8059&amp;AS[[#This Row],[Large Provider Entity Code]]&amp;"; "&amp;R8059&amp;AS[[#This Row],[Age Band Code]]&amp;"; "&amp;S8059&amp;AS[[#This Row],[Sex Code]]</f>
        <v xml:space="preserve">Insurer Code ; Reporting Year ; Insurance Category Code ; Large Provider Entity Code ; Age Band Code ; Sex Code </v>
      </c>
      <c r="N8059" s="345" t="s">
        <v>207</v>
      </c>
      <c r="O8059" s="345" t="s">
        <v>208</v>
      </c>
      <c r="P8059" s="345" t="s">
        <v>209</v>
      </c>
      <c r="Q8059" s="345" t="s">
        <v>210</v>
      </c>
      <c r="R8059" s="345" t="s">
        <v>223</v>
      </c>
      <c r="S8059" s="345" t="s">
        <v>224</v>
      </c>
    </row>
    <row r="8060" spans="1:19" x14ac:dyDescent="0.25">
      <c r="A8060" s="311"/>
      <c r="B8060" s="312"/>
      <c r="C8060" s="312"/>
      <c r="D8060" s="312"/>
      <c r="E8060" s="312"/>
      <c r="F8060" s="312"/>
      <c r="G8060" s="328"/>
      <c r="H8060" s="453"/>
      <c r="I8060" s="334"/>
      <c r="J8060" s="314"/>
      <c r="K8060" s="454"/>
      <c r="M8060" s="349" t="str">
        <f>N8060&amp;AS[[#This Row],[Insurer Code]]&amp;"; "&amp;O8060&amp;AS[[#This Row],[Reporting Year]]&amp;"; "&amp;P8060&amp;AS[[#This Row],[Insurance Category Code]]&amp;"; "&amp;Q8060&amp;AS[[#This Row],[Large Provider Entity Code]]&amp;"; "&amp;R8060&amp;AS[[#This Row],[Age Band Code]]&amp;"; "&amp;S8060&amp;AS[[#This Row],[Sex Code]]</f>
        <v xml:space="preserve">Insurer Code ; Reporting Year ; Insurance Category Code ; Large Provider Entity Code ; Age Band Code ; Sex Code </v>
      </c>
      <c r="N8060" s="345" t="s">
        <v>207</v>
      </c>
      <c r="O8060" s="345" t="s">
        <v>208</v>
      </c>
      <c r="P8060" s="345" t="s">
        <v>209</v>
      </c>
      <c r="Q8060" s="345" t="s">
        <v>210</v>
      </c>
      <c r="R8060" s="345" t="s">
        <v>223</v>
      </c>
      <c r="S8060" s="345" t="s">
        <v>224</v>
      </c>
    </row>
    <row r="8061" spans="1:19" x14ac:dyDescent="0.25">
      <c r="A8061" s="311"/>
      <c r="B8061" s="312"/>
      <c r="C8061" s="312"/>
      <c r="D8061" s="312"/>
      <c r="E8061" s="312"/>
      <c r="F8061" s="312"/>
      <c r="G8061" s="328"/>
      <c r="H8061" s="453"/>
      <c r="I8061" s="334"/>
      <c r="J8061" s="314"/>
      <c r="K8061" s="454"/>
      <c r="M8061" s="349" t="str">
        <f>N8061&amp;AS[[#This Row],[Insurer Code]]&amp;"; "&amp;O8061&amp;AS[[#This Row],[Reporting Year]]&amp;"; "&amp;P8061&amp;AS[[#This Row],[Insurance Category Code]]&amp;"; "&amp;Q8061&amp;AS[[#This Row],[Large Provider Entity Code]]&amp;"; "&amp;R8061&amp;AS[[#This Row],[Age Band Code]]&amp;"; "&amp;S8061&amp;AS[[#This Row],[Sex Code]]</f>
        <v xml:space="preserve">Insurer Code ; Reporting Year ; Insurance Category Code ; Large Provider Entity Code ; Age Band Code ; Sex Code </v>
      </c>
      <c r="N8061" s="345" t="s">
        <v>207</v>
      </c>
      <c r="O8061" s="345" t="s">
        <v>208</v>
      </c>
      <c r="P8061" s="345" t="s">
        <v>209</v>
      </c>
      <c r="Q8061" s="345" t="s">
        <v>210</v>
      </c>
      <c r="R8061" s="345" t="s">
        <v>223</v>
      </c>
      <c r="S8061" s="345" t="s">
        <v>224</v>
      </c>
    </row>
    <row r="8062" spans="1:19" x14ac:dyDescent="0.25">
      <c r="A8062" s="311"/>
      <c r="B8062" s="312"/>
      <c r="C8062" s="312"/>
      <c r="D8062" s="312"/>
      <c r="E8062" s="312"/>
      <c r="F8062" s="312"/>
      <c r="G8062" s="328"/>
      <c r="H8062" s="453"/>
      <c r="I8062" s="334"/>
      <c r="J8062" s="314"/>
      <c r="K8062" s="454"/>
      <c r="M8062" s="349" t="str">
        <f>N8062&amp;AS[[#This Row],[Insurer Code]]&amp;"; "&amp;O8062&amp;AS[[#This Row],[Reporting Year]]&amp;"; "&amp;P8062&amp;AS[[#This Row],[Insurance Category Code]]&amp;"; "&amp;Q8062&amp;AS[[#This Row],[Large Provider Entity Code]]&amp;"; "&amp;R8062&amp;AS[[#This Row],[Age Band Code]]&amp;"; "&amp;S8062&amp;AS[[#This Row],[Sex Code]]</f>
        <v xml:space="preserve">Insurer Code ; Reporting Year ; Insurance Category Code ; Large Provider Entity Code ; Age Band Code ; Sex Code </v>
      </c>
      <c r="N8062" s="345" t="s">
        <v>207</v>
      </c>
      <c r="O8062" s="345" t="s">
        <v>208</v>
      </c>
      <c r="P8062" s="345" t="s">
        <v>209</v>
      </c>
      <c r="Q8062" s="345" t="s">
        <v>210</v>
      </c>
      <c r="R8062" s="345" t="s">
        <v>223</v>
      </c>
      <c r="S8062" s="345" t="s">
        <v>224</v>
      </c>
    </row>
    <row r="8063" spans="1:19" x14ac:dyDescent="0.25">
      <c r="A8063" s="311"/>
      <c r="B8063" s="312"/>
      <c r="C8063" s="312"/>
      <c r="D8063" s="312"/>
      <c r="E8063" s="312"/>
      <c r="F8063" s="312"/>
      <c r="G8063" s="328"/>
      <c r="H8063" s="453"/>
      <c r="I8063" s="334"/>
      <c r="J8063" s="314"/>
      <c r="K8063" s="454"/>
      <c r="M8063" s="349" t="str">
        <f>N8063&amp;AS[[#This Row],[Insurer Code]]&amp;"; "&amp;O8063&amp;AS[[#This Row],[Reporting Year]]&amp;"; "&amp;P8063&amp;AS[[#This Row],[Insurance Category Code]]&amp;"; "&amp;Q8063&amp;AS[[#This Row],[Large Provider Entity Code]]&amp;"; "&amp;R8063&amp;AS[[#This Row],[Age Band Code]]&amp;"; "&amp;S8063&amp;AS[[#This Row],[Sex Code]]</f>
        <v xml:space="preserve">Insurer Code ; Reporting Year ; Insurance Category Code ; Large Provider Entity Code ; Age Band Code ; Sex Code </v>
      </c>
      <c r="N8063" s="345" t="s">
        <v>207</v>
      </c>
      <c r="O8063" s="345" t="s">
        <v>208</v>
      </c>
      <c r="P8063" s="345" t="s">
        <v>209</v>
      </c>
      <c r="Q8063" s="345" t="s">
        <v>210</v>
      </c>
      <c r="R8063" s="345" t="s">
        <v>223</v>
      </c>
      <c r="S8063" s="345" t="s">
        <v>224</v>
      </c>
    </row>
    <row r="8064" spans="1:19" x14ac:dyDescent="0.25">
      <c r="A8064" s="311"/>
      <c r="B8064" s="312"/>
      <c r="C8064" s="312"/>
      <c r="D8064" s="312"/>
      <c r="E8064" s="312"/>
      <c r="F8064" s="312"/>
      <c r="G8064" s="328"/>
      <c r="H8064" s="453"/>
      <c r="I8064" s="334"/>
      <c r="J8064" s="314"/>
      <c r="K8064" s="454"/>
      <c r="M8064" s="349" t="str">
        <f>N8064&amp;AS[[#This Row],[Insurer Code]]&amp;"; "&amp;O8064&amp;AS[[#This Row],[Reporting Year]]&amp;"; "&amp;P8064&amp;AS[[#This Row],[Insurance Category Code]]&amp;"; "&amp;Q8064&amp;AS[[#This Row],[Large Provider Entity Code]]&amp;"; "&amp;R8064&amp;AS[[#This Row],[Age Band Code]]&amp;"; "&amp;S8064&amp;AS[[#This Row],[Sex Code]]</f>
        <v xml:space="preserve">Insurer Code ; Reporting Year ; Insurance Category Code ; Large Provider Entity Code ; Age Band Code ; Sex Code </v>
      </c>
      <c r="N8064" s="345" t="s">
        <v>207</v>
      </c>
      <c r="O8064" s="345" t="s">
        <v>208</v>
      </c>
      <c r="P8064" s="345" t="s">
        <v>209</v>
      </c>
      <c r="Q8064" s="345" t="s">
        <v>210</v>
      </c>
      <c r="R8064" s="345" t="s">
        <v>223</v>
      </c>
      <c r="S8064" s="345" t="s">
        <v>224</v>
      </c>
    </row>
    <row r="8065" spans="1:19" x14ac:dyDescent="0.25">
      <c r="A8065" s="311"/>
      <c r="B8065" s="312"/>
      <c r="C8065" s="312"/>
      <c r="D8065" s="312"/>
      <c r="E8065" s="312"/>
      <c r="F8065" s="312"/>
      <c r="G8065" s="328"/>
      <c r="H8065" s="453"/>
      <c r="I8065" s="334"/>
      <c r="J8065" s="314"/>
      <c r="K8065" s="454"/>
      <c r="M8065" s="349" t="str">
        <f>N8065&amp;AS[[#This Row],[Insurer Code]]&amp;"; "&amp;O8065&amp;AS[[#This Row],[Reporting Year]]&amp;"; "&amp;P8065&amp;AS[[#This Row],[Insurance Category Code]]&amp;"; "&amp;Q8065&amp;AS[[#This Row],[Large Provider Entity Code]]&amp;"; "&amp;R8065&amp;AS[[#This Row],[Age Band Code]]&amp;"; "&amp;S8065&amp;AS[[#This Row],[Sex Code]]</f>
        <v xml:space="preserve">Insurer Code ; Reporting Year ; Insurance Category Code ; Large Provider Entity Code ; Age Band Code ; Sex Code </v>
      </c>
      <c r="N8065" s="345" t="s">
        <v>207</v>
      </c>
      <c r="O8065" s="345" t="s">
        <v>208</v>
      </c>
      <c r="P8065" s="345" t="s">
        <v>209</v>
      </c>
      <c r="Q8065" s="345" t="s">
        <v>210</v>
      </c>
      <c r="R8065" s="345" t="s">
        <v>223</v>
      </c>
      <c r="S8065" s="345" t="s">
        <v>224</v>
      </c>
    </row>
    <row r="8066" spans="1:19" x14ac:dyDescent="0.25">
      <c r="A8066" s="311"/>
      <c r="B8066" s="312"/>
      <c r="C8066" s="312"/>
      <c r="D8066" s="312"/>
      <c r="E8066" s="312"/>
      <c r="F8066" s="312"/>
      <c r="G8066" s="328"/>
      <c r="H8066" s="453"/>
      <c r="I8066" s="334"/>
      <c r="J8066" s="314"/>
      <c r="K8066" s="454"/>
      <c r="M8066" s="349" t="str">
        <f>N8066&amp;AS[[#This Row],[Insurer Code]]&amp;"; "&amp;O8066&amp;AS[[#This Row],[Reporting Year]]&amp;"; "&amp;P8066&amp;AS[[#This Row],[Insurance Category Code]]&amp;"; "&amp;Q8066&amp;AS[[#This Row],[Large Provider Entity Code]]&amp;"; "&amp;R8066&amp;AS[[#This Row],[Age Band Code]]&amp;"; "&amp;S8066&amp;AS[[#This Row],[Sex Code]]</f>
        <v xml:space="preserve">Insurer Code ; Reporting Year ; Insurance Category Code ; Large Provider Entity Code ; Age Band Code ; Sex Code </v>
      </c>
      <c r="N8066" s="345" t="s">
        <v>207</v>
      </c>
      <c r="O8066" s="345" t="s">
        <v>208</v>
      </c>
      <c r="P8066" s="345" t="s">
        <v>209</v>
      </c>
      <c r="Q8066" s="345" t="s">
        <v>210</v>
      </c>
      <c r="R8066" s="345" t="s">
        <v>223</v>
      </c>
      <c r="S8066" s="345" t="s">
        <v>224</v>
      </c>
    </row>
    <row r="8067" spans="1:19" x14ac:dyDescent="0.25">
      <c r="A8067" s="311"/>
      <c r="B8067" s="312"/>
      <c r="C8067" s="312"/>
      <c r="D8067" s="312"/>
      <c r="E8067" s="312"/>
      <c r="F8067" s="312"/>
      <c r="G8067" s="328"/>
      <c r="H8067" s="453"/>
      <c r="I8067" s="334"/>
      <c r="J8067" s="314"/>
      <c r="K8067" s="454"/>
      <c r="M8067" s="349" t="str">
        <f>N8067&amp;AS[[#This Row],[Insurer Code]]&amp;"; "&amp;O8067&amp;AS[[#This Row],[Reporting Year]]&amp;"; "&amp;P8067&amp;AS[[#This Row],[Insurance Category Code]]&amp;"; "&amp;Q8067&amp;AS[[#This Row],[Large Provider Entity Code]]&amp;"; "&amp;R8067&amp;AS[[#This Row],[Age Band Code]]&amp;"; "&amp;S8067&amp;AS[[#This Row],[Sex Code]]</f>
        <v xml:space="preserve">Insurer Code ; Reporting Year ; Insurance Category Code ; Large Provider Entity Code ; Age Band Code ; Sex Code </v>
      </c>
      <c r="N8067" s="345" t="s">
        <v>207</v>
      </c>
      <c r="O8067" s="345" t="s">
        <v>208</v>
      </c>
      <c r="P8067" s="345" t="s">
        <v>209</v>
      </c>
      <c r="Q8067" s="345" t="s">
        <v>210</v>
      </c>
      <c r="R8067" s="345" t="s">
        <v>223</v>
      </c>
      <c r="S8067" s="345" t="s">
        <v>224</v>
      </c>
    </row>
    <row r="8068" spans="1:19" x14ac:dyDescent="0.25">
      <c r="A8068" s="311"/>
      <c r="B8068" s="312"/>
      <c r="C8068" s="312"/>
      <c r="D8068" s="312"/>
      <c r="E8068" s="312"/>
      <c r="F8068" s="312"/>
      <c r="G8068" s="328"/>
      <c r="H8068" s="453"/>
      <c r="I8068" s="334"/>
      <c r="J8068" s="314"/>
      <c r="K8068" s="454"/>
      <c r="M8068" s="349" t="str">
        <f>N8068&amp;AS[[#This Row],[Insurer Code]]&amp;"; "&amp;O8068&amp;AS[[#This Row],[Reporting Year]]&amp;"; "&amp;P8068&amp;AS[[#This Row],[Insurance Category Code]]&amp;"; "&amp;Q8068&amp;AS[[#This Row],[Large Provider Entity Code]]&amp;"; "&amp;R8068&amp;AS[[#This Row],[Age Band Code]]&amp;"; "&amp;S8068&amp;AS[[#This Row],[Sex Code]]</f>
        <v xml:space="preserve">Insurer Code ; Reporting Year ; Insurance Category Code ; Large Provider Entity Code ; Age Band Code ; Sex Code </v>
      </c>
      <c r="N8068" s="345" t="s">
        <v>207</v>
      </c>
      <c r="O8068" s="345" t="s">
        <v>208</v>
      </c>
      <c r="P8068" s="345" t="s">
        <v>209</v>
      </c>
      <c r="Q8068" s="345" t="s">
        <v>210</v>
      </c>
      <c r="R8068" s="345" t="s">
        <v>223</v>
      </c>
      <c r="S8068" s="345" t="s">
        <v>224</v>
      </c>
    </row>
    <row r="8069" spans="1:19" x14ac:dyDescent="0.25">
      <c r="A8069" s="311"/>
      <c r="B8069" s="312"/>
      <c r="C8069" s="312"/>
      <c r="D8069" s="312"/>
      <c r="E8069" s="312"/>
      <c r="F8069" s="312"/>
      <c r="G8069" s="328"/>
      <c r="H8069" s="453"/>
      <c r="I8069" s="334"/>
      <c r="J8069" s="314"/>
      <c r="K8069" s="454"/>
      <c r="M8069" s="349" t="str">
        <f>N8069&amp;AS[[#This Row],[Insurer Code]]&amp;"; "&amp;O8069&amp;AS[[#This Row],[Reporting Year]]&amp;"; "&amp;P8069&amp;AS[[#This Row],[Insurance Category Code]]&amp;"; "&amp;Q8069&amp;AS[[#This Row],[Large Provider Entity Code]]&amp;"; "&amp;R8069&amp;AS[[#This Row],[Age Band Code]]&amp;"; "&amp;S8069&amp;AS[[#This Row],[Sex Code]]</f>
        <v xml:space="preserve">Insurer Code ; Reporting Year ; Insurance Category Code ; Large Provider Entity Code ; Age Band Code ; Sex Code </v>
      </c>
      <c r="N8069" s="345" t="s">
        <v>207</v>
      </c>
      <c r="O8069" s="345" t="s">
        <v>208</v>
      </c>
      <c r="P8069" s="345" t="s">
        <v>209</v>
      </c>
      <c r="Q8069" s="345" t="s">
        <v>210</v>
      </c>
      <c r="R8069" s="345" t="s">
        <v>223</v>
      </c>
      <c r="S8069" s="345" t="s">
        <v>224</v>
      </c>
    </row>
    <row r="8070" spans="1:19" x14ac:dyDescent="0.25">
      <c r="A8070" s="311"/>
      <c r="B8070" s="312"/>
      <c r="C8070" s="312"/>
      <c r="D8070" s="312"/>
      <c r="E8070" s="312"/>
      <c r="F8070" s="312"/>
      <c r="G8070" s="328"/>
      <c r="H8070" s="453"/>
      <c r="I8070" s="334"/>
      <c r="J8070" s="314"/>
      <c r="K8070" s="454"/>
      <c r="M8070" s="349" t="str">
        <f>N8070&amp;AS[[#This Row],[Insurer Code]]&amp;"; "&amp;O8070&amp;AS[[#This Row],[Reporting Year]]&amp;"; "&amp;P8070&amp;AS[[#This Row],[Insurance Category Code]]&amp;"; "&amp;Q8070&amp;AS[[#This Row],[Large Provider Entity Code]]&amp;"; "&amp;R8070&amp;AS[[#This Row],[Age Band Code]]&amp;"; "&amp;S8070&amp;AS[[#This Row],[Sex Code]]</f>
        <v xml:space="preserve">Insurer Code ; Reporting Year ; Insurance Category Code ; Large Provider Entity Code ; Age Band Code ; Sex Code </v>
      </c>
      <c r="N8070" s="345" t="s">
        <v>207</v>
      </c>
      <c r="O8070" s="345" t="s">
        <v>208</v>
      </c>
      <c r="P8070" s="345" t="s">
        <v>209</v>
      </c>
      <c r="Q8070" s="345" t="s">
        <v>210</v>
      </c>
      <c r="R8070" s="345" t="s">
        <v>223</v>
      </c>
      <c r="S8070" s="345" t="s">
        <v>224</v>
      </c>
    </row>
    <row r="8071" spans="1:19" x14ac:dyDescent="0.25">
      <c r="A8071" s="311"/>
      <c r="B8071" s="312"/>
      <c r="C8071" s="312"/>
      <c r="D8071" s="312"/>
      <c r="E8071" s="312"/>
      <c r="F8071" s="312"/>
      <c r="G8071" s="328"/>
      <c r="H8071" s="453"/>
      <c r="I8071" s="334"/>
      <c r="J8071" s="314"/>
      <c r="K8071" s="454"/>
      <c r="M8071" s="349" t="str">
        <f>N8071&amp;AS[[#This Row],[Insurer Code]]&amp;"; "&amp;O8071&amp;AS[[#This Row],[Reporting Year]]&amp;"; "&amp;P8071&amp;AS[[#This Row],[Insurance Category Code]]&amp;"; "&amp;Q8071&amp;AS[[#This Row],[Large Provider Entity Code]]&amp;"; "&amp;R8071&amp;AS[[#This Row],[Age Band Code]]&amp;"; "&amp;S8071&amp;AS[[#This Row],[Sex Code]]</f>
        <v xml:space="preserve">Insurer Code ; Reporting Year ; Insurance Category Code ; Large Provider Entity Code ; Age Band Code ; Sex Code </v>
      </c>
      <c r="N8071" s="345" t="s">
        <v>207</v>
      </c>
      <c r="O8071" s="345" t="s">
        <v>208</v>
      </c>
      <c r="P8071" s="345" t="s">
        <v>209</v>
      </c>
      <c r="Q8071" s="345" t="s">
        <v>210</v>
      </c>
      <c r="R8071" s="345" t="s">
        <v>223</v>
      </c>
      <c r="S8071" s="345" t="s">
        <v>224</v>
      </c>
    </row>
    <row r="8072" spans="1:19" x14ac:dyDescent="0.25">
      <c r="A8072" s="311"/>
      <c r="B8072" s="312"/>
      <c r="C8072" s="312"/>
      <c r="D8072" s="312"/>
      <c r="E8072" s="312"/>
      <c r="F8072" s="312"/>
      <c r="G8072" s="328"/>
      <c r="H8072" s="453"/>
      <c r="I8072" s="334"/>
      <c r="J8072" s="314"/>
      <c r="K8072" s="454"/>
      <c r="M8072" s="349" t="str">
        <f>N8072&amp;AS[[#This Row],[Insurer Code]]&amp;"; "&amp;O8072&amp;AS[[#This Row],[Reporting Year]]&amp;"; "&amp;P8072&amp;AS[[#This Row],[Insurance Category Code]]&amp;"; "&amp;Q8072&amp;AS[[#This Row],[Large Provider Entity Code]]&amp;"; "&amp;R8072&amp;AS[[#This Row],[Age Band Code]]&amp;"; "&amp;S8072&amp;AS[[#This Row],[Sex Code]]</f>
        <v xml:space="preserve">Insurer Code ; Reporting Year ; Insurance Category Code ; Large Provider Entity Code ; Age Band Code ; Sex Code </v>
      </c>
      <c r="N8072" s="345" t="s">
        <v>207</v>
      </c>
      <c r="O8072" s="345" t="s">
        <v>208</v>
      </c>
      <c r="P8072" s="345" t="s">
        <v>209</v>
      </c>
      <c r="Q8072" s="345" t="s">
        <v>210</v>
      </c>
      <c r="R8072" s="345" t="s">
        <v>223</v>
      </c>
      <c r="S8072" s="345" t="s">
        <v>224</v>
      </c>
    </row>
    <row r="8073" spans="1:19" x14ac:dyDescent="0.25">
      <c r="A8073" s="311"/>
      <c r="B8073" s="312"/>
      <c r="C8073" s="312"/>
      <c r="D8073" s="312"/>
      <c r="E8073" s="312"/>
      <c r="F8073" s="312"/>
      <c r="G8073" s="328"/>
      <c r="H8073" s="453"/>
      <c r="I8073" s="334"/>
      <c r="J8073" s="314"/>
      <c r="K8073" s="454"/>
      <c r="M8073" s="349" t="str">
        <f>N8073&amp;AS[[#This Row],[Insurer Code]]&amp;"; "&amp;O8073&amp;AS[[#This Row],[Reporting Year]]&amp;"; "&amp;P8073&amp;AS[[#This Row],[Insurance Category Code]]&amp;"; "&amp;Q8073&amp;AS[[#This Row],[Large Provider Entity Code]]&amp;"; "&amp;R8073&amp;AS[[#This Row],[Age Band Code]]&amp;"; "&amp;S8073&amp;AS[[#This Row],[Sex Code]]</f>
        <v xml:space="preserve">Insurer Code ; Reporting Year ; Insurance Category Code ; Large Provider Entity Code ; Age Band Code ; Sex Code </v>
      </c>
      <c r="N8073" s="345" t="s">
        <v>207</v>
      </c>
      <c r="O8073" s="345" t="s">
        <v>208</v>
      </c>
      <c r="P8073" s="345" t="s">
        <v>209</v>
      </c>
      <c r="Q8073" s="345" t="s">
        <v>210</v>
      </c>
      <c r="R8073" s="345" t="s">
        <v>223</v>
      </c>
      <c r="S8073" s="345" t="s">
        <v>224</v>
      </c>
    </row>
    <row r="8074" spans="1:19" x14ac:dyDescent="0.25">
      <c r="A8074" s="311"/>
      <c r="B8074" s="312"/>
      <c r="C8074" s="312"/>
      <c r="D8074" s="312"/>
      <c r="E8074" s="312"/>
      <c r="F8074" s="312"/>
      <c r="G8074" s="328"/>
      <c r="H8074" s="453"/>
      <c r="I8074" s="334"/>
      <c r="J8074" s="314"/>
      <c r="K8074" s="454"/>
      <c r="M8074" s="349" t="str">
        <f>N8074&amp;AS[[#This Row],[Insurer Code]]&amp;"; "&amp;O8074&amp;AS[[#This Row],[Reporting Year]]&amp;"; "&amp;P8074&amp;AS[[#This Row],[Insurance Category Code]]&amp;"; "&amp;Q8074&amp;AS[[#This Row],[Large Provider Entity Code]]&amp;"; "&amp;R8074&amp;AS[[#This Row],[Age Band Code]]&amp;"; "&amp;S8074&amp;AS[[#This Row],[Sex Code]]</f>
        <v xml:space="preserve">Insurer Code ; Reporting Year ; Insurance Category Code ; Large Provider Entity Code ; Age Band Code ; Sex Code </v>
      </c>
      <c r="N8074" s="345" t="s">
        <v>207</v>
      </c>
      <c r="O8074" s="345" t="s">
        <v>208</v>
      </c>
      <c r="P8074" s="345" t="s">
        <v>209</v>
      </c>
      <c r="Q8074" s="345" t="s">
        <v>210</v>
      </c>
      <c r="R8074" s="345" t="s">
        <v>223</v>
      </c>
      <c r="S8074" s="345" t="s">
        <v>224</v>
      </c>
    </row>
    <row r="8075" spans="1:19" x14ac:dyDescent="0.25">
      <c r="A8075" s="311"/>
      <c r="B8075" s="312"/>
      <c r="C8075" s="312"/>
      <c r="D8075" s="312"/>
      <c r="E8075" s="312"/>
      <c r="F8075" s="312"/>
      <c r="G8075" s="328"/>
      <c r="H8075" s="453"/>
      <c r="I8075" s="455"/>
      <c r="J8075" s="331"/>
      <c r="K8075" s="454"/>
      <c r="M8075" s="349" t="str">
        <f>N8075&amp;AS[[#This Row],[Insurer Code]]&amp;"; "&amp;O8075&amp;AS[[#This Row],[Reporting Year]]&amp;"; "&amp;P8075&amp;AS[[#This Row],[Insurance Category Code]]&amp;"; "&amp;Q8075&amp;AS[[#This Row],[Large Provider Entity Code]]&amp;"; "&amp;R8075&amp;AS[[#This Row],[Age Band Code]]&amp;"; "&amp;S8075&amp;AS[[#This Row],[Sex Code]]</f>
        <v xml:space="preserve">Insurer Code ; Reporting Year ; Insurance Category Code ; Large Provider Entity Code ; Age Band Code ; Sex Code </v>
      </c>
      <c r="N8075" s="345" t="s">
        <v>207</v>
      </c>
      <c r="O8075" s="345" t="s">
        <v>208</v>
      </c>
      <c r="P8075" s="345" t="s">
        <v>209</v>
      </c>
      <c r="Q8075" s="345" t="s">
        <v>210</v>
      </c>
      <c r="R8075" s="345" t="s">
        <v>223</v>
      </c>
      <c r="S8075" s="345" t="s">
        <v>224</v>
      </c>
    </row>
  </sheetData>
  <mergeCells count="3">
    <mergeCell ref="A5:K5"/>
    <mergeCell ref="A7:K7"/>
    <mergeCell ref="A6:K6"/>
  </mergeCells>
  <conditionalFormatting sqref="A12:A8075">
    <cfRule type="containsBlanks" dxfId="716" priority="2" stopIfTrue="1">
      <formula>LEN(TRIM(A12))=0</formula>
    </cfRule>
    <cfRule type="expression" dxfId="715" priority="3">
      <formula>AND(A12&lt;&gt;201, A12&lt;&gt;202, A12&lt;&gt;203, A12&lt;&gt;204, A12&lt;&gt;205, A12&lt;&gt;206, A12&lt;&gt;207)</formula>
    </cfRule>
  </conditionalFormatting>
  <conditionalFormatting sqref="I12:I8075">
    <cfRule type="expression" dxfId="714" priority="22" stopIfTrue="1">
      <formula>MOD(I12,1)&lt;&gt;0</formula>
    </cfRule>
  </conditionalFormatting>
  <conditionalFormatting sqref="H12:K112 I12:I8075">
    <cfRule type="containsBlanks" dxfId="713" priority="19" stopIfTrue="1">
      <formula>LEN(TRIM(H12))=0</formula>
    </cfRule>
    <cfRule type="expression" dxfId="712" priority="20" stopIfTrue="1">
      <formula>ISNUMBER(H12)=FALSE</formula>
    </cfRule>
    <cfRule type="cellIs" dxfId="711" priority="21" stopIfTrue="1" operator="lessThan">
      <formula>0</formula>
    </cfRule>
  </conditionalFormatting>
  <conditionalFormatting sqref="D12:D8075">
    <cfRule type="containsBlanks" dxfId="710" priority="9" stopIfTrue="1">
      <formula>LEN(TRIM(D12))=0</formula>
    </cfRule>
    <cfRule type="expression" dxfId="709" priority="10">
      <formula>AND(D12&lt;&gt;100, D12&lt;&gt;101, D12&lt;&gt;102, D12&lt;&gt;103, D12&lt;&gt;104, D12&lt;&gt;105, D12&lt;&gt;106, D12&lt;&gt;107, D12&lt;&gt;108, D12&lt;&gt;109, D12&lt;&gt;110, D12&lt;&gt;111, D12&lt;&gt;112, D12&lt;&gt;115, D12&lt;&gt;116, D12&lt;&gt;118, D12&lt;&gt;119, D12&lt;&gt;120, D12&lt;&gt;121, D12&lt;&gt;122, D12&lt;&gt;999)</formula>
    </cfRule>
  </conditionalFormatting>
  <conditionalFormatting sqref="B12:B8075">
    <cfRule type="containsBlanks" dxfId="708" priority="4" stopIfTrue="1">
      <formula>LEN(TRIM(B12))=0</formula>
    </cfRule>
    <cfRule type="expression" dxfId="707" priority="5" stopIfTrue="1">
      <formula>ISNUMBER(B12)=FALSE</formula>
    </cfRule>
    <cfRule type="expression" dxfId="706" priority="6">
      <formula>AND(B12&lt;&gt;2021, B12&lt;&gt;2022, B12&lt;&gt;2023)</formula>
    </cfRule>
  </conditionalFormatting>
  <conditionalFormatting sqref="C12:C8075">
    <cfRule type="containsBlanks" dxfId="705" priority="7" stopIfTrue="1">
      <formula>LEN(TRIM(C12))=0</formula>
    </cfRule>
    <cfRule type="expression" dxfId="704" priority="8">
      <formula>AND(C12&lt;&gt;1, C12&lt;&gt;2, C12&lt;&gt;3, C12&lt;&gt;4, C12&lt;&gt;5, C12&lt;&gt;6, C12&lt;&gt;7, C12&lt;&gt;8)</formula>
    </cfRule>
  </conditionalFormatting>
  <conditionalFormatting sqref="E12:E8075">
    <cfRule type="containsBlanks" dxfId="703" priority="11" stopIfTrue="1">
      <formula>LEN(TRIM(E12))=0</formula>
    </cfRule>
    <cfRule type="expression" dxfId="702" priority="12" stopIfTrue="1">
      <formula>ISNUMBER(E12)=FALSE</formula>
    </cfRule>
    <cfRule type="expression" dxfId="701" priority="13">
      <formula>AND(E12&lt;&gt;1, E12&lt;&gt;2, E12&lt;&gt;3, E12&lt;&gt;4, E12&lt;&gt;5, E12&lt;&gt;6, E12&lt;&gt;7, E12&lt;&gt;8)</formula>
    </cfRule>
  </conditionalFormatting>
  <conditionalFormatting sqref="F12:F8075">
    <cfRule type="containsBlanks" dxfId="700" priority="14" stopIfTrue="1">
      <formula>LEN(TRIM(F12))=0</formula>
    </cfRule>
    <cfRule type="expression" dxfId="699" priority="15" stopIfTrue="1">
      <formula>ISNUMBER(F12)=FALSE</formula>
    </cfRule>
    <cfRule type="expression" dxfId="698" priority="16">
      <formula>AND(F12&lt;&gt;1, F12&lt;&gt;2)</formula>
    </cfRule>
  </conditionalFormatting>
  <conditionalFormatting sqref="G12:G8075">
    <cfRule type="containsBlanks" dxfId="697" priority="17" stopIfTrue="1">
      <formula>LEN(TRIM(G12))=0</formula>
    </cfRule>
    <cfRule type="expression" dxfId="696" priority="18" stopIfTrue="1">
      <formula>MOD(G12,1)&lt;&gt;0</formula>
    </cfRule>
  </conditionalFormatting>
  <dataValidations xWindow="1420" yWindow="428" count="7">
    <dataValidation type="decimal" operator="greaterThanOrEqual" allowBlank="1" showInputMessage="1" showErrorMessage="1" error="Input must be a non-negative number" promptTitle="Input required" prompt="Enter non-negative number_x000a_" sqref="K12:K27 J12:J8075" xr:uid="{B9FA1022-8739-42BA-B40E-00016E34FE89}">
      <formula1>0</formula1>
    </dataValidation>
    <dataValidation type="decimal" operator="greaterThanOrEqual" showInputMessage="1" showErrorMessage="1" error="Input must be a non-negative number" promptTitle="Input required" prompt="Enter non-negative number_x000a_" sqref="H12:H27" xr:uid="{DEB9E811-98BA-484B-BE5D-F64364BF5095}">
      <formula1>0</formula1>
    </dataValidation>
    <dataValidation type="decimal" operator="greaterThanOrEqual" allowBlank="1" showInputMessage="1" showErrorMessage="1" error="Input must be a non-negative integer" promptTitle="Input required" prompt="Enter non-negative number" sqref="H28:H8075" xr:uid="{5D50EE98-7B16-422F-AB5C-AA0B791B9276}">
      <formula1>0</formula1>
    </dataValidation>
    <dataValidation type="decimal" operator="greaterThanOrEqual" allowBlank="1" showInputMessage="1" showErrorMessage="1" error="Input must be a non-negative number" promptTitle="Input required" prompt="Enter non-negative number" sqref="K28:K8075" xr:uid="{E050D1A1-9868-4CDE-BD89-D0060BFABEBB}">
      <formula1>0</formula1>
    </dataValidation>
    <dataValidation type="whole" operator="greaterThanOrEqual" allowBlank="1" showInputMessage="1" showErrorMessage="1" error="Input must be a non-negative integer" promptTitle="Input required" prompt="Enter non-negative integer_x000a_" sqref="G12:G336 G383:G8075" xr:uid="{A81EA38D-61B3-4407-9753-B2265CDF9D59}">
      <formula1>0</formula1>
    </dataValidation>
    <dataValidation type="whole" operator="greaterThanOrEqual" allowBlank="1" showInputMessage="1" showErrorMessage="1" error="Input must be a non-negative integer" promptTitle="Input required" prompt="Enter non-negative integer; input must be greater than zero if the Claims Amount Excluded Due to Truncation (AS08) is greater than zero_x000a__x000a__x000a_" sqref="I12:I8075" xr:uid="{302AF355-F34B-4482-B6D2-281C7A808E9D}">
      <formula1>0</formula1>
    </dataValidation>
    <dataValidation type="list" allowBlank="1" showInputMessage="1" showErrorMessage="1" errorTitle="Invalid input" error="Select option from the drop down list" promptTitle="Input required" prompt="Input must be an option from the drop down list" sqref="B12:B8075" xr:uid="{C5D40E64-6560-4F4D-A9FF-3E325BBFDDC9}">
      <formula1>"2021,2022,2023"</formula1>
    </dataValidation>
  </dataValidations>
  <pageMargins left="0.7" right="0.7" top="0.75" bottom="0.75" header="0.3" footer="0.3"/>
  <pageSetup scale="10" fitToHeight="5" orientation="landscape" r:id="rId1"/>
  <headerFooter>
    <oddFooter>&amp;L&amp;"-,Bold"Carrier Benchmark Data Submission Template&amp;"-,Regular" | NJ Hart Program&amp;RPage &amp;P</oddFooter>
  </headerFooter>
  <tableParts count="1">
    <tablePart r:id="rId2"/>
  </tableParts>
  <extLst>
    <ext xmlns:x14="http://schemas.microsoft.com/office/spreadsheetml/2009/9/main" uri="{CCE6A557-97BC-4b89-ADB6-D9C93CAAB3DF}">
      <x14:dataValidations xmlns:xm="http://schemas.microsoft.com/office/excel/2006/main" xWindow="1420" yWindow="428" count="6">
        <x14:dataValidation type="list" allowBlank="1" showInputMessage="1" showErrorMessage="1" promptTitle="Input required" prompt="Input must be an option from the drop down list if Member Months field (AS07) is greater than zero" xr:uid="{E7391C89-468B-471B-8FF4-1454BA19564F}">
          <x14:formula1>
            <xm:f>'Reference Tables'!$A$62:$A$63</xm:f>
          </x14:formula1>
          <xm:sqref>F12:F290</xm:sqref>
        </x14:dataValidation>
        <x14:dataValidation type="list" allowBlank="1" showInputMessage="1" showErrorMessage="1" error="Select Insurance Category Code listed in the Reference Tables tab." promptTitle="Input required" prompt="Input must be an option from the drop down list." xr:uid="{1348F10B-4422-4B28-91A0-B967F6E7D443}">
          <x14:formula1>
            <xm:f>'Reference Tables'!$A$16:$A$23</xm:f>
          </x14:formula1>
          <xm:sqref>C383:C8075 C12:C336</xm:sqref>
        </x14:dataValidation>
        <x14:dataValidation type="list" allowBlank="1" showInputMessage="1" showErrorMessage="1" error="Select Age Band Codes as listed in the Reference Tables tab." promptTitle="Input required" prompt="Input must be an option from the drop down list if Member Months field (AS07) is greater than zero" xr:uid="{E465C097-324D-418C-A47D-B63FD49E6958}">
          <x14:formula1>
            <xm:f>'Reference Tables'!$A$51:$A$58</xm:f>
          </x14:formula1>
          <xm:sqref>E12:E336 E383:E8075</xm:sqref>
        </x14:dataValidation>
        <x14:dataValidation type="list" allowBlank="1" showInputMessage="1" showErrorMessage="1" error="Select Sex Codes as listed in the Reference Tables tab." promptTitle="Input required" prompt="Input must be an option from the drop down list if Member Months field (AS07) is greater than zero" xr:uid="{D54E5FC4-26B3-4913-9CDE-EEA7D1000BD2}">
          <x14:formula1>
            <xm:f>'Reference Tables'!$A$62:$A$63</xm:f>
          </x14:formula1>
          <xm:sqref>F291:F336 F383:F8075</xm:sqref>
        </x14:dataValidation>
        <x14:dataValidation type="list" allowBlank="1" showInputMessage="1" showErrorMessage="1" error="Select Insurer Code as listed in the Reference Tables tab." promptTitle="Input required" prompt="Input must align with the Insurer Code in the file name and the Insurer Name (CP01) on the Cover Page tab" xr:uid="{703A8A24-7A1E-45AE-A671-224307813E47}">
          <x14:formula1>
            <xm:f>'Reference Tables'!$A$6:$A$12</xm:f>
          </x14:formula1>
          <xm:sqref>A12:A8075</xm:sqref>
        </x14:dataValidation>
        <x14:dataValidation type="list" allowBlank="1" showInputMessage="1" showErrorMessage="1" error="Select Large Provider Entity Codes as listed in the Reference Tables tab." promptTitle="Input required" prompt="Input must be an option from the drop down list if Member Months field (AS07) is greater than zero" xr:uid="{6E2A8ABB-DD8E-4BD9-8947-2AB027D6A158}">
          <x14:formula1>
            <xm:f>'Reference Tables'!$A$27:$A$47</xm:f>
          </x14:formula1>
          <xm:sqref>D12:D8075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E84A3-E999-4666-8EA1-4FED35BD25D0}">
  <sheetPr>
    <tabColor theme="9" tint="0.39997558519241921"/>
    <pageSetUpPr fitToPage="1"/>
  </sheetPr>
  <dimension ref="A1:X200"/>
  <sheetViews>
    <sheetView showGridLines="0" zoomScale="80" zoomScaleNormal="80" zoomScalePageLayoutView="60" workbookViewId="0">
      <selection activeCell="H28" sqref="H28"/>
    </sheetView>
  </sheetViews>
  <sheetFormatPr defaultColWidth="9.140625" defaultRowHeight="15" x14ac:dyDescent="0.25"/>
  <cols>
    <col min="1" max="3" width="15.7109375" style="10" customWidth="1"/>
    <col min="4" max="4" width="27.140625" style="10" customWidth="1"/>
    <col min="5" max="5" width="25.7109375" style="10" customWidth="1"/>
    <col min="6" max="6" width="29.85546875" style="10" customWidth="1"/>
    <col min="7" max="8" width="25.7109375" style="10" customWidth="1"/>
    <col min="9" max="9" width="9.140625" style="10"/>
    <col min="10" max="10" width="87" style="10" bestFit="1" customWidth="1"/>
    <col min="11" max="11" width="10.140625" style="10" bestFit="1" customWidth="1"/>
    <col min="12" max="16384" width="9.140625" style="10"/>
  </cols>
  <sheetData>
    <row r="1" spans="1:24" ht="18.75" x14ac:dyDescent="0.3">
      <c r="A1" s="9" t="s">
        <v>225</v>
      </c>
      <c r="B1" s="277"/>
      <c r="C1" s="1"/>
      <c r="D1" s="1"/>
      <c r="E1" s="1"/>
      <c r="F1" s="1"/>
      <c r="G1" s="1"/>
      <c r="H1" s="1"/>
    </row>
    <row r="2" spans="1:24" ht="15" customHeight="1" x14ac:dyDescent="0.25">
      <c r="A2" s="21" t="s">
        <v>147</v>
      </c>
      <c r="B2" s="277"/>
      <c r="C2" s="1"/>
      <c r="D2" s="1"/>
      <c r="E2" s="1"/>
      <c r="F2" s="1"/>
      <c r="G2" s="1"/>
      <c r="H2" s="1"/>
    </row>
    <row r="3" spans="1:24" ht="15" customHeight="1" x14ac:dyDescent="0.25">
      <c r="A3" s="21"/>
      <c r="B3" s="277"/>
      <c r="C3" s="1"/>
      <c r="D3" s="1"/>
      <c r="E3" s="1"/>
      <c r="F3" s="1"/>
      <c r="G3" s="1"/>
      <c r="H3" s="1"/>
    </row>
    <row r="4" spans="1:24" x14ac:dyDescent="0.25">
      <c r="A4" s="270" t="s">
        <v>132</v>
      </c>
      <c r="B4" s="277"/>
      <c r="C4" s="1"/>
      <c r="D4" s="1"/>
      <c r="E4" s="1"/>
      <c r="F4" s="1"/>
      <c r="G4" s="1"/>
      <c r="H4" s="1"/>
    </row>
    <row r="5" spans="1:24" x14ac:dyDescent="0.25">
      <c r="A5" s="638" t="s">
        <v>226</v>
      </c>
      <c r="B5" s="638"/>
      <c r="C5" s="638"/>
      <c r="D5" s="638"/>
      <c r="E5" s="638"/>
      <c r="F5" s="638"/>
      <c r="G5" s="638"/>
      <c r="H5" s="497"/>
      <c r="I5" s="11"/>
    </row>
    <row r="6" spans="1:24" x14ac:dyDescent="0.25">
      <c r="A6" s="267" t="s">
        <v>133</v>
      </c>
      <c r="B6" s="283"/>
      <c r="C6" s="282"/>
      <c r="D6" s="282"/>
      <c r="E6" s="282"/>
      <c r="F6" s="282"/>
      <c r="G6" s="282"/>
      <c r="H6" s="282"/>
    </row>
    <row r="7" spans="1:24" ht="30" customHeight="1" x14ac:dyDescent="0.25">
      <c r="A7" s="639" t="s">
        <v>150</v>
      </c>
      <c r="B7" s="639"/>
      <c r="C7" s="639"/>
      <c r="D7" s="639"/>
      <c r="E7" s="639"/>
      <c r="F7" s="639"/>
      <c r="G7" s="639"/>
      <c r="H7" s="353"/>
    </row>
    <row r="8" spans="1:24" x14ac:dyDescent="0.25">
      <c r="A8" s="27"/>
      <c r="B8" s="27"/>
      <c r="C8" s="27"/>
      <c r="D8" s="27"/>
      <c r="E8" s="27"/>
      <c r="F8" s="27"/>
      <c r="G8" s="27"/>
      <c r="H8" s="27"/>
    </row>
    <row r="9" spans="1:24" ht="15" customHeight="1" x14ac:dyDescent="0.3">
      <c r="A9" s="9"/>
      <c r="B9" s="277"/>
      <c r="C9" s="1"/>
      <c r="D9" s="1"/>
      <c r="E9" s="1"/>
      <c r="F9" s="1"/>
      <c r="G9" s="1"/>
      <c r="H9" s="1"/>
    </row>
    <row r="10" spans="1:24" s="39" customFormat="1" x14ac:dyDescent="0.25">
      <c r="A10" s="356" t="s">
        <v>227</v>
      </c>
      <c r="B10" s="356" t="s">
        <v>228</v>
      </c>
      <c r="C10" s="356" t="s">
        <v>229</v>
      </c>
      <c r="D10" s="356" t="s">
        <v>230</v>
      </c>
      <c r="E10" s="356" t="s">
        <v>231</v>
      </c>
      <c r="F10" s="356" t="s">
        <v>232</v>
      </c>
      <c r="G10" s="356" t="s">
        <v>233</v>
      </c>
      <c r="H10" s="356" t="s">
        <v>234</v>
      </c>
    </row>
    <row r="11" spans="1:24" ht="15" customHeight="1" x14ac:dyDescent="0.25">
      <c r="A11" s="118" t="s">
        <v>51</v>
      </c>
      <c r="B11" s="119" t="s">
        <v>180</v>
      </c>
      <c r="C11" s="119" t="s">
        <v>96</v>
      </c>
      <c r="D11" s="119" t="s">
        <v>71</v>
      </c>
      <c r="E11" s="357" t="s">
        <v>181</v>
      </c>
      <c r="F11" s="25" t="s">
        <v>202</v>
      </c>
      <c r="G11" s="358" t="s">
        <v>235</v>
      </c>
      <c r="H11" s="24" t="s">
        <v>236</v>
      </c>
      <c r="J11" s="348" t="s">
        <v>206</v>
      </c>
    </row>
    <row r="12" spans="1:24" x14ac:dyDescent="0.25">
      <c r="A12" s="311"/>
      <c r="B12" s="312"/>
      <c r="C12" s="312"/>
      <c r="D12" s="312"/>
      <c r="E12" s="313"/>
      <c r="F12" s="450"/>
      <c r="G12" s="450"/>
      <c r="H12" s="313"/>
      <c r="J12" s="39" t="str">
        <f>K12&amp;SD[[#This Row],[Insurer Code]]&amp;"; "&amp;L12&amp;SD[[#This Row],[Reporting Year]]&amp;"; "&amp;M12&amp;SD[[#This Row],[Market Code]]&amp;"; "&amp;N12&amp;SD[[#This Row],[Large Provider Entity Code]]</f>
        <v xml:space="preserve">Insurer Code ; Reporting Year ; Market Code ; Large Provider Entity Code </v>
      </c>
      <c r="K12" s="347" t="s">
        <v>207</v>
      </c>
      <c r="L12" s="347" t="s">
        <v>208</v>
      </c>
      <c r="M12" s="347" t="s">
        <v>237</v>
      </c>
      <c r="N12" s="347" t="s">
        <v>210</v>
      </c>
      <c r="O12" s="347"/>
      <c r="P12" s="347"/>
      <c r="Q12" s="347"/>
      <c r="R12" s="347"/>
      <c r="S12" s="347"/>
      <c r="T12" s="347"/>
      <c r="U12" s="347"/>
      <c r="V12" s="347"/>
      <c r="W12" s="347"/>
      <c r="X12" s="347"/>
    </row>
    <row r="13" spans="1:24" x14ac:dyDescent="0.25">
      <c r="A13" s="311"/>
      <c r="B13" s="312"/>
      <c r="C13" s="312"/>
      <c r="D13" s="312"/>
      <c r="E13" s="313"/>
      <c r="F13" s="456"/>
      <c r="G13" s="456"/>
      <c r="H13" s="313"/>
      <c r="J13" s="39" t="str">
        <f>K13&amp;SD[[#This Row],[Insurer Code]]&amp;"; "&amp;L13&amp;SD[[#This Row],[Reporting Year]]&amp;"; "&amp;M13&amp;SD[[#This Row],[Market Code]]&amp;"; "&amp;N13&amp;SD[[#This Row],[Large Provider Entity Code]]</f>
        <v xml:space="preserve">Insurer Code ; Reporting Year ; Market Code ; Large Provider Entity Code </v>
      </c>
      <c r="K13" s="347" t="s">
        <v>207</v>
      </c>
      <c r="L13" s="347" t="s">
        <v>208</v>
      </c>
      <c r="M13" s="347" t="s">
        <v>237</v>
      </c>
      <c r="N13" s="347" t="s">
        <v>210</v>
      </c>
      <c r="O13" s="347"/>
      <c r="P13" s="347"/>
      <c r="Q13" s="347"/>
      <c r="R13" s="347"/>
      <c r="S13" s="347"/>
      <c r="T13" s="347"/>
      <c r="U13" s="347"/>
      <c r="V13" s="347"/>
      <c r="W13" s="347"/>
      <c r="X13" s="347"/>
    </row>
    <row r="14" spans="1:24" x14ac:dyDescent="0.25">
      <c r="A14" s="311"/>
      <c r="B14" s="312"/>
      <c r="C14" s="312"/>
      <c r="D14" s="312"/>
      <c r="E14" s="313"/>
      <c r="F14" s="456"/>
      <c r="G14" s="456"/>
      <c r="H14" s="313"/>
      <c r="J14" s="39" t="str">
        <f>K14&amp;SD[[#This Row],[Insurer Code]]&amp;"; "&amp;L14&amp;SD[[#This Row],[Reporting Year]]&amp;"; "&amp;M14&amp;SD[[#This Row],[Market Code]]&amp;"; "&amp;N14&amp;SD[[#This Row],[Large Provider Entity Code]]</f>
        <v xml:space="preserve">Insurer Code ; Reporting Year ; Market Code ; Large Provider Entity Code </v>
      </c>
      <c r="K14" s="347" t="s">
        <v>207</v>
      </c>
      <c r="L14" s="347" t="s">
        <v>208</v>
      </c>
      <c r="M14" s="347" t="s">
        <v>237</v>
      </c>
      <c r="N14" s="347" t="s">
        <v>210</v>
      </c>
      <c r="O14" s="347"/>
      <c r="P14" s="347"/>
      <c r="Q14" s="347"/>
      <c r="R14" s="347"/>
      <c r="S14" s="347"/>
      <c r="T14" s="347"/>
      <c r="U14" s="347"/>
      <c r="V14" s="347"/>
      <c r="W14" s="347"/>
      <c r="X14" s="347"/>
    </row>
    <row r="15" spans="1:24" x14ac:dyDescent="0.25">
      <c r="A15" s="311"/>
      <c r="B15" s="457"/>
      <c r="C15" s="457"/>
      <c r="D15" s="457"/>
      <c r="E15" s="482"/>
      <c r="F15" s="486"/>
      <c r="G15" s="492"/>
      <c r="H15" s="313"/>
      <c r="J15" s="39" t="str">
        <f>K15&amp;SD[[#This Row],[Insurer Code]]&amp;"; "&amp;L15&amp;SD[[#This Row],[Reporting Year]]&amp;"; "&amp;M15&amp;SD[[#This Row],[Market Code]]&amp;"; "&amp;N15&amp;SD[[#This Row],[Large Provider Entity Code]]</f>
        <v xml:space="preserve">Insurer Code ; Reporting Year ; Market Code ; Large Provider Entity Code </v>
      </c>
      <c r="K15" s="347" t="s">
        <v>207</v>
      </c>
      <c r="L15" s="347" t="s">
        <v>208</v>
      </c>
      <c r="M15" s="347" t="s">
        <v>237</v>
      </c>
      <c r="N15" s="347" t="s">
        <v>210</v>
      </c>
      <c r="O15" s="347"/>
      <c r="P15" s="347"/>
      <c r="Q15" s="347"/>
      <c r="R15" s="347"/>
      <c r="S15" s="347"/>
      <c r="T15" s="347"/>
      <c r="U15" s="347"/>
      <c r="V15" s="347"/>
      <c r="W15" s="347"/>
      <c r="X15" s="347"/>
    </row>
    <row r="16" spans="1:24" x14ac:dyDescent="0.25">
      <c r="A16" s="311"/>
      <c r="B16" s="457"/>
      <c r="C16" s="457"/>
      <c r="D16" s="457"/>
      <c r="E16" s="482"/>
      <c r="F16" s="486"/>
      <c r="G16" s="492"/>
      <c r="H16" s="313"/>
      <c r="J16" s="39" t="str">
        <f>K16&amp;SD[[#This Row],[Insurer Code]]&amp;"; "&amp;L16&amp;SD[[#This Row],[Reporting Year]]&amp;"; "&amp;M16&amp;SD[[#This Row],[Market Code]]&amp;"; "&amp;N16&amp;SD[[#This Row],[Large Provider Entity Code]]</f>
        <v xml:space="preserve">Insurer Code ; Reporting Year ; Market Code ; Large Provider Entity Code </v>
      </c>
      <c r="K16" s="347" t="s">
        <v>207</v>
      </c>
      <c r="L16" s="347" t="s">
        <v>208</v>
      </c>
      <c r="M16" s="347" t="s">
        <v>237</v>
      </c>
      <c r="N16" s="347" t="s">
        <v>210</v>
      </c>
      <c r="O16" s="347"/>
      <c r="P16" s="347"/>
      <c r="Q16" s="347"/>
      <c r="R16" s="347"/>
      <c r="S16" s="347"/>
      <c r="T16" s="347"/>
      <c r="U16" s="347"/>
      <c r="V16" s="347"/>
      <c r="W16" s="347"/>
      <c r="X16" s="347"/>
    </row>
    <row r="17" spans="1:24" x14ac:dyDescent="0.25">
      <c r="A17" s="311"/>
      <c r="B17" s="457"/>
      <c r="C17" s="457"/>
      <c r="D17" s="457"/>
      <c r="E17" s="482"/>
      <c r="F17" s="486"/>
      <c r="G17" s="492"/>
      <c r="H17" s="313"/>
      <c r="J17" s="39" t="str">
        <f>K17&amp;SD[[#This Row],[Insurer Code]]&amp;"; "&amp;L17&amp;SD[[#This Row],[Reporting Year]]&amp;"; "&amp;M17&amp;SD[[#This Row],[Market Code]]&amp;"; "&amp;N17&amp;SD[[#This Row],[Large Provider Entity Code]]</f>
        <v xml:space="preserve">Insurer Code ; Reporting Year ; Market Code ; Large Provider Entity Code </v>
      </c>
      <c r="K17" s="347" t="s">
        <v>207</v>
      </c>
      <c r="L17" s="347" t="s">
        <v>208</v>
      </c>
      <c r="M17" s="347" t="s">
        <v>237</v>
      </c>
      <c r="N17" s="347" t="s">
        <v>210</v>
      </c>
      <c r="O17" s="347"/>
      <c r="P17" s="347"/>
      <c r="Q17" s="347"/>
      <c r="R17" s="347"/>
      <c r="S17" s="347"/>
      <c r="T17" s="347"/>
      <c r="U17" s="347"/>
      <c r="V17" s="347"/>
      <c r="W17" s="347"/>
      <c r="X17" s="347"/>
    </row>
    <row r="18" spans="1:24" x14ac:dyDescent="0.25">
      <c r="A18" s="311"/>
      <c r="B18" s="457"/>
      <c r="C18" s="457"/>
      <c r="D18" s="457"/>
      <c r="E18" s="482"/>
      <c r="F18" s="486"/>
      <c r="G18" s="492"/>
      <c r="H18" s="313"/>
      <c r="J18" s="39" t="str">
        <f>K18&amp;SD[[#This Row],[Insurer Code]]&amp;"; "&amp;L18&amp;SD[[#This Row],[Reporting Year]]&amp;"; "&amp;M18&amp;SD[[#This Row],[Market Code]]&amp;"; "&amp;N18&amp;SD[[#This Row],[Large Provider Entity Code]]</f>
        <v xml:space="preserve">Insurer Code ; Reporting Year ; Market Code ; Large Provider Entity Code </v>
      </c>
      <c r="K18" s="347" t="s">
        <v>207</v>
      </c>
      <c r="L18" s="347" t="s">
        <v>208</v>
      </c>
      <c r="M18" s="347" t="s">
        <v>237</v>
      </c>
      <c r="N18" s="347" t="s">
        <v>210</v>
      </c>
      <c r="O18" s="347"/>
      <c r="P18" s="347"/>
      <c r="Q18" s="347"/>
      <c r="R18" s="347"/>
      <c r="S18" s="347"/>
      <c r="T18" s="347"/>
      <c r="U18" s="347"/>
      <c r="V18" s="347"/>
      <c r="W18" s="347"/>
      <c r="X18" s="347"/>
    </row>
    <row r="19" spans="1:24" x14ac:dyDescent="0.25">
      <c r="A19" s="311"/>
      <c r="B19" s="477"/>
      <c r="C19" s="477"/>
      <c r="D19" s="477"/>
      <c r="E19" s="477"/>
      <c r="F19" s="484"/>
      <c r="G19" s="492"/>
      <c r="H19" s="313"/>
      <c r="J19" s="39" t="str">
        <f>K19&amp;SD[[#This Row],[Insurer Code]]&amp;"; "&amp;L19&amp;SD[[#This Row],[Reporting Year]]&amp;"; "&amp;M19&amp;SD[[#This Row],[Market Code]]&amp;"; "&amp;N19&amp;SD[[#This Row],[Large Provider Entity Code]]</f>
        <v xml:space="preserve">Insurer Code ; Reporting Year ; Market Code ; Large Provider Entity Code </v>
      </c>
      <c r="K19" s="347" t="s">
        <v>207</v>
      </c>
      <c r="L19" s="347" t="s">
        <v>208</v>
      </c>
      <c r="M19" s="347" t="s">
        <v>237</v>
      </c>
      <c r="N19" s="347" t="s">
        <v>210</v>
      </c>
      <c r="O19" s="347"/>
      <c r="P19" s="347"/>
      <c r="Q19" s="347"/>
      <c r="R19" s="347"/>
      <c r="S19" s="347"/>
      <c r="T19" s="347"/>
      <c r="U19" s="347"/>
      <c r="V19" s="347"/>
      <c r="W19" s="347"/>
      <c r="X19" s="347"/>
    </row>
    <row r="20" spans="1:24" x14ac:dyDescent="0.25">
      <c r="A20" s="311"/>
      <c r="B20" s="477"/>
      <c r="C20" s="477"/>
      <c r="D20" s="477"/>
      <c r="E20" s="477"/>
      <c r="F20" s="484"/>
      <c r="G20" s="492"/>
      <c r="H20" s="313"/>
      <c r="J20" s="39" t="str">
        <f>K20&amp;SD[[#This Row],[Insurer Code]]&amp;"; "&amp;L20&amp;SD[[#This Row],[Reporting Year]]&amp;"; "&amp;M20&amp;SD[[#This Row],[Market Code]]&amp;"; "&amp;N20&amp;SD[[#This Row],[Large Provider Entity Code]]</f>
        <v xml:space="preserve">Insurer Code ; Reporting Year ; Market Code ; Large Provider Entity Code </v>
      </c>
      <c r="K20" s="347" t="s">
        <v>207</v>
      </c>
      <c r="L20" s="347" t="s">
        <v>208</v>
      </c>
      <c r="M20" s="347" t="s">
        <v>237</v>
      </c>
      <c r="N20" s="347" t="s">
        <v>210</v>
      </c>
      <c r="O20" s="347"/>
      <c r="P20" s="347"/>
      <c r="Q20" s="347"/>
      <c r="R20" s="347"/>
      <c r="S20" s="347"/>
      <c r="T20" s="347"/>
      <c r="U20" s="347"/>
      <c r="V20" s="347"/>
      <c r="W20" s="347"/>
      <c r="X20" s="347"/>
    </row>
    <row r="21" spans="1:24" x14ac:dyDescent="0.25">
      <c r="A21" s="311"/>
      <c r="B21" s="312"/>
      <c r="C21" s="312"/>
      <c r="D21" s="312"/>
      <c r="E21" s="313"/>
      <c r="F21" s="450"/>
      <c r="G21" s="450"/>
      <c r="H21" s="313"/>
      <c r="J21" s="39" t="str">
        <f>K21&amp;SD[[#This Row],[Insurer Code]]&amp;"; "&amp;L21&amp;SD[[#This Row],[Reporting Year]]&amp;"; "&amp;M21&amp;SD[[#This Row],[Market Code]]&amp;"; "&amp;N21&amp;SD[[#This Row],[Large Provider Entity Code]]</f>
        <v xml:space="preserve">Insurer Code ; Reporting Year ; Market Code ; Large Provider Entity Code </v>
      </c>
      <c r="K21" s="347" t="s">
        <v>207</v>
      </c>
      <c r="L21" s="347" t="s">
        <v>208</v>
      </c>
      <c r="M21" s="347" t="s">
        <v>237</v>
      </c>
      <c r="N21" s="347" t="s">
        <v>210</v>
      </c>
      <c r="O21" s="347"/>
      <c r="P21" s="347"/>
      <c r="Q21" s="347"/>
      <c r="R21" s="347"/>
      <c r="S21" s="347"/>
      <c r="T21" s="347"/>
      <c r="U21" s="347"/>
      <c r="V21" s="347"/>
      <c r="W21" s="347"/>
      <c r="X21" s="347"/>
    </row>
    <row r="22" spans="1:24" x14ac:dyDescent="0.25">
      <c r="A22" s="311"/>
      <c r="B22" s="312"/>
      <c r="C22" s="312"/>
      <c r="D22" s="312"/>
      <c r="E22" s="313"/>
      <c r="F22" s="456"/>
      <c r="G22" s="456"/>
      <c r="H22" s="313"/>
      <c r="J22" s="39" t="str">
        <f>K22&amp;SD[[#This Row],[Insurer Code]]&amp;"; "&amp;L22&amp;SD[[#This Row],[Reporting Year]]&amp;"; "&amp;M22&amp;SD[[#This Row],[Market Code]]&amp;"; "&amp;N22&amp;SD[[#This Row],[Large Provider Entity Code]]</f>
        <v xml:space="preserve">Insurer Code ; Reporting Year ; Market Code ; Large Provider Entity Code </v>
      </c>
      <c r="K22" s="347" t="s">
        <v>207</v>
      </c>
      <c r="L22" s="347" t="s">
        <v>208</v>
      </c>
      <c r="M22" s="347" t="s">
        <v>237</v>
      </c>
      <c r="N22" s="347" t="s">
        <v>210</v>
      </c>
      <c r="O22" s="347"/>
      <c r="P22" s="347"/>
      <c r="Q22" s="347"/>
      <c r="R22" s="347"/>
      <c r="S22" s="347"/>
      <c r="T22" s="347"/>
      <c r="U22" s="347"/>
      <c r="V22" s="347"/>
      <c r="W22" s="347"/>
      <c r="X22" s="347"/>
    </row>
    <row r="23" spans="1:24" x14ac:dyDescent="0.25">
      <c r="A23" s="311"/>
      <c r="B23" s="312"/>
      <c r="C23" s="312"/>
      <c r="D23" s="312"/>
      <c r="E23" s="313"/>
      <c r="F23" s="456"/>
      <c r="G23" s="456"/>
      <c r="H23" s="313"/>
      <c r="J23" s="39" t="str">
        <f>K23&amp;SD[[#This Row],[Insurer Code]]&amp;"; "&amp;L23&amp;SD[[#This Row],[Reporting Year]]&amp;"; "&amp;M23&amp;SD[[#This Row],[Market Code]]&amp;"; "&amp;N23&amp;SD[[#This Row],[Large Provider Entity Code]]</f>
        <v xml:space="preserve">Insurer Code ; Reporting Year ; Market Code ; Large Provider Entity Code </v>
      </c>
      <c r="K23" s="347" t="s">
        <v>207</v>
      </c>
      <c r="L23" s="347" t="s">
        <v>208</v>
      </c>
      <c r="M23" s="347" t="s">
        <v>237</v>
      </c>
      <c r="N23" s="347" t="s">
        <v>210</v>
      </c>
      <c r="O23" s="347"/>
      <c r="P23" s="347"/>
      <c r="Q23" s="347"/>
      <c r="R23" s="347"/>
      <c r="S23" s="347"/>
      <c r="T23" s="347"/>
      <c r="U23" s="347"/>
      <c r="V23" s="347"/>
      <c r="W23" s="347"/>
      <c r="X23" s="347"/>
    </row>
    <row r="24" spans="1:24" x14ac:dyDescent="0.25">
      <c r="A24" s="311"/>
      <c r="B24" s="457"/>
      <c r="C24" s="457"/>
      <c r="D24" s="457"/>
      <c r="E24" s="482"/>
      <c r="F24" s="486"/>
      <c r="G24" s="492"/>
      <c r="H24" s="313"/>
      <c r="J24" s="39" t="str">
        <f>K24&amp;SD[[#This Row],[Insurer Code]]&amp;"; "&amp;L24&amp;SD[[#This Row],[Reporting Year]]&amp;"; "&amp;M24&amp;SD[[#This Row],[Market Code]]&amp;"; "&amp;N24&amp;SD[[#This Row],[Large Provider Entity Code]]</f>
        <v xml:space="preserve">Insurer Code ; Reporting Year ; Market Code ; Large Provider Entity Code </v>
      </c>
      <c r="K24" s="347" t="s">
        <v>207</v>
      </c>
      <c r="L24" s="347" t="s">
        <v>208</v>
      </c>
      <c r="M24" s="347" t="s">
        <v>237</v>
      </c>
      <c r="N24" s="347" t="s">
        <v>210</v>
      </c>
      <c r="O24" s="347"/>
      <c r="P24" s="347"/>
      <c r="Q24" s="347"/>
      <c r="R24" s="347"/>
      <c r="S24" s="347"/>
      <c r="T24" s="347"/>
      <c r="U24" s="347"/>
      <c r="V24" s="347"/>
      <c r="W24" s="347"/>
      <c r="X24" s="347"/>
    </row>
    <row r="25" spans="1:24" x14ac:dyDescent="0.25">
      <c r="A25" s="311"/>
      <c r="B25" s="457"/>
      <c r="C25" s="457"/>
      <c r="D25" s="457"/>
      <c r="E25" s="482"/>
      <c r="F25" s="486"/>
      <c r="G25" s="492"/>
      <c r="H25" s="313"/>
      <c r="J25" s="39" t="str">
        <f>K25&amp;SD[[#This Row],[Insurer Code]]&amp;"; "&amp;L25&amp;SD[[#This Row],[Reporting Year]]&amp;"; "&amp;M25&amp;SD[[#This Row],[Market Code]]&amp;"; "&amp;N25&amp;SD[[#This Row],[Large Provider Entity Code]]</f>
        <v xml:space="preserve">Insurer Code ; Reporting Year ; Market Code ; Large Provider Entity Code </v>
      </c>
      <c r="K25" s="347" t="s">
        <v>207</v>
      </c>
      <c r="L25" s="347" t="s">
        <v>208</v>
      </c>
      <c r="M25" s="347" t="s">
        <v>237</v>
      </c>
      <c r="N25" s="347" t="s">
        <v>210</v>
      </c>
      <c r="O25" s="347"/>
      <c r="P25" s="347"/>
      <c r="Q25" s="347"/>
      <c r="R25" s="347"/>
      <c r="S25" s="347"/>
      <c r="T25" s="347"/>
      <c r="U25" s="347"/>
      <c r="V25" s="347"/>
      <c r="W25" s="347"/>
      <c r="X25" s="347"/>
    </row>
    <row r="26" spans="1:24" x14ac:dyDescent="0.25">
      <c r="A26" s="311"/>
      <c r="B26" s="457"/>
      <c r="C26" s="457"/>
      <c r="D26" s="457"/>
      <c r="E26" s="482"/>
      <c r="F26" s="486"/>
      <c r="G26" s="492"/>
      <c r="H26" s="313"/>
      <c r="J26" s="39" t="str">
        <f>K26&amp;SD[[#This Row],[Insurer Code]]&amp;"; "&amp;L26&amp;SD[[#This Row],[Reporting Year]]&amp;"; "&amp;M26&amp;SD[[#This Row],[Market Code]]&amp;"; "&amp;N26&amp;SD[[#This Row],[Large Provider Entity Code]]</f>
        <v xml:space="preserve">Insurer Code ; Reporting Year ; Market Code ; Large Provider Entity Code </v>
      </c>
      <c r="K26" s="347" t="s">
        <v>207</v>
      </c>
      <c r="L26" s="347" t="s">
        <v>208</v>
      </c>
      <c r="M26" s="347" t="s">
        <v>237</v>
      </c>
      <c r="N26" s="347" t="s">
        <v>210</v>
      </c>
      <c r="O26" s="347"/>
      <c r="P26" s="347"/>
      <c r="Q26" s="347"/>
      <c r="R26" s="347"/>
      <c r="S26" s="347"/>
      <c r="T26" s="347"/>
      <c r="U26" s="347"/>
      <c r="V26" s="347"/>
      <c r="W26" s="347"/>
      <c r="X26" s="347"/>
    </row>
    <row r="27" spans="1:24" x14ac:dyDescent="0.25">
      <c r="A27" s="311"/>
      <c r="B27" s="457"/>
      <c r="C27" s="457"/>
      <c r="D27" s="457"/>
      <c r="E27" s="482"/>
      <c r="F27" s="486"/>
      <c r="G27" s="492"/>
      <c r="H27" s="313"/>
      <c r="J27" s="39" t="str">
        <f>K27&amp;SD[[#This Row],[Insurer Code]]&amp;"; "&amp;L27&amp;SD[[#This Row],[Reporting Year]]&amp;"; "&amp;M27&amp;SD[[#This Row],[Market Code]]&amp;"; "&amp;N27&amp;SD[[#This Row],[Large Provider Entity Code]]</f>
        <v xml:space="preserve">Insurer Code ; Reporting Year ; Market Code ; Large Provider Entity Code </v>
      </c>
      <c r="K27" s="347" t="s">
        <v>207</v>
      </c>
      <c r="L27" s="347" t="s">
        <v>208</v>
      </c>
      <c r="M27" s="347" t="s">
        <v>237</v>
      </c>
      <c r="N27" s="347" t="s">
        <v>210</v>
      </c>
      <c r="O27" s="347"/>
      <c r="P27" s="347"/>
      <c r="Q27" s="347"/>
      <c r="R27" s="347"/>
      <c r="S27" s="347"/>
      <c r="T27" s="347"/>
      <c r="U27" s="347"/>
      <c r="V27" s="347"/>
      <c r="W27" s="347"/>
      <c r="X27" s="347"/>
    </row>
    <row r="28" spans="1:24" x14ac:dyDescent="0.25">
      <c r="A28" s="311"/>
      <c r="B28" s="477"/>
      <c r="C28" s="477"/>
      <c r="D28" s="477"/>
      <c r="E28" s="477"/>
      <c r="F28" s="484"/>
      <c r="G28" s="492"/>
      <c r="H28" s="313"/>
      <c r="J28" s="39" t="str">
        <f>K28&amp;SD[[#This Row],[Insurer Code]]&amp;"; "&amp;L28&amp;SD[[#This Row],[Reporting Year]]&amp;"; "&amp;M28&amp;SD[[#This Row],[Market Code]]&amp;"; "&amp;N28&amp;SD[[#This Row],[Large Provider Entity Code]]</f>
        <v xml:space="preserve">Insurer Code ; Reporting Year ; Market Code ; Large Provider Entity Code </v>
      </c>
      <c r="K28" s="347" t="s">
        <v>207</v>
      </c>
      <c r="L28" s="347" t="s">
        <v>208</v>
      </c>
      <c r="M28" s="347" t="s">
        <v>237</v>
      </c>
      <c r="N28" s="347" t="s">
        <v>210</v>
      </c>
      <c r="O28" s="347"/>
      <c r="P28" s="347"/>
      <c r="Q28" s="347"/>
      <c r="R28" s="347"/>
      <c r="S28" s="347"/>
      <c r="T28" s="347"/>
      <c r="U28" s="347"/>
      <c r="V28" s="347"/>
      <c r="W28" s="347"/>
      <c r="X28" s="347"/>
    </row>
    <row r="29" spans="1:24" x14ac:dyDescent="0.25">
      <c r="A29" s="311"/>
      <c r="B29" s="477"/>
      <c r="C29" s="477"/>
      <c r="D29" s="477"/>
      <c r="E29" s="477"/>
      <c r="F29" s="484"/>
      <c r="G29" s="492"/>
      <c r="H29" s="313"/>
      <c r="J29" s="39" t="str">
        <f>K29&amp;SD[[#This Row],[Insurer Code]]&amp;"; "&amp;L29&amp;SD[[#This Row],[Reporting Year]]&amp;"; "&amp;M29&amp;SD[[#This Row],[Market Code]]&amp;"; "&amp;N29&amp;SD[[#This Row],[Large Provider Entity Code]]</f>
        <v xml:space="preserve">Insurer Code ; Reporting Year ; Market Code ; Large Provider Entity Code </v>
      </c>
      <c r="K29" s="347" t="s">
        <v>207</v>
      </c>
      <c r="L29" s="347" t="s">
        <v>208</v>
      </c>
      <c r="M29" s="347" t="s">
        <v>237</v>
      </c>
      <c r="N29" s="347" t="s">
        <v>210</v>
      </c>
      <c r="O29" s="347"/>
      <c r="P29" s="347"/>
      <c r="Q29" s="347"/>
      <c r="R29" s="347"/>
      <c r="S29" s="347"/>
      <c r="T29" s="347"/>
      <c r="U29" s="347"/>
      <c r="V29" s="347"/>
      <c r="W29" s="347"/>
      <c r="X29" s="347"/>
    </row>
    <row r="30" spans="1:24" x14ac:dyDescent="0.25">
      <c r="A30" s="311"/>
      <c r="B30" s="312"/>
      <c r="C30" s="312"/>
      <c r="D30" s="312"/>
      <c r="E30" s="313"/>
      <c r="F30" s="450"/>
      <c r="G30" s="450"/>
      <c r="H30" s="313"/>
      <c r="J30" s="39" t="str">
        <f>K30&amp;SD[[#This Row],[Insurer Code]]&amp;"; "&amp;L30&amp;SD[[#This Row],[Reporting Year]]&amp;"; "&amp;M30&amp;SD[[#This Row],[Market Code]]&amp;"; "&amp;N30&amp;SD[[#This Row],[Large Provider Entity Code]]</f>
        <v xml:space="preserve">Insurer Code ; Reporting Year ; Market Code ; Large Provider Entity Code </v>
      </c>
      <c r="K30" s="347" t="s">
        <v>207</v>
      </c>
      <c r="L30" s="347" t="s">
        <v>208</v>
      </c>
      <c r="M30" s="347" t="s">
        <v>237</v>
      </c>
      <c r="N30" s="347" t="s">
        <v>210</v>
      </c>
      <c r="O30" s="347"/>
      <c r="P30" s="347"/>
      <c r="Q30" s="347"/>
      <c r="R30" s="347"/>
      <c r="S30" s="347"/>
      <c r="T30" s="347"/>
      <c r="U30" s="347"/>
      <c r="V30" s="347"/>
      <c r="W30" s="347"/>
      <c r="X30" s="347"/>
    </row>
    <row r="31" spans="1:24" x14ac:dyDescent="0.25">
      <c r="A31" s="311"/>
      <c r="B31" s="312"/>
      <c r="C31" s="312"/>
      <c r="D31" s="312"/>
      <c r="E31" s="313"/>
      <c r="F31" s="456"/>
      <c r="G31" s="456"/>
      <c r="H31" s="313"/>
      <c r="J31" s="39" t="str">
        <f>K31&amp;SD[[#This Row],[Insurer Code]]&amp;"; "&amp;L31&amp;SD[[#This Row],[Reporting Year]]&amp;"; "&amp;M31&amp;SD[[#This Row],[Market Code]]&amp;"; "&amp;N31&amp;SD[[#This Row],[Large Provider Entity Code]]</f>
        <v xml:space="preserve">Insurer Code ; Reporting Year ; Market Code ; Large Provider Entity Code </v>
      </c>
      <c r="K31" s="347" t="s">
        <v>207</v>
      </c>
      <c r="L31" s="347" t="s">
        <v>208</v>
      </c>
      <c r="M31" s="347" t="s">
        <v>237</v>
      </c>
      <c r="N31" s="347" t="s">
        <v>210</v>
      </c>
      <c r="O31" s="347"/>
      <c r="P31" s="347"/>
      <c r="Q31" s="347"/>
      <c r="R31" s="347"/>
      <c r="S31" s="347"/>
      <c r="T31" s="347"/>
      <c r="U31" s="347"/>
      <c r="V31" s="347"/>
      <c r="W31" s="347"/>
      <c r="X31" s="347"/>
    </row>
    <row r="32" spans="1:24" x14ac:dyDescent="0.25">
      <c r="A32" s="311"/>
      <c r="B32" s="312"/>
      <c r="C32" s="312"/>
      <c r="D32" s="312"/>
      <c r="E32" s="313"/>
      <c r="F32" s="456"/>
      <c r="G32" s="456"/>
      <c r="H32" s="313"/>
      <c r="J32" s="39" t="str">
        <f>K32&amp;SD[[#This Row],[Insurer Code]]&amp;"; "&amp;L32&amp;SD[[#This Row],[Reporting Year]]&amp;"; "&amp;M32&amp;SD[[#This Row],[Market Code]]&amp;"; "&amp;N32&amp;SD[[#This Row],[Large Provider Entity Code]]</f>
        <v xml:space="preserve">Insurer Code ; Reporting Year ; Market Code ; Large Provider Entity Code </v>
      </c>
      <c r="K32" s="347" t="s">
        <v>207</v>
      </c>
      <c r="L32" s="347" t="s">
        <v>208</v>
      </c>
      <c r="M32" s="347" t="s">
        <v>237</v>
      </c>
      <c r="N32" s="347" t="s">
        <v>210</v>
      </c>
      <c r="O32" s="347"/>
      <c r="P32" s="347"/>
      <c r="Q32" s="347"/>
      <c r="R32" s="347"/>
      <c r="S32" s="347"/>
      <c r="T32" s="347"/>
      <c r="U32" s="347"/>
      <c r="V32" s="347"/>
      <c r="W32" s="347"/>
      <c r="X32" s="347"/>
    </row>
    <row r="33" spans="1:24" x14ac:dyDescent="0.25">
      <c r="A33" s="311"/>
      <c r="B33" s="457"/>
      <c r="C33" s="457"/>
      <c r="D33" s="457"/>
      <c r="E33" s="482"/>
      <c r="F33" s="486"/>
      <c r="G33" s="492"/>
      <c r="H33" s="313"/>
      <c r="J33" s="39" t="str">
        <f>K33&amp;SD[[#This Row],[Insurer Code]]&amp;"; "&amp;L33&amp;SD[[#This Row],[Reporting Year]]&amp;"; "&amp;M33&amp;SD[[#This Row],[Market Code]]&amp;"; "&amp;N33&amp;SD[[#This Row],[Large Provider Entity Code]]</f>
        <v xml:space="preserve">Insurer Code ; Reporting Year ; Market Code ; Large Provider Entity Code </v>
      </c>
      <c r="K33" s="347" t="s">
        <v>207</v>
      </c>
      <c r="L33" s="347" t="s">
        <v>208</v>
      </c>
      <c r="M33" s="347" t="s">
        <v>237</v>
      </c>
      <c r="N33" s="347" t="s">
        <v>210</v>
      </c>
      <c r="O33" s="347"/>
      <c r="P33" s="347"/>
      <c r="Q33" s="347"/>
      <c r="R33" s="347"/>
      <c r="S33" s="347"/>
      <c r="T33" s="347"/>
      <c r="U33" s="347"/>
      <c r="V33" s="347"/>
      <c r="W33" s="347"/>
      <c r="X33" s="347"/>
    </row>
    <row r="34" spans="1:24" x14ac:dyDescent="0.25">
      <c r="A34" s="311"/>
      <c r="B34" s="457"/>
      <c r="C34" s="457"/>
      <c r="D34" s="457"/>
      <c r="E34" s="482"/>
      <c r="F34" s="486"/>
      <c r="G34" s="492"/>
      <c r="H34" s="313"/>
      <c r="J34" s="39" t="str">
        <f>K34&amp;SD[[#This Row],[Insurer Code]]&amp;"; "&amp;L34&amp;SD[[#This Row],[Reporting Year]]&amp;"; "&amp;M34&amp;SD[[#This Row],[Market Code]]&amp;"; "&amp;N34&amp;SD[[#This Row],[Large Provider Entity Code]]</f>
        <v xml:space="preserve">Insurer Code ; Reporting Year ; Market Code ; Large Provider Entity Code </v>
      </c>
      <c r="K34" s="347" t="s">
        <v>207</v>
      </c>
      <c r="L34" s="347" t="s">
        <v>208</v>
      </c>
      <c r="M34" s="347" t="s">
        <v>237</v>
      </c>
      <c r="N34" s="347" t="s">
        <v>210</v>
      </c>
      <c r="O34" s="347"/>
      <c r="P34" s="347"/>
      <c r="Q34" s="347"/>
      <c r="R34" s="347"/>
      <c r="S34" s="347"/>
      <c r="T34" s="347"/>
      <c r="U34" s="347"/>
      <c r="V34" s="347"/>
      <c r="W34" s="347"/>
      <c r="X34" s="347"/>
    </row>
    <row r="35" spans="1:24" x14ac:dyDescent="0.25">
      <c r="A35" s="311"/>
      <c r="B35" s="457"/>
      <c r="C35" s="457"/>
      <c r="D35" s="457"/>
      <c r="E35" s="482"/>
      <c r="F35" s="486"/>
      <c r="G35" s="492"/>
      <c r="H35" s="313"/>
      <c r="J35" s="39" t="str">
        <f>K35&amp;SD[[#This Row],[Insurer Code]]&amp;"; "&amp;L35&amp;SD[[#This Row],[Reporting Year]]&amp;"; "&amp;M35&amp;SD[[#This Row],[Market Code]]&amp;"; "&amp;N35&amp;SD[[#This Row],[Large Provider Entity Code]]</f>
        <v xml:space="preserve">Insurer Code ; Reporting Year ; Market Code ; Large Provider Entity Code </v>
      </c>
      <c r="K35" s="347" t="s">
        <v>207</v>
      </c>
      <c r="L35" s="347" t="s">
        <v>208</v>
      </c>
      <c r="M35" s="347" t="s">
        <v>237</v>
      </c>
      <c r="N35" s="347" t="s">
        <v>210</v>
      </c>
      <c r="O35" s="347"/>
      <c r="P35" s="347"/>
      <c r="Q35" s="347"/>
      <c r="R35" s="347"/>
      <c r="S35" s="347"/>
      <c r="T35" s="347"/>
      <c r="U35" s="347"/>
      <c r="V35" s="347"/>
      <c r="W35" s="347"/>
      <c r="X35" s="347"/>
    </row>
    <row r="36" spans="1:24" x14ac:dyDescent="0.25">
      <c r="A36" s="311"/>
      <c r="B36" s="457"/>
      <c r="C36" s="457"/>
      <c r="D36" s="457"/>
      <c r="E36" s="482"/>
      <c r="F36" s="486"/>
      <c r="G36" s="492"/>
      <c r="H36" s="313"/>
      <c r="J36" s="39" t="str">
        <f>K36&amp;SD[[#This Row],[Insurer Code]]&amp;"; "&amp;L36&amp;SD[[#This Row],[Reporting Year]]&amp;"; "&amp;M36&amp;SD[[#This Row],[Market Code]]&amp;"; "&amp;N36&amp;SD[[#This Row],[Large Provider Entity Code]]</f>
        <v xml:space="preserve">Insurer Code ; Reporting Year ; Market Code ; Large Provider Entity Code </v>
      </c>
      <c r="K36" s="347" t="s">
        <v>207</v>
      </c>
      <c r="L36" s="347" t="s">
        <v>208</v>
      </c>
      <c r="M36" s="347" t="s">
        <v>237</v>
      </c>
      <c r="N36" s="347" t="s">
        <v>210</v>
      </c>
      <c r="O36" s="347"/>
      <c r="P36" s="347"/>
      <c r="Q36" s="347"/>
      <c r="R36" s="347"/>
      <c r="S36" s="347"/>
      <c r="T36" s="347"/>
      <c r="U36" s="347"/>
      <c r="V36" s="347"/>
      <c r="W36" s="347"/>
      <c r="X36" s="347"/>
    </row>
    <row r="37" spans="1:24" x14ac:dyDescent="0.25">
      <c r="A37" s="311"/>
      <c r="B37" s="477"/>
      <c r="C37" s="477"/>
      <c r="D37" s="477"/>
      <c r="E37" s="477"/>
      <c r="F37" s="484"/>
      <c r="G37" s="492"/>
      <c r="H37" s="313"/>
      <c r="J37" s="39" t="str">
        <f>K37&amp;SD[[#This Row],[Insurer Code]]&amp;"; "&amp;L37&amp;SD[[#This Row],[Reporting Year]]&amp;"; "&amp;M37&amp;SD[[#This Row],[Market Code]]&amp;"; "&amp;N37&amp;SD[[#This Row],[Large Provider Entity Code]]</f>
        <v xml:space="preserve">Insurer Code ; Reporting Year ; Market Code ; Large Provider Entity Code </v>
      </c>
      <c r="K37" s="347" t="s">
        <v>207</v>
      </c>
      <c r="L37" s="347" t="s">
        <v>208</v>
      </c>
      <c r="M37" s="347" t="s">
        <v>237</v>
      </c>
      <c r="N37" s="347" t="s">
        <v>210</v>
      </c>
      <c r="O37" s="347"/>
      <c r="P37" s="347"/>
      <c r="Q37" s="347"/>
      <c r="R37" s="347"/>
      <c r="S37" s="347"/>
      <c r="T37" s="347"/>
      <c r="U37" s="347"/>
      <c r="V37" s="347"/>
      <c r="W37" s="347"/>
      <c r="X37" s="347"/>
    </row>
    <row r="38" spans="1:24" x14ac:dyDescent="0.25">
      <c r="A38" s="311"/>
      <c r="B38" s="477"/>
      <c r="C38" s="477"/>
      <c r="D38" s="477"/>
      <c r="E38" s="477"/>
      <c r="F38" s="484"/>
      <c r="G38" s="492"/>
      <c r="H38" s="313"/>
      <c r="J38" s="39" t="str">
        <f>K38&amp;SD[[#This Row],[Insurer Code]]&amp;"; "&amp;L38&amp;SD[[#This Row],[Reporting Year]]&amp;"; "&amp;M38&amp;SD[[#This Row],[Market Code]]&amp;"; "&amp;N38&amp;SD[[#This Row],[Large Provider Entity Code]]</f>
        <v xml:space="preserve">Insurer Code ; Reporting Year ; Market Code ; Large Provider Entity Code </v>
      </c>
      <c r="K38" s="347" t="s">
        <v>207</v>
      </c>
      <c r="L38" s="347" t="s">
        <v>208</v>
      </c>
      <c r="M38" s="347" t="s">
        <v>237</v>
      </c>
      <c r="N38" s="347" t="s">
        <v>210</v>
      </c>
      <c r="O38" s="347"/>
      <c r="P38" s="347"/>
      <c r="Q38" s="347"/>
      <c r="R38" s="347"/>
      <c r="S38" s="347"/>
      <c r="T38" s="347"/>
      <c r="U38" s="347"/>
      <c r="V38" s="347"/>
      <c r="W38" s="347"/>
      <c r="X38" s="347"/>
    </row>
    <row r="39" spans="1:24" x14ac:dyDescent="0.25">
      <c r="A39" s="311"/>
      <c r="B39" s="312"/>
      <c r="C39" s="312"/>
      <c r="D39" s="312"/>
      <c r="E39" s="313"/>
      <c r="F39" s="450"/>
      <c r="G39" s="450"/>
      <c r="H39" s="313"/>
      <c r="J39" s="39" t="str">
        <f>K39&amp;SD[[#This Row],[Insurer Code]]&amp;"; "&amp;L39&amp;SD[[#This Row],[Reporting Year]]&amp;"; "&amp;M39&amp;SD[[#This Row],[Market Code]]&amp;"; "&amp;N39&amp;SD[[#This Row],[Large Provider Entity Code]]</f>
        <v xml:space="preserve">Insurer Code ; Reporting Year ; Market Code ; Large Provider Entity Code </v>
      </c>
      <c r="K39" s="347" t="s">
        <v>207</v>
      </c>
      <c r="L39" s="347" t="s">
        <v>208</v>
      </c>
      <c r="M39" s="347" t="s">
        <v>237</v>
      </c>
      <c r="N39" s="347" t="s">
        <v>210</v>
      </c>
      <c r="O39" s="347"/>
      <c r="P39" s="347"/>
      <c r="Q39" s="347"/>
      <c r="R39" s="347"/>
      <c r="S39" s="347"/>
      <c r="T39" s="347"/>
      <c r="U39" s="347"/>
      <c r="V39" s="347"/>
      <c r="W39" s="347"/>
      <c r="X39" s="347"/>
    </row>
    <row r="40" spans="1:24" x14ac:dyDescent="0.25">
      <c r="A40" s="311"/>
      <c r="B40" s="312"/>
      <c r="C40" s="312"/>
      <c r="D40" s="312"/>
      <c r="E40" s="313"/>
      <c r="F40" s="456"/>
      <c r="G40" s="456"/>
      <c r="H40" s="313"/>
      <c r="J40" s="39" t="str">
        <f>K40&amp;SD[[#This Row],[Insurer Code]]&amp;"; "&amp;L40&amp;SD[[#This Row],[Reporting Year]]&amp;"; "&amp;M40&amp;SD[[#This Row],[Market Code]]&amp;"; "&amp;N40&amp;SD[[#This Row],[Large Provider Entity Code]]</f>
        <v xml:space="preserve">Insurer Code ; Reporting Year ; Market Code ; Large Provider Entity Code </v>
      </c>
      <c r="K40" s="347" t="s">
        <v>207</v>
      </c>
      <c r="L40" s="347" t="s">
        <v>208</v>
      </c>
      <c r="M40" s="347" t="s">
        <v>237</v>
      </c>
      <c r="N40" s="347" t="s">
        <v>210</v>
      </c>
      <c r="O40" s="347"/>
      <c r="P40" s="347"/>
      <c r="Q40" s="347"/>
      <c r="R40" s="347"/>
      <c r="S40" s="347"/>
      <c r="T40" s="347"/>
      <c r="U40" s="347"/>
      <c r="V40" s="347"/>
      <c r="W40" s="347"/>
      <c r="X40" s="347"/>
    </row>
    <row r="41" spans="1:24" x14ac:dyDescent="0.25">
      <c r="A41" s="311"/>
      <c r="B41" s="312"/>
      <c r="C41" s="312"/>
      <c r="D41" s="312"/>
      <c r="E41" s="313"/>
      <c r="F41" s="456"/>
      <c r="G41" s="456"/>
      <c r="H41" s="313"/>
      <c r="J41" s="39" t="str">
        <f>K41&amp;SD[[#This Row],[Insurer Code]]&amp;"; "&amp;L41&amp;SD[[#This Row],[Reporting Year]]&amp;"; "&amp;M41&amp;SD[[#This Row],[Market Code]]&amp;"; "&amp;N41&amp;SD[[#This Row],[Large Provider Entity Code]]</f>
        <v xml:space="preserve">Insurer Code ; Reporting Year ; Market Code ; Large Provider Entity Code </v>
      </c>
      <c r="K41" s="347" t="s">
        <v>207</v>
      </c>
      <c r="L41" s="347" t="s">
        <v>208</v>
      </c>
      <c r="M41" s="347" t="s">
        <v>237</v>
      </c>
      <c r="N41" s="347" t="s">
        <v>210</v>
      </c>
      <c r="O41" s="347"/>
      <c r="P41" s="347"/>
      <c r="Q41" s="347"/>
      <c r="R41" s="347"/>
      <c r="S41" s="347"/>
      <c r="T41" s="347"/>
      <c r="U41" s="347"/>
      <c r="V41" s="347"/>
      <c r="W41" s="347"/>
      <c r="X41" s="347"/>
    </row>
    <row r="42" spans="1:24" x14ac:dyDescent="0.25">
      <c r="A42" s="311"/>
      <c r="B42" s="457"/>
      <c r="C42" s="457"/>
      <c r="D42" s="457"/>
      <c r="E42" s="482"/>
      <c r="F42" s="486"/>
      <c r="G42" s="492"/>
      <c r="H42" s="313"/>
      <c r="J42" s="39" t="str">
        <f>K42&amp;SD[[#This Row],[Insurer Code]]&amp;"; "&amp;L42&amp;SD[[#This Row],[Reporting Year]]&amp;"; "&amp;M42&amp;SD[[#This Row],[Market Code]]&amp;"; "&amp;N42&amp;SD[[#This Row],[Large Provider Entity Code]]</f>
        <v xml:space="preserve">Insurer Code ; Reporting Year ; Market Code ; Large Provider Entity Code </v>
      </c>
      <c r="K42" s="347" t="s">
        <v>207</v>
      </c>
      <c r="L42" s="347" t="s">
        <v>208</v>
      </c>
      <c r="M42" s="347" t="s">
        <v>237</v>
      </c>
      <c r="N42" s="347" t="s">
        <v>210</v>
      </c>
      <c r="O42" s="347"/>
      <c r="P42" s="347"/>
      <c r="Q42" s="347"/>
      <c r="R42" s="347"/>
      <c r="S42" s="347"/>
      <c r="T42" s="347"/>
      <c r="U42" s="347"/>
      <c r="V42" s="347"/>
      <c r="W42" s="347"/>
      <c r="X42" s="347"/>
    </row>
    <row r="43" spans="1:24" x14ac:dyDescent="0.25">
      <c r="A43" s="311"/>
      <c r="B43" s="457"/>
      <c r="C43" s="457"/>
      <c r="D43" s="457"/>
      <c r="E43" s="482"/>
      <c r="F43" s="486"/>
      <c r="G43" s="492"/>
      <c r="H43" s="313"/>
      <c r="J43" s="39" t="str">
        <f>K43&amp;SD[[#This Row],[Insurer Code]]&amp;"; "&amp;L43&amp;SD[[#This Row],[Reporting Year]]&amp;"; "&amp;M43&amp;SD[[#This Row],[Market Code]]&amp;"; "&amp;N43&amp;SD[[#This Row],[Large Provider Entity Code]]</f>
        <v xml:space="preserve">Insurer Code ; Reporting Year ; Market Code ; Large Provider Entity Code </v>
      </c>
      <c r="K43" s="347" t="s">
        <v>207</v>
      </c>
      <c r="L43" s="347" t="s">
        <v>208</v>
      </c>
      <c r="M43" s="347" t="s">
        <v>237</v>
      </c>
      <c r="N43" s="347" t="s">
        <v>210</v>
      </c>
      <c r="O43" s="347"/>
      <c r="P43" s="347"/>
      <c r="Q43" s="347"/>
      <c r="R43" s="347"/>
      <c r="S43" s="347"/>
      <c r="T43" s="347"/>
      <c r="U43" s="347"/>
      <c r="V43" s="347"/>
      <c r="W43" s="347"/>
      <c r="X43" s="347"/>
    </row>
    <row r="44" spans="1:24" x14ac:dyDescent="0.25">
      <c r="A44" s="311"/>
      <c r="B44" s="457"/>
      <c r="C44" s="457"/>
      <c r="D44" s="457"/>
      <c r="E44" s="482"/>
      <c r="F44" s="486"/>
      <c r="G44" s="492"/>
      <c r="H44" s="313"/>
      <c r="J44" s="39" t="str">
        <f>K44&amp;SD[[#This Row],[Insurer Code]]&amp;"; "&amp;L44&amp;SD[[#This Row],[Reporting Year]]&amp;"; "&amp;M44&amp;SD[[#This Row],[Market Code]]&amp;"; "&amp;N44&amp;SD[[#This Row],[Large Provider Entity Code]]</f>
        <v xml:space="preserve">Insurer Code ; Reporting Year ; Market Code ; Large Provider Entity Code </v>
      </c>
      <c r="K44" s="347" t="s">
        <v>207</v>
      </c>
      <c r="L44" s="347" t="s">
        <v>208</v>
      </c>
      <c r="M44" s="347" t="s">
        <v>237</v>
      </c>
      <c r="N44" s="347" t="s">
        <v>210</v>
      </c>
      <c r="O44" s="347"/>
      <c r="P44" s="347"/>
      <c r="Q44" s="347"/>
      <c r="R44" s="347"/>
      <c r="S44" s="347"/>
      <c r="T44" s="347"/>
      <c r="U44" s="347"/>
      <c r="V44" s="347"/>
      <c r="W44" s="347"/>
      <c r="X44" s="347"/>
    </row>
    <row r="45" spans="1:24" x14ac:dyDescent="0.25">
      <c r="A45" s="311"/>
      <c r="B45" s="457"/>
      <c r="C45" s="457"/>
      <c r="D45" s="457"/>
      <c r="E45" s="482"/>
      <c r="F45" s="486"/>
      <c r="G45" s="492"/>
      <c r="H45" s="313"/>
      <c r="J45" s="39" t="str">
        <f>K45&amp;SD[[#This Row],[Insurer Code]]&amp;"; "&amp;L45&amp;SD[[#This Row],[Reporting Year]]&amp;"; "&amp;M45&amp;SD[[#This Row],[Market Code]]&amp;"; "&amp;N45&amp;SD[[#This Row],[Large Provider Entity Code]]</f>
        <v xml:space="preserve">Insurer Code ; Reporting Year ; Market Code ; Large Provider Entity Code </v>
      </c>
      <c r="K45" s="347" t="s">
        <v>207</v>
      </c>
      <c r="L45" s="347" t="s">
        <v>208</v>
      </c>
      <c r="M45" s="347" t="s">
        <v>237</v>
      </c>
      <c r="N45" s="347" t="s">
        <v>210</v>
      </c>
      <c r="O45" s="347"/>
      <c r="P45" s="347"/>
      <c r="Q45" s="347"/>
      <c r="R45" s="347"/>
      <c r="S45" s="347"/>
      <c r="T45" s="347"/>
      <c r="U45" s="347"/>
      <c r="V45" s="347"/>
      <c r="W45" s="347"/>
      <c r="X45" s="347"/>
    </row>
    <row r="46" spans="1:24" x14ac:dyDescent="0.25">
      <c r="A46" s="311"/>
      <c r="B46" s="477"/>
      <c r="C46" s="477"/>
      <c r="D46" s="477"/>
      <c r="E46" s="477"/>
      <c r="F46" s="484"/>
      <c r="G46" s="492"/>
      <c r="H46" s="313"/>
      <c r="J46" s="39" t="str">
        <f>K46&amp;SD[[#This Row],[Insurer Code]]&amp;"; "&amp;L46&amp;SD[[#This Row],[Reporting Year]]&amp;"; "&amp;M46&amp;SD[[#This Row],[Market Code]]&amp;"; "&amp;N46&amp;SD[[#This Row],[Large Provider Entity Code]]</f>
        <v xml:space="preserve">Insurer Code ; Reporting Year ; Market Code ; Large Provider Entity Code </v>
      </c>
      <c r="K46" s="347" t="s">
        <v>207</v>
      </c>
      <c r="L46" s="347" t="s">
        <v>208</v>
      </c>
      <c r="M46" s="347" t="s">
        <v>237</v>
      </c>
      <c r="N46" s="347" t="s">
        <v>210</v>
      </c>
      <c r="O46" s="347"/>
      <c r="P46" s="347"/>
      <c r="Q46" s="347"/>
      <c r="R46" s="347"/>
      <c r="S46" s="347"/>
      <c r="T46" s="347"/>
      <c r="U46" s="347"/>
      <c r="V46" s="347"/>
      <c r="W46" s="347"/>
      <c r="X46" s="347"/>
    </row>
    <row r="47" spans="1:24" x14ac:dyDescent="0.25">
      <c r="A47" s="311"/>
      <c r="B47" s="477"/>
      <c r="C47" s="477"/>
      <c r="D47" s="477"/>
      <c r="E47" s="477"/>
      <c r="F47" s="484"/>
      <c r="G47" s="492"/>
      <c r="H47" s="313"/>
      <c r="J47" s="39" t="str">
        <f>K47&amp;SD[[#This Row],[Insurer Code]]&amp;"; "&amp;L47&amp;SD[[#This Row],[Reporting Year]]&amp;"; "&amp;M47&amp;SD[[#This Row],[Market Code]]&amp;"; "&amp;N47&amp;SD[[#This Row],[Large Provider Entity Code]]</f>
        <v xml:space="preserve">Insurer Code ; Reporting Year ; Market Code ; Large Provider Entity Code </v>
      </c>
      <c r="K47" s="347" t="s">
        <v>207</v>
      </c>
      <c r="L47" s="347" t="s">
        <v>208</v>
      </c>
      <c r="M47" s="347" t="s">
        <v>237</v>
      </c>
      <c r="N47" s="347" t="s">
        <v>210</v>
      </c>
      <c r="O47" s="347"/>
      <c r="P47" s="347"/>
      <c r="Q47" s="347"/>
      <c r="R47" s="347"/>
      <c r="S47" s="347"/>
      <c r="T47" s="347"/>
      <c r="U47" s="347"/>
      <c r="V47" s="347"/>
      <c r="W47" s="347"/>
      <c r="X47" s="347"/>
    </row>
    <row r="48" spans="1:24" x14ac:dyDescent="0.25">
      <c r="A48" s="311"/>
      <c r="B48" s="312"/>
      <c r="C48" s="312"/>
      <c r="D48" s="312"/>
      <c r="E48" s="313"/>
      <c r="F48" s="450"/>
      <c r="G48" s="450"/>
      <c r="H48" s="313"/>
      <c r="J48" s="39" t="str">
        <f>K48&amp;SD[[#This Row],[Insurer Code]]&amp;"; "&amp;L48&amp;SD[[#This Row],[Reporting Year]]&amp;"; "&amp;M48&amp;SD[[#This Row],[Market Code]]&amp;"; "&amp;N48&amp;SD[[#This Row],[Large Provider Entity Code]]</f>
        <v xml:space="preserve">Insurer Code ; Reporting Year ; Market Code ; Large Provider Entity Code </v>
      </c>
      <c r="K48" s="347" t="s">
        <v>207</v>
      </c>
      <c r="L48" s="347" t="s">
        <v>208</v>
      </c>
      <c r="M48" s="347" t="s">
        <v>237</v>
      </c>
      <c r="N48" s="347" t="s">
        <v>210</v>
      </c>
      <c r="O48" s="347"/>
      <c r="P48" s="347"/>
      <c r="Q48" s="347"/>
      <c r="R48" s="347"/>
      <c r="S48" s="347"/>
      <c r="T48" s="347"/>
      <c r="U48" s="347"/>
      <c r="V48" s="347"/>
      <c r="W48" s="347"/>
      <c r="X48" s="347"/>
    </row>
    <row r="49" spans="1:24" x14ac:dyDescent="0.25">
      <c r="A49" s="311"/>
      <c r="B49" s="312"/>
      <c r="C49" s="312"/>
      <c r="D49" s="312"/>
      <c r="E49" s="313"/>
      <c r="F49" s="456"/>
      <c r="G49" s="456"/>
      <c r="H49" s="313"/>
      <c r="J49" s="39" t="str">
        <f>K49&amp;SD[[#This Row],[Insurer Code]]&amp;"; "&amp;L49&amp;SD[[#This Row],[Reporting Year]]&amp;"; "&amp;M49&amp;SD[[#This Row],[Market Code]]&amp;"; "&amp;N49&amp;SD[[#This Row],[Large Provider Entity Code]]</f>
        <v xml:space="preserve">Insurer Code ; Reporting Year ; Market Code ; Large Provider Entity Code </v>
      </c>
      <c r="K49" s="347" t="s">
        <v>207</v>
      </c>
      <c r="L49" s="347" t="s">
        <v>208</v>
      </c>
      <c r="M49" s="347" t="s">
        <v>237</v>
      </c>
      <c r="N49" s="347" t="s">
        <v>210</v>
      </c>
      <c r="O49" s="347"/>
      <c r="P49" s="347"/>
      <c r="Q49" s="347"/>
      <c r="R49" s="347"/>
      <c r="S49" s="347"/>
      <c r="T49" s="347"/>
      <c r="U49" s="347"/>
      <c r="V49" s="347"/>
      <c r="W49" s="347"/>
      <c r="X49" s="347"/>
    </row>
    <row r="50" spans="1:24" x14ac:dyDescent="0.25">
      <c r="A50" s="311"/>
      <c r="B50" s="312"/>
      <c r="C50" s="312"/>
      <c r="D50" s="312"/>
      <c r="E50" s="313"/>
      <c r="F50" s="456"/>
      <c r="G50" s="456"/>
      <c r="H50" s="313"/>
      <c r="J50" s="39" t="str">
        <f>K50&amp;SD[[#This Row],[Insurer Code]]&amp;"; "&amp;L50&amp;SD[[#This Row],[Reporting Year]]&amp;"; "&amp;M50&amp;SD[[#This Row],[Market Code]]&amp;"; "&amp;N50&amp;SD[[#This Row],[Large Provider Entity Code]]</f>
        <v xml:space="preserve">Insurer Code ; Reporting Year ; Market Code ; Large Provider Entity Code </v>
      </c>
      <c r="K50" s="347" t="s">
        <v>207</v>
      </c>
      <c r="L50" s="347" t="s">
        <v>208</v>
      </c>
      <c r="M50" s="347" t="s">
        <v>237</v>
      </c>
      <c r="N50" s="347" t="s">
        <v>210</v>
      </c>
      <c r="O50" s="347"/>
      <c r="P50" s="347"/>
      <c r="Q50" s="347"/>
      <c r="R50" s="347"/>
      <c r="S50" s="347"/>
      <c r="T50" s="347"/>
      <c r="U50" s="347"/>
      <c r="V50" s="347"/>
      <c r="W50" s="347"/>
      <c r="X50" s="347"/>
    </row>
    <row r="51" spans="1:24" x14ac:dyDescent="0.25">
      <c r="A51" s="311"/>
      <c r="B51" s="457"/>
      <c r="C51" s="457"/>
      <c r="D51" s="457"/>
      <c r="E51" s="482"/>
      <c r="F51" s="486"/>
      <c r="G51" s="492"/>
      <c r="H51" s="313"/>
      <c r="J51" s="39" t="str">
        <f>K51&amp;SD[[#This Row],[Insurer Code]]&amp;"; "&amp;L51&amp;SD[[#This Row],[Reporting Year]]&amp;"; "&amp;M51&amp;SD[[#This Row],[Market Code]]&amp;"; "&amp;N51&amp;SD[[#This Row],[Large Provider Entity Code]]</f>
        <v xml:space="preserve">Insurer Code ; Reporting Year ; Market Code ; Large Provider Entity Code </v>
      </c>
      <c r="K51" s="347" t="s">
        <v>207</v>
      </c>
      <c r="L51" s="347" t="s">
        <v>208</v>
      </c>
      <c r="M51" s="347" t="s">
        <v>237</v>
      </c>
      <c r="N51" s="347" t="s">
        <v>210</v>
      </c>
      <c r="O51" s="347"/>
      <c r="P51" s="347"/>
      <c r="Q51" s="347"/>
      <c r="R51" s="347"/>
      <c r="S51" s="347"/>
      <c r="T51" s="347"/>
      <c r="U51" s="347"/>
      <c r="V51" s="347"/>
      <c r="W51" s="347"/>
      <c r="X51" s="347"/>
    </row>
    <row r="52" spans="1:24" x14ac:dyDescent="0.25">
      <c r="A52" s="311"/>
      <c r="B52" s="457"/>
      <c r="C52" s="457"/>
      <c r="D52" s="457"/>
      <c r="E52" s="482"/>
      <c r="F52" s="486"/>
      <c r="G52" s="492"/>
      <c r="H52" s="313"/>
      <c r="J52" s="39" t="str">
        <f>K52&amp;SD[[#This Row],[Insurer Code]]&amp;"; "&amp;L52&amp;SD[[#This Row],[Reporting Year]]&amp;"; "&amp;M52&amp;SD[[#This Row],[Market Code]]&amp;"; "&amp;N52&amp;SD[[#This Row],[Large Provider Entity Code]]</f>
        <v xml:space="preserve">Insurer Code ; Reporting Year ; Market Code ; Large Provider Entity Code </v>
      </c>
      <c r="K52" s="347" t="s">
        <v>207</v>
      </c>
      <c r="L52" s="347" t="s">
        <v>208</v>
      </c>
      <c r="M52" s="347" t="s">
        <v>237</v>
      </c>
      <c r="N52" s="347" t="s">
        <v>210</v>
      </c>
      <c r="O52" s="347"/>
      <c r="P52" s="347"/>
      <c r="Q52" s="347"/>
      <c r="R52" s="347"/>
      <c r="S52" s="347"/>
      <c r="T52" s="347"/>
      <c r="U52" s="347"/>
      <c r="V52" s="347"/>
      <c r="W52" s="347"/>
      <c r="X52" s="347"/>
    </row>
    <row r="53" spans="1:24" x14ac:dyDescent="0.25">
      <c r="A53" s="311"/>
      <c r="B53" s="457"/>
      <c r="C53" s="457"/>
      <c r="D53" s="457"/>
      <c r="E53" s="482"/>
      <c r="F53" s="486"/>
      <c r="G53" s="492"/>
      <c r="H53" s="313"/>
      <c r="J53" s="39" t="str">
        <f>K53&amp;SD[[#This Row],[Insurer Code]]&amp;"; "&amp;L53&amp;SD[[#This Row],[Reporting Year]]&amp;"; "&amp;M53&amp;SD[[#This Row],[Market Code]]&amp;"; "&amp;N53&amp;SD[[#This Row],[Large Provider Entity Code]]</f>
        <v xml:space="preserve">Insurer Code ; Reporting Year ; Market Code ; Large Provider Entity Code </v>
      </c>
      <c r="K53" s="347" t="s">
        <v>207</v>
      </c>
      <c r="L53" s="347" t="s">
        <v>208</v>
      </c>
      <c r="M53" s="347" t="s">
        <v>237</v>
      </c>
      <c r="N53" s="347" t="s">
        <v>210</v>
      </c>
      <c r="O53" s="347"/>
      <c r="P53" s="347"/>
      <c r="Q53" s="347"/>
      <c r="R53" s="347"/>
      <c r="S53" s="347"/>
      <c r="T53" s="347"/>
      <c r="U53" s="347"/>
      <c r="V53" s="347"/>
      <c r="W53" s="347"/>
      <c r="X53" s="347"/>
    </row>
    <row r="54" spans="1:24" x14ac:dyDescent="0.25">
      <c r="A54" s="311"/>
      <c r="B54" s="457"/>
      <c r="C54" s="457"/>
      <c r="D54" s="457"/>
      <c r="E54" s="482"/>
      <c r="F54" s="486"/>
      <c r="G54" s="492"/>
      <c r="H54" s="313"/>
      <c r="J54" s="39" t="str">
        <f>K54&amp;SD[[#This Row],[Insurer Code]]&amp;"; "&amp;L54&amp;SD[[#This Row],[Reporting Year]]&amp;"; "&amp;M54&amp;SD[[#This Row],[Market Code]]&amp;"; "&amp;N54&amp;SD[[#This Row],[Large Provider Entity Code]]</f>
        <v xml:space="preserve">Insurer Code ; Reporting Year ; Market Code ; Large Provider Entity Code </v>
      </c>
      <c r="K54" s="347" t="s">
        <v>207</v>
      </c>
      <c r="L54" s="347" t="s">
        <v>208</v>
      </c>
      <c r="M54" s="347" t="s">
        <v>237</v>
      </c>
      <c r="N54" s="347" t="s">
        <v>210</v>
      </c>
      <c r="O54" s="347"/>
      <c r="P54" s="347"/>
      <c r="Q54" s="347"/>
      <c r="R54" s="347"/>
      <c r="S54" s="347"/>
      <c r="T54" s="347"/>
      <c r="U54" s="347"/>
      <c r="V54" s="347"/>
      <c r="W54" s="347"/>
      <c r="X54" s="347"/>
    </row>
    <row r="55" spans="1:24" x14ac:dyDescent="0.25">
      <c r="A55" s="311"/>
      <c r="B55" s="477"/>
      <c r="C55" s="477"/>
      <c r="D55" s="477"/>
      <c r="E55" s="477"/>
      <c r="F55" s="484"/>
      <c r="G55" s="492"/>
      <c r="H55" s="313"/>
      <c r="J55" s="39" t="str">
        <f>K55&amp;SD[[#This Row],[Insurer Code]]&amp;"; "&amp;L55&amp;SD[[#This Row],[Reporting Year]]&amp;"; "&amp;M55&amp;SD[[#This Row],[Market Code]]&amp;"; "&amp;N55&amp;SD[[#This Row],[Large Provider Entity Code]]</f>
        <v xml:space="preserve">Insurer Code ; Reporting Year ; Market Code ; Large Provider Entity Code </v>
      </c>
      <c r="K55" s="347" t="s">
        <v>207</v>
      </c>
      <c r="L55" s="347" t="s">
        <v>208</v>
      </c>
      <c r="M55" s="347" t="s">
        <v>237</v>
      </c>
      <c r="N55" s="347" t="s">
        <v>210</v>
      </c>
      <c r="O55" s="347"/>
      <c r="P55" s="347"/>
      <c r="Q55" s="347"/>
      <c r="R55" s="347"/>
      <c r="S55" s="347"/>
      <c r="T55" s="347"/>
      <c r="U55" s="347"/>
      <c r="V55" s="347"/>
      <c r="W55" s="347"/>
      <c r="X55" s="347"/>
    </row>
    <row r="56" spans="1:24" x14ac:dyDescent="0.25">
      <c r="A56" s="311"/>
      <c r="B56" s="477"/>
      <c r="C56" s="477"/>
      <c r="D56" s="477"/>
      <c r="E56" s="477"/>
      <c r="F56" s="484"/>
      <c r="G56" s="492"/>
      <c r="H56" s="313"/>
      <c r="J56" s="39" t="str">
        <f>K56&amp;SD[[#This Row],[Insurer Code]]&amp;"; "&amp;L56&amp;SD[[#This Row],[Reporting Year]]&amp;"; "&amp;M56&amp;SD[[#This Row],[Market Code]]&amp;"; "&amp;N56&amp;SD[[#This Row],[Large Provider Entity Code]]</f>
        <v xml:space="preserve">Insurer Code ; Reporting Year ; Market Code ; Large Provider Entity Code </v>
      </c>
      <c r="K56" s="347" t="s">
        <v>207</v>
      </c>
      <c r="L56" s="347" t="s">
        <v>208</v>
      </c>
      <c r="M56" s="347" t="s">
        <v>237</v>
      </c>
      <c r="N56" s="347" t="s">
        <v>210</v>
      </c>
      <c r="O56" s="347"/>
      <c r="P56" s="347"/>
      <c r="Q56" s="347"/>
      <c r="R56" s="347"/>
      <c r="S56" s="347"/>
      <c r="T56" s="347"/>
      <c r="U56" s="347"/>
      <c r="V56" s="347"/>
      <c r="W56" s="347"/>
      <c r="X56" s="347"/>
    </row>
    <row r="57" spans="1:24" x14ac:dyDescent="0.25">
      <c r="A57" s="311"/>
      <c r="B57" s="312"/>
      <c r="C57" s="312"/>
      <c r="D57" s="312"/>
      <c r="E57" s="313"/>
      <c r="F57" s="450"/>
      <c r="G57" s="450"/>
      <c r="H57" s="313"/>
      <c r="J57" s="39" t="str">
        <f>K57&amp;SD[[#This Row],[Insurer Code]]&amp;"; "&amp;L57&amp;SD[[#This Row],[Reporting Year]]&amp;"; "&amp;M57&amp;SD[[#This Row],[Market Code]]&amp;"; "&amp;N57&amp;SD[[#This Row],[Large Provider Entity Code]]</f>
        <v xml:space="preserve">Insurer Code ; Reporting Year ; Market Code ; Large Provider Entity Code </v>
      </c>
      <c r="K57" s="347" t="s">
        <v>207</v>
      </c>
      <c r="L57" s="347" t="s">
        <v>208</v>
      </c>
      <c r="M57" s="347" t="s">
        <v>237</v>
      </c>
      <c r="N57" s="347" t="s">
        <v>210</v>
      </c>
      <c r="O57" s="347"/>
      <c r="P57" s="347"/>
      <c r="Q57" s="347"/>
      <c r="R57" s="347"/>
      <c r="S57" s="347"/>
      <c r="T57" s="347"/>
      <c r="U57" s="347"/>
      <c r="V57" s="347"/>
      <c r="W57" s="347"/>
      <c r="X57" s="347"/>
    </row>
    <row r="58" spans="1:24" x14ac:dyDescent="0.25">
      <c r="A58" s="311"/>
      <c r="B58" s="312"/>
      <c r="C58" s="312"/>
      <c r="D58" s="312"/>
      <c r="E58" s="313"/>
      <c r="F58" s="456"/>
      <c r="G58" s="456"/>
      <c r="H58" s="313"/>
      <c r="J58" s="39" t="str">
        <f>K58&amp;SD[[#This Row],[Insurer Code]]&amp;"; "&amp;L58&amp;SD[[#This Row],[Reporting Year]]&amp;"; "&amp;M58&amp;SD[[#This Row],[Market Code]]&amp;"; "&amp;N58&amp;SD[[#This Row],[Large Provider Entity Code]]</f>
        <v xml:space="preserve">Insurer Code ; Reporting Year ; Market Code ; Large Provider Entity Code </v>
      </c>
      <c r="K58" s="347" t="s">
        <v>207</v>
      </c>
      <c r="L58" s="347" t="s">
        <v>208</v>
      </c>
      <c r="M58" s="347" t="s">
        <v>237</v>
      </c>
      <c r="N58" s="347" t="s">
        <v>210</v>
      </c>
      <c r="O58" s="347"/>
      <c r="P58" s="347"/>
      <c r="Q58" s="347"/>
      <c r="R58" s="347"/>
      <c r="S58" s="347"/>
      <c r="T58" s="347"/>
      <c r="U58" s="347"/>
      <c r="V58" s="347"/>
      <c r="W58" s="347"/>
      <c r="X58" s="347"/>
    </row>
    <row r="59" spans="1:24" x14ac:dyDescent="0.25">
      <c r="A59" s="311"/>
      <c r="B59" s="457"/>
      <c r="C59" s="457"/>
      <c r="D59" s="457"/>
      <c r="E59" s="482"/>
      <c r="F59" s="486"/>
      <c r="G59" s="492"/>
      <c r="H59" s="313"/>
      <c r="J59" s="39" t="str">
        <f>K59&amp;SD[[#This Row],[Insurer Code]]&amp;"; "&amp;L59&amp;SD[[#This Row],[Reporting Year]]&amp;"; "&amp;M59&amp;SD[[#This Row],[Market Code]]&amp;"; "&amp;N59&amp;SD[[#This Row],[Large Provider Entity Code]]</f>
        <v xml:space="preserve">Insurer Code ; Reporting Year ; Market Code ; Large Provider Entity Code </v>
      </c>
      <c r="K59" s="347" t="s">
        <v>207</v>
      </c>
      <c r="L59" s="347" t="s">
        <v>208</v>
      </c>
      <c r="M59" s="347" t="s">
        <v>237</v>
      </c>
      <c r="N59" s="347" t="s">
        <v>210</v>
      </c>
      <c r="O59" s="347"/>
      <c r="P59" s="347"/>
      <c r="Q59" s="347"/>
      <c r="R59" s="347"/>
      <c r="S59" s="347"/>
      <c r="T59" s="347"/>
      <c r="U59" s="347"/>
      <c r="V59" s="347"/>
      <c r="W59" s="347"/>
      <c r="X59" s="347"/>
    </row>
    <row r="60" spans="1:24" x14ac:dyDescent="0.25">
      <c r="A60" s="311"/>
      <c r="B60" s="458"/>
      <c r="C60" s="458"/>
      <c r="D60" s="458"/>
      <c r="E60" s="459"/>
      <c r="F60" s="460"/>
      <c r="G60" s="461"/>
      <c r="H60" s="313"/>
      <c r="J60" s="39" t="str">
        <f>K60&amp;SD[[#This Row],[Insurer Code]]&amp;"; "&amp;L60&amp;SD[[#This Row],[Reporting Year]]&amp;"; "&amp;M60&amp;SD[[#This Row],[Market Code]]&amp;"; "&amp;N60&amp;SD[[#This Row],[Large Provider Entity Code]]</f>
        <v xml:space="preserve">Insurer Code ; Reporting Year ; Market Code ; Large Provider Entity Code </v>
      </c>
      <c r="K60" s="347" t="s">
        <v>207</v>
      </c>
      <c r="L60" s="347" t="s">
        <v>208</v>
      </c>
      <c r="M60" s="347" t="s">
        <v>237</v>
      </c>
      <c r="N60" s="347" t="s">
        <v>210</v>
      </c>
      <c r="O60" s="347"/>
      <c r="P60" s="347"/>
      <c r="Q60" s="347"/>
      <c r="R60" s="347"/>
      <c r="S60" s="347"/>
      <c r="T60" s="347"/>
      <c r="U60" s="347"/>
      <c r="V60" s="347"/>
      <c r="W60" s="347"/>
      <c r="X60" s="347"/>
    </row>
    <row r="61" spans="1:24" x14ac:dyDescent="0.25">
      <c r="A61" s="311"/>
      <c r="B61" s="458"/>
      <c r="C61" s="458"/>
      <c r="D61" s="458"/>
      <c r="E61" s="459"/>
      <c r="F61" s="460"/>
      <c r="G61" s="461"/>
      <c r="H61" s="313"/>
      <c r="J61" s="39" t="str">
        <f>K61&amp;SD[[#This Row],[Insurer Code]]&amp;"; "&amp;L61&amp;SD[[#This Row],[Reporting Year]]&amp;"; "&amp;M61&amp;SD[[#This Row],[Market Code]]&amp;"; "&amp;N61&amp;SD[[#This Row],[Large Provider Entity Code]]</f>
        <v xml:space="preserve">Insurer Code ; Reporting Year ; Market Code ; Large Provider Entity Code </v>
      </c>
      <c r="K61" s="347" t="s">
        <v>207</v>
      </c>
      <c r="L61" s="347" t="s">
        <v>208</v>
      </c>
      <c r="M61" s="347" t="s">
        <v>237</v>
      </c>
      <c r="N61" s="347" t="s">
        <v>210</v>
      </c>
      <c r="O61" s="347"/>
      <c r="P61" s="347"/>
      <c r="Q61" s="347"/>
      <c r="R61" s="347"/>
      <c r="S61" s="347"/>
      <c r="T61" s="347"/>
      <c r="U61" s="347"/>
      <c r="V61" s="347"/>
      <c r="W61" s="347"/>
      <c r="X61" s="347"/>
    </row>
    <row r="62" spans="1:24" x14ac:dyDescent="0.25">
      <c r="A62" s="311"/>
      <c r="B62" s="479"/>
      <c r="C62" s="479"/>
      <c r="D62" s="479"/>
      <c r="E62" s="479"/>
      <c r="F62" s="487"/>
      <c r="G62" s="461"/>
      <c r="H62" s="313"/>
      <c r="J62" s="39" t="str">
        <f>K62&amp;SD[[#This Row],[Insurer Code]]&amp;"; "&amp;L62&amp;SD[[#This Row],[Reporting Year]]&amp;"; "&amp;M62&amp;SD[[#This Row],[Market Code]]&amp;"; "&amp;N62&amp;SD[[#This Row],[Large Provider Entity Code]]</f>
        <v xml:space="preserve">Insurer Code ; Reporting Year ; Market Code ; Large Provider Entity Code </v>
      </c>
      <c r="K62" s="347" t="s">
        <v>207</v>
      </c>
      <c r="L62" s="347" t="s">
        <v>208</v>
      </c>
      <c r="M62" s="347" t="s">
        <v>237</v>
      </c>
      <c r="N62" s="347" t="s">
        <v>210</v>
      </c>
      <c r="O62" s="347"/>
      <c r="P62" s="347"/>
      <c r="Q62" s="347"/>
      <c r="R62" s="347"/>
      <c r="S62" s="347"/>
      <c r="T62" s="347"/>
      <c r="U62" s="347"/>
      <c r="V62" s="347"/>
      <c r="W62" s="347"/>
      <c r="X62" s="347"/>
    </row>
    <row r="63" spans="1:24" x14ac:dyDescent="0.25">
      <c r="A63" s="311"/>
      <c r="B63" s="321"/>
      <c r="C63" s="321"/>
      <c r="D63" s="321"/>
      <c r="E63" s="322"/>
      <c r="F63" s="490"/>
      <c r="G63" s="490"/>
      <c r="H63" s="313"/>
      <c r="J63" s="39" t="str">
        <f>K63&amp;SD[[#This Row],[Insurer Code]]&amp;"; "&amp;L63&amp;SD[[#This Row],[Reporting Year]]&amp;"; "&amp;M63&amp;SD[[#This Row],[Market Code]]&amp;"; "&amp;N63&amp;SD[[#This Row],[Large Provider Entity Code]]</f>
        <v xml:space="preserve">Insurer Code ; Reporting Year ; Market Code ; Large Provider Entity Code </v>
      </c>
      <c r="K63" s="347" t="s">
        <v>207</v>
      </c>
      <c r="L63" s="347" t="s">
        <v>208</v>
      </c>
      <c r="M63" s="347" t="s">
        <v>237</v>
      </c>
      <c r="N63" s="347" t="s">
        <v>210</v>
      </c>
      <c r="O63" s="347"/>
      <c r="P63" s="347"/>
      <c r="Q63" s="347"/>
      <c r="R63" s="347"/>
      <c r="S63" s="347"/>
      <c r="T63" s="347"/>
      <c r="U63" s="347"/>
      <c r="V63" s="347"/>
      <c r="W63" s="347"/>
      <c r="X63" s="347"/>
    </row>
    <row r="64" spans="1:24" x14ac:dyDescent="0.25">
      <c r="A64" s="311"/>
      <c r="B64" s="321"/>
      <c r="C64" s="321"/>
      <c r="D64" s="321"/>
      <c r="E64" s="322"/>
      <c r="F64" s="489"/>
      <c r="G64" s="489"/>
      <c r="H64" s="313"/>
      <c r="J64" s="39" t="str">
        <f>K64&amp;SD[[#This Row],[Insurer Code]]&amp;"; "&amp;L64&amp;SD[[#This Row],[Reporting Year]]&amp;"; "&amp;M64&amp;SD[[#This Row],[Market Code]]&amp;"; "&amp;N64&amp;SD[[#This Row],[Large Provider Entity Code]]</f>
        <v xml:space="preserve">Insurer Code ; Reporting Year ; Market Code ; Large Provider Entity Code </v>
      </c>
      <c r="K64" s="347" t="s">
        <v>207</v>
      </c>
      <c r="L64" s="347" t="s">
        <v>208</v>
      </c>
      <c r="M64" s="347" t="s">
        <v>237</v>
      </c>
      <c r="N64" s="347" t="s">
        <v>210</v>
      </c>
      <c r="O64" s="347"/>
      <c r="P64" s="347"/>
      <c r="Q64" s="347"/>
      <c r="R64" s="347"/>
      <c r="S64" s="347"/>
      <c r="T64" s="347"/>
      <c r="U64" s="347"/>
      <c r="V64" s="347"/>
      <c r="W64" s="347"/>
      <c r="X64" s="347"/>
    </row>
    <row r="65" spans="1:24" x14ac:dyDescent="0.25">
      <c r="A65" s="311"/>
      <c r="B65" s="458"/>
      <c r="C65" s="458"/>
      <c r="D65" s="458"/>
      <c r="E65" s="459"/>
      <c r="F65" s="460"/>
      <c r="G65" s="461"/>
      <c r="H65" s="313"/>
      <c r="J65" s="39" t="str">
        <f>K65&amp;SD[[#This Row],[Insurer Code]]&amp;"; "&amp;L65&amp;SD[[#This Row],[Reporting Year]]&amp;"; "&amp;M65&amp;SD[[#This Row],[Market Code]]&amp;"; "&amp;N65&amp;SD[[#This Row],[Large Provider Entity Code]]</f>
        <v xml:space="preserve">Insurer Code ; Reporting Year ; Market Code ; Large Provider Entity Code </v>
      </c>
      <c r="K65" s="347" t="s">
        <v>207</v>
      </c>
      <c r="L65" s="347" t="s">
        <v>208</v>
      </c>
      <c r="M65" s="347" t="s">
        <v>237</v>
      </c>
      <c r="N65" s="347" t="s">
        <v>210</v>
      </c>
      <c r="O65" s="347"/>
      <c r="P65" s="347"/>
      <c r="Q65" s="347"/>
      <c r="R65" s="347"/>
      <c r="S65" s="347"/>
      <c r="T65" s="347"/>
      <c r="U65" s="347"/>
      <c r="V65" s="347"/>
      <c r="W65" s="347"/>
      <c r="X65" s="347"/>
    </row>
    <row r="66" spans="1:24" x14ac:dyDescent="0.25">
      <c r="A66" s="311"/>
      <c r="B66" s="458"/>
      <c r="C66" s="458"/>
      <c r="D66" s="458"/>
      <c r="E66" s="459"/>
      <c r="F66" s="460"/>
      <c r="G66" s="461"/>
      <c r="H66" s="313"/>
      <c r="J66" s="39" t="str">
        <f>K66&amp;SD[[#This Row],[Insurer Code]]&amp;"; "&amp;L66&amp;SD[[#This Row],[Reporting Year]]&amp;"; "&amp;M66&amp;SD[[#This Row],[Market Code]]&amp;"; "&amp;N66&amp;SD[[#This Row],[Large Provider Entity Code]]</f>
        <v xml:space="preserve">Insurer Code ; Reporting Year ; Market Code ; Large Provider Entity Code </v>
      </c>
      <c r="K66" s="347" t="s">
        <v>207</v>
      </c>
      <c r="L66" s="347" t="s">
        <v>208</v>
      </c>
      <c r="M66" s="347" t="s">
        <v>237</v>
      </c>
      <c r="N66" s="347" t="s">
        <v>210</v>
      </c>
      <c r="O66" s="347"/>
      <c r="P66" s="347"/>
      <c r="Q66" s="347"/>
      <c r="R66" s="347"/>
      <c r="S66" s="347"/>
      <c r="T66" s="347"/>
      <c r="U66" s="347"/>
      <c r="V66" s="347"/>
      <c r="W66" s="347"/>
      <c r="X66" s="347"/>
    </row>
    <row r="67" spans="1:24" x14ac:dyDescent="0.25">
      <c r="A67" s="311"/>
      <c r="B67" s="458"/>
      <c r="C67" s="458"/>
      <c r="D67" s="458"/>
      <c r="E67" s="459"/>
      <c r="F67" s="460"/>
      <c r="G67" s="461"/>
      <c r="H67" s="313"/>
      <c r="J67" s="39" t="str">
        <f>K67&amp;SD[[#This Row],[Insurer Code]]&amp;"; "&amp;L67&amp;SD[[#This Row],[Reporting Year]]&amp;"; "&amp;M67&amp;SD[[#This Row],[Market Code]]&amp;"; "&amp;N67&amp;SD[[#This Row],[Large Provider Entity Code]]</f>
        <v xml:space="preserve">Insurer Code ; Reporting Year ; Market Code ; Large Provider Entity Code </v>
      </c>
      <c r="K67" s="347" t="s">
        <v>207</v>
      </c>
      <c r="L67" s="347" t="s">
        <v>208</v>
      </c>
      <c r="M67" s="347" t="s">
        <v>237</v>
      </c>
      <c r="N67" s="347" t="s">
        <v>210</v>
      </c>
      <c r="O67" s="347"/>
      <c r="P67" s="347"/>
      <c r="Q67" s="347"/>
      <c r="R67" s="347"/>
      <c r="S67" s="347"/>
      <c r="T67" s="347"/>
      <c r="U67" s="347"/>
      <c r="V67" s="347"/>
      <c r="W67" s="347"/>
      <c r="X67" s="347"/>
    </row>
    <row r="68" spans="1:24" x14ac:dyDescent="0.25">
      <c r="A68" s="311"/>
      <c r="B68" s="479"/>
      <c r="C68" s="479"/>
      <c r="D68" s="479"/>
      <c r="E68" s="479"/>
      <c r="F68" s="487"/>
      <c r="G68" s="461"/>
      <c r="H68" s="313"/>
      <c r="J68" s="39" t="str">
        <f>K68&amp;SD[[#This Row],[Insurer Code]]&amp;"; "&amp;L68&amp;SD[[#This Row],[Reporting Year]]&amp;"; "&amp;M68&amp;SD[[#This Row],[Market Code]]&amp;"; "&amp;N68&amp;SD[[#This Row],[Large Provider Entity Code]]</f>
        <v xml:space="preserve">Insurer Code ; Reporting Year ; Market Code ; Large Provider Entity Code </v>
      </c>
      <c r="K68" s="347" t="s">
        <v>207</v>
      </c>
      <c r="L68" s="347" t="s">
        <v>208</v>
      </c>
      <c r="M68" s="347" t="s">
        <v>237</v>
      </c>
      <c r="N68" s="347" t="s">
        <v>210</v>
      </c>
      <c r="O68" s="347"/>
      <c r="P68" s="347"/>
      <c r="Q68" s="347"/>
      <c r="R68" s="347"/>
      <c r="S68" s="347"/>
      <c r="T68" s="347"/>
      <c r="U68" s="347"/>
      <c r="V68" s="347"/>
      <c r="W68" s="347"/>
      <c r="X68" s="347"/>
    </row>
    <row r="69" spans="1:24" x14ac:dyDescent="0.25">
      <c r="A69" s="311"/>
      <c r="B69" s="321"/>
      <c r="C69" s="321"/>
      <c r="D69" s="321"/>
      <c r="E69" s="322"/>
      <c r="F69" s="490"/>
      <c r="G69" s="490"/>
      <c r="H69" s="313"/>
      <c r="J69" s="39" t="str">
        <f>K69&amp;SD[[#This Row],[Insurer Code]]&amp;"; "&amp;L69&amp;SD[[#This Row],[Reporting Year]]&amp;"; "&amp;M69&amp;SD[[#This Row],[Market Code]]&amp;"; "&amp;N69&amp;SD[[#This Row],[Large Provider Entity Code]]</f>
        <v xml:space="preserve">Insurer Code ; Reporting Year ; Market Code ; Large Provider Entity Code </v>
      </c>
      <c r="K69" s="347" t="s">
        <v>207</v>
      </c>
      <c r="L69" s="347" t="s">
        <v>208</v>
      </c>
      <c r="M69" s="347" t="s">
        <v>237</v>
      </c>
      <c r="N69" s="347" t="s">
        <v>210</v>
      </c>
      <c r="O69" s="347"/>
      <c r="P69" s="347"/>
      <c r="Q69" s="347"/>
      <c r="R69" s="347"/>
      <c r="S69" s="347"/>
      <c r="T69" s="347"/>
      <c r="U69" s="347"/>
      <c r="V69" s="347"/>
      <c r="W69" s="347"/>
      <c r="X69" s="347"/>
    </row>
    <row r="70" spans="1:24" x14ac:dyDescent="0.25">
      <c r="A70" s="311"/>
      <c r="B70" s="321"/>
      <c r="C70" s="321"/>
      <c r="D70" s="321"/>
      <c r="E70" s="322"/>
      <c r="F70" s="489"/>
      <c r="G70" s="489"/>
      <c r="H70" s="313"/>
      <c r="J70" s="39" t="str">
        <f>K70&amp;SD[[#This Row],[Insurer Code]]&amp;"; "&amp;L70&amp;SD[[#This Row],[Reporting Year]]&amp;"; "&amp;M70&amp;SD[[#This Row],[Market Code]]&amp;"; "&amp;N70&amp;SD[[#This Row],[Large Provider Entity Code]]</f>
        <v xml:space="preserve">Insurer Code ; Reporting Year ; Market Code ; Large Provider Entity Code </v>
      </c>
      <c r="K70" s="347" t="s">
        <v>207</v>
      </c>
      <c r="L70" s="347" t="s">
        <v>208</v>
      </c>
      <c r="M70" s="347" t="s">
        <v>237</v>
      </c>
      <c r="N70" s="347" t="s">
        <v>210</v>
      </c>
      <c r="O70" s="347"/>
      <c r="P70" s="347"/>
      <c r="Q70" s="347"/>
      <c r="R70" s="347"/>
      <c r="S70" s="347"/>
      <c r="T70" s="347"/>
      <c r="U70" s="347"/>
      <c r="V70" s="347"/>
      <c r="W70" s="347"/>
      <c r="X70" s="347"/>
    </row>
    <row r="71" spans="1:24" x14ac:dyDescent="0.25">
      <c r="A71" s="311"/>
      <c r="B71" s="458"/>
      <c r="C71" s="458"/>
      <c r="D71" s="458"/>
      <c r="E71" s="459"/>
      <c r="F71" s="460"/>
      <c r="G71" s="461"/>
      <c r="H71" s="313"/>
      <c r="J71" s="39" t="str">
        <f>K71&amp;SD[[#This Row],[Insurer Code]]&amp;"; "&amp;L71&amp;SD[[#This Row],[Reporting Year]]&amp;"; "&amp;M71&amp;SD[[#This Row],[Market Code]]&amp;"; "&amp;N71&amp;SD[[#This Row],[Large Provider Entity Code]]</f>
        <v xml:space="preserve">Insurer Code ; Reporting Year ; Market Code ; Large Provider Entity Code </v>
      </c>
      <c r="K71" s="347" t="s">
        <v>207</v>
      </c>
      <c r="L71" s="347" t="s">
        <v>208</v>
      </c>
      <c r="M71" s="347" t="s">
        <v>237</v>
      </c>
      <c r="N71" s="347" t="s">
        <v>210</v>
      </c>
      <c r="O71" s="347"/>
      <c r="P71" s="347"/>
      <c r="Q71" s="347"/>
      <c r="R71" s="347"/>
      <c r="S71" s="347"/>
      <c r="T71" s="347"/>
      <c r="U71" s="347"/>
      <c r="V71" s="347"/>
      <c r="W71" s="347"/>
      <c r="X71" s="347"/>
    </row>
    <row r="72" spans="1:24" x14ac:dyDescent="0.25">
      <c r="A72" s="311"/>
      <c r="B72" s="458"/>
      <c r="C72" s="458"/>
      <c r="D72" s="458"/>
      <c r="E72" s="459"/>
      <c r="F72" s="460"/>
      <c r="G72" s="461"/>
      <c r="H72" s="313"/>
      <c r="J72" s="39" t="str">
        <f>K72&amp;SD[[#This Row],[Insurer Code]]&amp;"; "&amp;L72&amp;SD[[#This Row],[Reporting Year]]&amp;"; "&amp;M72&amp;SD[[#This Row],[Market Code]]&amp;"; "&amp;N72&amp;SD[[#This Row],[Large Provider Entity Code]]</f>
        <v xml:space="preserve">Insurer Code ; Reporting Year ; Market Code ; Large Provider Entity Code </v>
      </c>
      <c r="K72" s="347" t="s">
        <v>207</v>
      </c>
      <c r="L72" s="347" t="s">
        <v>208</v>
      </c>
      <c r="M72" s="347" t="s">
        <v>237</v>
      </c>
      <c r="N72" s="347" t="s">
        <v>210</v>
      </c>
      <c r="O72" s="347"/>
      <c r="P72" s="347"/>
      <c r="Q72" s="347"/>
      <c r="R72" s="347"/>
      <c r="S72" s="347"/>
      <c r="T72" s="347"/>
      <c r="U72" s="347"/>
      <c r="V72" s="347"/>
      <c r="W72" s="347"/>
      <c r="X72" s="347"/>
    </row>
    <row r="73" spans="1:24" x14ac:dyDescent="0.25">
      <c r="A73" s="311"/>
      <c r="B73" s="458"/>
      <c r="C73" s="458"/>
      <c r="D73" s="458"/>
      <c r="E73" s="459"/>
      <c r="F73" s="460"/>
      <c r="G73" s="461"/>
      <c r="H73" s="313"/>
      <c r="J73" s="39" t="str">
        <f>K73&amp;SD[[#This Row],[Insurer Code]]&amp;"; "&amp;L73&amp;SD[[#This Row],[Reporting Year]]&amp;"; "&amp;M73&amp;SD[[#This Row],[Market Code]]&amp;"; "&amp;N73&amp;SD[[#This Row],[Large Provider Entity Code]]</f>
        <v xml:space="preserve">Insurer Code ; Reporting Year ; Market Code ; Large Provider Entity Code </v>
      </c>
      <c r="K73" s="347" t="s">
        <v>207</v>
      </c>
      <c r="L73" s="347" t="s">
        <v>208</v>
      </c>
      <c r="M73" s="347" t="s">
        <v>237</v>
      </c>
      <c r="N73" s="347" t="s">
        <v>210</v>
      </c>
      <c r="O73" s="347"/>
      <c r="P73" s="347"/>
      <c r="Q73" s="347"/>
      <c r="R73" s="347"/>
      <c r="S73" s="347"/>
      <c r="T73" s="347"/>
      <c r="U73" s="347"/>
      <c r="V73" s="347"/>
      <c r="W73" s="347"/>
      <c r="X73" s="347"/>
    </row>
    <row r="74" spans="1:24" x14ac:dyDescent="0.25">
      <c r="A74" s="311"/>
      <c r="B74" s="479"/>
      <c r="C74" s="479"/>
      <c r="D74" s="479"/>
      <c r="E74" s="479"/>
      <c r="F74" s="487"/>
      <c r="G74" s="461"/>
      <c r="H74" s="313"/>
      <c r="J74" s="39" t="str">
        <f>K74&amp;SD[[#This Row],[Insurer Code]]&amp;"; "&amp;L74&amp;SD[[#This Row],[Reporting Year]]&amp;"; "&amp;M74&amp;SD[[#This Row],[Market Code]]&amp;"; "&amp;N74&amp;SD[[#This Row],[Large Provider Entity Code]]</f>
        <v xml:space="preserve">Insurer Code ; Reporting Year ; Market Code ; Large Provider Entity Code </v>
      </c>
      <c r="K74" s="347" t="s">
        <v>207</v>
      </c>
      <c r="L74" s="347" t="s">
        <v>208</v>
      </c>
      <c r="M74" s="347" t="s">
        <v>237</v>
      </c>
      <c r="N74" s="347" t="s">
        <v>210</v>
      </c>
      <c r="O74" s="347"/>
      <c r="P74" s="347"/>
      <c r="Q74" s="347"/>
      <c r="R74" s="347"/>
      <c r="S74" s="347"/>
      <c r="T74" s="347"/>
      <c r="U74" s="347"/>
      <c r="V74" s="347"/>
      <c r="W74" s="347"/>
      <c r="X74" s="347"/>
    </row>
    <row r="75" spans="1:24" x14ac:dyDescent="0.25">
      <c r="A75" s="311"/>
      <c r="B75" s="321"/>
      <c r="C75" s="321"/>
      <c r="D75" s="321"/>
      <c r="E75" s="322"/>
      <c r="F75" s="490"/>
      <c r="G75" s="490"/>
      <c r="H75" s="313"/>
      <c r="J75" s="39" t="str">
        <f>K75&amp;SD[[#This Row],[Insurer Code]]&amp;"; "&amp;L75&amp;SD[[#This Row],[Reporting Year]]&amp;"; "&amp;M75&amp;SD[[#This Row],[Market Code]]&amp;"; "&amp;N75&amp;SD[[#This Row],[Large Provider Entity Code]]</f>
        <v xml:space="preserve">Insurer Code ; Reporting Year ; Market Code ; Large Provider Entity Code </v>
      </c>
      <c r="K75" s="347" t="s">
        <v>207</v>
      </c>
      <c r="L75" s="347" t="s">
        <v>208</v>
      </c>
      <c r="M75" s="347" t="s">
        <v>237</v>
      </c>
      <c r="N75" s="347" t="s">
        <v>210</v>
      </c>
      <c r="O75" s="347"/>
      <c r="P75" s="347"/>
      <c r="Q75" s="347"/>
      <c r="R75" s="347"/>
      <c r="S75" s="347"/>
      <c r="T75" s="347"/>
      <c r="U75" s="347"/>
      <c r="V75" s="347"/>
      <c r="W75" s="347"/>
      <c r="X75" s="347"/>
    </row>
    <row r="76" spans="1:24" x14ac:dyDescent="0.25">
      <c r="A76" s="311"/>
      <c r="B76" s="321"/>
      <c r="C76" s="321"/>
      <c r="D76" s="321"/>
      <c r="E76" s="322"/>
      <c r="F76" s="489"/>
      <c r="G76" s="489"/>
      <c r="H76" s="313"/>
      <c r="J76" s="39" t="str">
        <f>K76&amp;SD[[#This Row],[Insurer Code]]&amp;"; "&amp;L76&amp;SD[[#This Row],[Reporting Year]]&amp;"; "&amp;M76&amp;SD[[#This Row],[Market Code]]&amp;"; "&amp;N76&amp;SD[[#This Row],[Large Provider Entity Code]]</f>
        <v xml:space="preserve">Insurer Code ; Reporting Year ; Market Code ; Large Provider Entity Code </v>
      </c>
      <c r="K76" s="347" t="s">
        <v>207</v>
      </c>
      <c r="L76" s="347" t="s">
        <v>208</v>
      </c>
      <c r="M76" s="347" t="s">
        <v>237</v>
      </c>
      <c r="N76" s="347" t="s">
        <v>210</v>
      </c>
      <c r="O76" s="347"/>
      <c r="P76" s="347"/>
      <c r="Q76" s="347"/>
      <c r="R76" s="347"/>
      <c r="S76" s="347"/>
      <c r="T76" s="347"/>
      <c r="U76" s="347"/>
      <c r="V76" s="347"/>
      <c r="W76" s="347"/>
      <c r="X76" s="347"/>
    </row>
    <row r="77" spans="1:24" x14ac:dyDescent="0.25">
      <c r="A77" s="311"/>
      <c r="B77" s="458"/>
      <c r="C77" s="458"/>
      <c r="D77" s="458"/>
      <c r="E77" s="459"/>
      <c r="F77" s="460"/>
      <c r="G77" s="461"/>
      <c r="H77" s="313"/>
      <c r="J77" s="39" t="str">
        <f>K77&amp;SD[[#This Row],[Insurer Code]]&amp;"; "&amp;L77&amp;SD[[#This Row],[Reporting Year]]&amp;"; "&amp;M77&amp;SD[[#This Row],[Market Code]]&amp;"; "&amp;N77&amp;SD[[#This Row],[Large Provider Entity Code]]</f>
        <v xml:space="preserve">Insurer Code ; Reporting Year ; Market Code ; Large Provider Entity Code </v>
      </c>
      <c r="K77" s="347" t="s">
        <v>207</v>
      </c>
      <c r="L77" s="347" t="s">
        <v>208</v>
      </c>
      <c r="M77" s="347" t="s">
        <v>237</v>
      </c>
      <c r="N77" s="347" t="s">
        <v>210</v>
      </c>
      <c r="O77" s="347"/>
      <c r="P77" s="347"/>
      <c r="Q77" s="347"/>
      <c r="R77" s="347"/>
      <c r="S77" s="347"/>
      <c r="T77" s="347"/>
      <c r="U77" s="347"/>
      <c r="V77" s="347"/>
      <c r="W77" s="347"/>
      <c r="X77" s="347"/>
    </row>
    <row r="78" spans="1:24" x14ac:dyDescent="0.25">
      <c r="A78" s="311"/>
      <c r="B78" s="458"/>
      <c r="C78" s="458"/>
      <c r="D78" s="458"/>
      <c r="E78" s="459"/>
      <c r="F78" s="460"/>
      <c r="G78" s="461"/>
      <c r="H78" s="313"/>
      <c r="J78" s="39" t="str">
        <f>K78&amp;SD[[#This Row],[Insurer Code]]&amp;"; "&amp;L78&amp;SD[[#This Row],[Reporting Year]]&amp;"; "&amp;M78&amp;SD[[#This Row],[Market Code]]&amp;"; "&amp;N78&amp;SD[[#This Row],[Large Provider Entity Code]]</f>
        <v xml:space="preserve">Insurer Code ; Reporting Year ; Market Code ; Large Provider Entity Code </v>
      </c>
      <c r="K78" s="347" t="s">
        <v>207</v>
      </c>
      <c r="L78" s="347" t="s">
        <v>208</v>
      </c>
      <c r="M78" s="347" t="s">
        <v>237</v>
      </c>
      <c r="N78" s="347" t="s">
        <v>210</v>
      </c>
      <c r="O78" s="347"/>
      <c r="P78" s="347"/>
      <c r="Q78" s="347"/>
      <c r="R78" s="347"/>
      <c r="S78" s="347"/>
      <c r="T78" s="347"/>
      <c r="U78" s="347"/>
      <c r="V78" s="347"/>
      <c r="W78" s="347"/>
      <c r="X78" s="347"/>
    </row>
    <row r="79" spans="1:24" x14ac:dyDescent="0.25">
      <c r="A79" s="311"/>
      <c r="B79" s="458"/>
      <c r="C79" s="458"/>
      <c r="D79" s="458"/>
      <c r="E79" s="459"/>
      <c r="F79" s="460"/>
      <c r="G79" s="461"/>
      <c r="H79" s="313"/>
      <c r="J79" s="39" t="str">
        <f>K79&amp;SD[[#This Row],[Insurer Code]]&amp;"; "&amp;L79&amp;SD[[#This Row],[Reporting Year]]&amp;"; "&amp;M79&amp;SD[[#This Row],[Market Code]]&amp;"; "&amp;N79&amp;SD[[#This Row],[Large Provider Entity Code]]</f>
        <v xml:space="preserve">Insurer Code ; Reporting Year ; Market Code ; Large Provider Entity Code </v>
      </c>
      <c r="K79" s="347" t="s">
        <v>207</v>
      </c>
      <c r="L79" s="347" t="s">
        <v>208</v>
      </c>
      <c r="M79" s="347" t="s">
        <v>237</v>
      </c>
      <c r="N79" s="347" t="s">
        <v>210</v>
      </c>
      <c r="O79" s="347"/>
      <c r="P79" s="347"/>
      <c r="Q79" s="347"/>
      <c r="R79" s="347"/>
      <c r="S79" s="347"/>
      <c r="T79" s="347"/>
      <c r="U79" s="347"/>
      <c r="V79" s="347"/>
      <c r="W79" s="347"/>
      <c r="X79" s="347"/>
    </row>
    <row r="80" spans="1:24" x14ac:dyDescent="0.25">
      <c r="A80" s="311"/>
      <c r="B80" s="479"/>
      <c r="C80" s="479"/>
      <c r="D80" s="479"/>
      <c r="E80" s="479"/>
      <c r="F80" s="487"/>
      <c r="G80" s="461"/>
      <c r="H80" s="313"/>
      <c r="J80" s="39" t="str">
        <f>K80&amp;SD[[#This Row],[Insurer Code]]&amp;"; "&amp;L80&amp;SD[[#This Row],[Reporting Year]]&amp;"; "&amp;M80&amp;SD[[#This Row],[Market Code]]&amp;"; "&amp;N80&amp;SD[[#This Row],[Large Provider Entity Code]]</f>
        <v xml:space="preserve">Insurer Code ; Reporting Year ; Market Code ; Large Provider Entity Code </v>
      </c>
      <c r="K80" s="347" t="s">
        <v>207</v>
      </c>
      <c r="L80" s="347" t="s">
        <v>208</v>
      </c>
      <c r="M80" s="347" t="s">
        <v>237</v>
      </c>
      <c r="N80" s="347" t="s">
        <v>210</v>
      </c>
      <c r="O80" s="347"/>
      <c r="P80" s="347"/>
      <c r="Q80" s="347"/>
      <c r="R80" s="347"/>
      <c r="S80" s="347"/>
      <c r="T80" s="347"/>
      <c r="U80" s="347"/>
      <c r="V80" s="347"/>
      <c r="W80" s="347"/>
      <c r="X80" s="347"/>
    </row>
    <row r="81" spans="1:24" x14ac:dyDescent="0.25">
      <c r="A81" s="311"/>
      <c r="B81" s="321"/>
      <c r="C81" s="321"/>
      <c r="D81" s="321"/>
      <c r="E81" s="322"/>
      <c r="F81" s="490"/>
      <c r="G81" s="490"/>
      <c r="H81" s="313"/>
      <c r="J81" s="39" t="str">
        <f>K81&amp;SD[[#This Row],[Insurer Code]]&amp;"; "&amp;L81&amp;SD[[#This Row],[Reporting Year]]&amp;"; "&amp;M81&amp;SD[[#This Row],[Market Code]]&amp;"; "&amp;N81&amp;SD[[#This Row],[Large Provider Entity Code]]</f>
        <v xml:space="preserve">Insurer Code ; Reporting Year ; Market Code ; Large Provider Entity Code </v>
      </c>
      <c r="K81" s="347" t="s">
        <v>207</v>
      </c>
      <c r="L81" s="347" t="s">
        <v>208</v>
      </c>
      <c r="M81" s="347" t="s">
        <v>237</v>
      </c>
      <c r="N81" s="347" t="s">
        <v>210</v>
      </c>
      <c r="O81" s="347"/>
      <c r="P81" s="347"/>
      <c r="Q81" s="347"/>
      <c r="R81" s="347"/>
      <c r="S81" s="347"/>
      <c r="T81" s="347"/>
      <c r="U81" s="347"/>
      <c r="V81" s="347"/>
      <c r="W81" s="347"/>
      <c r="X81" s="347"/>
    </row>
    <row r="82" spans="1:24" x14ac:dyDescent="0.25">
      <c r="A82" s="311"/>
      <c r="B82" s="321"/>
      <c r="C82" s="321"/>
      <c r="D82" s="321"/>
      <c r="E82" s="322"/>
      <c r="F82" s="489"/>
      <c r="G82" s="489"/>
      <c r="H82" s="313"/>
      <c r="J82" s="39" t="str">
        <f>K82&amp;SD[[#This Row],[Insurer Code]]&amp;"; "&amp;L82&amp;SD[[#This Row],[Reporting Year]]&amp;"; "&amp;M82&amp;SD[[#This Row],[Market Code]]&amp;"; "&amp;N82&amp;SD[[#This Row],[Large Provider Entity Code]]</f>
        <v xml:space="preserve">Insurer Code ; Reporting Year ; Market Code ; Large Provider Entity Code </v>
      </c>
      <c r="K82" s="347" t="s">
        <v>207</v>
      </c>
      <c r="L82" s="347" t="s">
        <v>208</v>
      </c>
      <c r="M82" s="347" t="s">
        <v>237</v>
      </c>
      <c r="N82" s="347" t="s">
        <v>210</v>
      </c>
      <c r="O82" s="347"/>
      <c r="P82" s="347"/>
      <c r="Q82" s="347"/>
      <c r="R82" s="347"/>
      <c r="S82" s="347"/>
      <c r="T82" s="347"/>
      <c r="U82" s="347"/>
      <c r="V82" s="347"/>
      <c r="W82" s="347"/>
      <c r="X82" s="347"/>
    </row>
    <row r="83" spans="1:24" x14ac:dyDescent="0.25">
      <c r="A83" s="311"/>
      <c r="B83" s="321"/>
      <c r="C83" s="321"/>
      <c r="D83" s="321"/>
      <c r="E83" s="322"/>
      <c r="F83" s="489"/>
      <c r="G83" s="489"/>
      <c r="H83" s="313"/>
      <c r="J83" s="39" t="str">
        <f>K83&amp;SD[[#This Row],[Insurer Code]]&amp;"; "&amp;L83&amp;SD[[#This Row],[Reporting Year]]&amp;"; "&amp;M83&amp;SD[[#This Row],[Market Code]]&amp;"; "&amp;N83&amp;SD[[#This Row],[Large Provider Entity Code]]</f>
        <v xml:space="preserve">Insurer Code ; Reporting Year ; Market Code ; Large Provider Entity Code </v>
      </c>
      <c r="K83" s="347" t="s">
        <v>207</v>
      </c>
      <c r="L83" s="347" t="s">
        <v>208</v>
      </c>
      <c r="M83" s="347" t="s">
        <v>237</v>
      </c>
      <c r="N83" s="347" t="s">
        <v>210</v>
      </c>
      <c r="O83" s="347"/>
      <c r="P83" s="347"/>
      <c r="Q83" s="347"/>
      <c r="R83" s="347"/>
      <c r="S83" s="347"/>
      <c r="T83" s="347"/>
      <c r="U83" s="347"/>
      <c r="V83" s="347"/>
      <c r="W83" s="347"/>
      <c r="X83" s="347"/>
    </row>
    <row r="84" spans="1:24" x14ac:dyDescent="0.25">
      <c r="A84" s="311"/>
      <c r="B84" s="458"/>
      <c r="C84" s="458"/>
      <c r="D84" s="458"/>
      <c r="E84" s="459"/>
      <c r="F84" s="460"/>
      <c r="G84" s="461"/>
      <c r="H84" s="313"/>
      <c r="J84" s="39" t="str">
        <f>K84&amp;SD[[#This Row],[Insurer Code]]&amp;"; "&amp;L84&amp;SD[[#This Row],[Reporting Year]]&amp;"; "&amp;M84&amp;SD[[#This Row],[Market Code]]&amp;"; "&amp;N84&amp;SD[[#This Row],[Large Provider Entity Code]]</f>
        <v xml:space="preserve">Insurer Code ; Reporting Year ; Market Code ; Large Provider Entity Code </v>
      </c>
      <c r="K84" s="347" t="s">
        <v>207</v>
      </c>
      <c r="L84" s="347" t="s">
        <v>208</v>
      </c>
      <c r="M84" s="347" t="s">
        <v>237</v>
      </c>
      <c r="N84" s="347" t="s">
        <v>210</v>
      </c>
      <c r="O84" s="347"/>
      <c r="P84" s="347"/>
      <c r="Q84" s="347"/>
      <c r="R84" s="347"/>
      <c r="S84" s="347"/>
      <c r="T84" s="347"/>
      <c r="U84" s="347"/>
      <c r="V84" s="347"/>
      <c r="W84" s="347"/>
      <c r="X84" s="347"/>
    </row>
    <row r="85" spans="1:24" x14ac:dyDescent="0.25">
      <c r="A85" s="311"/>
      <c r="B85" s="458"/>
      <c r="C85" s="458"/>
      <c r="D85" s="458"/>
      <c r="E85" s="459"/>
      <c r="F85" s="460"/>
      <c r="G85" s="461"/>
      <c r="H85" s="313"/>
      <c r="J85" s="39" t="str">
        <f>K85&amp;SD[[#This Row],[Insurer Code]]&amp;"; "&amp;L85&amp;SD[[#This Row],[Reporting Year]]&amp;"; "&amp;M85&amp;SD[[#This Row],[Market Code]]&amp;"; "&amp;N85&amp;SD[[#This Row],[Large Provider Entity Code]]</f>
        <v xml:space="preserve">Insurer Code ; Reporting Year ; Market Code ; Large Provider Entity Code </v>
      </c>
      <c r="K85" s="347" t="s">
        <v>207</v>
      </c>
      <c r="L85" s="347" t="s">
        <v>208</v>
      </c>
      <c r="M85" s="347" t="s">
        <v>237</v>
      </c>
      <c r="N85" s="347" t="s">
        <v>210</v>
      </c>
      <c r="O85" s="347"/>
      <c r="P85" s="347"/>
      <c r="Q85" s="347"/>
      <c r="R85" s="347"/>
      <c r="S85" s="347"/>
      <c r="T85" s="347"/>
      <c r="U85" s="347"/>
      <c r="V85" s="347"/>
      <c r="W85" s="347"/>
      <c r="X85" s="347"/>
    </row>
    <row r="86" spans="1:24" x14ac:dyDescent="0.25">
      <c r="A86" s="311"/>
      <c r="B86" s="458"/>
      <c r="C86" s="458"/>
      <c r="D86" s="458"/>
      <c r="E86" s="459"/>
      <c r="F86" s="460"/>
      <c r="G86" s="461"/>
      <c r="H86" s="313"/>
      <c r="J86" s="39" t="str">
        <f>K86&amp;SD[[#This Row],[Insurer Code]]&amp;"; "&amp;L86&amp;SD[[#This Row],[Reporting Year]]&amp;"; "&amp;M86&amp;SD[[#This Row],[Market Code]]&amp;"; "&amp;N86&amp;SD[[#This Row],[Large Provider Entity Code]]</f>
        <v xml:space="preserve">Insurer Code ; Reporting Year ; Market Code ; Large Provider Entity Code </v>
      </c>
      <c r="K86" s="347" t="s">
        <v>207</v>
      </c>
      <c r="L86" s="347" t="s">
        <v>208</v>
      </c>
      <c r="M86" s="347" t="s">
        <v>237</v>
      </c>
      <c r="N86" s="347" t="s">
        <v>210</v>
      </c>
      <c r="O86" s="347"/>
      <c r="P86" s="347"/>
      <c r="Q86" s="347"/>
      <c r="R86" s="347"/>
      <c r="S86" s="347"/>
      <c r="T86" s="347"/>
      <c r="U86" s="347"/>
      <c r="V86" s="347"/>
      <c r="W86" s="347"/>
      <c r="X86" s="347"/>
    </row>
    <row r="87" spans="1:24" x14ac:dyDescent="0.25">
      <c r="A87" s="311"/>
      <c r="B87" s="479"/>
      <c r="C87" s="479"/>
      <c r="D87" s="479"/>
      <c r="E87" s="479"/>
      <c r="F87" s="487"/>
      <c r="G87" s="461"/>
      <c r="H87" s="313"/>
      <c r="J87" s="39" t="str">
        <f>K87&amp;SD[[#This Row],[Insurer Code]]&amp;"; "&amp;L87&amp;SD[[#This Row],[Reporting Year]]&amp;"; "&amp;M87&amp;SD[[#This Row],[Market Code]]&amp;"; "&amp;N87&amp;SD[[#This Row],[Large Provider Entity Code]]</f>
        <v xml:space="preserve">Insurer Code ; Reporting Year ; Market Code ; Large Provider Entity Code </v>
      </c>
      <c r="K87" s="347" t="s">
        <v>207</v>
      </c>
      <c r="L87" s="347" t="s">
        <v>208</v>
      </c>
      <c r="M87" s="347" t="s">
        <v>237</v>
      </c>
      <c r="N87" s="347" t="s">
        <v>210</v>
      </c>
      <c r="O87" s="347"/>
      <c r="P87" s="347"/>
      <c r="Q87" s="347"/>
      <c r="R87" s="347"/>
      <c r="S87" s="347"/>
      <c r="T87" s="347"/>
      <c r="U87" s="347"/>
      <c r="V87" s="347"/>
      <c r="W87" s="347"/>
      <c r="X87" s="347"/>
    </row>
    <row r="88" spans="1:24" x14ac:dyDescent="0.25">
      <c r="A88" s="311"/>
      <c r="B88" s="479"/>
      <c r="C88" s="479"/>
      <c r="D88" s="479"/>
      <c r="E88" s="479"/>
      <c r="F88" s="487"/>
      <c r="G88" s="461"/>
      <c r="H88" s="313"/>
      <c r="J88" s="39" t="str">
        <f>K88&amp;SD[[#This Row],[Insurer Code]]&amp;"; "&amp;L88&amp;SD[[#This Row],[Reporting Year]]&amp;"; "&amp;M88&amp;SD[[#This Row],[Market Code]]&amp;"; "&amp;N88&amp;SD[[#This Row],[Large Provider Entity Code]]</f>
        <v xml:space="preserve">Insurer Code ; Reporting Year ; Market Code ; Large Provider Entity Code </v>
      </c>
      <c r="K88" s="347" t="s">
        <v>207</v>
      </c>
      <c r="L88" s="347" t="s">
        <v>208</v>
      </c>
      <c r="M88" s="347" t="s">
        <v>237</v>
      </c>
      <c r="N88" s="347" t="s">
        <v>210</v>
      </c>
      <c r="O88" s="347"/>
      <c r="P88" s="347"/>
      <c r="Q88" s="347"/>
      <c r="R88" s="347"/>
      <c r="S88" s="347"/>
      <c r="T88" s="347"/>
      <c r="U88" s="347"/>
      <c r="V88" s="347"/>
      <c r="W88" s="347"/>
      <c r="X88" s="347"/>
    </row>
    <row r="89" spans="1:24" x14ac:dyDescent="0.25">
      <c r="A89" s="311"/>
      <c r="B89" s="321"/>
      <c r="C89" s="321"/>
      <c r="D89" s="321"/>
      <c r="E89" s="322"/>
      <c r="F89" s="490"/>
      <c r="G89" s="490"/>
      <c r="H89" s="313"/>
      <c r="J89" s="39" t="str">
        <f>K89&amp;SD[[#This Row],[Insurer Code]]&amp;"; "&amp;L89&amp;SD[[#This Row],[Reporting Year]]&amp;"; "&amp;M89&amp;SD[[#This Row],[Market Code]]&amp;"; "&amp;N89&amp;SD[[#This Row],[Large Provider Entity Code]]</f>
        <v xml:space="preserve">Insurer Code ; Reporting Year ; Market Code ; Large Provider Entity Code </v>
      </c>
      <c r="K89" s="347" t="s">
        <v>207</v>
      </c>
      <c r="L89" s="347" t="s">
        <v>208</v>
      </c>
      <c r="M89" s="347" t="s">
        <v>237</v>
      </c>
      <c r="N89" s="347" t="s">
        <v>210</v>
      </c>
      <c r="O89" s="347"/>
      <c r="P89" s="347"/>
      <c r="Q89" s="347"/>
      <c r="R89" s="347"/>
      <c r="S89" s="347"/>
      <c r="T89" s="347"/>
      <c r="U89" s="347"/>
      <c r="V89" s="347"/>
      <c r="W89" s="347"/>
      <c r="X89" s="347"/>
    </row>
    <row r="90" spans="1:24" x14ac:dyDescent="0.25">
      <c r="A90" s="311"/>
      <c r="B90" s="321"/>
      <c r="C90" s="321"/>
      <c r="D90" s="321"/>
      <c r="E90" s="322"/>
      <c r="F90" s="489"/>
      <c r="G90" s="489"/>
      <c r="H90" s="313"/>
      <c r="J90" s="39" t="str">
        <f>K90&amp;SD[[#This Row],[Insurer Code]]&amp;"; "&amp;L90&amp;SD[[#This Row],[Reporting Year]]&amp;"; "&amp;M90&amp;SD[[#This Row],[Market Code]]&amp;"; "&amp;N90&amp;SD[[#This Row],[Large Provider Entity Code]]</f>
        <v xml:space="preserve">Insurer Code ; Reporting Year ; Market Code ; Large Provider Entity Code </v>
      </c>
      <c r="K90" s="347" t="s">
        <v>207</v>
      </c>
      <c r="L90" s="347" t="s">
        <v>208</v>
      </c>
      <c r="M90" s="347" t="s">
        <v>237</v>
      </c>
      <c r="N90" s="347" t="s">
        <v>210</v>
      </c>
      <c r="O90" s="347"/>
      <c r="P90" s="347"/>
      <c r="Q90" s="347"/>
      <c r="R90" s="347"/>
      <c r="S90" s="347"/>
      <c r="T90" s="347"/>
      <c r="U90" s="347"/>
      <c r="V90" s="347"/>
      <c r="W90" s="347"/>
      <c r="X90" s="347"/>
    </row>
    <row r="91" spans="1:24" x14ac:dyDescent="0.25">
      <c r="A91" s="311"/>
      <c r="B91" s="458"/>
      <c r="C91" s="458"/>
      <c r="D91" s="458"/>
      <c r="E91" s="459"/>
      <c r="F91" s="460"/>
      <c r="G91" s="461"/>
      <c r="H91" s="313"/>
      <c r="J91" s="39" t="str">
        <f>K91&amp;SD[[#This Row],[Insurer Code]]&amp;"; "&amp;L91&amp;SD[[#This Row],[Reporting Year]]&amp;"; "&amp;M91&amp;SD[[#This Row],[Market Code]]&amp;"; "&amp;N91&amp;SD[[#This Row],[Large Provider Entity Code]]</f>
        <v xml:space="preserve">Insurer Code ; Reporting Year ; Market Code ; Large Provider Entity Code </v>
      </c>
      <c r="K91" s="347" t="s">
        <v>207</v>
      </c>
      <c r="L91" s="347" t="s">
        <v>208</v>
      </c>
      <c r="M91" s="347" t="s">
        <v>237</v>
      </c>
      <c r="N91" s="347" t="s">
        <v>210</v>
      </c>
      <c r="O91" s="347"/>
      <c r="P91" s="347"/>
      <c r="Q91" s="347"/>
      <c r="R91" s="347"/>
      <c r="S91" s="347"/>
      <c r="T91" s="347"/>
      <c r="U91" s="347"/>
      <c r="V91" s="347"/>
      <c r="W91" s="347"/>
      <c r="X91" s="347"/>
    </row>
    <row r="92" spans="1:24" x14ac:dyDescent="0.25">
      <c r="A92" s="311"/>
      <c r="B92" s="458"/>
      <c r="C92" s="458"/>
      <c r="D92" s="458"/>
      <c r="E92" s="459"/>
      <c r="F92" s="460"/>
      <c r="G92" s="461"/>
      <c r="H92" s="313"/>
      <c r="J92" s="39" t="str">
        <f>K92&amp;SD[[#This Row],[Insurer Code]]&amp;"; "&amp;L92&amp;SD[[#This Row],[Reporting Year]]&amp;"; "&amp;M92&amp;SD[[#This Row],[Market Code]]&amp;"; "&amp;N92&amp;SD[[#This Row],[Large Provider Entity Code]]</f>
        <v xml:space="preserve">Insurer Code ; Reporting Year ; Market Code ; Large Provider Entity Code </v>
      </c>
      <c r="K92" s="347" t="s">
        <v>207</v>
      </c>
      <c r="L92" s="347" t="s">
        <v>208</v>
      </c>
      <c r="M92" s="347" t="s">
        <v>237</v>
      </c>
      <c r="N92" s="347" t="s">
        <v>210</v>
      </c>
      <c r="O92" s="347"/>
      <c r="P92" s="347"/>
      <c r="Q92" s="347"/>
      <c r="R92" s="347"/>
      <c r="S92" s="347"/>
      <c r="T92" s="347"/>
      <c r="U92" s="347"/>
      <c r="V92" s="347"/>
      <c r="W92" s="347"/>
      <c r="X92" s="347"/>
    </row>
    <row r="93" spans="1:24" x14ac:dyDescent="0.25">
      <c r="A93" s="311"/>
      <c r="B93" s="458"/>
      <c r="C93" s="458"/>
      <c r="D93" s="458"/>
      <c r="E93" s="459"/>
      <c r="F93" s="460"/>
      <c r="G93" s="461"/>
      <c r="H93" s="313"/>
      <c r="J93" s="39" t="str">
        <f>K93&amp;SD[[#This Row],[Insurer Code]]&amp;"; "&amp;L93&amp;SD[[#This Row],[Reporting Year]]&amp;"; "&amp;M93&amp;SD[[#This Row],[Market Code]]&amp;"; "&amp;N93&amp;SD[[#This Row],[Large Provider Entity Code]]</f>
        <v xml:space="preserve">Insurer Code ; Reporting Year ; Market Code ; Large Provider Entity Code </v>
      </c>
      <c r="K93" s="347" t="s">
        <v>207</v>
      </c>
      <c r="L93" s="347" t="s">
        <v>208</v>
      </c>
      <c r="M93" s="347" t="s">
        <v>237</v>
      </c>
      <c r="N93" s="347" t="s">
        <v>210</v>
      </c>
      <c r="O93" s="347"/>
      <c r="P93" s="347"/>
      <c r="Q93" s="347"/>
      <c r="R93" s="347"/>
      <c r="S93" s="347"/>
      <c r="T93" s="347"/>
      <c r="U93" s="347"/>
      <c r="V93" s="347"/>
      <c r="W93" s="347"/>
      <c r="X93" s="347"/>
    </row>
    <row r="94" spans="1:24" x14ac:dyDescent="0.25">
      <c r="A94" s="311"/>
      <c r="B94" s="479"/>
      <c r="C94" s="479"/>
      <c r="D94" s="479"/>
      <c r="E94" s="479"/>
      <c r="F94" s="487"/>
      <c r="G94" s="461"/>
      <c r="H94" s="313"/>
      <c r="J94" s="39" t="str">
        <f>K94&amp;SD[[#This Row],[Insurer Code]]&amp;"; "&amp;L94&amp;SD[[#This Row],[Reporting Year]]&amp;"; "&amp;M94&amp;SD[[#This Row],[Market Code]]&amp;"; "&amp;N94&amp;SD[[#This Row],[Large Provider Entity Code]]</f>
        <v xml:space="preserve">Insurer Code ; Reporting Year ; Market Code ; Large Provider Entity Code </v>
      </c>
      <c r="K94" s="347" t="s">
        <v>207</v>
      </c>
      <c r="L94" s="347" t="s">
        <v>208</v>
      </c>
      <c r="M94" s="347" t="s">
        <v>237</v>
      </c>
      <c r="N94" s="347" t="s">
        <v>210</v>
      </c>
      <c r="O94" s="347"/>
      <c r="P94" s="347"/>
      <c r="Q94" s="347"/>
      <c r="R94" s="347"/>
      <c r="S94" s="347"/>
      <c r="T94" s="347"/>
      <c r="U94" s="347"/>
      <c r="V94" s="347"/>
      <c r="W94" s="347"/>
      <c r="X94" s="347"/>
    </row>
    <row r="95" spans="1:24" x14ac:dyDescent="0.25">
      <c r="A95" s="311"/>
      <c r="B95" s="321"/>
      <c r="C95" s="321"/>
      <c r="D95" s="321"/>
      <c r="E95" s="322"/>
      <c r="F95" s="490"/>
      <c r="G95" s="490"/>
      <c r="H95" s="313"/>
      <c r="J95" s="39" t="str">
        <f>K95&amp;SD[[#This Row],[Insurer Code]]&amp;"; "&amp;L95&amp;SD[[#This Row],[Reporting Year]]&amp;"; "&amp;M95&amp;SD[[#This Row],[Market Code]]&amp;"; "&amp;N95&amp;SD[[#This Row],[Large Provider Entity Code]]</f>
        <v xml:space="preserve">Insurer Code ; Reporting Year ; Market Code ; Large Provider Entity Code </v>
      </c>
      <c r="K95" s="347" t="s">
        <v>207</v>
      </c>
      <c r="L95" s="347" t="s">
        <v>208</v>
      </c>
      <c r="M95" s="347" t="s">
        <v>237</v>
      </c>
      <c r="N95" s="347" t="s">
        <v>210</v>
      </c>
      <c r="O95" s="347"/>
      <c r="P95" s="347"/>
      <c r="Q95" s="347"/>
      <c r="R95" s="347"/>
      <c r="S95" s="347"/>
      <c r="T95" s="347"/>
      <c r="U95" s="347"/>
      <c r="V95" s="347"/>
      <c r="W95" s="347"/>
      <c r="X95" s="347"/>
    </row>
    <row r="96" spans="1:24" x14ac:dyDescent="0.25">
      <c r="A96" s="311"/>
      <c r="B96" s="321"/>
      <c r="C96" s="321"/>
      <c r="D96" s="321"/>
      <c r="E96" s="322"/>
      <c r="F96" s="489"/>
      <c r="G96" s="489"/>
      <c r="H96" s="313"/>
      <c r="J96" s="39" t="str">
        <f>K96&amp;SD[[#This Row],[Insurer Code]]&amp;"; "&amp;L96&amp;SD[[#This Row],[Reporting Year]]&amp;"; "&amp;M96&amp;SD[[#This Row],[Market Code]]&amp;"; "&amp;N96&amp;SD[[#This Row],[Large Provider Entity Code]]</f>
        <v xml:space="preserve">Insurer Code ; Reporting Year ; Market Code ; Large Provider Entity Code </v>
      </c>
      <c r="K96" s="347" t="s">
        <v>207</v>
      </c>
      <c r="L96" s="347" t="s">
        <v>208</v>
      </c>
      <c r="M96" s="347" t="s">
        <v>237</v>
      </c>
      <c r="N96" s="347" t="s">
        <v>210</v>
      </c>
      <c r="O96" s="347"/>
      <c r="P96" s="347"/>
      <c r="Q96" s="347"/>
      <c r="R96" s="347"/>
      <c r="S96" s="347"/>
      <c r="T96" s="347"/>
      <c r="U96" s="347"/>
      <c r="V96" s="347"/>
      <c r="W96" s="347"/>
      <c r="X96" s="347"/>
    </row>
    <row r="97" spans="1:24" x14ac:dyDescent="0.25">
      <c r="A97" s="311"/>
      <c r="B97" s="321"/>
      <c r="C97" s="321"/>
      <c r="D97" s="321"/>
      <c r="E97" s="322"/>
      <c r="F97" s="489"/>
      <c r="G97" s="489"/>
      <c r="H97" s="313"/>
      <c r="J97" s="39" t="str">
        <f>K97&amp;SD[[#This Row],[Insurer Code]]&amp;"; "&amp;L97&amp;SD[[#This Row],[Reporting Year]]&amp;"; "&amp;M97&amp;SD[[#This Row],[Market Code]]&amp;"; "&amp;N97&amp;SD[[#This Row],[Large Provider Entity Code]]</f>
        <v xml:space="preserve">Insurer Code ; Reporting Year ; Market Code ; Large Provider Entity Code </v>
      </c>
      <c r="K97" s="347" t="s">
        <v>207</v>
      </c>
      <c r="L97" s="347" t="s">
        <v>208</v>
      </c>
      <c r="M97" s="347" t="s">
        <v>237</v>
      </c>
      <c r="N97" s="347" t="s">
        <v>210</v>
      </c>
      <c r="O97" s="347"/>
      <c r="P97" s="347"/>
      <c r="Q97" s="347"/>
      <c r="R97" s="347"/>
      <c r="S97" s="347"/>
      <c r="T97" s="347"/>
      <c r="U97" s="347"/>
      <c r="V97" s="347"/>
      <c r="W97" s="347"/>
      <c r="X97" s="347"/>
    </row>
    <row r="98" spans="1:24" x14ac:dyDescent="0.25">
      <c r="A98" s="311"/>
      <c r="B98" s="458"/>
      <c r="C98" s="458"/>
      <c r="D98" s="458"/>
      <c r="E98" s="459"/>
      <c r="F98" s="460"/>
      <c r="G98" s="461"/>
      <c r="H98" s="313"/>
      <c r="J98" s="39" t="str">
        <f>K98&amp;SD[[#This Row],[Insurer Code]]&amp;"; "&amp;L98&amp;SD[[#This Row],[Reporting Year]]&amp;"; "&amp;M98&amp;SD[[#This Row],[Market Code]]&amp;"; "&amp;N98&amp;SD[[#This Row],[Large Provider Entity Code]]</f>
        <v xml:space="preserve">Insurer Code ; Reporting Year ; Market Code ; Large Provider Entity Code </v>
      </c>
      <c r="K98" s="347" t="s">
        <v>207</v>
      </c>
      <c r="L98" s="347" t="s">
        <v>208</v>
      </c>
      <c r="M98" s="347" t="s">
        <v>237</v>
      </c>
      <c r="N98" s="347" t="s">
        <v>210</v>
      </c>
      <c r="O98" s="347"/>
      <c r="P98" s="347"/>
      <c r="Q98" s="347"/>
      <c r="R98" s="347"/>
      <c r="S98" s="347"/>
      <c r="T98" s="347"/>
      <c r="U98" s="347"/>
      <c r="V98" s="347"/>
      <c r="W98" s="347"/>
      <c r="X98" s="347"/>
    </row>
    <row r="99" spans="1:24" x14ac:dyDescent="0.25">
      <c r="A99" s="311"/>
      <c r="B99" s="458"/>
      <c r="C99" s="458"/>
      <c r="D99" s="458"/>
      <c r="E99" s="459"/>
      <c r="F99" s="460"/>
      <c r="G99" s="461"/>
      <c r="H99" s="313"/>
      <c r="J99" s="39" t="str">
        <f>K99&amp;SD[[#This Row],[Insurer Code]]&amp;"; "&amp;L99&amp;SD[[#This Row],[Reporting Year]]&amp;"; "&amp;M99&amp;SD[[#This Row],[Market Code]]&amp;"; "&amp;N99&amp;SD[[#This Row],[Large Provider Entity Code]]</f>
        <v xml:space="preserve">Insurer Code ; Reporting Year ; Market Code ; Large Provider Entity Code </v>
      </c>
      <c r="K99" s="347" t="s">
        <v>207</v>
      </c>
      <c r="L99" s="347" t="s">
        <v>208</v>
      </c>
      <c r="M99" s="347" t="s">
        <v>237</v>
      </c>
      <c r="N99" s="347" t="s">
        <v>210</v>
      </c>
      <c r="O99" s="347"/>
      <c r="P99" s="347"/>
      <c r="Q99" s="347"/>
      <c r="R99" s="347"/>
      <c r="S99" s="347"/>
      <c r="T99" s="347"/>
      <c r="U99" s="347"/>
      <c r="V99" s="347"/>
      <c r="W99" s="347"/>
      <c r="X99" s="347"/>
    </row>
    <row r="100" spans="1:24" x14ac:dyDescent="0.25">
      <c r="A100" s="311"/>
      <c r="B100" s="458"/>
      <c r="C100" s="458"/>
      <c r="D100" s="458"/>
      <c r="E100" s="459"/>
      <c r="F100" s="460"/>
      <c r="G100" s="461"/>
      <c r="H100" s="313"/>
      <c r="J100" s="39" t="str">
        <f>K100&amp;SD[[#This Row],[Insurer Code]]&amp;"; "&amp;L100&amp;SD[[#This Row],[Reporting Year]]&amp;"; "&amp;M100&amp;SD[[#This Row],[Market Code]]&amp;"; "&amp;N100&amp;SD[[#This Row],[Large Provider Entity Code]]</f>
        <v xml:space="preserve">Insurer Code ; Reporting Year ; Market Code ; Large Provider Entity Code </v>
      </c>
      <c r="K100" s="347" t="s">
        <v>207</v>
      </c>
      <c r="L100" s="347" t="s">
        <v>208</v>
      </c>
      <c r="M100" s="347" t="s">
        <v>237</v>
      </c>
      <c r="N100" s="347" t="s">
        <v>210</v>
      </c>
      <c r="O100" s="347"/>
      <c r="P100" s="347"/>
      <c r="Q100" s="347"/>
      <c r="R100" s="347"/>
      <c r="S100" s="347"/>
      <c r="T100" s="347"/>
      <c r="U100" s="347"/>
      <c r="V100" s="347"/>
      <c r="W100" s="347"/>
      <c r="X100" s="347"/>
    </row>
    <row r="101" spans="1:24" x14ac:dyDescent="0.25">
      <c r="A101" s="311"/>
      <c r="B101" s="458"/>
      <c r="C101" s="458"/>
      <c r="D101" s="458"/>
      <c r="E101" s="459"/>
      <c r="F101" s="460"/>
      <c r="G101" s="461"/>
      <c r="H101" s="313"/>
      <c r="J101" s="39" t="str">
        <f>K101&amp;SD[[#This Row],[Insurer Code]]&amp;"; "&amp;L101&amp;SD[[#This Row],[Reporting Year]]&amp;"; "&amp;M101&amp;SD[[#This Row],[Market Code]]&amp;"; "&amp;N101&amp;SD[[#This Row],[Large Provider Entity Code]]</f>
        <v xml:space="preserve">Insurer Code ; Reporting Year ; Market Code ; Large Provider Entity Code </v>
      </c>
      <c r="K101" s="347" t="s">
        <v>207</v>
      </c>
      <c r="L101" s="347" t="s">
        <v>208</v>
      </c>
      <c r="M101" s="347" t="s">
        <v>237</v>
      </c>
      <c r="N101" s="347" t="s">
        <v>210</v>
      </c>
      <c r="O101" s="347"/>
      <c r="P101" s="347"/>
      <c r="Q101" s="347"/>
      <c r="R101" s="347"/>
      <c r="S101" s="347"/>
      <c r="T101" s="347"/>
      <c r="U101" s="347"/>
      <c r="V101" s="347"/>
      <c r="W101" s="347"/>
      <c r="X101" s="347"/>
    </row>
    <row r="102" spans="1:24" x14ac:dyDescent="0.25">
      <c r="A102" s="311"/>
      <c r="B102" s="479"/>
      <c r="C102" s="479"/>
      <c r="D102" s="479"/>
      <c r="E102" s="479"/>
      <c r="F102" s="487"/>
      <c r="G102" s="461"/>
      <c r="H102" s="313"/>
      <c r="J102" s="39" t="str">
        <f>K102&amp;SD[[#This Row],[Insurer Code]]&amp;"; "&amp;L102&amp;SD[[#This Row],[Reporting Year]]&amp;"; "&amp;M102&amp;SD[[#This Row],[Market Code]]&amp;"; "&amp;N102&amp;SD[[#This Row],[Large Provider Entity Code]]</f>
        <v xml:space="preserve">Insurer Code ; Reporting Year ; Market Code ; Large Provider Entity Code </v>
      </c>
      <c r="K102" s="347" t="s">
        <v>207</v>
      </c>
      <c r="L102" s="347" t="s">
        <v>208</v>
      </c>
      <c r="M102" s="347" t="s">
        <v>237</v>
      </c>
      <c r="N102" s="347" t="s">
        <v>210</v>
      </c>
      <c r="O102" s="347"/>
      <c r="P102" s="347"/>
      <c r="Q102" s="347"/>
      <c r="R102" s="347"/>
      <c r="S102" s="347"/>
      <c r="T102" s="347"/>
      <c r="U102" s="347"/>
      <c r="V102" s="347"/>
      <c r="W102" s="347"/>
      <c r="X102" s="347"/>
    </row>
    <row r="103" spans="1:24" x14ac:dyDescent="0.25">
      <c r="A103" s="311"/>
      <c r="B103" s="479"/>
      <c r="C103" s="479"/>
      <c r="D103" s="479"/>
      <c r="E103" s="479"/>
      <c r="F103" s="487"/>
      <c r="G103" s="461"/>
      <c r="H103" s="313"/>
      <c r="J103" s="39" t="str">
        <f>K103&amp;SD[[#This Row],[Insurer Code]]&amp;"; "&amp;L103&amp;SD[[#This Row],[Reporting Year]]&amp;"; "&amp;M103&amp;SD[[#This Row],[Market Code]]&amp;"; "&amp;N103&amp;SD[[#This Row],[Large Provider Entity Code]]</f>
        <v xml:space="preserve">Insurer Code ; Reporting Year ; Market Code ; Large Provider Entity Code </v>
      </c>
      <c r="K103" s="347" t="s">
        <v>207</v>
      </c>
      <c r="L103" s="347" t="s">
        <v>208</v>
      </c>
      <c r="M103" s="347" t="s">
        <v>237</v>
      </c>
      <c r="N103" s="347" t="s">
        <v>210</v>
      </c>
      <c r="O103" s="347"/>
      <c r="P103" s="347"/>
      <c r="Q103" s="347"/>
      <c r="R103" s="347"/>
      <c r="S103" s="347"/>
      <c r="T103" s="347"/>
      <c r="U103" s="347"/>
      <c r="V103" s="347"/>
      <c r="W103" s="347"/>
      <c r="X103" s="347"/>
    </row>
    <row r="104" spans="1:24" x14ac:dyDescent="0.25">
      <c r="A104" s="311"/>
      <c r="B104" s="321"/>
      <c r="C104" s="321"/>
      <c r="D104" s="321"/>
      <c r="E104" s="322"/>
      <c r="F104" s="490"/>
      <c r="G104" s="490"/>
      <c r="H104" s="313"/>
      <c r="J104" s="39" t="str">
        <f>K104&amp;SD[[#This Row],[Insurer Code]]&amp;"; "&amp;L104&amp;SD[[#This Row],[Reporting Year]]&amp;"; "&amp;M104&amp;SD[[#This Row],[Market Code]]&amp;"; "&amp;N104&amp;SD[[#This Row],[Large Provider Entity Code]]</f>
        <v xml:space="preserve">Insurer Code ; Reporting Year ; Market Code ; Large Provider Entity Code </v>
      </c>
      <c r="K104" s="347" t="s">
        <v>207</v>
      </c>
      <c r="L104" s="347" t="s">
        <v>208</v>
      </c>
      <c r="M104" s="347" t="s">
        <v>237</v>
      </c>
      <c r="N104" s="347" t="s">
        <v>210</v>
      </c>
      <c r="O104" s="347"/>
      <c r="P104" s="347"/>
      <c r="Q104" s="347"/>
      <c r="R104" s="347"/>
      <c r="S104" s="347"/>
      <c r="T104" s="347"/>
      <c r="U104" s="347"/>
      <c r="V104" s="347"/>
      <c r="W104" s="347"/>
      <c r="X104" s="347"/>
    </row>
    <row r="105" spans="1:24" x14ac:dyDescent="0.25">
      <c r="A105" s="311"/>
      <c r="B105" s="321"/>
      <c r="C105" s="321"/>
      <c r="D105" s="321"/>
      <c r="E105" s="322"/>
      <c r="F105" s="489"/>
      <c r="G105" s="489"/>
      <c r="H105" s="313"/>
      <c r="J105" s="39" t="str">
        <f>K105&amp;SD[[#This Row],[Insurer Code]]&amp;"; "&amp;L105&amp;SD[[#This Row],[Reporting Year]]&amp;"; "&amp;M105&amp;SD[[#This Row],[Market Code]]&amp;"; "&amp;N105&amp;SD[[#This Row],[Large Provider Entity Code]]</f>
        <v xml:space="preserve">Insurer Code ; Reporting Year ; Market Code ; Large Provider Entity Code </v>
      </c>
      <c r="K105" s="347" t="s">
        <v>207</v>
      </c>
      <c r="L105" s="347" t="s">
        <v>208</v>
      </c>
      <c r="M105" s="347" t="s">
        <v>237</v>
      </c>
      <c r="N105" s="347" t="s">
        <v>210</v>
      </c>
      <c r="O105" s="347"/>
      <c r="P105" s="347"/>
      <c r="Q105" s="347"/>
      <c r="R105" s="347"/>
      <c r="S105" s="347"/>
      <c r="T105" s="347"/>
      <c r="U105" s="347"/>
      <c r="V105" s="347"/>
      <c r="W105" s="347"/>
      <c r="X105" s="347"/>
    </row>
    <row r="106" spans="1:24" x14ac:dyDescent="0.25">
      <c r="A106" s="311"/>
      <c r="B106" s="321"/>
      <c r="C106" s="321"/>
      <c r="D106" s="321"/>
      <c r="E106" s="322"/>
      <c r="F106" s="489"/>
      <c r="G106" s="489"/>
      <c r="H106" s="313"/>
      <c r="J106" s="39" t="str">
        <f>K106&amp;SD[[#This Row],[Insurer Code]]&amp;"; "&amp;L106&amp;SD[[#This Row],[Reporting Year]]&amp;"; "&amp;M106&amp;SD[[#This Row],[Market Code]]&amp;"; "&amp;N106&amp;SD[[#This Row],[Large Provider Entity Code]]</f>
        <v xml:space="preserve">Insurer Code ; Reporting Year ; Market Code ; Large Provider Entity Code </v>
      </c>
      <c r="K106" s="347" t="s">
        <v>207</v>
      </c>
      <c r="L106" s="347" t="s">
        <v>208</v>
      </c>
      <c r="M106" s="347" t="s">
        <v>237</v>
      </c>
      <c r="N106" s="347" t="s">
        <v>210</v>
      </c>
      <c r="O106" s="347"/>
      <c r="P106" s="347"/>
      <c r="Q106" s="347"/>
      <c r="R106" s="347"/>
      <c r="S106" s="347"/>
      <c r="T106" s="347"/>
      <c r="U106" s="347"/>
      <c r="V106" s="347"/>
      <c r="W106" s="347"/>
      <c r="X106" s="347"/>
    </row>
    <row r="107" spans="1:24" x14ac:dyDescent="0.25">
      <c r="A107" s="311"/>
      <c r="B107" s="458"/>
      <c r="C107" s="458"/>
      <c r="D107" s="458"/>
      <c r="E107" s="459"/>
      <c r="F107" s="460"/>
      <c r="G107" s="461"/>
      <c r="H107" s="313"/>
      <c r="J107" s="39" t="str">
        <f>K107&amp;SD[[#This Row],[Insurer Code]]&amp;"; "&amp;L107&amp;SD[[#This Row],[Reporting Year]]&amp;"; "&amp;M107&amp;SD[[#This Row],[Market Code]]&amp;"; "&amp;N107&amp;SD[[#This Row],[Large Provider Entity Code]]</f>
        <v xml:space="preserve">Insurer Code ; Reporting Year ; Market Code ; Large Provider Entity Code </v>
      </c>
      <c r="K107" s="347" t="s">
        <v>207</v>
      </c>
      <c r="L107" s="347" t="s">
        <v>208</v>
      </c>
      <c r="M107" s="347" t="s">
        <v>237</v>
      </c>
      <c r="N107" s="347" t="s">
        <v>210</v>
      </c>
      <c r="O107" s="347"/>
      <c r="P107" s="347"/>
      <c r="Q107" s="347"/>
      <c r="R107" s="347"/>
      <c r="S107" s="347"/>
      <c r="T107" s="347"/>
      <c r="U107" s="347"/>
      <c r="V107" s="347"/>
      <c r="W107" s="347"/>
      <c r="X107" s="347"/>
    </row>
    <row r="108" spans="1:24" x14ac:dyDescent="0.25">
      <c r="A108" s="311"/>
      <c r="B108" s="479"/>
      <c r="C108" s="479"/>
      <c r="D108" s="479"/>
      <c r="E108" s="479"/>
      <c r="F108" s="487"/>
      <c r="G108" s="461"/>
      <c r="H108" s="313"/>
      <c r="J108" s="39" t="str">
        <f>K108&amp;SD[[#This Row],[Insurer Code]]&amp;"; "&amp;L108&amp;SD[[#This Row],[Reporting Year]]&amp;"; "&amp;M108&amp;SD[[#This Row],[Market Code]]&amp;"; "&amp;N108&amp;SD[[#This Row],[Large Provider Entity Code]]</f>
        <v xml:space="preserve">Insurer Code ; Reporting Year ; Market Code ; Large Provider Entity Code </v>
      </c>
      <c r="K108" s="347" t="s">
        <v>207</v>
      </c>
      <c r="L108" s="347" t="s">
        <v>208</v>
      </c>
      <c r="M108" s="347" t="s">
        <v>237</v>
      </c>
      <c r="N108" s="347" t="s">
        <v>210</v>
      </c>
      <c r="O108" s="347"/>
      <c r="P108" s="347"/>
      <c r="Q108" s="347"/>
      <c r="R108" s="347"/>
      <c r="S108" s="347"/>
      <c r="T108" s="347"/>
      <c r="U108" s="347"/>
      <c r="V108" s="347"/>
      <c r="W108" s="347"/>
      <c r="X108" s="347"/>
    </row>
    <row r="109" spans="1:24" x14ac:dyDescent="0.25">
      <c r="A109" s="311"/>
      <c r="B109" s="479"/>
      <c r="C109" s="479"/>
      <c r="D109" s="479"/>
      <c r="E109" s="479"/>
      <c r="F109" s="487"/>
      <c r="G109" s="461"/>
      <c r="H109" s="313"/>
      <c r="J109" s="39" t="str">
        <f>K109&amp;SD[[#This Row],[Insurer Code]]&amp;"; "&amp;L109&amp;SD[[#This Row],[Reporting Year]]&amp;"; "&amp;M109&amp;SD[[#This Row],[Market Code]]&amp;"; "&amp;N109&amp;SD[[#This Row],[Large Provider Entity Code]]</f>
        <v xml:space="preserve">Insurer Code ; Reporting Year ; Market Code ; Large Provider Entity Code </v>
      </c>
      <c r="K109" s="347" t="s">
        <v>207</v>
      </c>
      <c r="L109" s="347" t="s">
        <v>208</v>
      </c>
      <c r="M109" s="347" t="s">
        <v>237</v>
      </c>
      <c r="N109" s="347" t="s">
        <v>210</v>
      </c>
      <c r="O109" s="347"/>
      <c r="P109" s="347"/>
      <c r="Q109" s="347"/>
      <c r="R109" s="347"/>
      <c r="S109" s="347"/>
      <c r="T109" s="347"/>
      <c r="U109" s="347"/>
      <c r="V109" s="347"/>
      <c r="W109" s="347"/>
      <c r="X109" s="347"/>
    </row>
    <row r="110" spans="1:24" x14ac:dyDescent="0.25">
      <c r="A110" s="311"/>
      <c r="B110" s="321"/>
      <c r="C110" s="321"/>
      <c r="D110" s="321"/>
      <c r="E110" s="322"/>
      <c r="F110" s="490"/>
      <c r="G110" s="490"/>
      <c r="H110" s="313"/>
      <c r="J110" s="39" t="str">
        <f>K110&amp;SD[[#This Row],[Insurer Code]]&amp;"; "&amp;L110&amp;SD[[#This Row],[Reporting Year]]&amp;"; "&amp;M110&amp;SD[[#This Row],[Market Code]]&amp;"; "&amp;N110&amp;SD[[#This Row],[Large Provider Entity Code]]</f>
        <v xml:space="preserve">Insurer Code ; Reporting Year ; Market Code ; Large Provider Entity Code </v>
      </c>
      <c r="K110" s="347" t="s">
        <v>207</v>
      </c>
      <c r="L110" s="347" t="s">
        <v>208</v>
      </c>
      <c r="M110" s="347" t="s">
        <v>237</v>
      </c>
      <c r="N110" s="347" t="s">
        <v>210</v>
      </c>
      <c r="O110" s="347"/>
      <c r="P110" s="347"/>
      <c r="Q110" s="347"/>
      <c r="R110" s="347"/>
      <c r="S110" s="347"/>
      <c r="T110" s="347"/>
      <c r="U110" s="347"/>
      <c r="V110" s="347"/>
      <c r="W110" s="347"/>
      <c r="X110" s="347"/>
    </row>
    <row r="111" spans="1:24" x14ac:dyDescent="0.25">
      <c r="A111" s="311"/>
      <c r="B111" s="321"/>
      <c r="C111" s="321"/>
      <c r="D111" s="321"/>
      <c r="E111" s="322"/>
      <c r="F111" s="489"/>
      <c r="G111" s="489"/>
      <c r="H111" s="313"/>
      <c r="J111" s="39" t="str">
        <f>K111&amp;SD[[#This Row],[Insurer Code]]&amp;"; "&amp;L111&amp;SD[[#This Row],[Reporting Year]]&amp;"; "&amp;M111&amp;SD[[#This Row],[Market Code]]&amp;"; "&amp;N111&amp;SD[[#This Row],[Large Provider Entity Code]]</f>
        <v xml:space="preserve">Insurer Code ; Reporting Year ; Market Code ; Large Provider Entity Code </v>
      </c>
      <c r="K111" s="347" t="s">
        <v>207</v>
      </c>
      <c r="L111" s="347" t="s">
        <v>208</v>
      </c>
      <c r="M111" s="347" t="s">
        <v>237</v>
      </c>
      <c r="N111" s="347" t="s">
        <v>210</v>
      </c>
      <c r="O111" s="347"/>
      <c r="P111" s="347"/>
      <c r="Q111" s="347"/>
      <c r="R111" s="347"/>
      <c r="S111" s="347"/>
      <c r="T111" s="347"/>
      <c r="U111" s="347"/>
      <c r="V111" s="347"/>
      <c r="W111" s="347"/>
      <c r="X111" s="347"/>
    </row>
    <row r="112" spans="1:24" x14ac:dyDescent="0.25">
      <c r="A112" s="311"/>
      <c r="B112" s="458"/>
      <c r="C112" s="458"/>
      <c r="D112" s="321"/>
      <c r="E112" s="459"/>
      <c r="F112" s="460"/>
      <c r="G112" s="461"/>
      <c r="H112" s="313"/>
      <c r="J112" s="39" t="str">
        <f>K112&amp;SD[[#This Row],[Insurer Code]]&amp;"; "&amp;L112&amp;SD[[#This Row],[Reporting Year]]&amp;"; "&amp;M112&amp;SD[[#This Row],[Market Code]]&amp;"; "&amp;N112&amp;SD[[#This Row],[Large Provider Entity Code]]</f>
        <v xml:space="preserve">Insurer Code ; Reporting Year ; Market Code ; Large Provider Entity Code </v>
      </c>
      <c r="K112" s="347" t="s">
        <v>207</v>
      </c>
      <c r="L112" s="347" t="s">
        <v>208</v>
      </c>
      <c r="M112" s="347" t="s">
        <v>237</v>
      </c>
      <c r="N112" s="347" t="s">
        <v>210</v>
      </c>
      <c r="O112" s="347"/>
      <c r="P112" s="347"/>
      <c r="Q112" s="347"/>
      <c r="R112" s="347"/>
      <c r="S112" s="347"/>
      <c r="T112" s="347"/>
      <c r="U112" s="347"/>
      <c r="V112" s="347"/>
      <c r="W112" s="347"/>
      <c r="X112" s="347"/>
    </row>
    <row r="113" spans="1:24" x14ac:dyDescent="0.25">
      <c r="A113" s="311"/>
      <c r="B113" s="458"/>
      <c r="C113" s="458"/>
      <c r="D113" s="321"/>
      <c r="E113" s="459"/>
      <c r="F113" s="460"/>
      <c r="G113" s="461"/>
      <c r="H113" s="313"/>
      <c r="J113" s="39" t="str">
        <f>K113&amp;SD[[#This Row],[Insurer Code]]&amp;"; "&amp;L113&amp;SD[[#This Row],[Reporting Year]]&amp;"; "&amp;M113&amp;SD[[#This Row],[Market Code]]&amp;"; "&amp;N113&amp;SD[[#This Row],[Large Provider Entity Code]]</f>
        <v xml:space="preserve">Insurer Code ; Reporting Year ; Market Code ; Large Provider Entity Code </v>
      </c>
      <c r="K113" s="347" t="s">
        <v>207</v>
      </c>
      <c r="L113" s="347" t="s">
        <v>208</v>
      </c>
      <c r="M113" s="347" t="s">
        <v>237</v>
      </c>
      <c r="N113" s="347" t="s">
        <v>210</v>
      </c>
      <c r="O113" s="347"/>
      <c r="P113" s="347"/>
      <c r="Q113" s="347"/>
      <c r="R113" s="347"/>
      <c r="S113" s="347"/>
      <c r="T113" s="347"/>
      <c r="U113" s="347"/>
      <c r="V113" s="347"/>
      <c r="W113" s="347"/>
      <c r="X113" s="347"/>
    </row>
    <row r="114" spans="1:24" x14ac:dyDescent="0.25">
      <c r="A114" s="311"/>
      <c r="B114" s="458"/>
      <c r="C114" s="458"/>
      <c r="D114" s="321"/>
      <c r="E114" s="459"/>
      <c r="F114" s="460"/>
      <c r="G114" s="461"/>
      <c r="H114" s="313"/>
      <c r="J114" s="39" t="str">
        <f>K114&amp;SD[[#This Row],[Insurer Code]]&amp;"; "&amp;L114&amp;SD[[#This Row],[Reporting Year]]&amp;"; "&amp;M114&amp;SD[[#This Row],[Market Code]]&amp;"; "&amp;N114&amp;SD[[#This Row],[Large Provider Entity Code]]</f>
        <v xml:space="preserve">Insurer Code ; Reporting Year ; Market Code ; Large Provider Entity Code </v>
      </c>
      <c r="K114" s="347" t="s">
        <v>207</v>
      </c>
      <c r="L114" s="347" t="s">
        <v>208</v>
      </c>
      <c r="M114" s="347" t="s">
        <v>237</v>
      </c>
      <c r="N114" s="347" t="s">
        <v>210</v>
      </c>
      <c r="O114" s="347"/>
      <c r="P114" s="347"/>
      <c r="Q114" s="347"/>
      <c r="R114" s="347"/>
      <c r="S114" s="347"/>
      <c r="T114" s="347"/>
      <c r="U114" s="347"/>
      <c r="V114" s="347"/>
      <c r="W114" s="347"/>
      <c r="X114" s="347"/>
    </row>
    <row r="115" spans="1:24" x14ac:dyDescent="0.25">
      <c r="A115" s="311"/>
      <c r="B115" s="479"/>
      <c r="C115" s="479"/>
      <c r="D115" s="321"/>
      <c r="E115" s="479"/>
      <c r="F115" s="487"/>
      <c r="G115" s="461"/>
      <c r="H115" s="313"/>
      <c r="J115" s="39" t="str">
        <f>K115&amp;SD[[#This Row],[Insurer Code]]&amp;"; "&amp;L115&amp;SD[[#This Row],[Reporting Year]]&amp;"; "&amp;M115&amp;SD[[#This Row],[Market Code]]&amp;"; "&amp;N115&amp;SD[[#This Row],[Large Provider Entity Code]]</f>
        <v xml:space="preserve">Insurer Code ; Reporting Year ; Market Code ; Large Provider Entity Code </v>
      </c>
      <c r="K115" s="347" t="s">
        <v>207</v>
      </c>
      <c r="L115" s="347" t="s">
        <v>208</v>
      </c>
      <c r="M115" s="347" t="s">
        <v>237</v>
      </c>
      <c r="N115" s="347" t="s">
        <v>210</v>
      </c>
      <c r="O115" s="347"/>
      <c r="P115" s="347"/>
      <c r="Q115" s="347"/>
      <c r="R115" s="347"/>
      <c r="S115" s="347"/>
      <c r="T115" s="347"/>
      <c r="U115" s="347"/>
      <c r="V115" s="347"/>
      <c r="W115" s="347"/>
      <c r="X115" s="347"/>
    </row>
    <row r="116" spans="1:24" x14ac:dyDescent="0.25">
      <c r="A116" s="311"/>
      <c r="B116" s="321"/>
      <c r="C116" s="321"/>
      <c r="D116" s="321"/>
      <c r="E116" s="322"/>
      <c r="F116" s="490"/>
      <c r="G116" s="490"/>
      <c r="H116" s="313"/>
      <c r="J116" s="39" t="str">
        <f>K116&amp;SD[[#This Row],[Insurer Code]]&amp;"; "&amp;L116&amp;SD[[#This Row],[Reporting Year]]&amp;"; "&amp;M116&amp;SD[[#This Row],[Market Code]]&amp;"; "&amp;N116&amp;SD[[#This Row],[Large Provider Entity Code]]</f>
        <v xml:space="preserve">Insurer Code ; Reporting Year ; Market Code ; Large Provider Entity Code </v>
      </c>
      <c r="K116" s="347" t="s">
        <v>207</v>
      </c>
      <c r="L116" s="347" t="s">
        <v>208</v>
      </c>
      <c r="M116" s="347" t="s">
        <v>237</v>
      </c>
      <c r="N116" s="347" t="s">
        <v>210</v>
      </c>
      <c r="O116" s="347"/>
      <c r="P116" s="347"/>
      <c r="Q116" s="347"/>
      <c r="R116" s="347"/>
      <c r="S116" s="347"/>
      <c r="T116" s="347"/>
      <c r="U116" s="347"/>
      <c r="V116" s="347"/>
      <c r="W116" s="347"/>
      <c r="X116" s="347"/>
    </row>
    <row r="117" spans="1:24" x14ac:dyDescent="0.25">
      <c r="A117" s="311"/>
      <c r="B117" s="321"/>
      <c r="C117" s="321"/>
      <c r="D117" s="321"/>
      <c r="E117" s="322"/>
      <c r="F117" s="489"/>
      <c r="G117" s="489"/>
      <c r="H117" s="313"/>
      <c r="J117" s="39" t="str">
        <f>K117&amp;SD[[#This Row],[Insurer Code]]&amp;"; "&amp;L117&amp;SD[[#This Row],[Reporting Year]]&amp;"; "&amp;M117&amp;SD[[#This Row],[Market Code]]&amp;"; "&amp;N117&amp;SD[[#This Row],[Large Provider Entity Code]]</f>
        <v xml:space="preserve">Insurer Code ; Reporting Year ; Market Code ; Large Provider Entity Code </v>
      </c>
      <c r="K117" s="347" t="s">
        <v>207</v>
      </c>
      <c r="L117" s="347" t="s">
        <v>208</v>
      </c>
      <c r="M117" s="347" t="s">
        <v>237</v>
      </c>
      <c r="N117" s="347" t="s">
        <v>210</v>
      </c>
      <c r="O117" s="347"/>
      <c r="P117" s="347"/>
      <c r="Q117" s="347"/>
      <c r="R117" s="347"/>
      <c r="S117" s="347"/>
      <c r="T117" s="347"/>
      <c r="U117" s="347"/>
      <c r="V117" s="347"/>
      <c r="W117" s="347"/>
      <c r="X117" s="347"/>
    </row>
    <row r="118" spans="1:24" x14ac:dyDescent="0.25">
      <c r="A118" s="311"/>
      <c r="B118" s="321"/>
      <c r="C118" s="321"/>
      <c r="D118" s="321"/>
      <c r="E118" s="322"/>
      <c r="F118" s="489"/>
      <c r="G118" s="489"/>
      <c r="H118" s="313"/>
      <c r="J118" s="39" t="str">
        <f>K118&amp;SD[[#This Row],[Insurer Code]]&amp;"; "&amp;L118&amp;SD[[#This Row],[Reporting Year]]&amp;"; "&amp;M118&amp;SD[[#This Row],[Market Code]]&amp;"; "&amp;N118&amp;SD[[#This Row],[Large Provider Entity Code]]</f>
        <v xml:space="preserve">Insurer Code ; Reporting Year ; Market Code ; Large Provider Entity Code </v>
      </c>
      <c r="K118" s="347" t="s">
        <v>207</v>
      </c>
      <c r="L118" s="347" t="s">
        <v>208</v>
      </c>
      <c r="M118" s="347" t="s">
        <v>237</v>
      </c>
      <c r="N118" s="347" t="s">
        <v>210</v>
      </c>
      <c r="O118" s="347"/>
      <c r="P118" s="347"/>
      <c r="Q118" s="347"/>
      <c r="R118" s="347"/>
      <c r="S118" s="347"/>
      <c r="T118" s="347"/>
      <c r="U118" s="347"/>
      <c r="V118" s="347"/>
      <c r="W118" s="347"/>
      <c r="X118" s="347"/>
    </row>
    <row r="119" spans="1:24" x14ac:dyDescent="0.25">
      <c r="A119" s="311"/>
      <c r="B119" s="458"/>
      <c r="C119" s="458"/>
      <c r="D119" s="321"/>
      <c r="E119" s="459"/>
      <c r="F119" s="460"/>
      <c r="G119" s="461"/>
      <c r="H119" s="313"/>
      <c r="J119" s="39" t="str">
        <f>K119&amp;SD[[#This Row],[Insurer Code]]&amp;"; "&amp;L119&amp;SD[[#This Row],[Reporting Year]]&amp;"; "&amp;M119&amp;SD[[#This Row],[Market Code]]&amp;"; "&amp;N119&amp;SD[[#This Row],[Large Provider Entity Code]]</f>
        <v xml:space="preserve">Insurer Code ; Reporting Year ; Market Code ; Large Provider Entity Code </v>
      </c>
      <c r="K119" s="347" t="s">
        <v>207</v>
      </c>
      <c r="L119" s="347" t="s">
        <v>208</v>
      </c>
      <c r="M119" s="347" t="s">
        <v>237</v>
      </c>
      <c r="N119" s="347" t="s">
        <v>210</v>
      </c>
      <c r="O119" s="347"/>
      <c r="P119" s="347"/>
      <c r="Q119" s="347"/>
      <c r="R119" s="347"/>
      <c r="S119" s="347"/>
      <c r="T119" s="347"/>
      <c r="U119" s="347"/>
      <c r="V119" s="347"/>
      <c r="W119" s="347"/>
      <c r="X119" s="347"/>
    </row>
    <row r="120" spans="1:24" x14ac:dyDescent="0.25">
      <c r="A120" s="311"/>
      <c r="B120" s="458"/>
      <c r="C120" s="458"/>
      <c r="D120" s="321"/>
      <c r="E120" s="459"/>
      <c r="F120" s="460"/>
      <c r="G120" s="461"/>
      <c r="H120" s="313"/>
      <c r="J120" s="39" t="str">
        <f>K120&amp;SD[[#This Row],[Insurer Code]]&amp;"; "&amp;L120&amp;SD[[#This Row],[Reporting Year]]&amp;"; "&amp;M120&amp;SD[[#This Row],[Market Code]]&amp;"; "&amp;N120&amp;SD[[#This Row],[Large Provider Entity Code]]</f>
        <v xml:space="preserve">Insurer Code ; Reporting Year ; Market Code ; Large Provider Entity Code </v>
      </c>
      <c r="K120" s="347" t="s">
        <v>207</v>
      </c>
      <c r="L120" s="347" t="s">
        <v>208</v>
      </c>
      <c r="M120" s="347" t="s">
        <v>237</v>
      </c>
      <c r="N120" s="347" t="s">
        <v>210</v>
      </c>
      <c r="O120" s="347"/>
      <c r="P120" s="347"/>
      <c r="Q120" s="347"/>
      <c r="R120" s="347"/>
      <c r="S120" s="347"/>
      <c r="T120" s="347"/>
      <c r="U120" s="347"/>
      <c r="V120" s="347"/>
      <c r="W120" s="347"/>
      <c r="X120" s="347"/>
    </row>
    <row r="121" spans="1:24" x14ac:dyDescent="0.25">
      <c r="A121" s="311"/>
      <c r="B121" s="458"/>
      <c r="C121" s="458"/>
      <c r="D121" s="321"/>
      <c r="E121" s="459"/>
      <c r="F121" s="460"/>
      <c r="G121" s="461"/>
      <c r="H121" s="313"/>
      <c r="J121" s="39" t="str">
        <f>K121&amp;SD[[#This Row],[Insurer Code]]&amp;"; "&amp;L121&amp;SD[[#This Row],[Reporting Year]]&amp;"; "&amp;M121&amp;SD[[#This Row],[Market Code]]&amp;"; "&amp;N121&amp;SD[[#This Row],[Large Provider Entity Code]]</f>
        <v xml:space="preserve">Insurer Code ; Reporting Year ; Market Code ; Large Provider Entity Code </v>
      </c>
      <c r="K121" s="347" t="s">
        <v>207</v>
      </c>
      <c r="L121" s="347" t="s">
        <v>208</v>
      </c>
      <c r="M121" s="347" t="s">
        <v>237</v>
      </c>
      <c r="N121" s="347" t="s">
        <v>210</v>
      </c>
      <c r="O121" s="347"/>
      <c r="P121" s="347"/>
      <c r="Q121" s="347"/>
      <c r="R121" s="347"/>
      <c r="S121" s="347"/>
      <c r="T121" s="347"/>
      <c r="U121" s="347"/>
      <c r="V121" s="347"/>
      <c r="W121" s="347"/>
      <c r="X121" s="347"/>
    </row>
    <row r="122" spans="1:24" x14ac:dyDescent="0.25">
      <c r="A122" s="311"/>
      <c r="B122" s="458"/>
      <c r="C122" s="458"/>
      <c r="D122" s="321"/>
      <c r="E122" s="459"/>
      <c r="F122" s="460"/>
      <c r="G122" s="461"/>
      <c r="H122" s="313"/>
      <c r="J122" s="39" t="str">
        <f>K122&amp;SD[[#This Row],[Insurer Code]]&amp;"; "&amp;L122&amp;SD[[#This Row],[Reporting Year]]&amp;"; "&amp;M122&amp;SD[[#This Row],[Market Code]]&amp;"; "&amp;N122&amp;SD[[#This Row],[Large Provider Entity Code]]</f>
        <v xml:space="preserve">Insurer Code ; Reporting Year ; Market Code ; Large Provider Entity Code </v>
      </c>
      <c r="K122" s="347" t="s">
        <v>207</v>
      </c>
      <c r="L122" s="347" t="s">
        <v>208</v>
      </c>
      <c r="M122" s="347" t="s">
        <v>237</v>
      </c>
      <c r="N122" s="347" t="s">
        <v>210</v>
      </c>
      <c r="O122" s="347"/>
      <c r="P122" s="347"/>
      <c r="Q122" s="347"/>
      <c r="R122" s="347"/>
      <c r="S122" s="347"/>
      <c r="T122" s="347"/>
      <c r="U122" s="347"/>
      <c r="V122" s="347"/>
      <c r="W122" s="347"/>
      <c r="X122" s="347"/>
    </row>
    <row r="123" spans="1:24" x14ac:dyDescent="0.25">
      <c r="A123" s="311"/>
      <c r="B123" s="479"/>
      <c r="C123" s="479"/>
      <c r="D123" s="321"/>
      <c r="E123" s="479"/>
      <c r="F123" s="487"/>
      <c r="G123" s="461"/>
      <c r="H123" s="313"/>
      <c r="J123" s="39" t="str">
        <f>K123&amp;SD[[#This Row],[Insurer Code]]&amp;"; "&amp;L123&amp;SD[[#This Row],[Reporting Year]]&amp;"; "&amp;M123&amp;SD[[#This Row],[Market Code]]&amp;"; "&amp;N123&amp;SD[[#This Row],[Large Provider Entity Code]]</f>
        <v xml:space="preserve">Insurer Code ; Reporting Year ; Market Code ; Large Provider Entity Code </v>
      </c>
      <c r="K123" s="347" t="s">
        <v>207</v>
      </c>
      <c r="L123" s="347" t="s">
        <v>208</v>
      </c>
      <c r="M123" s="347" t="s">
        <v>237</v>
      </c>
      <c r="N123" s="347" t="s">
        <v>210</v>
      </c>
      <c r="O123" s="347"/>
      <c r="P123" s="347"/>
      <c r="Q123" s="347"/>
      <c r="R123" s="347"/>
      <c r="S123" s="347"/>
      <c r="T123" s="347"/>
      <c r="U123" s="347"/>
      <c r="V123" s="347"/>
      <c r="W123" s="347"/>
      <c r="X123" s="347"/>
    </row>
    <row r="124" spans="1:24" x14ac:dyDescent="0.25">
      <c r="A124" s="311"/>
      <c r="B124" s="479"/>
      <c r="C124" s="479"/>
      <c r="D124" s="321"/>
      <c r="E124" s="479"/>
      <c r="F124" s="487"/>
      <c r="G124" s="461"/>
      <c r="H124" s="313"/>
      <c r="J124" s="39" t="str">
        <f>K124&amp;SD[[#This Row],[Insurer Code]]&amp;"; "&amp;L124&amp;SD[[#This Row],[Reporting Year]]&amp;"; "&amp;M124&amp;SD[[#This Row],[Market Code]]&amp;"; "&amp;N124&amp;SD[[#This Row],[Large Provider Entity Code]]</f>
        <v xml:space="preserve">Insurer Code ; Reporting Year ; Market Code ; Large Provider Entity Code </v>
      </c>
      <c r="K124" s="347" t="s">
        <v>207</v>
      </c>
      <c r="L124" s="347" t="s">
        <v>208</v>
      </c>
      <c r="M124" s="347" t="s">
        <v>237</v>
      </c>
      <c r="N124" s="347" t="s">
        <v>210</v>
      </c>
      <c r="O124" s="347"/>
      <c r="P124" s="347"/>
      <c r="Q124" s="347"/>
      <c r="R124" s="347"/>
      <c r="S124" s="347"/>
      <c r="T124" s="347"/>
      <c r="U124" s="347"/>
      <c r="V124" s="347"/>
      <c r="W124" s="347"/>
      <c r="X124" s="347"/>
    </row>
    <row r="125" spans="1:24" x14ac:dyDescent="0.25">
      <c r="A125" s="311"/>
      <c r="B125" s="321"/>
      <c r="C125" s="321"/>
      <c r="D125" s="321"/>
      <c r="E125" s="322"/>
      <c r="F125" s="490"/>
      <c r="G125" s="490"/>
      <c r="H125" s="313"/>
      <c r="J125" s="39" t="str">
        <f>K125&amp;SD[[#This Row],[Insurer Code]]&amp;"; "&amp;L125&amp;SD[[#This Row],[Reporting Year]]&amp;"; "&amp;M125&amp;SD[[#This Row],[Market Code]]&amp;"; "&amp;N125&amp;SD[[#This Row],[Large Provider Entity Code]]</f>
        <v xml:space="preserve">Insurer Code ; Reporting Year ; Market Code ; Large Provider Entity Code </v>
      </c>
      <c r="K125" s="347" t="s">
        <v>207</v>
      </c>
      <c r="L125" s="347" t="s">
        <v>208</v>
      </c>
      <c r="M125" s="347" t="s">
        <v>237</v>
      </c>
      <c r="N125" s="347" t="s">
        <v>210</v>
      </c>
      <c r="O125" s="347"/>
      <c r="P125" s="347"/>
      <c r="Q125" s="347"/>
      <c r="R125" s="347"/>
      <c r="S125" s="347"/>
      <c r="T125" s="347"/>
      <c r="U125" s="347"/>
      <c r="V125" s="347"/>
      <c r="W125" s="347"/>
      <c r="X125" s="347"/>
    </row>
    <row r="126" spans="1:24" x14ac:dyDescent="0.25">
      <c r="A126" s="311"/>
      <c r="B126" s="321"/>
      <c r="C126" s="321"/>
      <c r="D126" s="321"/>
      <c r="E126" s="322"/>
      <c r="F126" s="489"/>
      <c r="G126" s="489"/>
      <c r="H126" s="313"/>
      <c r="J126" s="39" t="str">
        <f>K126&amp;SD[[#This Row],[Insurer Code]]&amp;"; "&amp;L126&amp;SD[[#This Row],[Reporting Year]]&amp;"; "&amp;M126&amp;SD[[#This Row],[Market Code]]&amp;"; "&amp;N126&amp;SD[[#This Row],[Large Provider Entity Code]]</f>
        <v xml:space="preserve">Insurer Code ; Reporting Year ; Market Code ; Large Provider Entity Code </v>
      </c>
      <c r="K126" s="347" t="s">
        <v>207</v>
      </c>
      <c r="L126" s="347" t="s">
        <v>208</v>
      </c>
      <c r="M126" s="347" t="s">
        <v>237</v>
      </c>
      <c r="N126" s="347" t="s">
        <v>210</v>
      </c>
      <c r="O126" s="347"/>
      <c r="P126" s="347"/>
      <c r="Q126" s="347"/>
      <c r="R126" s="347"/>
      <c r="S126" s="347"/>
      <c r="T126" s="347"/>
      <c r="U126" s="347"/>
      <c r="V126" s="347"/>
      <c r="W126" s="347"/>
      <c r="X126" s="347"/>
    </row>
    <row r="127" spans="1:24" x14ac:dyDescent="0.25">
      <c r="A127" s="311"/>
      <c r="B127" s="458"/>
      <c r="C127" s="458"/>
      <c r="D127" s="458"/>
      <c r="E127" s="459"/>
      <c r="F127" s="460"/>
      <c r="G127" s="461"/>
      <c r="H127" s="313"/>
      <c r="J127" s="39" t="str">
        <f>K127&amp;SD[[#This Row],[Insurer Code]]&amp;"; "&amp;L127&amp;SD[[#This Row],[Reporting Year]]&amp;"; "&amp;M127&amp;SD[[#This Row],[Market Code]]&amp;"; "&amp;N127&amp;SD[[#This Row],[Large Provider Entity Code]]</f>
        <v xml:space="preserve">Insurer Code ; Reporting Year ; Market Code ; Large Provider Entity Code </v>
      </c>
      <c r="K127" s="347" t="s">
        <v>207</v>
      </c>
      <c r="L127" s="347" t="s">
        <v>208</v>
      </c>
      <c r="M127" s="347" t="s">
        <v>237</v>
      </c>
      <c r="N127" s="347" t="s">
        <v>210</v>
      </c>
      <c r="O127" s="347"/>
      <c r="P127" s="347"/>
      <c r="Q127" s="347"/>
      <c r="R127" s="347"/>
      <c r="S127" s="347"/>
      <c r="T127" s="347"/>
      <c r="U127" s="347"/>
      <c r="V127" s="347"/>
      <c r="W127" s="347"/>
      <c r="X127" s="347"/>
    </row>
    <row r="128" spans="1:24" x14ac:dyDescent="0.25">
      <c r="A128" s="311"/>
      <c r="B128" s="458"/>
      <c r="C128" s="458"/>
      <c r="D128" s="458"/>
      <c r="E128" s="459"/>
      <c r="F128" s="460"/>
      <c r="G128" s="461"/>
      <c r="H128" s="313"/>
      <c r="J128" s="39" t="str">
        <f>K128&amp;SD[[#This Row],[Insurer Code]]&amp;"; "&amp;L128&amp;SD[[#This Row],[Reporting Year]]&amp;"; "&amp;M128&amp;SD[[#This Row],[Market Code]]&amp;"; "&amp;N128&amp;SD[[#This Row],[Large Provider Entity Code]]</f>
        <v xml:space="preserve">Insurer Code ; Reporting Year ; Market Code ; Large Provider Entity Code </v>
      </c>
      <c r="K128" s="347" t="s">
        <v>207</v>
      </c>
      <c r="L128" s="347" t="s">
        <v>208</v>
      </c>
      <c r="M128" s="347" t="s">
        <v>237</v>
      </c>
      <c r="N128" s="347" t="s">
        <v>210</v>
      </c>
      <c r="O128" s="347"/>
      <c r="P128" s="347"/>
      <c r="Q128" s="347"/>
      <c r="R128" s="347"/>
      <c r="S128" s="347"/>
      <c r="T128" s="347"/>
      <c r="U128" s="347"/>
      <c r="V128" s="347"/>
      <c r="W128" s="347"/>
      <c r="X128" s="347"/>
    </row>
    <row r="129" spans="1:24" x14ac:dyDescent="0.25">
      <c r="A129" s="311"/>
      <c r="B129" s="458"/>
      <c r="C129" s="458"/>
      <c r="D129" s="458"/>
      <c r="E129" s="459"/>
      <c r="F129" s="460"/>
      <c r="G129" s="461"/>
      <c r="H129" s="313"/>
      <c r="J129" s="39" t="str">
        <f>K129&amp;SD[[#This Row],[Insurer Code]]&amp;"; "&amp;L129&amp;SD[[#This Row],[Reporting Year]]&amp;"; "&amp;M129&amp;SD[[#This Row],[Market Code]]&amp;"; "&amp;N129&amp;SD[[#This Row],[Large Provider Entity Code]]</f>
        <v xml:space="preserve">Insurer Code ; Reporting Year ; Market Code ; Large Provider Entity Code </v>
      </c>
      <c r="K129" s="347" t="s">
        <v>207</v>
      </c>
      <c r="L129" s="347" t="s">
        <v>208</v>
      </c>
      <c r="M129" s="347" t="s">
        <v>237</v>
      </c>
      <c r="N129" s="347" t="s">
        <v>210</v>
      </c>
      <c r="O129" s="347"/>
      <c r="P129" s="347"/>
      <c r="Q129" s="347"/>
      <c r="R129" s="347"/>
      <c r="S129" s="347"/>
      <c r="T129" s="347"/>
      <c r="U129" s="347"/>
      <c r="V129" s="347"/>
      <c r="W129" s="347"/>
      <c r="X129" s="347"/>
    </row>
    <row r="130" spans="1:24" x14ac:dyDescent="0.25">
      <c r="A130" s="311"/>
      <c r="B130" s="458"/>
      <c r="C130" s="458"/>
      <c r="D130" s="458"/>
      <c r="E130" s="459"/>
      <c r="F130" s="460"/>
      <c r="G130" s="461"/>
      <c r="H130" s="313"/>
      <c r="J130" s="39" t="str">
        <f>K130&amp;SD[[#This Row],[Insurer Code]]&amp;"; "&amp;L130&amp;SD[[#This Row],[Reporting Year]]&amp;"; "&amp;M130&amp;SD[[#This Row],[Market Code]]&amp;"; "&amp;N130&amp;SD[[#This Row],[Large Provider Entity Code]]</f>
        <v xml:space="preserve">Insurer Code ; Reporting Year ; Market Code ; Large Provider Entity Code </v>
      </c>
      <c r="K130" s="347" t="s">
        <v>207</v>
      </c>
      <c r="L130" s="347" t="s">
        <v>208</v>
      </c>
      <c r="M130" s="347" t="s">
        <v>237</v>
      </c>
      <c r="N130" s="347" t="s">
        <v>210</v>
      </c>
      <c r="O130" s="347"/>
      <c r="P130" s="347"/>
      <c r="Q130" s="347"/>
      <c r="R130" s="347"/>
      <c r="S130" s="347"/>
      <c r="T130" s="347"/>
      <c r="U130" s="347"/>
      <c r="V130" s="347"/>
      <c r="W130" s="347"/>
      <c r="X130" s="347"/>
    </row>
    <row r="131" spans="1:24" x14ac:dyDescent="0.25">
      <c r="A131" s="311"/>
      <c r="B131" s="479"/>
      <c r="C131" s="479"/>
      <c r="D131" s="479"/>
      <c r="E131" s="479"/>
      <c r="F131" s="487"/>
      <c r="G131" s="461"/>
      <c r="H131" s="313"/>
      <c r="J131" s="39" t="str">
        <f>K131&amp;SD[[#This Row],[Insurer Code]]&amp;"; "&amp;L131&amp;SD[[#This Row],[Reporting Year]]&amp;"; "&amp;M131&amp;SD[[#This Row],[Market Code]]&amp;"; "&amp;N131&amp;SD[[#This Row],[Large Provider Entity Code]]</f>
        <v xml:space="preserve">Insurer Code ; Reporting Year ; Market Code ; Large Provider Entity Code </v>
      </c>
      <c r="K131" s="347" t="s">
        <v>207</v>
      </c>
      <c r="L131" s="347" t="s">
        <v>208</v>
      </c>
      <c r="M131" s="347" t="s">
        <v>237</v>
      </c>
      <c r="N131" s="347" t="s">
        <v>210</v>
      </c>
      <c r="O131" s="347"/>
      <c r="P131" s="347"/>
      <c r="Q131" s="347"/>
      <c r="R131" s="347"/>
      <c r="S131" s="347"/>
      <c r="T131" s="347"/>
      <c r="U131" s="347"/>
      <c r="V131" s="347"/>
      <c r="W131" s="347"/>
      <c r="X131" s="347"/>
    </row>
    <row r="132" spans="1:24" x14ac:dyDescent="0.25">
      <c r="A132" s="311"/>
      <c r="B132" s="462"/>
      <c r="C132" s="462"/>
      <c r="D132" s="462"/>
      <c r="E132" s="463"/>
      <c r="F132" s="464"/>
      <c r="G132" s="465"/>
      <c r="H132" s="313"/>
      <c r="J132" s="39" t="str">
        <f>K132&amp;SD[[#This Row],[Insurer Code]]&amp;"; "&amp;L132&amp;SD[[#This Row],[Reporting Year]]&amp;"; "&amp;M132&amp;SD[[#This Row],[Market Code]]&amp;"; "&amp;N132&amp;SD[[#This Row],[Large Provider Entity Code]]</f>
        <v xml:space="preserve">Insurer Code ; Reporting Year ; Market Code ; Large Provider Entity Code </v>
      </c>
      <c r="K132" s="347" t="s">
        <v>207</v>
      </c>
      <c r="L132" s="347" t="s">
        <v>208</v>
      </c>
      <c r="M132" s="347" t="s">
        <v>237</v>
      </c>
      <c r="N132" s="347" t="s">
        <v>210</v>
      </c>
      <c r="O132" s="347"/>
      <c r="P132" s="347"/>
      <c r="Q132" s="347"/>
      <c r="R132" s="347"/>
    </row>
    <row r="133" spans="1:24" x14ac:dyDescent="0.25">
      <c r="A133" s="311"/>
      <c r="B133" s="478"/>
      <c r="C133" s="478"/>
      <c r="D133" s="478"/>
      <c r="E133" s="481"/>
      <c r="F133" s="491"/>
      <c r="G133" s="494"/>
      <c r="H133" s="313"/>
      <c r="J133" s="39" t="str">
        <f>K133&amp;SD[[#This Row],[Insurer Code]]&amp;"; "&amp;L133&amp;SD[[#This Row],[Reporting Year]]&amp;"; "&amp;M133&amp;SD[[#This Row],[Market Code]]&amp;"; "&amp;N133&amp;SD[[#This Row],[Large Provider Entity Code]]</f>
        <v xml:space="preserve">Insurer Code ; Reporting Year ; Market Code ; Large Provider Entity Code </v>
      </c>
      <c r="K133" s="347" t="s">
        <v>207</v>
      </c>
      <c r="L133" s="347" t="s">
        <v>208</v>
      </c>
      <c r="M133" s="347" t="s">
        <v>237</v>
      </c>
      <c r="N133" s="347" t="s">
        <v>210</v>
      </c>
      <c r="O133" s="347"/>
      <c r="P133" s="347"/>
      <c r="Q133" s="347"/>
      <c r="R133" s="347"/>
    </row>
    <row r="134" spans="1:24" x14ac:dyDescent="0.25">
      <c r="A134" s="311"/>
      <c r="B134" s="478"/>
      <c r="C134" s="478"/>
      <c r="D134" s="478"/>
      <c r="E134" s="481"/>
      <c r="F134" s="485"/>
      <c r="G134" s="493"/>
      <c r="H134" s="313"/>
      <c r="J134" s="39" t="str">
        <f>K134&amp;SD[[#This Row],[Insurer Code]]&amp;"; "&amp;L134&amp;SD[[#This Row],[Reporting Year]]&amp;"; "&amp;M134&amp;SD[[#This Row],[Market Code]]&amp;"; "&amp;N134&amp;SD[[#This Row],[Large Provider Entity Code]]</f>
        <v xml:space="preserve">Insurer Code ; Reporting Year ; Market Code ; Large Provider Entity Code </v>
      </c>
      <c r="K134" s="347" t="s">
        <v>207</v>
      </c>
      <c r="L134" s="347" t="s">
        <v>208</v>
      </c>
      <c r="M134" s="347" t="s">
        <v>237</v>
      </c>
      <c r="N134" s="347" t="s">
        <v>210</v>
      </c>
      <c r="O134" s="347"/>
      <c r="P134" s="347"/>
      <c r="Q134" s="347"/>
      <c r="R134" s="347"/>
    </row>
    <row r="135" spans="1:24" x14ac:dyDescent="0.25">
      <c r="A135" s="311"/>
      <c r="B135" s="480"/>
      <c r="C135" s="480"/>
      <c r="D135" s="480"/>
      <c r="E135" s="483"/>
      <c r="F135" s="488"/>
      <c r="G135" s="465"/>
      <c r="H135" s="313"/>
      <c r="J135" s="39" t="str">
        <f>K135&amp;SD[[#This Row],[Insurer Code]]&amp;"; "&amp;L135&amp;SD[[#This Row],[Reporting Year]]&amp;"; "&amp;M135&amp;SD[[#This Row],[Market Code]]&amp;"; "&amp;N135&amp;SD[[#This Row],[Large Provider Entity Code]]</f>
        <v xml:space="preserve">Insurer Code ; Reporting Year ; Market Code ; Large Provider Entity Code </v>
      </c>
      <c r="K135" s="347" t="s">
        <v>207</v>
      </c>
      <c r="L135" s="347" t="s">
        <v>208</v>
      </c>
      <c r="M135" s="347" t="s">
        <v>237</v>
      </c>
      <c r="N135" s="347" t="s">
        <v>210</v>
      </c>
      <c r="O135" s="347"/>
      <c r="P135" s="347"/>
      <c r="Q135" s="347"/>
      <c r="R135" s="347"/>
    </row>
    <row r="136" spans="1:24" x14ac:dyDescent="0.25">
      <c r="A136" s="311"/>
      <c r="B136" s="480"/>
      <c r="C136" s="480"/>
      <c r="D136" s="480"/>
      <c r="E136" s="483"/>
      <c r="F136" s="488"/>
      <c r="G136" s="465"/>
      <c r="H136" s="313"/>
      <c r="J136" s="39" t="str">
        <f>K136&amp;SD[[#This Row],[Insurer Code]]&amp;"; "&amp;L136&amp;SD[[#This Row],[Reporting Year]]&amp;"; "&amp;M136&amp;SD[[#This Row],[Market Code]]&amp;"; "&amp;N136&amp;SD[[#This Row],[Large Provider Entity Code]]</f>
        <v xml:space="preserve">Insurer Code ; Reporting Year ; Market Code ; Large Provider Entity Code </v>
      </c>
      <c r="K136" s="347" t="s">
        <v>207</v>
      </c>
      <c r="L136" s="347" t="s">
        <v>208</v>
      </c>
      <c r="M136" s="347" t="s">
        <v>237</v>
      </c>
      <c r="N136" s="347" t="s">
        <v>210</v>
      </c>
      <c r="O136" s="347"/>
      <c r="P136" s="347"/>
      <c r="Q136" s="347"/>
      <c r="R136" s="347"/>
    </row>
    <row r="137" spans="1:24" x14ac:dyDescent="0.25">
      <c r="A137" s="311"/>
      <c r="B137" s="480"/>
      <c r="C137" s="480"/>
      <c r="D137" s="480"/>
      <c r="E137" s="483"/>
      <c r="F137" s="488"/>
      <c r="G137" s="465"/>
      <c r="H137" s="313"/>
      <c r="J137" s="39" t="str">
        <f>K137&amp;SD[[#This Row],[Insurer Code]]&amp;"; "&amp;L137&amp;SD[[#This Row],[Reporting Year]]&amp;"; "&amp;M137&amp;SD[[#This Row],[Market Code]]&amp;"; "&amp;N137&amp;SD[[#This Row],[Large Provider Entity Code]]</f>
        <v xml:space="preserve">Insurer Code ; Reporting Year ; Market Code ; Large Provider Entity Code </v>
      </c>
      <c r="K137" s="347" t="s">
        <v>207</v>
      </c>
      <c r="L137" s="347" t="s">
        <v>208</v>
      </c>
      <c r="M137" s="347" t="s">
        <v>237</v>
      </c>
      <c r="N137" s="347" t="s">
        <v>210</v>
      </c>
      <c r="O137" s="347"/>
      <c r="P137" s="347"/>
      <c r="Q137" s="347"/>
      <c r="R137" s="347"/>
    </row>
    <row r="138" spans="1:24" x14ac:dyDescent="0.25">
      <c r="A138" s="311"/>
      <c r="B138" s="480"/>
      <c r="C138" s="480"/>
      <c r="D138" s="480"/>
      <c r="E138" s="483"/>
      <c r="F138" s="488"/>
      <c r="G138" s="465"/>
      <c r="H138" s="313"/>
      <c r="J138" s="39" t="str">
        <f>K138&amp;SD[[#This Row],[Insurer Code]]&amp;"; "&amp;L138&amp;SD[[#This Row],[Reporting Year]]&amp;"; "&amp;M138&amp;SD[[#This Row],[Market Code]]&amp;"; "&amp;N138&amp;SD[[#This Row],[Large Provider Entity Code]]</f>
        <v xml:space="preserve">Insurer Code ; Reporting Year ; Market Code ; Large Provider Entity Code </v>
      </c>
      <c r="K138" s="347" t="s">
        <v>207</v>
      </c>
      <c r="L138" s="347" t="s">
        <v>208</v>
      </c>
      <c r="M138" s="347" t="s">
        <v>237</v>
      </c>
      <c r="N138" s="347" t="s">
        <v>210</v>
      </c>
      <c r="O138" s="347"/>
      <c r="P138" s="347"/>
      <c r="Q138" s="347"/>
      <c r="R138" s="347"/>
    </row>
    <row r="139" spans="1:24" x14ac:dyDescent="0.25">
      <c r="A139" s="311"/>
      <c r="B139" s="480"/>
      <c r="C139" s="480"/>
      <c r="D139" s="480"/>
      <c r="E139" s="483"/>
      <c r="F139" s="488"/>
      <c r="G139" s="465"/>
      <c r="H139" s="313"/>
      <c r="J139" s="39" t="str">
        <f>K139&amp;SD[[#This Row],[Insurer Code]]&amp;"; "&amp;L139&amp;SD[[#This Row],[Reporting Year]]&amp;"; "&amp;M139&amp;SD[[#This Row],[Market Code]]&amp;"; "&amp;N139&amp;SD[[#This Row],[Large Provider Entity Code]]</f>
        <v xml:space="preserve">Insurer Code ; Reporting Year ; Market Code ; Large Provider Entity Code </v>
      </c>
      <c r="K139" s="347" t="s">
        <v>207</v>
      </c>
      <c r="L139" s="347" t="s">
        <v>208</v>
      </c>
      <c r="M139" s="347" t="s">
        <v>237</v>
      </c>
      <c r="N139" s="347" t="s">
        <v>210</v>
      </c>
      <c r="O139" s="347"/>
      <c r="P139" s="347"/>
      <c r="Q139" s="347"/>
      <c r="R139" s="347"/>
    </row>
    <row r="140" spans="1:24" x14ac:dyDescent="0.25">
      <c r="A140" s="311"/>
      <c r="B140" s="462"/>
      <c r="C140" s="462"/>
      <c r="D140" s="462"/>
      <c r="E140" s="463"/>
      <c r="F140" s="464"/>
      <c r="G140" s="465"/>
      <c r="H140" s="313"/>
      <c r="J140" s="39" t="str">
        <f>K140&amp;SD[[#This Row],[Insurer Code]]&amp;"; "&amp;L140&amp;SD[[#This Row],[Reporting Year]]&amp;"; "&amp;M140&amp;SD[[#This Row],[Market Code]]&amp;"; "&amp;N140&amp;SD[[#This Row],[Large Provider Entity Code]]</f>
        <v xml:space="preserve">Insurer Code ; Reporting Year ; Market Code ; Large Provider Entity Code </v>
      </c>
      <c r="K140" s="347" t="s">
        <v>207</v>
      </c>
      <c r="L140" s="347" t="s">
        <v>208</v>
      </c>
      <c r="M140" s="347" t="s">
        <v>237</v>
      </c>
      <c r="N140" s="347" t="s">
        <v>210</v>
      </c>
      <c r="O140" s="347"/>
      <c r="P140" s="347"/>
      <c r="Q140" s="347"/>
      <c r="R140" s="347"/>
    </row>
    <row r="141" spans="1:24" x14ac:dyDescent="0.25">
      <c r="A141" s="311"/>
      <c r="B141" s="462"/>
      <c r="C141" s="462"/>
      <c r="D141" s="462"/>
      <c r="E141" s="463"/>
      <c r="F141" s="464"/>
      <c r="G141" s="465"/>
      <c r="H141" s="313"/>
      <c r="J141" s="39" t="str">
        <f>K141&amp;SD[[#This Row],[Insurer Code]]&amp;"; "&amp;L141&amp;SD[[#This Row],[Reporting Year]]&amp;"; "&amp;M141&amp;SD[[#This Row],[Market Code]]&amp;"; "&amp;N141&amp;SD[[#This Row],[Large Provider Entity Code]]</f>
        <v xml:space="preserve">Insurer Code ; Reporting Year ; Market Code ; Large Provider Entity Code </v>
      </c>
      <c r="K141" s="347" t="s">
        <v>207</v>
      </c>
      <c r="L141" s="347" t="s">
        <v>208</v>
      </c>
      <c r="M141" s="347" t="s">
        <v>237</v>
      </c>
      <c r="N141" s="347" t="s">
        <v>210</v>
      </c>
      <c r="O141" s="347"/>
      <c r="P141" s="347"/>
      <c r="Q141" s="347"/>
      <c r="R141" s="347"/>
    </row>
    <row r="142" spans="1:24" x14ac:dyDescent="0.25">
      <c r="A142" s="311"/>
      <c r="B142" s="478"/>
      <c r="C142" s="478"/>
      <c r="D142" s="478"/>
      <c r="E142" s="481"/>
      <c r="F142" s="491"/>
      <c r="G142" s="494"/>
      <c r="H142" s="313"/>
      <c r="J142" s="39" t="str">
        <f>K142&amp;SD[[#This Row],[Insurer Code]]&amp;"; "&amp;L142&amp;SD[[#This Row],[Reporting Year]]&amp;"; "&amp;M142&amp;SD[[#This Row],[Market Code]]&amp;"; "&amp;N142&amp;SD[[#This Row],[Large Provider Entity Code]]</f>
        <v xml:space="preserve">Insurer Code ; Reporting Year ; Market Code ; Large Provider Entity Code </v>
      </c>
      <c r="K142" s="347" t="s">
        <v>207</v>
      </c>
      <c r="L142" s="347" t="s">
        <v>208</v>
      </c>
      <c r="M142" s="347" t="s">
        <v>237</v>
      </c>
      <c r="N142" s="347" t="s">
        <v>210</v>
      </c>
      <c r="O142" s="347"/>
      <c r="P142" s="347"/>
      <c r="Q142" s="347"/>
      <c r="R142" s="347"/>
    </row>
    <row r="143" spans="1:24" x14ac:dyDescent="0.25">
      <c r="A143" s="311"/>
      <c r="B143" s="480"/>
      <c r="C143" s="480"/>
      <c r="D143" s="478"/>
      <c r="E143" s="483"/>
      <c r="F143" s="488"/>
      <c r="G143" s="465"/>
      <c r="H143" s="313"/>
      <c r="J143" s="39" t="str">
        <f>K143&amp;SD[[#This Row],[Insurer Code]]&amp;"; "&amp;L143&amp;SD[[#This Row],[Reporting Year]]&amp;"; "&amp;M143&amp;SD[[#This Row],[Market Code]]&amp;"; "&amp;N143&amp;SD[[#This Row],[Large Provider Entity Code]]</f>
        <v xml:space="preserve">Insurer Code ; Reporting Year ; Market Code ; Large Provider Entity Code </v>
      </c>
      <c r="K143" s="347" t="s">
        <v>207</v>
      </c>
      <c r="L143" s="347" t="s">
        <v>208</v>
      </c>
      <c r="M143" s="347" t="s">
        <v>237</v>
      </c>
      <c r="N143" s="347" t="s">
        <v>210</v>
      </c>
      <c r="O143" s="347"/>
      <c r="P143" s="347"/>
      <c r="Q143" s="347"/>
      <c r="R143" s="347"/>
    </row>
    <row r="144" spans="1:24" x14ac:dyDescent="0.25">
      <c r="A144" s="311"/>
      <c r="B144" s="480"/>
      <c r="C144" s="480"/>
      <c r="D144" s="478"/>
      <c r="E144" s="483"/>
      <c r="F144" s="488"/>
      <c r="G144" s="465"/>
      <c r="H144" s="313"/>
      <c r="J144" s="39" t="str">
        <f>K144&amp;SD[[#This Row],[Insurer Code]]&amp;"; "&amp;L144&amp;SD[[#This Row],[Reporting Year]]&amp;"; "&amp;M144&amp;SD[[#This Row],[Market Code]]&amp;"; "&amp;N144&amp;SD[[#This Row],[Large Provider Entity Code]]</f>
        <v xml:space="preserve">Insurer Code ; Reporting Year ; Market Code ; Large Provider Entity Code </v>
      </c>
      <c r="K144" s="347" t="s">
        <v>207</v>
      </c>
      <c r="L144" s="347" t="s">
        <v>208</v>
      </c>
      <c r="M144" s="347" t="s">
        <v>237</v>
      </c>
      <c r="N144" s="347" t="s">
        <v>210</v>
      </c>
      <c r="O144" s="347"/>
      <c r="P144" s="347"/>
      <c r="Q144" s="347"/>
      <c r="R144" s="347"/>
    </row>
    <row r="145" spans="1:18" x14ac:dyDescent="0.25">
      <c r="A145" s="311"/>
      <c r="B145" s="480"/>
      <c r="C145" s="480"/>
      <c r="D145" s="478"/>
      <c r="E145" s="483"/>
      <c r="F145" s="488"/>
      <c r="G145" s="465"/>
      <c r="H145" s="313"/>
      <c r="J145" s="39" t="str">
        <f>K145&amp;SD[[#This Row],[Insurer Code]]&amp;"; "&amp;L145&amp;SD[[#This Row],[Reporting Year]]&amp;"; "&amp;M145&amp;SD[[#This Row],[Market Code]]&amp;"; "&amp;N145&amp;SD[[#This Row],[Large Provider Entity Code]]</f>
        <v xml:space="preserve">Insurer Code ; Reporting Year ; Market Code ; Large Provider Entity Code </v>
      </c>
      <c r="K145" s="347" t="s">
        <v>207</v>
      </c>
      <c r="L145" s="347" t="s">
        <v>208</v>
      </c>
      <c r="M145" s="347" t="s">
        <v>237</v>
      </c>
      <c r="N145" s="347" t="s">
        <v>210</v>
      </c>
      <c r="O145" s="347"/>
      <c r="P145" s="347"/>
      <c r="Q145" s="347"/>
      <c r="R145" s="347"/>
    </row>
    <row r="146" spans="1:18" x14ac:dyDescent="0.25">
      <c r="A146" s="311"/>
      <c r="B146" s="480"/>
      <c r="C146" s="480"/>
      <c r="D146" s="478"/>
      <c r="E146" s="483"/>
      <c r="F146" s="488"/>
      <c r="G146" s="465"/>
      <c r="H146" s="313"/>
      <c r="J146" s="39" t="str">
        <f>K146&amp;SD[[#This Row],[Insurer Code]]&amp;"; "&amp;L146&amp;SD[[#This Row],[Reporting Year]]&amp;"; "&amp;M146&amp;SD[[#This Row],[Market Code]]&amp;"; "&amp;N146&amp;SD[[#This Row],[Large Provider Entity Code]]</f>
        <v xml:space="preserve">Insurer Code ; Reporting Year ; Market Code ; Large Provider Entity Code </v>
      </c>
      <c r="K146" s="347" t="s">
        <v>207</v>
      </c>
      <c r="L146" s="347" t="s">
        <v>208</v>
      </c>
      <c r="M146" s="347" t="s">
        <v>237</v>
      </c>
      <c r="N146" s="347" t="s">
        <v>210</v>
      </c>
      <c r="O146" s="347"/>
      <c r="P146" s="347"/>
      <c r="Q146" s="347"/>
      <c r="R146" s="347"/>
    </row>
    <row r="147" spans="1:18" x14ac:dyDescent="0.25">
      <c r="A147" s="311"/>
      <c r="B147" s="462"/>
      <c r="C147" s="462"/>
      <c r="D147" s="478"/>
      <c r="E147" s="463"/>
      <c r="F147" s="464"/>
      <c r="G147" s="465"/>
      <c r="H147" s="313"/>
      <c r="J147" s="39" t="str">
        <f>K147&amp;SD[[#This Row],[Insurer Code]]&amp;"; "&amp;L147&amp;SD[[#This Row],[Reporting Year]]&amp;"; "&amp;M147&amp;SD[[#This Row],[Market Code]]&amp;"; "&amp;N147&amp;SD[[#This Row],[Large Provider Entity Code]]</f>
        <v xml:space="preserve">Insurer Code ; Reporting Year ; Market Code ; Large Provider Entity Code </v>
      </c>
      <c r="K147" s="347" t="s">
        <v>207</v>
      </c>
      <c r="L147" s="347" t="s">
        <v>208</v>
      </c>
      <c r="M147" s="347" t="s">
        <v>237</v>
      </c>
      <c r="N147" s="347" t="s">
        <v>210</v>
      </c>
      <c r="O147" s="347"/>
      <c r="P147" s="347"/>
      <c r="Q147" s="347"/>
      <c r="R147" s="347"/>
    </row>
    <row r="148" spans="1:18" x14ac:dyDescent="0.25">
      <c r="A148" s="311"/>
      <c r="B148" s="478"/>
      <c r="C148" s="478"/>
      <c r="D148" s="478"/>
      <c r="E148" s="481"/>
      <c r="F148" s="491"/>
      <c r="G148" s="494"/>
      <c r="H148" s="313"/>
      <c r="J148" s="39" t="str">
        <f>K148&amp;SD[[#This Row],[Insurer Code]]&amp;"; "&amp;L148&amp;SD[[#This Row],[Reporting Year]]&amp;"; "&amp;M148&amp;SD[[#This Row],[Market Code]]&amp;"; "&amp;N148&amp;SD[[#This Row],[Large Provider Entity Code]]</f>
        <v xml:space="preserve">Insurer Code ; Reporting Year ; Market Code ; Large Provider Entity Code </v>
      </c>
      <c r="K148" s="347" t="s">
        <v>207</v>
      </c>
      <c r="L148" s="347" t="s">
        <v>208</v>
      </c>
      <c r="M148" s="347" t="s">
        <v>237</v>
      </c>
      <c r="N148" s="347" t="s">
        <v>210</v>
      </c>
      <c r="O148" s="347"/>
      <c r="P148" s="347"/>
      <c r="Q148" s="347"/>
      <c r="R148" s="347"/>
    </row>
    <row r="149" spans="1:18" x14ac:dyDescent="0.25">
      <c r="A149" s="311"/>
      <c r="B149" s="478"/>
      <c r="C149" s="478"/>
      <c r="D149" s="478"/>
      <c r="E149" s="481"/>
      <c r="F149" s="485"/>
      <c r="G149" s="493"/>
      <c r="H149" s="313"/>
      <c r="J149" s="39" t="str">
        <f>K149&amp;SD[[#This Row],[Insurer Code]]&amp;"; "&amp;L149&amp;SD[[#This Row],[Reporting Year]]&amp;"; "&amp;M149&amp;SD[[#This Row],[Market Code]]&amp;"; "&amp;N149&amp;SD[[#This Row],[Large Provider Entity Code]]</f>
        <v xml:space="preserve">Insurer Code ; Reporting Year ; Market Code ; Large Provider Entity Code </v>
      </c>
      <c r="K149" s="347" t="s">
        <v>207</v>
      </c>
      <c r="L149" s="347" t="s">
        <v>208</v>
      </c>
      <c r="M149" s="347" t="s">
        <v>237</v>
      </c>
      <c r="N149" s="347" t="s">
        <v>210</v>
      </c>
      <c r="O149" s="347"/>
      <c r="P149" s="347"/>
      <c r="Q149" s="347"/>
      <c r="R149" s="347"/>
    </row>
    <row r="150" spans="1:18" x14ac:dyDescent="0.25">
      <c r="A150" s="311"/>
      <c r="B150" s="480"/>
      <c r="C150" s="480"/>
      <c r="D150" s="480"/>
      <c r="E150" s="483"/>
      <c r="F150" s="488"/>
      <c r="G150" s="465"/>
      <c r="H150" s="313"/>
      <c r="J150" s="39" t="str">
        <f>K150&amp;SD[[#This Row],[Insurer Code]]&amp;"; "&amp;L150&amp;SD[[#This Row],[Reporting Year]]&amp;"; "&amp;M150&amp;SD[[#This Row],[Market Code]]&amp;"; "&amp;N150&amp;SD[[#This Row],[Large Provider Entity Code]]</f>
        <v xml:space="preserve">Insurer Code ; Reporting Year ; Market Code ; Large Provider Entity Code </v>
      </c>
      <c r="K150" s="347" t="s">
        <v>207</v>
      </c>
      <c r="L150" s="347" t="s">
        <v>208</v>
      </c>
      <c r="M150" s="347" t="s">
        <v>237</v>
      </c>
      <c r="N150" s="347" t="s">
        <v>210</v>
      </c>
      <c r="O150" s="347"/>
      <c r="P150" s="347"/>
      <c r="Q150" s="347"/>
      <c r="R150" s="347"/>
    </row>
    <row r="151" spans="1:18" x14ac:dyDescent="0.25">
      <c r="A151" s="311"/>
      <c r="B151" s="480"/>
      <c r="C151" s="480"/>
      <c r="D151" s="480"/>
      <c r="E151" s="483"/>
      <c r="F151" s="488"/>
      <c r="G151" s="465"/>
      <c r="H151" s="313"/>
      <c r="J151" s="39" t="str">
        <f>K151&amp;SD[[#This Row],[Insurer Code]]&amp;"; "&amp;L151&amp;SD[[#This Row],[Reporting Year]]&amp;"; "&amp;M151&amp;SD[[#This Row],[Market Code]]&amp;"; "&amp;N151&amp;SD[[#This Row],[Large Provider Entity Code]]</f>
        <v xml:space="preserve">Insurer Code ; Reporting Year ; Market Code ; Large Provider Entity Code </v>
      </c>
      <c r="K151" s="347" t="s">
        <v>207</v>
      </c>
      <c r="L151" s="347" t="s">
        <v>208</v>
      </c>
      <c r="M151" s="347" t="s">
        <v>237</v>
      </c>
      <c r="N151" s="347" t="s">
        <v>210</v>
      </c>
      <c r="O151" s="347"/>
      <c r="P151" s="347"/>
      <c r="Q151" s="347"/>
      <c r="R151" s="347"/>
    </row>
    <row r="152" spans="1:18" x14ac:dyDescent="0.25">
      <c r="A152" s="311"/>
      <c r="B152" s="480"/>
      <c r="C152" s="480"/>
      <c r="D152" s="480"/>
      <c r="E152" s="483"/>
      <c r="F152" s="488"/>
      <c r="G152" s="465"/>
      <c r="H152" s="313"/>
      <c r="J152" s="39" t="str">
        <f>K152&amp;SD[[#This Row],[Insurer Code]]&amp;"; "&amp;L152&amp;SD[[#This Row],[Reporting Year]]&amp;"; "&amp;M152&amp;SD[[#This Row],[Market Code]]&amp;"; "&amp;N152&amp;SD[[#This Row],[Large Provider Entity Code]]</f>
        <v xml:space="preserve">Insurer Code ; Reporting Year ; Market Code ; Large Provider Entity Code </v>
      </c>
      <c r="K152" s="347" t="s">
        <v>207</v>
      </c>
      <c r="L152" s="347" t="s">
        <v>208</v>
      </c>
      <c r="M152" s="347" t="s">
        <v>237</v>
      </c>
      <c r="N152" s="347" t="s">
        <v>210</v>
      </c>
      <c r="O152" s="347"/>
      <c r="P152" s="347"/>
      <c r="Q152" s="347"/>
      <c r="R152" s="347"/>
    </row>
    <row r="153" spans="1:18" x14ac:dyDescent="0.25">
      <c r="A153" s="311"/>
      <c r="B153" s="480"/>
      <c r="C153" s="480"/>
      <c r="D153" s="480"/>
      <c r="E153" s="483"/>
      <c r="F153" s="488"/>
      <c r="G153" s="465"/>
      <c r="H153" s="313"/>
      <c r="J153" s="39" t="str">
        <f>K153&amp;SD[[#This Row],[Insurer Code]]&amp;"; "&amp;L153&amp;SD[[#This Row],[Reporting Year]]&amp;"; "&amp;M153&amp;SD[[#This Row],[Market Code]]&amp;"; "&amp;N153&amp;SD[[#This Row],[Large Provider Entity Code]]</f>
        <v xml:space="preserve">Insurer Code ; Reporting Year ; Market Code ; Large Provider Entity Code </v>
      </c>
      <c r="K153" s="347" t="s">
        <v>207</v>
      </c>
      <c r="L153" s="347" t="s">
        <v>208</v>
      </c>
      <c r="M153" s="347" t="s">
        <v>237</v>
      </c>
      <c r="N153" s="347" t="s">
        <v>210</v>
      </c>
      <c r="O153" s="347"/>
      <c r="P153" s="347"/>
      <c r="Q153" s="347"/>
      <c r="R153" s="347"/>
    </row>
    <row r="154" spans="1:18" x14ac:dyDescent="0.25">
      <c r="A154" s="311"/>
      <c r="B154" s="480"/>
      <c r="C154" s="480"/>
      <c r="D154" s="480"/>
      <c r="E154" s="483"/>
      <c r="F154" s="488"/>
      <c r="G154" s="465"/>
      <c r="H154" s="313"/>
      <c r="J154" s="39" t="str">
        <f>K154&amp;SD[[#This Row],[Insurer Code]]&amp;"; "&amp;L154&amp;SD[[#This Row],[Reporting Year]]&amp;"; "&amp;M154&amp;SD[[#This Row],[Market Code]]&amp;"; "&amp;N154&amp;SD[[#This Row],[Large Provider Entity Code]]</f>
        <v xml:space="preserve">Insurer Code ; Reporting Year ; Market Code ; Large Provider Entity Code </v>
      </c>
      <c r="K154" s="347" t="s">
        <v>207</v>
      </c>
      <c r="L154" s="347" t="s">
        <v>208</v>
      </c>
      <c r="M154" s="347" t="s">
        <v>237</v>
      </c>
      <c r="N154" s="347" t="s">
        <v>210</v>
      </c>
      <c r="O154" s="347"/>
      <c r="P154" s="347"/>
      <c r="Q154" s="347"/>
      <c r="R154" s="347"/>
    </row>
    <row r="155" spans="1:18" x14ac:dyDescent="0.25">
      <c r="A155" s="311"/>
      <c r="B155" s="462"/>
      <c r="C155" s="462"/>
      <c r="D155" s="462"/>
      <c r="E155" s="463"/>
      <c r="F155" s="464"/>
      <c r="G155" s="465"/>
      <c r="H155" s="313"/>
      <c r="J155" s="39" t="str">
        <f>K155&amp;SD[[#This Row],[Insurer Code]]&amp;"; "&amp;L155&amp;SD[[#This Row],[Reporting Year]]&amp;"; "&amp;M155&amp;SD[[#This Row],[Market Code]]&amp;"; "&amp;N155&amp;SD[[#This Row],[Large Provider Entity Code]]</f>
        <v xml:space="preserve">Insurer Code ; Reporting Year ; Market Code ; Large Provider Entity Code </v>
      </c>
      <c r="K155" s="347" t="s">
        <v>207</v>
      </c>
      <c r="L155" s="347" t="s">
        <v>208</v>
      </c>
      <c r="M155" s="347" t="s">
        <v>237</v>
      </c>
      <c r="N155" s="347" t="s">
        <v>210</v>
      </c>
      <c r="O155" s="347"/>
      <c r="P155" s="347"/>
      <c r="Q155" s="347"/>
      <c r="R155" s="347"/>
    </row>
    <row r="156" spans="1:18" x14ac:dyDescent="0.25">
      <c r="A156" s="311"/>
      <c r="B156" s="462"/>
      <c r="C156" s="462"/>
      <c r="D156" s="462"/>
      <c r="E156" s="463"/>
      <c r="F156" s="464"/>
      <c r="G156" s="465"/>
      <c r="H156" s="313"/>
      <c r="J156" s="39" t="str">
        <f>K156&amp;SD[[#This Row],[Insurer Code]]&amp;"; "&amp;L156&amp;SD[[#This Row],[Reporting Year]]&amp;"; "&amp;M156&amp;SD[[#This Row],[Market Code]]&amp;"; "&amp;N156&amp;SD[[#This Row],[Large Provider Entity Code]]</f>
        <v xml:space="preserve">Insurer Code ; Reporting Year ; Market Code ; Large Provider Entity Code </v>
      </c>
      <c r="K156" s="347" t="s">
        <v>207</v>
      </c>
      <c r="L156" s="347" t="s">
        <v>208</v>
      </c>
      <c r="M156" s="347" t="s">
        <v>237</v>
      </c>
      <c r="N156" s="347" t="s">
        <v>210</v>
      </c>
      <c r="O156" s="347"/>
      <c r="P156" s="347"/>
      <c r="Q156" s="347"/>
      <c r="R156" s="347"/>
    </row>
    <row r="157" spans="1:18" x14ac:dyDescent="0.25">
      <c r="A157" s="311"/>
      <c r="B157" s="478"/>
      <c r="C157" s="478"/>
      <c r="D157" s="478"/>
      <c r="E157" s="481"/>
      <c r="F157" s="485"/>
      <c r="G157" s="493"/>
      <c r="H157" s="313"/>
      <c r="J157" s="39" t="str">
        <f>K157&amp;SD[[#This Row],[Insurer Code]]&amp;"; "&amp;L157&amp;SD[[#This Row],[Reporting Year]]&amp;"; "&amp;M157&amp;SD[[#This Row],[Market Code]]&amp;"; "&amp;N157&amp;SD[[#This Row],[Large Provider Entity Code]]</f>
        <v xml:space="preserve">Insurer Code ; Reporting Year ; Market Code ; Large Provider Entity Code </v>
      </c>
      <c r="K157" s="347" t="s">
        <v>207</v>
      </c>
      <c r="L157" s="347" t="s">
        <v>208</v>
      </c>
      <c r="M157" s="347" t="s">
        <v>237</v>
      </c>
      <c r="N157" s="347" t="s">
        <v>210</v>
      </c>
      <c r="O157" s="347"/>
      <c r="P157" s="347"/>
      <c r="Q157" s="347"/>
      <c r="R157" s="347"/>
    </row>
    <row r="158" spans="1:18" x14ac:dyDescent="0.25">
      <c r="A158" s="311"/>
      <c r="B158" s="478"/>
      <c r="C158" s="478"/>
      <c r="D158" s="478"/>
      <c r="E158" s="481"/>
      <c r="F158" s="485"/>
      <c r="G158" s="493"/>
      <c r="H158" s="313"/>
      <c r="J158" s="39" t="str">
        <f>K158&amp;SD[[#This Row],[Insurer Code]]&amp;"; "&amp;L158&amp;SD[[#This Row],[Reporting Year]]&amp;"; "&amp;M158&amp;SD[[#This Row],[Market Code]]&amp;"; "&amp;N158&amp;SD[[#This Row],[Large Provider Entity Code]]</f>
        <v xml:space="preserve">Insurer Code ; Reporting Year ; Market Code ; Large Provider Entity Code </v>
      </c>
      <c r="K158" s="347" t="s">
        <v>207</v>
      </c>
      <c r="L158" s="347" t="s">
        <v>208</v>
      </c>
      <c r="M158" s="347" t="s">
        <v>237</v>
      </c>
      <c r="N158" s="347" t="s">
        <v>210</v>
      </c>
      <c r="O158" s="347"/>
      <c r="P158" s="347"/>
      <c r="Q158" s="347"/>
      <c r="R158" s="347"/>
    </row>
    <row r="159" spans="1:18" x14ac:dyDescent="0.25">
      <c r="A159" s="311"/>
      <c r="B159" s="480"/>
      <c r="C159" s="480"/>
      <c r="D159" s="480"/>
      <c r="E159" s="483"/>
      <c r="F159" s="488"/>
      <c r="G159" s="465"/>
      <c r="H159" s="313"/>
      <c r="J159" s="39" t="str">
        <f>K159&amp;SD[[#This Row],[Insurer Code]]&amp;"; "&amp;L159&amp;SD[[#This Row],[Reporting Year]]&amp;"; "&amp;M159&amp;SD[[#This Row],[Market Code]]&amp;"; "&amp;N159&amp;SD[[#This Row],[Large Provider Entity Code]]</f>
        <v xml:space="preserve">Insurer Code ; Reporting Year ; Market Code ; Large Provider Entity Code </v>
      </c>
      <c r="K159" s="347" t="s">
        <v>207</v>
      </c>
      <c r="L159" s="347" t="s">
        <v>208</v>
      </c>
      <c r="M159" s="347" t="s">
        <v>237</v>
      </c>
      <c r="N159" s="347" t="s">
        <v>210</v>
      </c>
      <c r="O159" s="347"/>
      <c r="P159" s="347"/>
      <c r="Q159" s="347"/>
      <c r="R159" s="347"/>
    </row>
    <row r="160" spans="1:18" x14ac:dyDescent="0.25">
      <c r="A160" s="311"/>
      <c r="B160" s="480"/>
      <c r="C160" s="480"/>
      <c r="D160" s="480"/>
      <c r="E160" s="483"/>
      <c r="F160" s="488"/>
      <c r="G160" s="465"/>
      <c r="H160" s="313"/>
      <c r="J160" s="39" t="str">
        <f>K160&amp;SD[[#This Row],[Insurer Code]]&amp;"; "&amp;L160&amp;SD[[#This Row],[Reporting Year]]&amp;"; "&amp;M160&amp;SD[[#This Row],[Market Code]]&amp;"; "&amp;N160&amp;SD[[#This Row],[Large Provider Entity Code]]</f>
        <v xml:space="preserve">Insurer Code ; Reporting Year ; Market Code ; Large Provider Entity Code </v>
      </c>
      <c r="K160" s="347" t="s">
        <v>207</v>
      </c>
      <c r="L160" s="347" t="s">
        <v>208</v>
      </c>
      <c r="M160" s="347" t="s">
        <v>237</v>
      </c>
      <c r="N160" s="347" t="s">
        <v>210</v>
      </c>
      <c r="O160" s="347"/>
      <c r="P160" s="347"/>
      <c r="Q160" s="347"/>
      <c r="R160" s="347"/>
    </row>
    <row r="161" spans="1:18" x14ac:dyDescent="0.25">
      <c r="A161" s="311"/>
      <c r="B161" s="480"/>
      <c r="C161" s="480"/>
      <c r="D161" s="480"/>
      <c r="E161" s="483"/>
      <c r="F161" s="488"/>
      <c r="G161" s="465"/>
      <c r="H161" s="313"/>
      <c r="J161" s="39" t="str">
        <f>K161&amp;SD[[#This Row],[Insurer Code]]&amp;"; "&amp;L161&amp;SD[[#This Row],[Reporting Year]]&amp;"; "&amp;M161&amp;SD[[#This Row],[Market Code]]&amp;"; "&amp;N161&amp;SD[[#This Row],[Large Provider Entity Code]]</f>
        <v xml:space="preserve">Insurer Code ; Reporting Year ; Market Code ; Large Provider Entity Code </v>
      </c>
      <c r="K161" s="347" t="s">
        <v>207</v>
      </c>
      <c r="L161" s="347" t="s">
        <v>208</v>
      </c>
      <c r="M161" s="347" t="s">
        <v>237</v>
      </c>
      <c r="N161" s="347" t="s">
        <v>210</v>
      </c>
      <c r="O161" s="347"/>
      <c r="P161" s="347"/>
      <c r="Q161" s="347"/>
      <c r="R161" s="347"/>
    </row>
    <row r="162" spans="1:18" x14ac:dyDescent="0.25">
      <c r="A162" s="311"/>
      <c r="B162" s="480"/>
      <c r="C162" s="480"/>
      <c r="D162" s="480"/>
      <c r="E162" s="483"/>
      <c r="F162" s="488"/>
      <c r="G162" s="465"/>
      <c r="H162" s="313"/>
      <c r="J162" s="39" t="str">
        <f>K162&amp;SD[[#This Row],[Insurer Code]]&amp;"; "&amp;L162&amp;SD[[#This Row],[Reporting Year]]&amp;"; "&amp;M162&amp;SD[[#This Row],[Market Code]]&amp;"; "&amp;N162&amp;SD[[#This Row],[Large Provider Entity Code]]</f>
        <v xml:space="preserve">Insurer Code ; Reporting Year ; Market Code ; Large Provider Entity Code </v>
      </c>
      <c r="K162" s="347" t="s">
        <v>207</v>
      </c>
      <c r="L162" s="347" t="s">
        <v>208</v>
      </c>
      <c r="M162" s="347" t="s">
        <v>237</v>
      </c>
      <c r="N162" s="347" t="s">
        <v>210</v>
      </c>
      <c r="O162" s="347"/>
      <c r="P162" s="347"/>
      <c r="Q162" s="347"/>
      <c r="R162" s="347"/>
    </row>
    <row r="163" spans="1:18" x14ac:dyDescent="0.25">
      <c r="A163" s="311"/>
      <c r="B163" s="462"/>
      <c r="C163" s="462"/>
      <c r="D163" s="462"/>
      <c r="E163" s="463"/>
      <c r="F163" s="464"/>
      <c r="G163" s="465"/>
      <c r="H163" s="313"/>
      <c r="J163" s="39" t="str">
        <f>K163&amp;SD[[#This Row],[Insurer Code]]&amp;"; "&amp;L163&amp;SD[[#This Row],[Reporting Year]]&amp;"; "&amp;M163&amp;SD[[#This Row],[Market Code]]&amp;"; "&amp;N163&amp;SD[[#This Row],[Large Provider Entity Code]]</f>
        <v xml:space="preserve">Insurer Code ; Reporting Year ; Market Code ; Large Provider Entity Code </v>
      </c>
      <c r="K163" s="347" t="s">
        <v>207</v>
      </c>
      <c r="L163" s="347" t="s">
        <v>208</v>
      </c>
      <c r="M163" s="347" t="s">
        <v>237</v>
      </c>
      <c r="N163" s="347" t="s">
        <v>210</v>
      </c>
      <c r="O163" s="347"/>
      <c r="P163" s="347"/>
      <c r="Q163" s="347"/>
      <c r="R163" s="347"/>
    </row>
    <row r="164" spans="1:18" x14ac:dyDescent="0.25">
      <c r="A164" s="311"/>
      <c r="B164" s="462"/>
      <c r="C164" s="462"/>
      <c r="D164" s="462"/>
      <c r="E164" s="463"/>
      <c r="F164" s="464"/>
      <c r="G164" s="465"/>
      <c r="H164" s="313"/>
      <c r="J164" s="39" t="str">
        <f>K164&amp;SD[[#This Row],[Insurer Code]]&amp;"; "&amp;L164&amp;SD[[#This Row],[Reporting Year]]&amp;"; "&amp;M164&amp;SD[[#This Row],[Market Code]]&amp;"; "&amp;N164&amp;SD[[#This Row],[Large Provider Entity Code]]</f>
        <v xml:space="preserve">Insurer Code ; Reporting Year ; Market Code ; Large Provider Entity Code </v>
      </c>
      <c r="K164" s="347" t="s">
        <v>207</v>
      </c>
      <c r="L164" s="347" t="s">
        <v>208</v>
      </c>
      <c r="M164" s="347" t="s">
        <v>237</v>
      </c>
      <c r="N164" s="347" t="s">
        <v>210</v>
      </c>
      <c r="O164" s="347"/>
      <c r="P164" s="347"/>
      <c r="Q164" s="347"/>
      <c r="R164" s="347"/>
    </row>
    <row r="165" spans="1:18" x14ac:dyDescent="0.25">
      <c r="A165" s="311"/>
      <c r="B165" s="462"/>
      <c r="C165" s="462"/>
      <c r="D165" s="462"/>
      <c r="E165" s="463"/>
      <c r="F165" s="464"/>
      <c r="G165" s="465"/>
      <c r="H165" s="313"/>
      <c r="J165" s="39" t="str">
        <f>K165&amp;SD[[#This Row],[Insurer Code]]&amp;"; "&amp;L165&amp;SD[[#This Row],[Reporting Year]]&amp;"; "&amp;M165&amp;SD[[#This Row],[Market Code]]&amp;"; "&amp;N165&amp;SD[[#This Row],[Large Provider Entity Code]]</f>
        <v xml:space="preserve">Insurer Code ; Reporting Year ; Market Code ; Large Provider Entity Code </v>
      </c>
      <c r="K165" s="347" t="s">
        <v>207</v>
      </c>
      <c r="L165" s="347" t="s">
        <v>208</v>
      </c>
      <c r="M165" s="347" t="s">
        <v>237</v>
      </c>
      <c r="N165" s="347" t="s">
        <v>210</v>
      </c>
      <c r="O165" s="347"/>
      <c r="P165" s="347"/>
      <c r="Q165" s="347"/>
      <c r="R165" s="347"/>
    </row>
    <row r="166" spans="1:18" x14ac:dyDescent="0.25">
      <c r="A166" s="311"/>
      <c r="B166" s="462"/>
      <c r="C166" s="462"/>
      <c r="D166" s="462"/>
      <c r="E166" s="463"/>
      <c r="F166" s="464"/>
      <c r="G166" s="465"/>
      <c r="H166" s="313"/>
      <c r="J166" s="39" t="str">
        <f>K166&amp;SD[[#This Row],[Insurer Code]]&amp;"; "&amp;L166&amp;SD[[#This Row],[Reporting Year]]&amp;"; "&amp;M166&amp;SD[[#This Row],[Market Code]]&amp;"; "&amp;N166&amp;SD[[#This Row],[Large Provider Entity Code]]</f>
        <v xml:space="preserve">Insurer Code ; Reporting Year ; Market Code ; Large Provider Entity Code </v>
      </c>
      <c r="K166" s="347" t="s">
        <v>207</v>
      </c>
      <c r="L166" s="347" t="s">
        <v>208</v>
      </c>
      <c r="M166" s="347" t="s">
        <v>237</v>
      </c>
      <c r="N166" s="347" t="s">
        <v>210</v>
      </c>
      <c r="O166" s="347"/>
      <c r="P166" s="347"/>
      <c r="Q166" s="347"/>
      <c r="R166" s="347"/>
    </row>
    <row r="167" spans="1:18" x14ac:dyDescent="0.25">
      <c r="A167" s="311"/>
      <c r="B167" s="462"/>
      <c r="C167" s="462"/>
      <c r="D167" s="462"/>
      <c r="E167" s="463"/>
      <c r="F167" s="464"/>
      <c r="G167" s="465"/>
      <c r="H167" s="313"/>
      <c r="J167" s="39" t="str">
        <f>K167&amp;SD[[#This Row],[Insurer Code]]&amp;"; "&amp;L167&amp;SD[[#This Row],[Reporting Year]]&amp;"; "&amp;M167&amp;SD[[#This Row],[Market Code]]&amp;"; "&amp;N167&amp;SD[[#This Row],[Large Provider Entity Code]]</f>
        <v xml:space="preserve">Insurer Code ; Reporting Year ; Market Code ; Large Provider Entity Code </v>
      </c>
      <c r="K167" s="347" t="s">
        <v>207</v>
      </c>
      <c r="L167" s="347" t="s">
        <v>208</v>
      </c>
      <c r="M167" s="347" t="s">
        <v>237</v>
      </c>
      <c r="N167" s="347" t="s">
        <v>210</v>
      </c>
      <c r="O167" s="347"/>
      <c r="P167" s="347"/>
      <c r="Q167" s="347"/>
      <c r="R167" s="347"/>
    </row>
    <row r="168" spans="1:18" x14ac:dyDescent="0.25">
      <c r="A168" s="311"/>
      <c r="B168" s="462"/>
      <c r="C168" s="462"/>
      <c r="D168" s="462"/>
      <c r="E168" s="463"/>
      <c r="F168" s="464"/>
      <c r="G168" s="465"/>
      <c r="H168" s="313"/>
      <c r="J168" s="39" t="str">
        <f>K168&amp;SD[[#This Row],[Insurer Code]]&amp;"; "&amp;L168&amp;SD[[#This Row],[Reporting Year]]&amp;"; "&amp;M168&amp;SD[[#This Row],[Market Code]]&amp;"; "&amp;N168&amp;SD[[#This Row],[Large Provider Entity Code]]</f>
        <v xml:space="preserve">Insurer Code ; Reporting Year ; Market Code ; Large Provider Entity Code </v>
      </c>
      <c r="K168" s="347" t="s">
        <v>207</v>
      </c>
      <c r="L168" s="347" t="s">
        <v>208</v>
      </c>
      <c r="M168" s="347" t="s">
        <v>237</v>
      </c>
      <c r="N168" s="347" t="s">
        <v>210</v>
      </c>
      <c r="O168" s="347"/>
      <c r="P168" s="347"/>
      <c r="Q168" s="347"/>
      <c r="R168" s="347"/>
    </row>
    <row r="169" spans="1:18" x14ac:dyDescent="0.25">
      <c r="A169" s="311"/>
      <c r="B169" s="462"/>
      <c r="C169" s="462"/>
      <c r="D169" s="462"/>
      <c r="E169" s="463"/>
      <c r="F169" s="464"/>
      <c r="G169" s="465"/>
      <c r="H169" s="313"/>
      <c r="J169" s="39" t="str">
        <f>K169&amp;SD[[#This Row],[Insurer Code]]&amp;"; "&amp;L169&amp;SD[[#This Row],[Reporting Year]]&amp;"; "&amp;M169&amp;SD[[#This Row],[Market Code]]&amp;"; "&amp;N169&amp;SD[[#This Row],[Large Provider Entity Code]]</f>
        <v xml:space="preserve">Insurer Code ; Reporting Year ; Market Code ; Large Provider Entity Code </v>
      </c>
      <c r="K169" s="347" t="s">
        <v>207</v>
      </c>
      <c r="L169" s="347" t="s">
        <v>208</v>
      </c>
      <c r="M169" s="347" t="s">
        <v>237</v>
      </c>
      <c r="N169" s="347" t="s">
        <v>210</v>
      </c>
      <c r="O169" s="347"/>
      <c r="P169" s="347"/>
      <c r="Q169" s="347"/>
      <c r="R169" s="347"/>
    </row>
    <row r="170" spans="1:18" x14ac:dyDescent="0.25">
      <c r="A170" s="311"/>
      <c r="B170" s="462"/>
      <c r="C170" s="462"/>
      <c r="D170" s="462"/>
      <c r="E170" s="463"/>
      <c r="F170" s="464"/>
      <c r="G170" s="465"/>
      <c r="H170" s="313"/>
      <c r="J170" s="39" t="str">
        <f>K170&amp;SD[[#This Row],[Insurer Code]]&amp;"; "&amp;L170&amp;SD[[#This Row],[Reporting Year]]&amp;"; "&amp;M170&amp;SD[[#This Row],[Market Code]]&amp;"; "&amp;N170&amp;SD[[#This Row],[Large Provider Entity Code]]</f>
        <v xml:space="preserve">Insurer Code ; Reporting Year ; Market Code ; Large Provider Entity Code </v>
      </c>
      <c r="K170" s="347" t="s">
        <v>207</v>
      </c>
      <c r="L170" s="347" t="s">
        <v>208</v>
      </c>
      <c r="M170" s="347" t="s">
        <v>237</v>
      </c>
      <c r="N170" s="347" t="s">
        <v>210</v>
      </c>
      <c r="O170" s="347"/>
      <c r="P170" s="347"/>
      <c r="Q170" s="347"/>
      <c r="R170" s="347"/>
    </row>
    <row r="171" spans="1:18" x14ac:dyDescent="0.25">
      <c r="A171" s="311"/>
      <c r="B171" s="462"/>
      <c r="C171" s="462"/>
      <c r="D171" s="462"/>
      <c r="E171" s="463"/>
      <c r="F171" s="464"/>
      <c r="G171" s="465"/>
      <c r="H171" s="313"/>
      <c r="J171" s="39" t="str">
        <f>K171&amp;SD[[#This Row],[Insurer Code]]&amp;"; "&amp;L171&amp;SD[[#This Row],[Reporting Year]]&amp;"; "&amp;M171&amp;SD[[#This Row],[Market Code]]&amp;"; "&amp;N171&amp;SD[[#This Row],[Large Provider Entity Code]]</f>
        <v xml:space="preserve">Insurer Code ; Reporting Year ; Market Code ; Large Provider Entity Code </v>
      </c>
      <c r="K171" s="347" t="s">
        <v>207</v>
      </c>
      <c r="L171" s="347" t="s">
        <v>208</v>
      </c>
      <c r="M171" s="347" t="s">
        <v>237</v>
      </c>
      <c r="N171" s="347" t="s">
        <v>210</v>
      </c>
      <c r="O171" s="347"/>
      <c r="P171" s="347"/>
      <c r="Q171" s="347"/>
      <c r="R171" s="347"/>
    </row>
    <row r="172" spans="1:18" x14ac:dyDescent="0.25">
      <c r="A172" s="311"/>
      <c r="B172" s="462"/>
      <c r="C172" s="462"/>
      <c r="D172" s="462"/>
      <c r="E172" s="463"/>
      <c r="F172" s="464"/>
      <c r="G172" s="465"/>
      <c r="H172" s="313"/>
      <c r="J172" s="39" t="str">
        <f>K172&amp;SD[[#This Row],[Insurer Code]]&amp;"; "&amp;L172&amp;SD[[#This Row],[Reporting Year]]&amp;"; "&amp;M172&amp;SD[[#This Row],[Market Code]]&amp;"; "&amp;N172&amp;SD[[#This Row],[Large Provider Entity Code]]</f>
        <v xml:space="preserve">Insurer Code ; Reporting Year ; Market Code ; Large Provider Entity Code </v>
      </c>
      <c r="K172" s="347" t="s">
        <v>207</v>
      </c>
      <c r="L172" s="347" t="s">
        <v>208</v>
      </c>
      <c r="M172" s="347" t="s">
        <v>237</v>
      </c>
      <c r="N172" s="347" t="s">
        <v>210</v>
      </c>
      <c r="O172" s="347"/>
      <c r="P172" s="347"/>
      <c r="Q172" s="347"/>
      <c r="R172" s="347"/>
    </row>
    <row r="173" spans="1:18" x14ac:dyDescent="0.25">
      <c r="A173" s="311"/>
      <c r="B173" s="462"/>
      <c r="C173" s="462"/>
      <c r="D173" s="462"/>
      <c r="E173" s="463"/>
      <c r="F173" s="464"/>
      <c r="G173" s="465"/>
      <c r="H173" s="313"/>
      <c r="J173" s="39" t="str">
        <f>K173&amp;SD[[#This Row],[Insurer Code]]&amp;"; "&amp;L173&amp;SD[[#This Row],[Reporting Year]]&amp;"; "&amp;M173&amp;SD[[#This Row],[Market Code]]&amp;"; "&amp;N173&amp;SD[[#This Row],[Large Provider Entity Code]]</f>
        <v xml:space="preserve">Insurer Code ; Reporting Year ; Market Code ; Large Provider Entity Code </v>
      </c>
      <c r="K173" s="347" t="s">
        <v>207</v>
      </c>
      <c r="L173" s="347" t="s">
        <v>208</v>
      </c>
      <c r="M173" s="347" t="s">
        <v>237</v>
      </c>
      <c r="N173" s="347" t="s">
        <v>210</v>
      </c>
      <c r="O173" s="347"/>
      <c r="P173" s="347"/>
      <c r="Q173" s="347"/>
      <c r="R173" s="347"/>
    </row>
    <row r="174" spans="1:18" x14ac:dyDescent="0.25">
      <c r="A174" s="311"/>
      <c r="B174" s="462"/>
      <c r="C174" s="462"/>
      <c r="D174" s="462"/>
      <c r="E174" s="463"/>
      <c r="F174" s="464"/>
      <c r="G174" s="465"/>
      <c r="H174" s="313"/>
      <c r="J174" s="39" t="str">
        <f>K174&amp;SD[[#This Row],[Insurer Code]]&amp;"; "&amp;L174&amp;SD[[#This Row],[Reporting Year]]&amp;"; "&amp;M174&amp;SD[[#This Row],[Market Code]]&amp;"; "&amp;N174&amp;SD[[#This Row],[Large Provider Entity Code]]</f>
        <v xml:space="preserve">Insurer Code ; Reporting Year ; Market Code ; Large Provider Entity Code </v>
      </c>
      <c r="K174" s="347" t="s">
        <v>207</v>
      </c>
      <c r="L174" s="347" t="s">
        <v>208</v>
      </c>
      <c r="M174" s="347" t="s">
        <v>237</v>
      </c>
      <c r="N174" s="347" t="s">
        <v>210</v>
      </c>
      <c r="O174" s="347"/>
      <c r="P174" s="347"/>
      <c r="Q174" s="347"/>
      <c r="R174" s="347"/>
    </row>
    <row r="175" spans="1:18" x14ac:dyDescent="0.25">
      <c r="A175" s="311"/>
      <c r="B175" s="462"/>
      <c r="C175" s="462"/>
      <c r="D175" s="462"/>
      <c r="E175" s="463"/>
      <c r="F175" s="464"/>
      <c r="G175" s="465"/>
      <c r="H175" s="313"/>
      <c r="J175" s="39" t="str">
        <f>K175&amp;SD[[#This Row],[Insurer Code]]&amp;"; "&amp;L175&amp;SD[[#This Row],[Reporting Year]]&amp;"; "&amp;M175&amp;SD[[#This Row],[Market Code]]&amp;"; "&amp;N175&amp;SD[[#This Row],[Large Provider Entity Code]]</f>
        <v xml:space="preserve">Insurer Code ; Reporting Year ; Market Code ; Large Provider Entity Code </v>
      </c>
      <c r="K175" s="347" t="s">
        <v>207</v>
      </c>
      <c r="L175" s="347" t="s">
        <v>208</v>
      </c>
      <c r="M175" s="347" t="s">
        <v>237</v>
      </c>
      <c r="N175" s="347" t="s">
        <v>210</v>
      </c>
      <c r="O175" s="347"/>
      <c r="P175" s="347"/>
      <c r="Q175" s="347"/>
      <c r="R175" s="347"/>
    </row>
    <row r="176" spans="1:18" x14ac:dyDescent="0.25">
      <c r="A176" s="311"/>
      <c r="B176" s="462"/>
      <c r="C176" s="462"/>
      <c r="D176" s="462"/>
      <c r="E176" s="463"/>
      <c r="F176" s="464"/>
      <c r="G176" s="465"/>
      <c r="H176" s="313"/>
      <c r="J176" s="39" t="str">
        <f>K176&amp;SD[[#This Row],[Insurer Code]]&amp;"; "&amp;L176&amp;SD[[#This Row],[Reporting Year]]&amp;"; "&amp;M176&amp;SD[[#This Row],[Market Code]]&amp;"; "&amp;N176&amp;SD[[#This Row],[Large Provider Entity Code]]</f>
        <v xml:space="preserve">Insurer Code ; Reporting Year ; Market Code ; Large Provider Entity Code </v>
      </c>
      <c r="K176" s="347" t="s">
        <v>207</v>
      </c>
      <c r="L176" s="347" t="s">
        <v>208</v>
      </c>
      <c r="M176" s="347" t="s">
        <v>237</v>
      </c>
      <c r="N176" s="347" t="s">
        <v>210</v>
      </c>
      <c r="O176" s="347"/>
      <c r="P176" s="347"/>
      <c r="Q176" s="347"/>
      <c r="R176" s="347"/>
    </row>
    <row r="177" spans="1:18" x14ac:dyDescent="0.25">
      <c r="A177" s="311"/>
      <c r="B177" s="462"/>
      <c r="C177" s="462"/>
      <c r="D177" s="462"/>
      <c r="E177" s="463"/>
      <c r="F177" s="464"/>
      <c r="G177" s="465"/>
      <c r="H177" s="313"/>
      <c r="J177" s="39" t="str">
        <f>K177&amp;SD[[#This Row],[Insurer Code]]&amp;"; "&amp;L177&amp;SD[[#This Row],[Reporting Year]]&amp;"; "&amp;M177&amp;SD[[#This Row],[Market Code]]&amp;"; "&amp;N177&amp;SD[[#This Row],[Large Provider Entity Code]]</f>
        <v xml:space="preserve">Insurer Code ; Reporting Year ; Market Code ; Large Provider Entity Code </v>
      </c>
      <c r="K177" s="347" t="s">
        <v>207</v>
      </c>
      <c r="L177" s="347" t="s">
        <v>208</v>
      </c>
      <c r="M177" s="347" t="s">
        <v>237</v>
      </c>
      <c r="N177" s="347" t="s">
        <v>210</v>
      </c>
      <c r="O177" s="347"/>
      <c r="P177" s="347"/>
      <c r="Q177" s="347"/>
      <c r="R177" s="347"/>
    </row>
    <row r="178" spans="1:18" x14ac:dyDescent="0.25">
      <c r="A178" s="311"/>
      <c r="B178" s="462"/>
      <c r="C178" s="462"/>
      <c r="D178" s="462"/>
      <c r="E178" s="463"/>
      <c r="F178" s="464"/>
      <c r="G178" s="465"/>
      <c r="H178" s="313"/>
      <c r="J178" s="39" t="str">
        <f>K178&amp;SD[[#This Row],[Insurer Code]]&amp;"; "&amp;L178&amp;SD[[#This Row],[Reporting Year]]&amp;"; "&amp;M178&amp;SD[[#This Row],[Market Code]]&amp;"; "&amp;N178&amp;SD[[#This Row],[Large Provider Entity Code]]</f>
        <v xml:space="preserve">Insurer Code ; Reporting Year ; Market Code ; Large Provider Entity Code </v>
      </c>
      <c r="K178" s="347" t="s">
        <v>207</v>
      </c>
      <c r="L178" s="347" t="s">
        <v>208</v>
      </c>
      <c r="M178" s="347" t="s">
        <v>237</v>
      </c>
      <c r="N178" s="347" t="s">
        <v>210</v>
      </c>
      <c r="O178" s="347"/>
      <c r="P178" s="347"/>
      <c r="Q178" s="347"/>
      <c r="R178" s="347"/>
    </row>
    <row r="179" spans="1:18" x14ac:dyDescent="0.25">
      <c r="A179" s="311"/>
      <c r="B179" s="462"/>
      <c r="C179" s="462"/>
      <c r="D179" s="462"/>
      <c r="E179" s="463"/>
      <c r="F179" s="464"/>
      <c r="G179" s="465"/>
      <c r="H179" s="313"/>
      <c r="J179" s="39" t="str">
        <f>K179&amp;SD[[#This Row],[Insurer Code]]&amp;"; "&amp;L179&amp;SD[[#This Row],[Reporting Year]]&amp;"; "&amp;M179&amp;SD[[#This Row],[Market Code]]&amp;"; "&amp;N179&amp;SD[[#This Row],[Large Provider Entity Code]]</f>
        <v xml:space="preserve">Insurer Code ; Reporting Year ; Market Code ; Large Provider Entity Code </v>
      </c>
      <c r="K179" s="347" t="s">
        <v>207</v>
      </c>
      <c r="L179" s="347" t="s">
        <v>208</v>
      </c>
      <c r="M179" s="347" t="s">
        <v>237</v>
      </c>
      <c r="N179" s="347" t="s">
        <v>210</v>
      </c>
      <c r="O179" s="347"/>
      <c r="P179" s="347"/>
      <c r="Q179" s="347"/>
      <c r="R179" s="347"/>
    </row>
    <row r="180" spans="1:18" x14ac:dyDescent="0.25">
      <c r="A180" s="311"/>
      <c r="B180" s="462"/>
      <c r="C180" s="462"/>
      <c r="D180" s="462"/>
      <c r="E180" s="463"/>
      <c r="F180" s="464"/>
      <c r="G180" s="465"/>
      <c r="H180" s="313"/>
      <c r="J180" s="39" t="str">
        <f>K180&amp;SD[[#This Row],[Insurer Code]]&amp;"; "&amp;L180&amp;SD[[#This Row],[Reporting Year]]&amp;"; "&amp;M180&amp;SD[[#This Row],[Market Code]]&amp;"; "&amp;N180&amp;SD[[#This Row],[Large Provider Entity Code]]</f>
        <v xml:space="preserve">Insurer Code ; Reporting Year ; Market Code ; Large Provider Entity Code </v>
      </c>
      <c r="K180" s="347" t="s">
        <v>207</v>
      </c>
      <c r="L180" s="347" t="s">
        <v>208</v>
      </c>
      <c r="M180" s="347" t="s">
        <v>237</v>
      </c>
      <c r="N180" s="347" t="s">
        <v>210</v>
      </c>
      <c r="O180" s="347"/>
      <c r="P180" s="347"/>
      <c r="Q180" s="347"/>
      <c r="R180" s="347"/>
    </row>
    <row r="181" spans="1:18" x14ac:dyDescent="0.25">
      <c r="A181" s="311"/>
      <c r="B181" s="462"/>
      <c r="C181" s="462"/>
      <c r="D181" s="462"/>
      <c r="E181" s="463"/>
      <c r="F181" s="464"/>
      <c r="G181" s="465"/>
      <c r="H181" s="313"/>
      <c r="J181" s="39" t="str">
        <f>K181&amp;SD[[#This Row],[Insurer Code]]&amp;"; "&amp;L181&amp;SD[[#This Row],[Reporting Year]]&amp;"; "&amp;M181&amp;SD[[#This Row],[Market Code]]&amp;"; "&amp;N181&amp;SD[[#This Row],[Large Provider Entity Code]]</f>
        <v xml:space="preserve">Insurer Code ; Reporting Year ; Market Code ; Large Provider Entity Code </v>
      </c>
      <c r="K181" s="347" t="s">
        <v>207</v>
      </c>
      <c r="L181" s="347" t="s">
        <v>208</v>
      </c>
      <c r="M181" s="347" t="s">
        <v>237</v>
      </c>
      <c r="N181" s="347" t="s">
        <v>210</v>
      </c>
      <c r="O181" s="347"/>
      <c r="P181" s="347"/>
      <c r="Q181" s="347"/>
      <c r="R181" s="347"/>
    </row>
    <row r="182" spans="1:18" x14ac:dyDescent="0.25">
      <c r="A182" s="311"/>
      <c r="B182" s="462"/>
      <c r="C182" s="462"/>
      <c r="D182" s="462"/>
      <c r="E182" s="463"/>
      <c r="F182" s="464"/>
      <c r="G182" s="465"/>
      <c r="H182" s="313"/>
      <c r="J182" s="39" t="str">
        <f>K182&amp;SD[[#This Row],[Insurer Code]]&amp;"; "&amp;L182&amp;SD[[#This Row],[Reporting Year]]&amp;"; "&amp;M182&amp;SD[[#This Row],[Market Code]]&amp;"; "&amp;N182&amp;SD[[#This Row],[Large Provider Entity Code]]</f>
        <v xml:space="preserve">Insurer Code ; Reporting Year ; Market Code ; Large Provider Entity Code </v>
      </c>
      <c r="K182" s="347" t="s">
        <v>207</v>
      </c>
      <c r="L182" s="347" t="s">
        <v>208</v>
      </c>
      <c r="M182" s="347" t="s">
        <v>237</v>
      </c>
      <c r="N182" s="347" t="s">
        <v>210</v>
      </c>
      <c r="O182" s="347"/>
      <c r="P182" s="347"/>
      <c r="Q182" s="347"/>
      <c r="R182" s="347"/>
    </row>
    <row r="183" spans="1:18" x14ac:dyDescent="0.25">
      <c r="A183" s="311"/>
      <c r="B183" s="462"/>
      <c r="C183" s="462"/>
      <c r="D183" s="462"/>
      <c r="E183" s="463"/>
      <c r="F183" s="464"/>
      <c r="G183" s="465"/>
      <c r="H183" s="313"/>
      <c r="J183" s="39" t="str">
        <f>K183&amp;SD[[#This Row],[Insurer Code]]&amp;"; "&amp;L183&amp;SD[[#This Row],[Reporting Year]]&amp;"; "&amp;M183&amp;SD[[#This Row],[Market Code]]&amp;"; "&amp;N183&amp;SD[[#This Row],[Large Provider Entity Code]]</f>
        <v xml:space="preserve">Insurer Code ; Reporting Year ; Market Code ; Large Provider Entity Code </v>
      </c>
      <c r="K183" s="347" t="s">
        <v>207</v>
      </c>
      <c r="L183" s="347" t="s">
        <v>208</v>
      </c>
      <c r="M183" s="347" t="s">
        <v>237</v>
      </c>
      <c r="N183" s="347" t="s">
        <v>210</v>
      </c>
      <c r="O183" s="347"/>
      <c r="P183" s="347"/>
      <c r="Q183" s="347"/>
      <c r="R183" s="347"/>
    </row>
    <row r="184" spans="1:18" x14ac:dyDescent="0.25">
      <c r="A184" s="311"/>
      <c r="B184" s="462"/>
      <c r="C184" s="462"/>
      <c r="D184" s="462"/>
      <c r="E184" s="463"/>
      <c r="F184" s="464"/>
      <c r="G184" s="465"/>
      <c r="H184" s="313"/>
      <c r="J184" s="39" t="str">
        <f>K184&amp;SD[[#This Row],[Insurer Code]]&amp;"; "&amp;L184&amp;SD[[#This Row],[Reporting Year]]&amp;"; "&amp;M184&amp;SD[[#This Row],[Market Code]]&amp;"; "&amp;N184&amp;SD[[#This Row],[Large Provider Entity Code]]</f>
        <v xml:space="preserve">Insurer Code ; Reporting Year ; Market Code ; Large Provider Entity Code </v>
      </c>
      <c r="K184" s="347" t="s">
        <v>207</v>
      </c>
      <c r="L184" s="347" t="s">
        <v>208</v>
      </c>
      <c r="M184" s="347" t="s">
        <v>237</v>
      </c>
      <c r="N184" s="347" t="s">
        <v>210</v>
      </c>
      <c r="O184" s="347"/>
      <c r="P184" s="347"/>
      <c r="Q184" s="347"/>
      <c r="R184" s="347"/>
    </row>
    <row r="185" spans="1:18" x14ac:dyDescent="0.25">
      <c r="A185" s="311"/>
      <c r="B185" s="462"/>
      <c r="C185" s="462"/>
      <c r="D185" s="462"/>
      <c r="E185" s="463"/>
      <c r="F185" s="464"/>
      <c r="G185" s="465"/>
      <c r="H185" s="313"/>
      <c r="J185" s="39" t="str">
        <f>K185&amp;SD[[#This Row],[Insurer Code]]&amp;"; "&amp;L185&amp;SD[[#This Row],[Reporting Year]]&amp;"; "&amp;M185&amp;SD[[#This Row],[Market Code]]&amp;"; "&amp;N185&amp;SD[[#This Row],[Large Provider Entity Code]]</f>
        <v xml:space="preserve">Insurer Code ; Reporting Year ; Market Code ; Large Provider Entity Code </v>
      </c>
      <c r="K185" s="347" t="s">
        <v>207</v>
      </c>
      <c r="L185" s="347" t="s">
        <v>208</v>
      </c>
      <c r="M185" s="347" t="s">
        <v>237</v>
      </c>
      <c r="N185" s="347" t="s">
        <v>210</v>
      </c>
      <c r="O185" s="347"/>
      <c r="P185" s="347"/>
      <c r="Q185" s="347"/>
      <c r="R185" s="347"/>
    </row>
    <row r="186" spans="1:18" x14ac:dyDescent="0.25">
      <c r="A186" s="311"/>
      <c r="B186" s="462"/>
      <c r="C186" s="462"/>
      <c r="D186" s="462"/>
      <c r="E186" s="463"/>
      <c r="F186" s="464"/>
      <c r="G186" s="465"/>
      <c r="H186" s="313"/>
      <c r="J186" s="39" t="str">
        <f>K186&amp;SD[[#This Row],[Insurer Code]]&amp;"; "&amp;L186&amp;SD[[#This Row],[Reporting Year]]&amp;"; "&amp;M186&amp;SD[[#This Row],[Market Code]]&amp;"; "&amp;N186&amp;SD[[#This Row],[Large Provider Entity Code]]</f>
        <v xml:space="preserve">Insurer Code ; Reporting Year ; Market Code ; Large Provider Entity Code </v>
      </c>
      <c r="K186" s="347" t="s">
        <v>207</v>
      </c>
      <c r="L186" s="347" t="s">
        <v>208</v>
      </c>
      <c r="M186" s="347" t="s">
        <v>237</v>
      </c>
      <c r="N186" s="347" t="s">
        <v>210</v>
      </c>
      <c r="O186" s="347"/>
      <c r="P186" s="347"/>
      <c r="Q186" s="347"/>
      <c r="R186" s="347"/>
    </row>
    <row r="187" spans="1:18" x14ac:dyDescent="0.25">
      <c r="A187" s="311"/>
      <c r="B187" s="462"/>
      <c r="C187" s="462"/>
      <c r="D187" s="462"/>
      <c r="E187" s="463"/>
      <c r="F187" s="464"/>
      <c r="G187" s="465"/>
      <c r="H187" s="313"/>
      <c r="J187" s="39" t="str">
        <f>K187&amp;SD[[#This Row],[Insurer Code]]&amp;"; "&amp;L187&amp;SD[[#This Row],[Reporting Year]]&amp;"; "&amp;M187&amp;SD[[#This Row],[Market Code]]&amp;"; "&amp;N187&amp;SD[[#This Row],[Large Provider Entity Code]]</f>
        <v xml:space="preserve">Insurer Code ; Reporting Year ; Market Code ; Large Provider Entity Code </v>
      </c>
      <c r="K187" s="347" t="s">
        <v>207</v>
      </c>
      <c r="L187" s="347" t="s">
        <v>208</v>
      </c>
      <c r="M187" s="347" t="s">
        <v>237</v>
      </c>
      <c r="N187" s="347" t="s">
        <v>210</v>
      </c>
      <c r="O187" s="347"/>
      <c r="P187" s="347"/>
      <c r="Q187" s="347"/>
      <c r="R187" s="347"/>
    </row>
    <row r="188" spans="1:18" x14ac:dyDescent="0.25">
      <c r="A188" s="311"/>
      <c r="B188" s="462"/>
      <c r="C188" s="462"/>
      <c r="D188" s="462"/>
      <c r="E188" s="463"/>
      <c r="F188" s="464"/>
      <c r="G188" s="465"/>
      <c r="H188" s="313"/>
      <c r="J188" s="39" t="str">
        <f>K188&amp;SD[[#This Row],[Insurer Code]]&amp;"; "&amp;L188&amp;SD[[#This Row],[Reporting Year]]&amp;"; "&amp;M188&amp;SD[[#This Row],[Market Code]]&amp;"; "&amp;N188&amp;SD[[#This Row],[Large Provider Entity Code]]</f>
        <v xml:space="preserve">Insurer Code ; Reporting Year ; Market Code ; Large Provider Entity Code </v>
      </c>
      <c r="K188" s="347" t="s">
        <v>207</v>
      </c>
      <c r="L188" s="347" t="s">
        <v>208</v>
      </c>
      <c r="M188" s="347" t="s">
        <v>237</v>
      </c>
      <c r="N188" s="347" t="s">
        <v>210</v>
      </c>
      <c r="O188" s="347"/>
      <c r="P188" s="347"/>
      <c r="Q188" s="347"/>
      <c r="R188" s="347"/>
    </row>
    <row r="189" spans="1:18" x14ac:dyDescent="0.25">
      <c r="A189" s="311"/>
      <c r="B189" s="462"/>
      <c r="C189" s="462"/>
      <c r="D189" s="462"/>
      <c r="E189" s="463"/>
      <c r="F189" s="464"/>
      <c r="G189" s="465"/>
      <c r="H189" s="313"/>
      <c r="J189" s="39" t="str">
        <f>K189&amp;SD[[#This Row],[Insurer Code]]&amp;"; "&amp;L189&amp;SD[[#This Row],[Reporting Year]]&amp;"; "&amp;M189&amp;SD[[#This Row],[Market Code]]&amp;"; "&amp;N189&amp;SD[[#This Row],[Large Provider Entity Code]]</f>
        <v xml:space="preserve">Insurer Code ; Reporting Year ; Market Code ; Large Provider Entity Code </v>
      </c>
      <c r="K189" s="347" t="s">
        <v>207</v>
      </c>
      <c r="L189" s="347" t="s">
        <v>208</v>
      </c>
      <c r="M189" s="347" t="s">
        <v>237</v>
      </c>
      <c r="N189" s="347" t="s">
        <v>210</v>
      </c>
      <c r="O189" s="347"/>
      <c r="P189" s="347"/>
      <c r="Q189" s="347"/>
      <c r="R189" s="347"/>
    </row>
    <row r="190" spans="1:18" x14ac:dyDescent="0.25">
      <c r="A190" s="311"/>
      <c r="B190" s="462"/>
      <c r="C190" s="462"/>
      <c r="D190" s="462"/>
      <c r="E190" s="463"/>
      <c r="F190" s="464"/>
      <c r="G190" s="465"/>
      <c r="H190" s="313"/>
      <c r="J190" s="39" t="str">
        <f>K190&amp;SD[[#This Row],[Insurer Code]]&amp;"; "&amp;L190&amp;SD[[#This Row],[Reporting Year]]&amp;"; "&amp;M190&amp;SD[[#This Row],[Market Code]]&amp;"; "&amp;N190&amp;SD[[#This Row],[Large Provider Entity Code]]</f>
        <v xml:space="preserve">Insurer Code ; Reporting Year ; Market Code ; Large Provider Entity Code </v>
      </c>
      <c r="K190" s="347" t="s">
        <v>207</v>
      </c>
      <c r="L190" s="347" t="s">
        <v>208</v>
      </c>
      <c r="M190" s="347" t="s">
        <v>237</v>
      </c>
      <c r="N190" s="347" t="s">
        <v>210</v>
      </c>
      <c r="O190" s="347"/>
      <c r="P190" s="347"/>
      <c r="Q190" s="347"/>
      <c r="R190" s="347"/>
    </row>
    <row r="191" spans="1:18" x14ac:dyDescent="0.25">
      <c r="A191" s="311"/>
      <c r="B191" s="462"/>
      <c r="C191" s="462"/>
      <c r="D191" s="462"/>
      <c r="E191" s="463"/>
      <c r="F191" s="464"/>
      <c r="G191" s="465"/>
      <c r="H191" s="313"/>
      <c r="J191" s="39" t="str">
        <f>K191&amp;SD[[#This Row],[Insurer Code]]&amp;"; "&amp;L191&amp;SD[[#This Row],[Reporting Year]]&amp;"; "&amp;M191&amp;SD[[#This Row],[Market Code]]&amp;"; "&amp;N191&amp;SD[[#This Row],[Large Provider Entity Code]]</f>
        <v xml:space="preserve">Insurer Code ; Reporting Year ; Market Code ; Large Provider Entity Code </v>
      </c>
      <c r="K191" s="347" t="s">
        <v>207</v>
      </c>
      <c r="L191" s="347" t="s">
        <v>208</v>
      </c>
      <c r="M191" s="347" t="s">
        <v>237</v>
      </c>
      <c r="N191" s="347" t="s">
        <v>210</v>
      </c>
      <c r="O191" s="347"/>
      <c r="P191" s="347"/>
      <c r="Q191" s="347"/>
      <c r="R191" s="347"/>
    </row>
    <row r="192" spans="1:18" x14ac:dyDescent="0.25">
      <c r="A192" s="311"/>
      <c r="B192" s="619"/>
      <c r="C192" s="619"/>
      <c r="D192" s="619"/>
      <c r="E192" s="620"/>
      <c r="F192" s="464"/>
      <c r="G192" s="465"/>
      <c r="H192" s="313"/>
      <c r="J192" s="39" t="str">
        <f>K192&amp;SD[[#This Row],[Insurer Code]]&amp;"; "&amp;L192&amp;SD[[#This Row],[Reporting Year]]&amp;"; "&amp;M192&amp;SD[[#This Row],[Market Code]]&amp;"; "&amp;N192&amp;SD[[#This Row],[Large Provider Entity Code]]</f>
        <v xml:space="preserve">Insurer Code ; Reporting Year ; Market Code ; Large Provider Entity Code </v>
      </c>
      <c r="K192" s="347" t="s">
        <v>207</v>
      </c>
      <c r="L192" s="347" t="s">
        <v>208</v>
      </c>
      <c r="M192" s="347" t="s">
        <v>237</v>
      </c>
      <c r="N192" s="347" t="s">
        <v>210</v>
      </c>
      <c r="O192" s="347"/>
      <c r="P192" s="347"/>
      <c r="Q192" s="347"/>
      <c r="R192" s="347"/>
    </row>
    <row r="193" spans="1:18" x14ac:dyDescent="0.25">
      <c r="A193" s="311"/>
      <c r="B193" s="619"/>
      <c r="C193" s="619"/>
      <c r="D193" s="619"/>
      <c r="E193" s="620"/>
      <c r="F193" s="464"/>
      <c r="G193" s="465"/>
      <c r="H193" s="313"/>
      <c r="J193" s="39" t="str">
        <f>K193&amp;SD[[#This Row],[Insurer Code]]&amp;"; "&amp;L193&amp;SD[[#This Row],[Reporting Year]]&amp;"; "&amp;M193&amp;SD[[#This Row],[Market Code]]&amp;"; "&amp;N193&amp;SD[[#This Row],[Large Provider Entity Code]]</f>
        <v xml:space="preserve">Insurer Code ; Reporting Year ; Market Code ; Large Provider Entity Code </v>
      </c>
      <c r="K193" s="347" t="s">
        <v>207</v>
      </c>
      <c r="L193" s="347" t="s">
        <v>208</v>
      </c>
      <c r="M193" s="347" t="s">
        <v>237</v>
      </c>
      <c r="N193" s="347" t="s">
        <v>210</v>
      </c>
      <c r="O193" s="347"/>
      <c r="P193" s="347"/>
      <c r="Q193" s="347"/>
      <c r="R193" s="347"/>
    </row>
    <row r="194" spans="1:18" x14ac:dyDescent="0.25">
      <c r="A194" s="311"/>
      <c r="B194" s="623"/>
      <c r="C194" s="623"/>
      <c r="D194" s="623"/>
      <c r="E194" s="624"/>
      <c r="F194" s="464"/>
      <c r="G194" s="465"/>
      <c r="H194" s="313"/>
      <c r="J194" s="39" t="str">
        <f>K194&amp;SD[[#This Row],[Insurer Code]]&amp;"; "&amp;L194&amp;SD[[#This Row],[Reporting Year]]&amp;"; "&amp;M194&amp;SD[[#This Row],[Market Code]]&amp;"; "&amp;N194&amp;SD[[#This Row],[Large Provider Entity Code]]</f>
        <v xml:space="preserve">Insurer Code ; Reporting Year ; Market Code ; Large Provider Entity Code </v>
      </c>
      <c r="K194" s="347" t="s">
        <v>207</v>
      </c>
      <c r="L194" s="347" t="s">
        <v>208</v>
      </c>
      <c r="M194" s="347" t="s">
        <v>237</v>
      </c>
      <c r="N194" s="347" t="s">
        <v>210</v>
      </c>
      <c r="O194" s="347"/>
      <c r="P194" s="347"/>
      <c r="Q194" s="347"/>
      <c r="R194" s="347"/>
    </row>
    <row r="195" spans="1:18" x14ac:dyDescent="0.25">
      <c r="A195" s="311"/>
      <c r="B195" s="623"/>
      <c r="C195" s="623"/>
      <c r="D195" s="623"/>
      <c r="E195" s="624"/>
      <c r="F195" s="464"/>
      <c r="G195" s="465"/>
      <c r="H195" s="313"/>
      <c r="J195" s="39" t="str">
        <f>K195&amp;SD[[#This Row],[Insurer Code]]&amp;"; "&amp;L195&amp;SD[[#This Row],[Reporting Year]]&amp;"; "&amp;M195&amp;SD[[#This Row],[Market Code]]&amp;"; "&amp;N195&amp;SD[[#This Row],[Large Provider Entity Code]]</f>
        <v xml:space="preserve">Insurer Code ; Reporting Year ; Market Code ; Large Provider Entity Code </v>
      </c>
      <c r="K195" s="347" t="s">
        <v>207</v>
      </c>
      <c r="L195" s="347" t="s">
        <v>208</v>
      </c>
      <c r="M195" s="347" t="s">
        <v>237</v>
      </c>
      <c r="N195" s="347" t="s">
        <v>210</v>
      </c>
      <c r="O195" s="347"/>
      <c r="P195" s="347"/>
      <c r="Q195" s="347"/>
      <c r="R195" s="347"/>
    </row>
    <row r="196" spans="1:18" x14ac:dyDescent="0.25">
      <c r="A196" s="311"/>
      <c r="B196" s="623"/>
      <c r="C196" s="623"/>
      <c r="D196" s="623"/>
      <c r="E196" s="624"/>
      <c r="F196" s="464"/>
      <c r="G196" s="465"/>
      <c r="H196" s="313"/>
      <c r="J196" s="39" t="str">
        <f>K196&amp;SD[[#This Row],[Insurer Code]]&amp;"; "&amp;L196&amp;SD[[#This Row],[Reporting Year]]&amp;"; "&amp;M196&amp;SD[[#This Row],[Market Code]]&amp;"; "&amp;N196&amp;SD[[#This Row],[Large Provider Entity Code]]</f>
        <v xml:space="preserve">Insurer Code ; Reporting Year ; Market Code ; Large Provider Entity Code </v>
      </c>
      <c r="K196" s="347" t="s">
        <v>207</v>
      </c>
      <c r="L196" s="347" t="s">
        <v>208</v>
      </c>
      <c r="M196" s="347" t="s">
        <v>237</v>
      </c>
      <c r="N196" s="347" t="s">
        <v>210</v>
      </c>
      <c r="O196" s="347"/>
      <c r="P196" s="347"/>
      <c r="Q196" s="347"/>
      <c r="R196" s="347"/>
    </row>
    <row r="197" spans="1:18" x14ac:dyDescent="0.25">
      <c r="A197" s="311"/>
      <c r="B197" s="623"/>
      <c r="C197" s="623"/>
      <c r="D197" s="623"/>
      <c r="E197" s="624"/>
      <c r="F197" s="464"/>
      <c r="G197" s="465"/>
      <c r="H197" s="313"/>
      <c r="J197" s="39" t="str">
        <f>K197&amp;SD[[#This Row],[Insurer Code]]&amp;"; "&amp;L197&amp;SD[[#This Row],[Reporting Year]]&amp;"; "&amp;M197&amp;SD[[#This Row],[Market Code]]&amp;"; "&amp;N197&amp;SD[[#This Row],[Large Provider Entity Code]]</f>
        <v xml:space="preserve">Insurer Code ; Reporting Year ; Market Code ; Large Provider Entity Code </v>
      </c>
      <c r="K197" s="347" t="s">
        <v>207</v>
      </c>
      <c r="L197" s="347" t="s">
        <v>208</v>
      </c>
      <c r="M197" s="347" t="s">
        <v>237</v>
      </c>
      <c r="N197" s="347" t="s">
        <v>210</v>
      </c>
      <c r="O197" s="347"/>
      <c r="P197" s="347"/>
      <c r="Q197" s="347"/>
      <c r="R197" s="347"/>
    </row>
    <row r="198" spans="1:18" x14ac:dyDescent="0.25">
      <c r="A198" s="311"/>
      <c r="B198" s="623"/>
      <c r="C198" s="623"/>
      <c r="D198" s="623"/>
      <c r="E198" s="624"/>
      <c r="F198" s="464"/>
      <c r="G198" s="465"/>
      <c r="H198" s="313"/>
      <c r="J198" s="39" t="str">
        <f>K198&amp;SD[[#This Row],[Insurer Code]]&amp;"; "&amp;L198&amp;SD[[#This Row],[Reporting Year]]&amp;"; "&amp;M198&amp;SD[[#This Row],[Market Code]]&amp;"; "&amp;N198&amp;SD[[#This Row],[Large Provider Entity Code]]</f>
        <v xml:space="preserve">Insurer Code ; Reporting Year ; Market Code ; Large Provider Entity Code </v>
      </c>
      <c r="K198" s="347" t="s">
        <v>207</v>
      </c>
      <c r="L198" s="347" t="s">
        <v>208</v>
      </c>
      <c r="M198" s="347" t="s">
        <v>237</v>
      </c>
      <c r="N198" s="347" t="s">
        <v>210</v>
      </c>
      <c r="O198" s="347"/>
      <c r="P198" s="347"/>
      <c r="Q198" s="347"/>
      <c r="R198" s="347"/>
    </row>
    <row r="199" spans="1:18" x14ac:dyDescent="0.25">
      <c r="A199" s="622"/>
      <c r="B199" s="623"/>
      <c r="C199" s="623"/>
      <c r="D199" s="623"/>
      <c r="E199" s="624"/>
      <c r="F199" s="464"/>
      <c r="G199" s="465"/>
      <c r="H199" s="313"/>
      <c r="J199" s="39" t="str">
        <f>K199&amp;SD[[#This Row],[Insurer Code]]&amp;"; "&amp;L199&amp;SD[[#This Row],[Reporting Year]]&amp;"; "&amp;M199&amp;SD[[#This Row],[Market Code]]&amp;"; "&amp;N199&amp;SD[[#This Row],[Large Provider Entity Code]]</f>
        <v xml:space="preserve">Insurer Code ; Reporting Year ; Market Code ; Large Provider Entity Code </v>
      </c>
      <c r="K199" s="347" t="s">
        <v>207</v>
      </c>
      <c r="L199" s="347" t="s">
        <v>208</v>
      </c>
      <c r="M199" s="347" t="s">
        <v>237</v>
      </c>
      <c r="N199" s="347" t="s">
        <v>210</v>
      </c>
      <c r="O199" s="347"/>
      <c r="P199" s="347"/>
      <c r="Q199" s="347"/>
      <c r="R199" s="347"/>
    </row>
    <row r="200" spans="1:18" x14ac:dyDescent="0.25">
      <c r="A200" s="625"/>
      <c r="B200" s="623"/>
      <c r="C200" s="623"/>
      <c r="D200" s="623"/>
      <c r="E200" s="624"/>
      <c r="F200" s="464"/>
      <c r="G200" s="465"/>
      <c r="H200" s="313"/>
      <c r="J200" s="39" t="str">
        <f>K200&amp;SD[[#This Row],[Insurer Code]]&amp;"; "&amp;L200&amp;SD[[#This Row],[Reporting Year]]&amp;"; "&amp;M200&amp;SD[[#This Row],[Market Code]]&amp;"; "&amp;N200&amp;SD[[#This Row],[Large Provider Entity Code]]</f>
        <v xml:space="preserve">Insurer Code ; Reporting Year ; Market Code ; Large Provider Entity Code </v>
      </c>
      <c r="K200" s="347" t="s">
        <v>207</v>
      </c>
      <c r="L200" s="347" t="s">
        <v>208</v>
      </c>
      <c r="M200" s="347" t="s">
        <v>237</v>
      </c>
      <c r="N200" s="347" t="s">
        <v>210</v>
      </c>
      <c r="O200" s="347"/>
      <c r="P200" s="347"/>
      <c r="Q200" s="347"/>
      <c r="R200" s="347"/>
    </row>
  </sheetData>
  <mergeCells count="2">
    <mergeCell ref="A7:G7"/>
    <mergeCell ref="A5:G5"/>
  </mergeCells>
  <conditionalFormatting sqref="A12:A200">
    <cfRule type="containsBlanks" dxfId="679" priority="1" stopIfTrue="1">
      <formula>LEN(TRIM(A12))=0</formula>
    </cfRule>
    <cfRule type="expression" dxfId="678" priority="2">
      <formula>AND(A12&lt;&gt;201, A12&lt;&gt;202, A12&lt;&gt;203, A12&lt;&gt;204, A12&lt;&gt;205, A12&lt;&gt;206, A12&lt;&gt;207)</formula>
    </cfRule>
  </conditionalFormatting>
  <conditionalFormatting sqref="C12:C200">
    <cfRule type="containsBlanks" dxfId="677" priority="5" stopIfTrue="1">
      <formula>LEN(TRIM(C12))=0</formula>
    </cfRule>
    <cfRule type="expression" dxfId="676" priority="11" stopIfTrue="1">
      <formula>ISNUMBER(C12)=FALSE</formula>
    </cfRule>
    <cfRule type="expression" dxfId="675" priority="12">
      <formula>AND(C12&lt;&gt;1, C12&lt;&gt;2, C12&lt;&gt;3)</formula>
    </cfRule>
  </conditionalFormatting>
  <conditionalFormatting sqref="B12:B200">
    <cfRule type="containsBlanks" priority="8" stopIfTrue="1">
      <formula>LEN(TRIM(B12))=0</formula>
    </cfRule>
    <cfRule type="expression" dxfId="674" priority="9" stopIfTrue="1">
      <formula>ISNUMBER(B12)=FALSE</formula>
    </cfRule>
    <cfRule type="expression" dxfId="673" priority="10">
      <formula>AND(B12&lt;&gt;2021, B12&lt;&gt;2022, B12&lt;&gt;2023)</formula>
    </cfRule>
  </conditionalFormatting>
  <conditionalFormatting sqref="D12:D200">
    <cfRule type="containsBlanks" dxfId="672" priority="13" stopIfTrue="1">
      <formula>LEN(TRIM(D12))=0</formula>
    </cfRule>
    <cfRule type="expression" dxfId="671" priority="14">
      <formula>AND(D12&lt;&gt;100, D12&lt;&gt;101, D12&lt;&gt;102, D12&lt;&gt;103, D12&lt;&gt;104, D12&lt;&gt;105, D12&lt;&gt;106, D12&lt;&gt;107, D12&lt;&gt;108, D12&lt;&gt;109, D12&lt;&gt;110, D12&lt;&gt;111, D12&lt;&gt;112, D12&lt;&gt;115, D12&lt;&gt;116, D12&lt;&gt;118, D12&lt;&gt;119, D12&lt;&gt;120, D12&lt;&gt;121, D12&lt;&gt;122, D12&lt;&gt;999)</formula>
    </cfRule>
  </conditionalFormatting>
  <conditionalFormatting sqref="F12:G200">
    <cfRule type="containsBlanks" dxfId="670" priority="17" stopIfTrue="1">
      <formula>LEN(TRIM(F12))=0</formula>
    </cfRule>
    <cfRule type="expression" dxfId="669" priority="18" stopIfTrue="1">
      <formula>ISNUMBER(F12)=FALSE</formula>
    </cfRule>
    <cfRule type="cellIs" dxfId="668" priority="19" stopIfTrue="1" operator="lessThan">
      <formula>0</formula>
    </cfRule>
  </conditionalFormatting>
  <dataValidations xWindow="528" yWindow="666" count="6">
    <dataValidation type="list" allowBlank="1" showInputMessage="1" showErrorMessage="1" error="Select Market Code as listed in the Reference Tables tab." promptTitle="Input required" prompt="Input must be an option from the drop down list" sqref="C12:C200" xr:uid="{36293285-792E-496B-8251-AA1952754560}">
      <formula1>"1,2,3"</formula1>
    </dataValidation>
    <dataValidation type="decimal" operator="greaterThanOrEqual" allowBlank="1" showInputMessage="1" showErrorMessage="1" error="Input must be a non-negative number" promptTitle="Input required" prompt="Enter non-negative number" sqref="G12:G200" xr:uid="{F1824CD9-8F8B-4113-B287-24FAFB00918E}">
      <formula1>0</formula1>
    </dataValidation>
    <dataValidation type="decimal" operator="greaterThanOrEqual" allowBlank="1" showInputMessage="1" showErrorMessage="1" error="Input must be a non-negative number." promptTitle="Input required" prompt="Enter non-negative number" sqref="F12:F200" xr:uid="{13746E80-0079-4789-A5C9-AC3F8718563B}">
      <formula1>0</formula1>
    </dataValidation>
    <dataValidation type="whole" operator="greaterThanOrEqual" allowBlank="1" showInputMessage="1" showErrorMessage="1" error="Input must be a non-negative integer" promptTitle="Input required" prompt="Enter non-negative integer_x000a_" sqref="E12:E200" xr:uid="{06C8B741-E93A-4C27-B5AC-6886FE22E75E}">
      <formula1>0</formula1>
    </dataValidation>
    <dataValidation type="list" allowBlank="1" showInputMessage="1" showErrorMessage="1" errorTitle="Invalid input" error="Select option from the drop down list" promptTitle="Input required" prompt="Input must be an option from the drop down list" sqref="B12:B200" xr:uid="{AA094139-0734-4C75-9971-3506E63C3412}">
      <formula1>"2021,2022,2023"</formula1>
    </dataValidation>
    <dataValidation type="whole" operator="greaterThanOrEqual" allowBlank="1" showInputMessage="1" showErrorMessage="1" error="Input must be a non-negative integer" promptTitle="Input conditionally required" prompt="Enter non-negative integer if Large Provider Entity Code (SD04) ≠ 100 or 999_x000a_" sqref="H12:H200" xr:uid="{503892A6-D0A3-4BDA-B848-A17BF389926E}">
      <formula1>0</formula1>
    </dataValidation>
  </dataValidations>
  <pageMargins left="0.7" right="0.7" top="0.75" bottom="0.75" header="0.3" footer="0.3"/>
  <pageSetup scale="17" orientation="landscape" r:id="rId1"/>
  <headerFooter>
    <oddFooter>&amp;L&amp;"-,Bold"Carrier Benchmark Data Submission Template&amp;"-,Regular" | NJ Hart Program &amp;RPage &amp;P</oddFooter>
  </headerFooter>
  <tableParts count="1">
    <tablePart r:id="rId2"/>
  </tableParts>
  <extLst>
    <ext xmlns:x14="http://schemas.microsoft.com/office/spreadsheetml/2009/9/main" uri="{CCE6A557-97BC-4b89-ADB6-D9C93CAAB3DF}">
      <x14:dataValidations xmlns:xm="http://schemas.microsoft.com/office/excel/2006/main" xWindow="528" yWindow="666" count="2">
        <x14:dataValidation type="list" allowBlank="1" showInputMessage="1" showErrorMessage="1" promptTitle="Input required" prompt="Input must be an option from the drop down list if Member Months field (SD05) is greater than zero" xr:uid="{6AD471FC-BA60-4B01-92D2-387F92304108}">
          <x14:formula1>
            <xm:f>'Reference Tables'!$A$27:$A$47</xm:f>
          </x14:formula1>
          <xm:sqref>D12:D200</xm:sqref>
        </x14:dataValidation>
        <x14:dataValidation type="list" allowBlank="1" showInputMessage="1" showErrorMessage="1" error="Select Insurer Code as listed in the Reference Tables tab." promptTitle="Input required" prompt="Input must align with the Insurer Code in the file name and the Insurer Name (CP01) on the Cover Page tab" xr:uid="{0734EB5C-2A59-42FC-96AB-75A47A4611C3}">
          <x14:formula1>
            <xm:f>'Reference Tables'!$A$6:$A$12</xm:f>
          </x14:formula1>
          <xm:sqref>A12:A200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884F-0937-4229-9688-B814D0705138}">
  <sheetPr>
    <tabColor theme="9" tint="0.39997558519241921"/>
    <pageSetUpPr fitToPage="1"/>
  </sheetPr>
  <dimension ref="A1:L44"/>
  <sheetViews>
    <sheetView showGridLines="0" topLeftCell="A8" zoomScaleNormal="100" workbookViewId="0">
      <selection activeCell="B8" sqref="B8:C8"/>
    </sheetView>
  </sheetViews>
  <sheetFormatPr defaultColWidth="9.140625" defaultRowHeight="15" x14ac:dyDescent="0.25"/>
  <cols>
    <col min="1" max="2" width="15.7109375" style="10" customWidth="1"/>
    <col min="3" max="3" width="31" style="10" customWidth="1"/>
    <col min="4" max="4" width="24.28515625" style="10" customWidth="1"/>
    <col min="5" max="5" width="8.7109375" style="10" customWidth="1"/>
    <col min="6" max="6" width="67.42578125" style="10" bestFit="1" customWidth="1"/>
    <col min="7" max="16384" width="9.140625" style="10"/>
  </cols>
  <sheetData>
    <row r="1" spans="1:12" ht="18.75" x14ac:dyDescent="0.3">
      <c r="A1" s="9" t="s">
        <v>238</v>
      </c>
      <c r="B1" s="9"/>
      <c r="C1" s="9"/>
      <c r="D1" s="9"/>
    </row>
    <row r="2" spans="1:12" ht="30" customHeight="1" x14ac:dyDescent="0.25">
      <c r="A2" s="642" t="s">
        <v>147</v>
      </c>
      <c r="B2" s="642"/>
      <c r="C2" s="642"/>
      <c r="D2" s="642"/>
    </row>
    <row r="3" spans="1:12" ht="15" customHeight="1" x14ac:dyDescent="0.3">
      <c r="A3" s="21"/>
      <c r="B3" s="9"/>
      <c r="C3" s="9"/>
      <c r="D3" s="9"/>
    </row>
    <row r="4" spans="1:12" s="39" customFormat="1" x14ac:dyDescent="0.25">
      <c r="A4" s="270" t="s">
        <v>132</v>
      </c>
      <c r="B4" s="29"/>
      <c r="C4" s="29"/>
      <c r="D4" s="29"/>
    </row>
    <row r="5" spans="1:12" s="39" customFormat="1" ht="45" customHeight="1" x14ac:dyDescent="0.25">
      <c r="A5" s="638" t="s">
        <v>239</v>
      </c>
      <c r="B5" s="638"/>
      <c r="C5" s="638"/>
      <c r="D5" s="638"/>
    </row>
    <row r="6" spans="1:12" x14ac:dyDescent="0.25">
      <c r="A6" s="641" t="s">
        <v>240</v>
      </c>
      <c r="B6" s="641"/>
      <c r="C6" s="641"/>
      <c r="D6" s="641"/>
    </row>
    <row r="7" spans="1:12" ht="45" customHeight="1" x14ac:dyDescent="0.25">
      <c r="A7" s="639" t="s">
        <v>150</v>
      </c>
      <c r="B7" s="639"/>
      <c r="C7" s="639"/>
      <c r="D7" s="639"/>
    </row>
    <row r="8" spans="1:12" x14ac:dyDescent="0.25">
      <c r="A8" s="28"/>
      <c r="B8" s="1"/>
      <c r="C8" s="1"/>
      <c r="D8" s="1"/>
    </row>
    <row r="9" spans="1:12" x14ac:dyDescent="0.25">
      <c r="A9" s="4"/>
      <c r="B9" s="1"/>
      <c r="C9" s="1"/>
      <c r="D9" s="1"/>
    </row>
    <row r="10" spans="1:12" s="39" customFormat="1" x14ac:dyDescent="0.25">
      <c r="A10" s="29" t="s">
        <v>241</v>
      </c>
      <c r="B10" s="29" t="s">
        <v>242</v>
      </c>
      <c r="C10" s="29" t="s">
        <v>243</v>
      </c>
      <c r="D10" s="29" t="s">
        <v>244</v>
      </c>
    </row>
    <row r="11" spans="1:12" x14ac:dyDescent="0.25">
      <c r="A11" s="118" t="s">
        <v>51</v>
      </c>
      <c r="B11" s="119" t="s">
        <v>180</v>
      </c>
      <c r="C11" s="119" t="s">
        <v>113</v>
      </c>
      <c r="D11" s="357" t="s">
        <v>181</v>
      </c>
      <c r="F11" s="350" t="s">
        <v>206</v>
      </c>
    </row>
    <row r="12" spans="1:12" x14ac:dyDescent="0.25">
      <c r="A12" s="311"/>
      <c r="B12" s="312"/>
      <c r="C12" s="338"/>
      <c r="D12" s="313"/>
      <c r="F12" s="351" t="str">
        <f>G12&amp;LB[[#This Row],[Insurer Code]]&amp;"; "&amp;H12&amp;LB[[#This Row],[Reporting Year]]&amp;"; "&amp;I12&amp;LB[[#This Row],[Line of Business Category Code]]</f>
        <v xml:space="preserve">Insurer Code ; Reporting Year ; Line of Business Category Code </v>
      </c>
      <c r="G12" s="347" t="s">
        <v>207</v>
      </c>
      <c r="H12" s="347" t="s">
        <v>208</v>
      </c>
      <c r="I12" s="347" t="s">
        <v>245</v>
      </c>
      <c r="J12" s="347"/>
      <c r="K12" s="347"/>
      <c r="L12" s="347"/>
    </row>
    <row r="13" spans="1:12" x14ac:dyDescent="0.25">
      <c r="A13" s="311"/>
      <c r="B13" s="312"/>
      <c r="C13" s="338"/>
      <c r="D13" s="313"/>
      <c r="F13" s="351" t="str">
        <f>G13&amp;LB[[#This Row],[Insurer Code]]&amp;"; "&amp;H13&amp;LB[[#This Row],[Reporting Year]]&amp;"; "&amp;I13&amp;LB[[#This Row],[Line of Business Category Code]]</f>
        <v xml:space="preserve">Insurer Code ; Reporting Year ; Line of Business Category Code </v>
      </c>
      <c r="G13" s="347" t="s">
        <v>207</v>
      </c>
      <c r="H13" s="347" t="s">
        <v>208</v>
      </c>
      <c r="I13" s="347" t="s">
        <v>245</v>
      </c>
      <c r="J13" s="347"/>
      <c r="K13" s="347"/>
      <c r="L13" s="347"/>
    </row>
    <row r="14" spans="1:12" x14ac:dyDescent="0.25">
      <c r="A14" s="311"/>
      <c r="B14" s="312"/>
      <c r="C14" s="338"/>
      <c r="D14" s="313"/>
      <c r="F14" s="351" t="str">
        <f>G14&amp;LB[[#This Row],[Insurer Code]]&amp;"; "&amp;H14&amp;LB[[#This Row],[Reporting Year]]&amp;"; "&amp;I14&amp;LB[[#This Row],[Line of Business Category Code]]</f>
        <v xml:space="preserve">Insurer Code ; Reporting Year ; Line of Business Category Code </v>
      </c>
      <c r="G14" s="347" t="s">
        <v>207</v>
      </c>
      <c r="H14" s="347" t="s">
        <v>208</v>
      </c>
      <c r="I14" s="347" t="s">
        <v>245</v>
      </c>
      <c r="J14" s="347"/>
      <c r="K14" s="347"/>
      <c r="L14" s="347"/>
    </row>
    <row r="15" spans="1:12" x14ac:dyDescent="0.25">
      <c r="A15" s="311"/>
      <c r="B15" s="312"/>
      <c r="C15" s="338"/>
      <c r="D15" s="313"/>
      <c r="F15" s="351" t="str">
        <f>G15&amp;LB[[#This Row],[Insurer Code]]&amp;"; "&amp;H15&amp;LB[[#This Row],[Reporting Year]]&amp;"; "&amp;I15&amp;LB[[#This Row],[Line of Business Category Code]]</f>
        <v xml:space="preserve">Insurer Code ; Reporting Year ; Line of Business Category Code </v>
      </c>
      <c r="G15" s="347" t="s">
        <v>207</v>
      </c>
      <c r="H15" s="347" t="s">
        <v>208</v>
      </c>
      <c r="I15" s="347" t="s">
        <v>245</v>
      </c>
      <c r="J15" s="347"/>
      <c r="K15" s="347"/>
      <c r="L15" s="347"/>
    </row>
    <row r="16" spans="1:12" x14ac:dyDescent="0.25">
      <c r="A16" s="311"/>
      <c r="B16" s="312"/>
      <c r="C16" s="338"/>
      <c r="D16" s="313"/>
      <c r="F16" s="351" t="str">
        <f>G16&amp;LB[[#This Row],[Insurer Code]]&amp;"; "&amp;H16&amp;LB[[#This Row],[Reporting Year]]&amp;"; "&amp;I16&amp;LB[[#This Row],[Line of Business Category Code]]</f>
        <v xml:space="preserve">Insurer Code ; Reporting Year ; Line of Business Category Code </v>
      </c>
      <c r="G16" s="347" t="s">
        <v>207</v>
      </c>
      <c r="H16" s="347" t="s">
        <v>208</v>
      </c>
      <c r="I16" s="347" t="s">
        <v>245</v>
      </c>
      <c r="J16" s="347"/>
      <c r="K16" s="347"/>
      <c r="L16" s="347"/>
    </row>
    <row r="17" spans="1:12" x14ac:dyDescent="0.25">
      <c r="A17" s="311"/>
      <c r="B17" s="312"/>
      <c r="C17" s="338"/>
      <c r="D17" s="339"/>
      <c r="F17" s="351" t="str">
        <f>G17&amp;LB[[#This Row],[Insurer Code]]&amp;"; "&amp;H17&amp;LB[[#This Row],[Reporting Year]]&amp;"; "&amp;I17&amp;LB[[#This Row],[Line of Business Category Code]]</f>
        <v xml:space="preserve">Insurer Code ; Reporting Year ; Line of Business Category Code </v>
      </c>
      <c r="G17" s="347" t="s">
        <v>207</v>
      </c>
      <c r="H17" s="347" t="s">
        <v>208</v>
      </c>
      <c r="I17" s="347" t="s">
        <v>245</v>
      </c>
      <c r="J17" s="347"/>
      <c r="K17" s="347"/>
      <c r="L17" s="347"/>
    </row>
    <row r="18" spans="1:12" x14ac:dyDescent="0.25">
      <c r="A18" s="311"/>
      <c r="B18" s="312"/>
      <c r="C18" s="338"/>
      <c r="D18" s="313"/>
      <c r="F18" s="351" t="str">
        <f>G18&amp;LB[[#This Row],[Insurer Code]]&amp;"; "&amp;H18&amp;LB[[#This Row],[Reporting Year]]&amp;"; "&amp;I18&amp;LB[[#This Row],[Line of Business Category Code]]</f>
        <v xml:space="preserve">Insurer Code ; Reporting Year ; Line of Business Category Code </v>
      </c>
      <c r="G18" s="347" t="s">
        <v>207</v>
      </c>
      <c r="H18" s="347" t="s">
        <v>208</v>
      </c>
      <c r="I18" s="347" t="s">
        <v>245</v>
      </c>
      <c r="J18" s="347"/>
      <c r="K18" s="347"/>
      <c r="L18" s="347"/>
    </row>
    <row r="19" spans="1:12" x14ac:dyDescent="0.25">
      <c r="A19" s="311"/>
      <c r="B19" s="312"/>
      <c r="C19" s="338"/>
      <c r="D19" s="313"/>
      <c r="F19" s="351" t="str">
        <f>G19&amp;LB[[#This Row],[Insurer Code]]&amp;"; "&amp;H19&amp;LB[[#This Row],[Reporting Year]]&amp;"; "&amp;I19&amp;LB[[#This Row],[Line of Business Category Code]]</f>
        <v xml:space="preserve">Insurer Code ; Reporting Year ; Line of Business Category Code </v>
      </c>
      <c r="G19" s="347" t="s">
        <v>207</v>
      </c>
      <c r="H19" s="347" t="s">
        <v>208</v>
      </c>
      <c r="I19" s="347" t="s">
        <v>245</v>
      </c>
      <c r="J19" s="347"/>
      <c r="K19" s="347"/>
      <c r="L19" s="347"/>
    </row>
    <row r="20" spans="1:12" x14ac:dyDescent="0.25">
      <c r="A20" s="311"/>
      <c r="B20" s="312"/>
      <c r="C20" s="338"/>
      <c r="D20" s="339"/>
      <c r="F20" s="351" t="str">
        <f>G20&amp;LB[[#This Row],[Insurer Code]]&amp;"; "&amp;H20&amp;LB[[#This Row],[Reporting Year]]&amp;"; "&amp;I20&amp;LB[[#This Row],[Line of Business Category Code]]</f>
        <v xml:space="preserve">Insurer Code ; Reporting Year ; Line of Business Category Code </v>
      </c>
      <c r="G20" s="347" t="s">
        <v>207</v>
      </c>
      <c r="H20" s="347" t="s">
        <v>208</v>
      </c>
      <c r="I20" s="347" t="s">
        <v>245</v>
      </c>
      <c r="J20" s="347"/>
      <c r="K20" s="347"/>
      <c r="L20" s="347"/>
    </row>
    <row r="21" spans="1:12" x14ac:dyDescent="0.25">
      <c r="A21" s="311"/>
      <c r="B21" s="312"/>
      <c r="C21" s="338"/>
      <c r="D21" s="313"/>
      <c r="F21" s="351" t="str">
        <f>G21&amp;LB[[#This Row],[Insurer Code]]&amp;"; "&amp;H21&amp;LB[[#This Row],[Reporting Year]]&amp;"; "&amp;I21&amp;LB[[#This Row],[Line of Business Category Code]]</f>
        <v xml:space="preserve">Insurer Code ; Reporting Year ; Line of Business Category Code </v>
      </c>
      <c r="G21" s="347" t="s">
        <v>207</v>
      </c>
      <c r="H21" s="347" t="s">
        <v>208</v>
      </c>
      <c r="I21" s="347" t="s">
        <v>245</v>
      </c>
      <c r="J21" s="347"/>
      <c r="K21" s="347"/>
      <c r="L21" s="347"/>
    </row>
    <row r="22" spans="1:12" x14ac:dyDescent="0.25">
      <c r="A22" s="311"/>
      <c r="B22" s="312"/>
      <c r="C22" s="338"/>
      <c r="D22" s="313"/>
      <c r="F22" s="351" t="str">
        <f>G22&amp;LB[[#This Row],[Insurer Code]]&amp;"; "&amp;H22&amp;LB[[#This Row],[Reporting Year]]&amp;"; "&amp;I22&amp;LB[[#This Row],[Line of Business Category Code]]</f>
        <v xml:space="preserve">Insurer Code ; Reporting Year ; Line of Business Category Code </v>
      </c>
      <c r="G22" s="347" t="s">
        <v>207</v>
      </c>
      <c r="H22" s="347" t="s">
        <v>208</v>
      </c>
      <c r="I22" s="347" t="s">
        <v>245</v>
      </c>
      <c r="J22" s="347"/>
      <c r="K22" s="347"/>
      <c r="L22" s="347"/>
    </row>
    <row r="23" spans="1:12" x14ac:dyDescent="0.25">
      <c r="A23" s="311"/>
      <c r="B23" s="312"/>
      <c r="C23" s="338"/>
      <c r="D23" s="339"/>
      <c r="F23" s="351" t="str">
        <f>G23&amp;LB[[#This Row],[Insurer Code]]&amp;"; "&amp;H23&amp;LB[[#This Row],[Reporting Year]]&amp;"; "&amp;I23&amp;LB[[#This Row],[Line of Business Category Code]]</f>
        <v xml:space="preserve">Insurer Code ; Reporting Year ; Line of Business Category Code </v>
      </c>
      <c r="G23" s="347" t="s">
        <v>207</v>
      </c>
      <c r="H23" s="347" t="s">
        <v>208</v>
      </c>
      <c r="I23" s="347" t="s">
        <v>245</v>
      </c>
      <c r="J23" s="347"/>
      <c r="K23" s="347"/>
      <c r="L23" s="347"/>
    </row>
    <row r="24" spans="1:12" x14ac:dyDescent="0.25">
      <c r="A24" s="311"/>
      <c r="B24" s="312"/>
      <c r="C24" s="338"/>
      <c r="D24" s="313"/>
      <c r="F24" s="351" t="str">
        <f>G24&amp;LB[[#This Row],[Insurer Code]]&amp;"; "&amp;H24&amp;LB[[#This Row],[Reporting Year]]&amp;"; "&amp;I24&amp;LB[[#This Row],[Line of Business Category Code]]</f>
        <v xml:space="preserve">Insurer Code ; Reporting Year ; Line of Business Category Code </v>
      </c>
      <c r="G24" s="347" t="s">
        <v>207</v>
      </c>
      <c r="H24" s="347" t="s">
        <v>208</v>
      </c>
      <c r="I24" s="347" t="s">
        <v>245</v>
      </c>
      <c r="J24" s="347"/>
      <c r="K24" s="347"/>
      <c r="L24" s="347"/>
    </row>
    <row r="25" spans="1:12" x14ac:dyDescent="0.25">
      <c r="A25" s="311"/>
      <c r="B25" s="312"/>
      <c r="C25" s="338"/>
      <c r="D25" s="313"/>
      <c r="F25" s="351" t="str">
        <f>G25&amp;LB[[#This Row],[Insurer Code]]&amp;"; "&amp;H25&amp;LB[[#This Row],[Reporting Year]]&amp;"; "&amp;I25&amp;LB[[#This Row],[Line of Business Category Code]]</f>
        <v xml:space="preserve">Insurer Code ; Reporting Year ; Line of Business Category Code </v>
      </c>
      <c r="G25" s="347" t="s">
        <v>207</v>
      </c>
      <c r="H25" s="347" t="s">
        <v>208</v>
      </c>
      <c r="I25" s="347" t="s">
        <v>245</v>
      </c>
      <c r="J25" s="347"/>
      <c r="K25" s="347"/>
      <c r="L25" s="347"/>
    </row>
    <row r="26" spans="1:12" x14ac:dyDescent="0.25">
      <c r="A26" s="311"/>
      <c r="B26" s="312"/>
      <c r="C26" s="338"/>
      <c r="D26" s="339"/>
      <c r="F26" s="351" t="str">
        <f>G26&amp;LB[[#This Row],[Insurer Code]]&amp;"; "&amp;H26&amp;LB[[#This Row],[Reporting Year]]&amp;"; "&amp;I26&amp;LB[[#This Row],[Line of Business Category Code]]</f>
        <v xml:space="preserve">Insurer Code ; Reporting Year ; Line of Business Category Code </v>
      </c>
      <c r="G26" s="347" t="s">
        <v>207</v>
      </c>
      <c r="H26" s="347" t="s">
        <v>208</v>
      </c>
      <c r="I26" s="347" t="s">
        <v>245</v>
      </c>
      <c r="J26" s="347"/>
      <c r="K26" s="347"/>
      <c r="L26" s="347"/>
    </row>
    <row r="27" spans="1:12" x14ac:dyDescent="0.25">
      <c r="A27" s="311"/>
      <c r="B27" s="312"/>
      <c r="C27" s="338"/>
      <c r="D27" s="339"/>
      <c r="F27" s="351" t="str">
        <f>G27&amp;LB[[#This Row],[Insurer Code]]&amp;"; "&amp;H27&amp;LB[[#This Row],[Reporting Year]]&amp;"; "&amp;I27&amp;LB[[#This Row],[Line of Business Category Code]]</f>
        <v xml:space="preserve">Insurer Code ; Reporting Year ; Line of Business Category Code </v>
      </c>
      <c r="G27" s="347" t="s">
        <v>207</v>
      </c>
      <c r="H27" s="347" t="s">
        <v>208</v>
      </c>
      <c r="I27" s="347" t="s">
        <v>245</v>
      </c>
      <c r="J27" s="347"/>
      <c r="K27" s="347"/>
      <c r="L27" s="347"/>
    </row>
    <row r="28" spans="1:12" x14ac:dyDescent="0.25">
      <c r="A28" s="311"/>
      <c r="B28" s="312"/>
      <c r="C28" s="338"/>
      <c r="D28" s="313"/>
      <c r="F28" s="351" t="str">
        <f>G28&amp;LB[[#This Row],[Insurer Code]]&amp;"; "&amp;H28&amp;LB[[#This Row],[Reporting Year]]&amp;"; "&amp;I28&amp;LB[[#This Row],[Line of Business Category Code]]</f>
        <v xml:space="preserve">Insurer Code ; Reporting Year ; Line of Business Category Code </v>
      </c>
      <c r="G28" s="347" t="s">
        <v>207</v>
      </c>
      <c r="H28" s="347" t="s">
        <v>208</v>
      </c>
      <c r="I28" s="347" t="s">
        <v>245</v>
      </c>
      <c r="J28" s="347"/>
      <c r="K28" s="347"/>
      <c r="L28" s="347"/>
    </row>
    <row r="29" spans="1:12" x14ac:dyDescent="0.25">
      <c r="A29" s="311"/>
      <c r="B29" s="312"/>
      <c r="C29" s="338"/>
      <c r="D29" s="564"/>
      <c r="F29" s="351" t="str">
        <f>G29&amp;LB[[#This Row],[Insurer Code]]&amp;"; "&amp;H29&amp;LB[[#This Row],[Reporting Year]]&amp;"; "&amp;I29&amp;LB[[#This Row],[Line of Business Category Code]]</f>
        <v xml:space="preserve">Insurer Code ; Reporting Year ; Line of Business Category Code </v>
      </c>
      <c r="G29" s="347" t="s">
        <v>207</v>
      </c>
      <c r="H29" s="347" t="s">
        <v>208</v>
      </c>
      <c r="I29" s="347" t="s">
        <v>245</v>
      </c>
      <c r="J29" s="347"/>
      <c r="K29" s="347"/>
      <c r="L29" s="347"/>
    </row>
    <row r="30" spans="1:12" x14ac:dyDescent="0.25">
      <c r="A30" s="311"/>
      <c r="B30" s="312"/>
      <c r="C30" s="340"/>
      <c r="D30" s="313"/>
      <c r="F30" s="351" t="str">
        <f>G30&amp;LB[[#This Row],[Insurer Code]]&amp;"; "&amp;H30&amp;LB[[#This Row],[Reporting Year]]&amp;"; "&amp;I30&amp;LB[[#This Row],[Line of Business Category Code]]</f>
        <v xml:space="preserve">Insurer Code ; Reporting Year ; Line of Business Category Code </v>
      </c>
      <c r="G30" s="347" t="s">
        <v>207</v>
      </c>
      <c r="H30" s="347" t="s">
        <v>208</v>
      </c>
      <c r="I30" s="347" t="s">
        <v>245</v>
      </c>
      <c r="J30" s="347"/>
      <c r="K30" s="347"/>
      <c r="L30" s="347"/>
    </row>
    <row r="31" spans="1:12" x14ac:dyDescent="0.25">
      <c r="A31" s="311"/>
      <c r="B31" s="329"/>
      <c r="C31" s="340"/>
      <c r="D31" s="341"/>
      <c r="F31" s="351" t="str">
        <f>G31&amp;LB[[#This Row],[Insurer Code]]&amp;"; "&amp;H31&amp;LB[[#This Row],[Reporting Year]]&amp;"; "&amp;I31&amp;LB[[#This Row],[Line of Business Category Code]]</f>
        <v xml:space="preserve">Insurer Code ; Reporting Year ; Line of Business Category Code </v>
      </c>
      <c r="G31" s="347" t="s">
        <v>207</v>
      </c>
      <c r="H31" s="347" t="s">
        <v>208</v>
      </c>
      <c r="I31" s="347" t="s">
        <v>245</v>
      </c>
      <c r="J31" s="347"/>
      <c r="K31" s="347"/>
      <c r="L31" s="347"/>
    </row>
    <row r="32" spans="1:12" x14ac:dyDescent="0.25">
      <c r="A32" s="311"/>
      <c r="B32" s="312"/>
      <c r="C32" s="340"/>
      <c r="D32" s="564"/>
      <c r="F32" s="351" t="str">
        <f>G32&amp;LB[[#This Row],[Insurer Code]]&amp;"; "&amp;H32&amp;LB[[#This Row],[Reporting Year]]&amp;"; "&amp;I32&amp;LB[[#This Row],[Line of Business Category Code]]</f>
        <v xml:space="preserve">Insurer Code ; Reporting Year ; Line of Business Category Code </v>
      </c>
      <c r="G32" s="347" t="s">
        <v>207</v>
      </c>
      <c r="H32" s="347" t="s">
        <v>208</v>
      </c>
      <c r="I32" s="347" t="s">
        <v>245</v>
      </c>
      <c r="J32" s="347"/>
      <c r="K32" s="347"/>
      <c r="L32" s="347"/>
    </row>
    <row r="33" spans="1:12" x14ac:dyDescent="0.25">
      <c r="A33" s="311"/>
      <c r="B33" s="329"/>
      <c r="C33" s="340"/>
      <c r="D33" s="342"/>
      <c r="F33" s="351" t="str">
        <f>G33&amp;LB[[#This Row],[Insurer Code]]&amp;"; "&amp;H33&amp;LB[[#This Row],[Reporting Year]]&amp;"; "&amp;I33&amp;LB[[#This Row],[Line of Business Category Code]]</f>
        <v xml:space="preserve">Insurer Code ; Reporting Year ; Line of Business Category Code </v>
      </c>
      <c r="G33" s="347" t="s">
        <v>207</v>
      </c>
      <c r="H33" s="347" t="s">
        <v>208</v>
      </c>
      <c r="I33" s="347" t="s">
        <v>245</v>
      </c>
      <c r="J33" s="347"/>
      <c r="K33" s="347"/>
      <c r="L33" s="347"/>
    </row>
    <row r="34" spans="1:12" x14ac:dyDescent="0.25">
      <c r="A34" s="311"/>
      <c r="B34" s="312"/>
      <c r="C34" s="338"/>
      <c r="D34" s="313"/>
      <c r="F34" s="351" t="str">
        <f>G34&amp;LB[[#This Row],[Insurer Code]]&amp;"; "&amp;H34&amp;LB[[#This Row],[Reporting Year]]&amp;"; "&amp;I34&amp;LB[[#This Row],[Line of Business Category Code]]</f>
        <v xml:space="preserve">Insurer Code ; Reporting Year ; Line of Business Category Code </v>
      </c>
      <c r="G34" s="347" t="s">
        <v>207</v>
      </c>
      <c r="H34" s="347" t="s">
        <v>208</v>
      </c>
      <c r="I34" s="347" t="s">
        <v>245</v>
      </c>
      <c r="J34" s="347"/>
      <c r="K34" s="347"/>
      <c r="L34" s="347"/>
    </row>
    <row r="35" spans="1:12" x14ac:dyDescent="0.25">
      <c r="A35" s="311"/>
      <c r="B35" s="312"/>
      <c r="C35" s="338"/>
      <c r="D35" s="564"/>
      <c r="F35" s="351" t="str">
        <f>G35&amp;LB[[#This Row],[Insurer Code]]&amp;"; "&amp;H35&amp;LB[[#This Row],[Reporting Year]]&amp;"; "&amp;I35&amp;LB[[#This Row],[Line of Business Category Code]]</f>
        <v xml:space="preserve">Insurer Code ; Reporting Year ; Line of Business Category Code </v>
      </c>
      <c r="G35" s="347" t="s">
        <v>207</v>
      </c>
      <c r="H35" s="347" t="s">
        <v>208</v>
      </c>
      <c r="I35" s="347" t="s">
        <v>245</v>
      </c>
      <c r="J35" s="347"/>
      <c r="K35" s="347"/>
      <c r="L35" s="347"/>
    </row>
    <row r="36" spans="1:12" x14ac:dyDescent="0.25">
      <c r="A36" s="311"/>
      <c r="B36" s="312"/>
      <c r="C36" s="338"/>
      <c r="D36" s="313"/>
      <c r="F36" s="351" t="str">
        <f>G36&amp;LB[[#This Row],[Insurer Code]]&amp;"; "&amp;H36&amp;LB[[#This Row],[Reporting Year]]&amp;"; "&amp;I36&amp;LB[[#This Row],[Line of Business Category Code]]</f>
        <v xml:space="preserve">Insurer Code ; Reporting Year ; Line of Business Category Code </v>
      </c>
      <c r="G36" s="347" t="s">
        <v>207</v>
      </c>
      <c r="H36" s="347" t="s">
        <v>208</v>
      </c>
      <c r="I36" s="347" t="s">
        <v>245</v>
      </c>
      <c r="J36" s="347"/>
      <c r="K36" s="347"/>
      <c r="L36" s="347"/>
    </row>
    <row r="37" spans="1:12" x14ac:dyDescent="0.25">
      <c r="A37" s="311"/>
      <c r="B37" s="312"/>
      <c r="C37" s="338"/>
      <c r="D37" s="313"/>
      <c r="F37" s="351" t="str">
        <f>G37&amp;LB[[#This Row],[Insurer Code]]&amp;"; "&amp;H37&amp;LB[[#This Row],[Reporting Year]]&amp;"; "&amp;I37&amp;LB[[#This Row],[Line of Business Category Code]]</f>
        <v xml:space="preserve">Insurer Code ; Reporting Year ; Line of Business Category Code </v>
      </c>
      <c r="G37" s="347" t="s">
        <v>207</v>
      </c>
      <c r="H37" s="347" t="s">
        <v>208</v>
      </c>
      <c r="I37" s="347" t="s">
        <v>245</v>
      </c>
      <c r="J37" s="347"/>
      <c r="K37" s="347"/>
      <c r="L37" s="347"/>
    </row>
    <row r="38" spans="1:12" x14ac:dyDescent="0.25">
      <c r="A38" s="311"/>
      <c r="B38" s="312"/>
      <c r="C38" s="338"/>
      <c r="D38" s="339"/>
      <c r="F38" s="351" t="str">
        <f>G38&amp;LB[[#This Row],[Insurer Code]]&amp;"; "&amp;H38&amp;LB[[#This Row],[Reporting Year]]&amp;"; "&amp;I38&amp;LB[[#This Row],[Line of Business Category Code]]</f>
        <v xml:space="preserve">Insurer Code ; Reporting Year ; Line of Business Category Code </v>
      </c>
      <c r="G38" s="347" t="s">
        <v>207</v>
      </c>
      <c r="H38" s="347" t="s">
        <v>208</v>
      </c>
      <c r="I38" s="347" t="s">
        <v>245</v>
      </c>
      <c r="J38" s="347"/>
      <c r="K38" s="347"/>
      <c r="L38" s="347"/>
    </row>
    <row r="39" spans="1:12" x14ac:dyDescent="0.25">
      <c r="A39" s="311"/>
      <c r="B39" s="312"/>
      <c r="C39" s="338"/>
      <c r="D39" s="313"/>
      <c r="F39" s="351" t="str">
        <f>G39&amp;LB[[#This Row],[Insurer Code]]&amp;"; "&amp;H39&amp;LB[[#This Row],[Reporting Year]]&amp;"; "&amp;I39&amp;LB[[#This Row],[Line of Business Category Code]]</f>
        <v xml:space="preserve">Insurer Code ; Reporting Year ; Line of Business Category Code </v>
      </c>
      <c r="G39" s="347" t="s">
        <v>207</v>
      </c>
      <c r="H39" s="347" t="s">
        <v>208</v>
      </c>
      <c r="I39" s="347" t="s">
        <v>245</v>
      </c>
      <c r="J39" s="347"/>
      <c r="K39" s="347"/>
      <c r="L39" s="347"/>
    </row>
    <row r="40" spans="1:12" x14ac:dyDescent="0.25">
      <c r="A40" s="311"/>
      <c r="B40" s="312"/>
      <c r="C40" s="338"/>
      <c r="D40" s="339"/>
      <c r="F40" s="351" t="str">
        <f>G40&amp;LB[[#This Row],[Insurer Code]]&amp;"; "&amp;H40&amp;LB[[#This Row],[Reporting Year]]&amp;"; "&amp;I40&amp;LB[[#This Row],[Line of Business Category Code]]</f>
        <v xml:space="preserve">Insurer Code ; Reporting Year ; Line of Business Category Code </v>
      </c>
      <c r="G40" s="347" t="s">
        <v>207</v>
      </c>
      <c r="H40" s="347" t="s">
        <v>208</v>
      </c>
      <c r="I40" s="347" t="s">
        <v>245</v>
      </c>
      <c r="J40" s="347"/>
      <c r="K40" s="347"/>
      <c r="L40" s="347"/>
    </row>
    <row r="41" spans="1:12" x14ac:dyDescent="0.25">
      <c r="A41" s="311"/>
      <c r="B41" s="312"/>
      <c r="C41" s="338"/>
      <c r="D41" s="466"/>
      <c r="F41" s="351" t="str">
        <f>G41&amp;LB[[#This Row],[Insurer Code]]&amp;"; "&amp;H41&amp;LB[[#This Row],[Reporting Year]]&amp;"; "&amp;I41&amp;LB[[#This Row],[Line of Business Category Code]]</f>
        <v xml:space="preserve">Insurer Code ; Reporting Year ; Line of Business Category Code </v>
      </c>
      <c r="G41" s="347" t="s">
        <v>207</v>
      </c>
      <c r="H41" s="347" t="s">
        <v>208</v>
      </c>
      <c r="I41" s="347" t="s">
        <v>245</v>
      </c>
      <c r="J41" s="347"/>
      <c r="K41" s="347"/>
      <c r="L41" s="347"/>
    </row>
    <row r="42" spans="1:12" x14ac:dyDescent="0.25">
      <c r="A42" s="311"/>
      <c r="B42" s="312"/>
      <c r="C42" s="338"/>
      <c r="D42" s="339"/>
      <c r="F42" s="351" t="str">
        <f>G42&amp;LB[[#This Row],[Insurer Code]]&amp;"; "&amp;H42&amp;LB[[#This Row],[Reporting Year]]&amp;"; "&amp;I42&amp;LB[[#This Row],[Line of Business Category Code]]</f>
        <v xml:space="preserve">Insurer Code ; Reporting Year ; Line of Business Category Code </v>
      </c>
      <c r="G42" s="347" t="s">
        <v>207</v>
      </c>
      <c r="H42" s="347" t="s">
        <v>208</v>
      </c>
      <c r="I42" s="347" t="s">
        <v>245</v>
      </c>
      <c r="J42" s="347"/>
      <c r="K42" s="347"/>
      <c r="L42" s="347"/>
    </row>
    <row r="43" spans="1:12" x14ac:dyDescent="0.25">
      <c r="A43" s="311"/>
      <c r="B43" s="312"/>
      <c r="C43" s="338"/>
      <c r="D43" s="339"/>
      <c r="F43" s="351" t="str">
        <f>G43&amp;LB[[#This Row],[Insurer Code]]&amp;"; "&amp;H43&amp;LB[[#This Row],[Reporting Year]]&amp;"; "&amp;I43&amp;LB[[#This Row],[Line of Business Category Code]]</f>
        <v xml:space="preserve">Insurer Code ; Reporting Year ; Line of Business Category Code </v>
      </c>
      <c r="G43" s="347" t="s">
        <v>207</v>
      </c>
      <c r="H43" s="347" t="s">
        <v>208</v>
      </c>
      <c r="I43" s="347" t="s">
        <v>245</v>
      </c>
      <c r="J43" s="347"/>
      <c r="K43" s="347"/>
      <c r="L43" s="347"/>
    </row>
    <row r="44" spans="1:12" x14ac:dyDescent="0.25">
      <c r="A44" s="311"/>
      <c r="B44" s="312"/>
      <c r="C44" s="338"/>
      <c r="D44" s="339"/>
      <c r="F44" s="351" t="str">
        <f>G44&amp;LB[[#This Row],[Insurer Code]]&amp;"; "&amp;H44&amp;LB[[#This Row],[Reporting Year]]&amp;"; "&amp;I44&amp;LB[[#This Row],[Line of Business Category Code]]</f>
        <v xml:space="preserve">Insurer Code ; Reporting Year ; Line of Business Category Code </v>
      </c>
      <c r="G44" s="347" t="s">
        <v>207</v>
      </c>
      <c r="H44" s="347" t="s">
        <v>208</v>
      </c>
      <c r="I44" s="347" t="s">
        <v>245</v>
      </c>
      <c r="J44" s="347"/>
      <c r="K44" s="347"/>
      <c r="L44" s="347"/>
    </row>
  </sheetData>
  <mergeCells count="4">
    <mergeCell ref="A7:D7"/>
    <mergeCell ref="A6:D6"/>
    <mergeCell ref="A5:D5"/>
    <mergeCell ref="A2:D2"/>
  </mergeCells>
  <conditionalFormatting sqref="C12:C44">
    <cfRule type="containsBlanks" dxfId="654" priority="8" stopIfTrue="1">
      <formula>LEN(TRIM(C12))=0</formula>
    </cfRule>
  </conditionalFormatting>
  <conditionalFormatting sqref="A12:A44">
    <cfRule type="containsBlanks" dxfId="653" priority="1" stopIfTrue="1">
      <formula>LEN(TRIM(A12))=0</formula>
    </cfRule>
    <cfRule type="expression" dxfId="652" priority="2">
      <formula>AND(A12&lt;&gt;201, A12&lt;&gt;202, A12&lt;&gt;203, A12&lt;&gt;204, A12&lt;&gt;205, A12&lt;&gt;206, A12&lt;&gt;207)</formula>
    </cfRule>
  </conditionalFormatting>
  <conditionalFormatting sqref="B12:B44">
    <cfRule type="containsBlanks" dxfId="651" priority="5" stopIfTrue="1">
      <formula>LEN(TRIM(B12))=0</formula>
    </cfRule>
    <cfRule type="expression" dxfId="650" priority="6" stopIfTrue="1">
      <formula>ISNUMBER(B12)=FALSE</formula>
    </cfRule>
    <cfRule type="expression" dxfId="649" priority="7">
      <formula>AND(B12&lt;&gt;2021, B12&lt;&gt;2022, B12&lt;&gt;2023)</formula>
    </cfRule>
  </conditionalFormatting>
  <conditionalFormatting sqref="D12:D44">
    <cfRule type="containsBlanks" dxfId="648" priority="10" stopIfTrue="1">
      <formula>LEN(TRIM(D12))=0</formula>
    </cfRule>
    <cfRule type="expression" dxfId="647" priority="11">
      <formula>MOD(D12,1)&lt;&gt;0</formula>
    </cfRule>
  </conditionalFormatting>
  <dataValidations count="2">
    <dataValidation type="whole" operator="greaterThanOrEqual" allowBlank="1" showInputMessage="1" showErrorMessage="1" error="Input must be a non-negative integer" promptTitle="Input required" prompt="Enter non-negative integer_x000a_" sqref="D12:D44" xr:uid="{EF925ACA-A0CD-45D4-BA86-132F3CFCA8FC}">
      <formula1>0</formula1>
    </dataValidation>
    <dataValidation type="list" allowBlank="1" showInputMessage="1" showErrorMessage="1" errorTitle="Invalid input" error="Select option from the drop down list" promptTitle="Input required" prompt="Input must be an option from the drop down list" sqref="B12:B44" xr:uid="{640AA122-564E-4112-85F0-F2FC213FF05A}">
      <formula1>"2021,2022,2023"</formula1>
    </dataValidation>
  </dataValidations>
  <pageMargins left="0.7" right="0.7" top="0.75" bottom="0.75" header="0.3" footer="0.3"/>
  <pageSetup scale="70" orientation="landscape" r:id="rId1"/>
  <headerFooter>
    <oddFooter>&amp;L&amp;"-,Bold"Carrier Benchmark Data Submission Template&amp;"-,Regular" | NJ Hart Program&amp;RPage &amp;P</oddFooter>
  </headerFooter>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promptTitle="Input required" prompt="Input must be an option from the drop down list" xr:uid="{B3360FBA-737D-4650-849A-DC15F9321208}">
          <x14:formula1>
            <xm:f>'Reference Tables'!$A$73:$A$83</xm:f>
          </x14:formula1>
          <xm:sqref>C12:C44</xm:sqref>
        </x14:dataValidation>
        <x14:dataValidation type="list" allowBlank="1" showInputMessage="1" showErrorMessage="1" error="Select Insurer Code as listed in the Reference Tables tab." promptTitle="Input required" prompt="Input must align with the Insurer Code in the file name and the Insurer Name (CP01) on the Cover Page tab" xr:uid="{B1572BC8-DD96-4908-8D1A-092ACD29CDA0}">
          <x14:formula1>
            <xm:f>'Reference Tables'!$A$6:$A$12</xm:f>
          </x14:formula1>
          <xm:sqref>A12:A44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EC296-A3C5-43B6-8E06-05D8A836297F}">
  <sheetPr>
    <tabColor theme="9" tint="0.39997558519241921"/>
    <pageSetUpPr fitToPage="1"/>
  </sheetPr>
  <dimension ref="A1:XEU42"/>
  <sheetViews>
    <sheetView showGridLines="0" topLeftCell="A9" zoomScaleNormal="100" workbookViewId="0">
      <selection activeCell="F17" sqref="F17"/>
    </sheetView>
  </sheetViews>
  <sheetFormatPr defaultColWidth="9.140625" defaultRowHeight="15" x14ac:dyDescent="0.25"/>
  <cols>
    <col min="1" max="1" width="32" style="10" customWidth="1"/>
    <col min="2" max="2" width="22.42578125" style="10" customWidth="1"/>
    <col min="3" max="3" width="24.42578125" style="10" customWidth="1"/>
    <col min="4" max="4" width="31.85546875" style="10" customWidth="1"/>
    <col min="5" max="5" width="30" style="10" customWidth="1"/>
    <col min="6" max="6" width="38.42578125" style="10" customWidth="1"/>
    <col min="7" max="7" width="29.42578125" style="10" customWidth="1"/>
    <col min="8" max="8" width="9.140625" style="10"/>
    <col min="9" max="9" width="60.140625" style="10" bestFit="1" customWidth="1"/>
    <col min="10" max="16384" width="9.140625" style="10"/>
  </cols>
  <sheetData>
    <row r="1" spans="1:16375" ht="18.75" x14ac:dyDescent="0.3">
      <c r="A1" s="9" t="s">
        <v>246</v>
      </c>
      <c r="B1" s="9"/>
      <c r="C1" s="9"/>
      <c r="D1" s="9"/>
      <c r="E1" s="9"/>
      <c r="F1" s="9"/>
      <c r="G1" s="9"/>
      <c r="H1" s="354"/>
      <c r="I1" s="354"/>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c r="AN1" s="643"/>
      <c r="AO1" s="643"/>
      <c r="AP1" s="643"/>
      <c r="AQ1" s="643"/>
      <c r="AR1" s="643"/>
      <c r="AS1" s="643"/>
      <c r="AT1" s="643"/>
      <c r="AU1" s="643"/>
      <c r="AV1" s="643"/>
      <c r="AW1" s="643"/>
      <c r="AX1" s="643"/>
      <c r="AY1" s="643"/>
      <c r="AZ1" s="643"/>
      <c r="BA1" s="643"/>
      <c r="BB1" s="643"/>
      <c r="BC1" s="643"/>
      <c r="BD1" s="643"/>
      <c r="BE1" s="643"/>
      <c r="BF1" s="643"/>
      <c r="BG1" s="643"/>
      <c r="BH1" s="643"/>
      <c r="BI1" s="643"/>
      <c r="BJ1" s="643"/>
      <c r="BK1" s="643"/>
      <c r="BL1" s="643"/>
      <c r="BM1" s="643"/>
      <c r="BN1" s="643"/>
      <c r="BO1" s="643"/>
      <c r="BP1" s="643"/>
      <c r="BQ1" s="643"/>
      <c r="BR1" s="643"/>
      <c r="BS1" s="643"/>
      <c r="BT1" s="643"/>
      <c r="BU1" s="643"/>
      <c r="BV1" s="643"/>
      <c r="BW1" s="643"/>
      <c r="BX1" s="643"/>
      <c r="BY1" s="643"/>
      <c r="BZ1" s="643"/>
      <c r="CA1" s="643"/>
      <c r="CB1" s="643"/>
      <c r="CC1" s="643"/>
      <c r="CD1" s="643"/>
      <c r="CE1" s="643"/>
      <c r="CF1" s="643"/>
      <c r="CG1" s="643"/>
      <c r="CH1" s="643"/>
      <c r="CI1" s="643"/>
      <c r="CJ1" s="643"/>
      <c r="CK1" s="643"/>
      <c r="CL1" s="643"/>
      <c r="CM1" s="643"/>
      <c r="CN1" s="643"/>
      <c r="CO1" s="643"/>
      <c r="CP1" s="643"/>
      <c r="CQ1" s="643"/>
      <c r="CR1" s="643"/>
      <c r="CS1" s="643"/>
      <c r="CT1" s="643"/>
      <c r="CU1" s="643"/>
      <c r="CV1" s="643"/>
      <c r="CW1" s="643"/>
      <c r="CX1" s="643"/>
      <c r="CY1" s="643"/>
      <c r="CZ1" s="643"/>
      <c r="DA1" s="643"/>
      <c r="DB1" s="643"/>
      <c r="DC1" s="643"/>
      <c r="DD1" s="643"/>
      <c r="DE1" s="643"/>
      <c r="DF1" s="643"/>
      <c r="DG1" s="643"/>
      <c r="DH1" s="643"/>
      <c r="DI1" s="643"/>
      <c r="DJ1" s="643"/>
      <c r="DK1" s="643"/>
      <c r="DL1" s="643"/>
      <c r="DM1" s="643"/>
      <c r="DN1" s="643"/>
      <c r="DO1" s="643"/>
      <c r="DP1" s="643"/>
      <c r="DQ1" s="643"/>
      <c r="DR1" s="643"/>
      <c r="DS1" s="643"/>
      <c r="DT1" s="643"/>
      <c r="DU1" s="643"/>
      <c r="DV1" s="643"/>
      <c r="DW1" s="643"/>
      <c r="DX1" s="643"/>
      <c r="DY1" s="643"/>
      <c r="DZ1" s="643"/>
      <c r="EA1" s="643"/>
      <c r="EB1" s="643"/>
      <c r="EC1" s="643"/>
      <c r="ED1" s="643"/>
      <c r="EE1" s="643"/>
      <c r="EF1" s="643"/>
      <c r="EG1" s="643"/>
      <c r="EH1" s="643"/>
      <c r="EI1" s="643"/>
      <c r="EJ1" s="643"/>
      <c r="EK1" s="643"/>
      <c r="EL1" s="643"/>
      <c r="EM1" s="643"/>
      <c r="EN1" s="643"/>
      <c r="EO1" s="643"/>
      <c r="EP1" s="643"/>
      <c r="EQ1" s="643"/>
      <c r="ER1" s="643"/>
      <c r="ES1" s="643"/>
      <c r="ET1" s="643"/>
      <c r="EU1" s="643"/>
      <c r="EV1" s="643"/>
      <c r="EW1" s="643"/>
      <c r="EX1" s="643"/>
      <c r="EY1" s="643"/>
      <c r="EZ1" s="643"/>
      <c r="FA1" s="643"/>
      <c r="FB1" s="643"/>
      <c r="FC1" s="643"/>
      <c r="FD1" s="643"/>
      <c r="FE1" s="643"/>
      <c r="FF1" s="643"/>
      <c r="FG1" s="643"/>
      <c r="FH1" s="643"/>
      <c r="FI1" s="643"/>
      <c r="FJ1" s="643"/>
      <c r="FK1" s="643"/>
      <c r="FL1" s="643"/>
      <c r="FM1" s="643"/>
      <c r="FN1" s="643"/>
      <c r="FO1" s="643"/>
      <c r="FP1" s="643"/>
      <c r="FQ1" s="643"/>
      <c r="FR1" s="643"/>
      <c r="FS1" s="643"/>
      <c r="FT1" s="643"/>
      <c r="FU1" s="643"/>
      <c r="FV1" s="643"/>
      <c r="FW1" s="643"/>
      <c r="FX1" s="643"/>
      <c r="FY1" s="643"/>
      <c r="FZ1" s="643"/>
      <c r="GA1" s="643"/>
      <c r="GB1" s="643"/>
      <c r="GC1" s="643"/>
      <c r="GD1" s="643"/>
      <c r="GE1" s="643"/>
      <c r="GF1" s="643"/>
      <c r="GG1" s="643"/>
      <c r="GH1" s="643"/>
      <c r="GI1" s="643"/>
      <c r="GJ1" s="643"/>
      <c r="GK1" s="643"/>
      <c r="GL1" s="643"/>
      <c r="GM1" s="643"/>
      <c r="GN1" s="643"/>
      <c r="GO1" s="643"/>
      <c r="GP1" s="643"/>
      <c r="GQ1" s="643"/>
      <c r="GR1" s="643"/>
      <c r="GS1" s="643"/>
      <c r="GT1" s="643"/>
      <c r="GU1" s="643"/>
      <c r="GV1" s="643"/>
      <c r="GW1" s="643"/>
      <c r="GX1" s="643"/>
      <c r="GY1" s="643"/>
      <c r="GZ1" s="643"/>
      <c r="HA1" s="643"/>
      <c r="HB1" s="643"/>
      <c r="HC1" s="643"/>
      <c r="HD1" s="643"/>
      <c r="HE1" s="643"/>
      <c r="HF1" s="643"/>
      <c r="HG1" s="643"/>
      <c r="HH1" s="643"/>
      <c r="HI1" s="643"/>
      <c r="HJ1" s="643"/>
      <c r="HK1" s="643"/>
      <c r="HL1" s="643"/>
      <c r="HM1" s="643"/>
      <c r="HN1" s="643"/>
      <c r="HO1" s="643"/>
      <c r="HP1" s="643"/>
      <c r="HQ1" s="643"/>
      <c r="HR1" s="643"/>
      <c r="HS1" s="643"/>
      <c r="HT1" s="643"/>
      <c r="HU1" s="643"/>
      <c r="HV1" s="643"/>
      <c r="HW1" s="643"/>
      <c r="HX1" s="643"/>
      <c r="HY1" s="643"/>
      <c r="HZ1" s="643"/>
      <c r="IA1" s="643"/>
      <c r="IB1" s="643"/>
      <c r="IC1" s="643"/>
      <c r="ID1" s="643"/>
      <c r="IE1" s="643"/>
      <c r="IF1" s="643"/>
      <c r="IG1" s="643"/>
      <c r="IH1" s="643"/>
      <c r="II1" s="643"/>
      <c r="IJ1" s="643"/>
      <c r="IK1" s="643"/>
      <c r="IL1" s="643"/>
      <c r="IM1" s="643"/>
      <c r="IN1" s="643"/>
      <c r="IO1" s="643"/>
      <c r="IP1" s="643"/>
      <c r="IQ1" s="643"/>
      <c r="IR1" s="643"/>
      <c r="IS1" s="643"/>
      <c r="IT1" s="643"/>
      <c r="IU1" s="643"/>
      <c r="IV1" s="643"/>
      <c r="IW1" s="643"/>
      <c r="IX1" s="643"/>
      <c r="IY1" s="643"/>
      <c r="IZ1" s="643"/>
      <c r="JA1" s="643"/>
      <c r="JB1" s="643"/>
      <c r="JC1" s="643"/>
      <c r="JD1" s="643"/>
      <c r="JE1" s="643"/>
      <c r="JF1" s="643"/>
      <c r="JG1" s="643"/>
      <c r="JH1" s="643"/>
      <c r="JI1" s="643"/>
      <c r="JJ1" s="643"/>
      <c r="JK1" s="643"/>
      <c r="JL1" s="643"/>
      <c r="JM1" s="643"/>
      <c r="JN1" s="643"/>
      <c r="JO1" s="643"/>
      <c r="JP1" s="643"/>
      <c r="JQ1" s="643"/>
      <c r="JR1" s="643"/>
      <c r="JS1" s="643"/>
      <c r="JT1" s="643"/>
      <c r="JU1" s="643"/>
      <c r="JV1" s="643"/>
      <c r="JW1" s="643"/>
      <c r="JX1" s="643"/>
      <c r="JY1" s="643"/>
      <c r="JZ1" s="643"/>
      <c r="KA1" s="643"/>
      <c r="KB1" s="643"/>
      <c r="KC1" s="643"/>
      <c r="KD1" s="643"/>
      <c r="KE1" s="643"/>
      <c r="KF1" s="643"/>
      <c r="KG1" s="643"/>
      <c r="KH1" s="643"/>
      <c r="KI1" s="643"/>
      <c r="KJ1" s="643"/>
      <c r="KK1" s="643"/>
      <c r="KL1" s="643"/>
      <c r="KM1" s="643"/>
      <c r="KN1" s="643"/>
      <c r="KO1" s="643"/>
      <c r="KP1" s="643"/>
      <c r="KQ1" s="643"/>
      <c r="KR1" s="643"/>
      <c r="KS1" s="643"/>
      <c r="KT1" s="643"/>
      <c r="KU1" s="643"/>
      <c r="KV1" s="643"/>
      <c r="KW1" s="643"/>
      <c r="KX1" s="643"/>
      <c r="KY1" s="643"/>
      <c r="KZ1" s="643"/>
      <c r="LA1" s="643"/>
      <c r="LB1" s="643"/>
      <c r="LC1" s="643"/>
      <c r="LD1" s="643"/>
      <c r="LE1" s="643"/>
      <c r="LF1" s="643"/>
      <c r="LG1" s="643"/>
      <c r="LH1" s="643"/>
      <c r="LI1" s="643"/>
      <c r="LJ1" s="643"/>
      <c r="LK1" s="643"/>
      <c r="LL1" s="643"/>
      <c r="LM1" s="643"/>
      <c r="LN1" s="643"/>
      <c r="LO1" s="643"/>
      <c r="LP1" s="643"/>
      <c r="LQ1" s="643"/>
      <c r="LR1" s="643"/>
      <c r="LS1" s="643"/>
      <c r="LT1" s="643"/>
      <c r="LU1" s="643"/>
      <c r="LV1" s="643"/>
      <c r="LW1" s="643"/>
      <c r="LX1" s="643"/>
      <c r="LY1" s="643"/>
      <c r="LZ1" s="643"/>
      <c r="MA1" s="643"/>
      <c r="MB1" s="643"/>
      <c r="MC1" s="643"/>
      <c r="MD1" s="643"/>
      <c r="ME1" s="643"/>
      <c r="MF1" s="643"/>
      <c r="MG1" s="643"/>
      <c r="MH1" s="643"/>
      <c r="MI1" s="643"/>
      <c r="MJ1" s="643"/>
      <c r="MK1" s="643"/>
      <c r="ML1" s="643"/>
      <c r="MM1" s="643"/>
      <c r="MN1" s="643"/>
      <c r="MO1" s="643"/>
      <c r="MP1" s="643"/>
      <c r="MQ1" s="643"/>
      <c r="MR1" s="643"/>
      <c r="MS1" s="643"/>
      <c r="MT1" s="643"/>
      <c r="MU1" s="643"/>
      <c r="MV1" s="643"/>
      <c r="MW1" s="643"/>
      <c r="MX1" s="643"/>
      <c r="MY1" s="643"/>
      <c r="MZ1" s="643"/>
      <c r="NA1" s="643"/>
      <c r="NB1" s="643"/>
      <c r="NC1" s="643"/>
      <c r="ND1" s="643"/>
      <c r="NE1" s="643"/>
      <c r="NF1" s="643"/>
      <c r="NG1" s="643"/>
      <c r="NH1" s="643"/>
      <c r="NI1" s="643"/>
      <c r="NJ1" s="643"/>
      <c r="NK1" s="643"/>
      <c r="NL1" s="643"/>
      <c r="NM1" s="643"/>
      <c r="NN1" s="643"/>
      <c r="NO1" s="643"/>
      <c r="NP1" s="643"/>
      <c r="NQ1" s="643"/>
      <c r="NR1" s="643"/>
      <c r="NS1" s="643"/>
      <c r="NT1" s="643"/>
      <c r="NU1" s="643"/>
      <c r="NV1" s="643"/>
      <c r="NW1" s="643"/>
      <c r="NX1" s="643"/>
      <c r="NY1" s="643"/>
      <c r="NZ1" s="643"/>
      <c r="OA1" s="643"/>
      <c r="OB1" s="643"/>
      <c r="OC1" s="643"/>
      <c r="OD1" s="643"/>
      <c r="OE1" s="643"/>
      <c r="OF1" s="643"/>
      <c r="OG1" s="643"/>
      <c r="OH1" s="643"/>
      <c r="OI1" s="643"/>
      <c r="OJ1" s="643"/>
      <c r="OK1" s="643"/>
      <c r="OL1" s="643"/>
      <c r="OM1" s="643"/>
      <c r="ON1" s="643"/>
      <c r="OO1" s="643"/>
      <c r="OP1" s="643"/>
      <c r="OQ1" s="643"/>
      <c r="OR1" s="643"/>
      <c r="OS1" s="643"/>
      <c r="OT1" s="643"/>
      <c r="OU1" s="643"/>
      <c r="OV1" s="643"/>
      <c r="OW1" s="643"/>
      <c r="OX1" s="643"/>
      <c r="OY1" s="643"/>
      <c r="OZ1" s="643"/>
      <c r="PA1" s="643"/>
      <c r="PB1" s="643"/>
      <c r="PC1" s="643"/>
      <c r="PD1" s="643"/>
      <c r="PE1" s="643"/>
      <c r="PF1" s="643"/>
      <c r="PG1" s="643"/>
      <c r="PH1" s="643"/>
      <c r="PI1" s="643"/>
      <c r="PJ1" s="643"/>
      <c r="PK1" s="643"/>
      <c r="PL1" s="643"/>
      <c r="PM1" s="643"/>
      <c r="PN1" s="643"/>
      <c r="PO1" s="643"/>
      <c r="PP1" s="643"/>
      <c r="PQ1" s="643"/>
      <c r="PR1" s="643"/>
      <c r="PS1" s="643"/>
      <c r="PT1" s="643"/>
      <c r="PU1" s="643"/>
      <c r="PV1" s="643"/>
      <c r="PW1" s="643"/>
      <c r="PX1" s="643"/>
      <c r="PY1" s="643"/>
      <c r="PZ1" s="643"/>
      <c r="QA1" s="643"/>
      <c r="QB1" s="643"/>
      <c r="QC1" s="643"/>
      <c r="QD1" s="643"/>
      <c r="QE1" s="643"/>
      <c r="QF1" s="643"/>
      <c r="QG1" s="643"/>
      <c r="QH1" s="643"/>
      <c r="QI1" s="643"/>
      <c r="QJ1" s="643"/>
      <c r="QK1" s="643"/>
      <c r="QL1" s="643"/>
      <c r="QM1" s="643"/>
      <c r="QN1" s="643"/>
      <c r="QO1" s="643"/>
      <c r="QP1" s="643"/>
      <c r="QQ1" s="643"/>
      <c r="QR1" s="643"/>
      <c r="QS1" s="643"/>
      <c r="QT1" s="643"/>
      <c r="QU1" s="643"/>
      <c r="QV1" s="643"/>
      <c r="QW1" s="643"/>
      <c r="QX1" s="643"/>
      <c r="QY1" s="643"/>
      <c r="QZ1" s="643"/>
      <c r="RA1" s="643"/>
      <c r="RB1" s="643"/>
      <c r="RC1" s="643"/>
      <c r="RD1" s="643"/>
      <c r="RE1" s="643"/>
      <c r="RF1" s="643"/>
      <c r="RG1" s="643"/>
      <c r="RH1" s="643"/>
      <c r="RI1" s="643"/>
      <c r="RJ1" s="643"/>
      <c r="RK1" s="643"/>
      <c r="RL1" s="643"/>
      <c r="RM1" s="643"/>
      <c r="RN1" s="643"/>
      <c r="RO1" s="643"/>
      <c r="RP1" s="643"/>
      <c r="RQ1" s="643"/>
      <c r="RR1" s="643"/>
      <c r="RS1" s="643"/>
      <c r="RT1" s="643"/>
      <c r="RU1" s="643"/>
      <c r="RV1" s="643"/>
      <c r="RW1" s="643"/>
      <c r="RX1" s="643"/>
      <c r="RY1" s="643"/>
      <c r="RZ1" s="643"/>
      <c r="SA1" s="643"/>
      <c r="SB1" s="643"/>
      <c r="SC1" s="643"/>
      <c r="SD1" s="643"/>
      <c r="SE1" s="643"/>
      <c r="SF1" s="643"/>
      <c r="SG1" s="643"/>
      <c r="SH1" s="643"/>
      <c r="SI1" s="643"/>
      <c r="SJ1" s="643"/>
      <c r="SK1" s="643"/>
      <c r="SL1" s="643"/>
      <c r="SM1" s="643"/>
      <c r="SN1" s="643"/>
      <c r="SO1" s="643"/>
      <c r="SP1" s="643"/>
      <c r="SQ1" s="643"/>
      <c r="SR1" s="643"/>
      <c r="SS1" s="643"/>
      <c r="ST1" s="643"/>
      <c r="SU1" s="643"/>
      <c r="SV1" s="643"/>
      <c r="SW1" s="643"/>
      <c r="SX1" s="643"/>
      <c r="SY1" s="643"/>
      <c r="SZ1" s="643"/>
      <c r="TA1" s="643"/>
      <c r="TB1" s="643"/>
      <c r="TC1" s="643"/>
      <c r="TD1" s="643"/>
      <c r="TE1" s="643"/>
      <c r="TF1" s="643"/>
      <c r="TG1" s="643"/>
      <c r="TH1" s="643"/>
      <c r="TI1" s="643"/>
      <c r="TJ1" s="643"/>
      <c r="TK1" s="643"/>
      <c r="TL1" s="643"/>
      <c r="TM1" s="643"/>
      <c r="TN1" s="643"/>
      <c r="TO1" s="643"/>
      <c r="TP1" s="643"/>
      <c r="TQ1" s="643"/>
      <c r="TR1" s="643"/>
      <c r="TS1" s="643"/>
      <c r="TT1" s="643"/>
      <c r="TU1" s="643"/>
      <c r="TV1" s="643"/>
      <c r="TW1" s="643"/>
      <c r="TX1" s="643"/>
      <c r="TY1" s="643"/>
      <c r="TZ1" s="643"/>
      <c r="UA1" s="643"/>
      <c r="UB1" s="643"/>
      <c r="UC1" s="643"/>
      <c r="UD1" s="643"/>
      <c r="UE1" s="643"/>
      <c r="UF1" s="643"/>
      <c r="UG1" s="643"/>
      <c r="UH1" s="643"/>
      <c r="UI1" s="643"/>
      <c r="UJ1" s="643"/>
      <c r="UK1" s="643"/>
      <c r="UL1" s="643"/>
      <c r="UM1" s="643"/>
      <c r="UN1" s="643"/>
      <c r="UO1" s="643"/>
      <c r="UP1" s="643"/>
      <c r="UQ1" s="643"/>
      <c r="UR1" s="643"/>
      <c r="US1" s="643"/>
      <c r="UT1" s="643"/>
      <c r="UU1" s="643"/>
      <c r="UV1" s="643"/>
      <c r="UW1" s="643"/>
      <c r="UX1" s="643"/>
      <c r="UY1" s="643"/>
      <c r="UZ1" s="643"/>
      <c r="VA1" s="643"/>
      <c r="VB1" s="643"/>
      <c r="VC1" s="643"/>
      <c r="VD1" s="643"/>
      <c r="VE1" s="643"/>
      <c r="VF1" s="643"/>
      <c r="VG1" s="643"/>
      <c r="VH1" s="643"/>
      <c r="VI1" s="643"/>
      <c r="VJ1" s="643"/>
      <c r="VK1" s="643"/>
      <c r="VL1" s="643"/>
      <c r="VM1" s="643"/>
      <c r="VN1" s="643"/>
      <c r="VO1" s="643"/>
      <c r="VP1" s="643"/>
      <c r="VQ1" s="643"/>
      <c r="VR1" s="643"/>
      <c r="VS1" s="643"/>
      <c r="VT1" s="643"/>
      <c r="VU1" s="643"/>
      <c r="VV1" s="643"/>
      <c r="VW1" s="643"/>
      <c r="VX1" s="643"/>
      <c r="VY1" s="643"/>
      <c r="VZ1" s="643"/>
      <c r="WA1" s="643"/>
      <c r="WB1" s="643"/>
      <c r="WC1" s="643"/>
      <c r="WD1" s="643"/>
      <c r="WE1" s="643"/>
      <c r="WF1" s="643"/>
      <c r="WG1" s="643"/>
      <c r="WH1" s="643"/>
      <c r="WI1" s="643"/>
      <c r="WJ1" s="643"/>
      <c r="WK1" s="643"/>
      <c r="WL1" s="643"/>
      <c r="WM1" s="643"/>
      <c r="WN1" s="643"/>
      <c r="WO1" s="643"/>
      <c r="WP1" s="643"/>
      <c r="WQ1" s="643"/>
      <c r="WR1" s="643"/>
      <c r="WS1" s="643"/>
      <c r="WT1" s="643"/>
      <c r="WU1" s="643"/>
      <c r="WV1" s="643"/>
      <c r="WW1" s="643"/>
      <c r="WX1" s="643"/>
      <c r="WY1" s="643"/>
      <c r="WZ1" s="643"/>
      <c r="XA1" s="643"/>
      <c r="XB1" s="643"/>
      <c r="XC1" s="643"/>
      <c r="XD1" s="643"/>
      <c r="XE1" s="643"/>
      <c r="XF1" s="643"/>
      <c r="XG1" s="643"/>
      <c r="XH1" s="643"/>
      <c r="XI1" s="643"/>
      <c r="XJ1" s="643"/>
      <c r="XK1" s="643"/>
      <c r="XL1" s="643"/>
      <c r="XM1" s="643"/>
      <c r="XN1" s="643"/>
      <c r="XO1" s="643"/>
      <c r="XP1" s="643"/>
      <c r="XQ1" s="643"/>
      <c r="XR1" s="643"/>
      <c r="XS1" s="643"/>
      <c r="XT1" s="643"/>
      <c r="XU1" s="643"/>
      <c r="XV1" s="643"/>
      <c r="XW1" s="643"/>
      <c r="XX1" s="643"/>
      <c r="XY1" s="643"/>
      <c r="XZ1" s="643"/>
      <c r="YA1" s="643"/>
      <c r="YB1" s="643"/>
      <c r="YC1" s="643"/>
      <c r="YD1" s="643"/>
      <c r="YE1" s="643"/>
      <c r="YF1" s="643"/>
      <c r="YG1" s="643"/>
      <c r="YH1" s="643"/>
      <c r="YI1" s="643"/>
      <c r="YJ1" s="643"/>
      <c r="YK1" s="643"/>
      <c r="YL1" s="643"/>
      <c r="YM1" s="643"/>
      <c r="YN1" s="643"/>
      <c r="YO1" s="643"/>
      <c r="YP1" s="643"/>
      <c r="YQ1" s="643"/>
      <c r="YR1" s="643"/>
      <c r="YS1" s="643"/>
      <c r="YT1" s="643"/>
      <c r="YU1" s="643"/>
      <c r="YV1" s="643"/>
      <c r="YW1" s="643"/>
      <c r="YX1" s="643"/>
      <c r="YY1" s="643"/>
      <c r="YZ1" s="643"/>
      <c r="ZA1" s="643"/>
      <c r="ZB1" s="643"/>
      <c r="ZC1" s="643"/>
      <c r="ZD1" s="643"/>
      <c r="ZE1" s="643"/>
      <c r="ZF1" s="643"/>
      <c r="ZG1" s="643"/>
      <c r="ZH1" s="643"/>
      <c r="ZI1" s="643"/>
      <c r="ZJ1" s="643"/>
      <c r="ZK1" s="643"/>
      <c r="ZL1" s="643"/>
      <c r="ZM1" s="643"/>
      <c r="ZN1" s="643"/>
      <c r="ZO1" s="643"/>
      <c r="ZP1" s="643"/>
      <c r="ZQ1" s="643"/>
      <c r="ZR1" s="643"/>
      <c r="ZS1" s="643"/>
      <c r="ZT1" s="643"/>
      <c r="ZU1" s="643"/>
      <c r="ZV1" s="643"/>
      <c r="ZW1" s="643"/>
      <c r="ZX1" s="643"/>
      <c r="ZY1" s="643"/>
      <c r="ZZ1" s="643"/>
      <c r="AAA1" s="643"/>
      <c r="AAB1" s="643"/>
      <c r="AAC1" s="643"/>
      <c r="AAD1" s="643"/>
      <c r="AAE1" s="643"/>
      <c r="AAF1" s="643"/>
      <c r="AAG1" s="643"/>
      <c r="AAH1" s="643"/>
      <c r="AAI1" s="643"/>
      <c r="AAJ1" s="643"/>
      <c r="AAK1" s="643"/>
      <c r="AAL1" s="643"/>
      <c r="AAM1" s="643"/>
      <c r="AAN1" s="643"/>
      <c r="AAO1" s="643"/>
      <c r="AAP1" s="643"/>
      <c r="AAQ1" s="643"/>
      <c r="AAR1" s="643"/>
      <c r="AAS1" s="643"/>
      <c r="AAT1" s="643"/>
      <c r="AAU1" s="643"/>
      <c r="AAV1" s="643"/>
      <c r="AAW1" s="643"/>
      <c r="AAX1" s="643"/>
      <c r="AAY1" s="643"/>
      <c r="AAZ1" s="643"/>
      <c r="ABA1" s="643"/>
      <c r="ABB1" s="643"/>
      <c r="ABC1" s="643"/>
      <c r="ABD1" s="643"/>
      <c r="ABE1" s="643"/>
      <c r="ABF1" s="643"/>
      <c r="ABG1" s="643"/>
      <c r="ABH1" s="643"/>
      <c r="ABI1" s="643"/>
      <c r="ABJ1" s="643"/>
      <c r="ABK1" s="643"/>
      <c r="ABL1" s="643"/>
      <c r="ABM1" s="643"/>
      <c r="ABN1" s="643"/>
      <c r="ABO1" s="643"/>
      <c r="ABP1" s="643"/>
      <c r="ABQ1" s="643"/>
      <c r="ABR1" s="643"/>
      <c r="ABS1" s="643"/>
      <c r="ABT1" s="643"/>
      <c r="ABU1" s="643"/>
      <c r="ABV1" s="643"/>
      <c r="ABW1" s="643"/>
      <c r="ABX1" s="643"/>
      <c r="ABY1" s="643"/>
      <c r="ABZ1" s="643"/>
      <c r="ACA1" s="643"/>
      <c r="ACB1" s="643"/>
      <c r="ACC1" s="643"/>
      <c r="ACD1" s="643"/>
      <c r="ACE1" s="643"/>
      <c r="ACF1" s="643"/>
      <c r="ACG1" s="643"/>
      <c r="ACH1" s="643"/>
      <c r="ACI1" s="643"/>
      <c r="ACJ1" s="643"/>
      <c r="ACK1" s="643"/>
      <c r="ACL1" s="643"/>
      <c r="ACM1" s="643"/>
      <c r="ACN1" s="643"/>
      <c r="ACO1" s="643"/>
      <c r="ACP1" s="643"/>
      <c r="ACQ1" s="643"/>
      <c r="ACR1" s="643"/>
      <c r="ACS1" s="643"/>
      <c r="ACT1" s="643"/>
      <c r="ACU1" s="643"/>
      <c r="ACV1" s="643"/>
      <c r="ACW1" s="643"/>
      <c r="ACX1" s="643"/>
      <c r="ACY1" s="643"/>
      <c r="ACZ1" s="643"/>
      <c r="ADA1" s="643"/>
      <c r="ADB1" s="643"/>
      <c r="ADC1" s="643"/>
      <c r="ADD1" s="643"/>
      <c r="ADE1" s="643"/>
      <c r="ADF1" s="643"/>
      <c r="ADG1" s="643"/>
      <c r="ADH1" s="643"/>
      <c r="ADI1" s="643"/>
      <c r="ADJ1" s="643"/>
      <c r="ADK1" s="643"/>
      <c r="ADL1" s="643"/>
      <c r="ADM1" s="643"/>
      <c r="ADN1" s="643"/>
      <c r="ADO1" s="643"/>
      <c r="ADP1" s="643"/>
      <c r="ADQ1" s="643"/>
      <c r="ADR1" s="643"/>
      <c r="ADS1" s="643"/>
      <c r="ADT1" s="643"/>
      <c r="ADU1" s="643"/>
      <c r="ADV1" s="643"/>
      <c r="ADW1" s="643"/>
      <c r="ADX1" s="643"/>
      <c r="ADY1" s="643"/>
      <c r="ADZ1" s="643"/>
      <c r="AEA1" s="643"/>
      <c r="AEB1" s="643"/>
      <c r="AEC1" s="643"/>
      <c r="AED1" s="643"/>
      <c r="AEE1" s="643"/>
      <c r="AEF1" s="643"/>
      <c r="AEG1" s="643"/>
      <c r="AEH1" s="643"/>
      <c r="AEI1" s="643"/>
      <c r="AEJ1" s="643"/>
      <c r="AEK1" s="643"/>
      <c r="AEL1" s="643"/>
      <c r="AEM1" s="643"/>
      <c r="AEN1" s="643"/>
      <c r="AEO1" s="643"/>
      <c r="AEP1" s="643"/>
      <c r="AEQ1" s="643"/>
      <c r="AER1" s="643"/>
      <c r="AES1" s="643"/>
      <c r="AET1" s="643"/>
      <c r="AEU1" s="643"/>
      <c r="AEV1" s="643"/>
      <c r="AEW1" s="643"/>
      <c r="AEX1" s="643"/>
      <c r="AEY1" s="643"/>
      <c r="AEZ1" s="643"/>
      <c r="AFA1" s="643"/>
      <c r="AFB1" s="643"/>
      <c r="AFC1" s="643"/>
      <c r="AFD1" s="643"/>
      <c r="AFE1" s="643"/>
      <c r="AFF1" s="643"/>
      <c r="AFG1" s="643"/>
      <c r="AFH1" s="643"/>
      <c r="AFI1" s="643"/>
      <c r="AFJ1" s="643"/>
      <c r="AFK1" s="643"/>
      <c r="AFL1" s="643"/>
      <c r="AFM1" s="643"/>
      <c r="AFN1" s="643"/>
      <c r="AFO1" s="643"/>
      <c r="AFP1" s="643"/>
      <c r="AFQ1" s="643"/>
      <c r="AFR1" s="643"/>
      <c r="AFS1" s="643"/>
      <c r="AFT1" s="643"/>
      <c r="AFU1" s="643"/>
      <c r="AFV1" s="643"/>
      <c r="AFW1" s="643"/>
      <c r="AFX1" s="643"/>
      <c r="AFY1" s="643"/>
      <c r="AFZ1" s="643"/>
      <c r="AGA1" s="643"/>
      <c r="AGB1" s="643"/>
      <c r="AGC1" s="643"/>
      <c r="AGD1" s="643"/>
      <c r="AGE1" s="643"/>
      <c r="AGF1" s="643"/>
      <c r="AGG1" s="643"/>
      <c r="AGH1" s="643"/>
      <c r="AGI1" s="643"/>
      <c r="AGJ1" s="643"/>
      <c r="AGK1" s="643"/>
      <c r="AGL1" s="643"/>
      <c r="AGM1" s="643"/>
      <c r="AGN1" s="643"/>
      <c r="AGO1" s="643"/>
      <c r="AGP1" s="643"/>
      <c r="AGQ1" s="643"/>
      <c r="AGR1" s="643"/>
      <c r="AGS1" s="643"/>
      <c r="AGT1" s="643"/>
      <c r="AGU1" s="643"/>
      <c r="AGV1" s="643"/>
      <c r="AGW1" s="643"/>
      <c r="AGX1" s="643"/>
      <c r="AGY1" s="643"/>
      <c r="AGZ1" s="643"/>
      <c r="AHA1" s="643"/>
      <c r="AHB1" s="643"/>
      <c r="AHC1" s="643"/>
      <c r="AHD1" s="643"/>
      <c r="AHE1" s="643"/>
      <c r="AHF1" s="643"/>
      <c r="AHG1" s="643"/>
      <c r="AHH1" s="643"/>
      <c r="AHI1" s="643"/>
      <c r="AHJ1" s="643"/>
      <c r="AHK1" s="643"/>
      <c r="AHL1" s="643"/>
      <c r="AHM1" s="643"/>
      <c r="AHN1" s="643"/>
      <c r="AHO1" s="643"/>
      <c r="AHP1" s="643"/>
      <c r="AHQ1" s="643"/>
      <c r="AHR1" s="643"/>
      <c r="AHS1" s="643"/>
      <c r="AHT1" s="643"/>
      <c r="AHU1" s="643"/>
      <c r="AHV1" s="643"/>
      <c r="AHW1" s="643"/>
      <c r="AHX1" s="643"/>
      <c r="AHY1" s="643"/>
      <c r="AHZ1" s="643"/>
      <c r="AIA1" s="643"/>
      <c r="AIB1" s="643"/>
      <c r="AIC1" s="643"/>
      <c r="AID1" s="643"/>
      <c r="AIE1" s="643"/>
      <c r="AIF1" s="643"/>
      <c r="AIG1" s="643"/>
      <c r="AIH1" s="643"/>
      <c r="AII1" s="643"/>
      <c r="AIJ1" s="643"/>
      <c r="AIK1" s="643"/>
      <c r="AIL1" s="643"/>
      <c r="AIM1" s="643"/>
      <c r="AIN1" s="643"/>
      <c r="AIO1" s="643"/>
      <c r="AIP1" s="643"/>
      <c r="AIQ1" s="643"/>
      <c r="AIR1" s="643"/>
      <c r="AIS1" s="643"/>
      <c r="AIT1" s="643"/>
      <c r="AIU1" s="643"/>
      <c r="AIV1" s="643"/>
      <c r="AIW1" s="643"/>
      <c r="AIX1" s="643"/>
      <c r="AIY1" s="643"/>
      <c r="AIZ1" s="643"/>
      <c r="AJA1" s="643"/>
      <c r="AJB1" s="643"/>
      <c r="AJC1" s="643"/>
      <c r="AJD1" s="643"/>
      <c r="AJE1" s="643"/>
      <c r="AJF1" s="643"/>
      <c r="AJG1" s="643"/>
      <c r="AJH1" s="643"/>
      <c r="AJI1" s="643"/>
      <c r="AJJ1" s="643"/>
      <c r="AJK1" s="643"/>
      <c r="AJL1" s="643"/>
      <c r="AJM1" s="643"/>
      <c r="AJN1" s="643"/>
      <c r="AJO1" s="643"/>
      <c r="AJP1" s="643"/>
      <c r="AJQ1" s="643"/>
      <c r="AJR1" s="643"/>
      <c r="AJS1" s="643"/>
      <c r="AJT1" s="643"/>
      <c r="AJU1" s="643"/>
      <c r="AJV1" s="643"/>
      <c r="AJW1" s="643"/>
      <c r="AJX1" s="643"/>
      <c r="AJY1" s="643"/>
      <c r="AJZ1" s="643"/>
      <c r="AKA1" s="643"/>
      <c r="AKB1" s="643"/>
      <c r="AKC1" s="643"/>
      <c r="AKD1" s="643"/>
      <c r="AKE1" s="643"/>
      <c r="AKF1" s="643"/>
      <c r="AKG1" s="643"/>
      <c r="AKH1" s="643"/>
      <c r="AKI1" s="643"/>
      <c r="AKJ1" s="643"/>
      <c r="AKK1" s="643"/>
      <c r="AKL1" s="643"/>
      <c r="AKM1" s="643"/>
      <c r="AKN1" s="643"/>
      <c r="AKO1" s="643"/>
      <c r="AKP1" s="643"/>
      <c r="AKQ1" s="643"/>
      <c r="AKR1" s="643"/>
      <c r="AKS1" s="643"/>
      <c r="AKT1" s="643"/>
      <c r="AKU1" s="643"/>
      <c r="AKV1" s="643"/>
      <c r="AKW1" s="643"/>
      <c r="AKX1" s="643"/>
      <c r="AKY1" s="643"/>
      <c r="AKZ1" s="643"/>
      <c r="ALA1" s="643"/>
      <c r="ALB1" s="643"/>
      <c r="ALC1" s="643"/>
      <c r="ALD1" s="643"/>
      <c r="ALE1" s="643"/>
      <c r="ALF1" s="643"/>
      <c r="ALG1" s="643"/>
      <c r="ALH1" s="643"/>
      <c r="ALI1" s="643"/>
      <c r="ALJ1" s="643"/>
      <c r="ALK1" s="643"/>
      <c r="ALL1" s="643"/>
      <c r="ALM1" s="643"/>
      <c r="ALN1" s="643"/>
      <c r="ALO1" s="643"/>
      <c r="ALP1" s="643"/>
      <c r="ALQ1" s="643"/>
      <c r="ALR1" s="643"/>
      <c r="ALS1" s="643"/>
      <c r="ALT1" s="643"/>
      <c r="ALU1" s="643"/>
      <c r="ALV1" s="643"/>
      <c r="ALW1" s="643"/>
      <c r="ALX1" s="643"/>
      <c r="ALY1" s="643"/>
      <c r="ALZ1" s="643"/>
      <c r="AMA1" s="643"/>
      <c r="AMB1" s="643"/>
      <c r="AMC1" s="643"/>
      <c r="AMD1" s="643"/>
      <c r="AME1" s="643"/>
      <c r="AMF1" s="643"/>
      <c r="AMG1" s="643"/>
      <c r="AMH1" s="643"/>
      <c r="AMI1" s="643"/>
      <c r="AMJ1" s="643"/>
      <c r="AMK1" s="643"/>
      <c r="AML1" s="643"/>
      <c r="AMM1" s="643"/>
      <c r="AMN1" s="643"/>
      <c r="AMO1" s="643"/>
      <c r="AMP1" s="643"/>
      <c r="AMQ1" s="643"/>
      <c r="AMR1" s="643"/>
      <c r="AMS1" s="643"/>
      <c r="AMT1" s="643"/>
      <c r="AMU1" s="643"/>
      <c r="AMV1" s="643"/>
      <c r="AMW1" s="643"/>
      <c r="AMX1" s="643"/>
      <c r="AMY1" s="643"/>
      <c r="AMZ1" s="643"/>
      <c r="ANA1" s="643"/>
      <c r="ANB1" s="643"/>
      <c r="ANC1" s="643"/>
      <c r="AND1" s="643"/>
      <c r="ANE1" s="643"/>
      <c r="ANF1" s="643"/>
      <c r="ANG1" s="643"/>
      <c r="ANH1" s="643"/>
      <c r="ANI1" s="643"/>
      <c r="ANJ1" s="643"/>
      <c r="ANK1" s="643"/>
      <c r="ANL1" s="643"/>
      <c r="ANM1" s="643"/>
      <c r="ANN1" s="643"/>
      <c r="ANO1" s="643"/>
      <c r="ANP1" s="643"/>
      <c r="ANQ1" s="643"/>
      <c r="ANR1" s="643"/>
      <c r="ANS1" s="643"/>
      <c r="ANT1" s="643"/>
      <c r="ANU1" s="643"/>
      <c r="ANV1" s="643"/>
      <c r="ANW1" s="643"/>
      <c r="ANX1" s="643"/>
      <c r="ANY1" s="643"/>
      <c r="ANZ1" s="643"/>
      <c r="AOA1" s="643"/>
      <c r="AOB1" s="643"/>
      <c r="AOC1" s="643"/>
      <c r="AOD1" s="643"/>
      <c r="AOE1" s="643"/>
      <c r="AOF1" s="643"/>
      <c r="AOG1" s="643"/>
      <c r="AOH1" s="643"/>
      <c r="AOI1" s="643"/>
      <c r="AOJ1" s="643"/>
      <c r="AOK1" s="643"/>
      <c r="AOL1" s="643"/>
      <c r="AOM1" s="643"/>
      <c r="AON1" s="643"/>
      <c r="AOO1" s="643"/>
      <c r="AOP1" s="643"/>
      <c r="AOQ1" s="643"/>
      <c r="AOR1" s="643"/>
      <c r="AOS1" s="643"/>
      <c r="AOT1" s="643"/>
      <c r="AOU1" s="643"/>
      <c r="AOV1" s="643"/>
      <c r="AOW1" s="643"/>
      <c r="AOX1" s="643"/>
      <c r="AOY1" s="643"/>
      <c r="AOZ1" s="643"/>
      <c r="APA1" s="643"/>
      <c r="APB1" s="643"/>
      <c r="APC1" s="643"/>
      <c r="APD1" s="643"/>
      <c r="APE1" s="643"/>
      <c r="APF1" s="643"/>
      <c r="APG1" s="643"/>
      <c r="APH1" s="643"/>
      <c r="API1" s="643"/>
      <c r="APJ1" s="643"/>
      <c r="APK1" s="643"/>
      <c r="APL1" s="643"/>
      <c r="APM1" s="643"/>
      <c r="APN1" s="643"/>
      <c r="APO1" s="643"/>
      <c r="APP1" s="643"/>
      <c r="APQ1" s="643"/>
      <c r="APR1" s="643"/>
      <c r="APS1" s="643"/>
      <c r="APT1" s="643"/>
      <c r="APU1" s="643"/>
      <c r="APV1" s="643"/>
      <c r="APW1" s="643"/>
      <c r="APX1" s="643"/>
      <c r="APY1" s="643"/>
      <c r="APZ1" s="643"/>
      <c r="AQA1" s="643"/>
      <c r="AQB1" s="643"/>
      <c r="AQC1" s="643"/>
      <c r="AQD1" s="643"/>
      <c r="AQE1" s="643"/>
      <c r="AQF1" s="643"/>
      <c r="AQG1" s="643"/>
      <c r="AQH1" s="643"/>
      <c r="AQI1" s="643"/>
      <c r="AQJ1" s="643"/>
      <c r="AQK1" s="643"/>
      <c r="AQL1" s="643"/>
      <c r="AQM1" s="643"/>
      <c r="AQN1" s="643"/>
      <c r="AQO1" s="643"/>
      <c r="AQP1" s="643"/>
      <c r="AQQ1" s="643"/>
      <c r="AQR1" s="643"/>
      <c r="AQS1" s="643"/>
      <c r="AQT1" s="643"/>
      <c r="AQU1" s="643"/>
      <c r="AQV1" s="643"/>
      <c r="AQW1" s="643"/>
      <c r="AQX1" s="643"/>
      <c r="AQY1" s="643"/>
      <c r="AQZ1" s="643"/>
      <c r="ARA1" s="643"/>
      <c r="ARB1" s="643"/>
      <c r="ARC1" s="643"/>
      <c r="ARD1" s="643"/>
      <c r="ARE1" s="643"/>
      <c r="ARF1" s="643"/>
      <c r="ARG1" s="643"/>
      <c r="ARH1" s="643"/>
      <c r="ARI1" s="643"/>
      <c r="ARJ1" s="643"/>
      <c r="ARK1" s="643"/>
      <c r="ARL1" s="643"/>
      <c r="ARM1" s="643"/>
      <c r="ARN1" s="643"/>
      <c r="ARO1" s="643"/>
      <c r="ARP1" s="643"/>
      <c r="ARQ1" s="643"/>
      <c r="ARR1" s="643"/>
      <c r="ARS1" s="643"/>
      <c r="ART1" s="643"/>
      <c r="ARU1" s="643"/>
      <c r="ARV1" s="643"/>
      <c r="ARW1" s="643"/>
      <c r="ARX1" s="643"/>
      <c r="ARY1" s="643"/>
      <c r="ARZ1" s="643"/>
      <c r="ASA1" s="643"/>
      <c r="ASB1" s="643"/>
      <c r="ASC1" s="643"/>
      <c r="ASD1" s="643"/>
      <c r="ASE1" s="643"/>
      <c r="ASF1" s="643"/>
      <c r="ASG1" s="643"/>
      <c r="ASH1" s="643"/>
      <c r="ASI1" s="643"/>
      <c r="ASJ1" s="643"/>
      <c r="ASK1" s="643"/>
      <c r="ASL1" s="643"/>
      <c r="ASM1" s="643"/>
      <c r="ASN1" s="643"/>
      <c r="ASO1" s="643"/>
      <c r="ASP1" s="643"/>
      <c r="ASQ1" s="643"/>
      <c r="ASR1" s="643"/>
      <c r="ASS1" s="643"/>
      <c r="AST1" s="643"/>
      <c r="ASU1" s="643"/>
      <c r="ASV1" s="643"/>
      <c r="ASW1" s="643"/>
      <c r="ASX1" s="643"/>
      <c r="ASY1" s="643"/>
      <c r="ASZ1" s="643"/>
      <c r="ATA1" s="643"/>
      <c r="ATB1" s="643"/>
      <c r="ATC1" s="643"/>
      <c r="ATD1" s="643"/>
      <c r="ATE1" s="643"/>
      <c r="ATF1" s="643"/>
      <c r="ATG1" s="643"/>
      <c r="ATH1" s="643"/>
      <c r="ATI1" s="643"/>
      <c r="ATJ1" s="643"/>
      <c r="ATK1" s="643"/>
      <c r="ATL1" s="643"/>
      <c r="ATM1" s="643"/>
      <c r="ATN1" s="643"/>
      <c r="ATO1" s="643"/>
      <c r="ATP1" s="643"/>
      <c r="ATQ1" s="643"/>
      <c r="ATR1" s="643"/>
      <c r="ATS1" s="643"/>
      <c r="ATT1" s="643"/>
      <c r="ATU1" s="643"/>
      <c r="ATV1" s="643"/>
      <c r="ATW1" s="643"/>
      <c r="ATX1" s="643"/>
      <c r="ATY1" s="643"/>
      <c r="ATZ1" s="643"/>
      <c r="AUA1" s="643"/>
      <c r="AUB1" s="643"/>
      <c r="AUC1" s="643"/>
      <c r="AUD1" s="643"/>
      <c r="AUE1" s="643"/>
      <c r="AUF1" s="643"/>
      <c r="AUG1" s="643"/>
      <c r="AUH1" s="643"/>
      <c r="AUI1" s="643"/>
      <c r="AUJ1" s="643"/>
      <c r="AUK1" s="643"/>
      <c r="AUL1" s="643"/>
      <c r="AUM1" s="643"/>
      <c r="AUN1" s="643"/>
      <c r="AUO1" s="643"/>
      <c r="AUP1" s="643"/>
      <c r="AUQ1" s="643"/>
      <c r="AUR1" s="643"/>
      <c r="AUS1" s="643"/>
      <c r="AUT1" s="643"/>
      <c r="AUU1" s="643"/>
      <c r="AUV1" s="643"/>
      <c r="AUW1" s="643"/>
      <c r="AUX1" s="643"/>
      <c r="AUY1" s="643"/>
      <c r="AUZ1" s="643"/>
      <c r="AVA1" s="643"/>
      <c r="AVB1" s="643"/>
      <c r="AVC1" s="643"/>
      <c r="AVD1" s="643"/>
      <c r="AVE1" s="643"/>
      <c r="AVF1" s="643"/>
      <c r="AVG1" s="643"/>
      <c r="AVH1" s="643"/>
      <c r="AVI1" s="643"/>
      <c r="AVJ1" s="643"/>
      <c r="AVK1" s="643"/>
      <c r="AVL1" s="643"/>
      <c r="AVM1" s="643"/>
      <c r="AVN1" s="643"/>
      <c r="AVO1" s="643"/>
      <c r="AVP1" s="643"/>
      <c r="AVQ1" s="643"/>
      <c r="AVR1" s="643"/>
      <c r="AVS1" s="643"/>
      <c r="AVT1" s="643"/>
      <c r="AVU1" s="643"/>
      <c r="AVV1" s="643"/>
      <c r="AVW1" s="643"/>
      <c r="AVX1" s="643"/>
      <c r="AVY1" s="643"/>
      <c r="AVZ1" s="643"/>
      <c r="AWA1" s="643"/>
      <c r="AWB1" s="643"/>
      <c r="AWC1" s="643"/>
      <c r="AWD1" s="643"/>
      <c r="AWE1" s="643"/>
      <c r="AWF1" s="643"/>
      <c r="AWG1" s="643"/>
      <c r="AWH1" s="643"/>
      <c r="AWI1" s="643"/>
      <c r="AWJ1" s="643"/>
      <c r="AWK1" s="643"/>
      <c r="AWL1" s="643"/>
      <c r="AWM1" s="643"/>
      <c r="AWN1" s="643"/>
      <c r="AWO1" s="643"/>
      <c r="AWP1" s="643"/>
      <c r="AWQ1" s="643"/>
      <c r="AWR1" s="643"/>
      <c r="AWS1" s="643"/>
      <c r="AWT1" s="643"/>
      <c r="AWU1" s="643"/>
      <c r="AWV1" s="643"/>
      <c r="AWW1" s="643"/>
      <c r="AWX1" s="643"/>
      <c r="AWY1" s="643"/>
      <c r="AWZ1" s="643"/>
      <c r="AXA1" s="643"/>
      <c r="AXB1" s="643"/>
      <c r="AXC1" s="643"/>
      <c r="AXD1" s="643"/>
      <c r="AXE1" s="643"/>
      <c r="AXF1" s="643"/>
      <c r="AXG1" s="643"/>
      <c r="AXH1" s="643"/>
      <c r="AXI1" s="643"/>
      <c r="AXJ1" s="643"/>
      <c r="AXK1" s="643"/>
      <c r="AXL1" s="643"/>
      <c r="AXM1" s="643"/>
      <c r="AXN1" s="643"/>
      <c r="AXO1" s="643"/>
      <c r="AXP1" s="643"/>
      <c r="AXQ1" s="643"/>
      <c r="AXR1" s="643"/>
      <c r="AXS1" s="643"/>
      <c r="AXT1" s="643"/>
      <c r="AXU1" s="643"/>
      <c r="AXV1" s="643"/>
      <c r="AXW1" s="643"/>
      <c r="AXX1" s="643"/>
      <c r="AXY1" s="643"/>
      <c r="AXZ1" s="643"/>
      <c r="AYA1" s="643"/>
      <c r="AYB1" s="643"/>
      <c r="AYC1" s="643"/>
      <c r="AYD1" s="643"/>
      <c r="AYE1" s="643"/>
      <c r="AYF1" s="643"/>
      <c r="AYG1" s="643"/>
      <c r="AYH1" s="643"/>
      <c r="AYI1" s="643"/>
      <c r="AYJ1" s="643"/>
      <c r="AYK1" s="643"/>
      <c r="AYL1" s="643"/>
      <c r="AYM1" s="643"/>
      <c r="AYN1" s="643"/>
      <c r="AYO1" s="643"/>
      <c r="AYP1" s="643"/>
      <c r="AYQ1" s="643"/>
      <c r="AYR1" s="643"/>
      <c r="AYS1" s="643"/>
      <c r="AYT1" s="643"/>
      <c r="AYU1" s="643"/>
      <c r="AYV1" s="643"/>
      <c r="AYW1" s="643"/>
      <c r="AYX1" s="643"/>
      <c r="AYY1" s="643"/>
      <c r="AYZ1" s="643"/>
      <c r="AZA1" s="643"/>
      <c r="AZB1" s="643"/>
      <c r="AZC1" s="643"/>
      <c r="AZD1" s="643"/>
      <c r="AZE1" s="643"/>
      <c r="AZF1" s="643"/>
      <c r="AZG1" s="643"/>
      <c r="AZH1" s="643"/>
      <c r="AZI1" s="643"/>
      <c r="AZJ1" s="643"/>
      <c r="AZK1" s="643"/>
      <c r="AZL1" s="643"/>
      <c r="AZM1" s="643"/>
      <c r="AZN1" s="643"/>
      <c r="AZO1" s="643"/>
      <c r="AZP1" s="643"/>
      <c r="AZQ1" s="643"/>
      <c r="AZR1" s="643"/>
      <c r="AZS1" s="643"/>
      <c r="AZT1" s="643"/>
      <c r="AZU1" s="643"/>
      <c r="AZV1" s="643"/>
      <c r="AZW1" s="643"/>
      <c r="AZX1" s="643"/>
      <c r="AZY1" s="643"/>
      <c r="AZZ1" s="643"/>
      <c r="BAA1" s="643"/>
      <c r="BAB1" s="643"/>
      <c r="BAC1" s="643"/>
      <c r="BAD1" s="643"/>
      <c r="BAE1" s="643"/>
      <c r="BAF1" s="643"/>
      <c r="BAG1" s="643"/>
      <c r="BAH1" s="643"/>
      <c r="BAI1" s="643"/>
      <c r="BAJ1" s="643"/>
      <c r="BAK1" s="643"/>
      <c r="BAL1" s="643"/>
      <c r="BAM1" s="643"/>
      <c r="BAN1" s="643"/>
      <c r="BAO1" s="643"/>
      <c r="BAP1" s="643"/>
      <c r="BAQ1" s="643"/>
      <c r="BAR1" s="643"/>
      <c r="BAS1" s="643"/>
      <c r="BAT1" s="643"/>
      <c r="BAU1" s="643"/>
      <c r="BAV1" s="643"/>
      <c r="BAW1" s="643"/>
      <c r="BAX1" s="643"/>
      <c r="BAY1" s="643"/>
      <c r="BAZ1" s="643"/>
      <c r="BBA1" s="643"/>
      <c r="BBB1" s="643"/>
      <c r="BBC1" s="643"/>
      <c r="BBD1" s="643"/>
      <c r="BBE1" s="643"/>
      <c r="BBF1" s="643"/>
      <c r="BBG1" s="643"/>
      <c r="BBH1" s="643"/>
      <c r="BBI1" s="643"/>
      <c r="BBJ1" s="643"/>
      <c r="BBK1" s="643"/>
      <c r="BBL1" s="643"/>
      <c r="BBM1" s="643"/>
      <c r="BBN1" s="643"/>
      <c r="BBO1" s="643"/>
      <c r="BBP1" s="643"/>
      <c r="BBQ1" s="643"/>
      <c r="BBR1" s="643"/>
      <c r="BBS1" s="643"/>
      <c r="BBT1" s="643"/>
      <c r="BBU1" s="643"/>
      <c r="BBV1" s="643"/>
      <c r="BBW1" s="643"/>
      <c r="BBX1" s="643"/>
      <c r="BBY1" s="643"/>
      <c r="BBZ1" s="643"/>
      <c r="BCA1" s="643"/>
      <c r="BCB1" s="643"/>
      <c r="BCC1" s="643"/>
      <c r="BCD1" s="643"/>
      <c r="BCE1" s="643"/>
      <c r="BCF1" s="643"/>
      <c r="BCG1" s="643"/>
      <c r="BCH1" s="643"/>
      <c r="BCI1" s="643"/>
      <c r="BCJ1" s="643"/>
      <c r="BCK1" s="643"/>
      <c r="BCL1" s="643"/>
      <c r="BCM1" s="643"/>
      <c r="BCN1" s="643"/>
      <c r="BCO1" s="643"/>
      <c r="BCP1" s="643"/>
      <c r="BCQ1" s="643"/>
      <c r="BCR1" s="643"/>
      <c r="BCS1" s="643"/>
      <c r="BCT1" s="643"/>
      <c r="BCU1" s="643"/>
      <c r="BCV1" s="643"/>
      <c r="BCW1" s="643"/>
      <c r="BCX1" s="643"/>
      <c r="BCY1" s="643"/>
      <c r="BCZ1" s="643"/>
      <c r="BDA1" s="643"/>
      <c r="BDB1" s="643"/>
      <c r="BDC1" s="643"/>
      <c r="BDD1" s="643"/>
      <c r="BDE1" s="643"/>
      <c r="BDF1" s="643"/>
      <c r="BDG1" s="643"/>
      <c r="BDH1" s="643"/>
      <c r="BDI1" s="643"/>
      <c r="BDJ1" s="643"/>
      <c r="BDK1" s="643"/>
      <c r="BDL1" s="643"/>
      <c r="BDM1" s="643"/>
      <c r="BDN1" s="643"/>
      <c r="BDO1" s="643"/>
      <c r="BDP1" s="643"/>
      <c r="BDQ1" s="643"/>
      <c r="BDR1" s="643"/>
      <c r="BDS1" s="643"/>
      <c r="BDT1" s="643"/>
      <c r="BDU1" s="643"/>
      <c r="BDV1" s="643"/>
      <c r="BDW1" s="643"/>
      <c r="BDX1" s="643"/>
      <c r="BDY1" s="643"/>
      <c r="BDZ1" s="643"/>
      <c r="BEA1" s="643"/>
      <c r="BEB1" s="643"/>
      <c r="BEC1" s="643"/>
      <c r="BED1" s="643"/>
      <c r="BEE1" s="643"/>
      <c r="BEF1" s="643"/>
      <c r="BEG1" s="643"/>
      <c r="BEH1" s="643"/>
      <c r="BEI1" s="643"/>
      <c r="BEJ1" s="643"/>
      <c r="BEK1" s="643"/>
      <c r="BEL1" s="643"/>
      <c r="BEM1" s="643"/>
      <c r="BEN1" s="643"/>
      <c r="BEO1" s="643"/>
      <c r="BEP1" s="643"/>
      <c r="BEQ1" s="643"/>
      <c r="BER1" s="643"/>
      <c r="BES1" s="643"/>
      <c r="BET1" s="643"/>
      <c r="BEU1" s="643"/>
      <c r="BEV1" s="643"/>
      <c r="BEW1" s="643"/>
      <c r="BEX1" s="643"/>
      <c r="BEY1" s="643"/>
      <c r="BEZ1" s="643"/>
      <c r="BFA1" s="643"/>
      <c r="BFB1" s="643"/>
      <c r="BFC1" s="643"/>
      <c r="BFD1" s="643"/>
      <c r="BFE1" s="643"/>
      <c r="BFF1" s="643"/>
      <c r="BFG1" s="643"/>
      <c r="BFH1" s="643"/>
      <c r="BFI1" s="643"/>
      <c r="BFJ1" s="643"/>
      <c r="BFK1" s="643"/>
      <c r="BFL1" s="643"/>
      <c r="BFM1" s="643"/>
      <c r="BFN1" s="643"/>
      <c r="BFO1" s="643"/>
      <c r="BFP1" s="643"/>
      <c r="BFQ1" s="643"/>
      <c r="BFR1" s="643"/>
      <c r="BFS1" s="643"/>
      <c r="BFT1" s="643"/>
      <c r="BFU1" s="643"/>
      <c r="BFV1" s="643"/>
      <c r="BFW1" s="643"/>
      <c r="BFX1" s="643"/>
      <c r="BFY1" s="643"/>
      <c r="BFZ1" s="643"/>
      <c r="BGA1" s="643"/>
      <c r="BGB1" s="643"/>
      <c r="BGC1" s="643"/>
      <c r="BGD1" s="643"/>
      <c r="BGE1" s="643"/>
      <c r="BGF1" s="643"/>
      <c r="BGG1" s="643"/>
      <c r="BGH1" s="643"/>
      <c r="BGI1" s="643"/>
      <c r="BGJ1" s="643"/>
      <c r="BGK1" s="643"/>
      <c r="BGL1" s="643"/>
      <c r="BGM1" s="643"/>
      <c r="BGN1" s="643"/>
      <c r="BGO1" s="643"/>
      <c r="BGP1" s="643"/>
      <c r="BGQ1" s="643"/>
      <c r="BGR1" s="643"/>
      <c r="BGS1" s="643"/>
      <c r="BGT1" s="643"/>
      <c r="BGU1" s="643"/>
      <c r="BGV1" s="643"/>
      <c r="BGW1" s="643"/>
      <c r="BGX1" s="643"/>
      <c r="BGY1" s="643"/>
      <c r="BGZ1" s="643"/>
      <c r="BHA1" s="643"/>
      <c r="BHB1" s="643"/>
      <c r="BHC1" s="643"/>
      <c r="BHD1" s="643"/>
      <c r="BHE1" s="643"/>
      <c r="BHF1" s="643"/>
      <c r="BHG1" s="643"/>
      <c r="BHH1" s="643"/>
      <c r="BHI1" s="643"/>
      <c r="BHJ1" s="643"/>
      <c r="BHK1" s="643"/>
      <c r="BHL1" s="643"/>
      <c r="BHM1" s="643"/>
      <c r="BHN1" s="643"/>
      <c r="BHO1" s="643"/>
      <c r="BHP1" s="643"/>
      <c r="BHQ1" s="643"/>
      <c r="BHR1" s="643"/>
      <c r="BHS1" s="643"/>
      <c r="BHT1" s="643"/>
      <c r="BHU1" s="643"/>
      <c r="BHV1" s="643"/>
      <c r="BHW1" s="643"/>
      <c r="BHX1" s="643"/>
      <c r="BHY1" s="643"/>
      <c r="BHZ1" s="643"/>
      <c r="BIA1" s="643"/>
      <c r="BIB1" s="643"/>
      <c r="BIC1" s="643"/>
      <c r="BID1" s="643"/>
      <c r="BIE1" s="643"/>
      <c r="BIF1" s="643"/>
      <c r="BIG1" s="643"/>
      <c r="BIH1" s="643"/>
      <c r="BII1" s="643"/>
      <c r="BIJ1" s="643"/>
      <c r="BIK1" s="643"/>
      <c r="BIL1" s="643"/>
      <c r="BIM1" s="643"/>
      <c r="BIN1" s="643"/>
      <c r="BIO1" s="643"/>
      <c r="BIP1" s="643"/>
      <c r="BIQ1" s="643"/>
      <c r="BIR1" s="643"/>
      <c r="BIS1" s="643"/>
      <c r="BIT1" s="643"/>
      <c r="BIU1" s="643"/>
      <c r="BIV1" s="643"/>
      <c r="BIW1" s="643"/>
      <c r="BIX1" s="643"/>
      <c r="BIY1" s="643"/>
      <c r="BIZ1" s="643"/>
      <c r="BJA1" s="643"/>
      <c r="BJB1" s="643"/>
      <c r="BJC1" s="643"/>
      <c r="BJD1" s="643"/>
      <c r="BJE1" s="643"/>
      <c r="BJF1" s="643"/>
      <c r="BJG1" s="643"/>
      <c r="BJH1" s="643"/>
      <c r="BJI1" s="643"/>
      <c r="BJJ1" s="643"/>
      <c r="BJK1" s="643"/>
      <c r="BJL1" s="643"/>
      <c r="BJM1" s="643"/>
      <c r="BJN1" s="643"/>
      <c r="BJO1" s="643"/>
      <c r="BJP1" s="643"/>
      <c r="BJQ1" s="643"/>
      <c r="BJR1" s="643"/>
      <c r="BJS1" s="643"/>
      <c r="BJT1" s="643"/>
      <c r="BJU1" s="643"/>
      <c r="BJV1" s="643"/>
      <c r="BJW1" s="643"/>
      <c r="BJX1" s="643"/>
      <c r="BJY1" s="643"/>
      <c r="BJZ1" s="643"/>
      <c r="BKA1" s="643"/>
      <c r="BKB1" s="643"/>
      <c r="BKC1" s="643"/>
      <c r="BKD1" s="643"/>
      <c r="BKE1" s="643"/>
      <c r="BKF1" s="643"/>
      <c r="BKG1" s="643"/>
      <c r="BKH1" s="643"/>
      <c r="BKI1" s="643"/>
      <c r="BKJ1" s="643"/>
      <c r="BKK1" s="643"/>
      <c r="BKL1" s="643"/>
      <c r="BKM1" s="643"/>
      <c r="BKN1" s="643"/>
      <c r="BKO1" s="643"/>
      <c r="BKP1" s="643"/>
      <c r="BKQ1" s="643"/>
      <c r="BKR1" s="643"/>
      <c r="BKS1" s="643"/>
      <c r="BKT1" s="643"/>
      <c r="BKU1" s="643"/>
      <c r="BKV1" s="643"/>
      <c r="BKW1" s="643"/>
      <c r="BKX1" s="643"/>
      <c r="BKY1" s="643"/>
      <c r="BKZ1" s="643"/>
      <c r="BLA1" s="643"/>
      <c r="BLB1" s="643"/>
      <c r="BLC1" s="643"/>
      <c r="BLD1" s="643"/>
      <c r="BLE1" s="643"/>
      <c r="BLF1" s="643"/>
      <c r="BLG1" s="643"/>
      <c r="BLH1" s="643"/>
      <c r="BLI1" s="643"/>
      <c r="BLJ1" s="643"/>
      <c r="BLK1" s="643"/>
      <c r="BLL1" s="643"/>
      <c r="BLM1" s="643"/>
      <c r="BLN1" s="643"/>
      <c r="BLO1" s="643"/>
      <c r="BLP1" s="643"/>
      <c r="BLQ1" s="643"/>
      <c r="BLR1" s="643"/>
      <c r="BLS1" s="643"/>
      <c r="BLT1" s="643"/>
      <c r="BLU1" s="643"/>
      <c r="BLV1" s="643"/>
      <c r="BLW1" s="643"/>
      <c r="BLX1" s="643"/>
      <c r="BLY1" s="643"/>
      <c r="BLZ1" s="643"/>
      <c r="BMA1" s="643"/>
      <c r="BMB1" s="643"/>
      <c r="BMC1" s="643"/>
      <c r="BMD1" s="643"/>
      <c r="BME1" s="643"/>
      <c r="BMF1" s="643"/>
      <c r="BMG1" s="643"/>
      <c r="BMH1" s="643"/>
      <c r="BMI1" s="643"/>
      <c r="BMJ1" s="643"/>
      <c r="BMK1" s="643"/>
      <c r="BML1" s="643"/>
      <c r="BMM1" s="643"/>
      <c r="BMN1" s="643"/>
      <c r="BMO1" s="643"/>
      <c r="BMP1" s="643"/>
      <c r="BMQ1" s="643"/>
      <c r="BMR1" s="643"/>
      <c r="BMS1" s="643"/>
      <c r="BMT1" s="643"/>
      <c r="BMU1" s="643"/>
      <c r="BMV1" s="643"/>
      <c r="BMW1" s="643"/>
      <c r="BMX1" s="643"/>
      <c r="BMY1" s="643"/>
      <c r="BMZ1" s="643"/>
      <c r="BNA1" s="643"/>
      <c r="BNB1" s="643"/>
      <c r="BNC1" s="643"/>
      <c r="BND1" s="643"/>
      <c r="BNE1" s="643"/>
      <c r="BNF1" s="643"/>
      <c r="BNG1" s="643"/>
      <c r="BNH1" s="643"/>
      <c r="BNI1" s="643"/>
      <c r="BNJ1" s="643"/>
      <c r="BNK1" s="643"/>
      <c r="BNL1" s="643"/>
      <c r="BNM1" s="643"/>
      <c r="BNN1" s="643"/>
      <c r="BNO1" s="643"/>
      <c r="BNP1" s="643"/>
      <c r="BNQ1" s="643"/>
      <c r="BNR1" s="643"/>
      <c r="BNS1" s="643"/>
      <c r="BNT1" s="643"/>
      <c r="BNU1" s="643"/>
      <c r="BNV1" s="643"/>
      <c r="BNW1" s="643"/>
      <c r="BNX1" s="643"/>
      <c r="BNY1" s="643"/>
      <c r="BNZ1" s="643"/>
      <c r="BOA1" s="643"/>
      <c r="BOB1" s="643"/>
      <c r="BOC1" s="643"/>
      <c r="BOD1" s="643"/>
      <c r="BOE1" s="643"/>
      <c r="BOF1" s="643"/>
      <c r="BOG1" s="643"/>
      <c r="BOH1" s="643"/>
      <c r="BOI1" s="643"/>
      <c r="BOJ1" s="643"/>
      <c r="BOK1" s="643"/>
      <c r="BOL1" s="643"/>
      <c r="BOM1" s="643"/>
      <c r="BON1" s="643"/>
      <c r="BOO1" s="643"/>
      <c r="BOP1" s="643"/>
      <c r="BOQ1" s="643"/>
      <c r="BOR1" s="643"/>
      <c r="BOS1" s="643"/>
      <c r="BOT1" s="643"/>
      <c r="BOU1" s="643"/>
      <c r="BOV1" s="643"/>
      <c r="BOW1" s="643"/>
      <c r="BOX1" s="643"/>
      <c r="BOY1" s="643"/>
      <c r="BOZ1" s="643"/>
      <c r="BPA1" s="643"/>
      <c r="BPB1" s="643"/>
      <c r="BPC1" s="643"/>
      <c r="BPD1" s="643"/>
      <c r="BPE1" s="643"/>
      <c r="BPF1" s="643"/>
      <c r="BPG1" s="643"/>
      <c r="BPH1" s="643"/>
      <c r="BPI1" s="643"/>
      <c r="BPJ1" s="643"/>
      <c r="BPK1" s="643"/>
      <c r="BPL1" s="643"/>
      <c r="BPM1" s="643"/>
      <c r="BPN1" s="643"/>
      <c r="BPO1" s="643"/>
      <c r="BPP1" s="643"/>
      <c r="BPQ1" s="643"/>
      <c r="BPR1" s="643"/>
      <c r="BPS1" s="643"/>
      <c r="BPT1" s="643"/>
      <c r="BPU1" s="643"/>
      <c r="BPV1" s="643"/>
      <c r="BPW1" s="643"/>
      <c r="BPX1" s="643"/>
      <c r="BPY1" s="643"/>
      <c r="BPZ1" s="643"/>
      <c r="BQA1" s="643"/>
      <c r="BQB1" s="643"/>
      <c r="BQC1" s="643"/>
      <c r="BQD1" s="643"/>
      <c r="BQE1" s="643"/>
      <c r="BQF1" s="643"/>
      <c r="BQG1" s="643"/>
      <c r="BQH1" s="643"/>
      <c r="BQI1" s="643"/>
      <c r="BQJ1" s="643"/>
      <c r="BQK1" s="643"/>
      <c r="BQL1" s="643"/>
      <c r="BQM1" s="643"/>
      <c r="BQN1" s="643"/>
      <c r="BQO1" s="643"/>
      <c r="BQP1" s="643"/>
      <c r="BQQ1" s="643"/>
      <c r="BQR1" s="643"/>
      <c r="BQS1" s="643"/>
      <c r="BQT1" s="643"/>
      <c r="BQU1" s="643"/>
      <c r="BQV1" s="643"/>
      <c r="BQW1" s="643"/>
      <c r="BQX1" s="643"/>
      <c r="BQY1" s="643"/>
      <c r="BQZ1" s="643"/>
      <c r="BRA1" s="643"/>
      <c r="BRB1" s="643"/>
      <c r="BRC1" s="643"/>
      <c r="BRD1" s="643"/>
      <c r="BRE1" s="643"/>
      <c r="BRF1" s="643"/>
      <c r="BRG1" s="643"/>
      <c r="BRH1" s="643"/>
      <c r="BRI1" s="643"/>
      <c r="BRJ1" s="643"/>
      <c r="BRK1" s="643"/>
      <c r="BRL1" s="643"/>
      <c r="BRM1" s="643"/>
      <c r="BRN1" s="643"/>
      <c r="BRO1" s="643"/>
      <c r="BRP1" s="643"/>
      <c r="BRQ1" s="643"/>
      <c r="BRR1" s="643"/>
      <c r="BRS1" s="643"/>
      <c r="BRT1" s="643"/>
      <c r="BRU1" s="643"/>
      <c r="BRV1" s="643"/>
      <c r="BRW1" s="643"/>
      <c r="BRX1" s="643"/>
      <c r="BRY1" s="643"/>
      <c r="BRZ1" s="643"/>
      <c r="BSA1" s="643"/>
      <c r="BSB1" s="643"/>
      <c r="BSC1" s="643"/>
      <c r="BSD1" s="643"/>
      <c r="BSE1" s="643"/>
      <c r="BSF1" s="643"/>
      <c r="BSG1" s="643"/>
      <c r="BSH1" s="643"/>
      <c r="BSI1" s="643"/>
      <c r="BSJ1" s="643"/>
      <c r="BSK1" s="643"/>
      <c r="BSL1" s="643"/>
      <c r="BSM1" s="643"/>
      <c r="BSN1" s="643"/>
      <c r="BSO1" s="643"/>
      <c r="BSP1" s="643"/>
      <c r="BSQ1" s="643"/>
      <c r="BSR1" s="643"/>
      <c r="BSS1" s="643"/>
      <c r="BST1" s="643"/>
      <c r="BSU1" s="643"/>
      <c r="BSV1" s="643"/>
      <c r="BSW1" s="643"/>
      <c r="BSX1" s="643"/>
      <c r="BSY1" s="643"/>
      <c r="BSZ1" s="643"/>
      <c r="BTA1" s="643"/>
      <c r="BTB1" s="643"/>
      <c r="BTC1" s="643"/>
      <c r="BTD1" s="643"/>
      <c r="BTE1" s="643"/>
      <c r="BTF1" s="643"/>
      <c r="BTG1" s="643"/>
      <c r="BTH1" s="643"/>
      <c r="BTI1" s="643"/>
      <c r="BTJ1" s="643"/>
      <c r="BTK1" s="643"/>
      <c r="BTL1" s="643"/>
      <c r="BTM1" s="643"/>
      <c r="BTN1" s="643"/>
      <c r="BTO1" s="643"/>
      <c r="BTP1" s="643"/>
      <c r="BTQ1" s="643"/>
      <c r="BTR1" s="643"/>
      <c r="BTS1" s="643"/>
      <c r="BTT1" s="643"/>
      <c r="BTU1" s="643"/>
      <c r="BTV1" s="643"/>
      <c r="BTW1" s="643"/>
      <c r="BTX1" s="643"/>
      <c r="BTY1" s="643"/>
      <c r="BTZ1" s="643"/>
      <c r="BUA1" s="643"/>
      <c r="BUB1" s="643"/>
      <c r="BUC1" s="643"/>
      <c r="BUD1" s="643"/>
      <c r="BUE1" s="643"/>
      <c r="BUF1" s="643"/>
      <c r="BUG1" s="643"/>
      <c r="BUH1" s="643"/>
      <c r="BUI1" s="643"/>
      <c r="BUJ1" s="643"/>
      <c r="BUK1" s="643"/>
      <c r="BUL1" s="643"/>
      <c r="BUM1" s="643"/>
      <c r="BUN1" s="643"/>
      <c r="BUO1" s="643"/>
      <c r="BUP1" s="643"/>
      <c r="BUQ1" s="643"/>
      <c r="BUR1" s="643"/>
      <c r="BUS1" s="643"/>
      <c r="BUT1" s="643"/>
      <c r="BUU1" s="643"/>
      <c r="BUV1" s="643"/>
      <c r="BUW1" s="643"/>
      <c r="BUX1" s="643"/>
      <c r="BUY1" s="643"/>
      <c r="BUZ1" s="643"/>
      <c r="BVA1" s="643"/>
      <c r="BVB1" s="643"/>
      <c r="BVC1" s="643"/>
      <c r="BVD1" s="643"/>
      <c r="BVE1" s="643"/>
      <c r="BVF1" s="643"/>
      <c r="BVG1" s="643"/>
      <c r="BVH1" s="643"/>
      <c r="BVI1" s="643"/>
      <c r="BVJ1" s="643"/>
      <c r="BVK1" s="643"/>
      <c r="BVL1" s="643"/>
      <c r="BVM1" s="643"/>
      <c r="BVN1" s="643"/>
      <c r="BVO1" s="643"/>
      <c r="BVP1" s="643"/>
      <c r="BVQ1" s="643"/>
      <c r="BVR1" s="643"/>
      <c r="BVS1" s="643"/>
      <c r="BVT1" s="643"/>
      <c r="BVU1" s="643"/>
      <c r="BVV1" s="643"/>
      <c r="BVW1" s="643"/>
      <c r="BVX1" s="643"/>
      <c r="BVY1" s="643"/>
      <c r="BVZ1" s="643"/>
      <c r="BWA1" s="643"/>
      <c r="BWB1" s="643"/>
      <c r="BWC1" s="643"/>
      <c r="BWD1" s="643"/>
      <c r="BWE1" s="643"/>
      <c r="BWF1" s="643"/>
      <c r="BWG1" s="643"/>
      <c r="BWH1" s="643"/>
      <c r="BWI1" s="643"/>
      <c r="BWJ1" s="643"/>
      <c r="BWK1" s="643"/>
      <c r="BWL1" s="643"/>
      <c r="BWM1" s="643"/>
      <c r="BWN1" s="643"/>
      <c r="BWO1" s="643"/>
      <c r="BWP1" s="643"/>
      <c r="BWQ1" s="643"/>
      <c r="BWR1" s="643"/>
      <c r="BWS1" s="643"/>
      <c r="BWT1" s="643"/>
      <c r="BWU1" s="643"/>
      <c r="BWV1" s="643"/>
      <c r="BWW1" s="643"/>
      <c r="BWX1" s="643"/>
      <c r="BWY1" s="643"/>
      <c r="BWZ1" s="643"/>
      <c r="BXA1" s="643"/>
      <c r="BXB1" s="643"/>
      <c r="BXC1" s="643"/>
      <c r="BXD1" s="643"/>
      <c r="BXE1" s="643"/>
      <c r="BXF1" s="643"/>
      <c r="BXG1" s="643"/>
      <c r="BXH1" s="643"/>
      <c r="BXI1" s="643"/>
      <c r="BXJ1" s="643"/>
      <c r="BXK1" s="643"/>
      <c r="BXL1" s="643"/>
      <c r="BXM1" s="643"/>
      <c r="BXN1" s="643"/>
      <c r="BXO1" s="643"/>
      <c r="BXP1" s="643"/>
      <c r="BXQ1" s="643"/>
      <c r="BXR1" s="643"/>
      <c r="BXS1" s="643"/>
      <c r="BXT1" s="643"/>
      <c r="BXU1" s="643"/>
      <c r="BXV1" s="643"/>
      <c r="BXW1" s="643"/>
      <c r="BXX1" s="643"/>
      <c r="BXY1" s="643"/>
      <c r="BXZ1" s="643"/>
      <c r="BYA1" s="643"/>
      <c r="BYB1" s="643"/>
      <c r="BYC1" s="643"/>
      <c r="BYD1" s="643"/>
      <c r="BYE1" s="643"/>
      <c r="BYF1" s="643"/>
      <c r="BYG1" s="643"/>
      <c r="BYH1" s="643"/>
      <c r="BYI1" s="643"/>
      <c r="BYJ1" s="643"/>
      <c r="BYK1" s="643"/>
      <c r="BYL1" s="643"/>
      <c r="BYM1" s="643"/>
      <c r="BYN1" s="643"/>
      <c r="BYO1" s="643"/>
      <c r="BYP1" s="643"/>
      <c r="BYQ1" s="643"/>
      <c r="BYR1" s="643"/>
      <c r="BYS1" s="643"/>
      <c r="BYT1" s="643"/>
      <c r="BYU1" s="643"/>
      <c r="BYV1" s="643"/>
      <c r="BYW1" s="643"/>
      <c r="BYX1" s="643"/>
      <c r="BYY1" s="643"/>
      <c r="BYZ1" s="643"/>
      <c r="BZA1" s="643"/>
      <c r="BZB1" s="643"/>
      <c r="BZC1" s="643"/>
      <c r="BZD1" s="643"/>
      <c r="BZE1" s="643"/>
      <c r="BZF1" s="643"/>
      <c r="BZG1" s="643"/>
      <c r="BZH1" s="643"/>
      <c r="BZI1" s="643"/>
      <c r="BZJ1" s="643"/>
      <c r="BZK1" s="643"/>
      <c r="BZL1" s="643"/>
      <c r="BZM1" s="643"/>
      <c r="BZN1" s="643"/>
      <c r="BZO1" s="643"/>
      <c r="BZP1" s="643"/>
      <c r="BZQ1" s="643"/>
      <c r="BZR1" s="643"/>
      <c r="BZS1" s="643"/>
      <c r="BZT1" s="643"/>
      <c r="BZU1" s="643"/>
      <c r="BZV1" s="643"/>
      <c r="BZW1" s="643"/>
      <c r="BZX1" s="643"/>
      <c r="BZY1" s="643"/>
      <c r="BZZ1" s="643"/>
      <c r="CAA1" s="643"/>
      <c r="CAB1" s="643"/>
      <c r="CAC1" s="643"/>
      <c r="CAD1" s="643"/>
      <c r="CAE1" s="643"/>
      <c r="CAF1" s="643"/>
      <c r="CAG1" s="643"/>
      <c r="CAH1" s="643"/>
      <c r="CAI1" s="643"/>
      <c r="CAJ1" s="643"/>
      <c r="CAK1" s="643"/>
      <c r="CAL1" s="643"/>
      <c r="CAM1" s="643"/>
      <c r="CAN1" s="643"/>
      <c r="CAO1" s="643"/>
      <c r="CAP1" s="643"/>
      <c r="CAQ1" s="643"/>
      <c r="CAR1" s="643"/>
      <c r="CAS1" s="643"/>
      <c r="CAT1" s="643"/>
      <c r="CAU1" s="643"/>
      <c r="CAV1" s="643"/>
      <c r="CAW1" s="643"/>
      <c r="CAX1" s="643"/>
      <c r="CAY1" s="643"/>
      <c r="CAZ1" s="643"/>
      <c r="CBA1" s="643"/>
      <c r="CBB1" s="643"/>
      <c r="CBC1" s="643"/>
      <c r="CBD1" s="643"/>
      <c r="CBE1" s="643"/>
      <c r="CBF1" s="643"/>
      <c r="CBG1" s="643"/>
      <c r="CBH1" s="643"/>
      <c r="CBI1" s="643"/>
      <c r="CBJ1" s="643"/>
      <c r="CBK1" s="643"/>
      <c r="CBL1" s="643"/>
      <c r="CBM1" s="643"/>
      <c r="CBN1" s="643"/>
      <c r="CBO1" s="643"/>
      <c r="CBP1" s="643"/>
      <c r="CBQ1" s="643"/>
      <c r="CBR1" s="643"/>
      <c r="CBS1" s="643"/>
      <c r="CBT1" s="643"/>
      <c r="CBU1" s="643"/>
      <c r="CBV1" s="643"/>
      <c r="CBW1" s="643"/>
      <c r="CBX1" s="643"/>
      <c r="CBY1" s="643"/>
      <c r="CBZ1" s="643"/>
      <c r="CCA1" s="643"/>
      <c r="CCB1" s="643"/>
      <c r="CCC1" s="643"/>
      <c r="CCD1" s="643"/>
      <c r="CCE1" s="643"/>
      <c r="CCF1" s="643"/>
      <c r="CCG1" s="643"/>
      <c r="CCH1" s="643"/>
      <c r="CCI1" s="643"/>
      <c r="CCJ1" s="643"/>
      <c r="CCK1" s="643"/>
      <c r="CCL1" s="643"/>
      <c r="CCM1" s="643"/>
      <c r="CCN1" s="643"/>
      <c r="CCO1" s="643"/>
      <c r="CCP1" s="643"/>
      <c r="CCQ1" s="643"/>
      <c r="CCR1" s="643"/>
      <c r="CCS1" s="643"/>
      <c r="CCT1" s="643"/>
      <c r="CCU1" s="643"/>
      <c r="CCV1" s="643"/>
      <c r="CCW1" s="643"/>
      <c r="CCX1" s="643"/>
      <c r="CCY1" s="643"/>
      <c r="CCZ1" s="643"/>
      <c r="CDA1" s="643"/>
      <c r="CDB1" s="643"/>
      <c r="CDC1" s="643"/>
      <c r="CDD1" s="643"/>
      <c r="CDE1" s="643"/>
      <c r="CDF1" s="643"/>
      <c r="CDG1" s="643"/>
      <c r="CDH1" s="643"/>
      <c r="CDI1" s="643"/>
      <c r="CDJ1" s="643"/>
      <c r="CDK1" s="643"/>
      <c r="CDL1" s="643"/>
      <c r="CDM1" s="643"/>
      <c r="CDN1" s="643"/>
      <c r="CDO1" s="643"/>
      <c r="CDP1" s="643"/>
      <c r="CDQ1" s="643"/>
      <c r="CDR1" s="643"/>
      <c r="CDS1" s="643"/>
      <c r="CDT1" s="643"/>
      <c r="CDU1" s="643"/>
      <c r="CDV1" s="643"/>
      <c r="CDW1" s="643"/>
      <c r="CDX1" s="643"/>
      <c r="CDY1" s="643"/>
      <c r="CDZ1" s="643"/>
      <c r="CEA1" s="643"/>
      <c r="CEB1" s="643"/>
      <c r="CEC1" s="643"/>
      <c r="CED1" s="643"/>
      <c r="CEE1" s="643"/>
      <c r="CEF1" s="643"/>
      <c r="CEG1" s="643"/>
      <c r="CEH1" s="643"/>
      <c r="CEI1" s="643"/>
      <c r="CEJ1" s="643"/>
      <c r="CEK1" s="643"/>
      <c r="CEL1" s="643"/>
      <c r="CEM1" s="643"/>
      <c r="CEN1" s="643"/>
      <c r="CEO1" s="643"/>
      <c r="CEP1" s="643"/>
      <c r="CEQ1" s="643"/>
      <c r="CER1" s="643"/>
      <c r="CES1" s="643"/>
      <c r="CET1" s="643"/>
      <c r="CEU1" s="643"/>
      <c r="CEV1" s="643"/>
      <c r="CEW1" s="643"/>
      <c r="CEX1" s="643"/>
      <c r="CEY1" s="643"/>
      <c r="CEZ1" s="643"/>
      <c r="CFA1" s="643"/>
      <c r="CFB1" s="643"/>
      <c r="CFC1" s="643"/>
      <c r="CFD1" s="643"/>
      <c r="CFE1" s="643"/>
      <c r="CFF1" s="643"/>
      <c r="CFG1" s="643"/>
      <c r="CFH1" s="643"/>
      <c r="CFI1" s="643"/>
      <c r="CFJ1" s="643"/>
      <c r="CFK1" s="643"/>
      <c r="CFL1" s="643"/>
      <c r="CFM1" s="643"/>
      <c r="CFN1" s="643"/>
      <c r="CFO1" s="643"/>
      <c r="CFP1" s="643"/>
      <c r="CFQ1" s="643"/>
      <c r="CFR1" s="643"/>
      <c r="CFS1" s="643"/>
      <c r="CFT1" s="643"/>
      <c r="CFU1" s="643"/>
      <c r="CFV1" s="643"/>
      <c r="CFW1" s="643"/>
      <c r="CFX1" s="643"/>
      <c r="CFY1" s="643"/>
      <c r="CFZ1" s="643"/>
      <c r="CGA1" s="643"/>
      <c r="CGB1" s="643"/>
      <c r="CGC1" s="643"/>
      <c r="CGD1" s="643"/>
      <c r="CGE1" s="643"/>
      <c r="CGF1" s="643"/>
      <c r="CGG1" s="643"/>
      <c r="CGH1" s="643"/>
      <c r="CGI1" s="643"/>
      <c r="CGJ1" s="643"/>
      <c r="CGK1" s="643"/>
      <c r="CGL1" s="643"/>
      <c r="CGM1" s="643"/>
      <c r="CGN1" s="643"/>
      <c r="CGO1" s="643"/>
      <c r="CGP1" s="643"/>
      <c r="CGQ1" s="643"/>
      <c r="CGR1" s="643"/>
      <c r="CGS1" s="643"/>
      <c r="CGT1" s="643"/>
      <c r="CGU1" s="643"/>
      <c r="CGV1" s="643"/>
      <c r="CGW1" s="643"/>
      <c r="CGX1" s="643"/>
      <c r="CGY1" s="643"/>
      <c r="CGZ1" s="643"/>
      <c r="CHA1" s="643"/>
      <c r="CHB1" s="643"/>
      <c r="CHC1" s="643"/>
      <c r="CHD1" s="643"/>
      <c r="CHE1" s="643"/>
      <c r="CHF1" s="643"/>
      <c r="CHG1" s="643"/>
      <c r="CHH1" s="643"/>
      <c r="CHI1" s="643"/>
      <c r="CHJ1" s="643"/>
      <c r="CHK1" s="643"/>
      <c r="CHL1" s="643"/>
      <c r="CHM1" s="643"/>
      <c r="CHN1" s="643"/>
      <c r="CHO1" s="643"/>
      <c r="CHP1" s="643"/>
      <c r="CHQ1" s="643"/>
      <c r="CHR1" s="643"/>
      <c r="CHS1" s="643"/>
      <c r="CHT1" s="643"/>
      <c r="CHU1" s="643"/>
      <c r="CHV1" s="643"/>
      <c r="CHW1" s="643"/>
      <c r="CHX1" s="643"/>
      <c r="CHY1" s="643"/>
      <c r="CHZ1" s="643"/>
      <c r="CIA1" s="643"/>
      <c r="CIB1" s="643"/>
      <c r="CIC1" s="643"/>
      <c r="CID1" s="643"/>
      <c r="CIE1" s="643"/>
      <c r="CIF1" s="643"/>
      <c r="CIG1" s="643"/>
      <c r="CIH1" s="643"/>
      <c r="CII1" s="643"/>
      <c r="CIJ1" s="643"/>
      <c r="CIK1" s="643"/>
      <c r="CIL1" s="643"/>
      <c r="CIM1" s="643"/>
      <c r="CIN1" s="643"/>
      <c r="CIO1" s="643"/>
      <c r="CIP1" s="643"/>
      <c r="CIQ1" s="643"/>
      <c r="CIR1" s="643"/>
      <c r="CIS1" s="643"/>
      <c r="CIT1" s="643"/>
      <c r="CIU1" s="643"/>
      <c r="CIV1" s="643"/>
      <c r="CIW1" s="643"/>
      <c r="CIX1" s="643"/>
      <c r="CIY1" s="643"/>
      <c r="CIZ1" s="643"/>
      <c r="CJA1" s="643"/>
      <c r="CJB1" s="643"/>
      <c r="CJC1" s="643"/>
      <c r="CJD1" s="643"/>
      <c r="CJE1" s="643"/>
      <c r="CJF1" s="643"/>
      <c r="CJG1" s="643"/>
      <c r="CJH1" s="643"/>
      <c r="CJI1" s="643"/>
      <c r="CJJ1" s="643"/>
      <c r="CJK1" s="643"/>
      <c r="CJL1" s="643"/>
      <c r="CJM1" s="643"/>
      <c r="CJN1" s="643"/>
      <c r="CJO1" s="643"/>
      <c r="CJP1" s="643"/>
      <c r="CJQ1" s="643"/>
      <c r="CJR1" s="643"/>
      <c r="CJS1" s="643"/>
      <c r="CJT1" s="643"/>
      <c r="CJU1" s="643"/>
      <c r="CJV1" s="643"/>
      <c r="CJW1" s="643"/>
      <c r="CJX1" s="643"/>
      <c r="CJY1" s="643"/>
      <c r="CJZ1" s="643"/>
      <c r="CKA1" s="643"/>
      <c r="CKB1" s="643"/>
      <c r="CKC1" s="643"/>
      <c r="CKD1" s="643"/>
      <c r="CKE1" s="643"/>
      <c r="CKF1" s="643"/>
      <c r="CKG1" s="643"/>
      <c r="CKH1" s="643"/>
      <c r="CKI1" s="643"/>
      <c r="CKJ1" s="643"/>
      <c r="CKK1" s="643"/>
      <c r="CKL1" s="643"/>
      <c r="CKM1" s="643"/>
      <c r="CKN1" s="643"/>
      <c r="CKO1" s="643"/>
      <c r="CKP1" s="643"/>
      <c r="CKQ1" s="643"/>
      <c r="CKR1" s="643"/>
      <c r="CKS1" s="643"/>
      <c r="CKT1" s="643"/>
      <c r="CKU1" s="643"/>
      <c r="CKV1" s="643"/>
      <c r="CKW1" s="643"/>
      <c r="CKX1" s="643"/>
      <c r="CKY1" s="643"/>
      <c r="CKZ1" s="643"/>
      <c r="CLA1" s="643"/>
      <c r="CLB1" s="643"/>
      <c r="CLC1" s="643"/>
      <c r="CLD1" s="643"/>
      <c r="CLE1" s="643"/>
      <c r="CLF1" s="643"/>
      <c r="CLG1" s="643"/>
      <c r="CLH1" s="643"/>
      <c r="CLI1" s="643"/>
      <c r="CLJ1" s="643"/>
      <c r="CLK1" s="643"/>
      <c r="CLL1" s="643"/>
      <c r="CLM1" s="643"/>
      <c r="CLN1" s="643"/>
      <c r="CLO1" s="643"/>
      <c r="CLP1" s="643"/>
      <c r="CLQ1" s="643"/>
      <c r="CLR1" s="643"/>
      <c r="CLS1" s="643"/>
      <c r="CLT1" s="643"/>
      <c r="CLU1" s="643"/>
      <c r="CLV1" s="643"/>
      <c r="CLW1" s="643"/>
      <c r="CLX1" s="643"/>
      <c r="CLY1" s="643"/>
      <c r="CLZ1" s="643"/>
      <c r="CMA1" s="643"/>
      <c r="CMB1" s="643"/>
      <c r="CMC1" s="643"/>
      <c r="CMD1" s="643"/>
      <c r="CME1" s="643"/>
      <c r="CMF1" s="643"/>
      <c r="CMG1" s="643"/>
      <c r="CMH1" s="643"/>
      <c r="CMI1" s="643"/>
      <c r="CMJ1" s="643"/>
      <c r="CMK1" s="643"/>
      <c r="CML1" s="643"/>
      <c r="CMM1" s="643"/>
      <c r="CMN1" s="643"/>
      <c r="CMO1" s="643"/>
      <c r="CMP1" s="643"/>
      <c r="CMQ1" s="643"/>
      <c r="CMR1" s="643"/>
      <c r="CMS1" s="643"/>
      <c r="CMT1" s="643"/>
      <c r="CMU1" s="643"/>
      <c r="CMV1" s="643"/>
      <c r="CMW1" s="643"/>
      <c r="CMX1" s="643"/>
      <c r="CMY1" s="643"/>
      <c r="CMZ1" s="643"/>
      <c r="CNA1" s="643"/>
      <c r="CNB1" s="643"/>
      <c r="CNC1" s="643"/>
      <c r="CND1" s="643"/>
      <c r="CNE1" s="643"/>
      <c r="CNF1" s="643"/>
      <c r="CNG1" s="643"/>
      <c r="CNH1" s="643"/>
      <c r="CNI1" s="643"/>
      <c r="CNJ1" s="643"/>
      <c r="CNK1" s="643"/>
      <c r="CNL1" s="643"/>
      <c r="CNM1" s="643"/>
      <c r="CNN1" s="643"/>
      <c r="CNO1" s="643"/>
      <c r="CNP1" s="643"/>
      <c r="CNQ1" s="643"/>
      <c r="CNR1" s="643"/>
      <c r="CNS1" s="643"/>
      <c r="CNT1" s="643"/>
      <c r="CNU1" s="643"/>
      <c r="CNV1" s="643"/>
      <c r="CNW1" s="643"/>
      <c r="CNX1" s="643"/>
      <c r="CNY1" s="643"/>
      <c r="CNZ1" s="643"/>
      <c r="COA1" s="643"/>
      <c r="COB1" s="643"/>
      <c r="COC1" s="643"/>
      <c r="COD1" s="643"/>
      <c r="COE1" s="643"/>
      <c r="COF1" s="643"/>
      <c r="COG1" s="643"/>
      <c r="COH1" s="643"/>
      <c r="COI1" s="643"/>
      <c r="COJ1" s="643"/>
      <c r="COK1" s="643"/>
      <c r="COL1" s="643"/>
      <c r="COM1" s="643"/>
      <c r="CON1" s="643"/>
      <c r="COO1" s="643"/>
      <c r="COP1" s="643"/>
      <c r="COQ1" s="643"/>
      <c r="COR1" s="643"/>
      <c r="COS1" s="643"/>
      <c r="COT1" s="643"/>
      <c r="COU1" s="643"/>
      <c r="COV1" s="643"/>
      <c r="COW1" s="643"/>
      <c r="COX1" s="643"/>
      <c r="COY1" s="643"/>
      <c r="COZ1" s="643"/>
      <c r="CPA1" s="643"/>
      <c r="CPB1" s="643"/>
      <c r="CPC1" s="643"/>
      <c r="CPD1" s="643"/>
      <c r="CPE1" s="643"/>
      <c r="CPF1" s="643"/>
      <c r="CPG1" s="643"/>
      <c r="CPH1" s="643"/>
      <c r="CPI1" s="643"/>
      <c r="CPJ1" s="643"/>
      <c r="CPK1" s="643"/>
      <c r="CPL1" s="643"/>
      <c r="CPM1" s="643"/>
      <c r="CPN1" s="643"/>
      <c r="CPO1" s="643"/>
      <c r="CPP1" s="643"/>
      <c r="CPQ1" s="643"/>
      <c r="CPR1" s="643"/>
      <c r="CPS1" s="643"/>
      <c r="CPT1" s="643"/>
      <c r="CPU1" s="643"/>
      <c r="CPV1" s="643"/>
      <c r="CPW1" s="643"/>
      <c r="CPX1" s="643"/>
      <c r="CPY1" s="643"/>
      <c r="CPZ1" s="643"/>
      <c r="CQA1" s="643"/>
      <c r="CQB1" s="643"/>
      <c r="CQC1" s="643"/>
      <c r="CQD1" s="643"/>
      <c r="CQE1" s="643"/>
      <c r="CQF1" s="643"/>
      <c r="CQG1" s="643"/>
      <c r="CQH1" s="643"/>
      <c r="CQI1" s="643"/>
      <c r="CQJ1" s="643"/>
      <c r="CQK1" s="643"/>
      <c r="CQL1" s="643"/>
      <c r="CQM1" s="643"/>
      <c r="CQN1" s="643"/>
      <c r="CQO1" s="643"/>
      <c r="CQP1" s="643"/>
      <c r="CQQ1" s="643"/>
      <c r="CQR1" s="643"/>
      <c r="CQS1" s="643"/>
      <c r="CQT1" s="643"/>
      <c r="CQU1" s="643"/>
      <c r="CQV1" s="643"/>
      <c r="CQW1" s="643"/>
      <c r="CQX1" s="643"/>
      <c r="CQY1" s="643"/>
      <c r="CQZ1" s="643"/>
      <c r="CRA1" s="643"/>
      <c r="CRB1" s="643"/>
      <c r="CRC1" s="643"/>
      <c r="CRD1" s="643"/>
      <c r="CRE1" s="643"/>
      <c r="CRF1" s="643"/>
      <c r="CRG1" s="643"/>
      <c r="CRH1" s="643"/>
      <c r="CRI1" s="643"/>
      <c r="CRJ1" s="643"/>
      <c r="CRK1" s="643"/>
      <c r="CRL1" s="643"/>
      <c r="CRM1" s="643"/>
      <c r="CRN1" s="643"/>
      <c r="CRO1" s="643"/>
      <c r="CRP1" s="643"/>
      <c r="CRQ1" s="643"/>
      <c r="CRR1" s="643"/>
      <c r="CRS1" s="643"/>
      <c r="CRT1" s="643"/>
      <c r="CRU1" s="643"/>
      <c r="CRV1" s="643"/>
      <c r="CRW1" s="643"/>
      <c r="CRX1" s="643"/>
      <c r="CRY1" s="643"/>
      <c r="CRZ1" s="643"/>
      <c r="CSA1" s="643"/>
      <c r="CSB1" s="643"/>
      <c r="CSC1" s="643"/>
      <c r="CSD1" s="643"/>
      <c r="CSE1" s="643"/>
      <c r="CSF1" s="643"/>
      <c r="CSG1" s="643"/>
      <c r="CSH1" s="643"/>
      <c r="CSI1" s="643"/>
      <c r="CSJ1" s="643"/>
      <c r="CSK1" s="643"/>
      <c r="CSL1" s="643"/>
      <c r="CSM1" s="643"/>
      <c r="CSN1" s="643"/>
      <c r="CSO1" s="643"/>
      <c r="CSP1" s="643"/>
      <c r="CSQ1" s="643"/>
      <c r="CSR1" s="643"/>
      <c r="CSS1" s="643"/>
      <c r="CST1" s="643"/>
      <c r="CSU1" s="643"/>
      <c r="CSV1" s="643"/>
      <c r="CSW1" s="643"/>
      <c r="CSX1" s="643"/>
      <c r="CSY1" s="643"/>
      <c r="CSZ1" s="643"/>
      <c r="CTA1" s="643"/>
      <c r="CTB1" s="643"/>
      <c r="CTC1" s="643"/>
      <c r="CTD1" s="643"/>
      <c r="CTE1" s="643"/>
      <c r="CTF1" s="643"/>
      <c r="CTG1" s="643"/>
      <c r="CTH1" s="643"/>
      <c r="CTI1" s="643"/>
      <c r="CTJ1" s="643"/>
      <c r="CTK1" s="643"/>
      <c r="CTL1" s="643"/>
      <c r="CTM1" s="643"/>
      <c r="CTN1" s="643"/>
      <c r="CTO1" s="643"/>
      <c r="CTP1" s="643"/>
      <c r="CTQ1" s="643"/>
      <c r="CTR1" s="643"/>
      <c r="CTS1" s="643"/>
      <c r="CTT1" s="643"/>
      <c r="CTU1" s="643"/>
      <c r="CTV1" s="643"/>
      <c r="CTW1" s="643"/>
      <c r="CTX1" s="643"/>
      <c r="CTY1" s="643"/>
      <c r="CTZ1" s="643"/>
      <c r="CUA1" s="643"/>
      <c r="CUB1" s="643"/>
      <c r="CUC1" s="643"/>
      <c r="CUD1" s="643"/>
      <c r="CUE1" s="643"/>
      <c r="CUF1" s="643"/>
      <c r="CUG1" s="643"/>
      <c r="CUH1" s="643"/>
      <c r="CUI1" s="643"/>
      <c r="CUJ1" s="643"/>
      <c r="CUK1" s="643"/>
      <c r="CUL1" s="643"/>
      <c r="CUM1" s="643"/>
      <c r="CUN1" s="643"/>
      <c r="CUO1" s="643"/>
      <c r="CUP1" s="643"/>
      <c r="CUQ1" s="643"/>
      <c r="CUR1" s="643"/>
      <c r="CUS1" s="643"/>
      <c r="CUT1" s="643"/>
      <c r="CUU1" s="643"/>
      <c r="CUV1" s="643"/>
      <c r="CUW1" s="643"/>
      <c r="CUX1" s="643"/>
      <c r="CUY1" s="643"/>
      <c r="CUZ1" s="643"/>
      <c r="CVA1" s="643"/>
      <c r="CVB1" s="643"/>
      <c r="CVC1" s="643"/>
      <c r="CVD1" s="643"/>
      <c r="CVE1" s="643"/>
      <c r="CVF1" s="643"/>
      <c r="CVG1" s="643"/>
      <c r="CVH1" s="643"/>
      <c r="CVI1" s="643"/>
      <c r="CVJ1" s="643"/>
      <c r="CVK1" s="643"/>
      <c r="CVL1" s="643"/>
      <c r="CVM1" s="643"/>
      <c r="CVN1" s="643"/>
      <c r="CVO1" s="643"/>
      <c r="CVP1" s="643"/>
      <c r="CVQ1" s="643"/>
      <c r="CVR1" s="643"/>
      <c r="CVS1" s="643"/>
      <c r="CVT1" s="643"/>
      <c r="CVU1" s="643"/>
      <c r="CVV1" s="643"/>
      <c r="CVW1" s="643"/>
      <c r="CVX1" s="643"/>
      <c r="CVY1" s="643"/>
      <c r="CVZ1" s="643"/>
      <c r="CWA1" s="643"/>
      <c r="CWB1" s="643"/>
      <c r="CWC1" s="643"/>
      <c r="CWD1" s="643"/>
      <c r="CWE1" s="643"/>
      <c r="CWF1" s="643"/>
      <c r="CWG1" s="643"/>
      <c r="CWH1" s="643"/>
      <c r="CWI1" s="643"/>
      <c r="CWJ1" s="643"/>
      <c r="CWK1" s="643"/>
      <c r="CWL1" s="643"/>
      <c r="CWM1" s="643"/>
      <c r="CWN1" s="643"/>
      <c r="CWO1" s="643"/>
      <c r="CWP1" s="643"/>
      <c r="CWQ1" s="643"/>
      <c r="CWR1" s="643"/>
      <c r="CWS1" s="643"/>
      <c r="CWT1" s="643"/>
      <c r="CWU1" s="643"/>
      <c r="CWV1" s="643"/>
      <c r="CWW1" s="643"/>
      <c r="CWX1" s="643"/>
      <c r="CWY1" s="643"/>
      <c r="CWZ1" s="643"/>
      <c r="CXA1" s="643"/>
      <c r="CXB1" s="643"/>
      <c r="CXC1" s="643"/>
      <c r="CXD1" s="643"/>
      <c r="CXE1" s="643"/>
      <c r="CXF1" s="643"/>
      <c r="CXG1" s="643"/>
      <c r="CXH1" s="643"/>
      <c r="CXI1" s="643"/>
      <c r="CXJ1" s="643"/>
      <c r="CXK1" s="643"/>
      <c r="CXL1" s="643"/>
      <c r="CXM1" s="643"/>
      <c r="CXN1" s="643"/>
      <c r="CXO1" s="643"/>
      <c r="CXP1" s="643"/>
      <c r="CXQ1" s="643"/>
      <c r="CXR1" s="643"/>
      <c r="CXS1" s="643"/>
      <c r="CXT1" s="643"/>
      <c r="CXU1" s="643"/>
      <c r="CXV1" s="643"/>
      <c r="CXW1" s="643"/>
      <c r="CXX1" s="643"/>
      <c r="CXY1" s="643"/>
      <c r="CXZ1" s="643"/>
      <c r="CYA1" s="643"/>
      <c r="CYB1" s="643"/>
      <c r="CYC1" s="643"/>
      <c r="CYD1" s="643"/>
      <c r="CYE1" s="643"/>
      <c r="CYF1" s="643"/>
      <c r="CYG1" s="643"/>
      <c r="CYH1" s="643"/>
      <c r="CYI1" s="643"/>
      <c r="CYJ1" s="643"/>
      <c r="CYK1" s="643"/>
      <c r="CYL1" s="643"/>
      <c r="CYM1" s="643"/>
      <c r="CYN1" s="643"/>
      <c r="CYO1" s="643"/>
      <c r="CYP1" s="643"/>
      <c r="CYQ1" s="643"/>
      <c r="CYR1" s="643"/>
      <c r="CYS1" s="643"/>
      <c r="CYT1" s="643"/>
      <c r="CYU1" s="643"/>
      <c r="CYV1" s="643"/>
      <c r="CYW1" s="643"/>
      <c r="CYX1" s="643"/>
      <c r="CYY1" s="643"/>
      <c r="CYZ1" s="643"/>
      <c r="CZA1" s="643"/>
      <c r="CZB1" s="643"/>
      <c r="CZC1" s="643"/>
      <c r="CZD1" s="643"/>
      <c r="CZE1" s="643"/>
      <c r="CZF1" s="643"/>
      <c r="CZG1" s="643"/>
      <c r="CZH1" s="643"/>
      <c r="CZI1" s="643"/>
      <c r="CZJ1" s="643"/>
      <c r="CZK1" s="643"/>
      <c r="CZL1" s="643"/>
      <c r="CZM1" s="643"/>
      <c r="CZN1" s="643"/>
      <c r="CZO1" s="643"/>
      <c r="CZP1" s="643"/>
      <c r="CZQ1" s="643"/>
      <c r="CZR1" s="643"/>
      <c r="CZS1" s="643"/>
      <c r="CZT1" s="643"/>
      <c r="CZU1" s="643"/>
      <c r="CZV1" s="643"/>
      <c r="CZW1" s="643"/>
      <c r="CZX1" s="643"/>
      <c r="CZY1" s="643"/>
      <c r="CZZ1" s="643"/>
      <c r="DAA1" s="643"/>
      <c r="DAB1" s="643"/>
      <c r="DAC1" s="643"/>
      <c r="DAD1" s="643"/>
      <c r="DAE1" s="643"/>
      <c r="DAF1" s="643"/>
      <c r="DAG1" s="643"/>
      <c r="DAH1" s="643"/>
      <c r="DAI1" s="643"/>
      <c r="DAJ1" s="643"/>
      <c r="DAK1" s="643"/>
      <c r="DAL1" s="643"/>
      <c r="DAM1" s="643"/>
      <c r="DAN1" s="643"/>
      <c r="DAO1" s="643"/>
      <c r="DAP1" s="643"/>
      <c r="DAQ1" s="643"/>
      <c r="DAR1" s="643"/>
      <c r="DAS1" s="643"/>
      <c r="DAT1" s="643"/>
      <c r="DAU1" s="643"/>
      <c r="DAV1" s="643"/>
      <c r="DAW1" s="643"/>
      <c r="DAX1" s="643"/>
      <c r="DAY1" s="643"/>
      <c r="DAZ1" s="643"/>
      <c r="DBA1" s="643"/>
      <c r="DBB1" s="643"/>
      <c r="DBC1" s="643"/>
      <c r="DBD1" s="643"/>
      <c r="DBE1" s="643"/>
      <c r="DBF1" s="643"/>
      <c r="DBG1" s="643"/>
      <c r="DBH1" s="643"/>
      <c r="DBI1" s="643"/>
      <c r="DBJ1" s="643"/>
      <c r="DBK1" s="643"/>
      <c r="DBL1" s="643"/>
      <c r="DBM1" s="643"/>
      <c r="DBN1" s="643"/>
      <c r="DBO1" s="643"/>
      <c r="DBP1" s="643"/>
      <c r="DBQ1" s="643"/>
      <c r="DBR1" s="643"/>
      <c r="DBS1" s="643"/>
      <c r="DBT1" s="643"/>
      <c r="DBU1" s="643"/>
      <c r="DBV1" s="643"/>
      <c r="DBW1" s="643"/>
      <c r="DBX1" s="643"/>
      <c r="DBY1" s="643"/>
      <c r="DBZ1" s="643"/>
      <c r="DCA1" s="643"/>
      <c r="DCB1" s="643"/>
      <c r="DCC1" s="643"/>
      <c r="DCD1" s="643"/>
      <c r="DCE1" s="643"/>
      <c r="DCF1" s="643"/>
      <c r="DCG1" s="643"/>
      <c r="DCH1" s="643"/>
      <c r="DCI1" s="643"/>
      <c r="DCJ1" s="643"/>
      <c r="DCK1" s="643"/>
      <c r="DCL1" s="643"/>
      <c r="DCM1" s="643"/>
      <c r="DCN1" s="643"/>
      <c r="DCO1" s="643"/>
      <c r="DCP1" s="643"/>
      <c r="DCQ1" s="643"/>
      <c r="DCR1" s="643"/>
      <c r="DCS1" s="643"/>
      <c r="DCT1" s="643"/>
      <c r="DCU1" s="643"/>
      <c r="DCV1" s="643"/>
      <c r="DCW1" s="643"/>
      <c r="DCX1" s="643"/>
      <c r="DCY1" s="643"/>
      <c r="DCZ1" s="643"/>
      <c r="DDA1" s="643"/>
      <c r="DDB1" s="643"/>
      <c r="DDC1" s="643"/>
      <c r="DDD1" s="643"/>
      <c r="DDE1" s="643"/>
      <c r="DDF1" s="643"/>
      <c r="DDG1" s="643"/>
      <c r="DDH1" s="643"/>
      <c r="DDI1" s="643"/>
      <c r="DDJ1" s="643"/>
      <c r="DDK1" s="643"/>
      <c r="DDL1" s="643"/>
      <c r="DDM1" s="643"/>
      <c r="DDN1" s="643"/>
      <c r="DDO1" s="643"/>
      <c r="DDP1" s="643"/>
      <c r="DDQ1" s="643"/>
      <c r="DDR1" s="643"/>
      <c r="DDS1" s="643"/>
      <c r="DDT1" s="643"/>
      <c r="DDU1" s="643"/>
      <c r="DDV1" s="643"/>
      <c r="DDW1" s="643"/>
      <c r="DDX1" s="643"/>
      <c r="DDY1" s="643"/>
      <c r="DDZ1" s="643"/>
      <c r="DEA1" s="643"/>
      <c r="DEB1" s="643"/>
      <c r="DEC1" s="643"/>
      <c r="DED1" s="643"/>
      <c r="DEE1" s="643"/>
      <c r="DEF1" s="643"/>
      <c r="DEG1" s="643"/>
      <c r="DEH1" s="643"/>
      <c r="DEI1" s="643"/>
      <c r="DEJ1" s="643"/>
      <c r="DEK1" s="643"/>
      <c r="DEL1" s="643"/>
      <c r="DEM1" s="643"/>
      <c r="DEN1" s="643"/>
      <c r="DEO1" s="643"/>
      <c r="DEP1" s="643"/>
      <c r="DEQ1" s="643"/>
      <c r="DER1" s="643"/>
      <c r="DES1" s="643"/>
      <c r="DET1" s="643"/>
      <c r="DEU1" s="643"/>
      <c r="DEV1" s="643"/>
      <c r="DEW1" s="643"/>
      <c r="DEX1" s="643"/>
      <c r="DEY1" s="643"/>
      <c r="DEZ1" s="643"/>
      <c r="DFA1" s="643"/>
      <c r="DFB1" s="643"/>
      <c r="DFC1" s="643"/>
      <c r="DFD1" s="643"/>
      <c r="DFE1" s="643"/>
      <c r="DFF1" s="643"/>
      <c r="DFG1" s="643"/>
      <c r="DFH1" s="643"/>
      <c r="DFI1" s="643"/>
      <c r="DFJ1" s="643"/>
      <c r="DFK1" s="643"/>
      <c r="DFL1" s="643"/>
      <c r="DFM1" s="643"/>
      <c r="DFN1" s="643"/>
      <c r="DFO1" s="643"/>
      <c r="DFP1" s="643"/>
      <c r="DFQ1" s="643"/>
      <c r="DFR1" s="643"/>
      <c r="DFS1" s="643"/>
      <c r="DFT1" s="643"/>
      <c r="DFU1" s="643"/>
      <c r="DFV1" s="643"/>
      <c r="DFW1" s="643"/>
      <c r="DFX1" s="643"/>
      <c r="DFY1" s="643"/>
      <c r="DFZ1" s="643"/>
      <c r="DGA1" s="643"/>
      <c r="DGB1" s="643"/>
      <c r="DGC1" s="643"/>
      <c r="DGD1" s="643"/>
      <c r="DGE1" s="643"/>
      <c r="DGF1" s="643"/>
      <c r="DGG1" s="643"/>
      <c r="DGH1" s="643"/>
      <c r="DGI1" s="643"/>
      <c r="DGJ1" s="643"/>
      <c r="DGK1" s="643"/>
      <c r="DGL1" s="643"/>
      <c r="DGM1" s="643"/>
      <c r="DGN1" s="643"/>
      <c r="DGO1" s="643"/>
      <c r="DGP1" s="643"/>
      <c r="DGQ1" s="643"/>
      <c r="DGR1" s="643"/>
      <c r="DGS1" s="643"/>
      <c r="DGT1" s="643"/>
      <c r="DGU1" s="643"/>
      <c r="DGV1" s="643"/>
      <c r="DGW1" s="643"/>
      <c r="DGX1" s="643"/>
      <c r="DGY1" s="643"/>
      <c r="DGZ1" s="643"/>
      <c r="DHA1" s="643"/>
      <c r="DHB1" s="643"/>
      <c r="DHC1" s="643"/>
      <c r="DHD1" s="643"/>
      <c r="DHE1" s="643"/>
      <c r="DHF1" s="643"/>
      <c r="DHG1" s="643"/>
      <c r="DHH1" s="643"/>
      <c r="DHI1" s="643"/>
      <c r="DHJ1" s="643"/>
      <c r="DHK1" s="643"/>
      <c r="DHL1" s="643"/>
      <c r="DHM1" s="643"/>
      <c r="DHN1" s="643"/>
      <c r="DHO1" s="643"/>
      <c r="DHP1" s="643"/>
      <c r="DHQ1" s="643"/>
      <c r="DHR1" s="643"/>
      <c r="DHS1" s="643"/>
      <c r="DHT1" s="643"/>
      <c r="DHU1" s="643"/>
      <c r="DHV1" s="643"/>
      <c r="DHW1" s="643"/>
      <c r="DHX1" s="643"/>
      <c r="DHY1" s="643"/>
      <c r="DHZ1" s="643"/>
      <c r="DIA1" s="643"/>
      <c r="DIB1" s="643"/>
      <c r="DIC1" s="643"/>
      <c r="DID1" s="643"/>
      <c r="DIE1" s="643"/>
      <c r="DIF1" s="643"/>
      <c r="DIG1" s="643"/>
      <c r="DIH1" s="643"/>
      <c r="DII1" s="643"/>
      <c r="DIJ1" s="643"/>
      <c r="DIK1" s="643"/>
      <c r="DIL1" s="643"/>
      <c r="DIM1" s="643"/>
      <c r="DIN1" s="643"/>
      <c r="DIO1" s="643"/>
      <c r="DIP1" s="643"/>
      <c r="DIQ1" s="643"/>
      <c r="DIR1" s="643"/>
      <c r="DIS1" s="643"/>
      <c r="DIT1" s="643"/>
      <c r="DIU1" s="643"/>
      <c r="DIV1" s="643"/>
      <c r="DIW1" s="643"/>
      <c r="DIX1" s="643"/>
      <c r="DIY1" s="643"/>
      <c r="DIZ1" s="643"/>
      <c r="DJA1" s="643"/>
      <c r="DJB1" s="643"/>
      <c r="DJC1" s="643"/>
      <c r="DJD1" s="643"/>
      <c r="DJE1" s="643"/>
      <c r="DJF1" s="643"/>
      <c r="DJG1" s="643"/>
      <c r="DJH1" s="643"/>
      <c r="DJI1" s="643"/>
      <c r="DJJ1" s="643"/>
      <c r="DJK1" s="643"/>
      <c r="DJL1" s="643"/>
      <c r="DJM1" s="643"/>
      <c r="DJN1" s="643"/>
      <c r="DJO1" s="643"/>
      <c r="DJP1" s="643"/>
      <c r="DJQ1" s="643"/>
      <c r="DJR1" s="643"/>
      <c r="DJS1" s="643"/>
      <c r="DJT1" s="643"/>
      <c r="DJU1" s="643"/>
      <c r="DJV1" s="643"/>
      <c r="DJW1" s="643"/>
      <c r="DJX1" s="643"/>
      <c r="DJY1" s="643"/>
      <c r="DJZ1" s="643"/>
      <c r="DKA1" s="643"/>
      <c r="DKB1" s="643"/>
      <c r="DKC1" s="643"/>
      <c r="DKD1" s="643"/>
      <c r="DKE1" s="643"/>
      <c r="DKF1" s="643"/>
      <c r="DKG1" s="643"/>
      <c r="DKH1" s="643"/>
      <c r="DKI1" s="643"/>
      <c r="DKJ1" s="643"/>
      <c r="DKK1" s="643"/>
      <c r="DKL1" s="643"/>
      <c r="DKM1" s="643"/>
      <c r="DKN1" s="643"/>
      <c r="DKO1" s="643"/>
      <c r="DKP1" s="643"/>
      <c r="DKQ1" s="643"/>
      <c r="DKR1" s="643"/>
      <c r="DKS1" s="643"/>
      <c r="DKT1" s="643"/>
      <c r="DKU1" s="643"/>
      <c r="DKV1" s="643"/>
      <c r="DKW1" s="643"/>
      <c r="DKX1" s="643"/>
      <c r="DKY1" s="643"/>
      <c r="DKZ1" s="643"/>
      <c r="DLA1" s="643"/>
      <c r="DLB1" s="643"/>
      <c r="DLC1" s="643"/>
      <c r="DLD1" s="643"/>
      <c r="DLE1" s="643"/>
      <c r="DLF1" s="643"/>
      <c r="DLG1" s="643"/>
      <c r="DLH1" s="643"/>
      <c r="DLI1" s="643"/>
      <c r="DLJ1" s="643"/>
      <c r="DLK1" s="643"/>
      <c r="DLL1" s="643"/>
      <c r="DLM1" s="643"/>
      <c r="DLN1" s="643"/>
      <c r="DLO1" s="643"/>
      <c r="DLP1" s="643"/>
      <c r="DLQ1" s="643"/>
      <c r="DLR1" s="643"/>
      <c r="DLS1" s="643"/>
      <c r="DLT1" s="643"/>
      <c r="DLU1" s="643"/>
      <c r="DLV1" s="643"/>
      <c r="DLW1" s="643"/>
      <c r="DLX1" s="643"/>
      <c r="DLY1" s="643"/>
      <c r="DLZ1" s="643"/>
      <c r="DMA1" s="643"/>
      <c r="DMB1" s="643"/>
      <c r="DMC1" s="643"/>
      <c r="DMD1" s="643"/>
      <c r="DME1" s="643"/>
      <c r="DMF1" s="643"/>
      <c r="DMG1" s="643"/>
      <c r="DMH1" s="643"/>
      <c r="DMI1" s="643"/>
      <c r="DMJ1" s="643"/>
      <c r="DMK1" s="643"/>
      <c r="DML1" s="643"/>
      <c r="DMM1" s="643"/>
      <c r="DMN1" s="643"/>
      <c r="DMO1" s="643"/>
      <c r="DMP1" s="643"/>
      <c r="DMQ1" s="643"/>
      <c r="DMR1" s="643"/>
      <c r="DMS1" s="643"/>
      <c r="DMT1" s="643"/>
      <c r="DMU1" s="643"/>
      <c r="DMV1" s="643"/>
      <c r="DMW1" s="643"/>
      <c r="DMX1" s="643"/>
      <c r="DMY1" s="643"/>
      <c r="DMZ1" s="643"/>
      <c r="DNA1" s="643"/>
      <c r="DNB1" s="643"/>
      <c r="DNC1" s="643"/>
      <c r="DND1" s="643"/>
      <c r="DNE1" s="643"/>
      <c r="DNF1" s="643"/>
      <c r="DNG1" s="643"/>
      <c r="DNH1" s="643"/>
      <c r="DNI1" s="643"/>
      <c r="DNJ1" s="643"/>
      <c r="DNK1" s="643"/>
      <c r="DNL1" s="643"/>
      <c r="DNM1" s="643"/>
      <c r="DNN1" s="643"/>
      <c r="DNO1" s="643"/>
      <c r="DNP1" s="643"/>
      <c r="DNQ1" s="643"/>
      <c r="DNR1" s="643"/>
      <c r="DNS1" s="643"/>
      <c r="DNT1" s="643"/>
      <c r="DNU1" s="643"/>
      <c r="DNV1" s="643"/>
      <c r="DNW1" s="643"/>
      <c r="DNX1" s="643"/>
      <c r="DNY1" s="643"/>
      <c r="DNZ1" s="643"/>
      <c r="DOA1" s="643"/>
      <c r="DOB1" s="643"/>
      <c r="DOC1" s="643"/>
      <c r="DOD1" s="643"/>
      <c r="DOE1" s="643"/>
      <c r="DOF1" s="643"/>
      <c r="DOG1" s="643"/>
      <c r="DOH1" s="643"/>
      <c r="DOI1" s="643"/>
      <c r="DOJ1" s="643"/>
      <c r="DOK1" s="643"/>
      <c r="DOL1" s="643"/>
      <c r="DOM1" s="643"/>
      <c r="DON1" s="643"/>
      <c r="DOO1" s="643"/>
      <c r="DOP1" s="643"/>
      <c r="DOQ1" s="643"/>
      <c r="DOR1" s="643"/>
      <c r="DOS1" s="643"/>
      <c r="DOT1" s="643"/>
      <c r="DOU1" s="643"/>
      <c r="DOV1" s="643"/>
      <c r="DOW1" s="643"/>
      <c r="DOX1" s="643"/>
      <c r="DOY1" s="643"/>
      <c r="DOZ1" s="643"/>
      <c r="DPA1" s="643"/>
      <c r="DPB1" s="643"/>
      <c r="DPC1" s="643"/>
      <c r="DPD1" s="643"/>
      <c r="DPE1" s="643"/>
      <c r="DPF1" s="643"/>
      <c r="DPG1" s="643"/>
      <c r="DPH1" s="643"/>
      <c r="DPI1" s="643"/>
      <c r="DPJ1" s="643"/>
      <c r="DPK1" s="643"/>
      <c r="DPL1" s="643"/>
      <c r="DPM1" s="643"/>
      <c r="DPN1" s="643"/>
      <c r="DPO1" s="643"/>
      <c r="DPP1" s="643"/>
      <c r="DPQ1" s="643"/>
      <c r="DPR1" s="643"/>
      <c r="DPS1" s="643"/>
      <c r="DPT1" s="643"/>
      <c r="DPU1" s="643"/>
      <c r="DPV1" s="643"/>
      <c r="DPW1" s="643"/>
      <c r="DPX1" s="643"/>
      <c r="DPY1" s="643"/>
      <c r="DPZ1" s="643"/>
      <c r="DQA1" s="643"/>
      <c r="DQB1" s="643"/>
      <c r="DQC1" s="643"/>
      <c r="DQD1" s="643"/>
      <c r="DQE1" s="643"/>
      <c r="DQF1" s="643"/>
      <c r="DQG1" s="643"/>
      <c r="DQH1" s="643"/>
      <c r="DQI1" s="643"/>
      <c r="DQJ1" s="643"/>
      <c r="DQK1" s="643"/>
      <c r="DQL1" s="643"/>
      <c r="DQM1" s="643"/>
      <c r="DQN1" s="643"/>
      <c r="DQO1" s="643"/>
      <c r="DQP1" s="643"/>
      <c r="DQQ1" s="643"/>
      <c r="DQR1" s="643"/>
      <c r="DQS1" s="643"/>
      <c r="DQT1" s="643"/>
      <c r="DQU1" s="643"/>
      <c r="DQV1" s="643"/>
      <c r="DQW1" s="643"/>
      <c r="DQX1" s="643"/>
      <c r="DQY1" s="643"/>
      <c r="DQZ1" s="643"/>
      <c r="DRA1" s="643"/>
      <c r="DRB1" s="643"/>
      <c r="DRC1" s="643"/>
      <c r="DRD1" s="643"/>
      <c r="DRE1" s="643"/>
      <c r="DRF1" s="643"/>
      <c r="DRG1" s="643"/>
      <c r="DRH1" s="643"/>
      <c r="DRI1" s="643"/>
      <c r="DRJ1" s="643"/>
      <c r="DRK1" s="643"/>
      <c r="DRL1" s="643"/>
      <c r="DRM1" s="643"/>
      <c r="DRN1" s="643"/>
      <c r="DRO1" s="643"/>
      <c r="DRP1" s="643"/>
      <c r="DRQ1" s="643"/>
      <c r="DRR1" s="643"/>
      <c r="DRS1" s="643"/>
      <c r="DRT1" s="643"/>
      <c r="DRU1" s="643"/>
      <c r="DRV1" s="643"/>
      <c r="DRW1" s="643"/>
      <c r="DRX1" s="643"/>
      <c r="DRY1" s="643"/>
      <c r="DRZ1" s="643"/>
      <c r="DSA1" s="643"/>
      <c r="DSB1" s="643"/>
      <c r="DSC1" s="643"/>
      <c r="DSD1" s="643"/>
      <c r="DSE1" s="643"/>
      <c r="DSF1" s="643"/>
      <c r="DSG1" s="643"/>
      <c r="DSH1" s="643"/>
      <c r="DSI1" s="643"/>
      <c r="DSJ1" s="643"/>
      <c r="DSK1" s="643"/>
      <c r="DSL1" s="643"/>
      <c r="DSM1" s="643"/>
      <c r="DSN1" s="643"/>
      <c r="DSO1" s="643"/>
      <c r="DSP1" s="643"/>
      <c r="DSQ1" s="643"/>
      <c r="DSR1" s="643"/>
      <c r="DSS1" s="643"/>
      <c r="DST1" s="643"/>
      <c r="DSU1" s="643"/>
      <c r="DSV1" s="643"/>
      <c r="DSW1" s="643"/>
      <c r="DSX1" s="643"/>
      <c r="DSY1" s="643"/>
      <c r="DSZ1" s="643"/>
      <c r="DTA1" s="643"/>
      <c r="DTB1" s="643"/>
      <c r="DTC1" s="643"/>
      <c r="DTD1" s="643"/>
      <c r="DTE1" s="643"/>
      <c r="DTF1" s="643"/>
      <c r="DTG1" s="643"/>
      <c r="DTH1" s="643"/>
      <c r="DTI1" s="643"/>
      <c r="DTJ1" s="643"/>
      <c r="DTK1" s="643"/>
      <c r="DTL1" s="643"/>
      <c r="DTM1" s="643"/>
      <c r="DTN1" s="643"/>
      <c r="DTO1" s="643"/>
      <c r="DTP1" s="643"/>
      <c r="DTQ1" s="643"/>
      <c r="DTR1" s="643"/>
      <c r="DTS1" s="643"/>
      <c r="DTT1" s="643"/>
      <c r="DTU1" s="643"/>
      <c r="DTV1" s="643"/>
      <c r="DTW1" s="643"/>
      <c r="DTX1" s="643"/>
      <c r="DTY1" s="643"/>
      <c r="DTZ1" s="643"/>
      <c r="DUA1" s="643"/>
      <c r="DUB1" s="643"/>
      <c r="DUC1" s="643"/>
      <c r="DUD1" s="643"/>
      <c r="DUE1" s="643"/>
      <c r="DUF1" s="643"/>
      <c r="DUG1" s="643"/>
      <c r="DUH1" s="643"/>
      <c r="DUI1" s="643"/>
      <c r="DUJ1" s="643"/>
      <c r="DUK1" s="643"/>
      <c r="DUL1" s="643"/>
      <c r="DUM1" s="643"/>
      <c r="DUN1" s="643"/>
      <c r="DUO1" s="643"/>
      <c r="DUP1" s="643"/>
      <c r="DUQ1" s="643"/>
      <c r="DUR1" s="643"/>
      <c r="DUS1" s="643"/>
      <c r="DUT1" s="643"/>
      <c r="DUU1" s="643"/>
      <c r="DUV1" s="643"/>
      <c r="DUW1" s="643"/>
      <c r="DUX1" s="643"/>
      <c r="DUY1" s="643"/>
      <c r="DUZ1" s="643"/>
      <c r="DVA1" s="643"/>
      <c r="DVB1" s="643"/>
      <c r="DVC1" s="643"/>
      <c r="DVD1" s="643"/>
      <c r="DVE1" s="643"/>
      <c r="DVF1" s="643"/>
      <c r="DVG1" s="643"/>
      <c r="DVH1" s="643"/>
      <c r="DVI1" s="643"/>
      <c r="DVJ1" s="643"/>
      <c r="DVK1" s="643"/>
      <c r="DVL1" s="643"/>
      <c r="DVM1" s="643"/>
      <c r="DVN1" s="643"/>
      <c r="DVO1" s="643"/>
      <c r="DVP1" s="643"/>
      <c r="DVQ1" s="643"/>
      <c r="DVR1" s="643"/>
      <c r="DVS1" s="643"/>
      <c r="DVT1" s="643"/>
      <c r="DVU1" s="643"/>
      <c r="DVV1" s="643"/>
      <c r="DVW1" s="643"/>
      <c r="DVX1" s="643"/>
      <c r="DVY1" s="643"/>
      <c r="DVZ1" s="643"/>
      <c r="DWA1" s="643"/>
      <c r="DWB1" s="643"/>
      <c r="DWC1" s="643"/>
      <c r="DWD1" s="643"/>
      <c r="DWE1" s="643"/>
      <c r="DWF1" s="643"/>
      <c r="DWG1" s="643"/>
      <c r="DWH1" s="643"/>
      <c r="DWI1" s="643"/>
      <c r="DWJ1" s="643"/>
      <c r="DWK1" s="643"/>
      <c r="DWL1" s="643"/>
      <c r="DWM1" s="643"/>
      <c r="DWN1" s="643"/>
      <c r="DWO1" s="643"/>
      <c r="DWP1" s="643"/>
      <c r="DWQ1" s="643"/>
      <c r="DWR1" s="643"/>
      <c r="DWS1" s="643"/>
      <c r="DWT1" s="643"/>
      <c r="DWU1" s="643"/>
      <c r="DWV1" s="643"/>
      <c r="DWW1" s="643"/>
      <c r="DWX1" s="643"/>
      <c r="DWY1" s="643"/>
      <c r="DWZ1" s="643"/>
      <c r="DXA1" s="643"/>
      <c r="DXB1" s="643"/>
      <c r="DXC1" s="643"/>
      <c r="DXD1" s="643"/>
      <c r="DXE1" s="643"/>
      <c r="DXF1" s="643"/>
      <c r="DXG1" s="643"/>
      <c r="DXH1" s="643"/>
      <c r="DXI1" s="643"/>
      <c r="DXJ1" s="643"/>
      <c r="DXK1" s="643"/>
      <c r="DXL1" s="643"/>
      <c r="DXM1" s="643"/>
      <c r="DXN1" s="643"/>
      <c r="DXO1" s="643"/>
      <c r="DXP1" s="643"/>
      <c r="DXQ1" s="643"/>
      <c r="DXR1" s="643"/>
      <c r="DXS1" s="643"/>
      <c r="DXT1" s="643"/>
      <c r="DXU1" s="643"/>
      <c r="DXV1" s="643"/>
      <c r="DXW1" s="643"/>
      <c r="DXX1" s="643"/>
      <c r="DXY1" s="643"/>
      <c r="DXZ1" s="643"/>
      <c r="DYA1" s="643"/>
      <c r="DYB1" s="643"/>
      <c r="DYC1" s="643"/>
      <c r="DYD1" s="643"/>
      <c r="DYE1" s="643"/>
      <c r="DYF1" s="643"/>
      <c r="DYG1" s="643"/>
      <c r="DYH1" s="643"/>
      <c r="DYI1" s="643"/>
      <c r="DYJ1" s="643"/>
      <c r="DYK1" s="643"/>
      <c r="DYL1" s="643"/>
      <c r="DYM1" s="643"/>
      <c r="DYN1" s="643"/>
      <c r="DYO1" s="643"/>
      <c r="DYP1" s="643"/>
      <c r="DYQ1" s="643"/>
      <c r="DYR1" s="643"/>
      <c r="DYS1" s="643"/>
      <c r="DYT1" s="643"/>
      <c r="DYU1" s="643"/>
      <c r="DYV1" s="643"/>
      <c r="DYW1" s="643"/>
      <c r="DYX1" s="643"/>
      <c r="DYY1" s="643"/>
      <c r="DYZ1" s="643"/>
      <c r="DZA1" s="643"/>
      <c r="DZB1" s="643"/>
      <c r="DZC1" s="643"/>
      <c r="DZD1" s="643"/>
      <c r="DZE1" s="643"/>
      <c r="DZF1" s="643"/>
      <c r="DZG1" s="643"/>
      <c r="DZH1" s="643"/>
      <c r="DZI1" s="643"/>
      <c r="DZJ1" s="643"/>
      <c r="DZK1" s="643"/>
      <c r="DZL1" s="643"/>
      <c r="DZM1" s="643"/>
      <c r="DZN1" s="643"/>
      <c r="DZO1" s="643"/>
      <c r="DZP1" s="643"/>
      <c r="DZQ1" s="643"/>
      <c r="DZR1" s="643"/>
      <c r="DZS1" s="643"/>
      <c r="DZT1" s="643"/>
      <c r="DZU1" s="643"/>
      <c r="DZV1" s="643"/>
      <c r="DZW1" s="643"/>
      <c r="DZX1" s="643"/>
      <c r="DZY1" s="643"/>
      <c r="DZZ1" s="643"/>
      <c r="EAA1" s="643"/>
      <c r="EAB1" s="643"/>
      <c r="EAC1" s="643"/>
      <c r="EAD1" s="643"/>
      <c r="EAE1" s="643"/>
      <c r="EAF1" s="643"/>
      <c r="EAG1" s="643"/>
      <c r="EAH1" s="643"/>
      <c r="EAI1" s="643"/>
      <c r="EAJ1" s="643"/>
      <c r="EAK1" s="643"/>
      <c r="EAL1" s="643"/>
      <c r="EAM1" s="643"/>
      <c r="EAN1" s="643"/>
      <c r="EAO1" s="643"/>
      <c r="EAP1" s="643"/>
      <c r="EAQ1" s="643"/>
      <c r="EAR1" s="643"/>
      <c r="EAS1" s="643"/>
      <c r="EAT1" s="643"/>
      <c r="EAU1" s="643"/>
      <c r="EAV1" s="643"/>
      <c r="EAW1" s="643"/>
      <c r="EAX1" s="643"/>
      <c r="EAY1" s="643"/>
      <c r="EAZ1" s="643"/>
      <c r="EBA1" s="643"/>
      <c r="EBB1" s="643"/>
      <c r="EBC1" s="643"/>
      <c r="EBD1" s="643"/>
      <c r="EBE1" s="643"/>
      <c r="EBF1" s="643"/>
      <c r="EBG1" s="643"/>
      <c r="EBH1" s="643"/>
      <c r="EBI1" s="643"/>
      <c r="EBJ1" s="643"/>
      <c r="EBK1" s="643"/>
      <c r="EBL1" s="643"/>
      <c r="EBM1" s="643"/>
      <c r="EBN1" s="643"/>
      <c r="EBO1" s="643"/>
      <c r="EBP1" s="643"/>
      <c r="EBQ1" s="643"/>
      <c r="EBR1" s="643"/>
      <c r="EBS1" s="643"/>
      <c r="EBT1" s="643"/>
      <c r="EBU1" s="643"/>
      <c r="EBV1" s="643"/>
      <c r="EBW1" s="643"/>
      <c r="EBX1" s="643"/>
      <c r="EBY1" s="643"/>
      <c r="EBZ1" s="643"/>
      <c r="ECA1" s="643"/>
      <c r="ECB1" s="643"/>
      <c r="ECC1" s="643"/>
      <c r="ECD1" s="643"/>
      <c r="ECE1" s="643"/>
      <c r="ECF1" s="643"/>
      <c r="ECG1" s="643"/>
      <c r="ECH1" s="643"/>
      <c r="ECI1" s="643"/>
      <c r="ECJ1" s="643"/>
      <c r="ECK1" s="643"/>
      <c r="ECL1" s="643"/>
      <c r="ECM1" s="643"/>
      <c r="ECN1" s="643"/>
      <c r="ECO1" s="643"/>
      <c r="ECP1" s="643"/>
      <c r="ECQ1" s="643"/>
      <c r="ECR1" s="643"/>
      <c r="ECS1" s="643"/>
      <c r="ECT1" s="643"/>
      <c r="ECU1" s="643"/>
      <c r="ECV1" s="643"/>
      <c r="ECW1" s="643"/>
      <c r="ECX1" s="643"/>
      <c r="ECY1" s="643"/>
      <c r="ECZ1" s="643"/>
      <c r="EDA1" s="643"/>
      <c r="EDB1" s="643"/>
      <c r="EDC1" s="643"/>
      <c r="EDD1" s="643"/>
      <c r="EDE1" s="643"/>
      <c r="EDF1" s="643"/>
      <c r="EDG1" s="643"/>
      <c r="EDH1" s="643"/>
      <c r="EDI1" s="643"/>
      <c r="EDJ1" s="643"/>
      <c r="EDK1" s="643"/>
      <c r="EDL1" s="643"/>
      <c r="EDM1" s="643"/>
      <c r="EDN1" s="643"/>
      <c r="EDO1" s="643"/>
      <c r="EDP1" s="643"/>
      <c r="EDQ1" s="643"/>
      <c r="EDR1" s="643"/>
      <c r="EDS1" s="643"/>
      <c r="EDT1" s="643"/>
      <c r="EDU1" s="643"/>
      <c r="EDV1" s="643"/>
      <c r="EDW1" s="643"/>
      <c r="EDX1" s="643"/>
      <c r="EDY1" s="643"/>
      <c r="EDZ1" s="643"/>
      <c r="EEA1" s="643"/>
      <c r="EEB1" s="643"/>
      <c r="EEC1" s="643"/>
      <c r="EED1" s="643"/>
      <c r="EEE1" s="643"/>
      <c r="EEF1" s="643"/>
      <c r="EEG1" s="643"/>
      <c r="EEH1" s="643"/>
      <c r="EEI1" s="643"/>
      <c r="EEJ1" s="643"/>
      <c r="EEK1" s="643"/>
      <c r="EEL1" s="643"/>
      <c r="EEM1" s="643"/>
      <c r="EEN1" s="643"/>
      <c r="EEO1" s="643"/>
      <c r="EEP1" s="643"/>
      <c r="EEQ1" s="643"/>
      <c r="EER1" s="643"/>
      <c r="EES1" s="643"/>
      <c r="EET1" s="643"/>
      <c r="EEU1" s="643"/>
      <c r="EEV1" s="643"/>
      <c r="EEW1" s="643"/>
      <c r="EEX1" s="643"/>
      <c r="EEY1" s="643"/>
      <c r="EEZ1" s="643"/>
      <c r="EFA1" s="643"/>
      <c r="EFB1" s="643"/>
      <c r="EFC1" s="643"/>
      <c r="EFD1" s="643"/>
      <c r="EFE1" s="643"/>
      <c r="EFF1" s="643"/>
      <c r="EFG1" s="643"/>
      <c r="EFH1" s="643"/>
      <c r="EFI1" s="643"/>
      <c r="EFJ1" s="643"/>
      <c r="EFK1" s="643"/>
      <c r="EFL1" s="643"/>
      <c r="EFM1" s="643"/>
      <c r="EFN1" s="643"/>
      <c r="EFO1" s="643"/>
      <c r="EFP1" s="643"/>
      <c r="EFQ1" s="643"/>
      <c r="EFR1" s="643"/>
      <c r="EFS1" s="643"/>
      <c r="EFT1" s="643"/>
      <c r="EFU1" s="643"/>
      <c r="EFV1" s="643"/>
      <c r="EFW1" s="643"/>
      <c r="EFX1" s="643"/>
      <c r="EFY1" s="643"/>
      <c r="EFZ1" s="643"/>
      <c r="EGA1" s="643"/>
      <c r="EGB1" s="643"/>
      <c r="EGC1" s="643"/>
      <c r="EGD1" s="643"/>
      <c r="EGE1" s="643"/>
      <c r="EGF1" s="643"/>
      <c r="EGG1" s="643"/>
      <c r="EGH1" s="643"/>
      <c r="EGI1" s="643"/>
      <c r="EGJ1" s="643"/>
      <c r="EGK1" s="643"/>
      <c r="EGL1" s="643"/>
      <c r="EGM1" s="643"/>
      <c r="EGN1" s="643"/>
      <c r="EGO1" s="643"/>
      <c r="EGP1" s="643"/>
      <c r="EGQ1" s="643"/>
      <c r="EGR1" s="643"/>
      <c r="EGS1" s="643"/>
      <c r="EGT1" s="643"/>
      <c r="EGU1" s="643"/>
      <c r="EGV1" s="643"/>
      <c r="EGW1" s="643"/>
      <c r="EGX1" s="643"/>
      <c r="EGY1" s="643"/>
      <c r="EGZ1" s="643"/>
      <c r="EHA1" s="643"/>
      <c r="EHB1" s="643"/>
      <c r="EHC1" s="643"/>
      <c r="EHD1" s="643"/>
      <c r="EHE1" s="643"/>
      <c r="EHF1" s="643"/>
      <c r="EHG1" s="643"/>
      <c r="EHH1" s="643"/>
      <c r="EHI1" s="643"/>
      <c r="EHJ1" s="643"/>
      <c r="EHK1" s="643"/>
      <c r="EHL1" s="643"/>
      <c r="EHM1" s="643"/>
      <c r="EHN1" s="643"/>
      <c r="EHO1" s="643"/>
      <c r="EHP1" s="643"/>
      <c r="EHQ1" s="643"/>
      <c r="EHR1" s="643"/>
      <c r="EHS1" s="643"/>
      <c r="EHT1" s="643"/>
      <c r="EHU1" s="643"/>
      <c r="EHV1" s="643"/>
      <c r="EHW1" s="643"/>
      <c r="EHX1" s="643"/>
      <c r="EHY1" s="643"/>
      <c r="EHZ1" s="643"/>
      <c r="EIA1" s="643"/>
      <c r="EIB1" s="643"/>
      <c r="EIC1" s="643"/>
      <c r="EID1" s="643"/>
      <c r="EIE1" s="643"/>
      <c r="EIF1" s="643"/>
      <c r="EIG1" s="643"/>
      <c r="EIH1" s="643"/>
      <c r="EII1" s="643"/>
      <c r="EIJ1" s="643"/>
      <c r="EIK1" s="643"/>
      <c r="EIL1" s="643"/>
      <c r="EIM1" s="643"/>
      <c r="EIN1" s="643"/>
      <c r="EIO1" s="643"/>
      <c r="EIP1" s="643"/>
      <c r="EIQ1" s="643"/>
      <c r="EIR1" s="643"/>
      <c r="EIS1" s="643"/>
      <c r="EIT1" s="643"/>
      <c r="EIU1" s="643"/>
      <c r="EIV1" s="643"/>
      <c r="EIW1" s="643"/>
      <c r="EIX1" s="643"/>
      <c r="EIY1" s="643"/>
      <c r="EIZ1" s="643"/>
      <c r="EJA1" s="643"/>
      <c r="EJB1" s="643"/>
      <c r="EJC1" s="643"/>
      <c r="EJD1" s="643"/>
      <c r="EJE1" s="643"/>
      <c r="EJF1" s="643"/>
      <c r="EJG1" s="643"/>
      <c r="EJH1" s="643"/>
      <c r="EJI1" s="643"/>
      <c r="EJJ1" s="643"/>
      <c r="EJK1" s="643"/>
      <c r="EJL1" s="643"/>
      <c r="EJM1" s="643"/>
      <c r="EJN1" s="643"/>
      <c r="EJO1" s="643"/>
      <c r="EJP1" s="643"/>
      <c r="EJQ1" s="643"/>
      <c r="EJR1" s="643"/>
      <c r="EJS1" s="643"/>
      <c r="EJT1" s="643"/>
      <c r="EJU1" s="643"/>
      <c r="EJV1" s="643"/>
      <c r="EJW1" s="643"/>
      <c r="EJX1" s="643"/>
      <c r="EJY1" s="643"/>
      <c r="EJZ1" s="643"/>
      <c r="EKA1" s="643"/>
      <c r="EKB1" s="643"/>
      <c r="EKC1" s="643"/>
      <c r="EKD1" s="643"/>
      <c r="EKE1" s="643"/>
      <c r="EKF1" s="643"/>
      <c r="EKG1" s="643"/>
      <c r="EKH1" s="643"/>
      <c r="EKI1" s="643"/>
      <c r="EKJ1" s="643"/>
      <c r="EKK1" s="643"/>
      <c r="EKL1" s="643"/>
      <c r="EKM1" s="643"/>
      <c r="EKN1" s="643"/>
      <c r="EKO1" s="643"/>
      <c r="EKP1" s="643"/>
      <c r="EKQ1" s="643"/>
      <c r="EKR1" s="643"/>
      <c r="EKS1" s="643"/>
      <c r="EKT1" s="643"/>
      <c r="EKU1" s="643"/>
      <c r="EKV1" s="643"/>
      <c r="EKW1" s="643"/>
      <c r="EKX1" s="643"/>
      <c r="EKY1" s="643"/>
      <c r="EKZ1" s="643"/>
      <c r="ELA1" s="643"/>
      <c r="ELB1" s="643"/>
      <c r="ELC1" s="643"/>
      <c r="ELD1" s="643"/>
      <c r="ELE1" s="643"/>
      <c r="ELF1" s="643"/>
      <c r="ELG1" s="643"/>
      <c r="ELH1" s="643"/>
      <c r="ELI1" s="643"/>
      <c r="ELJ1" s="643"/>
      <c r="ELK1" s="643"/>
      <c r="ELL1" s="643"/>
      <c r="ELM1" s="643"/>
      <c r="ELN1" s="643"/>
      <c r="ELO1" s="643"/>
      <c r="ELP1" s="643"/>
      <c r="ELQ1" s="643"/>
      <c r="ELR1" s="643"/>
      <c r="ELS1" s="643"/>
      <c r="ELT1" s="643"/>
      <c r="ELU1" s="643"/>
      <c r="ELV1" s="643"/>
      <c r="ELW1" s="643"/>
      <c r="ELX1" s="643"/>
      <c r="ELY1" s="643"/>
      <c r="ELZ1" s="643"/>
      <c r="EMA1" s="643"/>
      <c r="EMB1" s="643"/>
      <c r="EMC1" s="643"/>
      <c r="EMD1" s="643"/>
      <c r="EME1" s="643"/>
      <c r="EMF1" s="643"/>
      <c r="EMG1" s="643"/>
      <c r="EMH1" s="643"/>
      <c r="EMI1" s="643"/>
      <c r="EMJ1" s="643"/>
      <c r="EMK1" s="643"/>
      <c r="EML1" s="643"/>
      <c r="EMM1" s="643"/>
      <c r="EMN1" s="643"/>
      <c r="EMO1" s="643"/>
      <c r="EMP1" s="643"/>
      <c r="EMQ1" s="643"/>
      <c r="EMR1" s="643"/>
      <c r="EMS1" s="643"/>
      <c r="EMT1" s="643"/>
      <c r="EMU1" s="643"/>
      <c r="EMV1" s="643"/>
      <c r="EMW1" s="643"/>
      <c r="EMX1" s="643"/>
      <c r="EMY1" s="643"/>
      <c r="EMZ1" s="643"/>
      <c r="ENA1" s="643"/>
      <c r="ENB1" s="643"/>
      <c r="ENC1" s="643"/>
      <c r="END1" s="643"/>
      <c r="ENE1" s="643"/>
      <c r="ENF1" s="643"/>
      <c r="ENG1" s="643"/>
      <c r="ENH1" s="643"/>
      <c r="ENI1" s="643"/>
      <c r="ENJ1" s="643"/>
      <c r="ENK1" s="643"/>
      <c r="ENL1" s="643"/>
      <c r="ENM1" s="643"/>
      <c r="ENN1" s="643"/>
      <c r="ENO1" s="643"/>
      <c r="ENP1" s="643"/>
      <c r="ENQ1" s="643"/>
      <c r="ENR1" s="643"/>
      <c r="ENS1" s="643"/>
      <c r="ENT1" s="643"/>
      <c r="ENU1" s="643"/>
      <c r="ENV1" s="643"/>
      <c r="ENW1" s="643"/>
      <c r="ENX1" s="643"/>
      <c r="ENY1" s="643"/>
      <c r="ENZ1" s="643"/>
      <c r="EOA1" s="643"/>
      <c r="EOB1" s="643"/>
      <c r="EOC1" s="643"/>
      <c r="EOD1" s="643"/>
      <c r="EOE1" s="643"/>
      <c r="EOF1" s="643"/>
      <c r="EOG1" s="643"/>
      <c r="EOH1" s="643"/>
      <c r="EOI1" s="643"/>
      <c r="EOJ1" s="643"/>
      <c r="EOK1" s="643"/>
      <c r="EOL1" s="643"/>
      <c r="EOM1" s="643"/>
      <c r="EON1" s="643"/>
      <c r="EOO1" s="643"/>
      <c r="EOP1" s="643"/>
      <c r="EOQ1" s="643"/>
      <c r="EOR1" s="643"/>
      <c r="EOS1" s="643"/>
      <c r="EOT1" s="643"/>
      <c r="EOU1" s="643"/>
      <c r="EOV1" s="643"/>
      <c r="EOW1" s="643"/>
      <c r="EOX1" s="643"/>
      <c r="EOY1" s="643"/>
      <c r="EOZ1" s="643"/>
      <c r="EPA1" s="643"/>
      <c r="EPB1" s="643"/>
      <c r="EPC1" s="643"/>
      <c r="EPD1" s="643"/>
      <c r="EPE1" s="643"/>
      <c r="EPF1" s="643"/>
      <c r="EPG1" s="643"/>
      <c r="EPH1" s="643"/>
      <c r="EPI1" s="643"/>
      <c r="EPJ1" s="643"/>
      <c r="EPK1" s="643"/>
      <c r="EPL1" s="643"/>
      <c r="EPM1" s="643"/>
      <c r="EPN1" s="643"/>
      <c r="EPO1" s="643"/>
      <c r="EPP1" s="643"/>
      <c r="EPQ1" s="643"/>
      <c r="EPR1" s="643"/>
      <c r="EPS1" s="643"/>
      <c r="EPT1" s="643"/>
      <c r="EPU1" s="643"/>
      <c r="EPV1" s="643"/>
      <c r="EPW1" s="643"/>
      <c r="EPX1" s="643"/>
      <c r="EPY1" s="643"/>
      <c r="EPZ1" s="643"/>
      <c r="EQA1" s="643"/>
      <c r="EQB1" s="643"/>
      <c r="EQC1" s="643"/>
      <c r="EQD1" s="643"/>
      <c r="EQE1" s="643"/>
      <c r="EQF1" s="643"/>
      <c r="EQG1" s="643"/>
      <c r="EQH1" s="643"/>
      <c r="EQI1" s="643"/>
      <c r="EQJ1" s="643"/>
      <c r="EQK1" s="643"/>
      <c r="EQL1" s="643"/>
      <c r="EQM1" s="643"/>
      <c r="EQN1" s="643"/>
      <c r="EQO1" s="643"/>
      <c r="EQP1" s="643"/>
      <c r="EQQ1" s="643"/>
      <c r="EQR1" s="643"/>
      <c r="EQS1" s="643"/>
      <c r="EQT1" s="643"/>
      <c r="EQU1" s="643"/>
      <c r="EQV1" s="643"/>
      <c r="EQW1" s="643"/>
      <c r="EQX1" s="643"/>
      <c r="EQY1" s="643"/>
      <c r="EQZ1" s="643"/>
      <c r="ERA1" s="643"/>
      <c r="ERB1" s="643"/>
      <c r="ERC1" s="643"/>
      <c r="ERD1" s="643"/>
      <c r="ERE1" s="643"/>
      <c r="ERF1" s="643"/>
      <c r="ERG1" s="643"/>
      <c r="ERH1" s="643"/>
      <c r="ERI1" s="643"/>
      <c r="ERJ1" s="643"/>
      <c r="ERK1" s="643"/>
      <c r="ERL1" s="643"/>
      <c r="ERM1" s="643"/>
      <c r="ERN1" s="643"/>
      <c r="ERO1" s="643"/>
      <c r="ERP1" s="643"/>
      <c r="ERQ1" s="643"/>
      <c r="ERR1" s="643"/>
      <c r="ERS1" s="643"/>
      <c r="ERT1" s="643"/>
      <c r="ERU1" s="643"/>
      <c r="ERV1" s="643"/>
      <c r="ERW1" s="643"/>
      <c r="ERX1" s="643"/>
      <c r="ERY1" s="643"/>
      <c r="ERZ1" s="643"/>
      <c r="ESA1" s="643"/>
      <c r="ESB1" s="643"/>
      <c r="ESC1" s="643"/>
      <c r="ESD1" s="643"/>
      <c r="ESE1" s="643"/>
      <c r="ESF1" s="643"/>
      <c r="ESG1" s="643"/>
      <c r="ESH1" s="643"/>
      <c r="ESI1" s="643"/>
      <c r="ESJ1" s="643"/>
      <c r="ESK1" s="643"/>
      <c r="ESL1" s="643"/>
      <c r="ESM1" s="643"/>
      <c r="ESN1" s="643"/>
      <c r="ESO1" s="643"/>
      <c r="ESP1" s="643"/>
      <c r="ESQ1" s="643"/>
      <c r="ESR1" s="643"/>
      <c r="ESS1" s="643"/>
      <c r="EST1" s="643"/>
      <c r="ESU1" s="643"/>
      <c r="ESV1" s="643"/>
      <c r="ESW1" s="643"/>
      <c r="ESX1" s="643"/>
      <c r="ESY1" s="643"/>
      <c r="ESZ1" s="643"/>
      <c r="ETA1" s="643"/>
      <c r="ETB1" s="643"/>
      <c r="ETC1" s="643"/>
      <c r="ETD1" s="643"/>
      <c r="ETE1" s="643"/>
      <c r="ETF1" s="643"/>
      <c r="ETG1" s="643"/>
      <c r="ETH1" s="643"/>
      <c r="ETI1" s="643"/>
      <c r="ETJ1" s="643"/>
      <c r="ETK1" s="643"/>
      <c r="ETL1" s="643"/>
      <c r="ETM1" s="643"/>
      <c r="ETN1" s="643"/>
      <c r="ETO1" s="643"/>
      <c r="ETP1" s="643"/>
      <c r="ETQ1" s="643"/>
      <c r="ETR1" s="643"/>
      <c r="ETS1" s="643"/>
      <c r="ETT1" s="643"/>
      <c r="ETU1" s="643"/>
      <c r="ETV1" s="643"/>
      <c r="ETW1" s="643"/>
      <c r="ETX1" s="643"/>
      <c r="ETY1" s="643"/>
      <c r="ETZ1" s="643"/>
      <c r="EUA1" s="643"/>
      <c r="EUB1" s="643"/>
      <c r="EUC1" s="643"/>
      <c r="EUD1" s="643"/>
      <c r="EUE1" s="643"/>
      <c r="EUF1" s="643"/>
      <c r="EUG1" s="643"/>
      <c r="EUH1" s="643"/>
      <c r="EUI1" s="643"/>
      <c r="EUJ1" s="643"/>
      <c r="EUK1" s="643"/>
      <c r="EUL1" s="643"/>
      <c r="EUM1" s="643"/>
      <c r="EUN1" s="643"/>
      <c r="EUO1" s="643"/>
      <c r="EUP1" s="643"/>
      <c r="EUQ1" s="643"/>
      <c r="EUR1" s="643"/>
      <c r="EUS1" s="643"/>
      <c r="EUT1" s="643"/>
      <c r="EUU1" s="643"/>
      <c r="EUV1" s="643"/>
      <c r="EUW1" s="643"/>
      <c r="EUX1" s="643"/>
      <c r="EUY1" s="643"/>
      <c r="EUZ1" s="643"/>
      <c r="EVA1" s="643"/>
      <c r="EVB1" s="643"/>
      <c r="EVC1" s="643"/>
      <c r="EVD1" s="643"/>
      <c r="EVE1" s="643"/>
      <c r="EVF1" s="643"/>
      <c r="EVG1" s="643"/>
      <c r="EVH1" s="643"/>
      <c r="EVI1" s="643"/>
      <c r="EVJ1" s="643"/>
      <c r="EVK1" s="643"/>
      <c r="EVL1" s="643"/>
      <c r="EVM1" s="643"/>
      <c r="EVN1" s="643"/>
      <c r="EVO1" s="643"/>
      <c r="EVP1" s="643"/>
      <c r="EVQ1" s="643"/>
      <c r="EVR1" s="643"/>
      <c r="EVS1" s="643"/>
      <c r="EVT1" s="643"/>
      <c r="EVU1" s="643"/>
      <c r="EVV1" s="643"/>
      <c r="EVW1" s="643"/>
      <c r="EVX1" s="643"/>
      <c r="EVY1" s="643"/>
      <c r="EVZ1" s="643"/>
      <c r="EWA1" s="643"/>
      <c r="EWB1" s="643"/>
      <c r="EWC1" s="643"/>
      <c r="EWD1" s="643"/>
      <c r="EWE1" s="643"/>
      <c r="EWF1" s="643"/>
      <c r="EWG1" s="643"/>
      <c r="EWH1" s="643"/>
      <c r="EWI1" s="643"/>
      <c r="EWJ1" s="643"/>
      <c r="EWK1" s="643"/>
      <c r="EWL1" s="643"/>
      <c r="EWM1" s="643"/>
      <c r="EWN1" s="643"/>
      <c r="EWO1" s="643"/>
      <c r="EWP1" s="643"/>
      <c r="EWQ1" s="643"/>
      <c r="EWR1" s="643"/>
      <c r="EWS1" s="643"/>
      <c r="EWT1" s="643"/>
      <c r="EWU1" s="643"/>
      <c r="EWV1" s="643"/>
      <c r="EWW1" s="643"/>
      <c r="EWX1" s="643"/>
      <c r="EWY1" s="643"/>
      <c r="EWZ1" s="643"/>
      <c r="EXA1" s="643"/>
      <c r="EXB1" s="643"/>
      <c r="EXC1" s="643"/>
      <c r="EXD1" s="643"/>
      <c r="EXE1" s="643"/>
      <c r="EXF1" s="643"/>
      <c r="EXG1" s="643"/>
      <c r="EXH1" s="643"/>
      <c r="EXI1" s="643"/>
      <c r="EXJ1" s="643"/>
      <c r="EXK1" s="643"/>
      <c r="EXL1" s="643"/>
      <c r="EXM1" s="643"/>
      <c r="EXN1" s="643"/>
      <c r="EXO1" s="643"/>
      <c r="EXP1" s="643"/>
      <c r="EXQ1" s="643"/>
      <c r="EXR1" s="643"/>
      <c r="EXS1" s="643"/>
      <c r="EXT1" s="643"/>
      <c r="EXU1" s="643"/>
      <c r="EXV1" s="643"/>
      <c r="EXW1" s="643"/>
      <c r="EXX1" s="643"/>
      <c r="EXY1" s="643"/>
      <c r="EXZ1" s="643"/>
      <c r="EYA1" s="643"/>
      <c r="EYB1" s="643"/>
      <c r="EYC1" s="643"/>
      <c r="EYD1" s="643"/>
      <c r="EYE1" s="643"/>
      <c r="EYF1" s="643"/>
      <c r="EYG1" s="643"/>
      <c r="EYH1" s="643"/>
      <c r="EYI1" s="643"/>
      <c r="EYJ1" s="643"/>
      <c r="EYK1" s="643"/>
      <c r="EYL1" s="643"/>
      <c r="EYM1" s="643"/>
      <c r="EYN1" s="643"/>
      <c r="EYO1" s="643"/>
      <c r="EYP1" s="643"/>
      <c r="EYQ1" s="643"/>
      <c r="EYR1" s="643"/>
      <c r="EYS1" s="643"/>
      <c r="EYT1" s="643"/>
      <c r="EYU1" s="643"/>
      <c r="EYV1" s="643"/>
      <c r="EYW1" s="643"/>
      <c r="EYX1" s="643"/>
      <c r="EYY1" s="643"/>
      <c r="EYZ1" s="643"/>
      <c r="EZA1" s="643"/>
      <c r="EZB1" s="643"/>
      <c r="EZC1" s="643"/>
      <c r="EZD1" s="643"/>
      <c r="EZE1" s="643"/>
      <c r="EZF1" s="643"/>
      <c r="EZG1" s="643"/>
      <c r="EZH1" s="643"/>
      <c r="EZI1" s="643"/>
      <c r="EZJ1" s="643"/>
      <c r="EZK1" s="643"/>
      <c r="EZL1" s="643"/>
      <c r="EZM1" s="643"/>
      <c r="EZN1" s="643"/>
      <c r="EZO1" s="643"/>
      <c r="EZP1" s="643"/>
      <c r="EZQ1" s="643"/>
      <c r="EZR1" s="643"/>
      <c r="EZS1" s="643"/>
      <c r="EZT1" s="643"/>
      <c r="EZU1" s="643"/>
      <c r="EZV1" s="643"/>
      <c r="EZW1" s="643"/>
      <c r="EZX1" s="643"/>
      <c r="EZY1" s="643"/>
      <c r="EZZ1" s="643"/>
      <c r="FAA1" s="643"/>
      <c r="FAB1" s="643"/>
      <c r="FAC1" s="643"/>
      <c r="FAD1" s="643"/>
      <c r="FAE1" s="643"/>
      <c r="FAF1" s="643"/>
      <c r="FAG1" s="643"/>
      <c r="FAH1" s="643"/>
      <c r="FAI1" s="643"/>
      <c r="FAJ1" s="643"/>
      <c r="FAK1" s="643"/>
      <c r="FAL1" s="643"/>
      <c r="FAM1" s="643"/>
      <c r="FAN1" s="643"/>
      <c r="FAO1" s="643"/>
      <c r="FAP1" s="643"/>
      <c r="FAQ1" s="643"/>
      <c r="FAR1" s="643"/>
      <c r="FAS1" s="643"/>
      <c r="FAT1" s="643"/>
      <c r="FAU1" s="643"/>
      <c r="FAV1" s="643"/>
      <c r="FAW1" s="643"/>
      <c r="FAX1" s="643"/>
      <c r="FAY1" s="643"/>
      <c r="FAZ1" s="643"/>
      <c r="FBA1" s="643"/>
      <c r="FBB1" s="643"/>
      <c r="FBC1" s="643"/>
      <c r="FBD1" s="643"/>
      <c r="FBE1" s="643"/>
      <c r="FBF1" s="643"/>
      <c r="FBG1" s="643"/>
      <c r="FBH1" s="643"/>
      <c r="FBI1" s="643"/>
      <c r="FBJ1" s="643"/>
      <c r="FBK1" s="643"/>
      <c r="FBL1" s="643"/>
      <c r="FBM1" s="643"/>
      <c r="FBN1" s="643"/>
      <c r="FBO1" s="643"/>
      <c r="FBP1" s="643"/>
      <c r="FBQ1" s="643"/>
      <c r="FBR1" s="643"/>
      <c r="FBS1" s="643"/>
      <c r="FBT1" s="643"/>
      <c r="FBU1" s="643"/>
      <c r="FBV1" s="643"/>
      <c r="FBW1" s="643"/>
      <c r="FBX1" s="643"/>
      <c r="FBY1" s="643"/>
      <c r="FBZ1" s="643"/>
      <c r="FCA1" s="643"/>
      <c r="FCB1" s="643"/>
      <c r="FCC1" s="643"/>
      <c r="FCD1" s="643"/>
      <c r="FCE1" s="643"/>
      <c r="FCF1" s="643"/>
      <c r="FCG1" s="643"/>
      <c r="FCH1" s="643"/>
      <c r="FCI1" s="643"/>
      <c r="FCJ1" s="643"/>
      <c r="FCK1" s="643"/>
      <c r="FCL1" s="643"/>
      <c r="FCM1" s="643"/>
      <c r="FCN1" s="643"/>
      <c r="FCO1" s="643"/>
      <c r="FCP1" s="643"/>
      <c r="FCQ1" s="643"/>
      <c r="FCR1" s="643"/>
      <c r="FCS1" s="643"/>
      <c r="FCT1" s="643"/>
      <c r="FCU1" s="643"/>
      <c r="FCV1" s="643"/>
      <c r="FCW1" s="643"/>
      <c r="FCX1" s="643"/>
      <c r="FCY1" s="643"/>
      <c r="FCZ1" s="643"/>
      <c r="FDA1" s="643"/>
      <c r="FDB1" s="643"/>
      <c r="FDC1" s="643"/>
      <c r="FDD1" s="643"/>
      <c r="FDE1" s="643"/>
      <c r="FDF1" s="643"/>
      <c r="FDG1" s="643"/>
      <c r="FDH1" s="643"/>
      <c r="FDI1" s="643"/>
      <c r="FDJ1" s="643"/>
      <c r="FDK1" s="643"/>
      <c r="FDL1" s="643"/>
      <c r="FDM1" s="643"/>
      <c r="FDN1" s="643"/>
      <c r="FDO1" s="643"/>
      <c r="FDP1" s="643"/>
      <c r="FDQ1" s="643"/>
      <c r="FDR1" s="643"/>
      <c r="FDS1" s="643"/>
      <c r="FDT1" s="643"/>
      <c r="FDU1" s="643"/>
      <c r="FDV1" s="643"/>
      <c r="FDW1" s="643"/>
      <c r="FDX1" s="643"/>
      <c r="FDY1" s="643"/>
      <c r="FDZ1" s="643"/>
      <c r="FEA1" s="643"/>
      <c r="FEB1" s="643"/>
      <c r="FEC1" s="643"/>
      <c r="FED1" s="643"/>
      <c r="FEE1" s="643"/>
      <c r="FEF1" s="643"/>
      <c r="FEG1" s="643"/>
      <c r="FEH1" s="643"/>
      <c r="FEI1" s="643"/>
      <c r="FEJ1" s="643"/>
      <c r="FEK1" s="643"/>
      <c r="FEL1" s="643"/>
      <c r="FEM1" s="643"/>
      <c r="FEN1" s="643"/>
      <c r="FEO1" s="643"/>
      <c r="FEP1" s="643"/>
      <c r="FEQ1" s="643"/>
      <c r="FER1" s="643"/>
      <c r="FES1" s="643"/>
      <c r="FET1" s="643"/>
      <c r="FEU1" s="643"/>
      <c r="FEV1" s="643"/>
      <c r="FEW1" s="643"/>
      <c r="FEX1" s="643"/>
      <c r="FEY1" s="643"/>
      <c r="FEZ1" s="643"/>
      <c r="FFA1" s="643"/>
      <c r="FFB1" s="643"/>
      <c r="FFC1" s="643"/>
      <c r="FFD1" s="643"/>
      <c r="FFE1" s="643"/>
      <c r="FFF1" s="643"/>
      <c r="FFG1" s="643"/>
      <c r="FFH1" s="643"/>
      <c r="FFI1" s="643"/>
      <c r="FFJ1" s="643"/>
      <c r="FFK1" s="643"/>
      <c r="FFL1" s="643"/>
      <c r="FFM1" s="643"/>
      <c r="FFN1" s="643"/>
      <c r="FFO1" s="643"/>
      <c r="FFP1" s="643"/>
      <c r="FFQ1" s="643"/>
      <c r="FFR1" s="643"/>
      <c r="FFS1" s="643"/>
      <c r="FFT1" s="643"/>
      <c r="FFU1" s="643"/>
      <c r="FFV1" s="643"/>
      <c r="FFW1" s="643"/>
      <c r="FFX1" s="643"/>
      <c r="FFY1" s="643"/>
      <c r="FFZ1" s="643"/>
      <c r="FGA1" s="643"/>
      <c r="FGB1" s="643"/>
      <c r="FGC1" s="643"/>
      <c r="FGD1" s="643"/>
      <c r="FGE1" s="643"/>
      <c r="FGF1" s="643"/>
      <c r="FGG1" s="643"/>
      <c r="FGH1" s="643"/>
      <c r="FGI1" s="643"/>
      <c r="FGJ1" s="643"/>
      <c r="FGK1" s="643"/>
      <c r="FGL1" s="643"/>
      <c r="FGM1" s="643"/>
      <c r="FGN1" s="643"/>
      <c r="FGO1" s="643"/>
      <c r="FGP1" s="643"/>
      <c r="FGQ1" s="643"/>
      <c r="FGR1" s="643"/>
      <c r="FGS1" s="643"/>
      <c r="FGT1" s="643"/>
      <c r="FGU1" s="643"/>
      <c r="FGV1" s="643"/>
      <c r="FGW1" s="643"/>
      <c r="FGX1" s="643"/>
      <c r="FGY1" s="643"/>
      <c r="FGZ1" s="643"/>
      <c r="FHA1" s="643"/>
      <c r="FHB1" s="643"/>
      <c r="FHC1" s="643"/>
      <c r="FHD1" s="643"/>
      <c r="FHE1" s="643"/>
      <c r="FHF1" s="643"/>
      <c r="FHG1" s="643"/>
      <c r="FHH1" s="643"/>
      <c r="FHI1" s="643"/>
      <c r="FHJ1" s="643"/>
      <c r="FHK1" s="643"/>
      <c r="FHL1" s="643"/>
      <c r="FHM1" s="643"/>
      <c r="FHN1" s="643"/>
      <c r="FHO1" s="643"/>
      <c r="FHP1" s="643"/>
      <c r="FHQ1" s="643"/>
      <c r="FHR1" s="643"/>
      <c r="FHS1" s="643"/>
      <c r="FHT1" s="643"/>
      <c r="FHU1" s="643"/>
      <c r="FHV1" s="643"/>
      <c r="FHW1" s="643"/>
      <c r="FHX1" s="643"/>
      <c r="FHY1" s="643"/>
      <c r="FHZ1" s="643"/>
      <c r="FIA1" s="643"/>
      <c r="FIB1" s="643"/>
      <c r="FIC1" s="643"/>
      <c r="FID1" s="643"/>
      <c r="FIE1" s="643"/>
      <c r="FIF1" s="643"/>
      <c r="FIG1" s="643"/>
      <c r="FIH1" s="643"/>
      <c r="FII1" s="643"/>
      <c r="FIJ1" s="643"/>
      <c r="FIK1" s="643"/>
      <c r="FIL1" s="643"/>
      <c r="FIM1" s="643"/>
      <c r="FIN1" s="643"/>
      <c r="FIO1" s="643"/>
      <c r="FIP1" s="643"/>
      <c r="FIQ1" s="643"/>
      <c r="FIR1" s="643"/>
      <c r="FIS1" s="643"/>
      <c r="FIT1" s="643"/>
      <c r="FIU1" s="643"/>
      <c r="FIV1" s="643"/>
      <c r="FIW1" s="643"/>
      <c r="FIX1" s="643"/>
      <c r="FIY1" s="643"/>
      <c r="FIZ1" s="643"/>
      <c r="FJA1" s="643"/>
      <c r="FJB1" s="643"/>
      <c r="FJC1" s="643"/>
      <c r="FJD1" s="643"/>
      <c r="FJE1" s="643"/>
      <c r="FJF1" s="643"/>
      <c r="FJG1" s="643"/>
      <c r="FJH1" s="643"/>
      <c r="FJI1" s="643"/>
      <c r="FJJ1" s="643"/>
      <c r="FJK1" s="643"/>
      <c r="FJL1" s="643"/>
      <c r="FJM1" s="643"/>
      <c r="FJN1" s="643"/>
      <c r="FJO1" s="643"/>
      <c r="FJP1" s="643"/>
      <c r="FJQ1" s="643"/>
      <c r="FJR1" s="643"/>
      <c r="FJS1" s="643"/>
      <c r="FJT1" s="643"/>
      <c r="FJU1" s="643"/>
      <c r="FJV1" s="643"/>
      <c r="FJW1" s="643"/>
      <c r="FJX1" s="643"/>
      <c r="FJY1" s="643"/>
      <c r="FJZ1" s="643"/>
      <c r="FKA1" s="643"/>
      <c r="FKB1" s="643"/>
      <c r="FKC1" s="643"/>
      <c r="FKD1" s="643"/>
      <c r="FKE1" s="643"/>
      <c r="FKF1" s="643"/>
      <c r="FKG1" s="643"/>
      <c r="FKH1" s="643"/>
      <c r="FKI1" s="643"/>
      <c r="FKJ1" s="643"/>
      <c r="FKK1" s="643"/>
      <c r="FKL1" s="643"/>
      <c r="FKM1" s="643"/>
      <c r="FKN1" s="643"/>
      <c r="FKO1" s="643"/>
      <c r="FKP1" s="643"/>
      <c r="FKQ1" s="643"/>
      <c r="FKR1" s="643"/>
      <c r="FKS1" s="643"/>
      <c r="FKT1" s="643"/>
      <c r="FKU1" s="643"/>
      <c r="FKV1" s="643"/>
      <c r="FKW1" s="643"/>
      <c r="FKX1" s="643"/>
      <c r="FKY1" s="643"/>
      <c r="FKZ1" s="643"/>
      <c r="FLA1" s="643"/>
      <c r="FLB1" s="643"/>
      <c r="FLC1" s="643"/>
      <c r="FLD1" s="643"/>
      <c r="FLE1" s="643"/>
      <c r="FLF1" s="643"/>
      <c r="FLG1" s="643"/>
      <c r="FLH1" s="643"/>
      <c r="FLI1" s="643"/>
      <c r="FLJ1" s="643"/>
      <c r="FLK1" s="643"/>
      <c r="FLL1" s="643"/>
      <c r="FLM1" s="643"/>
      <c r="FLN1" s="643"/>
      <c r="FLO1" s="643"/>
      <c r="FLP1" s="643"/>
      <c r="FLQ1" s="643"/>
      <c r="FLR1" s="643"/>
      <c r="FLS1" s="643"/>
      <c r="FLT1" s="643"/>
      <c r="FLU1" s="643"/>
      <c r="FLV1" s="643"/>
      <c r="FLW1" s="643"/>
      <c r="FLX1" s="643"/>
      <c r="FLY1" s="643"/>
      <c r="FLZ1" s="643"/>
      <c r="FMA1" s="643"/>
      <c r="FMB1" s="643"/>
      <c r="FMC1" s="643"/>
      <c r="FMD1" s="643"/>
      <c r="FME1" s="643"/>
      <c r="FMF1" s="643"/>
      <c r="FMG1" s="643"/>
      <c r="FMH1" s="643"/>
      <c r="FMI1" s="643"/>
      <c r="FMJ1" s="643"/>
      <c r="FMK1" s="643"/>
      <c r="FML1" s="643"/>
      <c r="FMM1" s="643"/>
      <c r="FMN1" s="643"/>
      <c r="FMO1" s="643"/>
      <c r="FMP1" s="643"/>
      <c r="FMQ1" s="643"/>
      <c r="FMR1" s="643"/>
      <c r="FMS1" s="643"/>
      <c r="FMT1" s="643"/>
      <c r="FMU1" s="643"/>
      <c r="FMV1" s="643"/>
      <c r="FMW1" s="643"/>
      <c r="FMX1" s="643"/>
      <c r="FMY1" s="643"/>
      <c r="FMZ1" s="643"/>
      <c r="FNA1" s="643"/>
      <c r="FNB1" s="643"/>
      <c r="FNC1" s="643"/>
      <c r="FND1" s="643"/>
      <c r="FNE1" s="643"/>
      <c r="FNF1" s="643"/>
      <c r="FNG1" s="643"/>
      <c r="FNH1" s="643"/>
      <c r="FNI1" s="643"/>
      <c r="FNJ1" s="643"/>
      <c r="FNK1" s="643"/>
      <c r="FNL1" s="643"/>
      <c r="FNM1" s="643"/>
      <c r="FNN1" s="643"/>
      <c r="FNO1" s="643"/>
      <c r="FNP1" s="643"/>
      <c r="FNQ1" s="643"/>
      <c r="FNR1" s="643"/>
      <c r="FNS1" s="643"/>
      <c r="FNT1" s="643"/>
      <c r="FNU1" s="643"/>
      <c r="FNV1" s="643"/>
      <c r="FNW1" s="643"/>
      <c r="FNX1" s="643"/>
      <c r="FNY1" s="643"/>
      <c r="FNZ1" s="643"/>
      <c r="FOA1" s="643"/>
      <c r="FOB1" s="643"/>
      <c r="FOC1" s="643"/>
      <c r="FOD1" s="643"/>
      <c r="FOE1" s="643"/>
      <c r="FOF1" s="643"/>
      <c r="FOG1" s="643"/>
      <c r="FOH1" s="643"/>
      <c r="FOI1" s="643"/>
      <c r="FOJ1" s="643"/>
      <c r="FOK1" s="643"/>
      <c r="FOL1" s="643"/>
      <c r="FOM1" s="643"/>
      <c r="FON1" s="643"/>
      <c r="FOO1" s="643"/>
      <c r="FOP1" s="643"/>
      <c r="FOQ1" s="643"/>
      <c r="FOR1" s="643"/>
      <c r="FOS1" s="643"/>
      <c r="FOT1" s="643"/>
      <c r="FOU1" s="643"/>
      <c r="FOV1" s="643"/>
      <c r="FOW1" s="643"/>
      <c r="FOX1" s="643"/>
      <c r="FOY1" s="643"/>
      <c r="FOZ1" s="643"/>
      <c r="FPA1" s="643"/>
      <c r="FPB1" s="643"/>
      <c r="FPC1" s="643"/>
      <c r="FPD1" s="643"/>
      <c r="FPE1" s="643"/>
      <c r="FPF1" s="643"/>
      <c r="FPG1" s="643"/>
      <c r="FPH1" s="643"/>
      <c r="FPI1" s="643"/>
      <c r="FPJ1" s="643"/>
      <c r="FPK1" s="643"/>
      <c r="FPL1" s="643"/>
      <c r="FPM1" s="643"/>
      <c r="FPN1" s="643"/>
      <c r="FPO1" s="643"/>
      <c r="FPP1" s="643"/>
      <c r="FPQ1" s="643"/>
      <c r="FPR1" s="643"/>
      <c r="FPS1" s="643"/>
      <c r="FPT1" s="643"/>
      <c r="FPU1" s="643"/>
      <c r="FPV1" s="643"/>
      <c r="FPW1" s="643"/>
      <c r="FPX1" s="643"/>
      <c r="FPY1" s="643"/>
      <c r="FPZ1" s="643"/>
      <c r="FQA1" s="643"/>
      <c r="FQB1" s="643"/>
      <c r="FQC1" s="643"/>
      <c r="FQD1" s="643"/>
      <c r="FQE1" s="643"/>
      <c r="FQF1" s="643"/>
      <c r="FQG1" s="643"/>
      <c r="FQH1" s="643"/>
      <c r="FQI1" s="643"/>
      <c r="FQJ1" s="643"/>
      <c r="FQK1" s="643"/>
      <c r="FQL1" s="643"/>
      <c r="FQM1" s="643"/>
      <c r="FQN1" s="643"/>
      <c r="FQO1" s="643"/>
      <c r="FQP1" s="643"/>
      <c r="FQQ1" s="643"/>
      <c r="FQR1" s="643"/>
      <c r="FQS1" s="643"/>
      <c r="FQT1" s="643"/>
      <c r="FQU1" s="643"/>
      <c r="FQV1" s="643"/>
      <c r="FQW1" s="643"/>
      <c r="FQX1" s="643"/>
      <c r="FQY1" s="643"/>
      <c r="FQZ1" s="643"/>
      <c r="FRA1" s="643"/>
      <c r="FRB1" s="643"/>
      <c r="FRC1" s="643"/>
      <c r="FRD1" s="643"/>
      <c r="FRE1" s="643"/>
      <c r="FRF1" s="643"/>
      <c r="FRG1" s="643"/>
      <c r="FRH1" s="643"/>
      <c r="FRI1" s="643"/>
      <c r="FRJ1" s="643"/>
      <c r="FRK1" s="643"/>
      <c r="FRL1" s="643"/>
      <c r="FRM1" s="643"/>
      <c r="FRN1" s="643"/>
      <c r="FRO1" s="643"/>
      <c r="FRP1" s="643"/>
      <c r="FRQ1" s="643"/>
      <c r="FRR1" s="643"/>
      <c r="FRS1" s="643"/>
      <c r="FRT1" s="643"/>
      <c r="FRU1" s="643"/>
      <c r="FRV1" s="643"/>
      <c r="FRW1" s="643"/>
      <c r="FRX1" s="643"/>
      <c r="FRY1" s="643"/>
      <c r="FRZ1" s="643"/>
      <c r="FSA1" s="643"/>
      <c r="FSB1" s="643"/>
      <c r="FSC1" s="643"/>
      <c r="FSD1" s="643"/>
      <c r="FSE1" s="643"/>
      <c r="FSF1" s="643"/>
      <c r="FSG1" s="643"/>
      <c r="FSH1" s="643"/>
      <c r="FSI1" s="643"/>
      <c r="FSJ1" s="643"/>
      <c r="FSK1" s="643"/>
      <c r="FSL1" s="643"/>
      <c r="FSM1" s="643"/>
      <c r="FSN1" s="643"/>
      <c r="FSO1" s="643"/>
      <c r="FSP1" s="643"/>
      <c r="FSQ1" s="643"/>
      <c r="FSR1" s="643"/>
      <c r="FSS1" s="643"/>
      <c r="FST1" s="643"/>
      <c r="FSU1" s="643"/>
      <c r="FSV1" s="643"/>
      <c r="FSW1" s="643"/>
      <c r="FSX1" s="643"/>
      <c r="FSY1" s="643"/>
      <c r="FSZ1" s="643"/>
      <c r="FTA1" s="643"/>
      <c r="FTB1" s="643"/>
      <c r="FTC1" s="643"/>
      <c r="FTD1" s="643"/>
      <c r="FTE1" s="643"/>
      <c r="FTF1" s="643"/>
      <c r="FTG1" s="643"/>
      <c r="FTH1" s="643"/>
      <c r="FTI1" s="643"/>
      <c r="FTJ1" s="643"/>
      <c r="FTK1" s="643"/>
      <c r="FTL1" s="643"/>
      <c r="FTM1" s="643"/>
      <c r="FTN1" s="643"/>
      <c r="FTO1" s="643"/>
      <c r="FTP1" s="643"/>
      <c r="FTQ1" s="643"/>
      <c r="FTR1" s="643"/>
      <c r="FTS1" s="643"/>
      <c r="FTT1" s="643"/>
      <c r="FTU1" s="643"/>
      <c r="FTV1" s="643"/>
      <c r="FTW1" s="643"/>
      <c r="FTX1" s="643"/>
      <c r="FTY1" s="643"/>
      <c r="FTZ1" s="643"/>
      <c r="FUA1" s="643"/>
      <c r="FUB1" s="643"/>
      <c r="FUC1" s="643"/>
      <c r="FUD1" s="643"/>
      <c r="FUE1" s="643"/>
      <c r="FUF1" s="643"/>
      <c r="FUG1" s="643"/>
      <c r="FUH1" s="643"/>
      <c r="FUI1" s="643"/>
      <c r="FUJ1" s="643"/>
      <c r="FUK1" s="643"/>
      <c r="FUL1" s="643"/>
      <c r="FUM1" s="643"/>
      <c r="FUN1" s="643"/>
      <c r="FUO1" s="643"/>
      <c r="FUP1" s="643"/>
      <c r="FUQ1" s="643"/>
      <c r="FUR1" s="643"/>
      <c r="FUS1" s="643"/>
      <c r="FUT1" s="643"/>
      <c r="FUU1" s="643"/>
      <c r="FUV1" s="643"/>
      <c r="FUW1" s="643"/>
      <c r="FUX1" s="643"/>
      <c r="FUY1" s="643"/>
      <c r="FUZ1" s="643"/>
      <c r="FVA1" s="643"/>
      <c r="FVB1" s="643"/>
      <c r="FVC1" s="643"/>
      <c r="FVD1" s="643"/>
      <c r="FVE1" s="643"/>
      <c r="FVF1" s="643"/>
      <c r="FVG1" s="643"/>
      <c r="FVH1" s="643"/>
      <c r="FVI1" s="643"/>
      <c r="FVJ1" s="643"/>
      <c r="FVK1" s="643"/>
      <c r="FVL1" s="643"/>
      <c r="FVM1" s="643"/>
      <c r="FVN1" s="643"/>
      <c r="FVO1" s="643"/>
      <c r="FVP1" s="643"/>
      <c r="FVQ1" s="643"/>
      <c r="FVR1" s="643"/>
      <c r="FVS1" s="643"/>
      <c r="FVT1" s="643"/>
      <c r="FVU1" s="643"/>
      <c r="FVV1" s="643"/>
      <c r="FVW1" s="643"/>
      <c r="FVX1" s="643"/>
      <c r="FVY1" s="643"/>
      <c r="FVZ1" s="643"/>
      <c r="FWA1" s="643"/>
      <c r="FWB1" s="643"/>
      <c r="FWC1" s="643"/>
      <c r="FWD1" s="643"/>
      <c r="FWE1" s="643"/>
      <c r="FWF1" s="643"/>
      <c r="FWG1" s="643"/>
      <c r="FWH1" s="643"/>
      <c r="FWI1" s="643"/>
      <c r="FWJ1" s="643"/>
      <c r="FWK1" s="643"/>
      <c r="FWL1" s="643"/>
      <c r="FWM1" s="643"/>
      <c r="FWN1" s="643"/>
      <c r="FWO1" s="643"/>
      <c r="FWP1" s="643"/>
      <c r="FWQ1" s="643"/>
      <c r="FWR1" s="643"/>
      <c r="FWS1" s="643"/>
      <c r="FWT1" s="643"/>
      <c r="FWU1" s="643"/>
      <c r="FWV1" s="643"/>
      <c r="FWW1" s="643"/>
      <c r="FWX1" s="643"/>
      <c r="FWY1" s="643"/>
      <c r="FWZ1" s="643"/>
      <c r="FXA1" s="643"/>
      <c r="FXB1" s="643"/>
      <c r="FXC1" s="643"/>
      <c r="FXD1" s="643"/>
      <c r="FXE1" s="643"/>
      <c r="FXF1" s="643"/>
      <c r="FXG1" s="643"/>
      <c r="FXH1" s="643"/>
      <c r="FXI1" s="643"/>
      <c r="FXJ1" s="643"/>
      <c r="FXK1" s="643"/>
      <c r="FXL1" s="643"/>
      <c r="FXM1" s="643"/>
      <c r="FXN1" s="643"/>
      <c r="FXO1" s="643"/>
      <c r="FXP1" s="643"/>
      <c r="FXQ1" s="643"/>
      <c r="FXR1" s="643"/>
      <c r="FXS1" s="643"/>
      <c r="FXT1" s="643"/>
      <c r="FXU1" s="643"/>
      <c r="FXV1" s="643"/>
      <c r="FXW1" s="643"/>
      <c r="FXX1" s="643"/>
      <c r="FXY1" s="643"/>
      <c r="FXZ1" s="643"/>
      <c r="FYA1" s="643"/>
      <c r="FYB1" s="643"/>
      <c r="FYC1" s="643"/>
      <c r="FYD1" s="643"/>
      <c r="FYE1" s="643"/>
      <c r="FYF1" s="643"/>
      <c r="FYG1" s="643"/>
      <c r="FYH1" s="643"/>
      <c r="FYI1" s="643"/>
      <c r="FYJ1" s="643"/>
      <c r="FYK1" s="643"/>
      <c r="FYL1" s="643"/>
      <c r="FYM1" s="643"/>
      <c r="FYN1" s="643"/>
      <c r="FYO1" s="643"/>
      <c r="FYP1" s="643"/>
      <c r="FYQ1" s="643"/>
      <c r="FYR1" s="643"/>
      <c r="FYS1" s="643"/>
      <c r="FYT1" s="643"/>
      <c r="FYU1" s="643"/>
      <c r="FYV1" s="643"/>
      <c r="FYW1" s="643"/>
      <c r="FYX1" s="643"/>
      <c r="FYY1" s="643"/>
      <c r="FYZ1" s="643"/>
      <c r="FZA1" s="643"/>
      <c r="FZB1" s="643"/>
      <c r="FZC1" s="643"/>
      <c r="FZD1" s="643"/>
      <c r="FZE1" s="643"/>
      <c r="FZF1" s="643"/>
      <c r="FZG1" s="643"/>
      <c r="FZH1" s="643"/>
      <c r="FZI1" s="643"/>
      <c r="FZJ1" s="643"/>
      <c r="FZK1" s="643"/>
      <c r="FZL1" s="643"/>
      <c r="FZM1" s="643"/>
      <c r="FZN1" s="643"/>
      <c r="FZO1" s="643"/>
      <c r="FZP1" s="643"/>
      <c r="FZQ1" s="643"/>
      <c r="FZR1" s="643"/>
      <c r="FZS1" s="643"/>
      <c r="FZT1" s="643"/>
      <c r="FZU1" s="643"/>
      <c r="FZV1" s="643"/>
      <c r="FZW1" s="643"/>
      <c r="FZX1" s="643"/>
      <c r="FZY1" s="643"/>
      <c r="FZZ1" s="643"/>
      <c r="GAA1" s="643"/>
      <c r="GAB1" s="643"/>
      <c r="GAC1" s="643"/>
      <c r="GAD1" s="643"/>
      <c r="GAE1" s="643"/>
      <c r="GAF1" s="643"/>
      <c r="GAG1" s="643"/>
      <c r="GAH1" s="643"/>
      <c r="GAI1" s="643"/>
      <c r="GAJ1" s="643"/>
      <c r="GAK1" s="643"/>
      <c r="GAL1" s="643"/>
      <c r="GAM1" s="643"/>
      <c r="GAN1" s="643"/>
      <c r="GAO1" s="643"/>
      <c r="GAP1" s="643"/>
      <c r="GAQ1" s="643"/>
      <c r="GAR1" s="643"/>
      <c r="GAS1" s="643"/>
      <c r="GAT1" s="643"/>
      <c r="GAU1" s="643"/>
      <c r="GAV1" s="643"/>
      <c r="GAW1" s="643"/>
      <c r="GAX1" s="643"/>
      <c r="GAY1" s="643"/>
      <c r="GAZ1" s="643"/>
      <c r="GBA1" s="643"/>
      <c r="GBB1" s="643"/>
      <c r="GBC1" s="643"/>
      <c r="GBD1" s="643"/>
      <c r="GBE1" s="643"/>
      <c r="GBF1" s="643"/>
      <c r="GBG1" s="643"/>
      <c r="GBH1" s="643"/>
      <c r="GBI1" s="643"/>
      <c r="GBJ1" s="643"/>
      <c r="GBK1" s="643"/>
      <c r="GBL1" s="643"/>
      <c r="GBM1" s="643"/>
      <c r="GBN1" s="643"/>
      <c r="GBO1" s="643"/>
      <c r="GBP1" s="643"/>
      <c r="GBQ1" s="643"/>
      <c r="GBR1" s="643"/>
      <c r="GBS1" s="643"/>
      <c r="GBT1" s="643"/>
      <c r="GBU1" s="643"/>
      <c r="GBV1" s="643"/>
      <c r="GBW1" s="643"/>
      <c r="GBX1" s="643"/>
      <c r="GBY1" s="643"/>
      <c r="GBZ1" s="643"/>
      <c r="GCA1" s="643"/>
      <c r="GCB1" s="643"/>
      <c r="GCC1" s="643"/>
      <c r="GCD1" s="643"/>
      <c r="GCE1" s="643"/>
      <c r="GCF1" s="643"/>
      <c r="GCG1" s="643"/>
      <c r="GCH1" s="643"/>
      <c r="GCI1" s="643"/>
      <c r="GCJ1" s="643"/>
      <c r="GCK1" s="643"/>
      <c r="GCL1" s="643"/>
      <c r="GCM1" s="643"/>
      <c r="GCN1" s="643"/>
      <c r="GCO1" s="643"/>
      <c r="GCP1" s="643"/>
      <c r="GCQ1" s="643"/>
      <c r="GCR1" s="643"/>
      <c r="GCS1" s="643"/>
      <c r="GCT1" s="643"/>
      <c r="GCU1" s="643"/>
      <c r="GCV1" s="643"/>
      <c r="GCW1" s="643"/>
      <c r="GCX1" s="643"/>
      <c r="GCY1" s="643"/>
      <c r="GCZ1" s="643"/>
      <c r="GDA1" s="643"/>
      <c r="GDB1" s="643"/>
      <c r="GDC1" s="643"/>
      <c r="GDD1" s="643"/>
      <c r="GDE1" s="643"/>
      <c r="GDF1" s="643"/>
      <c r="GDG1" s="643"/>
      <c r="GDH1" s="643"/>
      <c r="GDI1" s="643"/>
      <c r="GDJ1" s="643"/>
      <c r="GDK1" s="643"/>
      <c r="GDL1" s="643"/>
      <c r="GDM1" s="643"/>
      <c r="GDN1" s="643"/>
      <c r="GDO1" s="643"/>
      <c r="GDP1" s="643"/>
      <c r="GDQ1" s="643"/>
      <c r="GDR1" s="643"/>
      <c r="GDS1" s="643"/>
      <c r="GDT1" s="643"/>
      <c r="GDU1" s="643"/>
      <c r="GDV1" s="643"/>
      <c r="GDW1" s="643"/>
      <c r="GDX1" s="643"/>
      <c r="GDY1" s="643"/>
      <c r="GDZ1" s="643"/>
      <c r="GEA1" s="643"/>
      <c r="GEB1" s="643"/>
      <c r="GEC1" s="643"/>
      <c r="GED1" s="643"/>
      <c r="GEE1" s="643"/>
      <c r="GEF1" s="643"/>
      <c r="GEG1" s="643"/>
      <c r="GEH1" s="643"/>
      <c r="GEI1" s="643"/>
      <c r="GEJ1" s="643"/>
      <c r="GEK1" s="643"/>
      <c r="GEL1" s="643"/>
      <c r="GEM1" s="643"/>
      <c r="GEN1" s="643"/>
      <c r="GEO1" s="643"/>
      <c r="GEP1" s="643"/>
      <c r="GEQ1" s="643"/>
      <c r="GER1" s="643"/>
      <c r="GES1" s="643"/>
      <c r="GET1" s="643"/>
      <c r="GEU1" s="643"/>
      <c r="GEV1" s="643"/>
      <c r="GEW1" s="643"/>
      <c r="GEX1" s="643"/>
      <c r="GEY1" s="643"/>
      <c r="GEZ1" s="643"/>
      <c r="GFA1" s="643"/>
      <c r="GFB1" s="643"/>
      <c r="GFC1" s="643"/>
      <c r="GFD1" s="643"/>
      <c r="GFE1" s="643"/>
      <c r="GFF1" s="643"/>
      <c r="GFG1" s="643"/>
      <c r="GFH1" s="643"/>
      <c r="GFI1" s="643"/>
      <c r="GFJ1" s="643"/>
      <c r="GFK1" s="643"/>
      <c r="GFL1" s="643"/>
      <c r="GFM1" s="643"/>
      <c r="GFN1" s="643"/>
      <c r="GFO1" s="643"/>
      <c r="GFP1" s="643"/>
      <c r="GFQ1" s="643"/>
      <c r="GFR1" s="643"/>
      <c r="GFS1" s="643"/>
      <c r="GFT1" s="643"/>
      <c r="GFU1" s="643"/>
      <c r="GFV1" s="643"/>
      <c r="GFW1" s="643"/>
      <c r="GFX1" s="643"/>
      <c r="GFY1" s="643"/>
      <c r="GFZ1" s="643"/>
      <c r="GGA1" s="643"/>
      <c r="GGB1" s="643"/>
      <c r="GGC1" s="643"/>
      <c r="GGD1" s="643"/>
      <c r="GGE1" s="643"/>
      <c r="GGF1" s="643"/>
      <c r="GGG1" s="643"/>
      <c r="GGH1" s="643"/>
      <c r="GGI1" s="643"/>
      <c r="GGJ1" s="643"/>
      <c r="GGK1" s="643"/>
      <c r="GGL1" s="643"/>
      <c r="GGM1" s="643"/>
      <c r="GGN1" s="643"/>
      <c r="GGO1" s="643"/>
      <c r="GGP1" s="643"/>
      <c r="GGQ1" s="643"/>
      <c r="GGR1" s="643"/>
      <c r="GGS1" s="643"/>
      <c r="GGT1" s="643"/>
      <c r="GGU1" s="643"/>
      <c r="GGV1" s="643"/>
      <c r="GGW1" s="643"/>
      <c r="GGX1" s="643"/>
      <c r="GGY1" s="643"/>
      <c r="GGZ1" s="643"/>
      <c r="GHA1" s="643"/>
      <c r="GHB1" s="643"/>
      <c r="GHC1" s="643"/>
      <c r="GHD1" s="643"/>
      <c r="GHE1" s="643"/>
      <c r="GHF1" s="643"/>
      <c r="GHG1" s="643"/>
      <c r="GHH1" s="643"/>
      <c r="GHI1" s="643"/>
      <c r="GHJ1" s="643"/>
      <c r="GHK1" s="643"/>
      <c r="GHL1" s="643"/>
      <c r="GHM1" s="643"/>
      <c r="GHN1" s="643"/>
      <c r="GHO1" s="643"/>
      <c r="GHP1" s="643"/>
      <c r="GHQ1" s="643"/>
      <c r="GHR1" s="643"/>
      <c r="GHS1" s="643"/>
      <c r="GHT1" s="643"/>
      <c r="GHU1" s="643"/>
      <c r="GHV1" s="643"/>
      <c r="GHW1" s="643"/>
      <c r="GHX1" s="643"/>
      <c r="GHY1" s="643"/>
      <c r="GHZ1" s="643"/>
      <c r="GIA1" s="643"/>
      <c r="GIB1" s="643"/>
      <c r="GIC1" s="643"/>
      <c r="GID1" s="643"/>
      <c r="GIE1" s="643"/>
      <c r="GIF1" s="643"/>
      <c r="GIG1" s="643"/>
      <c r="GIH1" s="643"/>
      <c r="GII1" s="643"/>
      <c r="GIJ1" s="643"/>
      <c r="GIK1" s="643"/>
      <c r="GIL1" s="643"/>
      <c r="GIM1" s="643"/>
      <c r="GIN1" s="643"/>
      <c r="GIO1" s="643"/>
      <c r="GIP1" s="643"/>
      <c r="GIQ1" s="643"/>
      <c r="GIR1" s="643"/>
      <c r="GIS1" s="643"/>
      <c r="GIT1" s="643"/>
      <c r="GIU1" s="643"/>
      <c r="GIV1" s="643"/>
      <c r="GIW1" s="643"/>
      <c r="GIX1" s="643"/>
      <c r="GIY1" s="643"/>
      <c r="GIZ1" s="643"/>
      <c r="GJA1" s="643"/>
      <c r="GJB1" s="643"/>
      <c r="GJC1" s="643"/>
      <c r="GJD1" s="643"/>
      <c r="GJE1" s="643"/>
      <c r="GJF1" s="643"/>
      <c r="GJG1" s="643"/>
      <c r="GJH1" s="643"/>
      <c r="GJI1" s="643"/>
      <c r="GJJ1" s="643"/>
      <c r="GJK1" s="643"/>
      <c r="GJL1" s="643"/>
      <c r="GJM1" s="643"/>
      <c r="GJN1" s="643"/>
      <c r="GJO1" s="643"/>
      <c r="GJP1" s="643"/>
      <c r="GJQ1" s="643"/>
      <c r="GJR1" s="643"/>
      <c r="GJS1" s="643"/>
      <c r="GJT1" s="643"/>
      <c r="GJU1" s="643"/>
      <c r="GJV1" s="643"/>
      <c r="GJW1" s="643"/>
      <c r="GJX1" s="643"/>
      <c r="GJY1" s="643"/>
      <c r="GJZ1" s="643"/>
      <c r="GKA1" s="643"/>
      <c r="GKB1" s="643"/>
      <c r="GKC1" s="643"/>
      <c r="GKD1" s="643"/>
      <c r="GKE1" s="643"/>
      <c r="GKF1" s="643"/>
      <c r="GKG1" s="643"/>
      <c r="GKH1" s="643"/>
      <c r="GKI1" s="643"/>
      <c r="GKJ1" s="643"/>
      <c r="GKK1" s="643"/>
      <c r="GKL1" s="643"/>
      <c r="GKM1" s="643"/>
      <c r="GKN1" s="643"/>
      <c r="GKO1" s="643"/>
      <c r="GKP1" s="643"/>
      <c r="GKQ1" s="643"/>
      <c r="GKR1" s="643"/>
      <c r="GKS1" s="643"/>
      <c r="GKT1" s="643"/>
      <c r="GKU1" s="643"/>
      <c r="GKV1" s="643"/>
      <c r="GKW1" s="643"/>
      <c r="GKX1" s="643"/>
      <c r="GKY1" s="643"/>
      <c r="GKZ1" s="643"/>
      <c r="GLA1" s="643"/>
      <c r="GLB1" s="643"/>
      <c r="GLC1" s="643"/>
      <c r="GLD1" s="643"/>
      <c r="GLE1" s="643"/>
      <c r="GLF1" s="643"/>
      <c r="GLG1" s="643"/>
      <c r="GLH1" s="643"/>
      <c r="GLI1" s="643"/>
      <c r="GLJ1" s="643"/>
      <c r="GLK1" s="643"/>
      <c r="GLL1" s="643"/>
      <c r="GLM1" s="643"/>
      <c r="GLN1" s="643"/>
      <c r="GLO1" s="643"/>
      <c r="GLP1" s="643"/>
      <c r="GLQ1" s="643"/>
      <c r="GLR1" s="643"/>
      <c r="GLS1" s="643"/>
      <c r="GLT1" s="643"/>
      <c r="GLU1" s="643"/>
      <c r="GLV1" s="643"/>
      <c r="GLW1" s="643"/>
      <c r="GLX1" s="643"/>
      <c r="GLY1" s="643"/>
      <c r="GLZ1" s="643"/>
      <c r="GMA1" s="643"/>
      <c r="GMB1" s="643"/>
      <c r="GMC1" s="643"/>
      <c r="GMD1" s="643"/>
      <c r="GME1" s="643"/>
      <c r="GMF1" s="643"/>
      <c r="GMG1" s="643"/>
      <c r="GMH1" s="643"/>
      <c r="GMI1" s="643"/>
      <c r="GMJ1" s="643"/>
      <c r="GMK1" s="643"/>
      <c r="GML1" s="643"/>
      <c r="GMM1" s="643"/>
      <c r="GMN1" s="643"/>
      <c r="GMO1" s="643"/>
      <c r="GMP1" s="643"/>
      <c r="GMQ1" s="643"/>
      <c r="GMR1" s="643"/>
      <c r="GMS1" s="643"/>
      <c r="GMT1" s="643"/>
      <c r="GMU1" s="643"/>
      <c r="GMV1" s="643"/>
      <c r="GMW1" s="643"/>
      <c r="GMX1" s="643"/>
      <c r="GMY1" s="643"/>
      <c r="GMZ1" s="643"/>
      <c r="GNA1" s="643"/>
      <c r="GNB1" s="643"/>
      <c r="GNC1" s="643"/>
      <c r="GND1" s="643"/>
      <c r="GNE1" s="643"/>
      <c r="GNF1" s="643"/>
      <c r="GNG1" s="643"/>
      <c r="GNH1" s="643"/>
      <c r="GNI1" s="643"/>
      <c r="GNJ1" s="643"/>
      <c r="GNK1" s="643"/>
      <c r="GNL1" s="643"/>
      <c r="GNM1" s="643"/>
      <c r="GNN1" s="643"/>
      <c r="GNO1" s="643"/>
      <c r="GNP1" s="643"/>
      <c r="GNQ1" s="643"/>
      <c r="GNR1" s="643"/>
      <c r="GNS1" s="643"/>
      <c r="GNT1" s="643"/>
      <c r="GNU1" s="643"/>
      <c r="GNV1" s="643"/>
      <c r="GNW1" s="643"/>
      <c r="GNX1" s="643"/>
      <c r="GNY1" s="643"/>
      <c r="GNZ1" s="643"/>
      <c r="GOA1" s="643"/>
      <c r="GOB1" s="643"/>
      <c r="GOC1" s="643"/>
      <c r="GOD1" s="643"/>
      <c r="GOE1" s="643"/>
      <c r="GOF1" s="643"/>
      <c r="GOG1" s="643"/>
      <c r="GOH1" s="643"/>
      <c r="GOI1" s="643"/>
      <c r="GOJ1" s="643"/>
      <c r="GOK1" s="643"/>
      <c r="GOL1" s="643"/>
      <c r="GOM1" s="643"/>
      <c r="GON1" s="643"/>
      <c r="GOO1" s="643"/>
      <c r="GOP1" s="643"/>
      <c r="GOQ1" s="643"/>
      <c r="GOR1" s="643"/>
      <c r="GOS1" s="643"/>
      <c r="GOT1" s="643"/>
      <c r="GOU1" s="643"/>
      <c r="GOV1" s="643"/>
      <c r="GOW1" s="643"/>
      <c r="GOX1" s="643"/>
      <c r="GOY1" s="643"/>
      <c r="GOZ1" s="643"/>
      <c r="GPA1" s="643"/>
      <c r="GPB1" s="643"/>
      <c r="GPC1" s="643"/>
      <c r="GPD1" s="643"/>
      <c r="GPE1" s="643"/>
      <c r="GPF1" s="643"/>
      <c r="GPG1" s="643"/>
      <c r="GPH1" s="643"/>
      <c r="GPI1" s="643"/>
      <c r="GPJ1" s="643"/>
      <c r="GPK1" s="643"/>
      <c r="GPL1" s="643"/>
      <c r="GPM1" s="643"/>
      <c r="GPN1" s="643"/>
      <c r="GPO1" s="643"/>
      <c r="GPP1" s="643"/>
      <c r="GPQ1" s="643"/>
      <c r="GPR1" s="643"/>
      <c r="GPS1" s="643"/>
      <c r="GPT1" s="643"/>
      <c r="GPU1" s="643"/>
      <c r="GPV1" s="643"/>
      <c r="GPW1" s="643"/>
      <c r="GPX1" s="643"/>
      <c r="GPY1" s="643"/>
      <c r="GPZ1" s="643"/>
      <c r="GQA1" s="643"/>
      <c r="GQB1" s="643"/>
      <c r="GQC1" s="643"/>
      <c r="GQD1" s="643"/>
      <c r="GQE1" s="643"/>
      <c r="GQF1" s="643"/>
      <c r="GQG1" s="643"/>
      <c r="GQH1" s="643"/>
      <c r="GQI1" s="643"/>
      <c r="GQJ1" s="643"/>
      <c r="GQK1" s="643"/>
      <c r="GQL1" s="643"/>
      <c r="GQM1" s="643"/>
      <c r="GQN1" s="643"/>
      <c r="GQO1" s="643"/>
      <c r="GQP1" s="643"/>
      <c r="GQQ1" s="643"/>
      <c r="GQR1" s="643"/>
      <c r="GQS1" s="643"/>
      <c r="GQT1" s="643"/>
      <c r="GQU1" s="643"/>
      <c r="GQV1" s="643"/>
      <c r="GQW1" s="643"/>
      <c r="GQX1" s="643"/>
      <c r="GQY1" s="643"/>
      <c r="GQZ1" s="643"/>
      <c r="GRA1" s="643"/>
      <c r="GRB1" s="643"/>
      <c r="GRC1" s="643"/>
      <c r="GRD1" s="643"/>
      <c r="GRE1" s="643"/>
      <c r="GRF1" s="643"/>
      <c r="GRG1" s="643"/>
      <c r="GRH1" s="643"/>
      <c r="GRI1" s="643"/>
      <c r="GRJ1" s="643"/>
      <c r="GRK1" s="643"/>
      <c r="GRL1" s="643"/>
      <c r="GRM1" s="643"/>
      <c r="GRN1" s="643"/>
      <c r="GRO1" s="643"/>
      <c r="GRP1" s="643"/>
      <c r="GRQ1" s="643"/>
      <c r="GRR1" s="643"/>
      <c r="GRS1" s="643"/>
      <c r="GRT1" s="643"/>
      <c r="GRU1" s="643"/>
      <c r="GRV1" s="643"/>
      <c r="GRW1" s="643"/>
      <c r="GRX1" s="643"/>
      <c r="GRY1" s="643"/>
      <c r="GRZ1" s="643"/>
      <c r="GSA1" s="643"/>
      <c r="GSB1" s="643"/>
      <c r="GSC1" s="643"/>
      <c r="GSD1" s="643"/>
      <c r="GSE1" s="643"/>
      <c r="GSF1" s="643"/>
      <c r="GSG1" s="643"/>
      <c r="GSH1" s="643"/>
      <c r="GSI1" s="643"/>
      <c r="GSJ1" s="643"/>
      <c r="GSK1" s="643"/>
      <c r="GSL1" s="643"/>
      <c r="GSM1" s="643"/>
      <c r="GSN1" s="643"/>
      <c r="GSO1" s="643"/>
      <c r="GSP1" s="643"/>
      <c r="GSQ1" s="643"/>
      <c r="GSR1" s="643"/>
      <c r="GSS1" s="643"/>
      <c r="GST1" s="643"/>
      <c r="GSU1" s="643"/>
      <c r="GSV1" s="643"/>
      <c r="GSW1" s="643"/>
      <c r="GSX1" s="643"/>
      <c r="GSY1" s="643"/>
      <c r="GSZ1" s="643"/>
      <c r="GTA1" s="643"/>
      <c r="GTB1" s="643"/>
      <c r="GTC1" s="643"/>
      <c r="GTD1" s="643"/>
      <c r="GTE1" s="643"/>
      <c r="GTF1" s="643"/>
      <c r="GTG1" s="643"/>
      <c r="GTH1" s="643"/>
      <c r="GTI1" s="643"/>
      <c r="GTJ1" s="643"/>
      <c r="GTK1" s="643"/>
      <c r="GTL1" s="643"/>
      <c r="GTM1" s="643"/>
      <c r="GTN1" s="643"/>
      <c r="GTO1" s="643"/>
      <c r="GTP1" s="643"/>
      <c r="GTQ1" s="643"/>
      <c r="GTR1" s="643"/>
      <c r="GTS1" s="643"/>
      <c r="GTT1" s="643"/>
      <c r="GTU1" s="643"/>
      <c r="GTV1" s="643"/>
      <c r="GTW1" s="643"/>
      <c r="GTX1" s="643"/>
      <c r="GTY1" s="643"/>
      <c r="GTZ1" s="643"/>
      <c r="GUA1" s="643"/>
      <c r="GUB1" s="643"/>
      <c r="GUC1" s="643"/>
      <c r="GUD1" s="643"/>
      <c r="GUE1" s="643"/>
      <c r="GUF1" s="643"/>
      <c r="GUG1" s="643"/>
      <c r="GUH1" s="643"/>
      <c r="GUI1" s="643"/>
      <c r="GUJ1" s="643"/>
      <c r="GUK1" s="643"/>
      <c r="GUL1" s="643"/>
      <c r="GUM1" s="643"/>
      <c r="GUN1" s="643"/>
      <c r="GUO1" s="643"/>
      <c r="GUP1" s="643"/>
      <c r="GUQ1" s="643"/>
      <c r="GUR1" s="643"/>
      <c r="GUS1" s="643"/>
      <c r="GUT1" s="643"/>
      <c r="GUU1" s="643"/>
      <c r="GUV1" s="643"/>
      <c r="GUW1" s="643"/>
      <c r="GUX1" s="643"/>
      <c r="GUY1" s="643"/>
      <c r="GUZ1" s="643"/>
      <c r="GVA1" s="643"/>
      <c r="GVB1" s="643"/>
      <c r="GVC1" s="643"/>
      <c r="GVD1" s="643"/>
      <c r="GVE1" s="643"/>
      <c r="GVF1" s="643"/>
      <c r="GVG1" s="643"/>
      <c r="GVH1" s="643"/>
      <c r="GVI1" s="643"/>
      <c r="GVJ1" s="643"/>
      <c r="GVK1" s="643"/>
      <c r="GVL1" s="643"/>
      <c r="GVM1" s="643"/>
      <c r="GVN1" s="643"/>
      <c r="GVO1" s="643"/>
      <c r="GVP1" s="643"/>
      <c r="GVQ1" s="643"/>
      <c r="GVR1" s="643"/>
      <c r="GVS1" s="643"/>
      <c r="GVT1" s="643"/>
      <c r="GVU1" s="643"/>
      <c r="GVV1" s="643"/>
      <c r="GVW1" s="643"/>
      <c r="GVX1" s="643"/>
      <c r="GVY1" s="643"/>
      <c r="GVZ1" s="643"/>
      <c r="GWA1" s="643"/>
      <c r="GWB1" s="643"/>
      <c r="GWC1" s="643"/>
      <c r="GWD1" s="643"/>
      <c r="GWE1" s="643"/>
      <c r="GWF1" s="643"/>
      <c r="GWG1" s="643"/>
      <c r="GWH1" s="643"/>
      <c r="GWI1" s="643"/>
      <c r="GWJ1" s="643"/>
      <c r="GWK1" s="643"/>
      <c r="GWL1" s="643"/>
      <c r="GWM1" s="643"/>
      <c r="GWN1" s="643"/>
      <c r="GWO1" s="643"/>
      <c r="GWP1" s="643"/>
      <c r="GWQ1" s="643"/>
      <c r="GWR1" s="643"/>
      <c r="GWS1" s="643"/>
      <c r="GWT1" s="643"/>
      <c r="GWU1" s="643"/>
      <c r="GWV1" s="643"/>
      <c r="GWW1" s="643"/>
      <c r="GWX1" s="643"/>
      <c r="GWY1" s="643"/>
      <c r="GWZ1" s="643"/>
      <c r="GXA1" s="643"/>
      <c r="GXB1" s="643"/>
      <c r="GXC1" s="643"/>
      <c r="GXD1" s="643"/>
      <c r="GXE1" s="643"/>
      <c r="GXF1" s="643"/>
      <c r="GXG1" s="643"/>
      <c r="GXH1" s="643"/>
      <c r="GXI1" s="643"/>
      <c r="GXJ1" s="643"/>
      <c r="GXK1" s="643"/>
      <c r="GXL1" s="643"/>
      <c r="GXM1" s="643"/>
      <c r="GXN1" s="643"/>
      <c r="GXO1" s="643"/>
      <c r="GXP1" s="643"/>
      <c r="GXQ1" s="643"/>
      <c r="GXR1" s="643"/>
      <c r="GXS1" s="643"/>
      <c r="GXT1" s="643"/>
      <c r="GXU1" s="643"/>
      <c r="GXV1" s="643"/>
      <c r="GXW1" s="643"/>
      <c r="GXX1" s="643"/>
      <c r="GXY1" s="643"/>
      <c r="GXZ1" s="643"/>
      <c r="GYA1" s="643"/>
      <c r="GYB1" s="643"/>
      <c r="GYC1" s="643"/>
      <c r="GYD1" s="643"/>
      <c r="GYE1" s="643"/>
      <c r="GYF1" s="643"/>
      <c r="GYG1" s="643"/>
      <c r="GYH1" s="643"/>
      <c r="GYI1" s="643"/>
      <c r="GYJ1" s="643"/>
      <c r="GYK1" s="643"/>
      <c r="GYL1" s="643"/>
      <c r="GYM1" s="643"/>
      <c r="GYN1" s="643"/>
      <c r="GYO1" s="643"/>
      <c r="GYP1" s="643"/>
      <c r="GYQ1" s="643"/>
      <c r="GYR1" s="643"/>
      <c r="GYS1" s="643"/>
      <c r="GYT1" s="643"/>
      <c r="GYU1" s="643"/>
      <c r="GYV1" s="643"/>
      <c r="GYW1" s="643"/>
      <c r="GYX1" s="643"/>
      <c r="GYY1" s="643"/>
      <c r="GYZ1" s="643"/>
      <c r="GZA1" s="643"/>
      <c r="GZB1" s="643"/>
      <c r="GZC1" s="643"/>
      <c r="GZD1" s="643"/>
      <c r="GZE1" s="643"/>
      <c r="GZF1" s="643"/>
      <c r="GZG1" s="643"/>
      <c r="GZH1" s="643"/>
      <c r="GZI1" s="643"/>
      <c r="GZJ1" s="643"/>
      <c r="GZK1" s="643"/>
      <c r="GZL1" s="643"/>
      <c r="GZM1" s="643"/>
      <c r="GZN1" s="643"/>
      <c r="GZO1" s="643"/>
      <c r="GZP1" s="643"/>
      <c r="GZQ1" s="643"/>
      <c r="GZR1" s="643"/>
      <c r="GZS1" s="643"/>
      <c r="GZT1" s="643"/>
      <c r="GZU1" s="643"/>
      <c r="GZV1" s="643"/>
      <c r="GZW1" s="643"/>
      <c r="GZX1" s="643"/>
      <c r="GZY1" s="643"/>
      <c r="GZZ1" s="643"/>
      <c r="HAA1" s="643"/>
      <c r="HAB1" s="643"/>
      <c r="HAC1" s="643"/>
      <c r="HAD1" s="643"/>
      <c r="HAE1" s="643"/>
      <c r="HAF1" s="643"/>
      <c r="HAG1" s="643"/>
      <c r="HAH1" s="643"/>
      <c r="HAI1" s="643"/>
      <c r="HAJ1" s="643"/>
      <c r="HAK1" s="643"/>
      <c r="HAL1" s="643"/>
      <c r="HAM1" s="643"/>
      <c r="HAN1" s="643"/>
      <c r="HAO1" s="643"/>
      <c r="HAP1" s="643"/>
      <c r="HAQ1" s="643"/>
      <c r="HAR1" s="643"/>
      <c r="HAS1" s="643"/>
      <c r="HAT1" s="643"/>
      <c r="HAU1" s="643"/>
      <c r="HAV1" s="643"/>
      <c r="HAW1" s="643"/>
      <c r="HAX1" s="643"/>
      <c r="HAY1" s="643"/>
      <c r="HAZ1" s="643"/>
      <c r="HBA1" s="643"/>
      <c r="HBB1" s="643"/>
      <c r="HBC1" s="643"/>
      <c r="HBD1" s="643"/>
      <c r="HBE1" s="643"/>
      <c r="HBF1" s="643"/>
      <c r="HBG1" s="643"/>
      <c r="HBH1" s="643"/>
      <c r="HBI1" s="643"/>
      <c r="HBJ1" s="643"/>
      <c r="HBK1" s="643"/>
      <c r="HBL1" s="643"/>
      <c r="HBM1" s="643"/>
      <c r="HBN1" s="643"/>
      <c r="HBO1" s="643"/>
      <c r="HBP1" s="643"/>
      <c r="HBQ1" s="643"/>
      <c r="HBR1" s="643"/>
      <c r="HBS1" s="643"/>
      <c r="HBT1" s="643"/>
      <c r="HBU1" s="643"/>
      <c r="HBV1" s="643"/>
      <c r="HBW1" s="643"/>
      <c r="HBX1" s="643"/>
      <c r="HBY1" s="643"/>
      <c r="HBZ1" s="643"/>
      <c r="HCA1" s="643"/>
      <c r="HCB1" s="643"/>
      <c r="HCC1" s="643"/>
      <c r="HCD1" s="643"/>
      <c r="HCE1" s="643"/>
      <c r="HCF1" s="643"/>
      <c r="HCG1" s="643"/>
      <c r="HCH1" s="643"/>
      <c r="HCI1" s="643"/>
      <c r="HCJ1" s="643"/>
      <c r="HCK1" s="643"/>
      <c r="HCL1" s="643"/>
      <c r="HCM1" s="643"/>
      <c r="HCN1" s="643"/>
      <c r="HCO1" s="643"/>
      <c r="HCP1" s="643"/>
      <c r="HCQ1" s="643"/>
      <c r="HCR1" s="643"/>
      <c r="HCS1" s="643"/>
      <c r="HCT1" s="643"/>
      <c r="HCU1" s="643"/>
      <c r="HCV1" s="643"/>
      <c r="HCW1" s="643"/>
      <c r="HCX1" s="643"/>
      <c r="HCY1" s="643"/>
      <c r="HCZ1" s="643"/>
      <c r="HDA1" s="643"/>
      <c r="HDB1" s="643"/>
      <c r="HDC1" s="643"/>
      <c r="HDD1" s="643"/>
      <c r="HDE1" s="643"/>
      <c r="HDF1" s="643"/>
      <c r="HDG1" s="643"/>
      <c r="HDH1" s="643"/>
      <c r="HDI1" s="643"/>
      <c r="HDJ1" s="643"/>
      <c r="HDK1" s="643"/>
      <c r="HDL1" s="643"/>
      <c r="HDM1" s="643"/>
      <c r="HDN1" s="643"/>
      <c r="HDO1" s="643"/>
      <c r="HDP1" s="643"/>
      <c r="HDQ1" s="643"/>
      <c r="HDR1" s="643"/>
      <c r="HDS1" s="643"/>
      <c r="HDT1" s="643"/>
      <c r="HDU1" s="643"/>
      <c r="HDV1" s="643"/>
      <c r="HDW1" s="643"/>
      <c r="HDX1" s="643"/>
      <c r="HDY1" s="643"/>
      <c r="HDZ1" s="643"/>
      <c r="HEA1" s="643"/>
      <c r="HEB1" s="643"/>
      <c r="HEC1" s="643"/>
      <c r="HED1" s="643"/>
      <c r="HEE1" s="643"/>
      <c r="HEF1" s="643"/>
      <c r="HEG1" s="643"/>
      <c r="HEH1" s="643"/>
      <c r="HEI1" s="643"/>
      <c r="HEJ1" s="643"/>
      <c r="HEK1" s="643"/>
      <c r="HEL1" s="643"/>
      <c r="HEM1" s="643"/>
      <c r="HEN1" s="643"/>
      <c r="HEO1" s="643"/>
      <c r="HEP1" s="643"/>
      <c r="HEQ1" s="643"/>
      <c r="HER1" s="643"/>
      <c r="HES1" s="643"/>
      <c r="HET1" s="643"/>
      <c r="HEU1" s="643"/>
      <c r="HEV1" s="643"/>
      <c r="HEW1" s="643"/>
      <c r="HEX1" s="643"/>
      <c r="HEY1" s="643"/>
      <c r="HEZ1" s="643"/>
      <c r="HFA1" s="643"/>
      <c r="HFB1" s="643"/>
      <c r="HFC1" s="643"/>
      <c r="HFD1" s="643"/>
      <c r="HFE1" s="643"/>
      <c r="HFF1" s="643"/>
      <c r="HFG1" s="643"/>
      <c r="HFH1" s="643"/>
      <c r="HFI1" s="643"/>
      <c r="HFJ1" s="643"/>
      <c r="HFK1" s="643"/>
      <c r="HFL1" s="643"/>
      <c r="HFM1" s="643"/>
      <c r="HFN1" s="643"/>
      <c r="HFO1" s="643"/>
      <c r="HFP1" s="643"/>
      <c r="HFQ1" s="643"/>
      <c r="HFR1" s="643"/>
      <c r="HFS1" s="643"/>
      <c r="HFT1" s="643"/>
      <c r="HFU1" s="643"/>
      <c r="HFV1" s="643"/>
      <c r="HFW1" s="643"/>
      <c r="HFX1" s="643"/>
      <c r="HFY1" s="643"/>
      <c r="HFZ1" s="643"/>
      <c r="HGA1" s="643"/>
      <c r="HGB1" s="643"/>
      <c r="HGC1" s="643"/>
      <c r="HGD1" s="643"/>
      <c r="HGE1" s="643"/>
      <c r="HGF1" s="643"/>
      <c r="HGG1" s="643"/>
      <c r="HGH1" s="643"/>
      <c r="HGI1" s="643"/>
      <c r="HGJ1" s="643"/>
      <c r="HGK1" s="643"/>
      <c r="HGL1" s="643"/>
      <c r="HGM1" s="643"/>
      <c r="HGN1" s="643"/>
      <c r="HGO1" s="643"/>
      <c r="HGP1" s="643"/>
      <c r="HGQ1" s="643"/>
      <c r="HGR1" s="643"/>
      <c r="HGS1" s="643"/>
      <c r="HGT1" s="643"/>
      <c r="HGU1" s="643"/>
      <c r="HGV1" s="643"/>
      <c r="HGW1" s="643"/>
      <c r="HGX1" s="643"/>
      <c r="HGY1" s="643"/>
      <c r="HGZ1" s="643"/>
      <c r="HHA1" s="643"/>
      <c r="HHB1" s="643"/>
      <c r="HHC1" s="643"/>
      <c r="HHD1" s="643"/>
      <c r="HHE1" s="643"/>
      <c r="HHF1" s="643"/>
      <c r="HHG1" s="643"/>
      <c r="HHH1" s="643"/>
      <c r="HHI1" s="643"/>
      <c r="HHJ1" s="643"/>
      <c r="HHK1" s="643"/>
      <c r="HHL1" s="643"/>
      <c r="HHM1" s="643"/>
      <c r="HHN1" s="643"/>
      <c r="HHO1" s="643"/>
      <c r="HHP1" s="643"/>
      <c r="HHQ1" s="643"/>
      <c r="HHR1" s="643"/>
      <c r="HHS1" s="643"/>
      <c r="HHT1" s="643"/>
      <c r="HHU1" s="643"/>
      <c r="HHV1" s="643"/>
      <c r="HHW1" s="643"/>
      <c r="HHX1" s="643"/>
      <c r="HHY1" s="643"/>
      <c r="HHZ1" s="643"/>
      <c r="HIA1" s="643"/>
      <c r="HIB1" s="643"/>
      <c r="HIC1" s="643"/>
      <c r="HID1" s="643"/>
      <c r="HIE1" s="643"/>
      <c r="HIF1" s="643"/>
      <c r="HIG1" s="643"/>
      <c r="HIH1" s="643"/>
      <c r="HII1" s="643"/>
      <c r="HIJ1" s="643"/>
      <c r="HIK1" s="643"/>
      <c r="HIL1" s="643"/>
      <c r="HIM1" s="643"/>
      <c r="HIN1" s="643"/>
      <c r="HIO1" s="643"/>
      <c r="HIP1" s="643"/>
      <c r="HIQ1" s="643"/>
      <c r="HIR1" s="643"/>
      <c r="HIS1" s="643"/>
      <c r="HIT1" s="643"/>
      <c r="HIU1" s="643"/>
      <c r="HIV1" s="643"/>
      <c r="HIW1" s="643"/>
      <c r="HIX1" s="643"/>
      <c r="HIY1" s="643"/>
      <c r="HIZ1" s="643"/>
      <c r="HJA1" s="643"/>
      <c r="HJB1" s="643"/>
      <c r="HJC1" s="643"/>
      <c r="HJD1" s="643"/>
      <c r="HJE1" s="643"/>
      <c r="HJF1" s="643"/>
      <c r="HJG1" s="643"/>
      <c r="HJH1" s="643"/>
      <c r="HJI1" s="643"/>
      <c r="HJJ1" s="643"/>
      <c r="HJK1" s="643"/>
      <c r="HJL1" s="643"/>
      <c r="HJM1" s="643"/>
      <c r="HJN1" s="643"/>
      <c r="HJO1" s="643"/>
      <c r="HJP1" s="643"/>
      <c r="HJQ1" s="643"/>
      <c r="HJR1" s="643"/>
      <c r="HJS1" s="643"/>
      <c r="HJT1" s="643"/>
      <c r="HJU1" s="643"/>
      <c r="HJV1" s="643"/>
      <c r="HJW1" s="643"/>
      <c r="HJX1" s="643"/>
      <c r="HJY1" s="643"/>
      <c r="HJZ1" s="643"/>
      <c r="HKA1" s="643"/>
      <c r="HKB1" s="643"/>
      <c r="HKC1" s="643"/>
      <c r="HKD1" s="643"/>
      <c r="HKE1" s="643"/>
      <c r="HKF1" s="643"/>
      <c r="HKG1" s="643"/>
      <c r="HKH1" s="643"/>
      <c r="HKI1" s="643"/>
      <c r="HKJ1" s="643"/>
      <c r="HKK1" s="643"/>
      <c r="HKL1" s="643"/>
      <c r="HKM1" s="643"/>
      <c r="HKN1" s="643"/>
      <c r="HKO1" s="643"/>
      <c r="HKP1" s="643"/>
      <c r="HKQ1" s="643"/>
      <c r="HKR1" s="643"/>
      <c r="HKS1" s="643"/>
      <c r="HKT1" s="643"/>
      <c r="HKU1" s="643"/>
      <c r="HKV1" s="643"/>
      <c r="HKW1" s="643"/>
      <c r="HKX1" s="643"/>
      <c r="HKY1" s="643"/>
      <c r="HKZ1" s="643"/>
      <c r="HLA1" s="643"/>
      <c r="HLB1" s="643"/>
      <c r="HLC1" s="643"/>
      <c r="HLD1" s="643"/>
      <c r="HLE1" s="643"/>
      <c r="HLF1" s="643"/>
      <c r="HLG1" s="643"/>
      <c r="HLH1" s="643"/>
      <c r="HLI1" s="643"/>
      <c r="HLJ1" s="643"/>
      <c r="HLK1" s="643"/>
      <c r="HLL1" s="643"/>
      <c r="HLM1" s="643"/>
      <c r="HLN1" s="643"/>
      <c r="HLO1" s="643"/>
      <c r="HLP1" s="643"/>
      <c r="HLQ1" s="643"/>
      <c r="HLR1" s="643"/>
      <c r="HLS1" s="643"/>
      <c r="HLT1" s="643"/>
      <c r="HLU1" s="643"/>
      <c r="HLV1" s="643"/>
      <c r="HLW1" s="643"/>
      <c r="HLX1" s="643"/>
      <c r="HLY1" s="643"/>
      <c r="HLZ1" s="643"/>
      <c r="HMA1" s="643"/>
      <c r="HMB1" s="643"/>
      <c r="HMC1" s="643"/>
      <c r="HMD1" s="643"/>
      <c r="HME1" s="643"/>
      <c r="HMF1" s="643"/>
      <c r="HMG1" s="643"/>
      <c r="HMH1" s="643"/>
      <c r="HMI1" s="643"/>
      <c r="HMJ1" s="643"/>
      <c r="HMK1" s="643"/>
      <c r="HML1" s="643"/>
      <c r="HMM1" s="643"/>
      <c r="HMN1" s="643"/>
      <c r="HMO1" s="643"/>
      <c r="HMP1" s="643"/>
      <c r="HMQ1" s="643"/>
      <c r="HMR1" s="643"/>
      <c r="HMS1" s="643"/>
      <c r="HMT1" s="643"/>
      <c r="HMU1" s="643"/>
      <c r="HMV1" s="643"/>
      <c r="HMW1" s="643"/>
      <c r="HMX1" s="643"/>
      <c r="HMY1" s="643"/>
      <c r="HMZ1" s="643"/>
      <c r="HNA1" s="643"/>
      <c r="HNB1" s="643"/>
      <c r="HNC1" s="643"/>
      <c r="HND1" s="643"/>
      <c r="HNE1" s="643"/>
      <c r="HNF1" s="643"/>
      <c r="HNG1" s="643"/>
      <c r="HNH1" s="643"/>
      <c r="HNI1" s="643"/>
      <c r="HNJ1" s="643"/>
      <c r="HNK1" s="643"/>
      <c r="HNL1" s="643"/>
      <c r="HNM1" s="643"/>
      <c r="HNN1" s="643"/>
      <c r="HNO1" s="643"/>
      <c r="HNP1" s="643"/>
      <c r="HNQ1" s="643"/>
      <c r="HNR1" s="643"/>
      <c r="HNS1" s="643"/>
      <c r="HNT1" s="643"/>
      <c r="HNU1" s="643"/>
      <c r="HNV1" s="643"/>
      <c r="HNW1" s="643"/>
      <c r="HNX1" s="643"/>
      <c r="HNY1" s="643"/>
      <c r="HNZ1" s="643"/>
      <c r="HOA1" s="643"/>
      <c r="HOB1" s="643"/>
      <c r="HOC1" s="643"/>
      <c r="HOD1" s="643"/>
      <c r="HOE1" s="643"/>
      <c r="HOF1" s="643"/>
      <c r="HOG1" s="643"/>
      <c r="HOH1" s="643"/>
      <c r="HOI1" s="643"/>
      <c r="HOJ1" s="643"/>
      <c r="HOK1" s="643"/>
      <c r="HOL1" s="643"/>
      <c r="HOM1" s="643"/>
      <c r="HON1" s="643"/>
      <c r="HOO1" s="643"/>
      <c r="HOP1" s="643"/>
      <c r="HOQ1" s="643"/>
      <c r="HOR1" s="643"/>
      <c r="HOS1" s="643"/>
      <c r="HOT1" s="643"/>
      <c r="HOU1" s="643"/>
      <c r="HOV1" s="643"/>
      <c r="HOW1" s="643"/>
      <c r="HOX1" s="643"/>
      <c r="HOY1" s="643"/>
      <c r="HOZ1" s="643"/>
      <c r="HPA1" s="643"/>
      <c r="HPB1" s="643"/>
      <c r="HPC1" s="643"/>
      <c r="HPD1" s="643"/>
      <c r="HPE1" s="643"/>
      <c r="HPF1" s="643"/>
      <c r="HPG1" s="643"/>
      <c r="HPH1" s="643"/>
      <c r="HPI1" s="643"/>
      <c r="HPJ1" s="643"/>
      <c r="HPK1" s="643"/>
      <c r="HPL1" s="643"/>
      <c r="HPM1" s="643"/>
      <c r="HPN1" s="643"/>
      <c r="HPO1" s="643"/>
      <c r="HPP1" s="643"/>
      <c r="HPQ1" s="643"/>
      <c r="HPR1" s="643"/>
      <c r="HPS1" s="643"/>
      <c r="HPT1" s="643"/>
      <c r="HPU1" s="643"/>
      <c r="HPV1" s="643"/>
      <c r="HPW1" s="643"/>
      <c r="HPX1" s="643"/>
      <c r="HPY1" s="643"/>
      <c r="HPZ1" s="643"/>
      <c r="HQA1" s="643"/>
      <c r="HQB1" s="643"/>
      <c r="HQC1" s="643"/>
      <c r="HQD1" s="643"/>
      <c r="HQE1" s="643"/>
      <c r="HQF1" s="643"/>
      <c r="HQG1" s="643"/>
      <c r="HQH1" s="643"/>
      <c r="HQI1" s="643"/>
      <c r="HQJ1" s="643"/>
      <c r="HQK1" s="643"/>
      <c r="HQL1" s="643"/>
      <c r="HQM1" s="643"/>
      <c r="HQN1" s="643"/>
      <c r="HQO1" s="643"/>
      <c r="HQP1" s="643"/>
      <c r="HQQ1" s="643"/>
      <c r="HQR1" s="643"/>
      <c r="HQS1" s="643"/>
      <c r="HQT1" s="643"/>
      <c r="HQU1" s="643"/>
      <c r="HQV1" s="643"/>
      <c r="HQW1" s="643"/>
      <c r="HQX1" s="643"/>
      <c r="HQY1" s="643"/>
      <c r="HQZ1" s="643"/>
      <c r="HRA1" s="643"/>
      <c r="HRB1" s="643"/>
      <c r="HRC1" s="643"/>
      <c r="HRD1" s="643"/>
      <c r="HRE1" s="643"/>
      <c r="HRF1" s="643"/>
      <c r="HRG1" s="643"/>
      <c r="HRH1" s="643"/>
      <c r="HRI1" s="643"/>
      <c r="HRJ1" s="643"/>
      <c r="HRK1" s="643"/>
      <c r="HRL1" s="643"/>
      <c r="HRM1" s="643"/>
      <c r="HRN1" s="643"/>
      <c r="HRO1" s="643"/>
      <c r="HRP1" s="643"/>
      <c r="HRQ1" s="643"/>
      <c r="HRR1" s="643"/>
      <c r="HRS1" s="643"/>
      <c r="HRT1" s="643"/>
      <c r="HRU1" s="643"/>
      <c r="HRV1" s="643"/>
      <c r="HRW1" s="643"/>
      <c r="HRX1" s="643"/>
      <c r="HRY1" s="643"/>
      <c r="HRZ1" s="643"/>
      <c r="HSA1" s="643"/>
      <c r="HSB1" s="643"/>
      <c r="HSC1" s="643"/>
      <c r="HSD1" s="643"/>
      <c r="HSE1" s="643"/>
      <c r="HSF1" s="643"/>
      <c r="HSG1" s="643"/>
      <c r="HSH1" s="643"/>
      <c r="HSI1" s="643"/>
      <c r="HSJ1" s="643"/>
      <c r="HSK1" s="643"/>
      <c r="HSL1" s="643"/>
      <c r="HSM1" s="643"/>
      <c r="HSN1" s="643"/>
      <c r="HSO1" s="643"/>
      <c r="HSP1" s="643"/>
      <c r="HSQ1" s="643"/>
      <c r="HSR1" s="643"/>
      <c r="HSS1" s="643"/>
      <c r="HST1" s="643"/>
      <c r="HSU1" s="643"/>
      <c r="HSV1" s="643"/>
      <c r="HSW1" s="643"/>
      <c r="HSX1" s="643"/>
      <c r="HSY1" s="643"/>
      <c r="HSZ1" s="643"/>
      <c r="HTA1" s="643"/>
      <c r="HTB1" s="643"/>
      <c r="HTC1" s="643"/>
      <c r="HTD1" s="643"/>
      <c r="HTE1" s="643"/>
      <c r="HTF1" s="643"/>
      <c r="HTG1" s="643"/>
      <c r="HTH1" s="643"/>
      <c r="HTI1" s="643"/>
      <c r="HTJ1" s="643"/>
      <c r="HTK1" s="643"/>
      <c r="HTL1" s="643"/>
      <c r="HTM1" s="643"/>
      <c r="HTN1" s="643"/>
      <c r="HTO1" s="643"/>
      <c r="HTP1" s="643"/>
      <c r="HTQ1" s="643"/>
      <c r="HTR1" s="643"/>
      <c r="HTS1" s="643"/>
      <c r="HTT1" s="643"/>
      <c r="HTU1" s="643"/>
      <c r="HTV1" s="643"/>
      <c r="HTW1" s="643"/>
      <c r="HTX1" s="643"/>
      <c r="HTY1" s="643"/>
      <c r="HTZ1" s="643"/>
      <c r="HUA1" s="643"/>
      <c r="HUB1" s="643"/>
      <c r="HUC1" s="643"/>
      <c r="HUD1" s="643"/>
      <c r="HUE1" s="643"/>
      <c r="HUF1" s="643"/>
      <c r="HUG1" s="643"/>
      <c r="HUH1" s="643"/>
      <c r="HUI1" s="643"/>
      <c r="HUJ1" s="643"/>
      <c r="HUK1" s="643"/>
      <c r="HUL1" s="643"/>
      <c r="HUM1" s="643"/>
      <c r="HUN1" s="643"/>
      <c r="HUO1" s="643"/>
      <c r="HUP1" s="643"/>
      <c r="HUQ1" s="643"/>
      <c r="HUR1" s="643"/>
      <c r="HUS1" s="643"/>
      <c r="HUT1" s="643"/>
      <c r="HUU1" s="643"/>
      <c r="HUV1" s="643"/>
      <c r="HUW1" s="643"/>
      <c r="HUX1" s="643"/>
      <c r="HUY1" s="643"/>
      <c r="HUZ1" s="643"/>
      <c r="HVA1" s="643"/>
      <c r="HVB1" s="643"/>
      <c r="HVC1" s="643"/>
      <c r="HVD1" s="643"/>
      <c r="HVE1" s="643"/>
      <c r="HVF1" s="643"/>
      <c r="HVG1" s="643"/>
      <c r="HVH1" s="643"/>
      <c r="HVI1" s="643"/>
      <c r="HVJ1" s="643"/>
      <c r="HVK1" s="643"/>
      <c r="HVL1" s="643"/>
      <c r="HVM1" s="643"/>
      <c r="HVN1" s="643"/>
      <c r="HVO1" s="643"/>
      <c r="HVP1" s="643"/>
      <c r="HVQ1" s="643"/>
      <c r="HVR1" s="643"/>
      <c r="HVS1" s="643"/>
      <c r="HVT1" s="643"/>
      <c r="HVU1" s="643"/>
      <c r="HVV1" s="643"/>
      <c r="HVW1" s="643"/>
      <c r="HVX1" s="643"/>
      <c r="HVY1" s="643"/>
      <c r="HVZ1" s="643"/>
      <c r="HWA1" s="643"/>
      <c r="HWB1" s="643"/>
      <c r="HWC1" s="643"/>
      <c r="HWD1" s="643"/>
      <c r="HWE1" s="643"/>
      <c r="HWF1" s="643"/>
      <c r="HWG1" s="643"/>
      <c r="HWH1" s="643"/>
      <c r="HWI1" s="643"/>
      <c r="HWJ1" s="643"/>
      <c r="HWK1" s="643"/>
      <c r="HWL1" s="643"/>
      <c r="HWM1" s="643"/>
      <c r="HWN1" s="643"/>
      <c r="HWO1" s="643"/>
      <c r="HWP1" s="643"/>
      <c r="HWQ1" s="643"/>
      <c r="HWR1" s="643"/>
      <c r="HWS1" s="643"/>
      <c r="HWT1" s="643"/>
      <c r="HWU1" s="643"/>
      <c r="HWV1" s="643"/>
      <c r="HWW1" s="643"/>
      <c r="HWX1" s="643"/>
      <c r="HWY1" s="643"/>
      <c r="HWZ1" s="643"/>
      <c r="HXA1" s="643"/>
      <c r="HXB1" s="643"/>
      <c r="HXC1" s="643"/>
      <c r="HXD1" s="643"/>
      <c r="HXE1" s="643"/>
      <c r="HXF1" s="643"/>
      <c r="HXG1" s="643"/>
      <c r="HXH1" s="643"/>
      <c r="HXI1" s="643"/>
      <c r="HXJ1" s="643"/>
      <c r="HXK1" s="643"/>
      <c r="HXL1" s="643"/>
      <c r="HXM1" s="643"/>
      <c r="HXN1" s="643"/>
      <c r="HXO1" s="643"/>
      <c r="HXP1" s="643"/>
      <c r="HXQ1" s="643"/>
      <c r="HXR1" s="643"/>
      <c r="HXS1" s="643"/>
      <c r="HXT1" s="643"/>
      <c r="HXU1" s="643"/>
      <c r="HXV1" s="643"/>
      <c r="HXW1" s="643"/>
      <c r="HXX1" s="643"/>
      <c r="HXY1" s="643"/>
      <c r="HXZ1" s="643"/>
      <c r="HYA1" s="643"/>
      <c r="HYB1" s="643"/>
      <c r="HYC1" s="643"/>
      <c r="HYD1" s="643"/>
      <c r="HYE1" s="643"/>
      <c r="HYF1" s="643"/>
      <c r="HYG1" s="643"/>
      <c r="HYH1" s="643"/>
      <c r="HYI1" s="643"/>
      <c r="HYJ1" s="643"/>
      <c r="HYK1" s="643"/>
      <c r="HYL1" s="643"/>
      <c r="HYM1" s="643"/>
      <c r="HYN1" s="643"/>
      <c r="HYO1" s="643"/>
      <c r="HYP1" s="643"/>
      <c r="HYQ1" s="643"/>
      <c r="HYR1" s="643"/>
      <c r="HYS1" s="643"/>
      <c r="HYT1" s="643"/>
      <c r="HYU1" s="643"/>
      <c r="HYV1" s="643"/>
      <c r="HYW1" s="643"/>
      <c r="HYX1" s="643"/>
      <c r="HYY1" s="643"/>
      <c r="HYZ1" s="643"/>
      <c r="HZA1" s="643"/>
      <c r="HZB1" s="643"/>
      <c r="HZC1" s="643"/>
      <c r="HZD1" s="643"/>
      <c r="HZE1" s="643"/>
      <c r="HZF1" s="643"/>
      <c r="HZG1" s="643"/>
      <c r="HZH1" s="643"/>
      <c r="HZI1" s="643"/>
      <c r="HZJ1" s="643"/>
      <c r="HZK1" s="643"/>
      <c r="HZL1" s="643"/>
      <c r="HZM1" s="643"/>
      <c r="HZN1" s="643"/>
      <c r="HZO1" s="643"/>
      <c r="HZP1" s="643"/>
      <c r="HZQ1" s="643"/>
      <c r="HZR1" s="643"/>
      <c r="HZS1" s="643"/>
      <c r="HZT1" s="643"/>
      <c r="HZU1" s="643"/>
      <c r="HZV1" s="643"/>
      <c r="HZW1" s="643"/>
      <c r="HZX1" s="643"/>
      <c r="HZY1" s="643"/>
      <c r="HZZ1" s="643"/>
      <c r="IAA1" s="643"/>
      <c r="IAB1" s="643"/>
      <c r="IAC1" s="643"/>
      <c r="IAD1" s="643"/>
      <c r="IAE1" s="643"/>
      <c r="IAF1" s="643"/>
      <c r="IAG1" s="643"/>
      <c r="IAH1" s="643"/>
      <c r="IAI1" s="643"/>
      <c r="IAJ1" s="643"/>
      <c r="IAK1" s="643"/>
      <c r="IAL1" s="643"/>
      <c r="IAM1" s="643"/>
      <c r="IAN1" s="643"/>
      <c r="IAO1" s="643"/>
      <c r="IAP1" s="643"/>
      <c r="IAQ1" s="643"/>
      <c r="IAR1" s="643"/>
      <c r="IAS1" s="643"/>
      <c r="IAT1" s="643"/>
      <c r="IAU1" s="643"/>
      <c r="IAV1" s="643"/>
      <c r="IAW1" s="643"/>
      <c r="IAX1" s="643"/>
      <c r="IAY1" s="643"/>
      <c r="IAZ1" s="643"/>
      <c r="IBA1" s="643"/>
      <c r="IBB1" s="643"/>
      <c r="IBC1" s="643"/>
      <c r="IBD1" s="643"/>
      <c r="IBE1" s="643"/>
      <c r="IBF1" s="643"/>
      <c r="IBG1" s="643"/>
      <c r="IBH1" s="643"/>
      <c r="IBI1" s="643"/>
      <c r="IBJ1" s="643"/>
      <c r="IBK1" s="643"/>
      <c r="IBL1" s="643"/>
      <c r="IBM1" s="643"/>
      <c r="IBN1" s="643"/>
      <c r="IBO1" s="643"/>
      <c r="IBP1" s="643"/>
      <c r="IBQ1" s="643"/>
      <c r="IBR1" s="643"/>
      <c r="IBS1" s="643"/>
      <c r="IBT1" s="643"/>
      <c r="IBU1" s="643"/>
      <c r="IBV1" s="643"/>
      <c r="IBW1" s="643"/>
      <c r="IBX1" s="643"/>
      <c r="IBY1" s="643"/>
      <c r="IBZ1" s="643"/>
      <c r="ICA1" s="643"/>
      <c r="ICB1" s="643"/>
      <c r="ICC1" s="643"/>
      <c r="ICD1" s="643"/>
      <c r="ICE1" s="643"/>
      <c r="ICF1" s="643"/>
      <c r="ICG1" s="643"/>
      <c r="ICH1" s="643"/>
      <c r="ICI1" s="643"/>
      <c r="ICJ1" s="643"/>
      <c r="ICK1" s="643"/>
      <c r="ICL1" s="643"/>
      <c r="ICM1" s="643"/>
      <c r="ICN1" s="643"/>
      <c r="ICO1" s="643"/>
      <c r="ICP1" s="643"/>
      <c r="ICQ1" s="643"/>
      <c r="ICR1" s="643"/>
      <c r="ICS1" s="643"/>
      <c r="ICT1" s="643"/>
      <c r="ICU1" s="643"/>
      <c r="ICV1" s="643"/>
      <c r="ICW1" s="643"/>
      <c r="ICX1" s="643"/>
      <c r="ICY1" s="643"/>
      <c r="ICZ1" s="643"/>
      <c r="IDA1" s="643"/>
      <c r="IDB1" s="643"/>
      <c r="IDC1" s="643"/>
      <c r="IDD1" s="643"/>
      <c r="IDE1" s="643"/>
      <c r="IDF1" s="643"/>
      <c r="IDG1" s="643"/>
      <c r="IDH1" s="643"/>
      <c r="IDI1" s="643"/>
      <c r="IDJ1" s="643"/>
      <c r="IDK1" s="643"/>
      <c r="IDL1" s="643"/>
      <c r="IDM1" s="643"/>
      <c r="IDN1" s="643"/>
      <c r="IDO1" s="643"/>
      <c r="IDP1" s="643"/>
      <c r="IDQ1" s="643"/>
      <c r="IDR1" s="643"/>
      <c r="IDS1" s="643"/>
      <c r="IDT1" s="643"/>
      <c r="IDU1" s="643"/>
      <c r="IDV1" s="643"/>
      <c r="IDW1" s="643"/>
      <c r="IDX1" s="643"/>
      <c r="IDY1" s="643"/>
      <c r="IDZ1" s="643"/>
      <c r="IEA1" s="643"/>
      <c r="IEB1" s="643"/>
      <c r="IEC1" s="643"/>
      <c r="IED1" s="643"/>
      <c r="IEE1" s="643"/>
      <c r="IEF1" s="643"/>
      <c r="IEG1" s="643"/>
      <c r="IEH1" s="643"/>
      <c r="IEI1" s="643"/>
      <c r="IEJ1" s="643"/>
      <c r="IEK1" s="643"/>
      <c r="IEL1" s="643"/>
      <c r="IEM1" s="643"/>
      <c r="IEN1" s="643"/>
      <c r="IEO1" s="643"/>
      <c r="IEP1" s="643"/>
      <c r="IEQ1" s="643"/>
      <c r="IER1" s="643"/>
      <c r="IES1" s="643"/>
      <c r="IET1" s="643"/>
      <c r="IEU1" s="643"/>
      <c r="IEV1" s="643"/>
      <c r="IEW1" s="643"/>
      <c r="IEX1" s="643"/>
      <c r="IEY1" s="643"/>
      <c r="IEZ1" s="643"/>
      <c r="IFA1" s="643"/>
      <c r="IFB1" s="643"/>
      <c r="IFC1" s="643"/>
      <c r="IFD1" s="643"/>
      <c r="IFE1" s="643"/>
      <c r="IFF1" s="643"/>
      <c r="IFG1" s="643"/>
      <c r="IFH1" s="643"/>
      <c r="IFI1" s="643"/>
      <c r="IFJ1" s="643"/>
      <c r="IFK1" s="643"/>
      <c r="IFL1" s="643"/>
      <c r="IFM1" s="643"/>
      <c r="IFN1" s="643"/>
      <c r="IFO1" s="643"/>
      <c r="IFP1" s="643"/>
      <c r="IFQ1" s="643"/>
      <c r="IFR1" s="643"/>
      <c r="IFS1" s="643"/>
      <c r="IFT1" s="643"/>
      <c r="IFU1" s="643"/>
      <c r="IFV1" s="643"/>
      <c r="IFW1" s="643"/>
      <c r="IFX1" s="643"/>
      <c r="IFY1" s="643"/>
      <c r="IFZ1" s="643"/>
      <c r="IGA1" s="643"/>
      <c r="IGB1" s="643"/>
      <c r="IGC1" s="643"/>
      <c r="IGD1" s="643"/>
      <c r="IGE1" s="643"/>
      <c r="IGF1" s="643"/>
      <c r="IGG1" s="643"/>
      <c r="IGH1" s="643"/>
      <c r="IGI1" s="643"/>
      <c r="IGJ1" s="643"/>
      <c r="IGK1" s="643"/>
      <c r="IGL1" s="643"/>
      <c r="IGM1" s="643"/>
      <c r="IGN1" s="643"/>
      <c r="IGO1" s="643"/>
      <c r="IGP1" s="643"/>
      <c r="IGQ1" s="643"/>
      <c r="IGR1" s="643"/>
      <c r="IGS1" s="643"/>
      <c r="IGT1" s="643"/>
      <c r="IGU1" s="643"/>
      <c r="IGV1" s="643"/>
      <c r="IGW1" s="643"/>
      <c r="IGX1" s="643"/>
      <c r="IGY1" s="643"/>
      <c r="IGZ1" s="643"/>
      <c r="IHA1" s="643"/>
      <c r="IHB1" s="643"/>
      <c r="IHC1" s="643"/>
      <c r="IHD1" s="643"/>
      <c r="IHE1" s="643"/>
      <c r="IHF1" s="643"/>
      <c r="IHG1" s="643"/>
      <c r="IHH1" s="643"/>
      <c r="IHI1" s="643"/>
      <c r="IHJ1" s="643"/>
      <c r="IHK1" s="643"/>
      <c r="IHL1" s="643"/>
      <c r="IHM1" s="643"/>
      <c r="IHN1" s="643"/>
      <c r="IHO1" s="643"/>
      <c r="IHP1" s="643"/>
      <c r="IHQ1" s="643"/>
      <c r="IHR1" s="643"/>
      <c r="IHS1" s="643"/>
      <c r="IHT1" s="643"/>
      <c r="IHU1" s="643"/>
      <c r="IHV1" s="643"/>
      <c r="IHW1" s="643"/>
      <c r="IHX1" s="643"/>
      <c r="IHY1" s="643"/>
      <c r="IHZ1" s="643"/>
      <c r="IIA1" s="643"/>
      <c r="IIB1" s="643"/>
      <c r="IIC1" s="643"/>
      <c r="IID1" s="643"/>
      <c r="IIE1" s="643"/>
      <c r="IIF1" s="643"/>
      <c r="IIG1" s="643"/>
      <c r="IIH1" s="643"/>
      <c r="III1" s="643"/>
      <c r="IIJ1" s="643"/>
      <c r="IIK1" s="643"/>
      <c r="IIL1" s="643"/>
      <c r="IIM1" s="643"/>
      <c r="IIN1" s="643"/>
      <c r="IIO1" s="643"/>
      <c r="IIP1" s="643"/>
      <c r="IIQ1" s="643"/>
      <c r="IIR1" s="643"/>
      <c r="IIS1" s="643"/>
      <c r="IIT1" s="643"/>
      <c r="IIU1" s="643"/>
      <c r="IIV1" s="643"/>
      <c r="IIW1" s="643"/>
      <c r="IIX1" s="643"/>
      <c r="IIY1" s="643"/>
      <c r="IIZ1" s="643"/>
      <c r="IJA1" s="643"/>
      <c r="IJB1" s="643"/>
      <c r="IJC1" s="643"/>
      <c r="IJD1" s="643"/>
      <c r="IJE1" s="643"/>
      <c r="IJF1" s="643"/>
      <c r="IJG1" s="643"/>
      <c r="IJH1" s="643"/>
      <c r="IJI1" s="643"/>
      <c r="IJJ1" s="643"/>
      <c r="IJK1" s="643"/>
      <c r="IJL1" s="643"/>
      <c r="IJM1" s="643"/>
      <c r="IJN1" s="643"/>
      <c r="IJO1" s="643"/>
      <c r="IJP1" s="643"/>
      <c r="IJQ1" s="643"/>
      <c r="IJR1" s="643"/>
      <c r="IJS1" s="643"/>
      <c r="IJT1" s="643"/>
      <c r="IJU1" s="643"/>
      <c r="IJV1" s="643"/>
      <c r="IJW1" s="643"/>
      <c r="IJX1" s="643"/>
      <c r="IJY1" s="643"/>
      <c r="IJZ1" s="643"/>
      <c r="IKA1" s="643"/>
      <c r="IKB1" s="643"/>
      <c r="IKC1" s="643"/>
      <c r="IKD1" s="643"/>
      <c r="IKE1" s="643"/>
      <c r="IKF1" s="643"/>
      <c r="IKG1" s="643"/>
      <c r="IKH1" s="643"/>
      <c r="IKI1" s="643"/>
      <c r="IKJ1" s="643"/>
      <c r="IKK1" s="643"/>
      <c r="IKL1" s="643"/>
      <c r="IKM1" s="643"/>
      <c r="IKN1" s="643"/>
      <c r="IKO1" s="643"/>
      <c r="IKP1" s="643"/>
      <c r="IKQ1" s="643"/>
      <c r="IKR1" s="643"/>
      <c r="IKS1" s="643"/>
      <c r="IKT1" s="643"/>
      <c r="IKU1" s="643"/>
      <c r="IKV1" s="643"/>
      <c r="IKW1" s="643"/>
      <c r="IKX1" s="643"/>
      <c r="IKY1" s="643"/>
      <c r="IKZ1" s="643"/>
      <c r="ILA1" s="643"/>
      <c r="ILB1" s="643"/>
      <c r="ILC1" s="643"/>
      <c r="ILD1" s="643"/>
      <c r="ILE1" s="643"/>
      <c r="ILF1" s="643"/>
      <c r="ILG1" s="643"/>
      <c r="ILH1" s="643"/>
      <c r="ILI1" s="643"/>
      <c r="ILJ1" s="643"/>
      <c r="ILK1" s="643"/>
      <c r="ILL1" s="643"/>
      <c r="ILM1" s="643"/>
      <c r="ILN1" s="643"/>
      <c r="ILO1" s="643"/>
      <c r="ILP1" s="643"/>
      <c r="ILQ1" s="643"/>
      <c r="ILR1" s="643"/>
      <c r="ILS1" s="643"/>
      <c r="ILT1" s="643"/>
      <c r="ILU1" s="643"/>
      <c r="ILV1" s="643"/>
      <c r="ILW1" s="643"/>
      <c r="ILX1" s="643"/>
      <c r="ILY1" s="643"/>
      <c r="ILZ1" s="643"/>
      <c r="IMA1" s="643"/>
      <c r="IMB1" s="643"/>
      <c r="IMC1" s="643"/>
      <c r="IMD1" s="643"/>
      <c r="IME1" s="643"/>
      <c r="IMF1" s="643"/>
      <c r="IMG1" s="643"/>
      <c r="IMH1" s="643"/>
      <c r="IMI1" s="643"/>
      <c r="IMJ1" s="643"/>
      <c r="IMK1" s="643"/>
      <c r="IML1" s="643"/>
      <c r="IMM1" s="643"/>
      <c r="IMN1" s="643"/>
      <c r="IMO1" s="643"/>
      <c r="IMP1" s="643"/>
      <c r="IMQ1" s="643"/>
      <c r="IMR1" s="643"/>
      <c r="IMS1" s="643"/>
      <c r="IMT1" s="643"/>
      <c r="IMU1" s="643"/>
      <c r="IMV1" s="643"/>
      <c r="IMW1" s="643"/>
      <c r="IMX1" s="643"/>
      <c r="IMY1" s="643"/>
      <c r="IMZ1" s="643"/>
      <c r="INA1" s="643"/>
      <c r="INB1" s="643"/>
      <c r="INC1" s="643"/>
      <c r="IND1" s="643"/>
      <c r="INE1" s="643"/>
      <c r="INF1" s="643"/>
      <c r="ING1" s="643"/>
      <c r="INH1" s="643"/>
      <c r="INI1" s="643"/>
      <c r="INJ1" s="643"/>
      <c r="INK1" s="643"/>
      <c r="INL1" s="643"/>
      <c r="INM1" s="643"/>
      <c r="INN1" s="643"/>
      <c r="INO1" s="643"/>
      <c r="INP1" s="643"/>
      <c r="INQ1" s="643"/>
      <c r="INR1" s="643"/>
      <c r="INS1" s="643"/>
      <c r="INT1" s="643"/>
      <c r="INU1" s="643"/>
      <c r="INV1" s="643"/>
      <c r="INW1" s="643"/>
      <c r="INX1" s="643"/>
      <c r="INY1" s="643"/>
      <c r="INZ1" s="643"/>
      <c r="IOA1" s="643"/>
      <c r="IOB1" s="643"/>
      <c r="IOC1" s="643"/>
      <c r="IOD1" s="643"/>
      <c r="IOE1" s="643"/>
      <c r="IOF1" s="643"/>
      <c r="IOG1" s="643"/>
      <c r="IOH1" s="643"/>
      <c r="IOI1" s="643"/>
      <c r="IOJ1" s="643"/>
      <c r="IOK1" s="643"/>
      <c r="IOL1" s="643"/>
      <c r="IOM1" s="643"/>
      <c r="ION1" s="643"/>
      <c r="IOO1" s="643"/>
      <c r="IOP1" s="643"/>
      <c r="IOQ1" s="643"/>
      <c r="IOR1" s="643"/>
      <c r="IOS1" s="643"/>
      <c r="IOT1" s="643"/>
      <c r="IOU1" s="643"/>
      <c r="IOV1" s="643"/>
      <c r="IOW1" s="643"/>
      <c r="IOX1" s="643"/>
      <c r="IOY1" s="643"/>
      <c r="IOZ1" s="643"/>
      <c r="IPA1" s="643"/>
      <c r="IPB1" s="643"/>
      <c r="IPC1" s="643"/>
      <c r="IPD1" s="643"/>
      <c r="IPE1" s="643"/>
      <c r="IPF1" s="643"/>
      <c r="IPG1" s="643"/>
      <c r="IPH1" s="643"/>
      <c r="IPI1" s="643"/>
      <c r="IPJ1" s="643"/>
      <c r="IPK1" s="643"/>
      <c r="IPL1" s="643"/>
      <c r="IPM1" s="643"/>
      <c r="IPN1" s="643"/>
      <c r="IPO1" s="643"/>
      <c r="IPP1" s="643"/>
      <c r="IPQ1" s="643"/>
      <c r="IPR1" s="643"/>
      <c r="IPS1" s="643"/>
      <c r="IPT1" s="643"/>
      <c r="IPU1" s="643"/>
      <c r="IPV1" s="643"/>
      <c r="IPW1" s="643"/>
      <c r="IPX1" s="643"/>
      <c r="IPY1" s="643"/>
      <c r="IPZ1" s="643"/>
      <c r="IQA1" s="643"/>
      <c r="IQB1" s="643"/>
      <c r="IQC1" s="643"/>
      <c r="IQD1" s="643"/>
      <c r="IQE1" s="643"/>
      <c r="IQF1" s="643"/>
      <c r="IQG1" s="643"/>
      <c r="IQH1" s="643"/>
      <c r="IQI1" s="643"/>
      <c r="IQJ1" s="643"/>
      <c r="IQK1" s="643"/>
      <c r="IQL1" s="643"/>
      <c r="IQM1" s="643"/>
      <c r="IQN1" s="643"/>
      <c r="IQO1" s="643"/>
      <c r="IQP1" s="643"/>
      <c r="IQQ1" s="643"/>
      <c r="IQR1" s="643"/>
      <c r="IQS1" s="643"/>
      <c r="IQT1" s="643"/>
      <c r="IQU1" s="643"/>
      <c r="IQV1" s="643"/>
      <c r="IQW1" s="643"/>
      <c r="IQX1" s="643"/>
      <c r="IQY1" s="643"/>
      <c r="IQZ1" s="643"/>
      <c r="IRA1" s="643"/>
      <c r="IRB1" s="643"/>
      <c r="IRC1" s="643"/>
      <c r="IRD1" s="643"/>
      <c r="IRE1" s="643"/>
      <c r="IRF1" s="643"/>
      <c r="IRG1" s="643"/>
      <c r="IRH1" s="643"/>
      <c r="IRI1" s="643"/>
      <c r="IRJ1" s="643"/>
      <c r="IRK1" s="643"/>
      <c r="IRL1" s="643"/>
      <c r="IRM1" s="643"/>
      <c r="IRN1" s="643"/>
      <c r="IRO1" s="643"/>
      <c r="IRP1" s="643"/>
      <c r="IRQ1" s="643"/>
      <c r="IRR1" s="643"/>
      <c r="IRS1" s="643"/>
      <c r="IRT1" s="643"/>
      <c r="IRU1" s="643"/>
      <c r="IRV1" s="643"/>
      <c r="IRW1" s="643"/>
      <c r="IRX1" s="643"/>
      <c r="IRY1" s="643"/>
      <c r="IRZ1" s="643"/>
      <c r="ISA1" s="643"/>
      <c r="ISB1" s="643"/>
      <c r="ISC1" s="643"/>
      <c r="ISD1" s="643"/>
      <c r="ISE1" s="643"/>
      <c r="ISF1" s="643"/>
      <c r="ISG1" s="643"/>
      <c r="ISH1" s="643"/>
      <c r="ISI1" s="643"/>
      <c r="ISJ1" s="643"/>
      <c r="ISK1" s="643"/>
      <c r="ISL1" s="643"/>
      <c r="ISM1" s="643"/>
      <c r="ISN1" s="643"/>
      <c r="ISO1" s="643"/>
      <c r="ISP1" s="643"/>
      <c r="ISQ1" s="643"/>
      <c r="ISR1" s="643"/>
      <c r="ISS1" s="643"/>
      <c r="IST1" s="643"/>
      <c r="ISU1" s="643"/>
      <c r="ISV1" s="643"/>
      <c r="ISW1" s="643"/>
      <c r="ISX1" s="643"/>
      <c r="ISY1" s="643"/>
      <c r="ISZ1" s="643"/>
      <c r="ITA1" s="643"/>
      <c r="ITB1" s="643"/>
      <c r="ITC1" s="643"/>
      <c r="ITD1" s="643"/>
      <c r="ITE1" s="643"/>
      <c r="ITF1" s="643"/>
      <c r="ITG1" s="643"/>
      <c r="ITH1" s="643"/>
      <c r="ITI1" s="643"/>
      <c r="ITJ1" s="643"/>
      <c r="ITK1" s="643"/>
      <c r="ITL1" s="643"/>
      <c r="ITM1" s="643"/>
      <c r="ITN1" s="643"/>
      <c r="ITO1" s="643"/>
      <c r="ITP1" s="643"/>
      <c r="ITQ1" s="643"/>
      <c r="ITR1" s="643"/>
      <c r="ITS1" s="643"/>
      <c r="ITT1" s="643"/>
      <c r="ITU1" s="643"/>
      <c r="ITV1" s="643"/>
      <c r="ITW1" s="643"/>
      <c r="ITX1" s="643"/>
      <c r="ITY1" s="643"/>
      <c r="ITZ1" s="643"/>
      <c r="IUA1" s="643"/>
      <c r="IUB1" s="643"/>
      <c r="IUC1" s="643"/>
      <c r="IUD1" s="643"/>
      <c r="IUE1" s="643"/>
      <c r="IUF1" s="643"/>
      <c r="IUG1" s="643"/>
      <c r="IUH1" s="643"/>
      <c r="IUI1" s="643"/>
      <c r="IUJ1" s="643"/>
      <c r="IUK1" s="643"/>
      <c r="IUL1" s="643"/>
      <c r="IUM1" s="643"/>
      <c r="IUN1" s="643"/>
      <c r="IUO1" s="643"/>
      <c r="IUP1" s="643"/>
      <c r="IUQ1" s="643"/>
      <c r="IUR1" s="643"/>
      <c r="IUS1" s="643"/>
      <c r="IUT1" s="643"/>
      <c r="IUU1" s="643"/>
      <c r="IUV1" s="643"/>
      <c r="IUW1" s="643"/>
      <c r="IUX1" s="643"/>
      <c r="IUY1" s="643"/>
      <c r="IUZ1" s="643"/>
      <c r="IVA1" s="643"/>
      <c r="IVB1" s="643"/>
      <c r="IVC1" s="643"/>
      <c r="IVD1" s="643"/>
      <c r="IVE1" s="643"/>
      <c r="IVF1" s="643"/>
      <c r="IVG1" s="643"/>
      <c r="IVH1" s="643"/>
      <c r="IVI1" s="643"/>
      <c r="IVJ1" s="643"/>
      <c r="IVK1" s="643"/>
      <c r="IVL1" s="643"/>
      <c r="IVM1" s="643"/>
      <c r="IVN1" s="643"/>
      <c r="IVO1" s="643"/>
      <c r="IVP1" s="643"/>
      <c r="IVQ1" s="643"/>
      <c r="IVR1" s="643"/>
      <c r="IVS1" s="643"/>
      <c r="IVT1" s="643"/>
      <c r="IVU1" s="643"/>
      <c r="IVV1" s="643"/>
      <c r="IVW1" s="643"/>
      <c r="IVX1" s="643"/>
      <c r="IVY1" s="643"/>
      <c r="IVZ1" s="643"/>
      <c r="IWA1" s="643"/>
      <c r="IWB1" s="643"/>
      <c r="IWC1" s="643"/>
      <c r="IWD1" s="643"/>
      <c r="IWE1" s="643"/>
      <c r="IWF1" s="643"/>
      <c r="IWG1" s="643"/>
      <c r="IWH1" s="643"/>
      <c r="IWI1" s="643"/>
      <c r="IWJ1" s="643"/>
      <c r="IWK1" s="643"/>
      <c r="IWL1" s="643"/>
      <c r="IWM1" s="643"/>
      <c r="IWN1" s="643"/>
      <c r="IWO1" s="643"/>
      <c r="IWP1" s="643"/>
      <c r="IWQ1" s="643"/>
      <c r="IWR1" s="643"/>
      <c r="IWS1" s="643"/>
      <c r="IWT1" s="643"/>
      <c r="IWU1" s="643"/>
      <c r="IWV1" s="643"/>
      <c r="IWW1" s="643"/>
      <c r="IWX1" s="643"/>
      <c r="IWY1" s="643"/>
      <c r="IWZ1" s="643"/>
      <c r="IXA1" s="643"/>
      <c r="IXB1" s="643"/>
      <c r="IXC1" s="643"/>
      <c r="IXD1" s="643"/>
      <c r="IXE1" s="643"/>
      <c r="IXF1" s="643"/>
      <c r="IXG1" s="643"/>
      <c r="IXH1" s="643"/>
      <c r="IXI1" s="643"/>
      <c r="IXJ1" s="643"/>
      <c r="IXK1" s="643"/>
      <c r="IXL1" s="643"/>
      <c r="IXM1" s="643"/>
      <c r="IXN1" s="643"/>
      <c r="IXO1" s="643"/>
      <c r="IXP1" s="643"/>
      <c r="IXQ1" s="643"/>
      <c r="IXR1" s="643"/>
      <c r="IXS1" s="643"/>
      <c r="IXT1" s="643"/>
      <c r="IXU1" s="643"/>
      <c r="IXV1" s="643"/>
      <c r="IXW1" s="643"/>
      <c r="IXX1" s="643"/>
      <c r="IXY1" s="643"/>
      <c r="IXZ1" s="643"/>
      <c r="IYA1" s="643"/>
      <c r="IYB1" s="643"/>
      <c r="IYC1" s="643"/>
      <c r="IYD1" s="643"/>
      <c r="IYE1" s="643"/>
      <c r="IYF1" s="643"/>
      <c r="IYG1" s="643"/>
      <c r="IYH1" s="643"/>
      <c r="IYI1" s="643"/>
      <c r="IYJ1" s="643"/>
      <c r="IYK1" s="643"/>
      <c r="IYL1" s="643"/>
      <c r="IYM1" s="643"/>
      <c r="IYN1" s="643"/>
      <c r="IYO1" s="643"/>
      <c r="IYP1" s="643"/>
      <c r="IYQ1" s="643"/>
      <c r="IYR1" s="643"/>
      <c r="IYS1" s="643"/>
      <c r="IYT1" s="643"/>
      <c r="IYU1" s="643"/>
      <c r="IYV1" s="643"/>
      <c r="IYW1" s="643"/>
      <c r="IYX1" s="643"/>
      <c r="IYY1" s="643"/>
      <c r="IYZ1" s="643"/>
      <c r="IZA1" s="643"/>
      <c r="IZB1" s="643"/>
      <c r="IZC1" s="643"/>
      <c r="IZD1" s="643"/>
      <c r="IZE1" s="643"/>
      <c r="IZF1" s="643"/>
      <c r="IZG1" s="643"/>
      <c r="IZH1" s="643"/>
      <c r="IZI1" s="643"/>
      <c r="IZJ1" s="643"/>
      <c r="IZK1" s="643"/>
      <c r="IZL1" s="643"/>
      <c r="IZM1" s="643"/>
      <c r="IZN1" s="643"/>
      <c r="IZO1" s="643"/>
      <c r="IZP1" s="643"/>
      <c r="IZQ1" s="643"/>
      <c r="IZR1" s="643"/>
      <c r="IZS1" s="643"/>
      <c r="IZT1" s="643"/>
      <c r="IZU1" s="643"/>
      <c r="IZV1" s="643"/>
      <c r="IZW1" s="643"/>
      <c r="IZX1" s="643"/>
      <c r="IZY1" s="643"/>
      <c r="IZZ1" s="643"/>
      <c r="JAA1" s="643"/>
      <c r="JAB1" s="643"/>
      <c r="JAC1" s="643"/>
      <c r="JAD1" s="643"/>
      <c r="JAE1" s="643"/>
      <c r="JAF1" s="643"/>
      <c r="JAG1" s="643"/>
      <c r="JAH1" s="643"/>
      <c r="JAI1" s="643"/>
      <c r="JAJ1" s="643"/>
      <c r="JAK1" s="643"/>
      <c r="JAL1" s="643"/>
      <c r="JAM1" s="643"/>
      <c r="JAN1" s="643"/>
      <c r="JAO1" s="643"/>
      <c r="JAP1" s="643"/>
      <c r="JAQ1" s="643"/>
      <c r="JAR1" s="643"/>
      <c r="JAS1" s="643"/>
      <c r="JAT1" s="643"/>
      <c r="JAU1" s="643"/>
      <c r="JAV1" s="643"/>
      <c r="JAW1" s="643"/>
      <c r="JAX1" s="643"/>
      <c r="JAY1" s="643"/>
      <c r="JAZ1" s="643"/>
      <c r="JBA1" s="643"/>
      <c r="JBB1" s="643"/>
      <c r="JBC1" s="643"/>
      <c r="JBD1" s="643"/>
      <c r="JBE1" s="643"/>
      <c r="JBF1" s="643"/>
      <c r="JBG1" s="643"/>
      <c r="JBH1" s="643"/>
      <c r="JBI1" s="643"/>
      <c r="JBJ1" s="643"/>
      <c r="JBK1" s="643"/>
      <c r="JBL1" s="643"/>
      <c r="JBM1" s="643"/>
      <c r="JBN1" s="643"/>
      <c r="JBO1" s="643"/>
      <c r="JBP1" s="643"/>
      <c r="JBQ1" s="643"/>
      <c r="JBR1" s="643"/>
      <c r="JBS1" s="643"/>
      <c r="JBT1" s="643"/>
      <c r="JBU1" s="643"/>
      <c r="JBV1" s="643"/>
      <c r="JBW1" s="643"/>
      <c r="JBX1" s="643"/>
      <c r="JBY1" s="643"/>
      <c r="JBZ1" s="643"/>
      <c r="JCA1" s="643"/>
      <c r="JCB1" s="643"/>
      <c r="JCC1" s="643"/>
      <c r="JCD1" s="643"/>
      <c r="JCE1" s="643"/>
      <c r="JCF1" s="643"/>
      <c r="JCG1" s="643"/>
      <c r="JCH1" s="643"/>
      <c r="JCI1" s="643"/>
      <c r="JCJ1" s="643"/>
      <c r="JCK1" s="643"/>
      <c r="JCL1" s="643"/>
      <c r="JCM1" s="643"/>
      <c r="JCN1" s="643"/>
      <c r="JCO1" s="643"/>
      <c r="JCP1" s="643"/>
      <c r="JCQ1" s="643"/>
      <c r="JCR1" s="643"/>
      <c r="JCS1" s="643"/>
      <c r="JCT1" s="643"/>
      <c r="JCU1" s="643"/>
      <c r="JCV1" s="643"/>
      <c r="JCW1" s="643"/>
      <c r="JCX1" s="643"/>
      <c r="JCY1" s="643"/>
      <c r="JCZ1" s="643"/>
      <c r="JDA1" s="643"/>
      <c r="JDB1" s="643"/>
      <c r="JDC1" s="643"/>
      <c r="JDD1" s="643"/>
      <c r="JDE1" s="643"/>
      <c r="JDF1" s="643"/>
      <c r="JDG1" s="643"/>
      <c r="JDH1" s="643"/>
      <c r="JDI1" s="643"/>
      <c r="JDJ1" s="643"/>
      <c r="JDK1" s="643"/>
      <c r="JDL1" s="643"/>
      <c r="JDM1" s="643"/>
      <c r="JDN1" s="643"/>
      <c r="JDO1" s="643"/>
      <c r="JDP1" s="643"/>
      <c r="JDQ1" s="643"/>
      <c r="JDR1" s="643"/>
      <c r="JDS1" s="643"/>
      <c r="JDT1" s="643"/>
      <c r="JDU1" s="643"/>
      <c r="JDV1" s="643"/>
      <c r="JDW1" s="643"/>
      <c r="JDX1" s="643"/>
      <c r="JDY1" s="643"/>
      <c r="JDZ1" s="643"/>
      <c r="JEA1" s="643"/>
      <c r="JEB1" s="643"/>
      <c r="JEC1" s="643"/>
      <c r="JED1" s="643"/>
      <c r="JEE1" s="643"/>
      <c r="JEF1" s="643"/>
      <c r="JEG1" s="643"/>
      <c r="JEH1" s="643"/>
      <c r="JEI1" s="643"/>
      <c r="JEJ1" s="643"/>
      <c r="JEK1" s="643"/>
      <c r="JEL1" s="643"/>
      <c r="JEM1" s="643"/>
      <c r="JEN1" s="643"/>
      <c r="JEO1" s="643"/>
      <c r="JEP1" s="643"/>
      <c r="JEQ1" s="643"/>
      <c r="JER1" s="643"/>
      <c r="JES1" s="643"/>
      <c r="JET1" s="643"/>
      <c r="JEU1" s="643"/>
      <c r="JEV1" s="643"/>
      <c r="JEW1" s="643"/>
      <c r="JEX1" s="643"/>
      <c r="JEY1" s="643"/>
      <c r="JEZ1" s="643"/>
      <c r="JFA1" s="643"/>
      <c r="JFB1" s="643"/>
      <c r="JFC1" s="643"/>
      <c r="JFD1" s="643"/>
      <c r="JFE1" s="643"/>
      <c r="JFF1" s="643"/>
      <c r="JFG1" s="643"/>
      <c r="JFH1" s="643"/>
      <c r="JFI1" s="643"/>
      <c r="JFJ1" s="643"/>
      <c r="JFK1" s="643"/>
      <c r="JFL1" s="643"/>
      <c r="JFM1" s="643"/>
      <c r="JFN1" s="643"/>
      <c r="JFO1" s="643"/>
      <c r="JFP1" s="643"/>
      <c r="JFQ1" s="643"/>
      <c r="JFR1" s="643"/>
      <c r="JFS1" s="643"/>
      <c r="JFT1" s="643"/>
      <c r="JFU1" s="643"/>
      <c r="JFV1" s="643"/>
      <c r="JFW1" s="643"/>
      <c r="JFX1" s="643"/>
      <c r="JFY1" s="643"/>
      <c r="JFZ1" s="643"/>
      <c r="JGA1" s="643"/>
      <c r="JGB1" s="643"/>
      <c r="JGC1" s="643"/>
      <c r="JGD1" s="643"/>
      <c r="JGE1" s="643"/>
      <c r="JGF1" s="643"/>
      <c r="JGG1" s="643"/>
      <c r="JGH1" s="643"/>
      <c r="JGI1" s="643"/>
      <c r="JGJ1" s="643"/>
      <c r="JGK1" s="643"/>
      <c r="JGL1" s="643"/>
      <c r="JGM1" s="643"/>
      <c r="JGN1" s="643"/>
      <c r="JGO1" s="643"/>
      <c r="JGP1" s="643"/>
      <c r="JGQ1" s="643"/>
      <c r="JGR1" s="643"/>
      <c r="JGS1" s="643"/>
      <c r="JGT1" s="643"/>
      <c r="JGU1" s="643"/>
      <c r="JGV1" s="643"/>
      <c r="JGW1" s="643"/>
      <c r="JGX1" s="643"/>
      <c r="JGY1" s="643"/>
      <c r="JGZ1" s="643"/>
      <c r="JHA1" s="643"/>
      <c r="JHB1" s="643"/>
      <c r="JHC1" s="643"/>
      <c r="JHD1" s="643"/>
      <c r="JHE1" s="643"/>
      <c r="JHF1" s="643"/>
      <c r="JHG1" s="643"/>
      <c r="JHH1" s="643"/>
      <c r="JHI1" s="643"/>
      <c r="JHJ1" s="643"/>
      <c r="JHK1" s="643"/>
      <c r="JHL1" s="643"/>
      <c r="JHM1" s="643"/>
      <c r="JHN1" s="643"/>
      <c r="JHO1" s="643"/>
      <c r="JHP1" s="643"/>
      <c r="JHQ1" s="643"/>
      <c r="JHR1" s="643"/>
      <c r="JHS1" s="643"/>
      <c r="JHT1" s="643"/>
      <c r="JHU1" s="643"/>
      <c r="JHV1" s="643"/>
      <c r="JHW1" s="643"/>
      <c r="JHX1" s="643"/>
      <c r="JHY1" s="643"/>
      <c r="JHZ1" s="643"/>
      <c r="JIA1" s="643"/>
      <c r="JIB1" s="643"/>
      <c r="JIC1" s="643"/>
      <c r="JID1" s="643"/>
      <c r="JIE1" s="643"/>
      <c r="JIF1" s="643"/>
      <c r="JIG1" s="643"/>
      <c r="JIH1" s="643"/>
      <c r="JII1" s="643"/>
      <c r="JIJ1" s="643"/>
      <c r="JIK1" s="643"/>
      <c r="JIL1" s="643"/>
      <c r="JIM1" s="643"/>
      <c r="JIN1" s="643"/>
      <c r="JIO1" s="643"/>
      <c r="JIP1" s="643"/>
      <c r="JIQ1" s="643"/>
      <c r="JIR1" s="643"/>
      <c r="JIS1" s="643"/>
      <c r="JIT1" s="643"/>
      <c r="JIU1" s="643"/>
      <c r="JIV1" s="643"/>
      <c r="JIW1" s="643"/>
      <c r="JIX1" s="643"/>
      <c r="JIY1" s="643"/>
      <c r="JIZ1" s="643"/>
      <c r="JJA1" s="643"/>
      <c r="JJB1" s="643"/>
      <c r="JJC1" s="643"/>
      <c r="JJD1" s="643"/>
      <c r="JJE1" s="643"/>
      <c r="JJF1" s="643"/>
      <c r="JJG1" s="643"/>
      <c r="JJH1" s="643"/>
      <c r="JJI1" s="643"/>
      <c r="JJJ1" s="643"/>
      <c r="JJK1" s="643"/>
      <c r="JJL1" s="643"/>
      <c r="JJM1" s="643"/>
      <c r="JJN1" s="643"/>
      <c r="JJO1" s="643"/>
      <c r="JJP1" s="643"/>
      <c r="JJQ1" s="643"/>
      <c r="JJR1" s="643"/>
      <c r="JJS1" s="643"/>
      <c r="JJT1" s="643"/>
      <c r="JJU1" s="643"/>
      <c r="JJV1" s="643"/>
      <c r="JJW1" s="643"/>
      <c r="JJX1" s="643"/>
      <c r="JJY1" s="643"/>
      <c r="JJZ1" s="643"/>
      <c r="JKA1" s="643"/>
      <c r="JKB1" s="643"/>
      <c r="JKC1" s="643"/>
      <c r="JKD1" s="643"/>
      <c r="JKE1" s="643"/>
      <c r="JKF1" s="643"/>
      <c r="JKG1" s="643"/>
      <c r="JKH1" s="643"/>
      <c r="JKI1" s="643"/>
      <c r="JKJ1" s="643"/>
      <c r="JKK1" s="643"/>
      <c r="JKL1" s="643"/>
      <c r="JKM1" s="643"/>
      <c r="JKN1" s="643"/>
      <c r="JKO1" s="643"/>
      <c r="JKP1" s="643"/>
      <c r="JKQ1" s="643"/>
      <c r="JKR1" s="643"/>
      <c r="JKS1" s="643"/>
      <c r="JKT1" s="643"/>
      <c r="JKU1" s="643"/>
      <c r="JKV1" s="643"/>
      <c r="JKW1" s="643"/>
      <c r="JKX1" s="643"/>
      <c r="JKY1" s="643"/>
      <c r="JKZ1" s="643"/>
      <c r="JLA1" s="643"/>
      <c r="JLB1" s="643"/>
      <c r="JLC1" s="643"/>
      <c r="JLD1" s="643"/>
      <c r="JLE1" s="643"/>
      <c r="JLF1" s="643"/>
      <c r="JLG1" s="643"/>
      <c r="JLH1" s="643"/>
      <c r="JLI1" s="643"/>
      <c r="JLJ1" s="643"/>
      <c r="JLK1" s="643"/>
      <c r="JLL1" s="643"/>
      <c r="JLM1" s="643"/>
      <c r="JLN1" s="643"/>
      <c r="JLO1" s="643"/>
      <c r="JLP1" s="643"/>
      <c r="JLQ1" s="643"/>
      <c r="JLR1" s="643"/>
      <c r="JLS1" s="643"/>
      <c r="JLT1" s="643"/>
      <c r="JLU1" s="643"/>
      <c r="JLV1" s="643"/>
      <c r="JLW1" s="643"/>
      <c r="JLX1" s="643"/>
      <c r="JLY1" s="643"/>
      <c r="JLZ1" s="643"/>
      <c r="JMA1" s="643"/>
      <c r="JMB1" s="643"/>
      <c r="JMC1" s="643"/>
      <c r="JMD1" s="643"/>
      <c r="JME1" s="643"/>
      <c r="JMF1" s="643"/>
      <c r="JMG1" s="643"/>
      <c r="JMH1" s="643"/>
      <c r="JMI1" s="643"/>
      <c r="JMJ1" s="643"/>
      <c r="JMK1" s="643"/>
      <c r="JML1" s="643"/>
      <c r="JMM1" s="643"/>
      <c r="JMN1" s="643"/>
      <c r="JMO1" s="643"/>
      <c r="JMP1" s="643"/>
      <c r="JMQ1" s="643"/>
      <c r="JMR1" s="643"/>
      <c r="JMS1" s="643"/>
      <c r="JMT1" s="643"/>
      <c r="JMU1" s="643"/>
      <c r="JMV1" s="643"/>
      <c r="JMW1" s="643"/>
      <c r="JMX1" s="643"/>
      <c r="JMY1" s="643"/>
      <c r="JMZ1" s="643"/>
      <c r="JNA1" s="643"/>
      <c r="JNB1" s="643"/>
      <c r="JNC1" s="643"/>
      <c r="JND1" s="643"/>
      <c r="JNE1" s="643"/>
      <c r="JNF1" s="643"/>
      <c r="JNG1" s="643"/>
      <c r="JNH1" s="643"/>
      <c r="JNI1" s="643"/>
      <c r="JNJ1" s="643"/>
      <c r="JNK1" s="643"/>
      <c r="JNL1" s="643"/>
      <c r="JNM1" s="643"/>
      <c r="JNN1" s="643"/>
      <c r="JNO1" s="643"/>
      <c r="JNP1" s="643"/>
      <c r="JNQ1" s="643"/>
      <c r="JNR1" s="643"/>
      <c r="JNS1" s="643"/>
      <c r="JNT1" s="643"/>
      <c r="JNU1" s="643"/>
      <c r="JNV1" s="643"/>
      <c r="JNW1" s="643"/>
      <c r="JNX1" s="643"/>
      <c r="JNY1" s="643"/>
      <c r="JNZ1" s="643"/>
      <c r="JOA1" s="643"/>
      <c r="JOB1" s="643"/>
      <c r="JOC1" s="643"/>
      <c r="JOD1" s="643"/>
      <c r="JOE1" s="643"/>
      <c r="JOF1" s="643"/>
      <c r="JOG1" s="643"/>
      <c r="JOH1" s="643"/>
      <c r="JOI1" s="643"/>
      <c r="JOJ1" s="643"/>
      <c r="JOK1" s="643"/>
      <c r="JOL1" s="643"/>
      <c r="JOM1" s="643"/>
      <c r="JON1" s="643"/>
      <c r="JOO1" s="643"/>
      <c r="JOP1" s="643"/>
      <c r="JOQ1" s="643"/>
      <c r="JOR1" s="643"/>
      <c r="JOS1" s="643"/>
      <c r="JOT1" s="643"/>
      <c r="JOU1" s="643"/>
      <c r="JOV1" s="643"/>
      <c r="JOW1" s="643"/>
      <c r="JOX1" s="643"/>
      <c r="JOY1" s="643"/>
      <c r="JOZ1" s="643"/>
      <c r="JPA1" s="643"/>
      <c r="JPB1" s="643"/>
      <c r="JPC1" s="643"/>
      <c r="JPD1" s="643"/>
      <c r="JPE1" s="643"/>
      <c r="JPF1" s="643"/>
      <c r="JPG1" s="643"/>
      <c r="JPH1" s="643"/>
      <c r="JPI1" s="643"/>
      <c r="JPJ1" s="643"/>
      <c r="JPK1" s="643"/>
      <c r="JPL1" s="643"/>
      <c r="JPM1" s="643"/>
      <c r="JPN1" s="643"/>
      <c r="JPO1" s="643"/>
      <c r="JPP1" s="643"/>
      <c r="JPQ1" s="643"/>
      <c r="JPR1" s="643"/>
      <c r="JPS1" s="643"/>
      <c r="JPT1" s="643"/>
      <c r="JPU1" s="643"/>
      <c r="JPV1" s="643"/>
      <c r="JPW1" s="643"/>
      <c r="JPX1" s="643"/>
      <c r="JPY1" s="643"/>
      <c r="JPZ1" s="643"/>
      <c r="JQA1" s="643"/>
      <c r="JQB1" s="643"/>
      <c r="JQC1" s="643"/>
      <c r="JQD1" s="643"/>
      <c r="JQE1" s="643"/>
      <c r="JQF1" s="643"/>
      <c r="JQG1" s="643"/>
      <c r="JQH1" s="643"/>
      <c r="JQI1" s="643"/>
      <c r="JQJ1" s="643"/>
      <c r="JQK1" s="643"/>
      <c r="JQL1" s="643"/>
      <c r="JQM1" s="643"/>
      <c r="JQN1" s="643"/>
      <c r="JQO1" s="643"/>
      <c r="JQP1" s="643"/>
      <c r="JQQ1" s="643"/>
      <c r="JQR1" s="643"/>
      <c r="JQS1" s="643"/>
      <c r="JQT1" s="643"/>
      <c r="JQU1" s="643"/>
      <c r="JQV1" s="643"/>
      <c r="JQW1" s="643"/>
      <c r="JQX1" s="643"/>
      <c r="JQY1" s="643"/>
      <c r="JQZ1" s="643"/>
      <c r="JRA1" s="643"/>
      <c r="JRB1" s="643"/>
      <c r="JRC1" s="643"/>
      <c r="JRD1" s="643"/>
      <c r="JRE1" s="643"/>
      <c r="JRF1" s="643"/>
      <c r="JRG1" s="643"/>
      <c r="JRH1" s="643"/>
      <c r="JRI1" s="643"/>
      <c r="JRJ1" s="643"/>
      <c r="JRK1" s="643"/>
      <c r="JRL1" s="643"/>
      <c r="JRM1" s="643"/>
      <c r="JRN1" s="643"/>
      <c r="JRO1" s="643"/>
      <c r="JRP1" s="643"/>
      <c r="JRQ1" s="643"/>
      <c r="JRR1" s="643"/>
      <c r="JRS1" s="643"/>
      <c r="JRT1" s="643"/>
      <c r="JRU1" s="643"/>
      <c r="JRV1" s="643"/>
      <c r="JRW1" s="643"/>
      <c r="JRX1" s="643"/>
      <c r="JRY1" s="643"/>
      <c r="JRZ1" s="643"/>
      <c r="JSA1" s="643"/>
      <c r="JSB1" s="643"/>
      <c r="JSC1" s="643"/>
      <c r="JSD1" s="643"/>
      <c r="JSE1" s="643"/>
      <c r="JSF1" s="643"/>
      <c r="JSG1" s="643"/>
      <c r="JSH1" s="643"/>
      <c r="JSI1" s="643"/>
      <c r="JSJ1" s="643"/>
      <c r="JSK1" s="643"/>
      <c r="JSL1" s="643"/>
      <c r="JSM1" s="643"/>
      <c r="JSN1" s="643"/>
      <c r="JSO1" s="643"/>
      <c r="JSP1" s="643"/>
      <c r="JSQ1" s="643"/>
      <c r="JSR1" s="643"/>
      <c r="JSS1" s="643"/>
      <c r="JST1" s="643"/>
      <c r="JSU1" s="643"/>
      <c r="JSV1" s="643"/>
      <c r="JSW1" s="643"/>
      <c r="JSX1" s="643"/>
      <c r="JSY1" s="643"/>
      <c r="JSZ1" s="643"/>
      <c r="JTA1" s="643"/>
      <c r="JTB1" s="643"/>
      <c r="JTC1" s="643"/>
      <c r="JTD1" s="643"/>
      <c r="JTE1" s="643"/>
      <c r="JTF1" s="643"/>
      <c r="JTG1" s="643"/>
      <c r="JTH1" s="643"/>
      <c r="JTI1" s="643"/>
      <c r="JTJ1" s="643"/>
      <c r="JTK1" s="643"/>
      <c r="JTL1" s="643"/>
      <c r="JTM1" s="643"/>
      <c r="JTN1" s="643"/>
      <c r="JTO1" s="643"/>
      <c r="JTP1" s="643"/>
      <c r="JTQ1" s="643"/>
      <c r="JTR1" s="643"/>
      <c r="JTS1" s="643"/>
      <c r="JTT1" s="643"/>
      <c r="JTU1" s="643"/>
      <c r="JTV1" s="643"/>
      <c r="JTW1" s="643"/>
      <c r="JTX1" s="643"/>
      <c r="JTY1" s="643"/>
      <c r="JTZ1" s="643"/>
      <c r="JUA1" s="643"/>
      <c r="JUB1" s="643"/>
      <c r="JUC1" s="643"/>
      <c r="JUD1" s="643"/>
      <c r="JUE1" s="643"/>
      <c r="JUF1" s="643"/>
      <c r="JUG1" s="643"/>
      <c r="JUH1" s="643"/>
      <c r="JUI1" s="643"/>
      <c r="JUJ1" s="643"/>
      <c r="JUK1" s="643"/>
      <c r="JUL1" s="643"/>
      <c r="JUM1" s="643"/>
      <c r="JUN1" s="643"/>
      <c r="JUO1" s="643"/>
      <c r="JUP1" s="643"/>
      <c r="JUQ1" s="643"/>
      <c r="JUR1" s="643"/>
      <c r="JUS1" s="643"/>
      <c r="JUT1" s="643"/>
      <c r="JUU1" s="643"/>
      <c r="JUV1" s="643"/>
      <c r="JUW1" s="643"/>
      <c r="JUX1" s="643"/>
      <c r="JUY1" s="643"/>
      <c r="JUZ1" s="643"/>
      <c r="JVA1" s="643"/>
      <c r="JVB1" s="643"/>
      <c r="JVC1" s="643"/>
      <c r="JVD1" s="643"/>
      <c r="JVE1" s="643"/>
      <c r="JVF1" s="643"/>
      <c r="JVG1" s="643"/>
      <c r="JVH1" s="643"/>
      <c r="JVI1" s="643"/>
      <c r="JVJ1" s="643"/>
      <c r="JVK1" s="643"/>
      <c r="JVL1" s="643"/>
      <c r="JVM1" s="643"/>
      <c r="JVN1" s="643"/>
      <c r="JVO1" s="643"/>
      <c r="JVP1" s="643"/>
      <c r="JVQ1" s="643"/>
      <c r="JVR1" s="643"/>
      <c r="JVS1" s="643"/>
      <c r="JVT1" s="643"/>
      <c r="JVU1" s="643"/>
      <c r="JVV1" s="643"/>
      <c r="JVW1" s="643"/>
      <c r="JVX1" s="643"/>
      <c r="JVY1" s="643"/>
      <c r="JVZ1" s="643"/>
      <c r="JWA1" s="643"/>
      <c r="JWB1" s="643"/>
      <c r="JWC1" s="643"/>
      <c r="JWD1" s="643"/>
      <c r="JWE1" s="643"/>
      <c r="JWF1" s="643"/>
      <c r="JWG1" s="643"/>
      <c r="JWH1" s="643"/>
      <c r="JWI1" s="643"/>
      <c r="JWJ1" s="643"/>
      <c r="JWK1" s="643"/>
      <c r="JWL1" s="643"/>
      <c r="JWM1" s="643"/>
      <c r="JWN1" s="643"/>
      <c r="JWO1" s="643"/>
      <c r="JWP1" s="643"/>
      <c r="JWQ1" s="643"/>
      <c r="JWR1" s="643"/>
      <c r="JWS1" s="643"/>
      <c r="JWT1" s="643"/>
      <c r="JWU1" s="643"/>
      <c r="JWV1" s="643"/>
      <c r="JWW1" s="643"/>
      <c r="JWX1" s="643"/>
      <c r="JWY1" s="643"/>
      <c r="JWZ1" s="643"/>
      <c r="JXA1" s="643"/>
      <c r="JXB1" s="643"/>
      <c r="JXC1" s="643"/>
      <c r="JXD1" s="643"/>
      <c r="JXE1" s="643"/>
      <c r="JXF1" s="643"/>
      <c r="JXG1" s="643"/>
      <c r="JXH1" s="643"/>
      <c r="JXI1" s="643"/>
      <c r="JXJ1" s="643"/>
      <c r="JXK1" s="643"/>
      <c r="JXL1" s="643"/>
      <c r="JXM1" s="643"/>
      <c r="JXN1" s="643"/>
      <c r="JXO1" s="643"/>
      <c r="JXP1" s="643"/>
      <c r="JXQ1" s="643"/>
      <c r="JXR1" s="643"/>
      <c r="JXS1" s="643"/>
      <c r="JXT1" s="643"/>
      <c r="JXU1" s="643"/>
      <c r="JXV1" s="643"/>
      <c r="JXW1" s="643"/>
      <c r="JXX1" s="643"/>
      <c r="JXY1" s="643"/>
      <c r="JXZ1" s="643"/>
      <c r="JYA1" s="643"/>
      <c r="JYB1" s="643"/>
      <c r="JYC1" s="643"/>
      <c r="JYD1" s="643"/>
      <c r="JYE1" s="643"/>
      <c r="JYF1" s="643"/>
      <c r="JYG1" s="643"/>
      <c r="JYH1" s="643"/>
      <c r="JYI1" s="643"/>
      <c r="JYJ1" s="643"/>
      <c r="JYK1" s="643"/>
      <c r="JYL1" s="643"/>
      <c r="JYM1" s="643"/>
      <c r="JYN1" s="643"/>
      <c r="JYO1" s="643"/>
      <c r="JYP1" s="643"/>
      <c r="JYQ1" s="643"/>
      <c r="JYR1" s="643"/>
      <c r="JYS1" s="643"/>
      <c r="JYT1" s="643"/>
      <c r="JYU1" s="643"/>
      <c r="JYV1" s="643"/>
      <c r="JYW1" s="643"/>
      <c r="JYX1" s="643"/>
      <c r="JYY1" s="643"/>
      <c r="JYZ1" s="643"/>
      <c r="JZA1" s="643"/>
      <c r="JZB1" s="643"/>
      <c r="JZC1" s="643"/>
      <c r="JZD1" s="643"/>
      <c r="JZE1" s="643"/>
      <c r="JZF1" s="643"/>
      <c r="JZG1" s="643"/>
      <c r="JZH1" s="643"/>
      <c r="JZI1" s="643"/>
      <c r="JZJ1" s="643"/>
      <c r="JZK1" s="643"/>
      <c r="JZL1" s="643"/>
      <c r="JZM1" s="643"/>
      <c r="JZN1" s="643"/>
      <c r="JZO1" s="643"/>
      <c r="JZP1" s="643"/>
      <c r="JZQ1" s="643"/>
      <c r="JZR1" s="643"/>
      <c r="JZS1" s="643"/>
      <c r="JZT1" s="643"/>
      <c r="JZU1" s="643"/>
      <c r="JZV1" s="643"/>
      <c r="JZW1" s="643"/>
      <c r="JZX1" s="643"/>
      <c r="JZY1" s="643"/>
      <c r="JZZ1" s="643"/>
      <c r="KAA1" s="643"/>
      <c r="KAB1" s="643"/>
      <c r="KAC1" s="643"/>
      <c r="KAD1" s="643"/>
      <c r="KAE1" s="643"/>
      <c r="KAF1" s="643"/>
      <c r="KAG1" s="643"/>
      <c r="KAH1" s="643"/>
      <c r="KAI1" s="643"/>
      <c r="KAJ1" s="643"/>
      <c r="KAK1" s="643"/>
      <c r="KAL1" s="643"/>
      <c r="KAM1" s="643"/>
      <c r="KAN1" s="643"/>
      <c r="KAO1" s="643"/>
      <c r="KAP1" s="643"/>
      <c r="KAQ1" s="643"/>
      <c r="KAR1" s="643"/>
      <c r="KAS1" s="643"/>
      <c r="KAT1" s="643"/>
      <c r="KAU1" s="643"/>
      <c r="KAV1" s="643"/>
      <c r="KAW1" s="643"/>
      <c r="KAX1" s="643"/>
      <c r="KAY1" s="643"/>
      <c r="KAZ1" s="643"/>
      <c r="KBA1" s="643"/>
      <c r="KBB1" s="643"/>
      <c r="KBC1" s="643"/>
      <c r="KBD1" s="643"/>
      <c r="KBE1" s="643"/>
      <c r="KBF1" s="643"/>
      <c r="KBG1" s="643"/>
      <c r="KBH1" s="643"/>
      <c r="KBI1" s="643"/>
      <c r="KBJ1" s="643"/>
      <c r="KBK1" s="643"/>
      <c r="KBL1" s="643"/>
      <c r="KBM1" s="643"/>
      <c r="KBN1" s="643"/>
      <c r="KBO1" s="643"/>
      <c r="KBP1" s="643"/>
      <c r="KBQ1" s="643"/>
      <c r="KBR1" s="643"/>
      <c r="KBS1" s="643"/>
      <c r="KBT1" s="643"/>
      <c r="KBU1" s="643"/>
      <c r="KBV1" s="643"/>
      <c r="KBW1" s="643"/>
      <c r="KBX1" s="643"/>
      <c r="KBY1" s="643"/>
      <c r="KBZ1" s="643"/>
      <c r="KCA1" s="643"/>
      <c r="KCB1" s="643"/>
      <c r="KCC1" s="643"/>
      <c r="KCD1" s="643"/>
      <c r="KCE1" s="643"/>
      <c r="KCF1" s="643"/>
      <c r="KCG1" s="643"/>
      <c r="KCH1" s="643"/>
      <c r="KCI1" s="643"/>
      <c r="KCJ1" s="643"/>
      <c r="KCK1" s="643"/>
      <c r="KCL1" s="643"/>
      <c r="KCM1" s="643"/>
      <c r="KCN1" s="643"/>
      <c r="KCO1" s="643"/>
      <c r="KCP1" s="643"/>
      <c r="KCQ1" s="643"/>
      <c r="KCR1" s="643"/>
      <c r="KCS1" s="643"/>
      <c r="KCT1" s="643"/>
      <c r="KCU1" s="643"/>
      <c r="KCV1" s="643"/>
      <c r="KCW1" s="643"/>
      <c r="KCX1" s="643"/>
      <c r="KCY1" s="643"/>
      <c r="KCZ1" s="643"/>
      <c r="KDA1" s="643"/>
      <c r="KDB1" s="643"/>
      <c r="KDC1" s="643"/>
      <c r="KDD1" s="643"/>
      <c r="KDE1" s="643"/>
      <c r="KDF1" s="643"/>
      <c r="KDG1" s="643"/>
      <c r="KDH1" s="643"/>
      <c r="KDI1" s="643"/>
      <c r="KDJ1" s="643"/>
      <c r="KDK1" s="643"/>
      <c r="KDL1" s="643"/>
      <c r="KDM1" s="643"/>
      <c r="KDN1" s="643"/>
      <c r="KDO1" s="643"/>
      <c r="KDP1" s="643"/>
      <c r="KDQ1" s="643"/>
      <c r="KDR1" s="643"/>
      <c r="KDS1" s="643"/>
      <c r="KDT1" s="643"/>
      <c r="KDU1" s="643"/>
      <c r="KDV1" s="643"/>
      <c r="KDW1" s="643"/>
      <c r="KDX1" s="643"/>
      <c r="KDY1" s="643"/>
      <c r="KDZ1" s="643"/>
      <c r="KEA1" s="643"/>
      <c r="KEB1" s="643"/>
      <c r="KEC1" s="643"/>
      <c r="KED1" s="643"/>
      <c r="KEE1" s="643"/>
      <c r="KEF1" s="643"/>
      <c r="KEG1" s="643"/>
      <c r="KEH1" s="643"/>
      <c r="KEI1" s="643"/>
      <c r="KEJ1" s="643"/>
      <c r="KEK1" s="643"/>
      <c r="KEL1" s="643"/>
      <c r="KEM1" s="643"/>
      <c r="KEN1" s="643"/>
      <c r="KEO1" s="643"/>
      <c r="KEP1" s="643"/>
      <c r="KEQ1" s="643"/>
      <c r="KER1" s="643"/>
      <c r="KES1" s="643"/>
      <c r="KET1" s="643"/>
      <c r="KEU1" s="643"/>
      <c r="KEV1" s="643"/>
      <c r="KEW1" s="643"/>
      <c r="KEX1" s="643"/>
      <c r="KEY1" s="643"/>
      <c r="KEZ1" s="643"/>
      <c r="KFA1" s="643"/>
      <c r="KFB1" s="643"/>
      <c r="KFC1" s="643"/>
      <c r="KFD1" s="643"/>
      <c r="KFE1" s="643"/>
      <c r="KFF1" s="643"/>
      <c r="KFG1" s="643"/>
      <c r="KFH1" s="643"/>
      <c r="KFI1" s="643"/>
      <c r="KFJ1" s="643"/>
      <c r="KFK1" s="643"/>
      <c r="KFL1" s="643"/>
      <c r="KFM1" s="643"/>
      <c r="KFN1" s="643"/>
      <c r="KFO1" s="643"/>
      <c r="KFP1" s="643"/>
      <c r="KFQ1" s="643"/>
      <c r="KFR1" s="643"/>
      <c r="KFS1" s="643"/>
      <c r="KFT1" s="643"/>
      <c r="KFU1" s="643"/>
      <c r="KFV1" s="643"/>
      <c r="KFW1" s="643"/>
      <c r="KFX1" s="643"/>
      <c r="KFY1" s="643"/>
      <c r="KFZ1" s="643"/>
      <c r="KGA1" s="643"/>
      <c r="KGB1" s="643"/>
      <c r="KGC1" s="643"/>
      <c r="KGD1" s="643"/>
      <c r="KGE1" s="643"/>
      <c r="KGF1" s="643"/>
      <c r="KGG1" s="643"/>
      <c r="KGH1" s="643"/>
      <c r="KGI1" s="643"/>
      <c r="KGJ1" s="643"/>
      <c r="KGK1" s="643"/>
      <c r="KGL1" s="643"/>
      <c r="KGM1" s="643"/>
      <c r="KGN1" s="643"/>
      <c r="KGO1" s="643"/>
      <c r="KGP1" s="643"/>
      <c r="KGQ1" s="643"/>
      <c r="KGR1" s="643"/>
      <c r="KGS1" s="643"/>
      <c r="KGT1" s="643"/>
      <c r="KGU1" s="643"/>
      <c r="KGV1" s="643"/>
      <c r="KGW1" s="643"/>
      <c r="KGX1" s="643"/>
      <c r="KGY1" s="643"/>
      <c r="KGZ1" s="643"/>
      <c r="KHA1" s="643"/>
      <c r="KHB1" s="643"/>
      <c r="KHC1" s="643"/>
      <c r="KHD1" s="643"/>
      <c r="KHE1" s="643"/>
      <c r="KHF1" s="643"/>
      <c r="KHG1" s="643"/>
      <c r="KHH1" s="643"/>
      <c r="KHI1" s="643"/>
      <c r="KHJ1" s="643"/>
      <c r="KHK1" s="643"/>
      <c r="KHL1" s="643"/>
      <c r="KHM1" s="643"/>
      <c r="KHN1" s="643"/>
      <c r="KHO1" s="643"/>
      <c r="KHP1" s="643"/>
      <c r="KHQ1" s="643"/>
      <c r="KHR1" s="643"/>
      <c r="KHS1" s="643"/>
      <c r="KHT1" s="643"/>
      <c r="KHU1" s="643"/>
      <c r="KHV1" s="643"/>
      <c r="KHW1" s="643"/>
      <c r="KHX1" s="643"/>
      <c r="KHY1" s="643"/>
      <c r="KHZ1" s="643"/>
      <c r="KIA1" s="643"/>
      <c r="KIB1" s="643"/>
      <c r="KIC1" s="643"/>
      <c r="KID1" s="643"/>
      <c r="KIE1" s="643"/>
      <c r="KIF1" s="643"/>
      <c r="KIG1" s="643"/>
      <c r="KIH1" s="643"/>
      <c r="KII1" s="643"/>
      <c r="KIJ1" s="643"/>
      <c r="KIK1" s="643"/>
      <c r="KIL1" s="643"/>
      <c r="KIM1" s="643"/>
      <c r="KIN1" s="643"/>
      <c r="KIO1" s="643"/>
      <c r="KIP1" s="643"/>
      <c r="KIQ1" s="643"/>
      <c r="KIR1" s="643"/>
      <c r="KIS1" s="643"/>
      <c r="KIT1" s="643"/>
      <c r="KIU1" s="643"/>
      <c r="KIV1" s="643"/>
      <c r="KIW1" s="643"/>
      <c r="KIX1" s="643"/>
      <c r="KIY1" s="643"/>
      <c r="KIZ1" s="643"/>
      <c r="KJA1" s="643"/>
      <c r="KJB1" s="643"/>
      <c r="KJC1" s="643"/>
      <c r="KJD1" s="643"/>
      <c r="KJE1" s="643"/>
      <c r="KJF1" s="643"/>
      <c r="KJG1" s="643"/>
      <c r="KJH1" s="643"/>
      <c r="KJI1" s="643"/>
      <c r="KJJ1" s="643"/>
      <c r="KJK1" s="643"/>
      <c r="KJL1" s="643"/>
      <c r="KJM1" s="643"/>
      <c r="KJN1" s="643"/>
      <c r="KJO1" s="643"/>
      <c r="KJP1" s="643"/>
      <c r="KJQ1" s="643"/>
      <c r="KJR1" s="643"/>
      <c r="KJS1" s="643"/>
      <c r="KJT1" s="643"/>
      <c r="KJU1" s="643"/>
      <c r="KJV1" s="643"/>
      <c r="KJW1" s="643"/>
      <c r="KJX1" s="643"/>
      <c r="KJY1" s="643"/>
      <c r="KJZ1" s="643"/>
      <c r="KKA1" s="643"/>
      <c r="KKB1" s="643"/>
      <c r="KKC1" s="643"/>
      <c r="KKD1" s="643"/>
      <c r="KKE1" s="643"/>
      <c r="KKF1" s="643"/>
      <c r="KKG1" s="643"/>
      <c r="KKH1" s="643"/>
      <c r="KKI1" s="643"/>
      <c r="KKJ1" s="643"/>
      <c r="KKK1" s="643"/>
      <c r="KKL1" s="643"/>
      <c r="KKM1" s="643"/>
      <c r="KKN1" s="643"/>
      <c r="KKO1" s="643"/>
      <c r="KKP1" s="643"/>
      <c r="KKQ1" s="643"/>
      <c r="KKR1" s="643"/>
      <c r="KKS1" s="643"/>
      <c r="KKT1" s="643"/>
      <c r="KKU1" s="643"/>
      <c r="KKV1" s="643"/>
      <c r="KKW1" s="643"/>
      <c r="KKX1" s="643"/>
      <c r="KKY1" s="643"/>
      <c r="KKZ1" s="643"/>
      <c r="KLA1" s="643"/>
      <c r="KLB1" s="643"/>
      <c r="KLC1" s="643"/>
      <c r="KLD1" s="643"/>
      <c r="KLE1" s="643"/>
      <c r="KLF1" s="643"/>
      <c r="KLG1" s="643"/>
      <c r="KLH1" s="643"/>
      <c r="KLI1" s="643"/>
      <c r="KLJ1" s="643"/>
      <c r="KLK1" s="643"/>
      <c r="KLL1" s="643"/>
      <c r="KLM1" s="643"/>
      <c r="KLN1" s="643"/>
      <c r="KLO1" s="643"/>
      <c r="KLP1" s="643"/>
      <c r="KLQ1" s="643"/>
      <c r="KLR1" s="643"/>
      <c r="KLS1" s="643"/>
      <c r="KLT1" s="643"/>
      <c r="KLU1" s="643"/>
      <c r="KLV1" s="643"/>
      <c r="KLW1" s="643"/>
      <c r="KLX1" s="643"/>
      <c r="KLY1" s="643"/>
      <c r="KLZ1" s="643"/>
      <c r="KMA1" s="643"/>
      <c r="KMB1" s="643"/>
      <c r="KMC1" s="643"/>
      <c r="KMD1" s="643"/>
      <c r="KME1" s="643"/>
      <c r="KMF1" s="643"/>
      <c r="KMG1" s="643"/>
      <c r="KMH1" s="643"/>
      <c r="KMI1" s="643"/>
      <c r="KMJ1" s="643"/>
      <c r="KMK1" s="643"/>
      <c r="KML1" s="643"/>
      <c r="KMM1" s="643"/>
      <c r="KMN1" s="643"/>
      <c r="KMO1" s="643"/>
      <c r="KMP1" s="643"/>
      <c r="KMQ1" s="643"/>
      <c r="KMR1" s="643"/>
      <c r="KMS1" s="643"/>
      <c r="KMT1" s="643"/>
      <c r="KMU1" s="643"/>
      <c r="KMV1" s="643"/>
      <c r="KMW1" s="643"/>
      <c r="KMX1" s="643"/>
      <c r="KMY1" s="643"/>
      <c r="KMZ1" s="643"/>
      <c r="KNA1" s="643"/>
      <c r="KNB1" s="643"/>
      <c r="KNC1" s="643"/>
      <c r="KND1" s="643"/>
      <c r="KNE1" s="643"/>
      <c r="KNF1" s="643"/>
      <c r="KNG1" s="643"/>
      <c r="KNH1" s="643"/>
      <c r="KNI1" s="643"/>
      <c r="KNJ1" s="643"/>
      <c r="KNK1" s="643"/>
      <c r="KNL1" s="643"/>
      <c r="KNM1" s="643"/>
      <c r="KNN1" s="643"/>
      <c r="KNO1" s="643"/>
      <c r="KNP1" s="643"/>
      <c r="KNQ1" s="643"/>
      <c r="KNR1" s="643"/>
      <c r="KNS1" s="643"/>
      <c r="KNT1" s="643"/>
      <c r="KNU1" s="643"/>
      <c r="KNV1" s="643"/>
      <c r="KNW1" s="643"/>
      <c r="KNX1" s="643"/>
      <c r="KNY1" s="643"/>
      <c r="KNZ1" s="643"/>
      <c r="KOA1" s="643"/>
      <c r="KOB1" s="643"/>
      <c r="KOC1" s="643"/>
      <c r="KOD1" s="643"/>
      <c r="KOE1" s="643"/>
      <c r="KOF1" s="643"/>
      <c r="KOG1" s="643"/>
      <c r="KOH1" s="643"/>
      <c r="KOI1" s="643"/>
      <c r="KOJ1" s="643"/>
      <c r="KOK1" s="643"/>
      <c r="KOL1" s="643"/>
      <c r="KOM1" s="643"/>
      <c r="KON1" s="643"/>
      <c r="KOO1" s="643"/>
      <c r="KOP1" s="643"/>
      <c r="KOQ1" s="643"/>
      <c r="KOR1" s="643"/>
      <c r="KOS1" s="643"/>
      <c r="KOT1" s="643"/>
      <c r="KOU1" s="643"/>
      <c r="KOV1" s="643"/>
      <c r="KOW1" s="643"/>
      <c r="KOX1" s="643"/>
      <c r="KOY1" s="643"/>
      <c r="KOZ1" s="643"/>
      <c r="KPA1" s="643"/>
      <c r="KPB1" s="643"/>
      <c r="KPC1" s="643"/>
      <c r="KPD1" s="643"/>
      <c r="KPE1" s="643"/>
      <c r="KPF1" s="643"/>
      <c r="KPG1" s="643"/>
      <c r="KPH1" s="643"/>
      <c r="KPI1" s="643"/>
      <c r="KPJ1" s="643"/>
      <c r="KPK1" s="643"/>
      <c r="KPL1" s="643"/>
      <c r="KPM1" s="643"/>
      <c r="KPN1" s="643"/>
      <c r="KPO1" s="643"/>
      <c r="KPP1" s="643"/>
      <c r="KPQ1" s="643"/>
      <c r="KPR1" s="643"/>
      <c r="KPS1" s="643"/>
      <c r="KPT1" s="643"/>
      <c r="KPU1" s="643"/>
      <c r="KPV1" s="643"/>
      <c r="KPW1" s="643"/>
      <c r="KPX1" s="643"/>
      <c r="KPY1" s="643"/>
      <c r="KPZ1" s="643"/>
      <c r="KQA1" s="643"/>
      <c r="KQB1" s="643"/>
      <c r="KQC1" s="643"/>
      <c r="KQD1" s="643"/>
      <c r="KQE1" s="643"/>
      <c r="KQF1" s="643"/>
      <c r="KQG1" s="643"/>
      <c r="KQH1" s="643"/>
      <c r="KQI1" s="643"/>
      <c r="KQJ1" s="643"/>
      <c r="KQK1" s="643"/>
      <c r="KQL1" s="643"/>
      <c r="KQM1" s="643"/>
      <c r="KQN1" s="643"/>
      <c r="KQO1" s="643"/>
      <c r="KQP1" s="643"/>
      <c r="KQQ1" s="643"/>
      <c r="KQR1" s="643"/>
      <c r="KQS1" s="643"/>
      <c r="KQT1" s="643"/>
      <c r="KQU1" s="643"/>
      <c r="KQV1" s="643"/>
      <c r="KQW1" s="643"/>
      <c r="KQX1" s="643"/>
      <c r="KQY1" s="643"/>
      <c r="KQZ1" s="643"/>
      <c r="KRA1" s="643"/>
      <c r="KRB1" s="643"/>
      <c r="KRC1" s="643"/>
      <c r="KRD1" s="643"/>
      <c r="KRE1" s="643"/>
      <c r="KRF1" s="643"/>
      <c r="KRG1" s="643"/>
      <c r="KRH1" s="643"/>
      <c r="KRI1" s="643"/>
      <c r="KRJ1" s="643"/>
      <c r="KRK1" s="643"/>
      <c r="KRL1" s="643"/>
      <c r="KRM1" s="643"/>
      <c r="KRN1" s="643"/>
      <c r="KRO1" s="643"/>
      <c r="KRP1" s="643"/>
      <c r="KRQ1" s="643"/>
      <c r="KRR1" s="643"/>
      <c r="KRS1" s="643"/>
      <c r="KRT1" s="643"/>
      <c r="KRU1" s="643"/>
      <c r="KRV1" s="643"/>
      <c r="KRW1" s="643"/>
      <c r="KRX1" s="643"/>
      <c r="KRY1" s="643"/>
      <c r="KRZ1" s="643"/>
      <c r="KSA1" s="643"/>
      <c r="KSB1" s="643"/>
      <c r="KSC1" s="643"/>
      <c r="KSD1" s="643"/>
      <c r="KSE1" s="643"/>
      <c r="KSF1" s="643"/>
      <c r="KSG1" s="643"/>
      <c r="KSH1" s="643"/>
      <c r="KSI1" s="643"/>
      <c r="KSJ1" s="643"/>
      <c r="KSK1" s="643"/>
      <c r="KSL1" s="643"/>
      <c r="KSM1" s="643"/>
      <c r="KSN1" s="643"/>
      <c r="KSO1" s="643"/>
      <c r="KSP1" s="643"/>
      <c r="KSQ1" s="643"/>
      <c r="KSR1" s="643"/>
      <c r="KSS1" s="643"/>
      <c r="KST1" s="643"/>
      <c r="KSU1" s="643"/>
      <c r="KSV1" s="643"/>
      <c r="KSW1" s="643"/>
      <c r="KSX1" s="643"/>
      <c r="KSY1" s="643"/>
      <c r="KSZ1" s="643"/>
      <c r="KTA1" s="643"/>
      <c r="KTB1" s="643"/>
      <c r="KTC1" s="643"/>
      <c r="KTD1" s="643"/>
      <c r="KTE1" s="643"/>
      <c r="KTF1" s="643"/>
      <c r="KTG1" s="643"/>
      <c r="KTH1" s="643"/>
      <c r="KTI1" s="643"/>
      <c r="KTJ1" s="643"/>
      <c r="KTK1" s="643"/>
      <c r="KTL1" s="643"/>
      <c r="KTM1" s="643"/>
      <c r="KTN1" s="643"/>
      <c r="KTO1" s="643"/>
      <c r="KTP1" s="643"/>
      <c r="KTQ1" s="643"/>
      <c r="KTR1" s="643"/>
      <c r="KTS1" s="643"/>
      <c r="KTT1" s="643"/>
      <c r="KTU1" s="643"/>
      <c r="KTV1" s="643"/>
      <c r="KTW1" s="643"/>
      <c r="KTX1" s="643"/>
      <c r="KTY1" s="643"/>
      <c r="KTZ1" s="643"/>
      <c r="KUA1" s="643"/>
      <c r="KUB1" s="643"/>
      <c r="KUC1" s="643"/>
      <c r="KUD1" s="643"/>
      <c r="KUE1" s="643"/>
      <c r="KUF1" s="643"/>
      <c r="KUG1" s="643"/>
      <c r="KUH1" s="643"/>
      <c r="KUI1" s="643"/>
      <c r="KUJ1" s="643"/>
      <c r="KUK1" s="643"/>
      <c r="KUL1" s="643"/>
      <c r="KUM1" s="643"/>
      <c r="KUN1" s="643"/>
      <c r="KUO1" s="643"/>
      <c r="KUP1" s="643"/>
      <c r="KUQ1" s="643"/>
      <c r="KUR1" s="643"/>
      <c r="KUS1" s="643"/>
      <c r="KUT1" s="643"/>
      <c r="KUU1" s="643"/>
      <c r="KUV1" s="643"/>
      <c r="KUW1" s="643"/>
      <c r="KUX1" s="643"/>
      <c r="KUY1" s="643"/>
      <c r="KUZ1" s="643"/>
      <c r="KVA1" s="643"/>
      <c r="KVB1" s="643"/>
      <c r="KVC1" s="643"/>
      <c r="KVD1" s="643"/>
      <c r="KVE1" s="643"/>
      <c r="KVF1" s="643"/>
      <c r="KVG1" s="643"/>
      <c r="KVH1" s="643"/>
      <c r="KVI1" s="643"/>
      <c r="KVJ1" s="643"/>
      <c r="KVK1" s="643"/>
      <c r="KVL1" s="643"/>
      <c r="KVM1" s="643"/>
      <c r="KVN1" s="643"/>
      <c r="KVO1" s="643"/>
      <c r="KVP1" s="643"/>
      <c r="KVQ1" s="643"/>
      <c r="KVR1" s="643"/>
      <c r="KVS1" s="643"/>
      <c r="KVT1" s="643"/>
      <c r="KVU1" s="643"/>
      <c r="KVV1" s="643"/>
      <c r="KVW1" s="643"/>
      <c r="KVX1" s="643"/>
      <c r="KVY1" s="643"/>
      <c r="KVZ1" s="643"/>
      <c r="KWA1" s="643"/>
      <c r="KWB1" s="643"/>
      <c r="KWC1" s="643"/>
      <c r="KWD1" s="643"/>
      <c r="KWE1" s="643"/>
      <c r="KWF1" s="643"/>
      <c r="KWG1" s="643"/>
      <c r="KWH1" s="643"/>
      <c r="KWI1" s="643"/>
      <c r="KWJ1" s="643"/>
      <c r="KWK1" s="643"/>
      <c r="KWL1" s="643"/>
      <c r="KWM1" s="643"/>
      <c r="KWN1" s="643"/>
      <c r="KWO1" s="643"/>
      <c r="KWP1" s="643"/>
      <c r="KWQ1" s="643"/>
      <c r="KWR1" s="643"/>
      <c r="KWS1" s="643"/>
      <c r="KWT1" s="643"/>
      <c r="KWU1" s="643"/>
      <c r="KWV1" s="643"/>
      <c r="KWW1" s="643"/>
      <c r="KWX1" s="643"/>
      <c r="KWY1" s="643"/>
      <c r="KWZ1" s="643"/>
      <c r="KXA1" s="643"/>
      <c r="KXB1" s="643"/>
      <c r="KXC1" s="643"/>
      <c r="KXD1" s="643"/>
      <c r="KXE1" s="643"/>
      <c r="KXF1" s="643"/>
      <c r="KXG1" s="643"/>
      <c r="KXH1" s="643"/>
      <c r="KXI1" s="643"/>
      <c r="KXJ1" s="643"/>
      <c r="KXK1" s="643"/>
      <c r="KXL1" s="643"/>
      <c r="KXM1" s="643"/>
      <c r="KXN1" s="643"/>
      <c r="KXO1" s="643"/>
      <c r="KXP1" s="643"/>
      <c r="KXQ1" s="643"/>
      <c r="KXR1" s="643"/>
      <c r="KXS1" s="643"/>
      <c r="KXT1" s="643"/>
      <c r="KXU1" s="643"/>
      <c r="KXV1" s="643"/>
      <c r="KXW1" s="643"/>
      <c r="KXX1" s="643"/>
      <c r="KXY1" s="643"/>
      <c r="KXZ1" s="643"/>
      <c r="KYA1" s="643"/>
      <c r="KYB1" s="643"/>
      <c r="KYC1" s="643"/>
      <c r="KYD1" s="643"/>
      <c r="KYE1" s="643"/>
      <c r="KYF1" s="643"/>
      <c r="KYG1" s="643"/>
      <c r="KYH1" s="643"/>
      <c r="KYI1" s="643"/>
      <c r="KYJ1" s="643"/>
      <c r="KYK1" s="643"/>
      <c r="KYL1" s="643"/>
      <c r="KYM1" s="643"/>
      <c r="KYN1" s="643"/>
      <c r="KYO1" s="643"/>
      <c r="KYP1" s="643"/>
      <c r="KYQ1" s="643"/>
      <c r="KYR1" s="643"/>
      <c r="KYS1" s="643"/>
      <c r="KYT1" s="643"/>
      <c r="KYU1" s="643"/>
      <c r="KYV1" s="643"/>
      <c r="KYW1" s="643"/>
      <c r="KYX1" s="643"/>
      <c r="KYY1" s="643"/>
      <c r="KYZ1" s="643"/>
      <c r="KZA1" s="643"/>
      <c r="KZB1" s="643"/>
      <c r="KZC1" s="643"/>
      <c r="KZD1" s="643"/>
      <c r="KZE1" s="643"/>
      <c r="KZF1" s="643"/>
      <c r="KZG1" s="643"/>
      <c r="KZH1" s="643"/>
      <c r="KZI1" s="643"/>
      <c r="KZJ1" s="643"/>
      <c r="KZK1" s="643"/>
      <c r="KZL1" s="643"/>
      <c r="KZM1" s="643"/>
      <c r="KZN1" s="643"/>
      <c r="KZO1" s="643"/>
      <c r="KZP1" s="643"/>
      <c r="KZQ1" s="643"/>
      <c r="KZR1" s="643"/>
      <c r="KZS1" s="643"/>
      <c r="KZT1" s="643"/>
      <c r="KZU1" s="643"/>
      <c r="KZV1" s="643"/>
      <c r="KZW1" s="643"/>
      <c r="KZX1" s="643"/>
      <c r="KZY1" s="643"/>
      <c r="KZZ1" s="643"/>
      <c r="LAA1" s="643"/>
      <c r="LAB1" s="643"/>
      <c r="LAC1" s="643"/>
      <c r="LAD1" s="643"/>
      <c r="LAE1" s="643"/>
      <c r="LAF1" s="643"/>
      <c r="LAG1" s="643"/>
      <c r="LAH1" s="643"/>
      <c r="LAI1" s="643"/>
      <c r="LAJ1" s="643"/>
      <c r="LAK1" s="643"/>
      <c r="LAL1" s="643"/>
      <c r="LAM1" s="643"/>
      <c r="LAN1" s="643"/>
      <c r="LAO1" s="643"/>
      <c r="LAP1" s="643"/>
      <c r="LAQ1" s="643"/>
      <c r="LAR1" s="643"/>
      <c r="LAS1" s="643"/>
      <c r="LAT1" s="643"/>
      <c r="LAU1" s="643"/>
      <c r="LAV1" s="643"/>
      <c r="LAW1" s="643"/>
      <c r="LAX1" s="643"/>
      <c r="LAY1" s="643"/>
      <c r="LAZ1" s="643"/>
      <c r="LBA1" s="643"/>
      <c r="LBB1" s="643"/>
      <c r="LBC1" s="643"/>
      <c r="LBD1" s="643"/>
      <c r="LBE1" s="643"/>
      <c r="LBF1" s="643"/>
      <c r="LBG1" s="643"/>
      <c r="LBH1" s="643"/>
      <c r="LBI1" s="643"/>
      <c r="LBJ1" s="643"/>
      <c r="LBK1" s="643"/>
      <c r="LBL1" s="643"/>
      <c r="LBM1" s="643"/>
      <c r="LBN1" s="643"/>
      <c r="LBO1" s="643"/>
      <c r="LBP1" s="643"/>
      <c r="LBQ1" s="643"/>
      <c r="LBR1" s="643"/>
      <c r="LBS1" s="643"/>
      <c r="LBT1" s="643"/>
      <c r="LBU1" s="643"/>
      <c r="LBV1" s="643"/>
      <c r="LBW1" s="643"/>
      <c r="LBX1" s="643"/>
      <c r="LBY1" s="643"/>
      <c r="LBZ1" s="643"/>
      <c r="LCA1" s="643"/>
      <c r="LCB1" s="643"/>
      <c r="LCC1" s="643"/>
      <c r="LCD1" s="643"/>
      <c r="LCE1" s="643"/>
      <c r="LCF1" s="643"/>
      <c r="LCG1" s="643"/>
      <c r="LCH1" s="643"/>
      <c r="LCI1" s="643"/>
      <c r="LCJ1" s="643"/>
      <c r="LCK1" s="643"/>
      <c r="LCL1" s="643"/>
      <c r="LCM1" s="643"/>
      <c r="LCN1" s="643"/>
      <c r="LCO1" s="643"/>
      <c r="LCP1" s="643"/>
      <c r="LCQ1" s="643"/>
      <c r="LCR1" s="643"/>
      <c r="LCS1" s="643"/>
      <c r="LCT1" s="643"/>
      <c r="LCU1" s="643"/>
      <c r="LCV1" s="643"/>
      <c r="LCW1" s="643"/>
      <c r="LCX1" s="643"/>
      <c r="LCY1" s="643"/>
      <c r="LCZ1" s="643"/>
      <c r="LDA1" s="643"/>
      <c r="LDB1" s="643"/>
      <c r="LDC1" s="643"/>
      <c r="LDD1" s="643"/>
      <c r="LDE1" s="643"/>
      <c r="LDF1" s="643"/>
      <c r="LDG1" s="643"/>
      <c r="LDH1" s="643"/>
      <c r="LDI1" s="643"/>
      <c r="LDJ1" s="643"/>
      <c r="LDK1" s="643"/>
      <c r="LDL1" s="643"/>
      <c r="LDM1" s="643"/>
      <c r="LDN1" s="643"/>
      <c r="LDO1" s="643"/>
      <c r="LDP1" s="643"/>
      <c r="LDQ1" s="643"/>
      <c r="LDR1" s="643"/>
      <c r="LDS1" s="643"/>
      <c r="LDT1" s="643"/>
      <c r="LDU1" s="643"/>
      <c r="LDV1" s="643"/>
      <c r="LDW1" s="643"/>
      <c r="LDX1" s="643"/>
      <c r="LDY1" s="643"/>
      <c r="LDZ1" s="643"/>
      <c r="LEA1" s="643"/>
      <c r="LEB1" s="643"/>
      <c r="LEC1" s="643"/>
      <c r="LED1" s="643"/>
      <c r="LEE1" s="643"/>
      <c r="LEF1" s="643"/>
      <c r="LEG1" s="643"/>
      <c r="LEH1" s="643"/>
      <c r="LEI1" s="643"/>
      <c r="LEJ1" s="643"/>
      <c r="LEK1" s="643"/>
      <c r="LEL1" s="643"/>
      <c r="LEM1" s="643"/>
      <c r="LEN1" s="643"/>
      <c r="LEO1" s="643"/>
      <c r="LEP1" s="643"/>
      <c r="LEQ1" s="643"/>
      <c r="LER1" s="643"/>
      <c r="LES1" s="643"/>
      <c r="LET1" s="643"/>
      <c r="LEU1" s="643"/>
      <c r="LEV1" s="643"/>
      <c r="LEW1" s="643"/>
      <c r="LEX1" s="643"/>
      <c r="LEY1" s="643"/>
      <c r="LEZ1" s="643"/>
      <c r="LFA1" s="643"/>
      <c r="LFB1" s="643"/>
      <c r="LFC1" s="643"/>
      <c r="LFD1" s="643"/>
      <c r="LFE1" s="643"/>
      <c r="LFF1" s="643"/>
      <c r="LFG1" s="643"/>
      <c r="LFH1" s="643"/>
      <c r="LFI1" s="643"/>
      <c r="LFJ1" s="643"/>
      <c r="LFK1" s="643"/>
      <c r="LFL1" s="643"/>
      <c r="LFM1" s="643"/>
      <c r="LFN1" s="643"/>
      <c r="LFO1" s="643"/>
      <c r="LFP1" s="643"/>
      <c r="LFQ1" s="643"/>
      <c r="LFR1" s="643"/>
      <c r="LFS1" s="643"/>
      <c r="LFT1" s="643"/>
      <c r="LFU1" s="643"/>
      <c r="LFV1" s="643"/>
      <c r="LFW1" s="643"/>
      <c r="LFX1" s="643"/>
      <c r="LFY1" s="643"/>
      <c r="LFZ1" s="643"/>
      <c r="LGA1" s="643"/>
      <c r="LGB1" s="643"/>
      <c r="LGC1" s="643"/>
      <c r="LGD1" s="643"/>
      <c r="LGE1" s="643"/>
      <c r="LGF1" s="643"/>
      <c r="LGG1" s="643"/>
      <c r="LGH1" s="643"/>
      <c r="LGI1" s="643"/>
      <c r="LGJ1" s="643"/>
      <c r="LGK1" s="643"/>
      <c r="LGL1" s="643"/>
      <c r="LGM1" s="643"/>
      <c r="LGN1" s="643"/>
      <c r="LGO1" s="643"/>
      <c r="LGP1" s="643"/>
      <c r="LGQ1" s="643"/>
      <c r="LGR1" s="643"/>
      <c r="LGS1" s="643"/>
      <c r="LGT1" s="643"/>
      <c r="LGU1" s="643"/>
      <c r="LGV1" s="643"/>
      <c r="LGW1" s="643"/>
      <c r="LGX1" s="643"/>
      <c r="LGY1" s="643"/>
      <c r="LGZ1" s="643"/>
      <c r="LHA1" s="643"/>
      <c r="LHB1" s="643"/>
      <c r="LHC1" s="643"/>
      <c r="LHD1" s="643"/>
      <c r="LHE1" s="643"/>
      <c r="LHF1" s="643"/>
      <c r="LHG1" s="643"/>
      <c r="LHH1" s="643"/>
      <c r="LHI1" s="643"/>
      <c r="LHJ1" s="643"/>
      <c r="LHK1" s="643"/>
      <c r="LHL1" s="643"/>
      <c r="LHM1" s="643"/>
      <c r="LHN1" s="643"/>
      <c r="LHO1" s="643"/>
      <c r="LHP1" s="643"/>
      <c r="LHQ1" s="643"/>
      <c r="LHR1" s="643"/>
      <c r="LHS1" s="643"/>
      <c r="LHT1" s="643"/>
      <c r="LHU1" s="643"/>
      <c r="LHV1" s="643"/>
      <c r="LHW1" s="643"/>
      <c r="LHX1" s="643"/>
      <c r="LHY1" s="643"/>
      <c r="LHZ1" s="643"/>
      <c r="LIA1" s="643"/>
      <c r="LIB1" s="643"/>
      <c r="LIC1" s="643"/>
      <c r="LID1" s="643"/>
      <c r="LIE1" s="643"/>
      <c r="LIF1" s="643"/>
      <c r="LIG1" s="643"/>
      <c r="LIH1" s="643"/>
      <c r="LII1" s="643"/>
      <c r="LIJ1" s="643"/>
      <c r="LIK1" s="643"/>
      <c r="LIL1" s="643"/>
      <c r="LIM1" s="643"/>
      <c r="LIN1" s="643"/>
      <c r="LIO1" s="643"/>
      <c r="LIP1" s="643"/>
      <c r="LIQ1" s="643"/>
      <c r="LIR1" s="643"/>
      <c r="LIS1" s="643"/>
      <c r="LIT1" s="643"/>
      <c r="LIU1" s="643"/>
      <c r="LIV1" s="643"/>
      <c r="LIW1" s="643"/>
      <c r="LIX1" s="643"/>
      <c r="LIY1" s="643"/>
      <c r="LIZ1" s="643"/>
      <c r="LJA1" s="643"/>
      <c r="LJB1" s="643"/>
      <c r="LJC1" s="643"/>
      <c r="LJD1" s="643"/>
      <c r="LJE1" s="643"/>
      <c r="LJF1" s="643"/>
      <c r="LJG1" s="643"/>
      <c r="LJH1" s="643"/>
      <c r="LJI1" s="643"/>
      <c r="LJJ1" s="643"/>
      <c r="LJK1" s="643"/>
      <c r="LJL1" s="643"/>
      <c r="LJM1" s="643"/>
      <c r="LJN1" s="643"/>
      <c r="LJO1" s="643"/>
      <c r="LJP1" s="643"/>
      <c r="LJQ1" s="643"/>
      <c r="LJR1" s="643"/>
      <c r="LJS1" s="643"/>
      <c r="LJT1" s="643"/>
      <c r="LJU1" s="643"/>
      <c r="LJV1" s="643"/>
      <c r="LJW1" s="643"/>
      <c r="LJX1" s="643"/>
      <c r="LJY1" s="643"/>
      <c r="LJZ1" s="643"/>
      <c r="LKA1" s="643"/>
      <c r="LKB1" s="643"/>
      <c r="LKC1" s="643"/>
      <c r="LKD1" s="643"/>
      <c r="LKE1" s="643"/>
      <c r="LKF1" s="643"/>
      <c r="LKG1" s="643"/>
      <c r="LKH1" s="643"/>
      <c r="LKI1" s="643"/>
      <c r="LKJ1" s="643"/>
      <c r="LKK1" s="643"/>
      <c r="LKL1" s="643"/>
      <c r="LKM1" s="643"/>
      <c r="LKN1" s="643"/>
      <c r="LKO1" s="643"/>
      <c r="LKP1" s="643"/>
      <c r="LKQ1" s="643"/>
      <c r="LKR1" s="643"/>
      <c r="LKS1" s="643"/>
      <c r="LKT1" s="643"/>
      <c r="LKU1" s="643"/>
      <c r="LKV1" s="643"/>
      <c r="LKW1" s="643"/>
      <c r="LKX1" s="643"/>
      <c r="LKY1" s="643"/>
      <c r="LKZ1" s="643"/>
      <c r="LLA1" s="643"/>
      <c r="LLB1" s="643"/>
      <c r="LLC1" s="643"/>
      <c r="LLD1" s="643"/>
      <c r="LLE1" s="643"/>
      <c r="LLF1" s="643"/>
      <c r="LLG1" s="643"/>
      <c r="LLH1" s="643"/>
      <c r="LLI1" s="643"/>
      <c r="LLJ1" s="643"/>
      <c r="LLK1" s="643"/>
      <c r="LLL1" s="643"/>
      <c r="LLM1" s="643"/>
      <c r="LLN1" s="643"/>
      <c r="LLO1" s="643"/>
      <c r="LLP1" s="643"/>
      <c r="LLQ1" s="643"/>
      <c r="LLR1" s="643"/>
      <c r="LLS1" s="643"/>
      <c r="LLT1" s="643"/>
      <c r="LLU1" s="643"/>
      <c r="LLV1" s="643"/>
      <c r="LLW1" s="643"/>
      <c r="LLX1" s="643"/>
      <c r="LLY1" s="643"/>
      <c r="LLZ1" s="643"/>
      <c r="LMA1" s="643"/>
      <c r="LMB1" s="643"/>
      <c r="LMC1" s="643"/>
      <c r="LMD1" s="643"/>
      <c r="LME1" s="643"/>
      <c r="LMF1" s="643"/>
      <c r="LMG1" s="643"/>
      <c r="LMH1" s="643"/>
      <c r="LMI1" s="643"/>
      <c r="LMJ1" s="643"/>
      <c r="LMK1" s="643"/>
      <c r="LML1" s="643"/>
      <c r="LMM1" s="643"/>
      <c r="LMN1" s="643"/>
      <c r="LMO1" s="643"/>
      <c r="LMP1" s="643"/>
      <c r="LMQ1" s="643"/>
      <c r="LMR1" s="643"/>
      <c r="LMS1" s="643"/>
      <c r="LMT1" s="643"/>
      <c r="LMU1" s="643"/>
      <c r="LMV1" s="643"/>
      <c r="LMW1" s="643"/>
      <c r="LMX1" s="643"/>
      <c r="LMY1" s="643"/>
      <c r="LMZ1" s="643"/>
      <c r="LNA1" s="643"/>
      <c r="LNB1" s="643"/>
      <c r="LNC1" s="643"/>
      <c r="LND1" s="643"/>
      <c r="LNE1" s="643"/>
      <c r="LNF1" s="643"/>
      <c r="LNG1" s="643"/>
      <c r="LNH1" s="643"/>
      <c r="LNI1" s="643"/>
      <c r="LNJ1" s="643"/>
      <c r="LNK1" s="643"/>
      <c r="LNL1" s="643"/>
      <c r="LNM1" s="643"/>
      <c r="LNN1" s="643"/>
      <c r="LNO1" s="643"/>
      <c r="LNP1" s="643"/>
      <c r="LNQ1" s="643"/>
      <c r="LNR1" s="643"/>
      <c r="LNS1" s="643"/>
      <c r="LNT1" s="643"/>
      <c r="LNU1" s="643"/>
      <c r="LNV1" s="643"/>
      <c r="LNW1" s="643"/>
      <c r="LNX1" s="643"/>
      <c r="LNY1" s="643"/>
      <c r="LNZ1" s="643"/>
      <c r="LOA1" s="643"/>
      <c r="LOB1" s="643"/>
      <c r="LOC1" s="643"/>
      <c r="LOD1" s="643"/>
      <c r="LOE1" s="643"/>
      <c r="LOF1" s="643"/>
      <c r="LOG1" s="643"/>
      <c r="LOH1" s="643"/>
      <c r="LOI1" s="643"/>
      <c r="LOJ1" s="643"/>
      <c r="LOK1" s="643"/>
      <c r="LOL1" s="643"/>
      <c r="LOM1" s="643"/>
      <c r="LON1" s="643"/>
      <c r="LOO1" s="643"/>
      <c r="LOP1" s="643"/>
      <c r="LOQ1" s="643"/>
      <c r="LOR1" s="643"/>
      <c r="LOS1" s="643"/>
      <c r="LOT1" s="643"/>
      <c r="LOU1" s="643"/>
      <c r="LOV1" s="643"/>
      <c r="LOW1" s="643"/>
      <c r="LOX1" s="643"/>
      <c r="LOY1" s="643"/>
      <c r="LOZ1" s="643"/>
      <c r="LPA1" s="643"/>
      <c r="LPB1" s="643"/>
      <c r="LPC1" s="643"/>
      <c r="LPD1" s="643"/>
      <c r="LPE1" s="643"/>
      <c r="LPF1" s="643"/>
      <c r="LPG1" s="643"/>
      <c r="LPH1" s="643"/>
      <c r="LPI1" s="643"/>
      <c r="LPJ1" s="643"/>
      <c r="LPK1" s="643"/>
      <c r="LPL1" s="643"/>
      <c r="LPM1" s="643"/>
      <c r="LPN1" s="643"/>
      <c r="LPO1" s="643"/>
      <c r="LPP1" s="643"/>
      <c r="LPQ1" s="643"/>
      <c r="LPR1" s="643"/>
      <c r="LPS1" s="643"/>
      <c r="LPT1" s="643"/>
      <c r="LPU1" s="643"/>
      <c r="LPV1" s="643"/>
      <c r="LPW1" s="643"/>
      <c r="LPX1" s="643"/>
      <c r="LPY1" s="643"/>
      <c r="LPZ1" s="643"/>
      <c r="LQA1" s="643"/>
      <c r="LQB1" s="643"/>
      <c r="LQC1" s="643"/>
      <c r="LQD1" s="643"/>
      <c r="LQE1" s="643"/>
      <c r="LQF1" s="643"/>
      <c r="LQG1" s="643"/>
      <c r="LQH1" s="643"/>
      <c r="LQI1" s="643"/>
      <c r="LQJ1" s="643"/>
      <c r="LQK1" s="643"/>
      <c r="LQL1" s="643"/>
      <c r="LQM1" s="643"/>
      <c r="LQN1" s="643"/>
      <c r="LQO1" s="643"/>
      <c r="LQP1" s="643"/>
      <c r="LQQ1" s="643"/>
      <c r="LQR1" s="643"/>
      <c r="LQS1" s="643"/>
      <c r="LQT1" s="643"/>
      <c r="LQU1" s="643"/>
      <c r="LQV1" s="643"/>
      <c r="LQW1" s="643"/>
      <c r="LQX1" s="643"/>
      <c r="LQY1" s="643"/>
      <c r="LQZ1" s="643"/>
      <c r="LRA1" s="643"/>
      <c r="LRB1" s="643"/>
      <c r="LRC1" s="643"/>
      <c r="LRD1" s="643"/>
      <c r="LRE1" s="643"/>
      <c r="LRF1" s="643"/>
      <c r="LRG1" s="643"/>
      <c r="LRH1" s="643"/>
      <c r="LRI1" s="643"/>
      <c r="LRJ1" s="643"/>
      <c r="LRK1" s="643"/>
      <c r="LRL1" s="643"/>
      <c r="LRM1" s="643"/>
      <c r="LRN1" s="643"/>
      <c r="LRO1" s="643"/>
      <c r="LRP1" s="643"/>
      <c r="LRQ1" s="643"/>
      <c r="LRR1" s="643"/>
      <c r="LRS1" s="643"/>
      <c r="LRT1" s="643"/>
      <c r="LRU1" s="643"/>
      <c r="LRV1" s="643"/>
      <c r="LRW1" s="643"/>
      <c r="LRX1" s="643"/>
      <c r="LRY1" s="643"/>
      <c r="LRZ1" s="643"/>
      <c r="LSA1" s="643"/>
      <c r="LSB1" s="643"/>
      <c r="LSC1" s="643"/>
      <c r="LSD1" s="643"/>
      <c r="LSE1" s="643"/>
      <c r="LSF1" s="643"/>
      <c r="LSG1" s="643"/>
      <c r="LSH1" s="643"/>
      <c r="LSI1" s="643"/>
      <c r="LSJ1" s="643"/>
      <c r="LSK1" s="643"/>
      <c r="LSL1" s="643"/>
      <c r="LSM1" s="643"/>
      <c r="LSN1" s="643"/>
      <c r="LSO1" s="643"/>
      <c r="LSP1" s="643"/>
      <c r="LSQ1" s="643"/>
      <c r="LSR1" s="643"/>
      <c r="LSS1" s="643"/>
      <c r="LST1" s="643"/>
      <c r="LSU1" s="643"/>
      <c r="LSV1" s="643"/>
      <c r="LSW1" s="643"/>
      <c r="LSX1" s="643"/>
      <c r="LSY1" s="643"/>
      <c r="LSZ1" s="643"/>
      <c r="LTA1" s="643"/>
      <c r="LTB1" s="643"/>
      <c r="LTC1" s="643"/>
      <c r="LTD1" s="643"/>
      <c r="LTE1" s="643"/>
      <c r="LTF1" s="643"/>
      <c r="LTG1" s="643"/>
      <c r="LTH1" s="643"/>
      <c r="LTI1" s="643"/>
      <c r="LTJ1" s="643"/>
      <c r="LTK1" s="643"/>
      <c r="LTL1" s="643"/>
      <c r="LTM1" s="643"/>
      <c r="LTN1" s="643"/>
      <c r="LTO1" s="643"/>
      <c r="LTP1" s="643"/>
      <c r="LTQ1" s="643"/>
      <c r="LTR1" s="643"/>
      <c r="LTS1" s="643"/>
      <c r="LTT1" s="643"/>
      <c r="LTU1" s="643"/>
      <c r="LTV1" s="643"/>
      <c r="LTW1" s="643"/>
      <c r="LTX1" s="643"/>
      <c r="LTY1" s="643"/>
      <c r="LTZ1" s="643"/>
      <c r="LUA1" s="643"/>
      <c r="LUB1" s="643"/>
      <c r="LUC1" s="643"/>
      <c r="LUD1" s="643"/>
      <c r="LUE1" s="643"/>
      <c r="LUF1" s="643"/>
      <c r="LUG1" s="643"/>
      <c r="LUH1" s="643"/>
      <c r="LUI1" s="643"/>
      <c r="LUJ1" s="643"/>
      <c r="LUK1" s="643"/>
      <c r="LUL1" s="643"/>
      <c r="LUM1" s="643"/>
      <c r="LUN1" s="643"/>
      <c r="LUO1" s="643"/>
      <c r="LUP1" s="643"/>
      <c r="LUQ1" s="643"/>
      <c r="LUR1" s="643"/>
      <c r="LUS1" s="643"/>
      <c r="LUT1" s="643"/>
      <c r="LUU1" s="643"/>
      <c r="LUV1" s="643"/>
      <c r="LUW1" s="643"/>
      <c r="LUX1" s="643"/>
      <c r="LUY1" s="643"/>
      <c r="LUZ1" s="643"/>
      <c r="LVA1" s="643"/>
      <c r="LVB1" s="643"/>
      <c r="LVC1" s="643"/>
      <c r="LVD1" s="643"/>
      <c r="LVE1" s="643"/>
      <c r="LVF1" s="643"/>
      <c r="LVG1" s="643"/>
      <c r="LVH1" s="643"/>
      <c r="LVI1" s="643"/>
      <c r="LVJ1" s="643"/>
      <c r="LVK1" s="643"/>
      <c r="LVL1" s="643"/>
      <c r="LVM1" s="643"/>
      <c r="LVN1" s="643"/>
      <c r="LVO1" s="643"/>
      <c r="LVP1" s="643"/>
      <c r="LVQ1" s="643"/>
      <c r="LVR1" s="643"/>
      <c r="LVS1" s="643"/>
      <c r="LVT1" s="643"/>
      <c r="LVU1" s="643"/>
      <c r="LVV1" s="643"/>
      <c r="LVW1" s="643"/>
      <c r="LVX1" s="643"/>
      <c r="LVY1" s="643"/>
      <c r="LVZ1" s="643"/>
      <c r="LWA1" s="643"/>
      <c r="LWB1" s="643"/>
      <c r="LWC1" s="643"/>
      <c r="LWD1" s="643"/>
      <c r="LWE1" s="643"/>
      <c r="LWF1" s="643"/>
      <c r="LWG1" s="643"/>
      <c r="LWH1" s="643"/>
      <c r="LWI1" s="643"/>
      <c r="LWJ1" s="643"/>
      <c r="LWK1" s="643"/>
      <c r="LWL1" s="643"/>
      <c r="LWM1" s="643"/>
      <c r="LWN1" s="643"/>
      <c r="LWO1" s="643"/>
      <c r="LWP1" s="643"/>
      <c r="LWQ1" s="643"/>
      <c r="LWR1" s="643"/>
      <c r="LWS1" s="643"/>
      <c r="LWT1" s="643"/>
      <c r="LWU1" s="643"/>
      <c r="LWV1" s="643"/>
      <c r="LWW1" s="643"/>
      <c r="LWX1" s="643"/>
      <c r="LWY1" s="643"/>
      <c r="LWZ1" s="643"/>
      <c r="LXA1" s="643"/>
      <c r="LXB1" s="643"/>
      <c r="LXC1" s="643"/>
      <c r="LXD1" s="643"/>
      <c r="LXE1" s="643"/>
      <c r="LXF1" s="643"/>
      <c r="LXG1" s="643"/>
      <c r="LXH1" s="643"/>
      <c r="LXI1" s="643"/>
      <c r="LXJ1" s="643"/>
      <c r="LXK1" s="643"/>
      <c r="LXL1" s="643"/>
      <c r="LXM1" s="643"/>
      <c r="LXN1" s="643"/>
      <c r="LXO1" s="643"/>
      <c r="LXP1" s="643"/>
      <c r="LXQ1" s="643"/>
      <c r="LXR1" s="643"/>
      <c r="LXS1" s="643"/>
      <c r="LXT1" s="643"/>
      <c r="LXU1" s="643"/>
      <c r="LXV1" s="643"/>
      <c r="LXW1" s="643"/>
      <c r="LXX1" s="643"/>
      <c r="LXY1" s="643"/>
      <c r="LXZ1" s="643"/>
      <c r="LYA1" s="643"/>
      <c r="LYB1" s="643"/>
      <c r="LYC1" s="643"/>
      <c r="LYD1" s="643"/>
      <c r="LYE1" s="643"/>
      <c r="LYF1" s="643"/>
      <c r="LYG1" s="643"/>
      <c r="LYH1" s="643"/>
      <c r="LYI1" s="643"/>
      <c r="LYJ1" s="643"/>
      <c r="LYK1" s="643"/>
      <c r="LYL1" s="643"/>
      <c r="LYM1" s="643"/>
      <c r="LYN1" s="643"/>
      <c r="LYO1" s="643"/>
      <c r="LYP1" s="643"/>
      <c r="LYQ1" s="643"/>
      <c r="LYR1" s="643"/>
      <c r="LYS1" s="643"/>
      <c r="LYT1" s="643"/>
      <c r="LYU1" s="643"/>
      <c r="LYV1" s="643"/>
      <c r="LYW1" s="643"/>
      <c r="LYX1" s="643"/>
      <c r="LYY1" s="643"/>
      <c r="LYZ1" s="643"/>
      <c r="LZA1" s="643"/>
      <c r="LZB1" s="643"/>
      <c r="LZC1" s="643"/>
      <c r="LZD1" s="643"/>
      <c r="LZE1" s="643"/>
      <c r="LZF1" s="643"/>
      <c r="LZG1" s="643"/>
      <c r="LZH1" s="643"/>
      <c r="LZI1" s="643"/>
      <c r="LZJ1" s="643"/>
      <c r="LZK1" s="643"/>
      <c r="LZL1" s="643"/>
      <c r="LZM1" s="643"/>
      <c r="LZN1" s="643"/>
      <c r="LZO1" s="643"/>
      <c r="LZP1" s="643"/>
      <c r="LZQ1" s="643"/>
      <c r="LZR1" s="643"/>
      <c r="LZS1" s="643"/>
      <c r="LZT1" s="643"/>
      <c r="LZU1" s="643"/>
      <c r="LZV1" s="643"/>
      <c r="LZW1" s="643"/>
      <c r="LZX1" s="643"/>
      <c r="LZY1" s="643"/>
      <c r="LZZ1" s="643"/>
      <c r="MAA1" s="643"/>
      <c r="MAB1" s="643"/>
      <c r="MAC1" s="643"/>
      <c r="MAD1" s="643"/>
      <c r="MAE1" s="643"/>
      <c r="MAF1" s="643"/>
      <c r="MAG1" s="643"/>
      <c r="MAH1" s="643"/>
      <c r="MAI1" s="643"/>
      <c r="MAJ1" s="643"/>
      <c r="MAK1" s="643"/>
      <c r="MAL1" s="643"/>
      <c r="MAM1" s="643"/>
      <c r="MAN1" s="643"/>
      <c r="MAO1" s="643"/>
      <c r="MAP1" s="643"/>
      <c r="MAQ1" s="643"/>
      <c r="MAR1" s="643"/>
      <c r="MAS1" s="643"/>
      <c r="MAT1" s="643"/>
      <c r="MAU1" s="643"/>
      <c r="MAV1" s="643"/>
      <c r="MAW1" s="643"/>
      <c r="MAX1" s="643"/>
      <c r="MAY1" s="643"/>
      <c r="MAZ1" s="643"/>
      <c r="MBA1" s="643"/>
      <c r="MBB1" s="643"/>
      <c r="MBC1" s="643"/>
      <c r="MBD1" s="643"/>
      <c r="MBE1" s="643"/>
      <c r="MBF1" s="643"/>
      <c r="MBG1" s="643"/>
      <c r="MBH1" s="643"/>
      <c r="MBI1" s="643"/>
      <c r="MBJ1" s="643"/>
      <c r="MBK1" s="643"/>
      <c r="MBL1" s="643"/>
      <c r="MBM1" s="643"/>
      <c r="MBN1" s="643"/>
      <c r="MBO1" s="643"/>
      <c r="MBP1" s="643"/>
      <c r="MBQ1" s="643"/>
      <c r="MBR1" s="643"/>
      <c r="MBS1" s="643"/>
      <c r="MBT1" s="643"/>
      <c r="MBU1" s="643"/>
      <c r="MBV1" s="643"/>
      <c r="MBW1" s="643"/>
      <c r="MBX1" s="643"/>
      <c r="MBY1" s="643"/>
      <c r="MBZ1" s="643"/>
      <c r="MCA1" s="643"/>
      <c r="MCB1" s="643"/>
      <c r="MCC1" s="643"/>
      <c r="MCD1" s="643"/>
      <c r="MCE1" s="643"/>
      <c r="MCF1" s="643"/>
      <c r="MCG1" s="643"/>
      <c r="MCH1" s="643"/>
      <c r="MCI1" s="643"/>
      <c r="MCJ1" s="643"/>
      <c r="MCK1" s="643"/>
      <c r="MCL1" s="643"/>
      <c r="MCM1" s="643"/>
      <c r="MCN1" s="643"/>
      <c r="MCO1" s="643"/>
      <c r="MCP1" s="643"/>
      <c r="MCQ1" s="643"/>
      <c r="MCR1" s="643"/>
      <c r="MCS1" s="643"/>
      <c r="MCT1" s="643"/>
      <c r="MCU1" s="643"/>
      <c r="MCV1" s="643"/>
      <c r="MCW1" s="643"/>
      <c r="MCX1" s="643"/>
      <c r="MCY1" s="643"/>
      <c r="MCZ1" s="643"/>
      <c r="MDA1" s="643"/>
      <c r="MDB1" s="643"/>
      <c r="MDC1" s="643"/>
      <c r="MDD1" s="643"/>
      <c r="MDE1" s="643"/>
      <c r="MDF1" s="643"/>
      <c r="MDG1" s="643"/>
      <c r="MDH1" s="643"/>
      <c r="MDI1" s="643"/>
      <c r="MDJ1" s="643"/>
      <c r="MDK1" s="643"/>
      <c r="MDL1" s="643"/>
      <c r="MDM1" s="643"/>
      <c r="MDN1" s="643"/>
      <c r="MDO1" s="643"/>
      <c r="MDP1" s="643"/>
      <c r="MDQ1" s="643"/>
      <c r="MDR1" s="643"/>
      <c r="MDS1" s="643"/>
      <c r="MDT1" s="643"/>
      <c r="MDU1" s="643"/>
      <c r="MDV1" s="643"/>
      <c r="MDW1" s="643"/>
      <c r="MDX1" s="643"/>
      <c r="MDY1" s="643"/>
      <c r="MDZ1" s="643"/>
      <c r="MEA1" s="643"/>
      <c r="MEB1" s="643"/>
      <c r="MEC1" s="643"/>
      <c r="MED1" s="643"/>
      <c r="MEE1" s="643"/>
      <c r="MEF1" s="643"/>
      <c r="MEG1" s="643"/>
      <c r="MEH1" s="643"/>
      <c r="MEI1" s="643"/>
      <c r="MEJ1" s="643"/>
      <c r="MEK1" s="643"/>
      <c r="MEL1" s="643"/>
      <c r="MEM1" s="643"/>
      <c r="MEN1" s="643"/>
      <c r="MEO1" s="643"/>
      <c r="MEP1" s="643"/>
      <c r="MEQ1" s="643"/>
      <c r="MER1" s="643"/>
      <c r="MES1" s="643"/>
      <c r="MET1" s="643"/>
      <c r="MEU1" s="643"/>
      <c r="MEV1" s="643"/>
      <c r="MEW1" s="643"/>
      <c r="MEX1" s="643"/>
      <c r="MEY1" s="643"/>
      <c r="MEZ1" s="643"/>
      <c r="MFA1" s="643"/>
      <c r="MFB1" s="643"/>
      <c r="MFC1" s="643"/>
      <c r="MFD1" s="643"/>
      <c r="MFE1" s="643"/>
      <c r="MFF1" s="643"/>
      <c r="MFG1" s="643"/>
      <c r="MFH1" s="643"/>
      <c r="MFI1" s="643"/>
      <c r="MFJ1" s="643"/>
      <c r="MFK1" s="643"/>
      <c r="MFL1" s="643"/>
      <c r="MFM1" s="643"/>
      <c r="MFN1" s="643"/>
      <c r="MFO1" s="643"/>
      <c r="MFP1" s="643"/>
      <c r="MFQ1" s="643"/>
      <c r="MFR1" s="643"/>
      <c r="MFS1" s="643"/>
      <c r="MFT1" s="643"/>
      <c r="MFU1" s="643"/>
      <c r="MFV1" s="643"/>
      <c r="MFW1" s="643"/>
      <c r="MFX1" s="643"/>
      <c r="MFY1" s="643"/>
      <c r="MFZ1" s="643"/>
      <c r="MGA1" s="643"/>
      <c r="MGB1" s="643"/>
      <c r="MGC1" s="643"/>
      <c r="MGD1" s="643"/>
      <c r="MGE1" s="643"/>
      <c r="MGF1" s="643"/>
      <c r="MGG1" s="643"/>
      <c r="MGH1" s="643"/>
      <c r="MGI1" s="643"/>
      <c r="MGJ1" s="643"/>
      <c r="MGK1" s="643"/>
      <c r="MGL1" s="643"/>
      <c r="MGM1" s="643"/>
      <c r="MGN1" s="643"/>
      <c r="MGO1" s="643"/>
      <c r="MGP1" s="643"/>
      <c r="MGQ1" s="643"/>
      <c r="MGR1" s="643"/>
      <c r="MGS1" s="643"/>
      <c r="MGT1" s="643"/>
      <c r="MGU1" s="643"/>
      <c r="MGV1" s="643"/>
      <c r="MGW1" s="643"/>
      <c r="MGX1" s="643"/>
      <c r="MGY1" s="643"/>
      <c r="MGZ1" s="643"/>
      <c r="MHA1" s="643"/>
      <c r="MHB1" s="643"/>
      <c r="MHC1" s="643"/>
      <c r="MHD1" s="643"/>
      <c r="MHE1" s="643"/>
      <c r="MHF1" s="643"/>
      <c r="MHG1" s="643"/>
      <c r="MHH1" s="643"/>
      <c r="MHI1" s="643"/>
      <c r="MHJ1" s="643"/>
      <c r="MHK1" s="643"/>
      <c r="MHL1" s="643"/>
      <c r="MHM1" s="643"/>
      <c r="MHN1" s="643"/>
      <c r="MHO1" s="643"/>
      <c r="MHP1" s="643"/>
      <c r="MHQ1" s="643"/>
      <c r="MHR1" s="643"/>
      <c r="MHS1" s="643"/>
      <c r="MHT1" s="643"/>
      <c r="MHU1" s="643"/>
      <c r="MHV1" s="643"/>
      <c r="MHW1" s="643"/>
      <c r="MHX1" s="643"/>
      <c r="MHY1" s="643"/>
      <c r="MHZ1" s="643"/>
      <c r="MIA1" s="643"/>
      <c r="MIB1" s="643"/>
      <c r="MIC1" s="643"/>
      <c r="MID1" s="643"/>
      <c r="MIE1" s="643"/>
      <c r="MIF1" s="643"/>
      <c r="MIG1" s="643"/>
      <c r="MIH1" s="643"/>
      <c r="MII1" s="643"/>
      <c r="MIJ1" s="643"/>
      <c r="MIK1" s="643"/>
      <c r="MIL1" s="643"/>
      <c r="MIM1" s="643"/>
      <c r="MIN1" s="643"/>
      <c r="MIO1" s="643"/>
      <c r="MIP1" s="643"/>
      <c r="MIQ1" s="643"/>
      <c r="MIR1" s="643"/>
      <c r="MIS1" s="643"/>
      <c r="MIT1" s="643"/>
      <c r="MIU1" s="643"/>
      <c r="MIV1" s="643"/>
      <c r="MIW1" s="643"/>
      <c r="MIX1" s="643"/>
      <c r="MIY1" s="643"/>
      <c r="MIZ1" s="643"/>
      <c r="MJA1" s="643"/>
      <c r="MJB1" s="643"/>
      <c r="MJC1" s="643"/>
      <c r="MJD1" s="643"/>
      <c r="MJE1" s="643"/>
      <c r="MJF1" s="643"/>
      <c r="MJG1" s="643"/>
      <c r="MJH1" s="643"/>
      <c r="MJI1" s="643"/>
      <c r="MJJ1" s="643"/>
      <c r="MJK1" s="643"/>
      <c r="MJL1" s="643"/>
      <c r="MJM1" s="643"/>
      <c r="MJN1" s="643"/>
      <c r="MJO1" s="643"/>
      <c r="MJP1" s="643"/>
      <c r="MJQ1" s="643"/>
      <c r="MJR1" s="643"/>
      <c r="MJS1" s="643"/>
      <c r="MJT1" s="643"/>
      <c r="MJU1" s="643"/>
      <c r="MJV1" s="643"/>
      <c r="MJW1" s="643"/>
      <c r="MJX1" s="643"/>
      <c r="MJY1" s="643"/>
      <c r="MJZ1" s="643"/>
      <c r="MKA1" s="643"/>
      <c r="MKB1" s="643"/>
      <c r="MKC1" s="643"/>
      <c r="MKD1" s="643"/>
      <c r="MKE1" s="643"/>
      <c r="MKF1" s="643"/>
      <c r="MKG1" s="643"/>
      <c r="MKH1" s="643"/>
      <c r="MKI1" s="643"/>
      <c r="MKJ1" s="643"/>
      <c r="MKK1" s="643"/>
      <c r="MKL1" s="643"/>
      <c r="MKM1" s="643"/>
      <c r="MKN1" s="643"/>
      <c r="MKO1" s="643"/>
      <c r="MKP1" s="643"/>
      <c r="MKQ1" s="643"/>
      <c r="MKR1" s="643"/>
      <c r="MKS1" s="643"/>
      <c r="MKT1" s="643"/>
      <c r="MKU1" s="643"/>
      <c r="MKV1" s="643"/>
      <c r="MKW1" s="643"/>
      <c r="MKX1" s="643"/>
      <c r="MKY1" s="643"/>
      <c r="MKZ1" s="643"/>
      <c r="MLA1" s="643"/>
      <c r="MLB1" s="643"/>
      <c r="MLC1" s="643"/>
      <c r="MLD1" s="643"/>
      <c r="MLE1" s="643"/>
      <c r="MLF1" s="643"/>
      <c r="MLG1" s="643"/>
      <c r="MLH1" s="643"/>
      <c r="MLI1" s="643"/>
      <c r="MLJ1" s="643"/>
      <c r="MLK1" s="643"/>
      <c r="MLL1" s="643"/>
      <c r="MLM1" s="643"/>
      <c r="MLN1" s="643"/>
      <c r="MLO1" s="643"/>
      <c r="MLP1" s="643"/>
      <c r="MLQ1" s="643"/>
      <c r="MLR1" s="643"/>
      <c r="MLS1" s="643"/>
      <c r="MLT1" s="643"/>
      <c r="MLU1" s="643"/>
      <c r="MLV1" s="643"/>
      <c r="MLW1" s="643"/>
      <c r="MLX1" s="643"/>
      <c r="MLY1" s="643"/>
      <c r="MLZ1" s="643"/>
      <c r="MMA1" s="643"/>
      <c r="MMB1" s="643"/>
      <c r="MMC1" s="643"/>
      <c r="MMD1" s="643"/>
      <c r="MME1" s="643"/>
      <c r="MMF1" s="643"/>
      <c r="MMG1" s="643"/>
      <c r="MMH1" s="643"/>
      <c r="MMI1" s="643"/>
      <c r="MMJ1" s="643"/>
      <c r="MMK1" s="643"/>
      <c r="MML1" s="643"/>
      <c r="MMM1" s="643"/>
      <c r="MMN1" s="643"/>
      <c r="MMO1" s="643"/>
      <c r="MMP1" s="643"/>
      <c r="MMQ1" s="643"/>
      <c r="MMR1" s="643"/>
      <c r="MMS1" s="643"/>
      <c r="MMT1" s="643"/>
      <c r="MMU1" s="643"/>
      <c r="MMV1" s="643"/>
      <c r="MMW1" s="643"/>
      <c r="MMX1" s="643"/>
      <c r="MMY1" s="643"/>
      <c r="MMZ1" s="643"/>
      <c r="MNA1" s="643"/>
      <c r="MNB1" s="643"/>
      <c r="MNC1" s="643"/>
      <c r="MND1" s="643"/>
      <c r="MNE1" s="643"/>
      <c r="MNF1" s="643"/>
      <c r="MNG1" s="643"/>
      <c r="MNH1" s="643"/>
      <c r="MNI1" s="643"/>
      <c r="MNJ1" s="643"/>
      <c r="MNK1" s="643"/>
      <c r="MNL1" s="643"/>
      <c r="MNM1" s="643"/>
      <c r="MNN1" s="643"/>
      <c r="MNO1" s="643"/>
      <c r="MNP1" s="643"/>
      <c r="MNQ1" s="643"/>
      <c r="MNR1" s="643"/>
      <c r="MNS1" s="643"/>
      <c r="MNT1" s="643"/>
      <c r="MNU1" s="643"/>
      <c r="MNV1" s="643"/>
      <c r="MNW1" s="643"/>
      <c r="MNX1" s="643"/>
      <c r="MNY1" s="643"/>
      <c r="MNZ1" s="643"/>
      <c r="MOA1" s="643"/>
      <c r="MOB1" s="643"/>
      <c r="MOC1" s="643"/>
      <c r="MOD1" s="643"/>
      <c r="MOE1" s="643"/>
      <c r="MOF1" s="643"/>
      <c r="MOG1" s="643"/>
      <c r="MOH1" s="643"/>
      <c r="MOI1" s="643"/>
      <c r="MOJ1" s="643"/>
      <c r="MOK1" s="643"/>
      <c r="MOL1" s="643"/>
      <c r="MOM1" s="643"/>
      <c r="MON1" s="643"/>
      <c r="MOO1" s="643"/>
      <c r="MOP1" s="643"/>
      <c r="MOQ1" s="643"/>
      <c r="MOR1" s="643"/>
      <c r="MOS1" s="643"/>
      <c r="MOT1" s="643"/>
      <c r="MOU1" s="643"/>
      <c r="MOV1" s="643"/>
      <c r="MOW1" s="643"/>
      <c r="MOX1" s="643"/>
      <c r="MOY1" s="643"/>
      <c r="MOZ1" s="643"/>
      <c r="MPA1" s="643"/>
      <c r="MPB1" s="643"/>
      <c r="MPC1" s="643"/>
      <c r="MPD1" s="643"/>
      <c r="MPE1" s="643"/>
      <c r="MPF1" s="643"/>
      <c r="MPG1" s="643"/>
      <c r="MPH1" s="643"/>
      <c r="MPI1" s="643"/>
      <c r="MPJ1" s="643"/>
      <c r="MPK1" s="643"/>
      <c r="MPL1" s="643"/>
      <c r="MPM1" s="643"/>
      <c r="MPN1" s="643"/>
      <c r="MPO1" s="643"/>
      <c r="MPP1" s="643"/>
      <c r="MPQ1" s="643"/>
      <c r="MPR1" s="643"/>
      <c r="MPS1" s="643"/>
      <c r="MPT1" s="643"/>
      <c r="MPU1" s="643"/>
      <c r="MPV1" s="643"/>
      <c r="MPW1" s="643"/>
      <c r="MPX1" s="643"/>
      <c r="MPY1" s="643"/>
      <c r="MPZ1" s="643"/>
      <c r="MQA1" s="643"/>
      <c r="MQB1" s="643"/>
      <c r="MQC1" s="643"/>
      <c r="MQD1" s="643"/>
      <c r="MQE1" s="643"/>
      <c r="MQF1" s="643"/>
      <c r="MQG1" s="643"/>
      <c r="MQH1" s="643"/>
      <c r="MQI1" s="643"/>
      <c r="MQJ1" s="643"/>
      <c r="MQK1" s="643"/>
      <c r="MQL1" s="643"/>
      <c r="MQM1" s="643"/>
      <c r="MQN1" s="643"/>
      <c r="MQO1" s="643"/>
      <c r="MQP1" s="643"/>
      <c r="MQQ1" s="643"/>
      <c r="MQR1" s="643"/>
      <c r="MQS1" s="643"/>
      <c r="MQT1" s="643"/>
      <c r="MQU1" s="643"/>
      <c r="MQV1" s="643"/>
      <c r="MQW1" s="643"/>
      <c r="MQX1" s="643"/>
      <c r="MQY1" s="643"/>
      <c r="MQZ1" s="643"/>
      <c r="MRA1" s="643"/>
      <c r="MRB1" s="643"/>
      <c r="MRC1" s="643"/>
      <c r="MRD1" s="643"/>
      <c r="MRE1" s="643"/>
      <c r="MRF1" s="643"/>
      <c r="MRG1" s="643"/>
      <c r="MRH1" s="643"/>
      <c r="MRI1" s="643"/>
      <c r="MRJ1" s="643"/>
      <c r="MRK1" s="643"/>
      <c r="MRL1" s="643"/>
      <c r="MRM1" s="643"/>
      <c r="MRN1" s="643"/>
      <c r="MRO1" s="643"/>
      <c r="MRP1" s="643"/>
      <c r="MRQ1" s="643"/>
      <c r="MRR1" s="643"/>
      <c r="MRS1" s="643"/>
      <c r="MRT1" s="643"/>
      <c r="MRU1" s="643"/>
      <c r="MRV1" s="643"/>
      <c r="MRW1" s="643"/>
      <c r="MRX1" s="643"/>
      <c r="MRY1" s="643"/>
      <c r="MRZ1" s="643"/>
      <c r="MSA1" s="643"/>
      <c r="MSB1" s="643"/>
      <c r="MSC1" s="643"/>
      <c r="MSD1" s="643"/>
      <c r="MSE1" s="643"/>
      <c r="MSF1" s="643"/>
      <c r="MSG1" s="643"/>
      <c r="MSH1" s="643"/>
      <c r="MSI1" s="643"/>
      <c r="MSJ1" s="643"/>
      <c r="MSK1" s="643"/>
      <c r="MSL1" s="643"/>
      <c r="MSM1" s="643"/>
      <c r="MSN1" s="643"/>
      <c r="MSO1" s="643"/>
      <c r="MSP1" s="643"/>
      <c r="MSQ1" s="643"/>
      <c r="MSR1" s="643"/>
      <c r="MSS1" s="643"/>
      <c r="MST1" s="643"/>
      <c r="MSU1" s="643"/>
      <c r="MSV1" s="643"/>
      <c r="MSW1" s="643"/>
      <c r="MSX1" s="643"/>
      <c r="MSY1" s="643"/>
      <c r="MSZ1" s="643"/>
      <c r="MTA1" s="643"/>
      <c r="MTB1" s="643"/>
      <c r="MTC1" s="643"/>
      <c r="MTD1" s="643"/>
      <c r="MTE1" s="643"/>
      <c r="MTF1" s="643"/>
      <c r="MTG1" s="643"/>
      <c r="MTH1" s="643"/>
      <c r="MTI1" s="643"/>
      <c r="MTJ1" s="643"/>
      <c r="MTK1" s="643"/>
      <c r="MTL1" s="643"/>
      <c r="MTM1" s="643"/>
      <c r="MTN1" s="643"/>
      <c r="MTO1" s="643"/>
      <c r="MTP1" s="643"/>
      <c r="MTQ1" s="643"/>
      <c r="MTR1" s="643"/>
      <c r="MTS1" s="643"/>
      <c r="MTT1" s="643"/>
      <c r="MTU1" s="643"/>
      <c r="MTV1" s="643"/>
      <c r="MTW1" s="643"/>
      <c r="MTX1" s="643"/>
      <c r="MTY1" s="643"/>
      <c r="MTZ1" s="643"/>
      <c r="MUA1" s="643"/>
      <c r="MUB1" s="643"/>
      <c r="MUC1" s="643"/>
      <c r="MUD1" s="643"/>
      <c r="MUE1" s="643"/>
      <c r="MUF1" s="643"/>
      <c r="MUG1" s="643"/>
      <c r="MUH1" s="643"/>
      <c r="MUI1" s="643"/>
      <c r="MUJ1" s="643"/>
      <c r="MUK1" s="643"/>
      <c r="MUL1" s="643"/>
      <c r="MUM1" s="643"/>
      <c r="MUN1" s="643"/>
      <c r="MUO1" s="643"/>
      <c r="MUP1" s="643"/>
      <c r="MUQ1" s="643"/>
      <c r="MUR1" s="643"/>
      <c r="MUS1" s="643"/>
      <c r="MUT1" s="643"/>
      <c r="MUU1" s="643"/>
      <c r="MUV1" s="643"/>
      <c r="MUW1" s="643"/>
      <c r="MUX1" s="643"/>
      <c r="MUY1" s="643"/>
      <c r="MUZ1" s="643"/>
      <c r="MVA1" s="643"/>
      <c r="MVB1" s="643"/>
      <c r="MVC1" s="643"/>
      <c r="MVD1" s="643"/>
      <c r="MVE1" s="643"/>
      <c r="MVF1" s="643"/>
      <c r="MVG1" s="643"/>
      <c r="MVH1" s="643"/>
      <c r="MVI1" s="643"/>
      <c r="MVJ1" s="643"/>
      <c r="MVK1" s="643"/>
      <c r="MVL1" s="643"/>
      <c r="MVM1" s="643"/>
      <c r="MVN1" s="643"/>
      <c r="MVO1" s="643"/>
      <c r="MVP1" s="643"/>
      <c r="MVQ1" s="643"/>
      <c r="MVR1" s="643"/>
      <c r="MVS1" s="643"/>
      <c r="MVT1" s="643"/>
      <c r="MVU1" s="643"/>
      <c r="MVV1" s="643"/>
      <c r="MVW1" s="643"/>
      <c r="MVX1" s="643"/>
      <c r="MVY1" s="643"/>
      <c r="MVZ1" s="643"/>
      <c r="MWA1" s="643"/>
      <c r="MWB1" s="643"/>
      <c r="MWC1" s="643"/>
      <c r="MWD1" s="643"/>
      <c r="MWE1" s="643"/>
      <c r="MWF1" s="643"/>
      <c r="MWG1" s="643"/>
      <c r="MWH1" s="643"/>
      <c r="MWI1" s="643"/>
      <c r="MWJ1" s="643"/>
      <c r="MWK1" s="643"/>
      <c r="MWL1" s="643"/>
      <c r="MWM1" s="643"/>
      <c r="MWN1" s="643"/>
      <c r="MWO1" s="643"/>
      <c r="MWP1" s="643"/>
      <c r="MWQ1" s="643"/>
      <c r="MWR1" s="643"/>
      <c r="MWS1" s="643"/>
      <c r="MWT1" s="643"/>
      <c r="MWU1" s="643"/>
      <c r="MWV1" s="643"/>
      <c r="MWW1" s="643"/>
      <c r="MWX1" s="643"/>
      <c r="MWY1" s="643"/>
      <c r="MWZ1" s="643"/>
      <c r="MXA1" s="643"/>
      <c r="MXB1" s="643"/>
      <c r="MXC1" s="643"/>
      <c r="MXD1" s="643"/>
      <c r="MXE1" s="643"/>
      <c r="MXF1" s="643"/>
      <c r="MXG1" s="643"/>
      <c r="MXH1" s="643"/>
      <c r="MXI1" s="643"/>
      <c r="MXJ1" s="643"/>
      <c r="MXK1" s="643"/>
      <c r="MXL1" s="643"/>
      <c r="MXM1" s="643"/>
      <c r="MXN1" s="643"/>
      <c r="MXO1" s="643"/>
      <c r="MXP1" s="643"/>
      <c r="MXQ1" s="643"/>
      <c r="MXR1" s="643"/>
      <c r="MXS1" s="643"/>
      <c r="MXT1" s="643"/>
      <c r="MXU1" s="643"/>
      <c r="MXV1" s="643"/>
      <c r="MXW1" s="643"/>
      <c r="MXX1" s="643"/>
      <c r="MXY1" s="643"/>
      <c r="MXZ1" s="643"/>
      <c r="MYA1" s="643"/>
      <c r="MYB1" s="643"/>
      <c r="MYC1" s="643"/>
      <c r="MYD1" s="643"/>
      <c r="MYE1" s="643"/>
      <c r="MYF1" s="643"/>
      <c r="MYG1" s="643"/>
      <c r="MYH1" s="643"/>
      <c r="MYI1" s="643"/>
      <c r="MYJ1" s="643"/>
      <c r="MYK1" s="643"/>
      <c r="MYL1" s="643"/>
      <c r="MYM1" s="643"/>
      <c r="MYN1" s="643"/>
      <c r="MYO1" s="643"/>
      <c r="MYP1" s="643"/>
      <c r="MYQ1" s="643"/>
      <c r="MYR1" s="643"/>
      <c r="MYS1" s="643"/>
      <c r="MYT1" s="643"/>
      <c r="MYU1" s="643"/>
      <c r="MYV1" s="643"/>
      <c r="MYW1" s="643"/>
      <c r="MYX1" s="643"/>
      <c r="MYY1" s="643"/>
      <c r="MYZ1" s="643"/>
      <c r="MZA1" s="643"/>
      <c r="MZB1" s="643"/>
      <c r="MZC1" s="643"/>
      <c r="MZD1" s="643"/>
      <c r="MZE1" s="643"/>
      <c r="MZF1" s="643"/>
      <c r="MZG1" s="643"/>
      <c r="MZH1" s="643"/>
      <c r="MZI1" s="643"/>
      <c r="MZJ1" s="643"/>
      <c r="MZK1" s="643"/>
      <c r="MZL1" s="643"/>
      <c r="MZM1" s="643"/>
      <c r="MZN1" s="643"/>
      <c r="MZO1" s="643"/>
      <c r="MZP1" s="643"/>
      <c r="MZQ1" s="643"/>
      <c r="MZR1" s="643"/>
      <c r="MZS1" s="643"/>
      <c r="MZT1" s="643"/>
      <c r="MZU1" s="643"/>
      <c r="MZV1" s="643"/>
      <c r="MZW1" s="643"/>
      <c r="MZX1" s="643"/>
      <c r="MZY1" s="643"/>
      <c r="MZZ1" s="643"/>
      <c r="NAA1" s="643"/>
      <c r="NAB1" s="643"/>
      <c r="NAC1" s="643"/>
      <c r="NAD1" s="643"/>
      <c r="NAE1" s="643"/>
      <c r="NAF1" s="643"/>
      <c r="NAG1" s="643"/>
      <c r="NAH1" s="643"/>
      <c r="NAI1" s="643"/>
      <c r="NAJ1" s="643"/>
      <c r="NAK1" s="643"/>
      <c r="NAL1" s="643"/>
      <c r="NAM1" s="643"/>
      <c r="NAN1" s="643"/>
      <c r="NAO1" s="643"/>
      <c r="NAP1" s="643"/>
      <c r="NAQ1" s="643"/>
      <c r="NAR1" s="643"/>
      <c r="NAS1" s="643"/>
      <c r="NAT1" s="643"/>
      <c r="NAU1" s="643"/>
      <c r="NAV1" s="643"/>
      <c r="NAW1" s="643"/>
      <c r="NAX1" s="643"/>
      <c r="NAY1" s="643"/>
      <c r="NAZ1" s="643"/>
      <c r="NBA1" s="643"/>
      <c r="NBB1" s="643"/>
      <c r="NBC1" s="643"/>
      <c r="NBD1" s="643"/>
      <c r="NBE1" s="643"/>
      <c r="NBF1" s="643"/>
      <c r="NBG1" s="643"/>
      <c r="NBH1" s="643"/>
      <c r="NBI1" s="643"/>
      <c r="NBJ1" s="643"/>
      <c r="NBK1" s="643"/>
      <c r="NBL1" s="643"/>
      <c r="NBM1" s="643"/>
      <c r="NBN1" s="643"/>
      <c r="NBO1" s="643"/>
      <c r="NBP1" s="643"/>
      <c r="NBQ1" s="643"/>
      <c r="NBR1" s="643"/>
      <c r="NBS1" s="643"/>
      <c r="NBT1" s="643"/>
      <c r="NBU1" s="643"/>
      <c r="NBV1" s="643"/>
      <c r="NBW1" s="643"/>
      <c r="NBX1" s="643"/>
      <c r="NBY1" s="643"/>
      <c r="NBZ1" s="643"/>
      <c r="NCA1" s="643"/>
      <c r="NCB1" s="643"/>
      <c r="NCC1" s="643"/>
      <c r="NCD1" s="643"/>
      <c r="NCE1" s="643"/>
      <c r="NCF1" s="643"/>
      <c r="NCG1" s="643"/>
      <c r="NCH1" s="643"/>
      <c r="NCI1" s="643"/>
      <c r="NCJ1" s="643"/>
      <c r="NCK1" s="643"/>
      <c r="NCL1" s="643"/>
      <c r="NCM1" s="643"/>
      <c r="NCN1" s="643"/>
      <c r="NCO1" s="643"/>
      <c r="NCP1" s="643"/>
      <c r="NCQ1" s="643"/>
      <c r="NCR1" s="643"/>
      <c r="NCS1" s="643"/>
      <c r="NCT1" s="643"/>
      <c r="NCU1" s="643"/>
      <c r="NCV1" s="643"/>
      <c r="NCW1" s="643"/>
      <c r="NCX1" s="643"/>
      <c r="NCY1" s="643"/>
      <c r="NCZ1" s="643"/>
      <c r="NDA1" s="643"/>
      <c r="NDB1" s="643"/>
      <c r="NDC1" s="643"/>
      <c r="NDD1" s="643"/>
      <c r="NDE1" s="643"/>
      <c r="NDF1" s="643"/>
      <c r="NDG1" s="643"/>
      <c r="NDH1" s="643"/>
      <c r="NDI1" s="643"/>
      <c r="NDJ1" s="643"/>
      <c r="NDK1" s="643"/>
      <c r="NDL1" s="643"/>
      <c r="NDM1" s="643"/>
      <c r="NDN1" s="643"/>
      <c r="NDO1" s="643"/>
      <c r="NDP1" s="643"/>
      <c r="NDQ1" s="643"/>
      <c r="NDR1" s="643"/>
      <c r="NDS1" s="643"/>
      <c r="NDT1" s="643"/>
      <c r="NDU1" s="643"/>
      <c r="NDV1" s="643"/>
      <c r="NDW1" s="643"/>
      <c r="NDX1" s="643"/>
      <c r="NDY1" s="643"/>
      <c r="NDZ1" s="643"/>
      <c r="NEA1" s="643"/>
      <c r="NEB1" s="643"/>
      <c r="NEC1" s="643"/>
      <c r="NED1" s="643"/>
      <c r="NEE1" s="643"/>
      <c r="NEF1" s="643"/>
      <c r="NEG1" s="643"/>
      <c r="NEH1" s="643"/>
      <c r="NEI1" s="643"/>
      <c r="NEJ1" s="643"/>
      <c r="NEK1" s="643"/>
      <c r="NEL1" s="643"/>
      <c r="NEM1" s="643"/>
      <c r="NEN1" s="643"/>
      <c r="NEO1" s="643"/>
      <c r="NEP1" s="643"/>
      <c r="NEQ1" s="643"/>
      <c r="NER1" s="643"/>
      <c r="NES1" s="643"/>
      <c r="NET1" s="643"/>
      <c r="NEU1" s="643"/>
      <c r="NEV1" s="643"/>
      <c r="NEW1" s="643"/>
      <c r="NEX1" s="643"/>
      <c r="NEY1" s="643"/>
      <c r="NEZ1" s="643"/>
      <c r="NFA1" s="643"/>
      <c r="NFB1" s="643"/>
      <c r="NFC1" s="643"/>
      <c r="NFD1" s="643"/>
      <c r="NFE1" s="643"/>
      <c r="NFF1" s="643"/>
      <c r="NFG1" s="643"/>
      <c r="NFH1" s="643"/>
      <c r="NFI1" s="643"/>
      <c r="NFJ1" s="643"/>
      <c r="NFK1" s="643"/>
      <c r="NFL1" s="643"/>
      <c r="NFM1" s="643"/>
      <c r="NFN1" s="643"/>
      <c r="NFO1" s="643"/>
      <c r="NFP1" s="643"/>
      <c r="NFQ1" s="643"/>
      <c r="NFR1" s="643"/>
      <c r="NFS1" s="643"/>
      <c r="NFT1" s="643"/>
      <c r="NFU1" s="643"/>
      <c r="NFV1" s="643"/>
      <c r="NFW1" s="643"/>
      <c r="NFX1" s="643"/>
      <c r="NFY1" s="643"/>
      <c r="NFZ1" s="643"/>
      <c r="NGA1" s="643"/>
      <c r="NGB1" s="643"/>
      <c r="NGC1" s="643"/>
      <c r="NGD1" s="643"/>
      <c r="NGE1" s="643"/>
      <c r="NGF1" s="643"/>
      <c r="NGG1" s="643"/>
      <c r="NGH1" s="643"/>
      <c r="NGI1" s="643"/>
      <c r="NGJ1" s="643"/>
      <c r="NGK1" s="643"/>
      <c r="NGL1" s="643"/>
      <c r="NGM1" s="643"/>
      <c r="NGN1" s="643"/>
      <c r="NGO1" s="643"/>
      <c r="NGP1" s="643"/>
      <c r="NGQ1" s="643"/>
      <c r="NGR1" s="643"/>
      <c r="NGS1" s="643"/>
      <c r="NGT1" s="643"/>
      <c r="NGU1" s="643"/>
      <c r="NGV1" s="643"/>
      <c r="NGW1" s="643"/>
      <c r="NGX1" s="643"/>
      <c r="NGY1" s="643"/>
      <c r="NGZ1" s="643"/>
      <c r="NHA1" s="643"/>
      <c r="NHB1" s="643"/>
      <c r="NHC1" s="643"/>
      <c r="NHD1" s="643"/>
      <c r="NHE1" s="643"/>
      <c r="NHF1" s="643"/>
      <c r="NHG1" s="643"/>
      <c r="NHH1" s="643"/>
      <c r="NHI1" s="643"/>
      <c r="NHJ1" s="643"/>
      <c r="NHK1" s="643"/>
      <c r="NHL1" s="643"/>
      <c r="NHM1" s="643"/>
      <c r="NHN1" s="643"/>
      <c r="NHO1" s="643"/>
      <c r="NHP1" s="643"/>
      <c r="NHQ1" s="643"/>
      <c r="NHR1" s="643"/>
      <c r="NHS1" s="643"/>
      <c r="NHT1" s="643"/>
      <c r="NHU1" s="643"/>
      <c r="NHV1" s="643"/>
      <c r="NHW1" s="643"/>
      <c r="NHX1" s="643"/>
      <c r="NHY1" s="643"/>
      <c r="NHZ1" s="643"/>
      <c r="NIA1" s="643"/>
      <c r="NIB1" s="643"/>
      <c r="NIC1" s="643"/>
      <c r="NID1" s="643"/>
      <c r="NIE1" s="643"/>
      <c r="NIF1" s="643"/>
      <c r="NIG1" s="643"/>
      <c r="NIH1" s="643"/>
      <c r="NII1" s="643"/>
      <c r="NIJ1" s="643"/>
      <c r="NIK1" s="643"/>
      <c r="NIL1" s="643"/>
      <c r="NIM1" s="643"/>
      <c r="NIN1" s="643"/>
      <c r="NIO1" s="643"/>
      <c r="NIP1" s="643"/>
      <c r="NIQ1" s="643"/>
      <c r="NIR1" s="643"/>
      <c r="NIS1" s="643"/>
      <c r="NIT1" s="643"/>
      <c r="NIU1" s="643"/>
      <c r="NIV1" s="643"/>
      <c r="NIW1" s="643"/>
      <c r="NIX1" s="643"/>
      <c r="NIY1" s="643"/>
      <c r="NIZ1" s="643"/>
      <c r="NJA1" s="643"/>
      <c r="NJB1" s="643"/>
      <c r="NJC1" s="643"/>
      <c r="NJD1" s="643"/>
      <c r="NJE1" s="643"/>
      <c r="NJF1" s="643"/>
      <c r="NJG1" s="643"/>
      <c r="NJH1" s="643"/>
      <c r="NJI1" s="643"/>
      <c r="NJJ1" s="643"/>
      <c r="NJK1" s="643"/>
      <c r="NJL1" s="643"/>
      <c r="NJM1" s="643"/>
      <c r="NJN1" s="643"/>
      <c r="NJO1" s="643"/>
      <c r="NJP1" s="643"/>
      <c r="NJQ1" s="643"/>
      <c r="NJR1" s="643"/>
      <c r="NJS1" s="643"/>
      <c r="NJT1" s="643"/>
      <c r="NJU1" s="643"/>
      <c r="NJV1" s="643"/>
      <c r="NJW1" s="643"/>
      <c r="NJX1" s="643"/>
      <c r="NJY1" s="643"/>
      <c r="NJZ1" s="643"/>
      <c r="NKA1" s="643"/>
      <c r="NKB1" s="643"/>
      <c r="NKC1" s="643"/>
      <c r="NKD1" s="643"/>
      <c r="NKE1" s="643"/>
      <c r="NKF1" s="643"/>
      <c r="NKG1" s="643"/>
      <c r="NKH1" s="643"/>
      <c r="NKI1" s="643"/>
      <c r="NKJ1" s="643"/>
      <c r="NKK1" s="643"/>
      <c r="NKL1" s="643"/>
      <c r="NKM1" s="643"/>
      <c r="NKN1" s="643"/>
      <c r="NKO1" s="643"/>
      <c r="NKP1" s="643"/>
      <c r="NKQ1" s="643"/>
      <c r="NKR1" s="643"/>
      <c r="NKS1" s="643"/>
      <c r="NKT1" s="643"/>
      <c r="NKU1" s="643"/>
      <c r="NKV1" s="643"/>
      <c r="NKW1" s="643"/>
      <c r="NKX1" s="643"/>
      <c r="NKY1" s="643"/>
      <c r="NKZ1" s="643"/>
      <c r="NLA1" s="643"/>
      <c r="NLB1" s="643"/>
      <c r="NLC1" s="643"/>
      <c r="NLD1" s="643"/>
      <c r="NLE1" s="643"/>
      <c r="NLF1" s="643"/>
      <c r="NLG1" s="643"/>
      <c r="NLH1" s="643"/>
      <c r="NLI1" s="643"/>
      <c r="NLJ1" s="643"/>
      <c r="NLK1" s="643"/>
      <c r="NLL1" s="643"/>
      <c r="NLM1" s="643"/>
      <c r="NLN1" s="643"/>
      <c r="NLO1" s="643"/>
      <c r="NLP1" s="643"/>
      <c r="NLQ1" s="643"/>
      <c r="NLR1" s="643"/>
      <c r="NLS1" s="643"/>
      <c r="NLT1" s="643"/>
      <c r="NLU1" s="643"/>
      <c r="NLV1" s="643"/>
      <c r="NLW1" s="643"/>
      <c r="NLX1" s="643"/>
      <c r="NLY1" s="643"/>
      <c r="NLZ1" s="643"/>
      <c r="NMA1" s="643"/>
      <c r="NMB1" s="643"/>
      <c r="NMC1" s="643"/>
      <c r="NMD1" s="643"/>
      <c r="NME1" s="643"/>
      <c r="NMF1" s="643"/>
      <c r="NMG1" s="643"/>
      <c r="NMH1" s="643"/>
      <c r="NMI1" s="643"/>
      <c r="NMJ1" s="643"/>
      <c r="NMK1" s="643"/>
      <c r="NML1" s="643"/>
      <c r="NMM1" s="643"/>
      <c r="NMN1" s="643"/>
      <c r="NMO1" s="643"/>
      <c r="NMP1" s="643"/>
      <c r="NMQ1" s="643"/>
      <c r="NMR1" s="643"/>
      <c r="NMS1" s="643"/>
      <c r="NMT1" s="643"/>
      <c r="NMU1" s="643"/>
      <c r="NMV1" s="643"/>
      <c r="NMW1" s="643"/>
      <c r="NMX1" s="643"/>
      <c r="NMY1" s="643"/>
      <c r="NMZ1" s="643"/>
      <c r="NNA1" s="643"/>
      <c r="NNB1" s="643"/>
      <c r="NNC1" s="643"/>
      <c r="NND1" s="643"/>
      <c r="NNE1" s="643"/>
      <c r="NNF1" s="643"/>
      <c r="NNG1" s="643"/>
      <c r="NNH1" s="643"/>
      <c r="NNI1" s="643"/>
      <c r="NNJ1" s="643"/>
      <c r="NNK1" s="643"/>
      <c r="NNL1" s="643"/>
      <c r="NNM1" s="643"/>
      <c r="NNN1" s="643"/>
      <c r="NNO1" s="643"/>
      <c r="NNP1" s="643"/>
      <c r="NNQ1" s="643"/>
      <c r="NNR1" s="643"/>
      <c r="NNS1" s="643"/>
      <c r="NNT1" s="643"/>
      <c r="NNU1" s="643"/>
      <c r="NNV1" s="643"/>
      <c r="NNW1" s="643"/>
      <c r="NNX1" s="643"/>
      <c r="NNY1" s="643"/>
      <c r="NNZ1" s="643"/>
      <c r="NOA1" s="643"/>
      <c r="NOB1" s="643"/>
      <c r="NOC1" s="643"/>
      <c r="NOD1" s="643"/>
      <c r="NOE1" s="643"/>
      <c r="NOF1" s="643"/>
      <c r="NOG1" s="643"/>
      <c r="NOH1" s="643"/>
      <c r="NOI1" s="643"/>
      <c r="NOJ1" s="643"/>
      <c r="NOK1" s="643"/>
      <c r="NOL1" s="643"/>
      <c r="NOM1" s="643"/>
      <c r="NON1" s="643"/>
      <c r="NOO1" s="643"/>
      <c r="NOP1" s="643"/>
      <c r="NOQ1" s="643"/>
      <c r="NOR1" s="643"/>
      <c r="NOS1" s="643"/>
      <c r="NOT1" s="643"/>
      <c r="NOU1" s="643"/>
      <c r="NOV1" s="643"/>
      <c r="NOW1" s="643"/>
      <c r="NOX1" s="643"/>
      <c r="NOY1" s="643"/>
      <c r="NOZ1" s="643"/>
      <c r="NPA1" s="643"/>
      <c r="NPB1" s="643"/>
      <c r="NPC1" s="643"/>
      <c r="NPD1" s="643"/>
      <c r="NPE1" s="643"/>
      <c r="NPF1" s="643"/>
      <c r="NPG1" s="643"/>
      <c r="NPH1" s="643"/>
      <c r="NPI1" s="643"/>
      <c r="NPJ1" s="643"/>
      <c r="NPK1" s="643"/>
      <c r="NPL1" s="643"/>
      <c r="NPM1" s="643"/>
      <c r="NPN1" s="643"/>
      <c r="NPO1" s="643"/>
      <c r="NPP1" s="643"/>
      <c r="NPQ1" s="643"/>
      <c r="NPR1" s="643"/>
      <c r="NPS1" s="643"/>
      <c r="NPT1" s="643"/>
      <c r="NPU1" s="643"/>
      <c r="NPV1" s="643"/>
      <c r="NPW1" s="643"/>
      <c r="NPX1" s="643"/>
      <c r="NPY1" s="643"/>
      <c r="NPZ1" s="643"/>
      <c r="NQA1" s="643"/>
      <c r="NQB1" s="643"/>
      <c r="NQC1" s="643"/>
      <c r="NQD1" s="643"/>
      <c r="NQE1" s="643"/>
      <c r="NQF1" s="643"/>
      <c r="NQG1" s="643"/>
      <c r="NQH1" s="643"/>
      <c r="NQI1" s="643"/>
      <c r="NQJ1" s="643"/>
      <c r="NQK1" s="643"/>
      <c r="NQL1" s="643"/>
      <c r="NQM1" s="643"/>
      <c r="NQN1" s="643"/>
      <c r="NQO1" s="643"/>
      <c r="NQP1" s="643"/>
      <c r="NQQ1" s="643"/>
      <c r="NQR1" s="643"/>
      <c r="NQS1" s="643"/>
      <c r="NQT1" s="643"/>
      <c r="NQU1" s="643"/>
      <c r="NQV1" s="643"/>
      <c r="NQW1" s="643"/>
      <c r="NQX1" s="643"/>
      <c r="NQY1" s="643"/>
      <c r="NQZ1" s="643"/>
      <c r="NRA1" s="643"/>
      <c r="NRB1" s="643"/>
      <c r="NRC1" s="643"/>
      <c r="NRD1" s="643"/>
      <c r="NRE1" s="643"/>
      <c r="NRF1" s="643"/>
      <c r="NRG1" s="643"/>
      <c r="NRH1" s="643"/>
      <c r="NRI1" s="643"/>
      <c r="NRJ1" s="643"/>
      <c r="NRK1" s="643"/>
      <c r="NRL1" s="643"/>
      <c r="NRM1" s="643"/>
      <c r="NRN1" s="643"/>
      <c r="NRO1" s="643"/>
      <c r="NRP1" s="643"/>
      <c r="NRQ1" s="643"/>
      <c r="NRR1" s="643"/>
      <c r="NRS1" s="643"/>
      <c r="NRT1" s="643"/>
      <c r="NRU1" s="643"/>
      <c r="NRV1" s="643"/>
      <c r="NRW1" s="643"/>
      <c r="NRX1" s="643"/>
      <c r="NRY1" s="643"/>
      <c r="NRZ1" s="643"/>
      <c r="NSA1" s="643"/>
      <c r="NSB1" s="643"/>
      <c r="NSC1" s="643"/>
      <c r="NSD1" s="643"/>
      <c r="NSE1" s="643"/>
      <c r="NSF1" s="643"/>
      <c r="NSG1" s="643"/>
      <c r="NSH1" s="643"/>
      <c r="NSI1" s="643"/>
      <c r="NSJ1" s="643"/>
      <c r="NSK1" s="643"/>
      <c r="NSL1" s="643"/>
      <c r="NSM1" s="643"/>
      <c r="NSN1" s="643"/>
      <c r="NSO1" s="643"/>
      <c r="NSP1" s="643"/>
      <c r="NSQ1" s="643"/>
      <c r="NSR1" s="643"/>
      <c r="NSS1" s="643"/>
      <c r="NST1" s="643"/>
      <c r="NSU1" s="643"/>
      <c r="NSV1" s="643"/>
      <c r="NSW1" s="643"/>
      <c r="NSX1" s="643"/>
      <c r="NSY1" s="643"/>
      <c r="NSZ1" s="643"/>
      <c r="NTA1" s="643"/>
      <c r="NTB1" s="643"/>
      <c r="NTC1" s="643"/>
      <c r="NTD1" s="643"/>
      <c r="NTE1" s="643"/>
      <c r="NTF1" s="643"/>
      <c r="NTG1" s="643"/>
      <c r="NTH1" s="643"/>
      <c r="NTI1" s="643"/>
      <c r="NTJ1" s="643"/>
      <c r="NTK1" s="643"/>
      <c r="NTL1" s="643"/>
      <c r="NTM1" s="643"/>
      <c r="NTN1" s="643"/>
      <c r="NTO1" s="643"/>
      <c r="NTP1" s="643"/>
      <c r="NTQ1" s="643"/>
      <c r="NTR1" s="643"/>
      <c r="NTS1" s="643"/>
      <c r="NTT1" s="643"/>
      <c r="NTU1" s="643"/>
      <c r="NTV1" s="643"/>
      <c r="NTW1" s="643"/>
      <c r="NTX1" s="643"/>
      <c r="NTY1" s="643"/>
      <c r="NTZ1" s="643"/>
      <c r="NUA1" s="643"/>
      <c r="NUB1" s="643"/>
      <c r="NUC1" s="643"/>
      <c r="NUD1" s="643"/>
      <c r="NUE1" s="643"/>
      <c r="NUF1" s="643"/>
      <c r="NUG1" s="643"/>
      <c r="NUH1" s="643"/>
      <c r="NUI1" s="643"/>
      <c r="NUJ1" s="643"/>
      <c r="NUK1" s="643"/>
      <c r="NUL1" s="643"/>
      <c r="NUM1" s="643"/>
      <c r="NUN1" s="643"/>
      <c r="NUO1" s="643"/>
      <c r="NUP1" s="643"/>
      <c r="NUQ1" s="643"/>
      <c r="NUR1" s="643"/>
      <c r="NUS1" s="643"/>
      <c r="NUT1" s="643"/>
      <c r="NUU1" s="643"/>
      <c r="NUV1" s="643"/>
      <c r="NUW1" s="643"/>
      <c r="NUX1" s="643"/>
      <c r="NUY1" s="643"/>
      <c r="NUZ1" s="643"/>
      <c r="NVA1" s="643"/>
      <c r="NVB1" s="643"/>
      <c r="NVC1" s="643"/>
      <c r="NVD1" s="643"/>
      <c r="NVE1" s="643"/>
      <c r="NVF1" s="643"/>
      <c r="NVG1" s="643"/>
      <c r="NVH1" s="643"/>
      <c r="NVI1" s="643"/>
      <c r="NVJ1" s="643"/>
      <c r="NVK1" s="643"/>
      <c r="NVL1" s="643"/>
      <c r="NVM1" s="643"/>
      <c r="NVN1" s="643"/>
      <c r="NVO1" s="643"/>
      <c r="NVP1" s="643"/>
      <c r="NVQ1" s="643"/>
      <c r="NVR1" s="643"/>
      <c r="NVS1" s="643"/>
      <c r="NVT1" s="643"/>
      <c r="NVU1" s="643"/>
      <c r="NVV1" s="643"/>
      <c r="NVW1" s="643"/>
      <c r="NVX1" s="643"/>
      <c r="NVY1" s="643"/>
      <c r="NVZ1" s="643"/>
      <c r="NWA1" s="643"/>
      <c r="NWB1" s="643"/>
      <c r="NWC1" s="643"/>
      <c r="NWD1" s="643"/>
      <c r="NWE1" s="643"/>
      <c r="NWF1" s="643"/>
      <c r="NWG1" s="643"/>
      <c r="NWH1" s="643"/>
      <c r="NWI1" s="643"/>
      <c r="NWJ1" s="643"/>
      <c r="NWK1" s="643"/>
      <c r="NWL1" s="643"/>
      <c r="NWM1" s="643"/>
      <c r="NWN1" s="643"/>
      <c r="NWO1" s="643"/>
      <c r="NWP1" s="643"/>
      <c r="NWQ1" s="643"/>
      <c r="NWR1" s="643"/>
      <c r="NWS1" s="643"/>
      <c r="NWT1" s="643"/>
      <c r="NWU1" s="643"/>
      <c r="NWV1" s="643"/>
      <c r="NWW1" s="643"/>
      <c r="NWX1" s="643"/>
      <c r="NWY1" s="643"/>
      <c r="NWZ1" s="643"/>
      <c r="NXA1" s="643"/>
      <c r="NXB1" s="643"/>
      <c r="NXC1" s="643"/>
      <c r="NXD1" s="643"/>
      <c r="NXE1" s="643"/>
      <c r="NXF1" s="643"/>
      <c r="NXG1" s="643"/>
      <c r="NXH1" s="643"/>
      <c r="NXI1" s="643"/>
      <c r="NXJ1" s="643"/>
      <c r="NXK1" s="643"/>
      <c r="NXL1" s="643"/>
      <c r="NXM1" s="643"/>
      <c r="NXN1" s="643"/>
      <c r="NXO1" s="643"/>
      <c r="NXP1" s="643"/>
      <c r="NXQ1" s="643"/>
      <c r="NXR1" s="643"/>
      <c r="NXS1" s="643"/>
      <c r="NXT1" s="643"/>
      <c r="NXU1" s="643"/>
      <c r="NXV1" s="643"/>
      <c r="NXW1" s="643"/>
      <c r="NXX1" s="643"/>
      <c r="NXY1" s="643"/>
      <c r="NXZ1" s="643"/>
      <c r="NYA1" s="643"/>
      <c r="NYB1" s="643"/>
      <c r="NYC1" s="643"/>
      <c r="NYD1" s="643"/>
      <c r="NYE1" s="643"/>
      <c r="NYF1" s="643"/>
      <c r="NYG1" s="643"/>
      <c r="NYH1" s="643"/>
      <c r="NYI1" s="643"/>
      <c r="NYJ1" s="643"/>
      <c r="NYK1" s="643"/>
      <c r="NYL1" s="643"/>
      <c r="NYM1" s="643"/>
      <c r="NYN1" s="643"/>
      <c r="NYO1" s="643"/>
      <c r="NYP1" s="643"/>
      <c r="NYQ1" s="643"/>
      <c r="NYR1" s="643"/>
      <c r="NYS1" s="643"/>
      <c r="NYT1" s="643"/>
      <c r="NYU1" s="643"/>
      <c r="NYV1" s="643"/>
      <c r="NYW1" s="643"/>
      <c r="NYX1" s="643"/>
      <c r="NYY1" s="643"/>
      <c r="NYZ1" s="643"/>
      <c r="NZA1" s="643"/>
      <c r="NZB1" s="643"/>
      <c r="NZC1" s="643"/>
      <c r="NZD1" s="643"/>
      <c r="NZE1" s="643"/>
      <c r="NZF1" s="643"/>
      <c r="NZG1" s="643"/>
      <c r="NZH1" s="643"/>
      <c r="NZI1" s="643"/>
      <c r="NZJ1" s="643"/>
      <c r="NZK1" s="643"/>
      <c r="NZL1" s="643"/>
      <c r="NZM1" s="643"/>
      <c r="NZN1" s="643"/>
      <c r="NZO1" s="643"/>
      <c r="NZP1" s="643"/>
      <c r="NZQ1" s="643"/>
      <c r="NZR1" s="643"/>
      <c r="NZS1" s="643"/>
      <c r="NZT1" s="643"/>
      <c r="NZU1" s="643"/>
      <c r="NZV1" s="643"/>
      <c r="NZW1" s="643"/>
      <c r="NZX1" s="643"/>
      <c r="NZY1" s="643"/>
      <c r="NZZ1" s="643"/>
      <c r="OAA1" s="643"/>
      <c r="OAB1" s="643"/>
      <c r="OAC1" s="643"/>
      <c r="OAD1" s="643"/>
      <c r="OAE1" s="643"/>
      <c r="OAF1" s="643"/>
      <c r="OAG1" s="643"/>
      <c r="OAH1" s="643"/>
      <c r="OAI1" s="643"/>
      <c r="OAJ1" s="643"/>
      <c r="OAK1" s="643"/>
      <c r="OAL1" s="643"/>
      <c r="OAM1" s="643"/>
      <c r="OAN1" s="643"/>
      <c r="OAO1" s="643"/>
      <c r="OAP1" s="643"/>
      <c r="OAQ1" s="643"/>
      <c r="OAR1" s="643"/>
      <c r="OAS1" s="643"/>
      <c r="OAT1" s="643"/>
      <c r="OAU1" s="643"/>
      <c r="OAV1" s="643"/>
      <c r="OAW1" s="643"/>
      <c r="OAX1" s="643"/>
      <c r="OAY1" s="643"/>
      <c r="OAZ1" s="643"/>
      <c r="OBA1" s="643"/>
      <c r="OBB1" s="643"/>
      <c r="OBC1" s="643"/>
      <c r="OBD1" s="643"/>
      <c r="OBE1" s="643"/>
      <c r="OBF1" s="643"/>
      <c r="OBG1" s="643"/>
      <c r="OBH1" s="643"/>
      <c r="OBI1" s="643"/>
      <c r="OBJ1" s="643"/>
      <c r="OBK1" s="643"/>
      <c r="OBL1" s="643"/>
      <c r="OBM1" s="643"/>
      <c r="OBN1" s="643"/>
      <c r="OBO1" s="643"/>
      <c r="OBP1" s="643"/>
      <c r="OBQ1" s="643"/>
      <c r="OBR1" s="643"/>
      <c r="OBS1" s="643"/>
      <c r="OBT1" s="643"/>
      <c r="OBU1" s="643"/>
      <c r="OBV1" s="643"/>
      <c r="OBW1" s="643"/>
      <c r="OBX1" s="643"/>
      <c r="OBY1" s="643"/>
      <c r="OBZ1" s="643"/>
      <c r="OCA1" s="643"/>
      <c r="OCB1" s="643"/>
      <c r="OCC1" s="643"/>
      <c r="OCD1" s="643"/>
      <c r="OCE1" s="643"/>
      <c r="OCF1" s="643"/>
      <c r="OCG1" s="643"/>
      <c r="OCH1" s="643"/>
      <c r="OCI1" s="643"/>
      <c r="OCJ1" s="643"/>
      <c r="OCK1" s="643"/>
      <c r="OCL1" s="643"/>
      <c r="OCM1" s="643"/>
      <c r="OCN1" s="643"/>
      <c r="OCO1" s="643"/>
      <c r="OCP1" s="643"/>
      <c r="OCQ1" s="643"/>
      <c r="OCR1" s="643"/>
      <c r="OCS1" s="643"/>
      <c r="OCT1" s="643"/>
      <c r="OCU1" s="643"/>
      <c r="OCV1" s="643"/>
      <c r="OCW1" s="643"/>
      <c r="OCX1" s="643"/>
      <c r="OCY1" s="643"/>
      <c r="OCZ1" s="643"/>
      <c r="ODA1" s="643"/>
      <c r="ODB1" s="643"/>
      <c r="ODC1" s="643"/>
      <c r="ODD1" s="643"/>
      <c r="ODE1" s="643"/>
      <c r="ODF1" s="643"/>
      <c r="ODG1" s="643"/>
      <c r="ODH1" s="643"/>
      <c r="ODI1" s="643"/>
      <c r="ODJ1" s="643"/>
      <c r="ODK1" s="643"/>
      <c r="ODL1" s="643"/>
      <c r="ODM1" s="643"/>
      <c r="ODN1" s="643"/>
      <c r="ODO1" s="643"/>
      <c r="ODP1" s="643"/>
      <c r="ODQ1" s="643"/>
      <c r="ODR1" s="643"/>
      <c r="ODS1" s="643"/>
      <c r="ODT1" s="643"/>
      <c r="ODU1" s="643"/>
      <c r="ODV1" s="643"/>
      <c r="ODW1" s="643"/>
      <c r="ODX1" s="643"/>
      <c r="ODY1" s="643"/>
      <c r="ODZ1" s="643"/>
      <c r="OEA1" s="643"/>
      <c r="OEB1" s="643"/>
      <c r="OEC1" s="643"/>
      <c r="OED1" s="643"/>
      <c r="OEE1" s="643"/>
      <c r="OEF1" s="643"/>
      <c r="OEG1" s="643"/>
      <c r="OEH1" s="643"/>
      <c r="OEI1" s="643"/>
      <c r="OEJ1" s="643"/>
      <c r="OEK1" s="643"/>
      <c r="OEL1" s="643"/>
      <c r="OEM1" s="643"/>
      <c r="OEN1" s="643"/>
      <c r="OEO1" s="643"/>
      <c r="OEP1" s="643"/>
      <c r="OEQ1" s="643"/>
      <c r="OER1" s="643"/>
      <c r="OES1" s="643"/>
      <c r="OET1" s="643"/>
      <c r="OEU1" s="643"/>
      <c r="OEV1" s="643"/>
      <c r="OEW1" s="643"/>
      <c r="OEX1" s="643"/>
      <c r="OEY1" s="643"/>
      <c r="OEZ1" s="643"/>
      <c r="OFA1" s="643"/>
      <c r="OFB1" s="643"/>
      <c r="OFC1" s="643"/>
      <c r="OFD1" s="643"/>
      <c r="OFE1" s="643"/>
      <c r="OFF1" s="643"/>
      <c r="OFG1" s="643"/>
      <c r="OFH1" s="643"/>
      <c r="OFI1" s="643"/>
      <c r="OFJ1" s="643"/>
      <c r="OFK1" s="643"/>
      <c r="OFL1" s="643"/>
      <c r="OFM1" s="643"/>
      <c r="OFN1" s="643"/>
      <c r="OFO1" s="643"/>
      <c r="OFP1" s="643"/>
      <c r="OFQ1" s="643"/>
      <c r="OFR1" s="643"/>
      <c r="OFS1" s="643"/>
      <c r="OFT1" s="643"/>
      <c r="OFU1" s="643"/>
      <c r="OFV1" s="643"/>
      <c r="OFW1" s="643"/>
      <c r="OFX1" s="643"/>
      <c r="OFY1" s="643"/>
      <c r="OFZ1" s="643"/>
      <c r="OGA1" s="643"/>
      <c r="OGB1" s="643"/>
      <c r="OGC1" s="643"/>
      <c r="OGD1" s="643"/>
      <c r="OGE1" s="643"/>
      <c r="OGF1" s="643"/>
      <c r="OGG1" s="643"/>
      <c r="OGH1" s="643"/>
      <c r="OGI1" s="643"/>
      <c r="OGJ1" s="643"/>
      <c r="OGK1" s="643"/>
      <c r="OGL1" s="643"/>
      <c r="OGM1" s="643"/>
      <c r="OGN1" s="643"/>
      <c r="OGO1" s="643"/>
      <c r="OGP1" s="643"/>
      <c r="OGQ1" s="643"/>
      <c r="OGR1" s="643"/>
      <c r="OGS1" s="643"/>
      <c r="OGT1" s="643"/>
      <c r="OGU1" s="643"/>
      <c r="OGV1" s="643"/>
      <c r="OGW1" s="643"/>
      <c r="OGX1" s="643"/>
      <c r="OGY1" s="643"/>
      <c r="OGZ1" s="643"/>
      <c r="OHA1" s="643"/>
      <c r="OHB1" s="643"/>
      <c r="OHC1" s="643"/>
      <c r="OHD1" s="643"/>
      <c r="OHE1" s="643"/>
      <c r="OHF1" s="643"/>
      <c r="OHG1" s="643"/>
      <c r="OHH1" s="643"/>
      <c r="OHI1" s="643"/>
      <c r="OHJ1" s="643"/>
      <c r="OHK1" s="643"/>
      <c r="OHL1" s="643"/>
      <c r="OHM1" s="643"/>
      <c r="OHN1" s="643"/>
      <c r="OHO1" s="643"/>
      <c r="OHP1" s="643"/>
      <c r="OHQ1" s="643"/>
      <c r="OHR1" s="643"/>
      <c r="OHS1" s="643"/>
      <c r="OHT1" s="643"/>
      <c r="OHU1" s="643"/>
      <c r="OHV1" s="643"/>
      <c r="OHW1" s="643"/>
      <c r="OHX1" s="643"/>
      <c r="OHY1" s="643"/>
      <c r="OHZ1" s="643"/>
      <c r="OIA1" s="643"/>
      <c r="OIB1" s="643"/>
      <c r="OIC1" s="643"/>
      <c r="OID1" s="643"/>
      <c r="OIE1" s="643"/>
      <c r="OIF1" s="643"/>
      <c r="OIG1" s="643"/>
      <c r="OIH1" s="643"/>
      <c r="OII1" s="643"/>
      <c r="OIJ1" s="643"/>
      <c r="OIK1" s="643"/>
      <c r="OIL1" s="643"/>
      <c r="OIM1" s="643"/>
      <c r="OIN1" s="643"/>
      <c r="OIO1" s="643"/>
      <c r="OIP1" s="643"/>
      <c r="OIQ1" s="643"/>
      <c r="OIR1" s="643"/>
      <c r="OIS1" s="643"/>
      <c r="OIT1" s="643"/>
      <c r="OIU1" s="643"/>
      <c r="OIV1" s="643"/>
      <c r="OIW1" s="643"/>
      <c r="OIX1" s="643"/>
      <c r="OIY1" s="643"/>
      <c r="OIZ1" s="643"/>
      <c r="OJA1" s="643"/>
      <c r="OJB1" s="643"/>
      <c r="OJC1" s="643"/>
      <c r="OJD1" s="643"/>
      <c r="OJE1" s="643"/>
      <c r="OJF1" s="643"/>
      <c r="OJG1" s="643"/>
      <c r="OJH1" s="643"/>
      <c r="OJI1" s="643"/>
      <c r="OJJ1" s="643"/>
      <c r="OJK1" s="643"/>
      <c r="OJL1" s="643"/>
      <c r="OJM1" s="643"/>
      <c r="OJN1" s="643"/>
      <c r="OJO1" s="643"/>
      <c r="OJP1" s="643"/>
      <c r="OJQ1" s="643"/>
      <c r="OJR1" s="643"/>
      <c r="OJS1" s="643"/>
      <c r="OJT1" s="643"/>
      <c r="OJU1" s="643"/>
      <c r="OJV1" s="643"/>
      <c r="OJW1" s="643"/>
      <c r="OJX1" s="643"/>
      <c r="OJY1" s="643"/>
      <c r="OJZ1" s="643"/>
      <c r="OKA1" s="643"/>
      <c r="OKB1" s="643"/>
      <c r="OKC1" s="643"/>
      <c r="OKD1" s="643"/>
      <c r="OKE1" s="643"/>
      <c r="OKF1" s="643"/>
      <c r="OKG1" s="643"/>
      <c r="OKH1" s="643"/>
      <c r="OKI1" s="643"/>
      <c r="OKJ1" s="643"/>
      <c r="OKK1" s="643"/>
      <c r="OKL1" s="643"/>
      <c r="OKM1" s="643"/>
      <c r="OKN1" s="643"/>
      <c r="OKO1" s="643"/>
      <c r="OKP1" s="643"/>
      <c r="OKQ1" s="643"/>
      <c r="OKR1" s="643"/>
      <c r="OKS1" s="643"/>
      <c r="OKT1" s="643"/>
      <c r="OKU1" s="643"/>
      <c r="OKV1" s="643"/>
      <c r="OKW1" s="643"/>
      <c r="OKX1" s="643"/>
      <c r="OKY1" s="643"/>
      <c r="OKZ1" s="643"/>
      <c r="OLA1" s="643"/>
      <c r="OLB1" s="643"/>
      <c r="OLC1" s="643"/>
      <c r="OLD1" s="643"/>
      <c r="OLE1" s="643"/>
      <c r="OLF1" s="643"/>
      <c r="OLG1" s="643"/>
      <c r="OLH1" s="643"/>
      <c r="OLI1" s="643"/>
      <c r="OLJ1" s="643"/>
      <c r="OLK1" s="643"/>
      <c r="OLL1" s="643"/>
      <c r="OLM1" s="643"/>
      <c r="OLN1" s="643"/>
      <c r="OLO1" s="643"/>
      <c r="OLP1" s="643"/>
      <c r="OLQ1" s="643"/>
      <c r="OLR1" s="643"/>
      <c r="OLS1" s="643"/>
      <c r="OLT1" s="643"/>
      <c r="OLU1" s="643"/>
      <c r="OLV1" s="643"/>
      <c r="OLW1" s="643"/>
      <c r="OLX1" s="643"/>
      <c r="OLY1" s="643"/>
      <c r="OLZ1" s="643"/>
      <c r="OMA1" s="643"/>
      <c r="OMB1" s="643"/>
      <c r="OMC1" s="643"/>
      <c r="OMD1" s="643"/>
      <c r="OME1" s="643"/>
      <c r="OMF1" s="643"/>
      <c r="OMG1" s="643"/>
      <c r="OMH1" s="643"/>
      <c r="OMI1" s="643"/>
      <c r="OMJ1" s="643"/>
      <c r="OMK1" s="643"/>
      <c r="OML1" s="643"/>
      <c r="OMM1" s="643"/>
      <c r="OMN1" s="643"/>
      <c r="OMO1" s="643"/>
      <c r="OMP1" s="643"/>
      <c r="OMQ1" s="643"/>
      <c r="OMR1" s="643"/>
      <c r="OMS1" s="643"/>
      <c r="OMT1" s="643"/>
      <c r="OMU1" s="643"/>
      <c r="OMV1" s="643"/>
      <c r="OMW1" s="643"/>
      <c r="OMX1" s="643"/>
      <c r="OMY1" s="643"/>
      <c r="OMZ1" s="643"/>
      <c r="ONA1" s="643"/>
      <c r="ONB1" s="643"/>
      <c r="ONC1" s="643"/>
      <c r="OND1" s="643"/>
      <c r="ONE1" s="643"/>
      <c r="ONF1" s="643"/>
      <c r="ONG1" s="643"/>
      <c r="ONH1" s="643"/>
      <c r="ONI1" s="643"/>
      <c r="ONJ1" s="643"/>
      <c r="ONK1" s="643"/>
      <c r="ONL1" s="643"/>
      <c r="ONM1" s="643"/>
      <c r="ONN1" s="643"/>
      <c r="ONO1" s="643"/>
      <c r="ONP1" s="643"/>
      <c r="ONQ1" s="643"/>
      <c r="ONR1" s="643"/>
      <c r="ONS1" s="643"/>
      <c r="ONT1" s="643"/>
      <c r="ONU1" s="643"/>
      <c r="ONV1" s="643"/>
      <c r="ONW1" s="643"/>
      <c r="ONX1" s="643"/>
      <c r="ONY1" s="643"/>
      <c r="ONZ1" s="643"/>
      <c r="OOA1" s="643"/>
      <c r="OOB1" s="643"/>
      <c r="OOC1" s="643"/>
      <c r="OOD1" s="643"/>
      <c r="OOE1" s="643"/>
      <c r="OOF1" s="643"/>
      <c r="OOG1" s="643"/>
      <c r="OOH1" s="643"/>
      <c r="OOI1" s="643"/>
      <c r="OOJ1" s="643"/>
      <c r="OOK1" s="643"/>
      <c r="OOL1" s="643"/>
      <c r="OOM1" s="643"/>
      <c r="OON1" s="643"/>
      <c r="OOO1" s="643"/>
      <c r="OOP1" s="643"/>
      <c r="OOQ1" s="643"/>
      <c r="OOR1" s="643"/>
      <c r="OOS1" s="643"/>
      <c r="OOT1" s="643"/>
      <c r="OOU1" s="643"/>
      <c r="OOV1" s="643"/>
      <c r="OOW1" s="643"/>
      <c r="OOX1" s="643"/>
      <c r="OOY1" s="643"/>
      <c r="OOZ1" s="643"/>
      <c r="OPA1" s="643"/>
      <c r="OPB1" s="643"/>
      <c r="OPC1" s="643"/>
      <c r="OPD1" s="643"/>
      <c r="OPE1" s="643"/>
      <c r="OPF1" s="643"/>
      <c r="OPG1" s="643"/>
      <c r="OPH1" s="643"/>
      <c r="OPI1" s="643"/>
      <c r="OPJ1" s="643"/>
      <c r="OPK1" s="643"/>
      <c r="OPL1" s="643"/>
      <c r="OPM1" s="643"/>
      <c r="OPN1" s="643"/>
      <c r="OPO1" s="643"/>
      <c r="OPP1" s="643"/>
      <c r="OPQ1" s="643"/>
      <c r="OPR1" s="643"/>
      <c r="OPS1" s="643"/>
      <c r="OPT1" s="643"/>
      <c r="OPU1" s="643"/>
      <c r="OPV1" s="643"/>
      <c r="OPW1" s="643"/>
      <c r="OPX1" s="643"/>
      <c r="OPY1" s="643"/>
      <c r="OPZ1" s="643"/>
      <c r="OQA1" s="643"/>
      <c r="OQB1" s="643"/>
      <c r="OQC1" s="643"/>
      <c r="OQD1" s="643"/>
      <c r="OQE1" s="643"/>
      <c r="OQF1" s="643"/>
      <c r="OQG1" s="643"/>
      <c r="OQH1" s="643"/>
      <c r="OQI1" s="643"/>
      <c r="OQJ1" s="643"/>
      <c r="OQK1" s="643"/>
      <c r="OQL1" s="643"/>
      <c r="OQM1" s="643"/>
      <c r="OQN1" s="643"/>
      <c r="OQO1" s="643"/>
      <c r="OQP1" s="643"/>
      <c r="OQQ1" s="643"/>
      <c r="OQR1" s="643"/>
      <c r="OQS1" s="643"/>
      <c r="OQT1" s="643"/>
      <c r="OQU1" s="643"/>
      <c r="OQV1" s="643"/>
      <c r="OQW1" s="643"/>
      <c r="OQX1" s="643"/>
      <c r="OQY1" s="643"/>
      <c r="OQZ1" s="643"/>
      <c r="ORA1" s="643"/>
      <c r="ORB1" s="643"/>
      <c r="ORC1" s="643"/>
      <c r="ORD1" s="643"/>
      <c r="ORE1" s="643"/>
      <c r="ORF1" s="643"/>
      <c r="ORG1" s="643"/>
      <c r="ORH1" s="643"/>
      <c r="ORI1" s="643"/>
      <c r="ORJ1" s="643"/>
      <c r="ORK1" s="643"/>
      <c r="ORL1" s="643"/>
      <c r="ORM1" s="643"/>
      <c r="ORN1" s="643"/>
      <c r="ORO1" s="643"/>
      <c r="ORP1" s="643"/>
      <c r="ORQ1" s="643"/>
      <c r="ORR1" s="643"/>
      <c r="ORS1" s="643"/>
      <c r="ORT1" s="643"/>
      <c r="ORU1" s="643"/>
      <c r="ORV1" s="643"/>
      <c r="ORW1" s="643"/>
      <c r="ORX1" s="643"/>
      <c r="ORY1" s="643"/>
      <c r="ORZ1" s="643"/>
      <c r="OSA1" s="643"/>
      <c r="OSB1" s="643"/>
      <c r="OSC1" s="643"/>
      <c r="OSD1" s="643"/>
      <c r="OSE1" s="643"/>
      <c r="OSF1" s="643"/>
      <c r="OSG1" s="643"/>
      <c r="OSH1" s="643"/>
      <c r="OSI1" s="643"/>
      <c r="OSJ1" s="643"/>
      <c r="OSK1" s="643"/>
      <c r="OSL1" s="643"/>
      <c r="OSM1" s="643"/>
      <c r="OSN1" s="643"/>
      <c r="OSO1" s="643"/>
      <c r="OSP1" s="643"/>
      <c r="OSQ1" s="643"/>
      <c r="OSR1" s="643"/>
      <c r="OSS1" s="643"/>
      <c r="OST1" s="643"/>
      <c r="OSU1" s="643"/>
      <c r="OSV1" s="643"/>
      <c r="OSW1" s="643"/>
      <c r="OSX1" s="643"/>
      <c r="OSY1" s="643"/>
      <c r="OSZ1" s="643"/>
      <c r="OTA1" s="643"/>
      <c r="OTB1" s="643"/>
      <c r="OTC1" s="643"/>
      <c r="OTD1" s="643"/>
      <c r="OTE1" s="643"/>
      <c r="OTF1" s="643"/>
      <c r="OTG1" s="643"/>
      <c r="OTH1" s="643"/>
      <c r="OTI1" s="643"/>
      <c r="OTJ1" s="643"/>
      <c r="OTK1" s="643"/>
      <c r="OTL1" s="643"/>
      <c r="OTM1" s="643"/>
      <c r="OTN1" s="643"/>
      <c r="OTO1" s="643"/>
      <c r="OTP1" s="643"/>
      <c r="OTQ1" s="643"/>
      <c r="OTR1" s="643"/>
      <c r="OTS1" s="643"/>
      <c r="OTT1" s="643"/>
      <c r="OTU1" s="643"/>
      <c r="OTV1" s="643"/>
      <c r="OTW1" s="643"/>
      <c r="OTX1" s="643"/>
      <c r="OTY1" s="643"/>
      <c r="OTZ1" s="643"/>
      <c r="OUA1" s="643"/>
      <c r="OUB1" s="643"/>
      <c r="OUC1" s="643"/>
      <c r="OUD1" s="643"/>
      <c r="OUE1" s="643"/>
      <c r="OUF1" s="643"/>
      <c r="OUG1" s="643"/>
      <c r="OUH1" s="643"/>
      <c r="OUI1" s="643"/>
      <c r="OUJ1" s="643"/>
      <c r="OUK1" s="643"/>
      <c r="OUL1" s="643"/>
      <c r="OUM1" s="643"/>
      <c r="OUN1" s="643"/>
      <c r="OUO1" s="643"/>
      <c r="OUP1" s="643"/>
      <c r="OUQ1" s="643"/>
      <c r="OUR1" s="643"/>
      <c r="OUS1" s="643"/>
      <c r="OUT1" s="643"/>
      <c r="OUU1" s="643"/>
      <c r="OUV1" s="643"/>
      <c r="OUW1" s="643"/>
      <c r="OUX1" s="643"/>
      <c r="OUY1" s="643"/>
      <c r="OUZ1" s="643"/>
      <c r="OVA1" s="643"/>
      <c r="OVB1" s="643"/>
      <c r="OVC1" s="643"/>
      <c r="OVD1" s="643"/>
      <c r="OVE1" s="643"/>
      <c r="OVF1" s="643"/>
      <c r="OVG1" s="643"/>
      <c r="OVH1" s="643"/>
      <c r="OVI1" s="643"/>
      <c r="OVJ1" s="643"/>
      <c r="OVK1" s="643"/>
      <c r="OVL1" s="643"/>
      <c r="OVM1" s="643"/>
      <c r="OVN1" s="643"/>
      <c r="OVO1" s="643"/>
      <c r="OVP1" s="643"/>
      <c r="OVQ1" s="643"/>
      <c r="OVR1" s="643"/>
      <c r="OVS1" s="643"/>
      <c r="OVT1" s="643"/>
      <c r="OVU1" s="643"/>
      <c r="OVV1" s="643"/>
      <c r="OVW1" s="643"/>
      <c r="OVX1" s="643"/>
      <c r="OVY1" s="643"/>
      <c r="OVZ1" s="643"/>
      <c r="OWA1" s="643"/>
      <c r="OWB1" s="643"/>
      <c r="OWC1" s="643"/>
      <c r="OWD1" s="643"/>
      <c r="OWE1" s="643"/>
      <c r="OWF1" s="643"/>
      <c r="OWG1" s="643"/>
      <c r="OWH1" s="643"/>
      <c r="OWI1" s="643"/>
      <c r="OWJ1" s="643"/>
      <c r="OWK1" s="643"/>
      <c r="OWL1" s="643"/>
      <c r="OWM1" s="643"/>
      <c r="OWN1" s="643"/>
      <c r="OWO1" s="643"/>
      <c r="OWP1" s="643"/>
      <c r="OWQ1" s="643"/>
      <c r="OWR1" s="643"/>
      <c r="OWS1" s="643"/>
      <c r="OWT1" s="643"/>
      <c r="OWU1" s="643"/>
      <c r="OWV1" s="643"/>
      <c r="OWW1" s="643"/>
      <c r="OWX1" s="643"/>
      <c r="OWY1" s="643"/>
      <c r="OWZ1" s="643"/>
      <c r="OXA1" s="643"/>
      <c r="OXB1" s="643"/>
      <c r="OXC1" s="643"/>
      <c r="OXD1" s="643"/>
      <c r="OXE1" s="643"/>
      <c r="OXF1" s="643"/>
      <c r="OXG1" s="643"/>
      <c r="OXH1" s="643"/>
      <c r="OXI1" s="643"/>
      <c r="OXJ1" s="643"/>
      <c r="OXK1" s="643"/>
      <c r="OXL1" s="643"/>
      <c r="OXM1" s="643"/>
      <c r="OXN1" s="643"/>
      <c r="OXO1" s="643"/>
      <c r="OXP1" s="643"/>
      <c r="OXQ1" s="643"/>
      <c r="OXR1" s="643"/>
      <c r="OXS1" s="643"/>
      <c r="OXT1" s="643"/>
      <c r="OXU1" s="643"/>
      <c r="OXV1" s="643"/>
      <c r="OXW1" s="643"/>
      <c r="OXX1" s="643"/>
      <c r="OXY1" s="643"/>
      <c r="OXZ1" s="643"/>
      <c r="OYA1" s="643"/>
      <c r="OYB1" s="643"/>
      <c r="OYC1" s="643"/>
      <c r="OYD1" s="643"/>
      <c r="OYE1" s="643"/>
      <c r="OYF1" s="643"/>
      <c r="OYG1" s="643"/>
      <c r="OYH1" s="643"/>
      <c r="OYI1" s="643"/>
      <c r="OYJ1" s="643"/>
      <c r="OYK1" s="643"/>
      <c r="OYL1" s="643"/>
      <c r="OYM1" s="643"/>
      <c r="OYN1" s="643"/>
      <c r="OYO1" s="643"/>
      <c r="OYP1" s="643"/>
      <c r="OYQ1" s="643"/>
      <c r="OYR1" s="643"/>
      <c r="OYS1" s="643"/>
      <c r="OYT1" s="643"/>
      <c r="OYU1" s="643"/>
      <c r="OYV1" s="643"/>
      <c r="OYW1" s="643"/>
      <c r="OYX1" s="643"/>
      <c r="OYY1" s="643"/>
      <c r="OYZ1" s="643"/>
      <c r="OZA1" s="643"/>
      <c r="OZB1" s="643"/>
      <c r="OZC1" s="643"/>
      <c r="OZD1" s="643"/>
      <c r="OZE1" s="643"/>
      <c r="OZF1" s="643"/>
      <c r="OZG1" s="643"/>
      <c r="OZH1" s="643"/>
      <c r="OZI1" s="643"/>
      <c r="OZJ1" s="643"/>
      <c r="OZK1" s="643"/>
      <c r="OZL1" s="643"/>
      <c r="OZM1" s="643"/>
      <c r="OZN1" s="643"/>
      <c r="OZO1" s="643"/>
      <c r="OZP1" s="643"/>
      <c r="OZQ1" s="643"/>
      <c r="OZR1" s="643"/>
      <c r="OZS1" s="643"/>
      <c r="OZT1" s="643"/>
      <c r="OZU1" s="643"/>
      <c r="OZV1" s="643"/>
      <c r="OZW1" s="643"/>
      <c r="OZX1" s="643"/>
      <c r="OZY1" s="643"/>
      <c r="OZZ1" s="643"/>
      <c r="PAA1" s="643"/>
      <c r="PAB1" s="643"/>
      <c r="PAC1" s="643"/>
      <c r="PAD1" s="643"/>
      <c r="PAE1" s="643"/>
      <c r="PAF1" s="643"/>
      <c r="PAG1" s="643"/>
      <c r="PAH1" s="643"/>
      <c r="PAI1" s="643"/>
      <c r="PAJ1" s="643"/>
      <c r="PAK1" s="643"/>
      <c r="PAL1" s="643"/>
      <c r="PAM1" s="643"/>
      <c r="PAN1" s="643"/>
      <c r="PAO1" s="643"/>
      <c r="PAP1" s="643"/>
      <c r="PAQ1" s="643"/>
      <c r="PAR1" s="643"/>
      <c r="PAS1" s="643"/>
      <c r="PAT1" s="643"/>
      <c r="PAU1" s="643"/>
      <c r="PAV1" s="643"/>
      <c r="PAW1" s="643"/>
      <c r="PAX1" s="643"/>
      <c r="PAY1" s="643"/>
      <c r="PAZ1" s="643"/>
      <c r="PBA1" s="643"/>
      <c r="PBB1" s="643"/>
      <c r="PBC1" s="643"/>
      <c r="PBD1" s="643"/>
      <c r="PBE1" s="643"/>
      <c r="PBF1" s="643"/>
      <c r="PBG1" s="643"/>
      <c r="PBH1" s="643"/>
      <c r="PBI1" s="643"/>
      <c r="PBJ1" s="643"/>
      <c r="PBK1" s="643"/>
      <c r="PBL1" s="643"/>
      <c r="PBM1" s="643"/>
      <c r="PBN1" s="643"/>
      <c r="PBO1" s="643"/>
      <c r="PBP1" s="643"/>
      <c r="PBQ1" s="643"/>
      <c r="PBR1" s="643"/>
      <c r="PBS1" s="643"/>
      <c r="PBT1" s="643"/>
      <c r="PBU1" s="643"/>
      <c r="PBV1" s="643"/>
      <c r="PBW1" s="643"/>
      <c r="PBX1" s="643"/>
      <c r="PBY1" s="643"/>
      <c r="PBZ1" s="643"/>
      <c r="PCA1" s="643"/>
      <c r="PCB1" s="643"/>
      <c r="PCC1" s="643"/>
      <c r="PCD1" s="643"/>
      <c r="PCE1" s="643"/>
      <c r="PCF1" s="643"/>
      <c r="PCG1" s="643"/>
      <c r="PCH1" s="643"/>
      <c r="PCI1" s="643"/>
      <c r="PCJ1" s="643"/>
      <c r="PCK1" s="643"/>
      <c r="PCL1" s="643"/>
      <c r="PCM1" s="643"/>
      <c r="PCN1" s="643"/>
      <c r="PCO1" s="643"/>
      <c r="PCP1" s="643"/>
      <c r="PCQ1" s="643"/>
      <c r="PCR1" s="643"/>
      <c r="PCS1" s="643"/>
      <c r="PCT1" s="643"/>
      <c r="PCU1" s="643"/>
      <c r="PCV1" s="643"/>
      <c r="PCW1" s="643"/>
      <c r="PCX1" s="643"/>
      <c r="PCY1" s="643"/>
      <c r="PCZ1" s="643"/>
      <c r="PDA1" s="643"/>
      <c r="PDB1" s="643"/>
      <c r="PDC1" s="643"/>
      <c r="PDD1" s="643"/>
      <c r="PDE1" s="643"/>
      <c r="PDF1" s="643"/>
      <c r="PDG1" s="643"/>
      <c r="PDH1" s="643"/>
      <c r="PDI1" s="643"/>
      <c r="PDJ1" s="643"/>
      <c r="PDK1" s="643"/>
      <c r="PDL1" s="643"/>
      <c r="PDM1" s="643"/>
      <c r="PDN1" s="643"/>
      <c r="PDO1" s="643"/>
      <c r="PDP1" s="643"/>
      <c r="PDQ1" s="643"/>
      <c r="PDR1" s="643"/>
      <c r="PDS1" s="643"/>
      <c r="PDT1" s="643"/>
      <c r="PDU1" s="643"/>
      <c r="PDV1" s="643"/>
      <c r="PDW1" s="643"/>
      <c r="PDX1" s="643"/>
      <c r="PDY1" s="643"/>
      <c r="PDZ1" s="643"/>
      <c r="PEA1" s="643"/>
      <c r="PEB1" s="643"/>
      <c r="PEC1" s="643"/>
      <c r="PED1" s="643"/>
      <c r="PEE1" s="643"/>
      <c r="PEF1" s="643"/>
      <c r="PEG1" s="643"/>
      <c r="PEH1" s="643"/>
      <c r="PEI1" s="643"/>
      <c r="PEJ1" s="643"/>
      <c r="PEK1" s="643"/>
      <c r="PEL1" s="643"/>
      <c r="PEM1" s="643"/>
      <c r="PEN1" s="643"/>
      <c r="PEO1" s="643"/>
      <c r="PEP1" s="643"/>
      <c r="PEQ1" s="643"/>
      <c r="PER1" s="643"/>
      <c r="PES1" s="643"/>
      <c r="PET1" s="643"/>
      <c r="PEU1" s="643"/>
      <c r="PEV1" s="643"/>
      <c r="PEW1" s="643"/>
      <c r="PEX1" s="643"/>
      <c r="PEY1" s="643"/>
      <c r="PEZ1" s="643"/>
      <c r="PFA1" s="643"/>
      <c r="PFB1" s="643"/>
      <c r="PFC1" s="643"/>
      <c r="PFD1" s="643"/>
      <c r="PFE1" s="643"/>
      <c r="PFF1" s="643"/>
      <c r="PFG1" s="643"/>
      <c r="PFH1" s="643"/>
      <c r="PFI1" s="643"/>
      <c r="PFJ1" s="643"/>
      <c r="PFK1" s="643"/>
      <c r="PFL1" s="643"/>
      <c r="PFM1" s="643"/>
      <c r="PFN1" s="643"/>
      <c r="PFO1" s="643"/>
      <c r="PFP1" s="643"/>
      <c r="PFQ1" s="643"/>
      <c r="PFR1" s="643"/>
      <c r="PFS1" s="643"/>
      <c r="PFT1" s="643"/>
      <c r="PFU1" s="643"/>
      <c r="PFV1" s="643"/>
      <c r="PFW1" s="643"/>
      <c r="PFX1" s="643"/>
      <c r="PFY1" s="643"/>
      <c r="PFZ1" s="643"/>
      <c r="PGA1" s="643"/>
      <c r="PGB1" s="643"/>
      <c r="PGC1" s="643"/>
      <c r="PGD1" s="643"/>
      <c r="PGE1" s="643"/>
      <c r="PGF1" s="643"/>
      <c r="PGG1" s="643"/>
      <c r="PGH1" s="643"/>
      <c r="PGI1" s="643"/>
      <c r="PGJ1" s="643"/>
      <c r="PGK1" s="643"/>
      <c r="PGL1" s="643"/>
      <c r="PGM1" s="643"/>
      <c r="PGN1" s="643"/>
      <c r="PGO1" s="643"/>
      <c r="PGP1" s="643"/>
      <c r="PGQ1" s="643"/>
      <c r="PGR1" s="643"/>
      <c r="PGS1" s="643"/>
      <c r="PGT1" s="643"/>
      <c r="PGU1" s="643"/>
      <c r="PGV1" s="643"/>
      <c r="PGW1" s="643"/>
      <c r="PGX1" s="643"/>
      <c r="PGY1" s="643"/>
      <c r="PGZ1" s="643"/>
      <c r="PHA1" s="643"/>
      <c r="PHB1" s="643"/>
      <c r="PHC1" s="643"/>
      <c r="PHD1" s="643"/>
      <c r="PHE1" s="643"/>
      <c r="PHF1" s="643"/>
      <c r="PHG1" s="643"/>
      <c r="PHH1" s="643"/>
      <c r="PHI1" s="643"/>
      <c r="PHJ1" s="643"/>
      <c r="PHK1" s="643"/>
      <c r="PHL1" s="643"/>
      <c r="PHM1" s="643"/>
      <c r="PHN1" s="643"/>
      <c r="PHO1" s="643"/>
      <c r="PHP1" s="643"/>
      <c r="PHQ1" s="643"/>
      <c r="PHR1" s="643"/>
      <c r="PHS1" s="643"/>
      <c r="PHT1" s="643"/>
      <c r="PHU1" s="643"/>
      <c r="PHV1" s="643"/>
      <c r="PHW1" s="643"/>
      <c r="PHX1" s="643"/>
      <c r="PHY1" s="643"/>
      <c r="PHZ1" s="643"/>
      <c r="PIA1" s="643"/>
      <c r="PIB1" s="643"/>
      <c r="PIC1" s="643"/>
      <c r="PID1" s="643"/>
      <c r="PIE1" s="643"/>
      <c r="PIF1" s="643"/>
      <c r="PIG1" s="643"/>
      <c r="PIH1" s="643"/>
      <c r="PII1" s="643"/>
      <c r="PIJ1" s="643"/>
      <c r="PIK1" s="643"/>
      <c r="PIL1" s="643"/>
      <c r="PIM1" s="643"/>
      <c r="PIN1" s="643"/>
      <c r="PIO1" s="643"/>
      <c r="PIP1" s="643"/>
      <c r="PIQ1" s="643"/>
      <c r="PIR1" s="643"/>
      <c r="PIS1" s="643"/>
      <c r="PIT1" s="643"/>
      <c r="PIU1" s="643"/>
      <c r="PIV1" s="643"/>
      <c r="PIW1" s="643"/>
      <c r="PIX1" s="643"/>
      <c r="PIY1" s="643"/>
      <c r="PIZ1" s="643"/>
      <c r="PJA1" s="643"/>
      <c r="PJB1" s="643"/>
      <c r="PJC1" s="643"/>
      <c r="PJD1" s="643"/>
      <c r="PJE1" s="643"/>
      <c r="PJF1" s="643"/>
      <c r="PJG1" s="643"/>
      <c r="PJH1" s="643"/>
      <c r="PJI1" s="643"/>
      <c r="PJJ1" s="643"/>
      <c r="PJK1" s="643"/>
      <c r="PJL1" s="643"/>
      <c r="PJM1" s="643"/>
      <c r="PJN1" s="643"/>
      <c r="PJO1" s="643"/>
      <c r="PJP1" s="643"/>
      <c r="PJQ1" s="643"/>
      <c r="PJR1" s="643"/>
      <c r="PJS1" s="643"/>
      <c r="PJT1" s="643"/>
      <c r="PJU1" s="643"/>
      <c r="PJV1" s="643"/>
      <c r="PJW1" s="643"/>
      <c r="PJX1" s="643"/>
      <c r="PJY1" s="643"/>
      <c r="PJZ1" s="643"/>
      <c r="PKA1" s="643"/>
      <c r="PKB1" s="643"/>
      <c r="PKC1" s="643"/>
      <c r="PKD1" s="643"/>
      <c r="PKE1" s="643"/>
      <c r="PKF1" s="643"/>
      <c r="PKG1" s="643"/>
      <c r="PKH1" s="643"/>
      <c r="PKI1" s="643"/>
      <c r="PKJ1" s="643"/>
      <c r="PKK1" s="643"/>
      <c r="PKL1" s="643"/>
      <c r="PKM1" s="643"/>
      <c r="PKN1" s="643"/>
      <c r="PKO1" s="643"/>
      <c r="PKP1" s="643"/>
      <c r="PKQ1" s="643"/>
      <c r="PKR1" s="643"/>
      <c r="PKS1" s="643"/>
      <c r="PKT1" s="643"/>
      <c r="PKU1" s="643"/>
      <c r="PKV1" s="643"/>
      <c r="PKW1" s="643"/>
      <c r="PKX1" s="643"/>
      <c r="PKY1" s="643"/>
      <c r="PKZ1" s="643"/>
      <c r="PLA1" s="643"/>
      <c r="PLB1" s="643"/>
      <c r="PLC1" s="643"/>
      <c r="PLD1" s="643"/>
      <c r="PLE1" s="643"/>
      <c r="PLF1" s="643"/>
      <c r="PLG1" s="643"/>
      <c r="PLH1" s="643"/>
      <c r="PLI1" s="643"/>
      <c r="PLJ1" s="643"/>
      <c r="PLK1" s="643"/>
      <c r="PLL1" s="643"/>
      <c r="PLM1" s="643"/>
      <c r="PLN1" s="643"/>
      <c r="PLO1" s="643"/>
      <c r="PLP1" s="643"/>
      <c r="PLQ1" s="643"/>
      <c r="PLR1" s="643"/>
      <c r="PLS1" s="643"/>
      <c r="PLT1" s="643"/>
      <c r="PLU1" s="643"/>
      <c r="PLV1" s="643"/>
      <c r="PLW1" s="643"/>
      <c r="PLX1" s="643"/>
      <c r="PLY1" s="643"/>
      <c r="PLZ1" s="643"/>
      <c r="PMA1" s="643"/>
      <c r="PMB1" s="643"/>
      <c r="PMC1" s="643"/>
      <c r="PMD1" s="643"/>
      <c r="PME1" s="643"/>
      <c r="PMF1" s="643"/>
      <c r="PMG1" s="643"/>
      <c r="PMH1" s="643"/>
      <c r="PMI1" s="643"/>
      <c r="PMJ1" s="643"/>
      <c r="PMK1" s="643"/>
      <c r="PML1" s="643"/>
      <c r="PMM1" s="643"/>
      <c r="PMN1" s="643"/>
      <c r="PMO1" s="643"/>
      <c r="PMP1" s="643"/>
      <c r="PMQ1" s="643"/>
      <c r="PMR1" s="643"/>
      <c r="PMS1" s="643"/>
      <c r="PMT1" s="643"/>
      <c r="PMU1" s="643"/>
      <c r="PMV1" s="643"/>
      <c r="PMW1" s="643"/>
      <c r="PMX1" s="643"/>
      <c r="PMY1" s="643"/>
      <c r="PMZ1" s="643"/>
      <c r="PNA1" s="643"/>
      <c r="PNB1" s="643"/>
      <c r="PNC1" s="643"/>
      <c r="PND1" s="643"/>
      <c r="PNE1" s="643"/>
      <c r="PNF1" s="643"/>
      <c r="PNG1" s="643"/>
      <c r="PNH1" s="643"/>
      <c r="PNI1" s="643"/>
      <c r="PNJ1" s="643"/>
      <c r="PNK1" s="643"/>
      <c r="PNL1" s="643"/>
      <c r="PNM1" s="643"/>
      <c r="PNN1" s="643"/>
      <c r="PNO1" s="643"/>
      <c r="PNP1" s="643"/>
      <c r="PNQ1" s="643"/>
      <c r="PNR1" s="643"/>
      <c r="PNS1" s="643"/>
      <c r="PNT1" s="643"/>
      <c r="PNU1" s="643"/>
      <c r="PNV1" s="643"/>
      <c r="PNW1" s="643"/>
      <c r="PNX1" s="643"/>
      <c r="PNY1" s="643"/>
      <c r="PNZ1" s="643"/>
      <c r="POA1" s="643"/>
      <c r="POB1" s="643"/>
      <c r="POC1" s="643"/>
      <c r="POD1" s="643"/>
      <c r="POE1" s="643"/>
      <c r="POF1" s="643"/>
      <c r="POG1" s="643"/>
      <c r="POH1" s="643"/>
      <c r="POI1" s="643"/>
      <c r="POJ1" s="643"/>
      <c r="POK1" s="643"/>
      <c r="POL1" s="643"/>
      <c r="POM1" s="643"/>
      <c r="PON1" s="643"/>
      <c r="POO1" s="643"/>
      <c r="POP1" s="643"/>
      <c r="POQ1" s="643"/>
      <c r="POR1" s="643"/>
      <c r="POS1" s="643"/>
      <c r="POT1" s="643"/>
      <c r="POU1" s="643"/>
      <c r="POV1" s="643"/>
      <c r="POW1" s="643"/>
      <c r="POX1" s="643"/>
      <c r="POY1" s="643"/>
      <c r="POZ1" s="643"/>
      <c r="PPA1" s="643"/>
      <c r="PPB1" s="643"/>
      <c r="PPC1" s="643"/>
      <c r="PPD1" s="643"/>
      <c r="PPE1" s="643"/>
      <c r="PPF1" s="643"/>
      <c r="PPG1" s="643"/>
      <c r="PPH1" s="643"/>
      <c r="PPI1" s="643"/>
      <c r="PPJ1" s="643"/>
      <c r="PPK1" s="643"/>
      <c r="PPL1" s="643"/>
      <c r="PPM1" s="643"/>
      <c r="PPN1" s="643"/>
      <c r="PPO1" s="643"/>
      <c r="PPP1" s="643"/>
      <c r="PPQ1" s="643"/>
      <c r="PPR1" s="643"/>
      <c r="PPS1" s="643"/>
      <c r="PPT1" s="643"/>
      <c r="PPU1" s="643"/>
      <c r="PPV1" s="643"/>
      <c r="PPW1" s="643"/>
      <c r="PPX1" s="643"/>
      <c r="PPY1" s="643"/>
      <c r="PPZ1" s="643"/>
      <c r="PQA1" s="643"/>
      <c r="PQB1" s="643"/>
      <c r="PQC1" s="643"/>
      <c r="PQD1" s="643"/>
      <c r="PQE1" s="643"/>
      <c r="PQF1" s="643"/>
      <c r="PQG1" s="643"/>
      <c r="PQH1" s="643"/>
      <c r="PQI1" s="643"/>
      <c r="PQJ1" s="643"/>
      <c r="PQK1" s="643"/>
      <c r="PQL1" s="643"/>
      <c r="PQM1" s="643"/>
      <c r="PQN1" s="643"/>
      <c r="PQO1" s="643"/>
      <c r="PQP1" s="643"/>
      <c r="PQQ1" s="643"/>
      <c r="PQR1" s="643"/>
      <c r="PQS1" s="643"/>
      <c r="PQT1" s="643"/>
      <c r="PQU1" s="643"/>
      <c r="PQV1" s="643"/>
      <c r="PQW1" s="643"/>
      <c r="PQX1" s="643"/>
      <c r="PQY1" s="643"/>
      <c r="PQZ1" s="643"/>
      <c r="PRA1" s="643"/>
      <c r="PRB1" s="643"/>
      <c r="PRC1" s="643"/>
      <c r="PRD1" s="643"/>
      <c r="PRE1" s="643"/>
      <c r="PRF1" s="643"/>
      <c r="PRG1" s="643"/>
      <c r="PRH1" s="643"/>
      <c r="PRI1" s="643"/>
      <c r="PRJ1" s="643"/>
      <c r="PRK1" s="643"/>
      <c r="PRL1" s="643"/>
      <c r="PRM1" s="643"/>
      <c r="PRN1" s="643"/>
      <c r="PRO1" s="643"/>
      <c r="PRP1" s="643"/>
      <c r="PRQ1" s="643"/>
      <c r="PRR1" s="643"/>
      <c r="PRS1" s="643"/>
      <c r="PRT1" s="643"/>
      <c r="PRU1" s="643"/>
      <c r="PRV1" s="643"/>
      <c r="PRW1" s="643"/>
      <c r="PRX1" s="643"/>
      <c r="PRY1" s="643"/>
      <c r="PRZ1" s="643"/>
      <c r="PSA1" s="643"/>
      <c r="PSB1" s="643"/>
      <c r="PSC1" s="643"/>
      <c r="PSD1" s="643"/>
      <c r="PSE1" s="643"/>
      <c r="PSF1" s="643"/>
      <c r="PSG1" s="643"/>
      <c r="PSH1" s="643"/>
      <c r="PSI1" s="643"/>
      <c r="PSJ1" s="643"/>
      <c r="PSK1" s="643"/>
      <c r="PSL1" s="643"/>
      <c r="PSM1" s="643"/>
      <c r="PSN1" s="643"/>
      <c r="PSO1" s="643"/>
      <c r="PSP1" s="643"/>
      <c r="PSQ1" s="643"/>
      <c r="PSR1" s="643"/>
      <c r="PSS1" s="643"/>
      <c r="PST1" s="643"/>
      <c r="PSU1" s="643"/>
      <c r="PSV1" s="643"/>
      <c r="PSW1" s="643"/>
      <c r="PSX1" s="643"/>
      <c r="PSY1" s="643"/>
      <c r="PSZ1" s="643"/>
      <c r="PTA1" s="643"/>
      <c r="PTB1" s="643"/>
      <c r="PTC1" s="643"/>
      <c r="PTD1" s="643"/>
      <c r="PTE1" s="643"/>
      <c r="PTF1" s="643"/>
      <c r="PTG1" s="643"/>
      <c r="PTH1" s="643"/>
      <c r="PTI1" s="643"/>
      <c r="PTJ1" s="643"/>
      <c r="PTK1" s="643"/>
      <c r="PTL1" s="643"/>
      <c r="PTM1" s="643"/>
      <c r="PTN1" s="643"/>
      <c r="PTO1" s="643"/>
      <c r="PTP1" s="643"/>
      <c r="PTQ1" s="643"/>
      <c r="PTR1" s="643"/>
      <c r="PTS1" s="643"/>
      <c r="PTT1" s="643"/>
      <c r="PTU1" s="643"/>
      <c r="PTV1" s="643"/>
      <c r="PTW1" s="643"/>
      <c r="PTX1" s="643"/>
      <c r="PTY1" s="643"/>
      <c r="PTZ1" s="643"/>
      <c r="PUA1" s="643"/>
      <c r="PUB1" s="643"/>
      <c r="PUC1" s="643"/>
      <c r="PUD1" s="643"/>
      <c r="PUE1" s="643"/>
      <c r="PUF1" s="643"/>
      <c r="PUG1" s="643"/>
      <c r="PUH1" s="643"/>
      <c r="PUI1" s="643"/>
      <c r="PUJ1" s="643"/>
      <c r="PUK1" s="643"/>
      <c r="PUL1" s="643"/>
      <c r="PUM1" s="643"/>
      <c r="PUN1" s="643"/>
      <c r="PUO1" s="643"/>
      <c r="PUP1" s="643"/>
      <c r="PUQ1" s="643"/>
      <c r="PUR1" s="643"/>
      <c r="PUS1" s="643"/>
      <c r="PUT1" s="643"/>
      <c r="PUU1" s="643"/>
      <c r="PUV1" s="643"/>
      <c r="PUW1" s="643"/>
      <c r="PUX1" s="643"/>
      <c r="PUY1" s="643"/>
      <c r="PUZ1" s="643"/>
      <c r="PVA1" s="643"/>
      <c r="PVB1" s="643"/>
      <c r="PVC1" s="643"/>
      <c r="PVD1" s="643"/>
      <c r="PVE1" s="643"/>
      <c r="PVF1" s="643"/>
      <c r="PVG1" s="643"/>
      <c r="PVH1" s="643"/>
      <c r="PVI1" s="643"/>
      <c r="PVJ1" s="643"/>
      <c r="PVK1" s="643"/>
      <c r="PVL1" s="643"/>
      <c r="PVM1" s="643"/>
      <c r="PVN1" s="643"/>
      <c r="PVO1" s="643"/>
      <c r="PVP1" s="643"/>
      <c r="PVQ1" s="643"/>
      <c r="PVR1" s="643"/>
      <c r="PVS1" s="643"/>
      <c r="PVT1" s="643"/>
      <c r="PVU1" s="643"/>
      <c r="PVV1" s="643"/>
      <c r="PVW1" s="643"/>
      <c r="PVX1" s="643"/>
      <c r="PVY1" s="643"/>
      <c r="PVZ1" s="643"/>
      <c r="PWA1" s="643"/>
      <c r="PWB1" s="643"/>
      <c r="PWC1" s="643"/>
      <c r="PWD1" s="643"/>
      <c r="PWE1" s="643"/>
      <c r="PWF1" s="643"/>
      <c r="PWG1" s="643"/>
      <c r="PWH1" s="643"/>
      <c r="PWI1" s="643"/>
      <c r="PWJ1" s="643"/>
      <c r="PWK1" s="643"/>
      <c r="PWL1" s="643"/>
      <c r="PWM1" s="643"/>
      <c r="PWN1" s="643"/>
      <c r="PWO1" s="643"/>
      <c r="PWP1" s="643"/>
      <c r="PWQ1" s="643"/>
      <c r="PWR1" s="643"/>
      <c r="PWS1" s="643"/>
      <c r="PWT1" s="643"/>
      <c r="PWU1" s="643"/>
      <c r="PWV1" s="643"/>
      <c r="PWW1" s="643"/>
      <c r="PWX1" s="643"/>
      <c r="PWY1" s="643"/>
      <c r="PWZ1" s="643"/>
      <c r="PXA1" s="643"/>
      <c r="PXB1" s="643"/>
      <c r="PXC1" s="643"/>
      <c r="PXD1" s="643"/>
      <c r="PXE1" s="643"/>
      <c r="PXF1" s="643"/>
      <c r="PXG1" s="643"/>
      <c r="PXH1" s="643"/>
      <c r="PXI1" s="643"/>
      <c r="PXJ1" s="643"/>
      <c r="PXK1" s="643"/>
      <c r="PXL1" s="643"/>
      <c r="PXM1" s="643"/>
      <c r="PXN1" s="643"/>
      <c r="PXO1" s="643"/>
      <c r="PXP1" s="643"/>
      <c r="PXQ1" s="643"/>
      <c r="PXR1" s="643"/>
      <c r="PXS1" s="643"/>
      <c r="PXT1" s="643"/>
      <c r="PXU1" s="643"/>
      <c r="PXV1" s="643"/>
      <c r="PXW1" s="643"/>
      <c r="PXX1" s="643"/>
      <c r="PXY1" s="643"/>
      <c r="PXZ1" s="643"/>
      <c r="PYA1" s="643"/>
      <c r="PYB1" s="643"/>
      <c r="PYC1" s="643"/>
      <c r="PYD1" s="643"/>
      <c r="PYE1" s="643"/>
      <c r="PYF1" s="643"/>
      <c r="PYG1" s="643"/>
      <c r="PYH1" s="643"/>
      <c r="PYI1" s="643"/>
      <c r="PYJ1" s="643"/>
      <c r="PYK1" s="643"/>
      <c r="PYL1" s="643"/>
      <c r="PYM1" s="643"/>
      <c r="PYN1" s="643"/>
      <c r="PYO1" s="643"/>
      <c r="PYP1" s="643"/>
      <c r="PYQ1" s="643"/>
      <c r="PYR1" s="643"/>
      <c r="PYS1" s="643"/>
      <c r="PYT1" s="643"/>
      <c r="PYU1" s="643"/>
      <c r="PYV1" s="643"/>
      <c r="PYW1" s="643"/>
      <c r="PYX1" s="643"/>
      <c r="PYY1" s="643"/>
      <c r="PYZ1" s="643"/>
      <c r="PZA1" s="643"/>
      <c r="PZB1" s="643"/>
      <c r="PZC1" s="643"/>
      <c r="PZD1" s="643"/>
      <c r="PZE1" s="643"/>
      <c r="PZF1" s="643"/>
      <c r="PZG1" s="643"/>
      <c r="PZH1" s="643"/>
      <c r="PZI1" s="643"/>
      <c r="PZJ1" s="643"/>
      <c r="PZK1" s="643"/>
      <c r="PZL1" s="643"/>
      <c r="PZM1" s="643"/>
      <c r="PZN1" s="643"/>
      <c r="PZO1" s="643"/>
      <c r="PZP1" s="643"/>
      <c r="PZQ1" s="643"/>
      <c r="PZR1" s="643"/>
      <c r="PZS1" s="643"/>
      <c r="PZT1" s="643"/>
      <c r="PZU1" s="643"/>
      <c r="PZV1" s="643"/>
      <c r="PZW1" s="643"/>
      <c r="PZX1" s="643"/>
      <c r="PZY1" s="643"/>
      <c r="PZZ1" s="643"/>
      <c r="QAA1" s="643"/>
      <c r="QAB1" s="643"/>
      <c r="QAC1" s="643"/>
      <c r="QAD1" s="643"/>
      <c r="QAE1" s="643"/>
      <c r="QAF1" s="643"/>
      <c r="QAG1" s="643"/>
      <c r="QAH1" s="643"/>
      <c r="QAI1" s="643"/>
      <c r="QAJ1" s="643"/>
      <c r="QAK1" s="643"/>
      <c r="QAL1" s="643"/>
      <c r="QAM1" s="643"/>
      <c r="QAN1" s="643"/>
      <c r="QAO1" s="643"/>
      <c r="QAP1" s="643"/>
      <c r="QAQ1" s="643"/>
      <c r="QAR1" s="643"/>
      <c r="QAS1" s="643"/>
      <c r="QAT1" s="643"/>
      <c r="QAU1" s="643"/>
      <c r="QAV1" s="643"/>
      <c r="QAW1" s="643"/>
      <c r="QAX1" s="643"/>
      <c r="QAY1" s="643"/>
      <c r="QAZ1" s="643"/>
      <c r="QBA1" s="643"/>
      <c r="QBB1" s="643"/>
      <c r="QBC1" s="643"/>
      <c r="QBD1" s="643"/>
      <c r="QBE1" s="643"/>
      <c r="QBF1" s="643"/>
      <c r="QBG1" s="643"/>
      <c r="QBH1" s="643"/>
      <c r="QBI1" s="643"/>
      <c r="QBJ1" s="643"/>
      <c r="QBK1" s="643"/>
      <c r="QBL1" s="643"/>
      <c r="QBM1" s="643"/>
      <c r="QBN1" s="643"/>
      <c r="QBO1" s="643"/>
      <c r="QBP1" s="643"/>
      <c r="QBQ1" s="643"/>
      <c r="QBR1" s="643"/>
      <c r="QBS1" s="643"/>
      <c r="QBT1" s="643"/>
      <c r="QBU1" s="643"/>
      <c r="QBV1" s="643"/>
      <c r="QBW1" s="643"/>
      <c r="QBX1" s="643"/>
      <c r="QBY1" s="643"/>
      <c r="QBZ1" s="643"/>
      <c r="QCA1" s="643"/>
      <c r="QCB1" s="643"/>
      <c r="QCC1" s="643"/>
      <c r="QCD1" s="643"/>
      <c r="QCE1" s="643"/>
      <c r="QCF1" s="643"/>
      <c r="QCG1" s="643"/>
      <c r="QCH1" s="643"/>
      <c r="QCI1" s="643"/>
      <c r="QCJ1" s="643"/>
      <c r="QCK1" s="643"/>
      <c r="QCL1" s="643"/>
      <c r="QCM1" s="643"/>
      <c r="QCN1" s="643"/>
      <c r="QCO1" s="643"/>
      <c r="QCP1" s="643"/>
      <c r="QCQ1" s="643"/>
      <c r="QCR1" s="643"/>
      <c r="QCS1" s="643"/>
      <c r="QCT1" s="643"/>
      <c r="QCU1" s="643"/>
      <c r="QCV1" s="643"/>
      <c r="QCW1" s="643"/>
      <c r="QCX1" s="643"/>
      <c r="QCY1" s="643"/>
      <c r="QCZ1" s="643"/>
      <c r="QDA1" s="643"/>
      <c r="QDB1" s="643"/>
      <c r="QDC1" s="643"/>
      <c r="QDD1" s="643"/>
      <c r="QDE1" s="643"/>
      <c r="QDF1" s="643"/>
      <c r="QDG1" s="643"/>
      <c r="QDH1" s="643"/>
      <c r="QDI1" s="643"/>
      <c r="QDJ1" s="643"/>
      <c r="QDK1" s="643"/>
      <c r="QDL1" s="643"/>
      <c r="QDM1" s="643"/>
      <c r="QDN1" s="643"/>
      <c r="QDO1" s="643"/>
      <c r="QDP1" s="643"/>
      <c r="QDQ1" s="643"/>
      <c r="QDR1" s="643"/>
      <c r="QDS1" s="643"/>
      <c r="QDT1" s="643"/>
      <c r="QDU1" s="643"/>
      <c r="QDV1" s="643"/>
      <c r="QDW1" s="643"/>
      <c r="QDX1" s="643"/>
      <c r="QDY1" s="643"/>
      <c r="QDZ1" s="643"/>
      <c r="QEA1" s="643"/>
      <c r="QEB1" s="643"/>
      <c r="QEC1" s="643"/>
      <c r="QED1" s="643"/>
      <c r="QEE1" s="643"/>
      <c r="QEF1" s="643"/>
      <c r="QEG1" s="643"/>
      <c r="QEH1" s="643"/>
      <c r="QEI1" s="643"/>
      <c r="QEJ1" s="643"/>
      <c r="QEK1" s="643"/>
      <c r="QEL1" s="643"/>
      <c r="QEM1" s="643"/>
      <c r="QEN1" s="643"/>
      <c r="QEO1" s="643"/>
      <c r="QEP1" s="643"/>
      <c r="QEQ1" s="643"/>
      <c r="QER1" s="643"/>
      <c r="QES1" s="643"/>
      <c r="QET1" s="643"/>
      <c r="QEU1" s="643"/>
      <c r="QEV1" s="643"/>
      <c r="QEW1" s="643"/>
      <c r="QEX1" s="643"/>
      <c r="QEY1" s="643"/>
      <c r="QEZ1" s="643"/>
      <c r="QFA1" s="643"/>
      <c r="QFB1" s="643"/>
      <c r="QFC1" s="643"/>
      <c r="QFD1" s="643"/>
      <c r="QFE1" s="643"/>
      <c r="QFF1" s="643"/>
      <c r="QFG1" s="643"/>
      <c r="QFH1" s="643"/>
      <c r="QFI1" s="643"/>
      <c r="QFJ1" s="643"/>
      <c r="QFK1" s="643"/>
      <c r="QFL1" s="643"/>
      <c r="QFM1" s="643"/>
      <c r="QFN1" s="643"/>
      <c r="QFO1" s="643"/>
      <c r="QFP1" s="643"/>
      <c r="QFQ1" s="643"/>
      <c r="QFR1" s="643"/>
      <c r="QFS1" s="643"/>
      <c r="QFT1" s="643"/>
      <c r="QFU1" s="643"/>
      <c r="QFV1" s="643"/>
      <c r="QFW1" s="643"/>
      <c r="QFX1" s="643"/>
      <c r="QFY1" s="643"/>
      <c r="QFZ1" s="643"/>
      <c r="QGA1" s="643"/>
      <c r="QGB1" s="643"/>
      <c r="QGC1" s="643"/>
      <c r="QGD1" s="643"/>
      <c r="QGE1" s="643"/>
      <c r="QGF1" s="643"/>
      <c r="QGG1" s="643"/>
      <c r="QGH1" s="643"/>
      <c r="QGI1" s="643"/>
      <c r="QGJ1" s="643"/>
      <c r="QGK1" s="643"/>
      <c r="QGL1" s="643"/>
      <c r="QGM1" s="643"/>
      <c r="QGN1" s="643"/>
      <c r="QGO1" s="643"/>
      <c r="QGP1" s="643"/>
      <c r="QGQ1" s="643"/>
      <c r="QGR1" s="643"/>
      <c r="QGS1" s="643"/>
      <c r="QGT1" s="643"/>
      <c r="QGU1" s="643"/>
      <c r="QGV1" s="643"/>
      <c r="QGW1" s="643"/>
      <c r="QGX1" s="643"/>
      <c r="QGY1" s="643"/>
      <c r="QGZ1" s="643"/>
      <c r="QHA1" s="643"/>
      <c r="QHB1" s="643"/>
      <c r="QHC1" s="643"/>
      <c r="QHD1" s="643"/>
      <c r="QHE1" s="643"/>
      <c r="QHF1" s="643"/>
      <c r="QHG1" s="643"/>
      <c r="QHH1" s="643"/>
      <c r="QHI1" s="643"/>
      <c r="QHJ1" s="643"/>
      <c r="QHK1" s="643"/>
      <c r="QHL1" s="643"/>
      <c r="QHM1" s="643"/>
      <c r="QHN1" s="643"/>
      <c r="QHO1" s="643"/>
      <c r="QHP1" s="643"/>
      <c r="QHQ1" s="643"/>
      <c r="QHR1" s="643"/>
      <c r="QHS1" s="643"/>
      <c r="QHT1" s="643"/>
      <c r="QHU1" s="643"/>
      <c r="QHV1" s="643"/>
      <c r="QHW1" s="643"/>
      <c r="QHX1" s="643"/>
      <c r="QHY1" s="643"/>
      <c r="QHZ1" s="643"/>
      <c r="QIA1" s="643"/>
      <c r="QIB1" s="643"/>
      <c r="QIC1" s="643"/>
      <c r="QID1" s="643"/>
      <c r="QIE1" s="643"/>
      <c r="QIF1" s="643"/>
      <c r="QIG1" s="643"/>
      <c r="QIH1" s="643"/>
      <c r="QII1" s="643"/>
      <c r="QIJ1" s="643"/>
      <c r="QIK1" s="643"/>
      <c r="QIL1" s="643"/>
      <c r="QIM1" s="643"/>
      <c r="QIN1" s="643"/>
      <c r="QIO1" s="643"/>
      <c r="QIP1" s="643"/>
      <c r="QIQ1" s="643"/>
      <c r="QIR1" s="643"/>
      <c r="QIS1" s="643"/>
      <c r="QIT1" s="643"/>
      <c r="QIU1" s="643"/>
      <c r="QIV1" s="643"/>
      <c r="QIW1" s="643"/>
      <c r="QIX1" s="643"/>
      <c r="QIY1" s="643"/>
      <c r="QIZ1" s="643"/>
      <c r="QJA1" s="643"/>
      <c r="QJB1" s="643"/>
      <c r="QJC1" s="643"/>
      <c r="QJD1" s="643"/>
      <c r="QJE1" s="643"/>
      <c r="QJF1" s="643"/>
      <c r="QJG1" s="643"/>
      <c r="QJH1" s="643"/>
      <c r="QJI1" s="643"/>
      <c r="QJJ1" s="643"/>
      <c r="QJK1" s="643"/>
      <c r="QJL1" s="643"/>
      <c r="QJM1" s="643"/>
      <c r="QJN1" s="643"/>
      <c r="QJO1" s="643"/>
      <c r="QJP1" s="643"/>
      <c r="QJQ1" s="643"/>
      <c r="QJR1" s="643"/>
      <c r="QJS1" s="643"/>
      <c r="QJT1" s="643"/>
      <c r="QJU1" s="643"/>
      <c r="QJV1" s="643"/>
      <c r="QJW1" s="643"/>
      <c r="QJX1" s="643"/>
      <c r="QJY1" s="643"/>
      <c r="QJZ1" s="643"/>
      <c r="QKA1" s="643"/>
      <c r="QKB1" s="643"/>
      <c r="QKC1" s="643"/>
      <c r="QKD1" s="643"/>
      <c r="QKE1" s="643"/>
      <c r="QKF1" s="643"/>
      <c r="QKG1" s="643"/>
      <c r="QKH1" s="643"/>
      <c r="QKI1" s="643"/>
      <c r="QKJ1" s="643"/>
      <c r="QKK1" s="643"/>
      <c r="QKL1" s="643"/>
      <c r="QKM1" s="643"/>
      <c r="QKN1" s="643"/>
      <c r="QKO1" s="643"/>
      <c r="QKP1" s="643"/>
      <c r="QKQ1" s="643"/>
      <c r="QKR1" s="643"/>
      <c r="QKS1" s="643"/>
      <c r="QKT1" s="643"/>
      <c r="QKU1" s="643"/>
      <c r="QKV1" s="643"/>
      <c r="QKW1" s="643"/>
      <c r="QKX1" s="643"/>
      <c r="QKY1" s="643"/>
      <c r="QKZ1" s="643"/>
      <c r="QLA1" s="643"/>
      <c r="QLB1" s="643"/>
      <c r="QLC1" s="643"/>
      <c r="QLD1" s="643"/>
      <c r="QLE1" s="643"/>
      <c r="QLF1" s="643"/>
      <c r="QLG1" s="643"/>
      <c r="QLH1" s="643"/>
      <c r="QLI1" s="643"/>
      <c r="QLJ1" s="643"/>
      <c r="QLK1" s="643"/>
      <c r="QLL1" s="643"/>
      <c r="QLM1" s="643"/>
      <c r="QLN1" s="643"/>
      <c r="QLO1" s="643"/>
      <c r="QLP1" s="643"/>
      <c r="QLQ1" s="643"/>
      <c r="QLR1" s="643"/>
      <c r="QLS1" s="643"/>
      <c r="QLT1" s="643"/>
      <c r="QLU1" s="643"/>
      <c r="QLV1" s="643"/>
      <c r="QLW1" s="643"/>
      <c r="QLX1" s="643"/>
      <c r="QLY1" s="643"/>
      <c r="QLZ1" s="643"/>
      <c r="QMA1" s="643"/>
      <c r="QMB1" s="643"/>
      <c r="QMC1" s="643"/>
      <c r="QMD1" s="643"/>
      <c r="QME1" s="643"/>
      <c r="QMF1" s="643"/>
      <c r="QMG1" s="643"/>
      <c r="QMH1" s="643"/>
      <c r="QMI1" s="643"/>
      <c r="QMJ1" s="643"/>
      <c r="QMK1" s="643"/>
      <c r="QML1" s="643"/>
      <c r="QMM1" s="643"/>
      <c r="QMN1" s="643"/>
      <c r="QMO1" s="643"/>
      <c r="QMP1" s="643"/>
      <c r="QMQ1" s="643"/>
      <c r="QMR1" s="643"/>
      <c r="QMS1" s="643"/>
      <c r="QMT1" s="643"/>
      <c r="QMU1" s="643"/>
      <c r="QMV1" s="643"/>
      <c r="QMW1" s="643"/>
      <c r="QMX1" s="643"/>
      <c r="QMY1" s="643"/>
      <c r="QMZ1" s="643"/>
      <c r="QNA1" s="643"/>
      <c r="QNB1" s="643"/>
      <c r="QNC1" s="643"/>
      <c r="QND1" s="643"/>
      <c r="QNE1" s="643"/>
      <c r="QNF1" s="643"/>
      <c r="QNG1" s="643"/>
      <c r="QNH1" s="643"/>
      <c r="QNI1" s="643"/>
      <c r="QNJ1" s="643"/>
      <c r="QNK1" s="643"/>
      <c r="QNL1" s="643"/>
      <c r="QNM1" s="643"/>
      <c r="QNN1" s="643"/>
      <c r="QNO1" s="643"/>
      <c r="QNP1" s="643"/>
      <c r="QNQ1" s="643"/>
      <c r="QNR1" s="643"/>
      <c r="QNS1" s="643"/>
      <c r="QNT1" s="643"/>
      <c r="QNU1" s="643"/>
      <c r="QNV1" s="643"/>
      <c r="QNW1" s="643"/>
      <c r="QNX1" s="643"/>
      <c r="QNY1" s="643"/>
      <c r="QNZ1" s="643"/>
      <c r="QOA1" s="643"/>
      <c r="QOB1" s="643"/>
      <c r="QOC1" s="643"/>
      <c r="QOD1" s="643"/>
      <c r="QOE1" s="643"/>
      <c r="QOF1" s="643"/>
      <c r="QOG1" s="643"/>
      <c r="QOH1" s="643"/>
      <c r="QOI1" s="643"/>
      <c r="QOJ1" s="643"/>
      <c r="QOK1" s="643"/>
      <c r="QOL1" s="643"/>
      <c r="QOM1" s="643"/>
      <c r="QON1" s="643"/>
      <c r="QOO1" s="643"/>
      <c r="QOP1" s="643"/>
      <c r="QOQ1" s="643"/>
      <c r="QOR1" s="643"/>
      <c r="QOS1" s="643"/>
      <c r="QOT1" s="643"/>
      <c r="QOU1" s="643"/>
      <c r="QOV1" s="643"/>
      <c r="QOW1" s="643"/>
      <c r="QOX1" s="643"/>
      <c r="QOY1" s="643"/>
      <c r="QOZ1" s="643"/>
      <c r="QPA1" s="643"/>
      <c r="QPB1" s="643"/>
      <c r="QPC1" s="643"/>
      <c r="QPD1" s="643"/>
      <c r="QPE1" s="643"/>
      <c r="QPF1" s="643"/>
      <c r="QPG1" s="643"/>
      <c r="QPH1" s="643"/>
      <c r="QPI1" s="643"/>
      <c r="QPJ1" s="643"/>
      <c r="QPK1" s="643"/>
      <c r="QPL1" s="643"/>
      <c r="QPM1" s="643"/>
      <c r="QPN1" s="643"/>
      <c r="QPO1" s="643"/>
      <c r="QPP1" s="643"/>
      <c r="QPQ1" s="643"/>
      <c r="QPR1" s="643"/>
      <c r="QPS1" s="643"/>
      <c r="QPT1" s="643"/>
      <c r="QPU1" s="643"/>
      <c r="QPV1" s="643"/>
      <c r="QPW1" s="643"/>
      <c r="QPX1" s="643"/>
      <c r="QPY1" s="643"/>
      <c r="QPZ1" s="643"/>
      <c r="QQA1" s="643"/>
      <c r="QQB1" s="643"/>
      <c r="QQC1" s="643"/>
      <c r="QQD1" s="643"/>
      <c r="QQE1" s="643"/>
      <c r="QQF1" s="643"/>
      <c r="QQG1" s="643"/>
      <c r="QQH1" s="643"/>
      <c r="QQI1" s="643"/>
      <c r="QQJ1" s="643"/>
      <c r="QQK1" s="643"/>
      <c r="QQL1" s="643"/>
      <c r="QQM1" s="643"/>
      <c r="QQN1" s="643"/>
      <c r="QQO1" s="643"/>
      <c r="QQP1" s="643"/>
      <c r="QQQ1" s="643"/>
      <c r="QQR1" s="643"/>
      <c r="QQS1" s="643"/>
      <c r="QQT1" s="643"/>
      <c r="QQU1" s="643"/>
      <c r="QQV1" s="643"/>
      <c r="QQW1" s="643"/>
      <c r="QQX1" s="643"/>
      <c r="QQY1" s="643"/>
      <c r="QQZ1" s="643"/>
      <c r="QRA1" s="643"/>
      <c r="QRB1" s="643"/>
      <c r="QRC1" s="643"/>
      <c r="QRD1" s="643"/>
      <c r="QRE1" s="643"/>
      <c r="QRF1" s="643"/>
      <c r="QRG1" s="643"/>
      <c r="QRH1" s="643"/>
      <c r="QRI1" s="643"/>
      <c r="QRJ1" s="643"/>
      <c r="QRK1" s="643"/>
      <c r="QRL1" s="643"/>
      <c r="QRM1" s="643"/>
      <c r="QRN1" s="643"/>
      <c r="QRO1" s="643"/>
      <c r="QRP1" s="643"/>
      <c r="QRQ1" s="643"/>
      <c r="QRR1" s="643"/>
      <c r="QRS1" s="643"/>
      <c r="QRT1" s="643"/>
      <c r="QRU1" s="643"/>
      <c r="QRV1" s="643"/>
      <c r="QRW1" s="643"/>
      <c r="QRX1" s="643"/>
      <c r="QRY1" s="643"/>
      <c r="QRZ1" s="643"/>
      <c r="QSA1" s="643"/>
      <c r="QSB1" s="643"/>
      <c r="QSC1" s="643"/>
      <c r="QSD1" s="643"/>
      <c r="QSE1" s="643"/>
      <c r="QSF1" s="643"/>
      <c r="QSG1" s="643"/>
      <c r="QSH1" s="643"/>
      <c r="QSI1" s="643"/>
      <c r="QSJ1" s="643"/>
      <c r="QSK1" s="643"/>
      <c r="QSL1" s="643"/>
      <c r="QSM1" s="643"/>
      <c r="QSN1" s="643"/>
      <c r="QSO1" s="643"/>
      <c r="QSP1" s="643"/>
      <c r="QSQ1" s="643"/>
      <c r="QSR1" s="643"/>
      <c r="QSS1" s="643"/>
      <c r="QST1" s="643"/>
      <c r="QSU1" s="643"/>
      <c r="QSV1" s="643"/>
      <c r="QSW1" s="643"/>
      <c r="QSX1" s="643"/>
      <c r="QSY1" s="643"/>
      <c r="QSZ1" s="643"/>
      <c r="QTA1" s="643"/>
      <c r="QTB1" s="643"/>
      <c r="QTC1" s="643"/>
      <c r="QTD1" s="643"/>
      <c r="QTE1" s="643"/>
      <c r="QTF1" s="643"/>
      <c r="QTG1" s="643"/>
      <c r="QTH1" s="643"/>
      <c r="QTI1" s="643"/>
      <c r="QTJ1" s="643"/>
      <c r="QTK1" s="643"/>
      <c r="QTL1" s="643"/>
      <c r="QTM1" s="643"/>
      <c r="QTN1" s="643"/>
      <c r="QTO1" s="643"/>
      <c r="QTP1" s="643"/>
      <c r="QTQ1" s="643"/>
      <c r="QTR1" s="643"/>
      <c r="QTS1" s="643"/>
      <c r="QTT1" s="643"/>
      <c r="QTU1" s="643"/>
      <c r="QTV1" s="643"/>
      <c r="QTW1" s="643"/>
      <c r="QTX1" s="643"/>
      <c r="QTY1" s="643"/>
      <c r="QTZ1" s="643"/>
      <c r="QUA1" s="643"/>
      <c r="QUB1" s="643"/>
      <c r="QUC1" s="643"/>
      <c r="QUD1" s="643"/>
      <c r="QUE1" s="643"/>
      <c r="QUF1" s="643"/>
      <c r="QUG1" s="643"/>
      <c r="QUH1" s="643"/>
      <c r="QUI1" s="643"/>
      <c r="QUJ1" s="643"/>
      <c r="QUK1" s="643"/>
      <c r="QUL1" s="643"/>
      <c r="QUM1" s="643"/>
      <c r="QUN1" s="643"/>
      <c r="QUO1" s="643"/>
      <c r="QUP1" s="643"/>
      <c r="QUQ1" s="643"/>
      <c r="QUR1" s="643"/>
      <c r="QUS1" s="643"/>
      <c r="QUT1" s="643"/>
      <c r="QUU1" s="643"/>
      <c r="QUV1" s="643"/>
      <c r="QUW1" s="643"/>
      <c r="QUX1" s="643"/>
      <c r="QUY1" s="643"/>
      <c r="QUZ1" s="643"/>
      <c r="QVA1" s="643"/>
      <c r="QVB1" s="643"/>
      <c r="QVC1" s="643"/>
      <c r="QVD1" s="643"/>
      <c r="QVE1" s="643"/>
      <c r="QVF1" s="643"/>
      <c r="QVG1" s="643"/>
      <c r="QVH1" s="643"/>
      <c r="QVI1" s="643"/>
      <c r="QVJ1" s="643"/>
      <c r="QVK1" s="643"/>
      <c r="QVL1" s="643"/>
      <c r="QVM1" s="643"/>
      <c r="QVN1" s="643"/>
      <c r="QVO1" s="643"/>
      <c r="QVP1" s="643"/>
      <c r="QVQ1" s="643"/>
      <c r="QVR1" s="643"/>
      <c r="QVS1" s="643"/>
      <c r="QVT1" s="643"/>
      <c r="QVU1" s="643"/>
      <c r="QVV1" s="643"/>
      <c r="QVW1" s="643"/>
      <c r="QVX1" s="643"/>
      <c r="QVY1" s="643"/>
      <c r="QVZ1" s="643"/>
      <c r="QWA1" s="643"/>
      <c r="QWB1" s="643"/>
      <c r="QWC1" s="643"/>
      <c r="QWD1" s="643"/>
      <c r="QWE1" s="643"/>
      <c r="QWF1" s="643"/>
      <c r="QWG1" s="643"/>
      <c r="QWH1" s="643"/>
      <c r="QWI1" s="643"/>
      <c r="QWJ1" s="643"/>
      <c r="QWK1" s="643"/>
      <c r="QWL1" s="643"/>
      <c r="QWM1" s="643"/>
      <c r="QWN1" s="643"/>
      <c r="QWO1" s="643"/>
      <c r="QWP1" s="643"/>
      <c r="QWQ1" s="643"/>
      <c r="QWR1" s="643"/>
      <c r="QWS1" s="643"/>
      <c r="QWT1" s="643"/>
      <c r="QWU1" s="643"/>
      <c r="QWV1" s="643"/>
      <c r="QWW1" s="643"/>
      <c r="QWX1" s="643"/>
      <c r="QWY1" s="643"/>
      <c r="QWZ1" s="643"/>
      <c r="QXA1" s="643"/>
      <c r="QXB1" s="643"/>
      <c r="QXC1" s="643"/>
      <c r="QXD1" s="643"/>
      <c r="QXE1" s="643"/>
      <c r="QXF1" s="643"/>
      <c r="QXG1" s="643"/>
      <c r="QXH1" s="643"/>
      <c r="QXI1" s="643"/>
      <c r="QXJ1" s="643"/>
      <c r="QXK1" s="643"/>
      <c r="QXL1" s="643"/>
      <c r="QXM1" s="643"/>
      <c r="QXN1" s="643"/>
      <c r="QXO1" s="643"/>
      <c r="QXP1" s="643"/>
      <c r="QXQ1" s="643"/>
      <c r="QXR1" s="643"/>
      <c r="QXS1" s="643"/>
      <c r="QXT1" s="643"/>
      <c r="QXU1" s="643"/>
      <c r="QXV1" s="643"/>
      <c r="QXW1" s="643"/>
      <c r="QXX1" s="643"/>
      <c r="QXY1" s="643"/>
      <c r="QXZ1" s="643"/>
      <c r="QYA1" s="643"/>
      <c r="QYB1" s="643"/>
      <c r="QYC1" s="643"/>
      <c r="QYD1" s="643"/>
      <c r="QYE1" s="643"/>
      <c r="QYF1" s="643"/>
      <c r="QYG1" s="643"/>
      <c r="QYH1" s="643"/>
      <c r="QYI1" s="643"/>
      <c r="QYJ1" s="643"/>
      <c r="QYK1" s="643"/>
      <c r="QYL1" s="643"/>
      <c r="QYM1" s="643"/>
      <c r="QYN1" s="643"/>
      <c r="QYO1" s="643"/>
      <c r="QYP1" s="643"/>
      <c r="QYQ1" s="643"/>
      <c r="QYR1" s="643"/>
      <c r="QYS1" s="643"/>
      <c r="QYT1" s="643"/>
      <c r="QYU1" s="643"/>
      <c r="QYV1" s="643"/>
      <c r="QYW1" s="643"/>
      <c r="QYX1" s="643"/>
      <c r="QYY1" s="643"/>
      <c r="QYZ1" s="643"/>
      <c r="QZA1" s="643"/>
      <c r="QZB1" s="643"/>
      <c r="QZC1" s="643"/>
      <c r="QZD1" s="643"/>
      <c r="QZE1" s="643"/>
      <c r="QZF1" s="643"/>
      <c r="QZG1" s="643"/>
      <c r="QZH1" s="643"/>
      <c r="QZI1" s="643"/>
      <c r="QZJ1" s="643"/>
      <c r="QZK1" s="643"/>
      <c r="QZL1" s="643"/>
      <c r="QZM1" s="643"/>
      <c r="QZN1" s="643"/>
      <c r="QZO1" s="643"/>
      <c r="QZP1" s="643"/>
      <c r="QZQ1" s="643"/>
      <c r="QZR1" s="643"/>
      <c r="QZS1" s="643"/>
      <c r="QZT1" s="643"/>
      <c r="QZU1" s="643"/>
      <c r="QZV1" s="643"/>
      <c r="QZW1" s="643"/>
      <c r="QZX1" s="643"/>
      <c r="QZY1" s="643"/>
      <c r="QZZ1" s="643"/>
      <c r="RAA1" s="643"/>
      <c r="RAB1" s="643"/>
      <c r="RAC1" s="643"/>
      <c r="RAD1" s="643"/>
      <c r="RAE1" s="643"/>
      <c r="RAF1" s="643"/>
      <c r="RAG1" s="643"/>
      <c r="RAH1" s="643"/>
      <c r="RAI1" s="643"/>
      <c r="RAJ1" s="643"/>
      <c r="RAK1" s="643"/>
      <c r="RAL1" s="643"/>
      <c r="RAM1" s="643"/>
      <c r="RAN1" s="643"/>
      <c r="RAO1" s="643"/>
      <c r="RAP1" s="643"/>
      <c r="RAQ1" s="643"/>
      <c r="RAR1" s="643"/>
      <c r="RAS1" s="643"/>
      <c r="RAT1" s="643"/>
      <c r="RAU1" s="643"/>
      <c r="RAV1" s="643"/>
      <c r="RAW1" s="643"/>
      <c r="RAX1" s="643"/>
      <c r="RAY1" s="643"/>
      <c r="RAZ1" s="643"/>
      <c r="RBA1" s="643"/>
      <c r="RBB1" s="643"/>
      <c r="RBC1" s="643"/>
      <c r="RBD1" s="643"/>
      <c r="RBE1" s="643"/>
      <c r="RBF1" s="643"/>
      <c r="RBG1" s="643"/>
      <c r="RBH1" s="643"/>
      <c r="RBI1" s="643"/>
      <c r="RBJ1" s="643"/>
      <c r="RBK1" s="643"/>
      <c r="RBL1" s="643"/>
      <c r="RBM1" s="643"/>
      <c r="RBN1" s="643"/>
      <c r="RBO1" s="643"/>
      <c r="RBP1" s="643"/>
      <c r="RBQ1" s="643"/>
      <c r="RBR1" s="643"/>
      <c r="RBS1" s="643"/>
      <c r="RBT1" s="643"/>
      <c r="RBU1" s="643"/>
      <c r="RBV1" s="643"/>
      <c r="RBW1" s="643"/>
      <c r="RBX1" s="643"/>
      <c r="RBY1" s="643"/>
      <c r="RBZ1" s="643"/>
      <c r="RCA1" s="643"/>
      <c r="RCB1" s="643"/>
      <c r="RCC1" s="643"/>
      <c r="RCD1" s="643"/>
      <c r="RCE1" s="643"/>
      <c r="RCF1" s="643"/>
      <c r="RCG1" s="643"/>
      <c r="RCH1" s="643"/>
      <c r="RCI1" s="643"/>
      <c r="RCJ1" s="643"/>
      <c r="RCK1" s="643"/>
      <c r="RCL1" s="643"/>
      <c r="RCM1" s="643"/>
      <c r="RCN1" s="643"/>
      <c r="RCO1" s="643"/>
      <c r="RCP1" s="643"/>
      <c r="RCQ1" s="643"/>
      <c r="RCR1" s="643"/>
      <c r="RCS1" s="643"/>
      <c r="RCT1" s="643"/>
      <c r="RCU1" s="643"/>
      <c r="RCV1" s="643"/>
      <c r="RCW1" s="643"/>
      <c r="RCX1" s="643"/>
      <c r="RCY1" s="643"/>
      <c r="RCZ1" s="643"/>
      <c r="RDA1" s="643"/>
      <c r="RDB1" s="643"/>
      <c r="RDC1" s="643"/>
      <c r="RDD1" s="643"/>
      <c r="RDE1" s="643"/>
      <c r="RDF1" s="643"/>
      <c r="RDG1" s="643"/>
      <c r="RDH1" s="643"/>
      <c r="RDI1" s="643"/>
      <c r="RDJ1" s="643"/>
      <c r="RDK1" s="643"/>
      <c r="RDL1" s="643"/>
      <c r="RDM1" s="643"/>
      <c r="RDN1" s="643"/>
      <c r="RDO1" s="643"/>
      <c r="RDP1" s="643"/>
      <c r="RDQ1" s="643"/>
      <c r="RDR1" s="643"/>
      <c r="RDS1" s="643"/>
      <c r="RDT1" s="643"/>
      <c r="RDU1" s="643"/>
      <c r="RDV1" s="643"/>
      <c r="RDW1" s="643"/>
      <c r="RDX1" s="643"/>
      <c r="RDY1" s="643"/>
      <c r="RDZ1" s="643"/>
      <c r="REA1" s="643"/>
      <c r="REB1" s="643"/>
      <c r="REC1" s="643"/>
      <c r="RED1" s="643"/>
      <c r="REE1" s="643"/>
      <c r="REF1" s="643"/>
      <c r="REG1" s="643"/>
      <c r="REH1" s="643"/>
      <c r="REI1" s="643"/>
      <c r="REJ1" s="643"/>
      <c r="REK1" s="643"/>
      <c r="REL1" s="643"/>
      <c r="REM1" s="643"/>
      <c r="REN1" s="643"/>
      <c r="REO1" s="643"/>
      <c r="REP1" s="643"/>
      <c r="REQ1" s="643"/>
      <c r="RER1" s="643"/>
      <c r="RES1" s="643"/>
      <c r="RET1" s="643"/>
      <c r="REU1" s="643"/>
      <c r="REV1" s="643"/>
      <c r="REW1" s="643"/>
      <c r="REX1" s="643"/>
      <c r="REY1" s="643"/>
      <c r="REZ1" s="643"/>
      <c r="RFA1" s="643"/>
      <c r="RFB1" s="643"/>
      <c r="RFC1" s="643"/>
      <c r="RFD1" s="643"/>
      <c r="RFE1" s="643"/>
      <c r="RFF1" s="643"/>
      <c r="RFG1" s="643"/>
      <c r="RFH1" s="643"/>
      <c r="RFI1" s="643"/>
      <c r="RFJ1" s="643"/>
      <c r="RFK1" s="643"/>
      <c r="RFL1" s="643"/>
      <c r="RFM1" s="643"/>
      <c r="RFN1" s="643"/>
      <c r="RFO1" s="643"/>
      <c r="RFP1" s="643"/>
      <c r="RFQ1" s="643"/>
      <c r="RFR1" s="643"/>
      <c r="RFS1" s="643"/>
      <c r="RFT1" s="643"/>
      <c r="RFU1" s="643"/>
      <c r="RFV1" s="643"/>
      <c r="RFW1" s="643"/>
      <c r="RFX1" s="643"/>
      <c r="RFY1" s="643"/>
      <c r="RFZ1" s="643"/>
      <c r="RGA1" s="643"/>
      <c r="RGB1" s="643"/>
      <c r="RGC1" s="643"/>
      <c r="RGD1" s="643"/>
      <c r="RGE1" s="643"/>
      <c r="RGF1" s="643"/>
      <c r="RGG1" s="643"/>
      <c r="RGH1" s="643"/>
      <c r="RGI1" s="643"/>
      <c r="RGJ1" s="643"/>
      <c r="RGK1" s="643"/>
      <c r="RGL1" s="643"/>
      <c r="RGM1" s="643"/>
      <c r="RGN1" s="643"/>
      <c r="RGO1" s="643"/>
      <c r="RGP1" s="643"/>
      <c r="RGQ1" s="643"/>
      <c r="RGR1" s="643"/>
      <c r="RGS1" s="643"/>
      <c r="RGT1" s="643"/>
      <c r="RGU1" s="643"/>
      <c r="RGV1" s="643"/>
      <c r="RGW1" s="643"/>
      <c r="RGX1" s="643"/>
      <c r="RGY1" s="643"/>
      <c r="RGZ1" s="643"/>
      <c r="RHA1" s="643"/>
      <c r="RHB1" s="643"/>
      <c r="RHC1" s="643"/>
      <c r="RHD1" s="643"/>
      <c r="RHE1" s="643"/>
      <c r="RHF1" s="643"/>
      <c r="RHG1" s="643"/>
      <c r="RHH1" s="643"/>
      <c r="RHI1" s="643"/>
      <c r="RHJ1" s="643"/>
      <c r="RHK1" s="643"/>
      <c r="RHL1" s="643"/>
      <c r="RHM1" s="643"/>
      <c r="RHN1" s="643"/>
      <c r="RHO1" s="643"/>
      <c r="RHP1" s="643"/>
      <c r="RHQ1" s="643"/>
      <c r="RHR1" s="643"/>
      <c r="RHS1" s="643"/>
      <c r="RHT1" s="643"/>
      <c r="RHU1" s="643"/>
      <c r="RHV1" s="643"/>
      <c r="RHW1" s="643"/>
      <c r="RHX1" s="643"/>
      <c r="RHY1" s="643"/>
      <c r="RHZ1" s="643"/>
      <c r="RIA1" s="643"/>
      <c r="RIB1" s="643"/>
      <c r="RIC1" s="643"/>
      <c r="RID1" s="643"/>
      <c r="RIE1" s="643"/>
      <c r="RIF1" s="643"/>
      <c r="RIG1" s="643"/>
      <c r="RIH1" s="643"/>
      <c r="RII1" s="643"/>
      <c r="RIJ1" s="643"/>
      <c r="RIK1" s="643"/>
      <c r="RIL1" s="643"/>
      <c r="RIM1" s="643"/>
      <c r="RIN1" s="643"/>
      <c r="RIO1" s="643"/>
      <c r="RIP1" s="643"/>
      <c r="RIQ1" s="643"/>
      <c r="RIR1" s="643"/>
      <c r="RIS1" s="643"/>
      <c r="RIT1" s="643"/>
      <c r="RIU1" s="643"/>
      <c r="RIV1" s="643"/>
      <c r="RIW1" s="643"/>
      <c r="RIX1" s="643"/>
      <c r="RIY1" s="643"/>
      <c r="RIZ1" s="643"/>
      <c r="RJA1" s="643"/>
      <c r="RJB1" s="643"/>
      <c r="RJC1" s="643"/>
      <c r="RJD1" s="643"/>
      <c r="RJE1" s="643"/>
      <c r="RJF1" s="643"/>
      <c r="RJG1" s="643"/>
      <c r="RJH1" s="643"/>
      <c r="RJI1" s="643"/>
      <c r="RJJ1" s="643"/>
      <c r="RJK1" s="643"/>
      <c r="RJL1" s="643"/>
      <c r="RJM1" s="643"/>
      <c r="RJN1" s="643"/>
      <c r="RJO1" s="643"/>
      <c r="RJP1" s="643"/>
      <c r="RJQ1" s="643"/>
      <c r="RJR1" s="643"/>
      <c r="RJS1" s="643"/>
      <c r="RJT1" s="643"/>
      <c r="RJU1" s="643"/>
      <c r="RJV1" s="643"/>
      <c r="RJW1" s="643"/>
      <c r="RJX1" s="643"/>
      <c r="RJY1" s="643"/>
      <c r="RJZ1" s="643"/>
      <c r="RKA1" s="643"/>
      <c r="RKB1" s="643"/>
      <c r="RKC1" s="643"/>
      <c r="RKD1" s="643"/>
      <c r="RKE1" s="643"/>
      <c r="RKF1" s="643"/>
      <c r="RKG1" s="643"/>
      <c r="RKH1" s="643"/>
      <c r="RKI1" s="643"/>
      <c r="RKJ1" s="643"/>
      <c r="RKK1" s="643"/>
      <c r="RKL1" s="643"/>
      <c r="RKM1" s="643"/>
      <c r="RKN1" s="643"/>
      <c r="RKO1" s="643"/>
      <c r="RKP1" s="643"/>
      <c r="RKQ1" s="643"/>
      <c r="RKR1" s="643"/>
      <c r="RKS1" s="643"/>
      <c r="RKT1" s="643"/>
      <c r="RKU1" s="643"/>
      <c r="RKV1" s="643"/>
      <c r="RKW1" s="643"/>
      <c r="RKX1" s="643"/>
      <c r="RKY1" s="643"/>
      <c r="RKZ1" s="643"/>
      <c r="RLA1" s="643"/>
      <c r="RLB1" s="643"/>
      <c r="RLC1" s="643"/>
      <c r="RLD1" s="643"/>
      <c r="RLE1" s="643"/>
      <c r="RLF1" s="643"/>
      <c r="RLG1" s="643"/>
      <c r="RLH1" s="643"/>
      <c r="RLI1" s="643"/>
      <c r="RLJ1" s="643"/>
      <c r="RLK1" s="643"/>
      <c r="RLL1" s="643"/>
      <c r="RLM1" s="643"/>
      <c r="RLN1" s="643"/>
      <c r="RLO1" s="643"/>
      <c r="RLP1" s="643"/>
      <c r="RLQ1" s="643"/>
      <c r="RLR1" s="643"/>
      <c r="RLS1" s="643"/>
      <c r="RLT1" s="643"/>
      <c r="RLU1" s="643"/>
      <c r="RLV1" s="643"/>
      <c r="RLW1" s="643"/>
      <c r="RLX1" s="643"/>
      <c r="RLY1" s="643"/>
      <c r="RLZ1" s="643"/>
      <c r="RMA1" s="643"/>
      <c r="RMB1" s="643"/>
      <c r="RMC1" s="643"/>
      <c r="RMD1" s="643"/>
      <c r="RME1" s="643"/>
      <c r="RMF1" s="643"/>
      <c r="RMG1" s="643"/>
      <c r="RMH1" s="643"/>
      <c r="RMI1" s="643"/>
      <c r="RMJ1" s="643"/>
      <c r="RMK1" s="643"/>
      <c r="RML1" s="643"/>
      <c r="RMM1" s="643"/>
      <c r="RMN1" s="643"/>
      <c r="RMO1" s="643"/>
      <c r="RMP1" s="643"/>
      <c r="RMQ1" s="643"/>
      <c r="RMR1" s="643"/>
      <c r="RMS1" s="643"/>
      <c r="RMT1" s="643"/>
      <c r="RMU1" s="643"/>
      <c r="RMV1" s="643"/>
      <c r="RMW1" s="643"/>
      <c r="RMX1" s="643"/>
      <c r="RMY1" s="643"/>
      <c r="RMZ1" s="643"/>
      <c r="RNA1" s="643"/>
      <c r="RNB1" s="643"/>
      <c r="RNC1" s="643"/>
      <c r="RND1" s="643"/>
      <c r="RNE1" s="643"/>
      <c r="RNF1" s="643"/>
      <c r="RNG1" s="643"/>
      <c r="RNH1" s="643"/>
      <c r="RNI1" s="643"/>
      <c r="RNJ1" s="643"/>
      <c r="RNK1" s="643"/>
      <c r="RNL1" s="643"/>
      <c r="RNM1" s="643"/>
      <c r="RNN1" s="643"/>
      <c r="RNO1" s="643"/>
      <c r="RNP1" s="643"/>
      <c r="RNQ1" s="643"/>
      <c r="RNR1" s="643"/>
      <c r="RNS1" s="643"/>
      <c r="RNT1" s="643"/>
      <c r="RNU1" s="643"/>
      <c r="RNV1" s="643"/>
      <c r="RNW1" s="643"/>
      <c r="RNX1" s="643"/>
      <c r="RNY1" s="643"/>
      <c r="RNZ1" s="643"/>
      <c r="ROA1" s="643"/>
      <c r="ROB1" s="643"/>
      <c r="ROC1" s="643"/>
      <c r="ROD1" s="643"/>
      <c r="ROE1" s="643"/>
      <c r="ROF1" s="643"/>
      <c r="ROG1" s="643"/>
      <c r="ROH1" s="643"/>
      <c r="ROI1" s="643"/>
      <c r="ROJ1" s="643"/>
      <c r="ROK1" s="643"/>
      <c r="ROL1" s="643"/>
      <c r="ROM1" s="643"/>
      <c r="RON1" s="643"/>
      <c r="ROO1" s="643"/>
      <c r="ROP1" s="643"/>
      <c r="ROQ1" s="643"/>
      <c r="ROR1" s="643"/>
      <c r="ROS1" s="643"/>
      <c r="ROT1" s="643"/>
      <c r="ROU1" s="643"/>
      <c r="ROV1" s="643"/>
      <c r="ROW1" s="643"/>
      <c r="ROX1" s="643"/>
      <c r="ROY1" s="643"/>
      <c r="ROZ1" s="643"/>
      <c r="RPA1" s="643"/>
      <c r="RPB1" s="643"/>
      <c r="RPC1" s="643"/>
      <c r="RPD1" s="643"/>
      <c r="RPE1" s="643"/>
      <c r="RPF1" s="643"/>
      <c r="RPG1" s="643"/>
      <c r="RPH1" s="643"/>
      <c r="RPI1" s="643"/>
      <c r="RPJ1" s="643"/>
      <c r="RPK1" s="643"/>
      <c r="RPL1" s="643"/>
      <c r="RPM1" s="643"/>
      <c r="RPN1" s="643"/>
      <c r="RPO1" s="643"/>
      <c r="RPP1" s="643"/>
      <c r="RPQ1" s="643"/>
      <c r="RPR1" s="643"/>
      <c r="RPS1" s="643"/>
      <c r="RPT1" s="643"/>
      <c r="RPU1" s="643"/>
      <c r="RPV1" s="643"/>
      <c r="RPW1" s="643"/>
      <c r="RPX1" s="643"/>
      <c r="RPY1" s="643"/>
      <c r="RPZ1" s="643"/>
      <c r="RQA1" s="643"/>
      <c r="RQB1" s="643"/>
      <c r="RQC1" s="643"/>
      <c r="RQD1" s="643"/>
      <c r="RQE1" s="643"/>
      <c r="RQF1" s="643"/>
      <c r="RQG1" s="643"/>
      <c r="RQH1" s="643"/>
      <c r="RQI1" s="643"/>
      <c r="RQJ1" s="643"/>
      <c r="RQK1" s="643"/>
      <c r="RQL1" s="643"/>
      <c r="RQM1" s="643"/>
      <c r="RQN1" s="643"/>
      <c r="RQO1" s="643"/>
      <c r="RQP1" s="643"/>
      <c r="RQQ1" s="643"/>
      <c r="RQR1" s="643"/>
      <c r="RQS1" s="643"/>
      <c r="RQT1" s="643"/>
      <c r="RQU1" s="643"/>
      <c r="RQV1" s="643"/>
      <c r="RQW1" s="643"/>
      <c r="RQX1" s="643"/>
      <c r="RQY1" s="643"/>
      <c r="RQZ1" s="643"/>
      <c r="RRA1" s="643"/>
      <c r="RRB1" s="643"/>
      <c r="RRC1" s="643"/>
      <c r="RRD1" s="643"/>
      <c r="RRE1" s="643"/>
      <c r="RRF1" s="643"/>
      <c r="RRG1" s="643"/>
      <c r="RRH1" s="643"/>
      <c r="RRI1" s="643"/>
      <c r="RRJ1" s="643"/>
      <c r="RRK1" s="643"/>
      <c r="RRL1" s="643"/>
      <c r="RRM1" s="643"/>
      <c r="RRN1" s="643"/>
      <c r="RRO1" s="643"/>
      <c r="RRP1" s="643"/>
      <c r="RRQ1" s="643"/>
      <c r="RRR1" s="643"/>
      <c r="RRS1" s="643"/>
      <c r="RRT1" s="643"/>
      <c r="RRU1" s="643"/>
      <c r="RRV1" s="643"/>
      <c r="RRW1" s="643"/>
      <c r="RRX1" s="643"/>
      <c r="RRY1" s="643"/>
      <c r="RRZ1" s="643"/>
      <c r="RSA1" s="643"/>
      <c r="RSB1" s="643"/>
      <c r="RSC1" s="643"/>
      <c r="RSD1" s="643"/>
      <c r="RSE1" s="643"/>
      <c r="RSF1" s="643"/>
      <c r="RSG1" s="643"/>
      <c r="RSH1" s="643"/>
      <c r="RSI1" s="643"/>
      <c r="RSJ1" s="643"/>
      <c r="RSK1" s="643"/>
      <c r="RSL1" s="643"/>
      <c r="RSM1" s="643"/>
      <c r="RSN1" s="643"/>
      <c r="RSO1" s="643"/>
      <c r="RSP1" s="643"/>
      <c r="RSQ1" s="643"/>
      <c r="RSR1" s="643"/>
      <c r="RSS1" s="643"/>
      <c r="RST1" s="643"/>
      <c r="RSU1" s="643"/>
      <c r="RSV1" s="643"/>
      <c r="RSW1" s="643"/>
      <c r="RSX1" s="643"/>
      <c r="RSY1" s="643"/>
      <c r="RSZ1" s="643"/>
      <c r="RTA1" s="643"/>
      <c r="RTB1" s="643"/>
      <c r="RTC1" s="643"/>
      <c r="RTD1" s="643"/>
      <c r="RTE1" s="643"/>
      <c r="RTF1" s="643"/>
      <c r="RTG1" s="643"/>
      <c r="RTH1" s="643"/>
      <c r="RTI1" s="643"/>
      <c r="RTJ1" s="643"/>
      <c r="RTK1" s="643"/>
      <c r="RTL1" s="643"/>
      <c r="RTM1" s="643"/>
      <c r="RTN1" s="643"/>
      <c r="RTO1" s="643"/>
      <c r="RTP1" s="643"/>
      <c r="RTQ1" s="643"/>
      <c r="RTR1" s="643"/>
      <c r="RTS1" s="643"/>
      <c r="RTT1" s="643"/>
      <c r="RTU1" s="643"/>
      <c r="RTV1" s="643"/>
      <c r="RTW1" s="643"/>
      <c r="RTX1" s="643"/>
      <c r="RTY1" s="643"/>
      <c r="RTZ1" s="643"/>
      <c r="RUA1" s="643"/>
      <c r="RUB1" s="643"/>
      <c r="RUC1" s="643"/>
      <c r="RUD1" s="643"/>
      <c r="RUE1" s="643"/>
      <c r="RUF1" s="643"/>
      <c r="RUG1" s="643"/>
      <c r="RUH1" s="643"/>
      <c r="RUI1" s="643"/>
      <c r="RUJ1" s="643"/>
      <c r="RUK1" s="643"/>
      <c r="RUL1" s="643"/>
      <c r="RUM1" s="643"/>
      <c r="RUN1" s="643"/>
      <c r="RUO1" s="643"/>
      <c r="RUP1" s="643"/>
      <c r="RUQ1" s="643"/>
      <c r="RUR1" s="643"/>
      <c r="RUS1" s="643"/>
      <c r="RUT1" s="643"/>
      <c r="RUU1" s="643"/>
      <c r="RUV1" s="643"/>
      <c r="RUW1" s="643"/>
      <c r="RUX1" s="643"/>
      <c r="RUY1" s="643"/>
      <c r="RUZ1" s="643"/>
      <c r="RVA1" s="643"/>
      <c r="RVB1" s="643"/>
      <c r="RVC1" s="643"/>
      <c r="RVD1" s="643"/>
      <c r="RVE1" s="643"/>
      <c r="RVF1" s="643"/>
      <c r="RVG1" s="643"/>
      <c r="RVH1" s="643"/>
      <c r="RVI1" s="643"/>
      <c r="RVJ1" s="643"/>
      <c r="RVK1" s="643"/>
      <c r="RVL1" s="643"/>
      <c r="RVM1" s="643"/>
      <c r="RVN1" s="643"/>
      <c r="RVO1" s="643"/>
      <c r="RVP1" s="643"/>
      <c r="RVQ1" s="643"/>
      <c r="RVR1" s="643"/>
      <c r="RVS1" s="643"/>
      <c r="RVT1" s="643"/>
      <c r="RVU1" s="643"/>
      <c r="RVV1" s="643"/>
      <c r="RVW1" s="643"/>
      <c r="RVX1" s="643"/>
      <c r="RVY1" s="643"/>
      <c r="RVZ1" s="643"/>
      <c r="RWA1" s="643"/>
      <c r="RWB1" s="643"/>
      <c r="RWC1" s="643"/>
      <c r="RWD1" s="643"/>
      <c r="RWE1" s="643"/>
      <c r="RWF1" s="643"/>
      <c r="RWG1" s="643"/>
      <c r="RWH1" s="643"/>
      <c r="RWI1" s="643"/>
      <c r="RWJ1" s="643"/>
      <c r="RWK1" s="643"/>
      <c r="RWL1" s="643"/>
      <c r="RWM1" s="643"/>
      <c r="RWN1" s="643"/>
      <c r="RWO1" s="643"/>
      <c r="RWP1" s="643"/>
      <c r="RWQ1" s="643"/>
      <c r="RWR1" s="643"/>
      <c r="RWS1" s="643"/>
      <c r="RWT1" s="643"/>
      <c r="RWU1" s="643"/>
      <c r="RWV1" s="643"/>
      <c r="RWW1" s="643"/>
      <c r="RWX1" s="643"/>
      <c r="RWY1" s="643"/>
      <c r="RWZ1" s="643"/>
      <c r="RXA1" s="643"/>
      <c r="RXB1" s="643"/>
      <c r="RXC1" s="643"/>
      <c r="RXD1" s="643"/>
      <c r="RXE1" s="643"/>
      <c r="RXF1" s="643"/>
      <c r="RXG1" s="643"/>
      <c r="RXH1" s="643"/>
      <c r="RXI1" s="643"/>
      <c r="RXJ1" s="643"/>
      <c r="RXK1" s="643"/>
      <c r="RXL1" s="643"/>
      <c r="RXM1" s="643"/>
      <c r="RXN1" s="643"/>
      <c r="RXO1" s="643"/>
      <c r="RXP1" s="643"/>
      <c r="RXQ1" s="643"/>
      <c r="RXR1" s="643"/>
      <c r="RXS1" s="643"/>
      <c r="RXT1" s="643"/>
      <c r="RXU1" s="643"/>
      <c r="RXV1" s="643"/>
      <c r="RXW1" s="643"/>
      <c r="RXX1" s="643"/>
      <c r="RXY1" s="643"/>
      <c r="RXZ1" s="643"/>
      <c r="RYA1" s="643"/>
      <c r="RYB1" s="643"/>
      <c r="RYC1" s="643"/>
      <c r="RYD1" s="643"/>
      <c r="RYE1" s="643"/>
      <c r="RYF1" s="643"/>
      <c r="RYG1" s="643"/>
      <c r="RYH1" s="643"/>
      <c r="RYI1" s="643"/>
      <c r="RYJ1" s="643"/>
      <c r="RYK1" s="643"/>
      <c r="RYL1" s="643"/>
      <c r="RYM1" s="643"/>
      <c r="RYN1" s="643"/>
      <c r="RYO1" s="643"/>
      <c r="RYP1" s="643"/>
      <c r="RYQ1" s="643"/>
      <c r="RYR1" s="643"/>
      <c r="RYS1" s="643"/>
      <c r="RYT1" s="643"/>
      <c r="RYU1" s="643"/>
      <c r="RYV1" s="643"/>
      <c r="RYW1" s="643"/>
      <c r="RYX1" s="643"/>
      <c r="RYY1" s="643"/>
      <c r="RYZ1" s="643"/>
      <c r="RZA1" s="643"/>
      <c r="RZB1" s="643"/>
      <c r="RZC1" s="643"/>
      <c r="RZD1" s="643"/>
      <c r="RZE1" s="643"/>
      <c r="RZF1" s="643"/>
      <c r="RZG1" s="643"/>
      <c r="RZH1" s="643"/>
      <c r="RZI1" s="643"/>
      <c r="RZJ1" s="643"/>
      <c r="RZK1" s="643"/>
      <c r="RZL1" s="643"/>
      <c r="RZM1" s="643"/>
      <c r="RZN1" s="643"/>
      <c r="RZO1" s="643"/>
      <c r="RZP1" s="643"/>
      <c r="RZQ1" s="643"/>
      <c r="RZR1" s="643"/>
      <c r="RZS1" s="643"/>
      <c r="RZT1" s="643"/>
      <c r="RZU1" s="643"/>
      <c r="RZV1" s="643"/>
      <c r="RZW1" s="643"/>
      <c r="RZX1" s="643"/>
      <c r="RZY1" s="643"/>
      <c r="RZZ1" s="643"/>
      <c r="SAA1" s="643"/>
      <c r="SAB1" s="643"/>
      <c r="SAC1" s="643"/>
      <c r="SAD1" s="643"/>
      <c r="SAE1" s="643"/>
      <c r="SAF1" s="643"/>
      <c r="SAG1" s="643"/>
      <c r="SAH1" s="643"/>
      <c r="SAI1" s="643"/>
      <c r="SAJ1" s="643"/>
      <c r="SAK1" s="643"/>
      <c r="SAL1" s="643"/>
      <c r="SAM1" s="643"/>
      <c r="SAN1" s="643"/>
      <c r="SAO1" s="643"/>
      <c r="SAP1" s="643"/>
      <c r="SAQ1" s="643"/>
      <c r="SAR1" s="643"/>
      <c r="SAS1" s="643"/>
      <c r="SAT1" s="643"/>
      <c r="SAU1" s="643"/>
      <c r="SAV1" s="643"/>
      <c r="SAW1" s="643"/>
      <c r="SAX1" s="643"/>
      <c r="SAY1" s="643"/>
      <c r="SAZ1" s="643"/>
      <c r="SBA1" s="643"/>
      <c r="SBB1" s="643"/>
      <c r="SBC1" s="643"/>
      <c r="SBD1" s="643"/>
      <c r="SBE1" s="643"/>
      <c r="SBF1" s="643"/>
      <c r="SBG1" s="643"/>
      <c r="SBH1" s="643"/>
      <c r="SBI1" s="643"/>
      <c r="SBJ1" s="643"/>
      <c r="SBK1" s="643"/>
      <c r="SBL1" s="643"/>
      <c r="SBM1" s="643"/>
      <c r="SBN1" s="643"/>
      <c r="SBO1" s="643"/>
      <c r="SBP1" s="643"/>
      <c r="SBQ1" s="643"/>
      <c r="SBR1" s="643"/>
      <c r="SBS1" s="643"/>
      <c r="SBT1" s="643"/>
      <c r="SBU1" s="643"/>
      <c r="SBV1" s="643"/>
      <c r="SBW1" s="643"/>
      <c r="SBX1" s="643"/>
      <c r="SBY1" s="643"/>
      <c r="SBZ1" s="643"/>
      <c r="SCA1" s="643"/>
      <c r="SCB1" s="643"/>
      <c r="SCC1" s="643"/>
      <c r="SCD1" s="643"/>
      <c r="SCE1" s="643"/>
      <c r="SCF1" s="643"/>
      <c r="SCG1" s="643"/>
      <c r="SCH1" s="643"/>
      <c r="SCI1" s="643"/>
      <c r="SCJ1" s="643"/>
      <c r="SCK1" s="643"/>
      <c r="SCL1" s="643"/>
      <c r="SCM1" s="643"/>
      <c r="SCN1" s="643"/>
      <c r="SCO1" s="643"/>
      <c r="SCP1" s="643"/>
      <c r="SCQ1" s="643"/>
      <c r="SCR1" s="643"/>
      <c r="SCS1" s="643"/>
      <c r="SCT1" s="643"/>
      <c r="SCU1" s="643"/>
      <c r="SCV1" s="643"/>
      <c r="SCW1" s="643"/>
      <c r="SCX1" s="643"/>
      <c r="SCY1" s="643"/>
      <c r="SCZ1" s="643"/>
      <c r="SDA1" s="643"/>
      <c r="SDB1" s="643"/>
      <c r="SDC1" s="643"/>
      <c r="SDD1" s="643"/>
      <c r="SDE1" s="643"/>
      <c r="SDF1" s="643"/>
      <c r="SDG1" s="643"/>
      <c r="SDH1" s="643"/>
      <c r="SDI1" s="643"/>
      <c r="SDJ1" s="643"/>
      <c r="SDK1" s="643"/>
      <c r="SDL1" s="643"/>
      <c r="SDM1" s="643"/>
      <c r="SDN1" s="643"/>
      <c r="SDO1" s="643"/>
      <c r="SDP1" s="643"/>
      <c r="SDQ1" s="643"/>
      <c r="SDR1" s="643"/>
      <c r="SDS1" s="643"/>
      <c r="SDT1" s="643"/>
      <c r="SDU1" s="643"/>
      <c r="SDV1" s="643"/>
      <c r="SDW1" s="643"/>
      <c r="SDX1" s="643"/>
      <c r="SDY1" s="643"/>
      <c r="SDZ1" s="643"/>
      <c r="SEA1" s="643"/>
      <c r="SEB1" s="643"/>
      <c r="SEC1" s="643"/>
      <c r="SED1" s="643"/>
      <c r="SEE1" s="643"/>
      <c r="SEF1" s="643"/>
      <c r="SEG1" s="643"/>
      <c r="SEH1" s="643"/>
      <c r="SEI1" s="643"/>
      <c r="SEJ1" s="643"/>
      <c r="SEK1" s="643"/>
      <c r="SEL1" s="643"/>
      <c r="SEM1" s="643"/>
      <c r="SEN1" s="643"/>
      <c r="SEO1" s="643"/>
      <c r="SEP1" s="643"/>
      <c r="SEQ1" s="643"/>
      <c r="SER1" s="643"/>
      <c r="SES1" s="643"/>
      <c r="SET1" s="643"/>
      <c r="SEU1" s="643"/>
      <c r="SEV1" s="643"/>
      <c r="SEW1" s="643"/>
      <c r="SEX1" s="643"/>
      <c r="SEY1" s="643"/>
      <c r="SEZ1" s="643"/>
      <c r="SFA1" s="643"/>
      <c r="SFB1" s="643"/>
      <c r="SFC1" s="643"/>
      <c r="SFD1" s="643"/>
      <c r="SFE1" s="643"/>
      <c r="SFF1" s="643"/>
      <c r="SFG1" s="643"/>
      <c r="SFH1" s="643"/>
      <c r="SFI1" s="643"/>
      <c r="SFJ1" s="643"/>
      <c r="SFK1" s="643"/>
      <c r="SFL1" s="643"/>
      <c r="SFM1" s="643"/>
      <c r="SFN1" s="643"/>
      <c r="SFO1" s="643"/>
      <c r="SFP1" s="643"/>
      <c r="SFQ1" s="643"/>
      <c r="SFR1" s="643"/>
      <c r="SFS1" s="643"/>
      <c r="SFT1" s="643"/>
      <c r="SFU1" s="643"/>
      <c r="SFV1" s="643"/>
      <c r="SFW1" s="643"/>
      <c r="SFX1" s="643"/>
      <c r="SFY1" s="643"/>
      <c r="SFZ1" s="643"/>
      <c r="SGA1" s="643"/>
      <c r="SGB1" s="643"/>
      <c r="SGC1" s="643"/>
      <c r="SGD1" s="643"/>
      <c r="SGE1" s="643"/>
      <c r="SGF1" s="643"/>
      <c r="SGG1" s="643"/>
      <c r="SGH1" s="643"/>
      <c r="SGI1" s="643"/>
      <c r="SGJ1" s="643"/>
      <c r="SGK1" s="643"/>
      <c r="SGL1" s="643"/>
      <c r="SGM1" s="643"/>
      <c r="SGN1" s="643"/>
      <c r="SGO1" s="643"/>
      <c r="SGP1" s="643"/>
      <c r="SGQ1" s="643"/>
      <c r="SGR1" s="643"/>
      <c r="SGS1" s="643"/>
      <c r="SGT1" s="643"/>
      <c r="SGU1" s="643"/>
      <c r="SGV1" s="643"/>
      <c r="SGW1" s="643"/>
      <c r="SGX1" s="643"/>
      <c r="SGY1" s="643"/>
      <c r="SGZ1" s="643"/>
      <c r="SHA1" s="643"/>
      <c r="SHB1" s="643"/>
      <c r="SHC1" s="643"/>
      <c r="SHD1" s="643"/>
      <c r="SHE1" s="643"/>
      <c r="SHF1" s="643"/>
      <c r="SHG1" s="643"/>
      <c r="SHH1" s="643"/>
      <c r="SHI1" s="643"/>
      <c r="SHJ1" s="643"/>
      <c r="SHK1" s="643"/>
      <c r="SHL1" s="643"/>
      <c r="SHM1" s="643"/>
      <c r="SHN1" s="643"/>
      <c r="SHO1" s="643"/>
      <c r="SHP1" s="643"/>
      <c r="SHQ1" s="643"/>
      <c r="SHR1" s="643"/>
      <c r="SHS1" s="643"/>
      <c r="SHT1" s="643"/>
      <c r="SHU1" s="643"/>
      <c r="SHV1" s="643"/>
      <c r="SHW1" s="643"/>
      <c r="SHX1" s="643"/>
      <c r="SHY1" s="643"/>
      <c r="SHZ1" s="643"/>
      <c r="SIA1" s="643"/>
      <c r="SIB1" s="643"/>
      <c r="SIC1" s="643"/>
      <c r="SID1" s="643"/>
      <c r="SIE1" s="643"/>
      <c r="SIF1" s="643"/>
      <c r="SIG1" s="643"/>
      <c r="SIH1" s="643"/>
      <c r="SII1" s="643"/>
      <c r="SIJ1" s="643"/>
      <c r="SIK1" s="643"/>
      <c r="SIL1" s="643"/>
      <c r="SIM1" s="643"/>
      <c r="SIN1" s="643"/>
      <c r="SIO1" s="643"/>
      <c r="SIP1" s="643"/>
      <c r="SIQ1" s="643"/>
      <c r="SIR1" s="643"/>
      <c r="SIS1" s="643"/>
      <c r="SIT1" s="643"/>
      <c r="SIU1" s="643"/>
      <c r="SIV1" s="643"/>
      <c r="SIW1" s="643"/>
      <c r="SIX1" s="643"/>
      <c r="SIY1" s="643"/>
      <c r="SIZ1" s="643"/>
      <c r="SJA1" s="643"/>
      <c r="SJB1" s="643"/>
      <c r="SJC1" s="643"/>
      <c r="SJD1" s="643"/>
      <c r="SJE1" s="643"/>
      <c r="SJF1" s="643"/>
      <c r="SJG1" s="643"/>
      <c r="SJH1" s="643"/>
      <c r="SJI1" s="643"/>
      <c r="SJJ1" s="643"/>
      <c r="SJK1" s="643"/>
      <c r="SJL1" s="643"/>
      <c r="SJM1" s="643"/>
      <c r="SJN1" s="643"/>
      <c r="SJO1" s="643"/>
      <c r="SJP1" s="643"/>
      <c r="SJQ1" s="643"/>
      <c r="SJR1" s="643"/>
      <c r="SJS1" s="643"/>
      <c r="SJT1" s="643"/>
      <c r="SJU1" s="643"/>
      <c r="SJV1" s="643"/>
      <c r="SJW1" s="643"/>
      <c r="SJX1" s="643"/>
      <c r="SJY1" s="643"/>
      <c r="SJZ1" s="643"/>
      <c r="SKA1" s="643"/>
      <c r="SKB1" s="643"/>
      <c r="SKC1" s="643"/>
      <c r="SKD1" s="643"/>
      <c r="SKE1" s="643"/>
      <c r="SKF1" s="643"/>
      <c r="SKG1" s="643"/>
      <c r="SKH1" s="643"/>
      <c r="SKI1" s="643"/>
      <c r="SKJ1" s="643"/>
      <c r="SKK1" s="643"/>
      <c r="SKL1" s="643"/>
      <c r="SKM1" s="643"/>
      <c r="SKN1" s="643"/>
      <c r="SKO1" s="643"/>
      <c r="SKP1" s="643"/>
      <c r="SKQ1" s="643"/>
      <c r="SKR1" s="643"/>
      <c r="SKS1" s="643"/>
      <c r="SKT1" s="643"/>
      <c r="SKU1" s="643"/>
      <c r="SKV1" s="643"/>
      <c r="SKW1" s="643"/>
      <c r="SKX1" s="643"/>
      <c r="SKY1" s="643"/>
      <c r="SKZ1" s="643"/>
      <c r="SLA1" s="643"/>
      <c r="SLB1" s="643"/>
      <c r="SLC1" s="643"/>
      <c r="SLD1" s="643"/>
      <c r="SLE1" s="643"/>
      <c r="SLF1" s="643"/>
      <c r="SLG1" s="643"/>
      <c r="SLH1" s="643"/>
      <c r="SLI1" s="643"/>
      <c r="SLJ1" s="643"/>
      <c r="SLK1" s="643"/>
      <c r="SLL1" s="643"/>
      <c r="SLM1" s="643"/>
      <c r="SLN1" s="643"/>
      <c r="SLO1" s="643"/>
      <c r="SLP1" s="643"/>
      <c r="SLQ1" s="643"/>
      <c r="SLR1" s="643"/>
      <c r="SLS1" s="643"/>
      <c r="SLT1" s="643"/>
      <c r="SLU1" s="643"/>
      <c r="SLV1" s="643"/>
      <c r="SLW1" s="643"/>
      <c r="SLX1" s="643"/>
      <c r="SLY1" s="643"/>
      <c r="SLZ1" s="643"/>
      <c r="SMA1" s="643"/>
      <c r="SMB1" s="643"/>
      <c r="SMC1" s="643"/>
      <c r="SMD1" s="643"/>
      <c r="SME1" s="643"/>
      <c r="SMF1" s="643"/>
      <c r="SMG1" s="643"/>
      <c r="SMH1" s="643"/>
      <c r="SMI1" s="643"/>
      <c r="SMJ1" s="643"/>
      <c r="SMK1" s="643"/>
      <c r="SML1" s="643"/>
      <c r="SMM1" s="643"/>
      <c r="SMN1" s="643"/>
      <c r="SMO1" s="643"/>
      <c r="SMP1" s="643"/>
      <c r="SMQ1" s="643"/>
      <c r="SMR1" s="643"/>
      <c r="SMS1" s="643"/>
      <c r="SMT1" s="643"/>
      <c r="SMU1" s="643"/>
      <c r="SMV1" s="643"/>
      <c r="SMW1" s="643"/>
      <c r="SMX1" s="643"/>
      <c r="SMY1" s="643"/>
      <c r="SMZ1" s="643"/>
      <c r="SNA1" s="643"/>
      <c r="SNB1" s="643"/>
      <c r="SNC1" s="643"/>
      <c r="SND1" s="643"/>
      <c r="SNE1" s="643"/>
      <c r="SNF1" s="643"/>
      <c r="SNG1" s="643"/>
      <c r="SNH1" s="643"/>
      <c r="SNI1" s="643"/>
      <c r="SNJ1" s="643"/>
      <c r="SNK1" s="643"/>
      <c r="SNL1" s="643"/>
      <c r="SNM1" s="643"/>
      <c r="SNN1" s="643"/>
      <c r="SNO1" s="643"/>
      <c r="SNP1" s="643"/>
      <c r="SNQ1" s="643"/>
      <c r="SNR1" s="643"/>
      <c r="SNS1" s="643"/>
      <c r="SNT1" s="643"/>
      <c r="SNU1" s="643"/>
      <c r="SNV1" s="643"/>
      <c r="SNW1" s="643"/>
      <c r="SNX1" s="643"/>
      <c r="SNY1" s="643"/>
      <c r="SNZ1" s="643"/>
      <c r="SOA1" s="643"/>
      <c r="SOB1" s="643"/>
      <c r="SOC1" s="643"/>
      <c r="SOD1" s="643"/>
      <c r="SOE1" s="643"/>
      <c r="SOF1" s="643"/>
      <c r="SOG1" s="643"/>
      <c r="SOH1" s="643"/>
      <c r="SOI1" s="643"/>
      <c r="SOJ1" s="643"/>
      <c r="SOK1" s="643"/>
      <c r="SOL1" s="643"/>
      <c r="SOM1" s="643"/>
      <c r="SON1" s="643"/>
      <c r="SOO1" s="643"/>
      <c r="SOP1" s="643"/>
      <c r="SOQ1" s="643"/>
      <c r="SOR1" s="643"/>
      <c r="SOS1" s="643"/>
      <c r="SOT1" s="643"/>
      <c r="SOU1" s="643"/>
      <c r="SOV1" s="643"/>
      <c r="SOW1" s="643"/>
      <c r="SOX1" s="643"/>
      <c r="SOY1" s="643"/>
      <c r="SOZ1" s="643"/>
      <c r="SPA1" s="643"/>
      <c r="SPB1" s="643"/>
      <c r="SPC1" s="643"/>
      <c r="SPD1" s="643"/>
      <c r="SPE1" s="643"/>
      <c r="SPF1" s="643"/>
      <c r="SPG1" s="643"/>
      <c r="SPH1" s="643"/>
      <c r="SPI1" s="643"/>
      <c r="SPJ1" s="643"/>
      <c r="SPK1" s="643"/>
      <c r="SPL1" s="643"/>
      <c r="SPM1" s="643"/>
      <c r="SPN1" s="643"/>
      <c r="SPO1" s="643"/>
      <c r="SPP1" s="643"/>
      <c r="SPQ1" s="643"/>
      <c r="SPR1" s="643"/>
      <c r="SPS1" s="643"/>
      <c r="SPT1" s="643"/>
      <c r="SPU1" s="643"/>
      <c r="SPV1" s="643"/>
      <c r="SPW1" s="643"/>
      <c r="SPX1" s="643"/>
      <c r="SPY1" s="643"/>
      <c r="SPZ1" s="643"/>
      <c r="SQA1" s="643"/>
      <c r="SQB1" s="643"/>
      <c r="SQC1" s="643"/>
      <c r="SQD1" s="643"/>
      <c r="SQE1" s="643"/>
      <c r="SQF1" s="643"/>
      <c r="SQG1" s="643"/>
      <c r="SQH1" s="643"/>
      <c r="SQI1" s="643"/>
      <c r="SQJ1" s="643"/>
      <c r="SQK1" s="643"/>
      <c r="SQL1" s="643"/>
      <c r="SQM1" s="643"/>
      <c r="SQN1" s="643"/>
      <c r="SQO1" s="643"/>
      <c r="SQP1" s="643"/>
      <c r="SQQ1" s="643"/>
      <c r="SQR1" s="643"/>
      <c r="SQS1" s="643"/>
      <c r="SQT1" s="643"/>
      <c r="SQU1" s="643"/>
      <c r="SQV1" s="643"/>
      <c r="SQW1" s="643"/>
      <c r="SQX1" s="643"/>
      <c r="SQY1" s="643"/>
      <c r="SQZ1" s="643"/>
      <c r="SRA1" s="643"/>
      <c r="SRB1" s="643"/>
      <c r="SRC1" s="643"/>
      <c r="SRD1" s="643"/>
      <c r="SRE1" s="643"/>
      <c r="SRF1" s="643"/>
      <c r="SRG1" s="643"/>
      <c r="SRH1" s="643"/>
      <c r="SRI1" s="643"/>
      <c r="SRJ1" s="643"/>
      <c r="SRK1" s="643"/>
      <c r="SRL1" s="643"/>
      <c r="SRM1" s="643"/>
      <c r="SRN1" s="643"/>
      <c r="SRO1" s="643"/>
      <c r="SRP1" s="643"/>
      <c r="SRQ1" s="643"/>
      <c r="SRR1" s="643"/>
      <c r="SRS1" s="643"/>
      <c r="SRT1" s="643"/>
      <c r="SRU1" s="643"/>
      <c r="SRV1" s="643"/>
      <c r="SRW1" s="643"/>
      <c r="SRX1" s="643"/>
      <c r="SRY1" s="643"/>
      <c r="SRZ1" s="643"/>
      <c r="SSA1" s="643"/>
      <c r="SSB1" s="643"/>
      <c r="SSC1" s="643"/>
      <c r="SSD1" s="643"/>
      <c r="SSE1" s="643"/>
      <c r="SSF1" s="643"/>
      <c r="SSG1" s="643"/>
      <c r="SSH1" s="643"/>
      <c r="SSI1" s="643"/>
      <c r="SSJ1" s="643"/>
      <c r="SSK1" s="643"/>
      <c r="SSL1" s="643"/>
      <c r="SSM1" s="643"/>
      <c r="SSN1" s="643"/>
      <c r="SSO1" s="643"/>
      <c r="SSP1" s="643"/>
      <c r="SSQ1" s="643"/>
      <c r="SSR1" s="643"/>
      <c r="SSS1" s="643"/>
      <c r="SST1" s="643"/>
      <c r="SSU1" s="643"/>
      <c r="SSV1" s="643"/>
      <c r="SSW1" s="643"/>
      <c r="SSX1" s="643"/>
      <c r="SSY1" s="643"/>
      <c r="SSZ1" s="643"/>
      <c r="STA1" s="643"/>
      <c r="STB1" s="643"/>
      <c r="STC1" s="643"/>
      <c r="STD1" s="643"/>
      <c r="STE1" s="643"/>
      <c r="STF1" s="643"/>
      <c r="STG1" s="643"/>
      <c r="STH1" s="643"/>
      <c r="STI1" s="643"/>
      <c r="STJ1" s="643"/>
      <c r="STK1" s="643"/>
      <c r="STL1" s="643"/>
      <c r="STM1" s="643"/>
      <c r="STN1" s="643"/>
      <c r="STO1" s="643"/>
      <c r="STP1" s="643"/>
      <c r="STQ1" s="643"/>
      <c r="STR1" s="643"/>
      <c r="STS1" s="643"/>
      <c r="STT1" s="643"/>
      <c r="STU1" s="643"/>
      <c r="STV1" s="643"/>
      <c r="STW1" s="643"/>
      <c r="STX1" s="643"/>
      <c r="STY1" s="643"/>
      <c r="STZ1" s="643"/>
      <c r="SUA1" s="643"/>
      <c r="SUB1" s="643"/>
      <c r="SUC1" s="643"/>
      <c r="SUD1" s="643"/>
      <c r="SUE1" s="643"/>
      <c r="SUF1" s="643"/>
      <c r="SUG1" s="643"/>
      <c r="SUH1" s="643"/>
      <c r="SUI1" s="643"/>
      <c r="SUJ1" s="643"/>
      <c r="SUK1" s="643"/>
      <c r="SUL1" s="643"/>
      <c r="SUM1" s="643"/>
      <c r="SUN1" s="643"/>
      <c r="SUO1" s="643"/>
      <c r="SUP1" s="643"/>
      <c r="SUQ1" s="643"/>
      <c r="SUR1" s="643"/>
      <c r="SUS1" s="643"/>
      <c r="SUT1" s="643"/>
      <c r="SUU1" s="643"/>
      <c r="SUV1" s="643"/>
      <c r="SUW1" s="643"/>
      <c r="SUX1" s="643"/>
      <c r="SUY1" s="643"/>
      <c r="SUZ1" s="643"/>
      <c r="SVA1" s="643"/>
      <c r="SVB1" s="643"/>
      <c r="SVC1" s="643"/>
      <c r="SVD1" s="643"/>
      <c r="SVE1" s="643"/>
      <c r="SVF1" s="643"/>
      <c r="SVG1" s="643"/>
      <c r="SVH1" s="643"/>
      <c r="SVI1" s="643"/>
      <c r="SVJ1" s="643"/>
      <c r="SVK1" s="643"/>
      <c r="SVL1" s="643"/>
      <c r="SVM1" s="643"/>
      <c r="SVN1" s="643"/>
      <c r="SVO1" s="643"/>
      <c r="SVP1" s="643"/>
      <c r="SVQ1" s="643"/>
      <c r="SVR1" s="643"/>
      <c r="SVS1" s="643"/>
      <c r="SVT1" s="643"/>
      <c r="SVU1" s="643"/>
      <c r="SVV1" s="643"/>
      <c r="SVW1" s="643"/>
      <c r="SVX1" s="643"/>
      <c r="SVY1" s="643"/>
      <c r="SVZ1" s="643"/>
      <c r="SWA1" s="643"/>
      <c r="SWB1" s="643"/>
      <c r="SWC1" s="643"/>
      <c r="SWD1" s="643"/>
      <c r="SWE1" s="643"/>
      <c r="SWF1" s="643"/>
      <c r="SWG1" s="643"/>
      <c r="SWH1" s="643"/>
      <c r="SWI1" s="643"/>
      <c r="SWJ1" s="643"/>
      <c r="SWK1" s="643"/>
      <c r="SWL1" s="643"/>
      <c r="SWM1" s="643"/>
      <c r="SWN1" s="643"/>
      <c r="SWO1" s="643"/>
      <c r="SWP1" s="643"/>
      <c r="SWQ1" s="643"/>
      <c r="SWR1" s="643"/>
      <c r="SWS1" s="643"/>
      <c r="SWT1" s="643"/>
      <c r="SWU1" s="643"/>
      <c r="SWV1" s="643"/>
      <c r="SWW1" s="643"/>
      <c r="SWX1" s="643"/>
      <c r="SWY1" s="643"/>
      <c r="SWZ1" s="643"/>
      <c r="SXA1" s="643"/>
      <c r="SXB1" s="643"/>
      <c r="SXC1" s="643"/>
      <c r="SXD1" s="643"/>
      <c r="SXE1" s="643"/>
      <c r="SXF1" s="643"/>
      <c r="SXG1" s="643"/>
      <c r="SXH1" s="643"/>
      <c r="SXI1" s="643"/>
      <c r="SXJ1" s="643"/>
      <c r="SXK1" s="643"/>
      <c r="SXL1" s="643"/>
      <c r="SXM1" s="643"/>
      <c r="SXN1" s="643"/>
      <c r="SXO1" s="643"/>
      <c r="SXP1" s="643"/>
      <c r="SXQ1" s="643"/>
      <c r="SXR1" s="643"/>
      <c r="SXS1" s="643"/>
      <c r="SXT1" s="643"/>
      <c r="SXU1" s="643"/>
      <c r="SXV1" s="643"/>
      <c r="SXW1" s="643"/>
      <c r="SXX1" s="643"/>
      <c r="SXY1" s="643"/>
      <c r="SXZ1" s="643"/>
      <c r="SYA1" s="643"/>
      <c r="SYB1" s="643"/>
      <c r="SYC1" s="643"/>
      <c r="SYD1" s="643"/>
      <c r="SYE1" s="643"/>
      <c r="SYF1" s="643"/>
      <c r="SYG1" s="643"/>
      <c r="SYH1" s="643"/>
      <c r="SYI1" s="643"/>
      <c r="SYJ1" s="643"/>
      <c r="SYK1" s="643"/>
      <c r="SYL1" s="643"/>
      <c r="SYM1" s="643"/>
      <c r="SYN1" s="643"/>
      <c r="SYO1" s="643"/>
      <c r="SYP1" s="643"/>
      <c r="SYQ1" s="643"/>
      <c r="SYR1" s="643"/>
      <c r="SYS1" s="643"/>
      <c r="SYT1" s="643"/>
      <c r="SYU1" s="643"/>
      <c r="SYV1" s="643"/>
      <c r="SYW1" s="643"/>
      <c r="SYX1" s="643"/>
      <c r="SYY1" s="643"/>
      <c r="SYZ1" s="643"/>
      <c r="SZA1" s="643"/>
      <c r="SZB1" s="643"/>
      <c r="SZC1" s="643"/>
      <c r="SZD1" s="643"/>
      <c r="SZE1" s="643"/>
      <c r="SZF1" s="643"/>
      <c r="SZG1" s="643"/>
      <c r="SZH1" s="643"/>
      <c r="SZI1" s="643"/>
      <c r="SZJ1" s="643"/>
      <c r="SZK1" s="643"/>
      <c r="SZL1" s="643"/>
      <c r="SZM1" s="643"/>
      <c r="SZN1" s="643"/>
      <c r="SZO1" s="643"/>
      <c r="SZP1" s="643"/>
      <c r="SZQ1" s="643"/>
      <c r="SZR1" s="643"/>
      <c r="SZS1" s="643"/>
      <c r="SZT1" s="643"/>
      <c r="SZU1" s="643"/>
      <c r="SZV1" s="643"/>
      <c r="SZW1" s="643"/>
      <c r="SZX1" s="643"/>
      <c r="SZY1" s="643"/>
      <c r="SZZ1" s="643"/>
      <c r="TAA1" s="643"/>
      <c r="TAB1" s="643"/>
      <c r="TAC1" s="643"/>
      <c r="TAD1" s="643"/>
      <c r="TAE1" s="643"/>
      <c r="TAF1" s="643"/>
      <c r="TAG1" s="643"/>
      <c r="TAH1" s="643"/>
      <c r="TAI1" s="643"/>
      <c r="TAJ1" s="643"/>
      <c r="TAK1" s="643"/>
      <c r="TAL1" s="643"/>
      <c r="TAM1" s="643"/>
      <c r="TAN1" s="643"/>
      <c r="TAO1" s="643"/>
      <c r="TAP1" s="643"/>
      <c r="TAQ1" s="643"/>
      <c r="TAR1" s="643"/>
      <c r="TAS1" s="643"/>
      <c r="TAT1" s="643"/>
      <c r="TAU1" s="643"/>
      <c r="TAV1" s="643"/>
      <c r="TAW1" s="643"/>
      <c r="TAX1" s="643"/>
      <c r="TAY1" s="643"/>
      <c r="TAZ1" s="643"/>
      <c r="TBA1" s="643"/>
      <c r="TBB1" s="643"/>
      <c r="TBC1" s="643"/>
      <c r="TBD1" s="643"/>
      <c r="TBE1" s="643"/>
      <c r="TBF1" s="643"/>
      <c r="TBG1" s="643"/>
      <c r="TBH1" s="643"/>
      <c r="TBI1" s="643"/>
      <c r="TBJ1" s="643"/>
      <c r="TBK1" s="643"/>
      <c r="TBL1" s="643"/>
      <c r="TBM1" s="643"/>
      <c r="TBN1" s="643"/>
      <c r="TBO1" s="643"/>
      <c r="TBP1" s="643"/>
      <c r="TBQ1" s="643"/>
      <c r="TBR1" s="643"/>
      <c r="TBS1" s="643"/>
      <c r="TBT1" s="643"/>
      <c r="TBU1" s="643"/>
      <c r="TBV1" s="643"/>
      <c r="TBW1" s="643"/>
      <c r="TBX1" s="643"/>
      <c r="TBY1" s="643"/>
      <c r="TBZ1" s="643"/>
      <c r="TCA1" s="643"/>
      <c r="TCB1" s="643"/>
      <c r="TCC1" s="643"/>
      <c r="TCD1" s="643"/>
      <c r="TCE1" s="643"/>
      <c r="TCF1" s="643"/>
      <c r="TCG1" s="643"/>
      <c r="TCH1" s="643"/>
      <c r="TCI1" s="643"/>
      <c r="TCJ1" s="643"/>
      <c r="TCK1" s="643"/>
      <c r="TCL1" s="643"/>
      <c r="TCM1" s="643"/>
      <c r="TCN1" s="643"/>
      <c r="TCO1" s="643"/>
      <c r="TCP1" s="643"/>
      <c r="TCQ1" s="643"/>
      <c r="TCR1" s="643"/>
      <c r="TCS1" s="643"/>
      <c r="TCT1" s="643"/>
      <c r="TCU1" s="643"/>
      <c r="TCV1" s="643"/>
      <c r="TCW1" s="643"/>
      <c r="TCX1" s="643"/>
      <c r="TCY1" s="643"/>
      <c r="TCZ1" s="643"/>
      <c r="TDA1" s="643"/>
      <c r="TDB1" s="643"/>
      <c r="TDC1" s="643"/>
      <c r="TDD1" s="643"/>
      <c r="TDE1" s="643"/>
      <c r="TDF1" s="643"/>
      <c r="TDG1" s="643"/>
      <c r="TDH1" s="643"/>
      <c r="TDI1" s="643"/>
      <c r="TDJ1" s="643"/>
      <c r="TDK1" s="643"/>
      <c r="TDL1" s="643"/>
      <c r="TDM1" s="643"/>
      <c r="TDN1" s="643"/>
      <c r="TDO1" s="643"/>
      <c r="TDP1" s="643"/>
      <c r="TDQ1" s="643"/>
      <c r="TDR1" s="643"/>
      <c r="TDS1" s="643"/>
      <c r="TDT1" s="643"/>
      <c r="TDU1" s="643"/>
      <c r="TDV1" s="643"/>
      <c r="TDW1" s="643"/>
      <c r="TDX1" s="643"/>
      <c r="TDY1" s="643"/>
      <c r="TDZ1" s="643"/>
      <c r="TEA1" s="643"/>
      <c r="TEB1" s="643"/>
      <c r="TEC1" s="643"/>
      <c r="TED1" s="643"/>
      <c r="TEE1" s="643"/>
      <c r="TEF1" s="643"/>
      <c r="TEG1" s="643"/>
      <c r="TEH1" s="643"/>
      <c r="TEI1" s="643"/>
      <c r="TEJ1" s="643"/>
      <c r="TEK1" s="643"/>
      <c r="TEL1" s="643"/>
      <c r="TEM1" s="643"/>
      <c r="TEN1" s="643"/>
      <c r="TEO1" s="643"/>
      <c r="TEP1" s="643"/>
      <c r="TEQ1" s="643"/>
      <c r="TER1" s="643"/>
      <c r="TES1" s="643"/>
      <c r="TET1" s="643"/>
      <c r="TEU1" s="643"/>
      <c r="TEV1" s="643"/>
      <c r="TEW1" s="643"/>
      <c r="TEX1" s="643"/>
      <c r="TEY1" s="643"/>
      <c r="TEZ1" s="643"/>
      <c r="TFA1" s="643"/>
      <c r="TFB1" s="643"/>
      <c r="TFC1" s="643"/>
      <c r="TFD1" s="643"/>
      <c r="TFE1" s="643"/>
      <c r="TFF1" s="643"/>
      <c r="TFG1" s="643"/>
      <c r="TFH1" s="643"/>
      <c r="TFI1" s="643"/>
      <c r="TFJ1" s="643"/>
      <c r="TFK1" s="643"/>
      <c r="TFL1" s="643"/>
      <c r="TFM1" s="643"/>
      <c r="TFN1" s="643"/>
      <c r="TFO1" s="643"/>
      <c r="TFP1" s="643"/>
      <c r="TFQ1" s="643"/>
      <c r="TFR1" s="643"/>
      <c r="TFS1" s="643"/>
      <c r="TFT1" s="643"/>
      <c r="TFU1" s="643"/>
      <c r="TFV1" s="643"/>
      <c r="TFW1" s="643"/>
      <c r="TFX1" s="643"/>
      <c r="TFY1" s="643"/>
      <c r="TFZ1" s="643"/>
      <c r="TGA1" s="643"/>
      <c r="TGB1" s="643"/>
      <c r="TGC1" s="643"/>
      <c r="TGD1" s="643"/>
      <c r="TGE1" s="643"/>
      <c r="TGF1" s="643"/>
      <c r="TGG1" s="643"/>
      <c r="TGH1" s="643"/>
      <c r="TGI1" s="643"/>
      <c r="TGJ1" s="643"/>
      <c r="TGK1" s="643"/>
      <c r="TGL1" s="643"/>
      <c r="TGM1" s="643"/>
      <c r="TGN1" s="643"/>
      <c r="TGO1" s="643"/>
      <c r="TGP1" s="643"/>
      <c r="TGQ1" s="643"/>
      <c r="TGR1" s="643"/>
      <c r="TGS1" s="643"/>
      <c r="TGT1" s="643"/>
      <c r="TGU1" s="643"/>
      <c r="TGV1" s="643"/>
      <c r="TGW1" s="643"/>
      <c r="TGX1" s="643"/>
      <c r="TGY1" s="643"/>
      <c r="TGZ1" s="643"/>
      <c r="THA1" s="643"/>
      <c r="THB1" s="643"/>
      <c r="THC1" s="643"/>
      <c r="THD1" s="643"/>
      <c r="THE1" s="643"/>
      <c r="THF1" s="643"/>
      <c r="THG1" s="643"/>
      <c r="THH1" s="643"/>
      <c r="THI1" s="643"/>
      <c r="THJ1" s="643"/>
      <c r="THK1" s="643"/>
      <c r="THL1" s="643"/>
      <c r="THM1" s="643"/>
      <c r="THN1" s="643"/>
      <c r="THO1" s="643"/>
      <c r="THP1" s="643"/>
      <c r="THQ1" s="643"/>
      <c r="THR1" s="643"/>
      <c r="THS1" s="643"/>
      <c r="THT1" s="643"/>
      <c r="THU1" s="643"/>
      <c r="THV1" s="643"/>
      <c r="THW1" s="643"/>
      <c r="THX1" s="643"/>
      <c r="THY1" s="643"/>
      <c r="THZ1" s="643"/>
      <c r="TIA1" s="643"/>
      <c r="TIB1" s="643"/>
      <c r="TIC1" s="643"/>
      <c r="TID1" s="643"/>
      <c r="TIE1" s="643"/>
      <c r="TIF1" s="643"/>
      <c r="TIG1" s="643"/>
      <c r="TIH1" s="643"/>
      <c r="TII1" s="643"/>
      <c r="TIJ1" s="643"/>
      <c r="TIK1" s="643"/>
      <c r="TIL1" s="643"/>
      <c r="TIM1" s="643"/>
      <c r="TIN1" s="643"/>
      <c r="TIO1" s="643"/>
      <c r="TIP1" s="643"/>
      <c r="TIQ1" s="643"/>
      <c r="TIR1" s="643"/>
      <c r="TIS1" s="643"/>
      <c r="TIT1" s="643"/>
      <c r="TIU1" s="643"/>
      <c r="TIV1" s="643"/>
      <c r="TIW1" s="643"/>
      <c r="TIX1" s="643"/>
      <c r="TIY1" s="643"/>
      <c r="TIZ1" s="643"/>
      <c r="TJA1" s="643"/>
      <c r="TJB1" s="643"/>
      <c r="TJC1" s="643"/>
      <c r="TJD1" s="643"/>
      <c r="TJE1" s="643"/>
      <c r="TJF1" s="643"/>
      <c r="TJG1" s="643"/>
      <c r="TJH1" s="643"/>
      <c r="TJI1" s="643"/>
      <c r="TJJ1" s="643"/>
      <c r="TJK1" s="643"/>
      <c r="TJL1" s="643"/>
      <c r="TJM1" s="643"/>
      <c r="TJN1" s="643"/>
      <c r="TJO1" s="643"/>
      <c r="TJP1" s="643"/>
      <c r="TJQ1" s="643"/>
      <c r="TJR1" s="643"/>
      <c r="TJS1" s="643"/>
      <c r="TJT1" s="643"/>
      <c r="TJU1" s="643"/>
      <c r="TJV1" s="643"/>
      <c r="TJW1" s="643"/>
      <c r="TJX1" s="643"/>
      <c r="TJY1" s="643"/>
      <c r="TJZ1" s="643"/>
      <c r="TKA1" s="643"/>
      <c r="TKB1" s="643"/>
      <c r="TKC1" s="643"/>
      <c r="TKD1" s="643"/>
      <c r="TKE1" s="643"/>
      <c r="TKF1" s="643"/>
      <c r="TKG1" s="643"/>
      <c r="TKH1" s="643"/>
      <c r="TKI1" s="643"/>
      <c r="TKJ1" s="643"/>
      <c r="TKK1" s="643"/>
      <c r="TKL1" s="643"/>
      <c r="TKM1" s="643"/>
      <c r="TKN1" s="643"/>
      <c r="TKO1" s="643"/>
      <c r="TKP1" s="643"/>
      <c r="TKQ1" s="643"/>
      <c r="TKR1" s="643"/>
      <c r="TKS1" s="643"/>
      <c r="TKT1" s="643"/>
      <c r="TKU1" s="643"/>
      <c r="TKV1" s="643"/>
      <c r="TKW1" s="643"/>
      <c r="TKX1" s="643"/>
      <c r="TKY1" s="643"/>
      <c r="TKZ1" s="643"/>
      <c r="TLA1" s="643"/>
      <c r="TLB1" s="643"/>
      <c r="TLC1" s="643"/>
      <c r="TLD1" s="643"/>
      <c r="TLE1" s="643"/>
      <c r="TLF1" s="643"/>
      <c r="TLG1" s="643"/>
      <c r="TLH1" s="643"/>
      <c r="TLI1" s="643"/>
      <c r="TLJ1" s="643"/>
      <c r="TLK1" s="643"/>
      <c r="TLL1" s="643"/>
      <c r="TLM1" s="643"/>
      <c r="TLN1" s="643"/>
      <c r="TLO1" s="643"/>
      <c r="TLP1" s="643"/>
      <c r="TLQ1" s="643"/>
      <c r="TLR1" s="643"/>
      <c r="TLS1" s="643"/>
      <c r="TLT1" s="643"/>
      <c r="TLU1" s="643"/>
      <c r="TLV1" s="643"/>
      <c r="TLW1" s="643"/>
      <c r="TLX1" s="643"/>
      <c r="TLY1" s="643"/>
      <c r="TLZ1" s="643"/>
      <c r="TMA1" s="643"/>
      <c r="TMB1" s="643"/>
      <c r="TMC1" s="643"/>
      <c r="TMD1" s="643"/>
      <c r="TME1" s="643"/>
      <c r="TMF1" s="643"/>
      <c r="TMG1" s="643"/>
      <c r="TMH1" s="643"/>
      <c r="TMI1" s="643"/>
      <c r="TMJ1" s="643"/>
      <c r="TMK1" s="643"/>
      <c r="TML1" s="643"/>
      <c r="TMM1" s="643"/>
      <c r="TMN1" s="643"/>
      <c r="TMO1" s="643"/>
      <c r="TMP1" s="643"/>
      <c r="TMQ1" s="643"/>
      <c r="TMR1" s="643"/>
      <c r="TMS1" s="643"/>
      <c r="TMT1" s="643"/>
      <c r="TMU1" s="643"/>
      <c r="TMV1" s="643"/>
      <c r="TMW1" s="643"/>
      <c r="TMX1" s="643"/>
      <c r="TMY1" s="643"/>
      <c r="TMZ1" s="643"/>
      <c r="TNA1" s="643"/>
      <c r="TNB1" s="643"/>
      <c r="TNC1" s="643"/>
      <c r="TND1" s="643"/>
      <c r="TNE1" s="643"/>
      <c r="TNF1" s="643"/>
      <c r="TNG1" s="643"/>
      <c r="TNH1" s="643"/>
      <c r="TNI1" s="643"/>
      <c r="TNJ1" s="643"/>
      <c r="TNK1" s="643"/>
      <c r="TNL1" s="643"/>
      <c r="TNM1" s="643"/>
      <c r="TNN1" s="643"/>
      <c r="TNO1" s="643"/>
      <c r="TNP1" s="643"/>
      <c r="TNQ1" s="643"/>
      <c r="TNR1" s="643"/>
      <c r="TNS1" s="643"/>
      <c r="TNT1" s="643"/>
      <c r="TNU1" s="643"/>
      <c r="TNV1" s="643"/>
      <c r="TNW1" s="643"/>
      <c r="TNX1" s="643"/>
      <c r="TNY1" s="643"/>
      <c r="TNZ1" s="643"/>
      <c r="TOA1" s="643"/>
      <c r="TOB1" s="643"/>
      <c r="TOC1" s="643"/>
      <c r="TOD1" s="643"/>
      <c r="TOE1" s="643"/>
      <c r="TOF1" s="643"/>
      <c r="TOG1" s="643"/>
      <c r="TOH1" s="643"/>
      <c r="TOI1" s="643"/>
      <c r="TOJ1" s="643"/>
      <c r="TOK1" s="643"/>
      <c r="TOL1" s="643"/>
      <c r="TOM1" s="643"/>
      <c r="TON1" s="643"/>
      <c r="TOO1" s="643"/>
      <c r="TOP1" s="643"/>
      <c r="TOQ1" s="643"/>
      <c r="TOR1" s="643"/>
      <c r="TOS1" s="643"/>
      <c r="TOT1" s="643"/>
      <c r="TOU1" s="643"/>
      <c r="TOV1" s="643"/>
      <c r="TOW1" s="643"/>
      <c r="TOX1" s="643"/>
      <c r="TOY1" s="643"/>
      <c r="TOZ1" s="643"/>
      <c r="TPA1" s="643"/>
      <c r="TPB1" s="643"/>
      <c r="TPC1" s="643"/>
      <c r="TPD1" s="643"/>
      <c r="TPE1" s="643"/>
      <c r="TPF1" s="643"/>
      <c r="TPG1" s="643"/>
      <c r="TPH1" s="643"/>
      <c r="TPI1" s="643"/>
      <c r="TPJ1" s="643"/>
      <c r="TPK1" s="643"/>
      <c r="TPL1" s="643"/>
      <c r="TPM1" s="643"/>
      <c r="TPN1" s="643"/>
      <c r="TPO1" s="643"/>
      <c r="TPP1" s="643"/>
      <c r="TPQ1" s="643"/>
      <c r="TPR1" s="643"/>
      <c r="TPS1" s="643"/>
      <c r="TPT1" s="643"/>
      <c r="TPU1" s="643"/>
      <c r="TPV1" s="643"/>
      <c r="TPW1" s="643"/>
      <c r="TPX1" s="643"/>
      <c r="TPY1" s="643"/>
      <c r="TPZ1" s="643"/>
      <c r="TQA1" s="643"/>
      <c r="TQB1" s="643"/>
      <c r="TQC1" s="643"/>
      <c r="TQD1" s="643"/>
      <c r="TQE1" s="643"/>
      <c r="TQF1" s="643"/>
      <c r="TQG1" s="643"/>
      <c r="TQH1" s="643"/>
      <c r="TQI1" s="643"/>
      <c r="TQJ1" s="643"/>
      <c r="TQK1" s="643"/>
      <c r="TQL1" s="643"/>
      <c r="TQM1" s="643"/>
      <c r="TQN1" s="643"/>
      <c r="TQO1" s="643"/>
      <c r="TQP1" s="643"/>
      <c r="TQQ1" s="643"/>
      <c r="TQR1" s="643"/>
      <c r="TQS1" s="643"/>
      <c r="TQT1" s="643"/>
      <c r="TQU1" s="643"/>
      <c r="TQV1" s="643"/>
      <c r="TQW1" s="643"/>
      <c r="TQX1" s="643"/>
      <c r="TQY1" s="643"/>
      <c r="TQZ1" s="643"/>
      <c r="TRA1" s="643"/>
      <c r="TRB1" s="643"/>
      <c r="TRC1" s="643"/>
      <c r="TRD1" s="643"/>
      <c r="TRE1" s="643"/>
      <c r="TRF1" s="643"/>
      <c r="TRG1" s="643"/>
      <c r="TRH1" s="643"/>
      <c r="TRI1" s="643"/>
      <c r="TRJ1" s="643"/>
      <c r="TRK1" s="643"/>
      <c r="TRL1" s="643"/>
      <c r="TRM1" s="643"/>
      <c r="TRN1" s="643"/>
      <c r="TRO1" s="643"/>
      <c r="TRP1" s="643"/>
      <c r="TRQ1" s="643"/>
      <c r="TRR1" s="643"/>
      <c r="TRS1" s="643"/>
      <c r="TRT1" s="643"/>
      <c r="TRU1" s="643"/>
      <c r="TRV1" s="643"/>
      <c r="TRW1" s="643"/>
      <c r="TRX1" s="643"/>
      <c r="TRY1" s="643"/>
      <c r="TRZ1" s="643"/>
      <c r="TSA1" s="643"/>
      <c r="TSB1" s="643"/>
      <c r="TSC1" s="643"/>
      <c r="TSD1" s="643"/>
      <c r="TSE1" s="643"/>
      <c r="TSF1" s="643"/>
      <c r="TSG1" s="643"/>
      <c r="TSH1" s="643"/>
      <c r="TSI1" s="643"/>
      <c r="TSJ1" s="643"/>
      <c r="TSK1" s="643"/>
      <c r="TSL1" s="643"/>
      <c r="TSM1" s="643"/>
      <c r="TSN1" s="643"/>
      <c r="TSO1" s="643"/>
      <c r="TSP1" s="643"/>
      <c r="TSQ1" s="643"/>
      <c r="TSR1" s="643"/>
      <c r="TSS1" s="643"/>
      <c r="TST1" s="643"/>
      <c r="TSU1" s="643"/>
      <c r="TSV1" s="643"/>
      <c r="TSW1" s="643"/>
      <c r="TSX1" s="643"/>
      <c r="TSY1" s="643"/>
      <c r="TSZ1" s="643"/>
      <c r="TTA1" s="643"/>
      <c r="TTB1" s="643"/>
      <c r="TTC1" s="643"/>
      <c r="TTD1" s="643"/>
      <c r="TTE1" s="643"/>
      <c r="TTF1" s="643"/>
      <c r="TTG1" s="643"/>
      <c r="TTH1" s="643"/>
      <c r="TTI1" s="643"/>
      <c r="TTJ1" s="643"/>
      <c r="TTK1" s="643"/>
      <c r="TTL1" s="643"/>
      <c r="TTM1" s="643"/>
      <c r="TTN1" s="643"/>
      <c r="TTO1" s="643"/>
      <c r="TTP1" s="643"/>
      <c r="TTQ1" s="643"/>
      <c r="TTR1" s="643"/>
      <c r="TTS1" s="643"/>
      <c r="TTT1" s="643"/>
      <c r="TTU1" s="643"/>
      <c r="TTV1" s="643"/>
      <c r="TTW1" s="643"/>
      <c r="TTX1" s="643"/>
      <c r="TTY1" s="643"/>
      <c r="TTZ1" s="643"/>
      <c r="TUA1" s="643"/>
      <c r="TUB1" s="643"/>
      <c r="TUC1" s="643"/>
      <c r="TUD1" s="643"/>
      <c r="TUE1" s="643"/>
      <c r="TUF1" s="643"/>
      <c r="TUG1" s="643"/>
      <c r="TUH1" s="643"/>
      <c r="TUI1" s="643"/>
      <c r="TUJ1" s="643"/>
      <c r="TUK1" s="643"/>
      <c r="TUL1" s="643"/>
      <c r="TUM1" s="643"/>
      <c r="TUN1" s="643"/>
      <c r="TUO1" s="643"/>
      <c r="TUP1" s="643"/>
      <c r="TUQ1" s="643"/>
      <c r="TUR1" s="643"/>
      <c r="TUS1" s="643"/>
      <c r="TUT1" s="643"/>
      <c r="TUU1" s="643"/>
      <c r="TUV1" s="643"/>
      <c r="TUW1" s="643"/>
      <c r="TUX1" s="643"/>
      <c r="TUY1" s="643"/>
      <c r="TUZ1" s="643"/>
      <c r="TVA1" s="643"/>
      <c r="TVB1" s="643"/>
      <c r="TVC1" s="643"/>
      <c r="TVD1" s="643"/>
      <c r="TVE1" s="643"/>
      <c r="TVF1" s="643"/>
      <c r="TVG1" s="643"/>
      <c r="TVH1" s="643"/>
      <c r="TVI1" s="643"/>
      <c r="TVJ1" s="643"/>
      <c r="TVK1" s="643"/>
      <c r="TVL1" s="643"/>
      <c r="TVM1" s="643"/>
      <c r="TVN1" s="643"/>
      <c r="TVO1" s="643"/>
      <c r="TVP1" s="643"/>
      <c r="TVQ1" s="643"/>
      <c r="TVR1" s="643"/>
      <c r="TVS1" s="643"/>
      <c r="TVT1" s="643"/>
      <c r="TVU1" s="643"/>
      <c r="TVV1" s="643"/>
      <c r="TVW1" s="643"/>
      <c r="TVX1" s="643"/>
      <c r="TVY1" s="643"/>
      <c r="TVZ1" s="643"/>
      <c r="TWA1" s="643"/>
      <c r="TWB1" s="643"/>
      <c r="TWC1" s="643"/>
      <c r="TWD1" s="643"/>
      <c r="TWE1" s="643"/>
      <c r="TWF1" s="643"/>
      <c r="TWG1" s="643"/>
      <c r="TWH1" s="643"/>
      <c r="TWI1" s="643"/>
      <c r="TWJ1" s="643"/>
      <c r="TWK1" s="643"/>
      <c r="TWL1" s="643"/>
      <c r="TWM1" s="643"/>
      <c r="TWN1" s="643"/>
      <c r="TWO1" s="643"/>
      <c r="TWP1" s="643"/>
      <c r="TWQ1" s="643"/>
      <c r="TWR1" s="643"/>
      <c r="TWS1" s="643"/>
      <c r="TWT1" s="643"/>
      <c r="TWU1" s="643"/>
      <c r="TWV1" s="643"/>
      <c r="TWW1" s="643"/>
      <c r="TWX1" s="643"/>
      <c r="TWY1" s="643"/>
      <c r="TWZ1" s="643"/>
      <c r="TXA1" s="643"/>
      <c r="TXB1" s="643"/>
      <c r="TXC1" s="643"/>
      <c r="TXD1" s="643"/>
      <c r="TXE1" s="643"/>
      <c r="TXF1" s="643"/>
      <c r="TXG1" s="643"/>
      <c r="TXH1" s="643"/>
      <c r="TXI1" s="643"/>
      <c r="TXJ1" s="643"/>
      <c r="TXK1" s="643"/>
      <c r="TXL1" s="643"/>
      <c r="TXM1" s="643"/>
      <c r="TXN1" s="643"/>
      <c r="TXO1" s="643"/>
      <c r="TXP1" s="643"/>
      <c r="TXQ1" s="643"/>
      <c r="TXR1" s="643"/>
      <c r="TXS1" s="643"/>
      <c r="TXT1" s="643"/>
      <c r="TXU1" s="643"/>
      <c r="TXV1" s="643"/>
      <c r="TXW1" s="643"/>
      <c r="TXX1" s="643"/>
      <c r="TXY1" s="643"/>
      <c r="TXZ1" s="643"/>
      <c r="TYA1" s="643"/>
      <c r="TYB1" s="643"/>
      <c r="TYC1" s="643"/>
      <c r="TYD1" s="643"/>
      <c r="TYE1" s="643"/>
      <c r="TYF1" s="643"/>
      <c r="TYG1" s="643"/>
      <c r="TYH1" s="643"/>
      <c r="TYI1" s="643"/>
      <c r="TYJ1" s="643"/>
      <c r="TYK1" s="643"/>
      <c r="TYL1" s="643"/>
      <c r="TYM1" s="643"/>
      <c r="TYN1" s="643"/>
      <c r="TYO1" s="643"/>
      <c r="TYP1" s="643"/>
      <c r="TYQ1" s="643"/>
      <c r="TYR1" s="643"/>
      <c r="TYS1" s="643"/>
      <c r="TYT1" s="643"/>
      <c r="TYU1" s="643"/>
      <c r="TYV1" s="643"/>
      <c r="TYW1" s="643"/>
      <c r="TYX1" s="643"/>
      <c r="TYY1" s="643"/>
      <c r="TYZ1" s="643"/>
      <c r="TZA1" s="643"/>
      <c r="TZB1" s="643"/>
      <c r="TZC1" s="643"/>
      <c r="TZD1" s="643"/>
      <c r="TZE1" s="643"/>
      <c r="TZF1" s="643"/>
      <c r="TZG1" s="643"/>
      <c r="TZH1" s="643"/>
      <c r="TZI1" s="643"/>
      <c r="TZJ1" s="643"/>
      <c r="TZK1" s="643"/>
      <c r="TZL1" s="643"/>
      <c r="TZM1" s="643"/>
      <c r="TZN1" s="643"/>
      <c r="TZO1" s="643"/>
      <c r="TZP1" s="643"/>
      <c r="TZQ1" s="643"/>
      <c r="TZR1" s="643"/>
      <c r="TZS1" s="643"/>
      <c r="TZT1" s="643"/>
      <c r="TZU1" s="643"/>
      <c r="TZV1" s="643"/>
      <c r="TZW1" s="643"/>
      <c r="TZX1" s="643"/>
      <c r="TZY1" s="643"/>
      <c r="TZZ1" s="643"/>
      <c r="UAA1" s="643"/>
      <c r="UAB1" s="643"/>
      <c r="UAC1" s="643"/>
      <c r="UAD1" s="643"/>
      <c r="UAE1" s="643"/>
      <c r="UAF1" s="643"/>
      <c r="UAG1" s="643"/>
      <c r="UAH1" s="643"/>
      <c r="UAI1" s="643"/>
      <c r="UAJ1" s="643"/>
      <c r="UAK1" s="643"/>
      <c r="UAL1" s="643"/>
      <c r="UAM1" s="643"/>
      <c r="UAN1" s="643"/>
      <c r="UAO1" s="643"/>
      <c r="UAP1" s="643"/>
      <c r="UAQ1" s="643"/>
      <c r="UAR1" s="643"/>
      <c r="UAS1" s="643"/>
      <c r="UAT1" s="643"/>
      <c r="UAU1" s="643"/>
      <c r="UAV1" s="643"/>
      <c r="UAW1" s="643"/>
      <c r="UAX1" s="643"/>
      <c r="UAY1" s="643"/>
      <c r="UAZ1" s="643"/>
      <c r="UBA1" s="643"/>
      <c r="UBB1" s="643"/>
      <c r="UBC1" s="643"/>
      <c r="UBD1" s="643"/>
      <c r="UBE1" s="643"/>
      <c r="UBF1" s="643"/>
      <c r="UBG1" s="643"/>
      <c r="UBH1" s="643"/>
      <c r="UBI1" s="643"/>
      <c r="UBJ1" s="643"/>
      <c r="UBK1" s="643"/>
      <c r="UBL1" s="643"/>
      <c r="UBM1" s="643"/>
      <c r="UBN1" s="643"/>
      <c r="UBO1" s="643"/>
      <c r="UBP1" s="643"/>
      <c r="UBQ1" s="643"/>
      <c r="UBR1" s="643"/>
      <c r="UBS1" s="643"/>
      <c r="UBT1" s="643"/>
      <c r="UBU1" s="643"/>
      <c r="UBV1" s="643"/>
      <c r="UBW1" s="643"/>
      <c r="UBX1" s="643"/>
      <c r="UBY1" s="643"/>
      <c r="UBZ1" s="643"/>
      <c r="UCA1" s="643"/>
      <c r="UCB1" s="643"/>
      <c r="UCC1" s="643"/>
      <c r="UCD1" s="643"/>
      <c r="UCE1" s="643"/>
      <c r="UCF1" s="643"/>
      <c r="UCG1" s="643"/>
      <c r="UCH1" s="643"/>
      <c r="UCI1" s="643"/>
      <c r="UCJ1" s="643"/>
      <c r="UCK1" s="643"/>
      <c r="UCL1" s="643"/>
      <c r="UCM1" s="643"/>
      <c r="UCN1" s="643"/>
      <c r="UCO1" s="643"/>
      <c r="UCP1" s="643"/>
      <c r="UCQ1" s="643"/>
      <c r="UCR1" s="643"/>
      <c r="UCS1" s="643"/>
      <c r="UCT1" s="643"/>
      <c r="UCU1" s="643"/>
      <c r="UCV1" s="643"/>
      <c r="UCW1" s="643"/>
      <c r="UCX1" s="643"/>
      <c r="UCY1" s="643"/>
      <c r="UCZ1" s="643"/>
      <c r="UDA1" s="643"/>
      <c r="UDB1" s="643"/>
      <c r="UDC1" s="643"/>
      <c r="UDD1" s="643"/>
      <c r="UDE1" s="643"/>
      <c r="UDF1" s="643"/>
      <c r="UDG1" s="643"/>
      <c r="UDH1" s="643"/>
      <c r="UDI1" s="643"/>
      <c r="UDJ1" s="643"/>
      <c r="UDK1" s="643"/>
      <c r="UDL1" s="643"/>
      <c r="UDM1" s="643"/>
      <c r="UDN1" s="643"/>
      <c r="UDO1" s="643"/>
      <c r="UDP1" s="643"/>
      <c r="UDQ1" s="643"/>
      <c r="UDR1" s="643"/>
      <c r="UDS1" s="643"/>
      <c r="UDT1" s="643"/>
      <c r="UDU1" s="643"/>
      <c r="UDV1" s="643"/>
      <c r="UDW1" s="643"/>
      <c r="UDX1" s="643"/>
      <c r="UDY1" s="643"/>
      <c r="UDZ1" s="643"/>
      <c r="UEA1" s="643"/>
      <c r="UEB1" s="643"/>
      <c r="UEC1" s="643"/>
      <c r="UED1" s="643"/>
      <c r="UEE1" s="643"/>
      <c r="UEF1" s="643"/>
      <c r="UEG1" s="643"/>
      <c r="UEH1" s="643"/>
      <c r="UEI1" s="643"/>
      <c r="UEJ1" s="643"/>
      <c r="UEK1" s="643"/>
      <c r="UEL1" s="643"/>
      <c r="UEM1" s="643"/>
      <c r="UEN1" s="643"/>
      <c r="UEO1" s="643"/>
      <c r="UEP1" s="643"/>
      <c r="UEQ1" s="643"/>
      <c r="UER1" s="643"/>
      <c r="UES1" s="643"/>
      <c r="UET1" s="643"/>
      <c r="UEU1" s="643"/>
      <c r="UEV1" s="643"/>
      <c r="UEW1" s="643"/>
      <c r="UEX1" s="643"/>
      <c r="UEY1" s="643"/>
      <c r="UEZ1" s="643"/>
      <c r="UFA1" s="643"/>
      <c r="UFB1" s="643"/>
      <c r="UFC1" s="643"/>
      <c r="UFD1" s="643"/>
      <c r="UFE1" s="643"/>
      <c r="UFF1" s="643"/>
      <c r="UFG1" s="643"/>
      <c r="UFH1" s="643"/>
      <c r="UFI1" s="643"/>
      <c r="UFJ1" s="643"/>
      <c r="UFK1" s="643"/>
      <c r="UFL1" s="643"/>
      <c r="UFM1" s="643"/>
      <c r="UFN1" s="643"/>
      <c r="UFO1" s="643"/>
      <c r="UFP1" s="643"/>
      <c r="UFQ1" s="643"/>
      <c r="UFR1" s="643"/>
      <c r="UFS1" s="643"/>
      <c r="UFT1" s="643"/>
      <c r="UFU1" s="643"/>
      <c r="UFV1" s="643"/>
      <c r="UFW1" s="643"/>
      <c r="UFX1" s="643"/>
      <c r="UFY1" s="643"/>
      <c r="UFZ1" s="643"/>
      <c r="UGA1" s="643"/>
      <c r="UGB1" s="643"/>
      <c r="UGC1" s="643"/>
      <c r="UGD1" s="643"/>
      <c r="UGE1" s="643"/>
      <c r="UGF1" s="643"/>
      <c r="UGG1" s="643"/>
      <c r="UGH1" s="643"/>
      <c r="UGI1" s="643"/>
      <c r="UGJ1" s="643"/>
      <c r="UGK1" s="643"/>
      <c r="UGL1" s="643"/>
      <c r="UGM1" s="643"/>
      <c r="UGN1" s="643"/>
      <c r="UGO1" s="643"/>
      <c r="UGP1" s="643"/>
      <c r="UGQ1" s="643"/>
      <c r="UGR1" s="643"/>
      <c r="UGS1" s="643"/>
      <c r="UGT1" s="643"/>
      <c r="UGU1" s="643"/>
      <c r="UGV1" s="643"/>
      <c r="UGW1" s="643"/>
      <c r="UGX1" s="643"/>
      <c r="UGY1" s="643"/>
      <c r="UGZ1" s="643"/>
      <c r="UHA1" s="643"/>
      <c r="UHB1" s="643"/>
      <c r="UHC1" s="643"/>
      <c r="UHD1" s="643"/>
      <c r="UHE1" s="643"/>
      <c r="UHF1" s="643"/>
      <c r="UHG1" s="643"/>
      <c r="UHH1" s="643"/>
      <c r="UHI1" s="643"/>
      <c r="UHJ1" s="643"/>
      <c r="UHK1" s="643"/>
      <c r="UHL1" s="643"/>
      <c r="UHM1" s="643"/>
      <c r="UHN1" s="643"/>
      <c r="UHO1" s="643"/>
      <c r="UHP1" s="643"/>
      <c r="UHQ1" s="643"/>
      <c r="UHR1" s="643"/>
      <c r="UHS1" s="643"/>
      <c r="UHT1" s="643"/>
      <c r="UHU1" s="643"/>
      <c r="UHV1" s="643"/>
      <c r="UHW1" s="643"/>
      <c r="UHX1" s="643"/>
      <c r="UHY1" s="643"/>
      <c r="UHZ1" s="643"/>
      <c r="UIA1" s="643"/>
      <c r="UIB1" s="643"/>
      <c r="UIC1" s="643"/>
      <c r="UID1" s="643"/>
      <c r="UIE1" s="643"/>
      <c r="UIF1" s="643"/>
      <c r="UIG1" s="643"/>
      <c r="UIH1" s="643"/>
      <c r="UII1" s="643"/>
      <c r="UIJ1" s="643"/>
      <c r="UIK1" s="643"/>
      <c r="UIL1" s="643"/>
      <c r="UIM1" s="643"/>
      <c r="UIN1" s="643"/>
      <c r="UIO1" s="643"/>
      <c r="UIP1" s="643"/>
      <c r="UIQ1" s="643"/>
      <c r="UIR1" s="643"/>
      <c r="UIS1" s="643"/>
      <c r="UIT1" s="643"/>
      <c r="UIU1" s="643"/>
      <c r="UIV1" s="643"/>
      <c r="UIW1" s="643"/>
      <c r="UIX1" s="643"/>
      <c r="UIY1" s="643"/>
      <c r="UIZ1" s="643"/>
      <c r="UJA1" s="643"/>
      <c r="UJB1" s="643"/>
      <c r="UJC1" s="643"/>
      <c r="UJD1" s="643"/>
      <c r="UJE1" s="643"/>
      <c r="UJF1" s="643"/>
      <c r="UJG1" s="643"/>
      <c r="UJH1" s="643"/>
      <c r="UJI1" s="643"/>
      <c r="UJJ1" s="643"/>
      <c r="UJK1" s="643"/>
      <c r="UJL1" s="643"/>
      <c r="UJM1" s="643"/>
      <c r="UJN1" s="643"/>
      <c r="UJO1" s="643"/>
      <c r="UJP1" s="643"/>
      <c r="UJQ1" s="643"/>
      <c r="UJR1" s="643"/>
      <c r="UJS1" s="643"/>
      <c r="UJT1" s="643"/>
      <c r="UJU1" s="643"/>
      <c r="UJV1" s="643"/>
      <c r="UJW1" s="643"/>
      <c r="UJX1" s="643"/>
      <c r="UJY1" s="643"/>
      <c r="UJZ1" s="643"/>
      <c r="UKA1" s="643"/>
      <c r="UKB1" s="643"/>
      <c r="UKC1" s="643"/>
      <c r="UKD1" s="643"/>
      <c r="UKE1" s="643"/>
      <c r="UKF1" s="643"/>
      <c r="UKG1" s="643"/>
      <c r="UKH1" s="643"/>
      <c r="UKI1" s="643"/>
      <c r="UKJ1" s="643"/>
      <c r="UKK1" s="643"/>
      <c r="UKL1" s="643"/>
      <c r="UKM1" s="643"/>
      <c r="UKN1" s="643"/>
      <c r="UKO1" s="643"/>
      <c r="UKP1" s="643"/>
      <c r="UKQ1" s="643"/>
      <c r="UKR1" s="643"/>
      <c r="UKS1" s="643"/>
      <c r="UKT1" s="643"/>
      <c r="UKU1" s="643"/>
      <c r="UKV1" s="643"/>
      <c r="UKW1" s="643"/>
      <c r="UKX1" s="643"/>
      <c r="UKY1" s="643"/>
      <c r="UKZ1" s="643"/>
      <c r="ULA1" s="643"/>
      <c r="ULB1" s="643"/>
      <c r="ULC1" s="643"/>
      <c r="ULD1" s="643"/>
      <c r="ULE1" s="643"/>
      <c r="ULF1" s="643"/>
      <c r="ULG1" s="643"/>
      <c r="ULH1" s="643"/>
      <c r="ULI1" s="643"/>
      <c r="ULJ1" s="643"/>
      <c r="ULK1" s="643"/>
      <c r="ULL1" s="643"/>
      <c r="ULM1" s="643"/>
      <c r="ULN1" s="643"/>
      <c r="ULO1" s="643"/>
      <c r="ULP1" s="643"/>
      <c r="ULQ1" s="643"/>
      <c r="ULR1" s="643"/>
      <c r="ULS1" s="643"/>
      <c r="ULT1" s="643"/>
      <c r="ULU1" s="643"/>
      <c r="ULV1" s="643"/>
      <c r="ULW1" s="643"/>
      <c r="ULX1" s="643"/>
      <c r="ULY1" s="643"/>
      <c r="ULZ1" s="643"/>
      <c r="UMA1" s="643"/>
      <c r="UMB1" s="643"/>
      <c r="UMC1" s="643"/>
      <c r="UMD1" s="643"/>
      <c r="UME1" s="643"/>
      <c r="UMF1" s="643"/>
      <c r="UMG1" s="643"/>
      <c r="UMH1" s="643"/>
      <c r="UMI1" s="643"/>
      <c r="UMJ1" s="643"/>
      <c r="UMK1" s="643"/>
      <c r="UML1" s="643"/>
      <c r="UMM1" s="643"/>
      <c r="UMN1" s="643"/>
      <c r="UMO1" s="643"/>
      <c r="UMP1" s="643"/>
      <c r="UMQ1" s="643"/>
      <c r="UMR1" s="643"/>
      <c r="UMS1" s="643"/>
      <c r="UMT1" s="643"/>
      <c r="UMU1" s="643"/>
      <c r="UMV1" s="643"/>
      <c r="UMW1" s="643"/>
      <c r="UMX1" s="643"/>
      <c r="UMY1" s="643"/>
      <c r="UMZ1" s="643"/>
      <c r="UNA1" s="643"/>
      <c r="UNB1" s="643"/>
      <c r="UNC1" s="643"/>
      <c r="UND1" s="643"/>
      <c r="UNE1" s="643"/>
      <c r="UNF1" s="643"/>
      <c r="UNG1" s="643"/>
      <c r="UNH1" s="643"/>
      <c r="UNI1" s="643"/>
      <c r="UNJ1" s="643"/>
      <c r="UNK1" s="643"/>
      <c r="UNL1" s="643"/>
      <c r="UNM1" s="643"/>
      <c r="UNN1" s="643"/>
      <c r="UNO1" s="643"/>
      <c r="UNP1" s="643"/>
      <c r="UNQ1" s="643"/>
      <c r="UNR1" s="643"/>
      <c r="UNS1" s="643"/>
      <c r="UNT1" s="643"/>
      <c r="UNU1" s="643"/>
      <c r="UNV1" s="643"/>
      <c r="UNW1" s="643"/>
      <c r="UNX1" s="643"/>
      <c r="UNY1" s="643"/>
      <c r="UNZ1" s="643"/>
      <c r="UOA1" s="643"/>
      <c r="UOB1" s="643"/>
      <c r="UOC1" s="643"/>
      <c r="UOD1" s="643"/>
      <c r="UOE1" s="643"/>
      <c r="UOF1" s="643"/>
      <c r="UOG1" s="643"/>
      <c r="UOH1" s="643"/>
      <c r="UOI1" s="643"/>
      <c r="UOJ1" s="643"/>
      <c r="UOK1" s="643"/>
      <c r="UOL1" s="643"/>
      <c r="UOM1" s="643"/>
      <c r="UON1" s="643"/>
      <c r="UOO1" s="643"/>
      <c r="UOP1" s="643"/>
      <c r="UOQ1" s="643"/>
      <c r="UOR1" s="643"/>
      <c r="UOS1" s="643"/>
      <c r="UOT1" s="643"/>
      <c r="UOU1" s="643"/>
      <c r="UOV1" s="643"/>
      <c r="UOW1" s="643"/>
      <c r="UOX1" s="643"/>
      <c r="UOY1" s="643"/>
      <c r="UOZ1" s="643"/>
      <c r="UPA1" s="643"/>
      <c r="UPB1" s="643"/>
      <c r="UPC1" s="643"/>
      <c r="UPD1" s="643"/>
      <c r="UPE1" s="643"/>
      <c r="UPF1" s="643"/>
      <c r="UPG1" s="643"/>
      <c r="UPH1" s="643"/>
      <c r="UPI1" s="643"/>
      <c r="UPJ1" s="643"/>
      <c r="UPK1" s="643"/>
      <c r="UPL1" s="643"/>
      <c r="UPM1" s="643"/>
      <c r="UPN1" s="643"/>
      <c r="UPO1" s="643"/>
      <c r="UPP1" s="643"/>
      <c r="UPQ1" s="643"/>
      <c r="UPR1" s="643"/>
      <c r="UPS1" s="643"/>
      <c r="UPT1" s="643"/>
      <c r="UPU1" s="643"/>
      <c r="UPV1" s="643"/>
      <c r="UPW1" s="643"/>
      <c r="UPX1" s="643"/>
      <c r="UPY1" s="643"/>
      <c r="UPZ1" s="643"/>
      <c r="UQA1" s="643"/>
      <c r="UQB1" s="643"/>
      <c r="UQC1" s="643"/>
      <c r="UQD1" s="643"/>
      <c r="UQE1" s="643"/>
      <c r="UQF1" s="643"/>
      <c r="UQG1" s="643"/>
      <c r="UQH1" s="643"/>
      <c r="UQI1" s="643"/>
      <c r="UQJ1" s="643"/>
      <c r="UQK1" s="643"/>
      <c r="UQL1" s="643"/>
      <c r="UQM1" s="643"/>
      <c r="UQN1" s="643"/>
      <c r="UQO1" s="643"/>
      <c r="UQP1" s="643"/>
      <c r="UQQ1" s="643"/>
      <c r="UQR1" s="643"/>
      <c r="UQS1" s="643"/>
      <c r="UQT1" s="643"/>
      <c r="UQU1" s="643"/>
      <c r="UQV1" s="643"/>
      <c r="UQW1" s="643"/>
      <c r="UQX1" s="643"/>
      <c r="UQY1" s="643"/>
      <c r="UQZ1" s="643"/>
      <c r="URA1" s="643"/>
      <c r="URB1" s="643"/>
      <c r="URC1" s="643"/>
      <c r="URD1" s="643"/>
      <c r="URE1" s="643"/>
      <c r="URF1" s="643"/>
      <c r="URG1" s="643"/>
      <c r="URH1" s="643"/>
      <c r="URI1" s="643"/>
      <c r="URJ1" s="643"/>
      <c r="URK1" s="643"/>
      <c r="URL1" s="643"/>
      <c r="URM1" s="643"/>
      <c r="URN1" s="643"/>
      <c r="URO1" s="643"/>
      <c r="URP1" s="643"/>
      <c r="URQ1" s="643"/>
      <c r="URR1" s="643"/>
      <c r="URS1" s="643"/>
      <c r="URT1" s="643"/>
      <c r="URU1" s="643"/>
      <c r="URV1" s="643"/>
      <c r="URW1" s="643"/>
      <c r="URX1" s="643"/>
      <c r="URY1" s="643"/>
      <c r="URZ1" s="643"/>
      <c r="USA1" s="643"/>
      <c r="USB1" s="643"/>
      <c r="USC1" s="643"/>
      <c r="USD1" s="643"/>
      <c r="USE1" s="643"/>
      <c r="USF1" s="643"/>
      <c r="USG1" s="643"/>
      <c r="USH1" s="643"/>
      <c r="USI1" s="643"/>
      <c r="USJ1" s="643"/>
      <c r="USK1" s="643"/>
      <c r="USL1" s="643"/>
      <c r="USM1" s="643"/>
      <c r="USN1" s="643"/>
      <c r="USO1" s="643"/>
      <c r="USP1" s="643"/>
      <c r="USQ1" s="643"/>
      <c r="USR1" s="643"/>
      <c r="USS1" s="643"/>
      <c r="UST1" s="643"/>
      <c r="USU1" s="643"/>
      <c r="USV1" s="643"/>
      <c r="USW1" s="643"/>
      <c r="USX1" s="643"/>
      <c r="USY1" s="643"/>
      <c r="USZ1" s="643"/>
      <c r="UTA1" s="643"/>
      <c r="UTB1" s="643"/>
      <c r="UTC1" s="643"/>
      <c r="UTD1" s="643"/>
      <c r="UTE1" s="643"/>
      <c r="UTF1" s="643"/>
      <c r="UTG1" s="643"/>
      <c r="UTH1" s="643"/>
      <c r="UTI1" s="643"/>
      <c r="UTJ1" s="643"/>
      <c r="UTK1" s="643"/>
      <c r="UTL1" s="643"/>
      <c r="UTM1" s="643"/>
      <c r="UTN1" s="643"/>
      <c r="UTO1" s="643"/>
      <c r="UTP1" s="643"/>
      <c r="UTQ1" s="643"/>
      <c r="UTR1" s="643"/>
      <c r="UTS1" s="643"/>
      <c r="UTT1" s="643"/>
      <c r="UTU1" s="643"/>
      <c r="UTV1" s="643"/>
      <c r="UTW1" s="643"/>
      <c r="UTX1" s="643"/>
      <c r="UTY1" s="643"/>
      <c r="UTZ1" s="643"/>
      <c r="UUA1" s="643"/>
      <c r="UUB1" s="643"/>
      <c r="UUC1" s="643"/>
      <c r="UUD1" s="643"/>
      <c r="UUE1" s="643"/>
      <c r="UUF1" s="643"/>
      <c r="UUG1" s="643"/>
      <c r="UUH1" s="643"/>
      <c r="UUI1" s="643"/>
      <c r="UUJ1" s="643"/>
      <c r="UUK1" s="643"/>
      <c r="UUL1" s="643"/>
      <c r="UUM1" s="643"/>
      <c r="UUN1" s="643"/>
      <c r="UUO1" s="643"/>
      <c r="UUP1" s="643"/>
      <c r="UUQ1" s="643"/>
      <c r="UUR1" s="643"/>
      <c r="UUS1" s="643"/>
      <c r="UUT1" s="643"/>
      <c r="UUU1" s="643"/>
      <c r="UUV1" s="643"/>
      <c r="UUW1" s="643"/>
      <c r="UUX1" s="643"/>
      <c r="UUY1" s="643"/>
      <c r="UUZ1" s="643"/>
      <c r="UVA1" s="643"/>
      <c r="UVB1" s="643"/>
      <c r="UVC1" s="643"/>
      <c r="UVD1" s="643"/>
      <c r="UVE1" s="643"/>
      <c r="UVF1" s="643"/>
      <c r="UVG1" s="643"/>
      <c r="UVH1" s="643"/>
      <c r="UVI1" s="643"/>
      <c r="UVJ1" s="643"/>
      <c r="UVK1" s="643"/>
      <c r="UVL1" s="643"/>
      <c r="UVM1" s="643"/>
      <c r="UVN1" s="643"/>
      <c r="UVO1" s="643"/>
      <c r="UVP1" s="643"/>
      <c r="UVQ1" s="643"/>
      <c r="UVR1" s="643"/>
      <c r="UVS1" s="643"/>
      <c r="UVT1" s="643"/>
      <c r="UVU1" s="643"/>
      <c r="UVV1" s="643"/>
      <c r="UVW1" s="643"/>
      <c r="UVX1" s="643"/>
      <c r="UVY1" s="643"/>
      <c r="UVZ1" s="643"/>
      <c r="UWA1" s="643"/>
      <c r="UWB1" s="643"/>
      <c r="UWC1" s="643"/>
      <c r="UWD1" s="643"/>
      <c r="UWE1" s="643"/>
      <c r="UWF1" s="643"/>
      <c r="UWG1" s="643"/>
      <c r="UWH1" s="643"/>
      <c r="UWI1" s="643"/>
      <c r="UWJ1" s="643"/>
      <c r="UWK1" s="643"/>
      <c r="UWL1" s="643"/>
      <c r="UWM1" s="643"/>
      <c r="UWN1" s="643"/>
      <c r="UWO1" s="643"/>
      <c r="UWP1" s="643"/>
      <c r="UWQ1" s="643"/>
      <c r="UWR1" s="643"/>
      <c r="UWS1" s="643"/>
      <c r="UWT1" s="643"/>
      <c r="UWU1" s="643"/>
      <c r="UWV1" s="643"/>
      <c r="UWW1" s="643"/>
      <c r="UWX1" s="643"/>
      <c r="UWY1" s="643"/>
      <c r="UWZ1" s="643"/>
      <c r="UXA1" s="643"/>
      <c r="UXB1" s="643"/>
      <c r="UXC1" s="643"/>
      <c r="UXD1" s="643"/>
      <c r="UXE1" s="643"/>
      <c r="UXF1" s="643"/>
      <c r="UXG1" s="643"/>
      <c r="UXH1" s="643"/>
      <c r="UXI1" s="643"/>
      <c r="UXJ1" s="643"/>
      <c r="UXK1" s="643"/>
      <c r="UXL1" s="643"/>
      <c r="UXM1" s="643"/>
      <c r="UXN1" s="643"/>
      <c r="UXO1" s="643"/>
      <c r="UXP1" s="643"/>
      <c r="UXQ1" s="643"/>
      <c r="UXR1" s="643"/>
      <c r="UXS1" s="643"/>
      <c r="UXT1" s="643"/>
      <c r="UXU1" s="643"/>
      <c r="UXV1" s="643"/>
      <c r="UXW1" s="643"/>
      <c r="UXX1" s="643"/>
      <c r="UXY1" s="643"/>
      <c r="UXZ1" s="643"/>
      <c r="UYA1" s="643"/>
      <c r="UYB1" s="643"/>
      <c r="UYC1" s="643"/>
      <c r="UYD1" s="643"/>
      <c r="UYE1" s="643"/>
      <c r="UYF1" s="643"/>
      <c r="UYG1" s="643"/>
      <c r="UYH1" s="643"/>
      <c r="UYI1" s="643"/>
      <c r="UYJ1" s="643"/>
      <c r="UYK1" s="643"/>
      <c r="UYL1" s="643"/>
      <c r="UYM1" s="643"/>
      <c r="UYN1" s="643"/>
      <c r="UYO1" s="643"/>
      <c r="UYP1" s="643"/>
      <c r="UYQ1" s="643"/>
      <c r="UYR1" s="643"/>
      <c r="UYS1" s="643"/>
      <c r="UYT1" s="643"/>
      <c r="UYU1" s="643"/>
      <c r="UYV1" s="643"/>
      <c r="UYW1" s="643"/>
      <c r="UYX1" s="643"/>
      <c r="UYY1" s="643"/>
      <c r="UYZ1" s="643"/>
      <c r="UZA1" s="643"/>
      <c r="UZB1" s="643"/>
      <c r="UZC1" s="643"/>
      <c r="UZD1" s="643"/>
      <c r="UZE1" s="643"/>
      <c r="UZF1" s="643"/>
      <c r="UZG1" s="643"/>
      <c r="UZH1" s="643"/>
      <c r="UZI1" s="643"/>
      <c r="UZJ1" s="643"/>
      <c r="UZK1" s="643"/>
      <c r="UZL1" s="643"/>
      <c r="UZM1" s="643"/>
      <c r="UZN1" s="643"/>
      <c r="UZO1" s="643"/>
      <c r="UZP1" s="643"/>
      <c r="UZQ1" s="643"/>
      <c r="UZR1" s="643"/>
      <c r="UZS1" s="643"/>
      <c r="UZT1" s="643"/>
      <c r="UZU1" s="643"/>
      <c r="UZV1" s="643"/>
      <c r="UZW1" s="643"/>
      <c r="UZX1" s="643"/>
      <c r="UZY1" s="643"/>
      <c r="UZZ1" s="643"/>
      <c r="VAA1" s="643"/>
      <c r="VAB1" s="643"/>
      <c r="VAC1" s="643"/>
      <c r="VAD1" s="643"/>
      <c r="VAE1" s="643"/>
      <c r="VAF1" s="643"/>
      <c r="VAG1" s="643"/>
      <c r="VAH1" s="643"/>
      <c r="VAI1" s="643"/>
      <c r="VAJ1" s="643"/>
      <c r="VAK1" s="643"/>
      <c r="VAL1" s="643"/>
      <c r="VAM1" s="643"/>
      <c r="VAN1" s="643"/>
      <c r="VAO1" s="643"/>
      <c r="VAP1" s="643"/>
      <c r="VAQ1" s="643"/>
      <c r="VAR1" s="643"/>
      <c r="VAS1" s="643"/>
      <c r="VAT1" s="643"/>
      <c r="VAU1" s="643"/>
      <c r="VAV1" s="643"/>
      <c r="VAW1" s="643"/>
      <c r="VAX1" s="643"/>
      <c r="VAY1" s="643"/>
      <c r="VAZ1" s="643"/>
      <c r="VBA1" s="643"/>
      <c r="VBB1" s="643"/>
      <c r="VBC1" s="643"/>
      <c r="VBD1" s="643"/>
      <c r="VBE1" s="643"/>
      <c r="VBF1" s="643"/>
      <c r="VBG1" s="643"/>
      <c r="VBH1" s="643"/>
      <c r="VBI1" s="643"/>
      <c r="VBJ1" s="643"/>
      <c r="VBK1" s="643"/>
      <c r="VBL1" s="643"/>
      <c r="VBM1" s="643"/>
      <c r="VBN1" s="643"/>
      <c r="VBO1" s="643"/>
      <c r="VBP1" s="643"/>
      <c r="VBQ1" s="643"/>
      <c r="VBR1" s="643"/>
      <c r="VBS1" s="643"/>
      <c r="VBT1" s="643"/>
      <c r="VBU1" s="643"/>
      <c r="VBV1" s="643"/>
      <c r="VBW1" s="643"/>
      <c r="VBX1" s="643"/>
      <c r="VBY1" s="643"/>
      <c r="VBZ1" s="643"/>
      <c r="VCA1" s="643"/>
      <c r="VCB1" s="643"/>
      <c r="VCC1" s="643"/>
      <c r="VCD1" s="643"/>
      <c r="VCE1" s="643"/>
      <c r="VCF1" s="643"/>
      <c r="VCG1" s="643"/>
      <c r="VCH1" s="643"/>
      <c r="VCI1" s="643"/>
      <c r="VCJ1" s="643"/>
      <c r="VCK1" s="643"/>
      <c r="VCL1" s="643"/>
      <c r="VCM1" s="643"/>
      <c r="VCN1" s="643"/>
      <c r="VCO1" s="643"/>
      <c r="VCP1" s="643"/>
      <c r="VCQ1" s="643"/>
      <c r="VCR1" s="643"/>
      <c r="VCS1" s="643"/>
      <c r="VCT1" s="643"/>
      <c r="VCU1" s="643"/>
      <c r="VCV1" s="643"/>
      <c r="VCW1" s="643"/>
      <c r="VCX1" s="643"/>
      <c r="VCY1" s="643"/>
      <c r="VCZ1" s="643"/>
      <c r="VDA1" s="643"/>
      <c r="VDB1" s="643"/>
      <c r="VDC1" s="643"/>
      <c r="VDD1" s="643"/>
      <c r="VDE1" s="643"/>
      <c r="VDF1" s="643"/>
      <c r="VDG1" s="643"/>
      <c r="VDH1" s="643"/>
      <c r="VDI1" s="643"/>
      <c r="VDJ1" s="643"/>
      <c r="VDK1" s="643"/>
      <c r="VDL1" s="643"/>
      <c r="VDM1" s="643"/>
      <c r="VDN1" s="643"/>
      <c r="VDO1" s="643"/>
      <c r="VDP1" s="643"/>
      <c r="VDQ1" s="643"/>
      <c r="VDR1" s="643"/>
      <c r="VDS1" s="643"/>
      <c r="VDT1" s="643"/>
      <c r="VDU1" s="643"/>
      <c r="VDV1" s="643"/>
      <c r="VDW1" s="643"/>
      <c r="VDX1" s="643"/>
      <c r="VDY1" s="643"/>
      <c r="VDZ1" s="643"/>
      <c r="VEA1" s="643"/>
      <c r="VEB1" s="643"/>
      <c r="VEC1" s="643"/>
      <c r="VED1" s="643"/>
      <c r="VEE1" s="643"/>
      <c r="VEF1" s="643"/>
      <c r="VEG1" s="643"/>
      <c r="VEH1" s="643"/>
      <c r="VEI1" s="643"/>
      <c r="VEJ1" s="643"/>
      <c r="VEK1" s="643"/>
      <c r="VEL1" s="643"/>
      <c r="VEM1" s="643"/>
      <c r="VEN1" s="643"/>
      <c r="VEO1" s="643"/>
      <c r="VEP1" s="643"/>
      <c r="VEQ1" s="643"/>
      <c r="VER1" s="643"/>
      <c r="VES1" s="643"/>
      <c r="VET1" s="643"/>
      <c r="VEU1" s="643"/>
      <c r="VEV1" s="643"/>
      <c r="VEW1" s="643"/>
      <c r="VEX1" s="643"/>
      <c r="VEY1" s="643"/>
      <c r="VEZ1" s="643"/>
      <c r="VFA1" s="643"/>
      <c r="VFB1" s="643"/>
      <c r="VFC1" s="643"/>
      <c r="VFD1" s="643"/>
      <c r="VFE1" s="643"/>
      <c r="VFF1" s="643"/>
      <c r="VFG1" s="643"/>
      <c r="VFH1" s="643"/>
      <c r="VFI1" s="643"/>
      <c r="VFJ1" s="643"/>
      <c r="VFK1" s="643"/>
      <c r="VFL1" s="643"/>
      <c r="VFM1" s="643"/>
      <c r="VFN1" s="643"/>
      <c r="VFO1" s="643"/>
      <c r="VFP1" s="643"/>
      <c r="VFQ1" s="643"/>
      <c r="VFR1" s="643"/>
      <c r="VFS1" s="643"/>
      <c r="VFT1" s="643"/>
      <c r="VFU1" s="643"/>
      <c r="VFV1" s="643"/>
      <c r="VFW1" s="643"/>
      <c r="VFX1" s="643"/>
      <c r="VFY1" s="643"/>
      <c r="VFZ1" s="643"/>
      <c r="VGA1" s="643"/>
      <c r="VGB1" s="643"/>
      <c r="VGC1" s="643"/>
      <c r="VGD1" s="643"/>
      <c r="VGE1" s="643"/>
      <c r="VGF1" s="643"/>
      <c r="VGG1" s="643"/>
      <c r="VGH1" s="643"/>
      <c r="VGI1" s="643"/>
      <c r="VGJ1" s="643"/>
      <c r="VGK1" s="643"/>
      <c r="VGL1" s="643"/>
      <c r="VGM1" s="643"/>
      <c r="VGN1" s="643"/>
      <c r="VGO1" s="643"/>
      <c r="VGP1" s="643"/>
      <c r="VGQ1" s="643"/>
      <c r="VGR1" s="643"/>
      <c r="VGS1" s="643"/>
      <c r="VGT1" s="643"/>
      <c r="VGU1" s="643"/>
      <c r="VGV1" s="643"/>
      <c r="VGW1" s="643"/>
      <c r="VGX1" s="643"/>
      <c r="VGY1" s="643"/>
      <c r="VGZ1" s="643"/>
      <c r="VHA1" s="643"/>
      <c r="VHB1" s="643"/>
      <c r="VHC1" s="643"/>
      <c r="VHD1" s="643"/>
      <c r="VHE1" s="643"/>
      <c r="VHF1" s="643"/>
      <c r="VHG1" s="643"/>
      <c r="VHH1" s="643"/>
      <c r="VHI1" s="643"/>
      <c r="VHJ1" s="643"/>
      <c r="VHK1" s="643"/>
      <c r="VHL1" s="643"/>
      <c r="VHM1" s="643"/>
      <c r="VHN1" s="643"/>
      <c r="VHO1" s="643"/>
      <c r="VHP1" s="643"/>
      <c r="VHQ1" s="643"/>
      <c r="VHR1" s="643"/>
      <c r="VHS1" s="643"/>
      <c r="VHT1" s="643"/>
      <c r="VHU1" s="643"/>
      <c r="VHV1" s="643"/>
      <c r="VHW1" s="643"/>
      <c r="VHX1" s="643"/>
      <c r="VHY1" s="643"/>
      <c r="VHZ1" s="643"/>
      <c r="VIA1" s="643"/>
      <c r="VIB1" s="643"/>
      <c r="VIC1" s="643"/>
      <c r="VID1" s="643"/>
      <c r="VIE1" s="643"/>
      <c r="VIF1" s="643"/>
      <c r="VIG1" s="643"/>
      <c r="VIH1" s="643"/>
      <c r="VII1" s="643"/>
      <c r="VIJ1" s="643"/>
      <c r="VIK1" s="643"/>
      <c r="VIL1" s="643"/>
      <c r="VIM1" s="643"/>
      <c r="VIN1" s="643"/>
      <c r="VIO1" s="643"/>
      <c r="VIP1" s="643"/>
      <c r="VIQ1" s="643"/>
      <c r="VIR1" s="643"/>
      <c r="VIS1" s="643"/>
      <c r="VIT1" s="643"/>
      <c r="VIU1" s="643"/>
      <c r="VIV1" s="643"/>
      <c r="VIW1" s="643"/>
      <c r="VIX1" s="643"/>
      <c r="VIY1" s="643"/>
      <c r="VIZ1" s="643"/>
      <c r="VJA1" s="643"/>
      <c r="VJB1" s="643"/>
      <c r="VJC1" s="643"/>
      <c r="VJD1" s="643"/>
      <c r="VJE1" s="643"/>
      <c r="VJF1" s="643"/>
      <c r="VJG1" s="643"/>
      <c r="VJH1" s="643"/>
      <c r="VJI1" s="643"/>
      <c r="VJJ1" s="643"/>
      <c r="VJK1" s="643"/>
      <c r="VJL1" s="643"/>
      <c r="VJM1" s="643"/>
      <c r="VJN1" s="643"/>
      <c r="VJO1" s="643"/>
      <c r="VJP1" s="643"/>
      <c r="VJQ1" s="643"/>
      <c r="VJR1" s="643"/>
      <c r="VJS1" s="643"/>
      <c r="VJT1" s="643"/>
      <c r="VJU1" s="643"/>
      <c r="VJV1" s="643"/>
      <c r="VJW1" s="643"/>
      <c r="VJX1" s="643"/>
      <c r="VJY1" s="643"/>
      <c r="VJZ1" s="643"/>
      <c r="VKA1" s="643"/>
      <c r="VKB1" s="643"/>
      <c r="VKC1" s="643"/>
      <c r="VKD1" s="643"/>
      <c r="VKE1" s="643"/>
      <c r="VKF1" s="643"/>
      <c r="VKG1" s="643"/>
      <c r="VKH1" s="643"/>
      <c r="VKI1" s="643"/>
      <c r="VKJ1" s="643"/>
      <c r="VKK1" s="643"/>
      <c r="VKL1" s="643"/>
      <c r="VKM1" s="643"/>
      <c r="VKN1" s="643"/>
      <c r="VKO1" s="643"/>
      <c r="VKP1" s="643"/>
      <c r="VKQ1" s="643"/>
      <c r="VKR1" s="643"/>
      <c r="VKS1" s="643"/>
      <c r="VKT1" s="643"/>
      <c r="VKU1" s="643"/>
      <c r="VKV1" s="643"/>
      <c r="VKW1" s="643"/>
      <c r="VKX1" s="643"/>
      <c r="VKY1" s="643"/>
      <c r="VKZ1" s="643"/>
      <c r="VLA1" s="643"/>
      <c r="VLB1" s="643"/>
      <c r="VLC1" s="643"/>
      <c r="VLD1" s="643"/>
      <c r="VLE1" s="643"/>
      <c r="VLF1" s="643"/>
      <c r="VLG1" s="643"/>
      <c r="VLH1" s="643"/>
      <c r="VLI1" s="643"/>
      <c r="VLJ1" s="643"/>
      <c r="VLK1" s="643"/>
      <c r="VLL1" s="643"/>
      <c r="VLM1" s="643"/>
      <c r="VLN1" s="643"/>
      <c r="VLO1" s="643"/>
      <c r="VLP1" s="643"/>
      <c r="VLQ1" s="643"/>
      <c r="VLR1" s="643"/>
      <c r="VLS1" s="643"/>
      <c r="VLT1" s="643"/>
      <c r="VLU1" s="643"/>
      <c r="VLV1" s="643"/>
      <c r="VLW1" s="643"/>
      <c r="VLX1" s="643"/>
      <c r="VLY1" s="643"/>
      <c r="VLZ1" s="643"/>
      <c r="VMA1" s="643"/>
      <c r="VMB1" s="643"/>
      <c r="VMC1" s="643"/>
      <c r="VMD1" s="643"/>
      <c r="VME1" s="643"/>
      <c r="VMF1" s="643"/>
      <c r="VMG1" s="643"/>
      <c r="VMH1" s="643"/>
      <c r="VMI1" s="643"/>
      <c r="VMJ1" s="643"/>
      <c r="VMK1" s="643"/>
      <c r="VML1" s="643"/>
      <c r="VMM1" s="643"/>
      <c r="VMN1" s="643"/>
      <c r="VMO1" s="643"/>
      <c r="VMP1" s="643"/>
      <c r="VMQ1" s="643"/>
      <c r="VMR1" s="643"/>
      <c r="VMS1" s="643"/>
      <c r="VMT1" s="643"/>
      <c r="VMU1" s="643"/>
      <c r="VMV1" s="643"/>
      <c r="VMW1" s="643"/>
      <c r="VMX1" s="643"/>
      <c r="VMY1" s="643"/>
      <c r="VMZ1" s="643"/>
      <c r="VNA1" s="643"/>
      <c r="VNB1" s="643"/>
      <c r="VNC1" s="643"/>
      <c r="VND1" s="643"/>
      <c r="VNE1" s="643"/>
      <c r="VNF1" s="643"/>
      <c r="VNG1" s="643"/>
      <c r="VNH1" s="643"/>
      <c r="VNI1" s="643"/>
      <c r="VNJ1" s="643"/>
      <c r="VNK1" s="643"/>
      <c r="VNL1" s="643"/>
      <c r="VNM1" s="643"/>
      <c r="VNN1" s="643"/>
      <c r="VNO1" s="643"/>
      <c r="VNP1" s="643"/>
      <c r="VNQ1" s="643"/>
      <c r="VNR1" s="643"/>
      <c r="VNS1" s="643"/>
      <c r="VNT1" s="643"/>
      <c r="VNU1" s="643"/>
      <c r="VNV1" s="643"/>
      <c r="VNW1" s="643"/>
      <c r="VNX1" s="643"/>
      <c r="VNY1" s="643"/>
      <c r="VNZ1" s="643"/>
      <c r="VOA1" s="643"/>
      <c r="VOB1" s="643"/>
      <c r="VOC1" s="643"/>
      <c r="VOD1" s="643"/>
      <c r="VOE1" s="643"/>
      <c r="VOF1" s="643"/>
      <c r="VOG1" s="643"/>
      <c r="VOH1" s="643"/>
      <c r="VOI1" s="643"/>
      <c r="VOJ1" s="643"/>
      <c r="VOK1" s="643"/>
      <c r="VOL1" s="643"/>
      <c r="VOM1" s="643"/>
      <c r="VON1" s="643"/>
      <c r="VOO1" s="643"/>
      <c r="VOP1" s="643"/>
      <c r="VOQ1" s="643"/>
      <c r="VOR1" s="643"/>
      <c r="VOS1" s="643"/>
      <c r="VOT1" s="643"/>
      <c r="VOU1" s="643"/>
      <c r="VOV1" s="643"/>
      <c r="VOW1" s="643"/>
      <c r="VOX1" s="643"/>
      <c r="VOY1" s="643"/>
      <c r="VOZ1" s="643"/>
      <c r="VPA1" s="643"/>
      <c r="VPB1" s="643"/>
      <c r="VPC1" s="643"/>
      <c r="VPD1" s="643"/>
      <c r="VPE1" s="643"/>
      <c r="VPF1" s="643"/>
      <c r="VPG1" s="643"/>
      <c r="VPH1" s="643"/>
      <c r="VPI1" s="643"/>
      <c r="VPJ1" s="643"/>
      <c r="VPK1" s="643"/>
      <c r="VPL1" s="643"/>
      <c r="VPM1" s="643"/>
      <c r="VPN1" s="643"/>
      <c r="VPO1" s="643"/>
      <c r="VPP1" s="643"/>
      <c r="VPQ1" s="643"/>
      <c r="VPR1" s="643"/>
      <c r="VPS1" s="643"/>
      <c r="VPT1" s="643"/>
      <c r="VPU1" s="643"/>
      <c r="VPV1" s="643"/>
      <c r="VPW1" s="643"/>
      <c r="VPX1" s="643"/>
      <c r="VPY1" s="643"/>
      <c r="VPZ1" s="643"/>
      <c r="VQA1" s="643"/>
      <c r="VQB1" s="643"/>
      <c r="VQC1" s="643"/>
      <c r="VQD1" s="643"/>
      <c r="VQE1" s="643"/>
      <c r="VQF1" s="643"/>
      <c r="VQG1" s="643"/>
      <c r="VQH1" s="643"/>
      <c r="VQI1" s="643"/>
      <c r="VQJ1" s="643"/>
      <c r="VQK1" s="643"/>
      <c r="VQL1" s="643"/>
      <c r="VQM1" s="643"/>
      <c r="VQN1" s="643"/>
      <c r="VQO1" s="643"/>
      <c r="VQP1" s="643"/>
      <c r="VQQ1" s="643"/>
      <c r="VQR1" s="643"/>
      <c r="VQS1" s="643"/>
      <c r="VQT1" s="643"/>
      <c r="VQU1" s="643"/>
      <c r="VQV1" s="643"/>
      <c r="VQW1" s="643"/>
      <c r="VQX1" s="643"/>
      <c r="VQY1" s="643"/>
      <c r="VQZ1" s="643"/>
      <c r="VRA1" s="643"/>
      <c r="VRB1" s="643"/>
      <c r="VRC1" s="643"/>
      <c r="VRD1" s="643"/>
      <c r="VRE1" s="643"/>
      <c r="VRF1" s="643"/>
      <c r="VRG1" s="643"/>
      <c r="VRH1" s="643"/>
      <c r="VRI1" s="643"/>
      <c r="VRJ1" s="643"/>
      <c r="VRK1" s="643"/>
      <c r="VRL1" s="643"/>
      <c r="VRM1" s="643"/>
      <c r="VRN1" s="643"/>
      <c r="VRO1" s="643"/>
      <c r="VRP1" s="643"/>
      <c r="VRQ1" s="643"/>
      <c r="VRR1" s="643"/>
      <c r="VRS1" s="643"/>
      <c r="VRT1" s="643"/>
      <c r="VRU1" s="643"/>
      <c r="VRV1" s="643"/>
      <c r="VRW1" s="643"/>
      <c r="VRX1" s="643"/>
      <c r="VRY1" s="643"/>
      <c r="VRZ1" s="643"/>
      <c r="VSA1" s="643"/>
      <c r="VSB1" s="643"/>
      <c r="VSC1" s="643"/>
      <c r="VSD1" s="643"/>
      <c r="VSE1" s="643"/>
      <c r="VSF1" s="643"/>
      <c r="VSG1" s="643"/>
      <c r="VSH1" s="643"/>
      <c r="VSI1" s="643"/>
      <c r="VSJ1" s="643"/>
      <c r="VSK1" s="643"/>
      <c r="VSL1" s="643"/>
      <c r="VSM1" s="643"/>
      <c r="VSN1" s="643"/>
      <c r="VSO1" s="643"/>
      <c r="VSP1" s="643"/>
      <c r="VSQ1" s="643"/>
      <c r="VSR1" s="643"/>
      <c r="VSS1" s="643"/>
      <c r="VST1" s="643"/>
      <c r="VSU1" s="643"/>
      <c r="VSV1" s="643"/>
      <c r="VSW1" s="643"/>
      <c r="VSX1" s="643"/>
      <c r="VSY1" s="643"/>
      <c r="VSZ1" s="643"/>
      <c r="VTA1" s="643"/>
      <c r="VTB1" s="643"/>
      <c r="VTC1" s="643"/>
      <c r="VTD1" s="643"/>
      <c r="VTE1" s="643"/>
      <c r="VTF1" s="643"/>
      <c r="VTG1" s="643"/>
      <c r="VTH1" s="643"/>
      <c r="VTI1" s="643"/>
      <c r="VTJ1" s="643"/>
      <c r="VTK1" s="643"/>
      <c r="VTL1" s="643"/>
      <c r="VTM1" s="643"/>
      <c r="VTN1" s="643"/>
      <c r="VTO1" s="643"/>
      <c r="VTP1" s="643"/>
      <c r="VTQ1" s="643"/>
      <c r="VTR1" s="643"/>
      <c r="VTS1" s="643"/>
      <c r="VTT1" s="643"/>
      <c r="VTU1" s="643"/>
      <c r="VTV1" s="643"/>
      <c r="VTW1" s="643"/>
      <c r="VTX1" s="643"/>
      <c r="VTY1" s="643"/>
      <c r="VTZ1" s="643"/>
      <c r="VUA1" s="643"/>
      <c r="VUB1" s="643"/>
      <c r="VUC1" s="643"/>
      <c r="VUD1" s="643"/>
      <c r="VUE1" s="643"/>
      <c r="VUF1" s="643"/>
      <c r="VUG1" s="643"/>
      <c r="VUH1" s="643"/>
      <c r="VUI1" s="643"/>
      <c r="VUJ1" s="643"/>
      <c r="VUK1" s="643"/>
      <c r="VUL1" s="643"/>
      <c r="VUM1" s="643"/>
      <c r="VUN1" s="643"/>
      <c r="VUO1" s="643"/>
      <c r="VUP1" s="643"/>
      <c r="VUQ1" s="643"/>
      <c r="VUR1" s="643"/>
      <c r="VUS1" s="643"/>
      <c r="VUT1" s="643"/>
      <c r="VUU1" s="643"/>
      <c r="VUV1" s="643"/>
      <c r="VUW1" s="643"/>
      <c r="VUX1" s="643"/>
      <c r="VUY1" s="643"/>
      <c r="VUZ1" s="643"/>
      <c r="VVA1" s="643"/>
      <c r="VVB1" s="643"/>
      <c r="VVC1" s="643"/>
      <c r="VVD1" s="643"/>
      <c r="VVE1" s="643"/>
      <c r="VVF1" s="643"/>
      <c r="VVG1" s="643"/>
      <c r="VVH1" s="643"/>
      <c r="VVI1" s="643"/>
      <c r="VVJ1" s="643"/>
      <c r="VVK1" s="643"/>
      <c r="VVL1" s="643"/>
      <c r="VVM1" s="643"/>
      <c r="VVN1" s="643"/>
      <c r="VVO1" s="643"/>
      <c r="VVP1" s="643"/>
      <c r="VVQ1" s="643"/>
      <c r="VVR1" s="643"/>
      <c r="VVS1" s="643"/>
      <c r="VVT1" s="643"/>
      <c r="VVU1" s="643"/>
      <c r="VVV1" s="643"/>
      <c r="VVW1" s="643"/>
      <c r="VVX1" s="643"/>
      <c r="VVY1" s="643"/>
      <c r="VVZ1" s="643"/>
      <c r="VWA1" s="643"/>
      <c r="VWB1" s="643"/>
      <c r="VWC1" s="643"/>
      <c r="VWD1" s="643"/>
      <c r="VWE1" s="643"/>
      <c r="VWF1" s="643"/>
      <c r="VWG1" s="643"/>
      <c r="VWH1" s="643"/>
      <c r="VWI1" s="643"/>
      <c r="VWJ1" s="643"/>
      <c r="VWK1" s="643"/>
      <c r="VWL1" s="643"/>
      <c r="VWM1" s="643"/>
      <c r="VWN1" s="643"/>
      <c r="VWO1" s="643"/>
      <c r="VWP1" s="643"/>
      <c r="VWQ1" s="643"/>
      <c r="VWR1" s="643"/>
      <c r="VWS1" s="643"/>
      <c r="VWT1" s="643"/>
      <c r="VWU1" s="643"/>
      <c r="VWV1" s="643"/>
      <c r="VWW1" s="643"/>
      <c r="VWX1" s="643"/>
      <c r="VWY1" s="643"/>
      <c r="VWZ1" s="643"/>
      <c r="VXA1" s="643"/>
      <c r="VXB1" s="643"/>
      <c r="VXC1" s="643"/>
      <c r="VXD1" s="643"/>
      <c r="VXE1" s="643"/>
      <c r="VXF1" s="643"/>
      <c r="VXG1" s="643"/>
      <c r="VXH1" s="643"/>
      <c r="VXI1" s="643"/>
      <c r="VXJ1" s="643"/>
      <c r="VXK1" s="643"/>
      <c r="VXL1" s="643"/>
      <c r="VXM1" s="643"/>
      <c r="VXN1" s="643"/>
      <c r="VXO1" s="643"/>
      <c r="VXP1" s="643"/>
      <c r="VXQ1" s="643"/>
      <c r="VXR1" s="643"/>
      <c r="VXS1" s="643"/>
      <c r="VXT1" s="643"/>
      <c r="VXU1" s="643"/>
      <c r="VXV1" s="643"/>
      <c r="VXW1" s="643"/>
      <c r="VXX1" s="643"/>
      <c r="VXY1" s="643"/>
      <c r="VXZ1" s="643"/>
      <c r="VYA1" s="643"/>
      <c r="VYB1" s="643"/>
      <c r="VYC1" s="643"/>
      <c r="VYD1" s="643"/>
      <c r="VYE1" s="643"/>
      <c r="VYF1" s="643"/>
      <c r="VYG1" s="643"/>
      <c r="VYH1" s="643"/>
      <c r="VYI1" s="643"/>
      <c r="VYJ1" s="643"/>
      <c r="VYK1" s="643"/>
      <c r="VYL1" s="643"/>
      <c r="VYM1" s="643"/>
      <c r="VYN1" s="643"/>
      <c r="VYO1" s="643"/>
      <c r="VYP1" s="643"/>
      <c r="VYQ1" s="643"/>
      <c r="VYR1" s="643"/>
      <c r="VYS1" s="643"/>
      <c r="VYT1" s="643"/>
      <c r="VYU1" s="643"/>
      <c r="VYV1" s="643"/>
      <c r="VYW1" s="643"/>
      <c r="VYX1" s="643"/>
      <c r="VYY1" s="643"/>
      <c r="VYZ1" s="643"/>
      <c r="VZA1" s="643"/>
      <c r="VZB1" s="643"/>
      <c r="VZC1" s="643"/>
      <c r="VZD1" s="643"/>
      <c r="VZE1" s="643"/>
      <c r="VZF1" s="643"/>
      <c r="VZG1" s="643"/>
      <c r="VZH1" s="643"/>
      <c r="VZI1" s="643"/>
      <c r="VZJ1" s="643"/>
      <c r="VZK1" s="643"/>
      <c r="VZL1" s="643"/>
      <c r="VZM1" s="643"/>
      <c r="VZN1" s="643"/>
      <c r="VZO1" s="643"/>
      <c r="VZP1" s="643"/>
      <c r="VZQ1" s="643"/>
      <c r="VZR1" s="643"/>
      <c r="VZS1" s="643"/>
      <c r="VZT1" s="643"/>
      <c r="VZU1" s="643"/>
      <c r="VZV1" s="643"/>
      <c r="VZW1" s="643"/>
      <c r="VZX1" s="643"/>
      <c r="VZY1" s="643"/>
      <c r="VZZ1" s="643"/>
      <c r="WAA1" s="643"/>
      <c r="WAB1" s="643"/>
      <c r="WAC1" s="643"/>
      <c r="WAD1" s="643"/>
      <c r="WAE1" s="643"/>
      <c r="WAF1" s="643"/>
      <c r="WAG1" s="643"/>
      <c r="WAH1" s="643"/>
      <c r="WAI1" s="643"/>
      <c r="WAJ1" s="643"/>
      <c r="WAK1" s="643"/>
      <c r="WAL1" s="643"/>
      <c r="WAM1" s="643"/>
      <c r="WAN1" s="643"/>
      <c r="WAO1" s="643"/>
      <c r="WAP1" s="643"/>
      <c r="WAQ1" s="643"/>
      <c r="WAR1" s="643"/>
      <c r="WAS1" s="643"/>
      <c r="WAT1" s="643"/>
      <c r="WAU1" s="643"/>
      <c r="WAV1" s="643"/>
      <c r="WAW1" s="643"/>
      <c r="WAX1" s="643"/>
      <c r="WAY1" s="643"/>
      <c r="WAZ1" s="643"/>
      <c r="WBA1" s="643"/>
      <c r="WBB1" s="643"/>
      <c r="WBC1" s="643"/>
      <c r="WBD1" s="643"/>
      <c r="WBE1" s="643"/>
      <c r="WBF1" s="643"/>
      <c r="WBG1" s="643"/>
      <c r="WBH1" s="643"/>
      <c r="WBI1" s="643"/>
      <c r="WBJ1" s="643"/>
      <c r="WBK1" s="643"/>
      <c r="WBL1" s="643"/>
      <c r="WBM1" s="643"/>
      <c r="WBN1" s="643"/>
      <c r="WBO1" s="643"/>
      <c r="WBP1" s="643"/>
      <c r="WBQ1" s="643"/>
      <c r="WBR1" s="643"/>
      <c r="WBS1" s="643"/>
      <c r="WBT1" s="643"/>
      <c r="WBU1" s="643"/>
      <c r="WBV1" s="643"/>
      <c r="WBW1" s="643"/>
      <c r="WBX1" s="643"/>
      <c r="WBY1" s="643"/>
      <c r="WBZ1" s="643"/>
      <c r="WCA1" s="643"/>
      <c r="WCB1" s="643"/>
      <c r="WCC1" s="643"/>
      <c r="WCD1" s="643"/>
      <c r="WCE1" s="643"/>
      <c r="WCF1" s="643"/>
      <c r="WCG1" s="643"/>
      <c r="WCH1" s="643"/>
      <c r="WCI1" s="643"/>
      <c r="WCJ1" s="643"/>
      <c r="WCK1" s="643"/>
      <c r="WCL1" s="643"/>
      <c r="WCM1" s="643"/>
      <c r="WCN1" s="643"/>
      <c r="WCO1" s="643"/>
      <c r="WCP1" s="643"/>
      <c r="WCQ1" s="643"/>
      <c r="WCR1" s="643"/>
      <c r="WCS1" s="643"/>
      <c r="WCT1" s="643"/>
      <c r="WCU1" s="643"/>
      <c r="WCV1" s="643"/>
      <c r="WCW1" s="643"/>
      <c r="WCX1" s="643"/>
      <c r="WCY1" s="643"/>
      <c r="WCZ1" s="643"/>
      <c r="WDA1" s="643"/>
      <c r="WDB1" s="643"/>
      <c r="WDC1" s="643"/>
      <c r="WDD1" s="643"/>
      <c r="WDE1" s="643"/>
      <c r="WDF1" s="643"/>
      <c r="WDG1" s="643"/>
      <c r="WDH1" s="643"/>
      <c r="WDI1" s="643"/>
      <c r="WDJ1" s="643"/>
      <c r="WDK1" s="643"/>
      <c r="WDL1" s="643"/>
      <c r="WDM1" s="643"/>
      <c r="WDN1" s="643"/>
      <c r="WDO1" s="643"/>
      <c r="WDP1" s="643"/>
      <c r="WDQ1" s="643"/>
      <c r="WDR1" s="643"/>
      <c r="WDS1" s="643"/>
      <c r="WDT1" s="643"/>
      <c r="WDU1" s="643"/>
      <c r="WDV1" s="643"/>
      <c r="WDW1" s="643"/>
      <c r="WDX1" s="643"/>
      <c r="WDY1" s="643"/>
      <c r="WDZ1" s="643"/>
      <c r="WEA1" s="643"/>
      <c r="WEB1" s="643"/>
      <c r="WEC1" s="643"/>
      <c r="WED1" s="643"/>
      <c r="WEE1" s="643"/>
      <c r="WEF1" s="643"/>
      <c r="WEG1" s="643"/>
      <c r="WEH1" s="643"/>
      <c r="WEI1" s="643"/>
      <c r="WEJ1" s="643"/>
      <c r="WEK1" s="643"/>
      <c r="WEL1" s="643"/>
      <c r="WEM1" s="643"/>
      <c r="WEN1" s="643"/>
      <c r="WEO1" s="643"/>
      <c r="WEP1" s="643"/>
      <c r="WEQ1" s="643"/>
      <c r="WER1" s="643"/>
      <c r="WES1" s="643"/>
      <c r="WET1" s="643"/>
      <c r="WEU1" s="643"/>
      <c r="WEV1" s="643"/>
      <c r="WEW1" s="643"/>
      <c r="WEX1" s="643"/>
      <c r="WEY1" s="643"/>
      <c r="WEZ1" s="643"/>
      <c r="WFA1" s="643"/>
      <c r="WFB1" s="643"/>
      <c r="WFC1" s="643"/>
      <c r="WFD1" s="643"/>
      <c r="WFE1" s="643"/>
      <c r="WFF1" s="643"/>
      <c r="WFG1" s="643"/>
      <c r="WFH1" s="643"/>
      <c r="WFI1" s="643"/>
      <c r="WFJ1" s="643"/>
      <c r="WFK1" s="643"/>
      <c r="WFL1" s="643"/>
      <c r="WFM1" s="643"/>
      <c r="WFN1" s="643"/>
      <c r="WFO1" s="643"/>
      <c r="WFP1" s="643"/>
      <c r="WFQ1" s="643"/>
      <c r="WFR1" s="643"/>
      <c r="WFS1" s="643"/>
      <c r="WFT1" s="643"/>
      <c r="WFU1" s="643"/>
      <c r="WFV1" s="643"/>
      <c r="WFW1" s="643"/>
      <c r="WFX1" s="643"/>
      <c r="WFY1" s="643"/>
      <c r="WFZ1" s="643"/>
      <c r="WGA1" s="643"/>
      <c r="WGB1" s="643"/>
      <c r="WGC1" s="643"/>
      <c r="WGD1" s="643"/>
      <c r="WGE1" s="643"/>
      <c r="WGF1" s="643"/>
      <c r="WGG1" s="643"/>
      <c r="WGH1" s="643"/>
      <c r="WGI1" s="643"/>
      <c r="WGJ1" s="643"/>
      <c r="WGK1" s="643"/>
      <c r="WGL1" s="643"/>
      <c r="WGM1" s="643"/>
      <c r="WGN1" s="643"/>
      <c r="WGO1" s="643"/>
      <c r="WGP1" s="643"/>
      <c r="WGQ1" s="643"/>
      <c r="WGR1" s="643"/>
      <c r="WGS1" s="643"/>
      <c r="WGT1" s="643"/>
      <c r="WGU1" s="643"/>
      <c r="WGV1" s="643"/>
      <c r="WGW1" s="643"/>
      <c r="WGX1" s="643"/>
      <c r="WGY1" s="643"/>
      <c r="WGZ1" s="643"/>
      <c r="WHA1" s="643"/>
      <c r="WHB1" s="643"/>
      <c r="WHC1" s="643"/>
      <c r="WHD1" s="643"/>
      <c r="WHE1" s="643"/>
      <c r="WHF1" s="643"/>
      <c r="WHG1" s="643"/>
      <c r="WHH1" s="643"/>
      <c r="WHI1" s="643"/>
      <c r="WHJ1" s="643"/>
      <c r="WHK1" s="643"/>
      <c r="WHL1" s="643"/>
      <c r="WHM1" s="643"/>
      <c r="WHN1" s="643"/>
      <c r="WHO1" s="643"/>
      <c r="WHP1" s="643"/>
      <c r="WHQ1" s="643"/>
      <c r="WHR1" s="643"/>
      <c r="WHS1" s="643"/>
      <c r="WHT1" s="643"/>
      <c r="WHU1" s="643"/>
      <c r="WHV1" s="643"/>
      <c r="WHW1" s="643"/>
      <c r="WHX1" s="643"/>
      <c r="WHY1" s="643"/>
      <c r="WHZ1" s="643"/>
      <c r="WIA1" s="643"/>
      <c r="WIB1" s="643"/>
      <c r="WIC1" s="643"/>
      <c r="WID1" s="643"/>
      <c r="WIE1" s="643"/>
      <c r="WIF1" s="643"/>
      <c r="WIG1" s="643"/>
      <c r="WIH1" s="643"/>
      <c r="WII1" s="643"/>
      <c r="WIJ1" s="643"/>
      <c r="WIK1" s="643"/>
      <c r="WIL1" s="643"/>
      <c r="WIM1" s="643"/>
      <c r="WIN1" s="643"/>
      <c r="WIO1" s="643"/>
      <c r="WIP1" s="643"/>
      <c r="WIQ1" s="643"/>
      <c r="WIR1" s="643"/>
      <c r="WIS1" s="643"/>
      <c r="WIT1" s="643"/>
      <c r="WIU1" s="643"/>
      <c r="WIV1" s="643"/>
      <c r="WIW1" s="643"/>
      <c r="WIX1" s="643"/>
      <c r="WIY1" s="643"/>
      <c r="WIZ1" s="643"/>
      <c r="WJA1" s="643"/>
      <c r="WJB1" s="643"/>
      <c r="WJC1" s="643"/>
      <c r="WJD1" s="643"/>
      <c r="WJE1" s="643"/>
      <c r="WJF1" s="643"/>
      <c r="WJG1" s="643"/>
      <c r="WJH1" s="643"/>
      <c r="WJI1" s="643"/>
      <c r="WJJ1" s="643"/>
      <c r="WJK1" s="643"/>
      <c r="WJL1" s="643"/>
      <c r="WJM1" s="643"/>
      <c r="WJN1" s="643"/>
      <c r="WJO1" s="643"/>
      <c r="WJP1" s="643"/>
      <c r="WJQ1" s="643"/>
      <c r="WJR1" s="643"/>
      <c r="WJS1" s="643"/>
      <c r="WJT1" s="643"/>
      <c r="WJU1" s="643"/>
      <c r="WJV1" s="643"/>
      <c r="WJW1" s="643"/>
      <c r="WJX1" s="643"/>
      <c r="WJY1" s="643"/>
      <c r="WJZ1" s="643"/>
      <c r="WKA1" s="643"/>
      <c r="WKB1" s="643"/>
      <c r="WKC1" s="643"/>
      <c r="WKD1" s="643"/>
      <c r="WKE1" s="643"/>
      <c r="WKF1" s="643"/>
      <c r="WKG1" s="643"/>
      <c r="WKH1" s="643"/>
      <c r="WKI1" s="643"/>
      <c r="WKJ1" s="643"/>
      <c r="WKK1" s="643"/>
      <c r="WKL1" s="643"/>
      <c r="WKM1" s="643"/>
      <c r="WKN1" s="643"/>
      <c r="WKO1" s="643"/>
      <c r="WKP1" s="643"/>
      <c r="WKQ1" s="643"/>
      <c r="WKR1" s="643"/>
      <c r="WKS1" s="643"/>
      <c r="WKT1" s="643"/>
      <c r="WKU1" s="643"/>
      <c r="WKV1" s="643"/>
      <c r="WKW1" s="643"/>
      <c r="WKX1" s="643"/>
      <c r="WKY1" s="643"/>
      <c r="WKZ1" s="643"/>
      <c r="WLA1" s="643"/>
      <c r="WLB1" s="643"/>
      <c r="WLC1" s="643"/>
      <c r="WLD1" s="643"/>
      <c r="WLE1" s="643"/>
      <c r="WLF1" s="643"/>
      <c r="WLG1" s="643"/>
      <c r="WLH1" s="643"/>
      <c r="WLI1" s="643"/>
      <c r="WLJ1" s="643"/>
      <c r="WLK1" s="643"/>
      <c r="WLL1" s="643"/>
      <c r="WLM1" s="643"/>
      <c r="WLN1" s="643"/>
      <c r="WLO1" s="643"/>
      <c r="WLP1" s="643"/>
      <c r="WLQ1" s="643"/>
      <c r="WLR1" s="643"/>
      <c r="WLS1" s="643"/>
      <c r="WLT1" s="643"/>
      <c r="WLU1" s="643"/>
      <c r="WLV1" s="643"/>
      <c r="WLW1" s="643"/>
      <c r="WLX1" s="643"/>
      <c r="WLY1" s="643"/>
      <c r="WLZ1" s="643"/>
      <c r="WMA1" s="643"/>
      <c r="WMB1" s="643"/>
      <c r="WMC1" s="643"/>
      <c r="WMD1" s="643"/>
      <c r="WME1" s="643"/>
      <c r="WMF1" s="643"/>
      <c r="WMG1" s="643"/>
      <c r="WMH1" s="643"/>
      <c r="WMI1" s="643"/>
      <c r="WMJ1" s="643"/>
      <c r="WMK1" s="643"/>
      <c r="WML1" s="643"/>
      <c r="WMM1" s="643"/>
      <c r="WMN1" s="643"/>
      <c r="WMO1" s="643"/>
      <c r="WMP1" s="643"/>
      <c r="WMQ1" s="643"/>
      <c r="WMR1" s="643"/>
      <c r="WMS1" s="643"/>
      <c r="WMT1" s="643"/>
      <c r="WMU1" s="643"/>
      <c r="WMV1" s="643"/>
      <c r="WMW1" s="643"/>
      <c r="WMX1" s="643"/>
      <c r="WMY1" s="643"/>
      <c r="WMZ1" s="643"/>
      <c r="WNA1" s="643"/>
      <c r="WNB1" s="643"/>
      <c r="WNC1" s="643"/>
      <c r="WND1" s="643"/>
      <c r="WNE1" s="643"/>
      <c r="WNF1" s="643"/>
      <c r="WNG1" s="643"/>
      <c r="WNH1" s="643"/>
      <c r="WNI1" s="643"/>
      <c r="WNJ1" s="643"/>
      <c r="WNK1" s="643"/>
      <c r="WNL1" s="643"/>
      <c r="WNM1" s="643"/>
      <c r="WNN1" s="643"/>
      <c r="WNO1" s="643"/>
      <c r="WNP1" s="643"/>
      <c r="WNQ1" s="643"/>
      <c r="WNR1" s="643"/>
      <c r="WNS1" s="643"/>
      <c r="WNT1" s="643"/>
      <c r="WNU1" s="643"/>
      <c r="WNV1" s="643"/>
      <c r="WNW1" s="643"/>
      <c r="WNX1" s="643"/>
      <c r="WNY1" s="643"/>
      <c r="WNZ1" s="643"/>
      <c r="WOA1" s="643"/>
      <c r="WOB1" s="643"/>
      <c r="WOC1" s="643"/>
      <c r="WOD1" s="643"/>
      <c r="WOE1" s="643"/>
      <c r="WOF1" s="643"/>
      <c r="WOG1" s="643"/>
      <c r="WOH1" s="643"/>
      <c r="WOI1" s="643"/>
      <c r="WOJ1" s="643"/>
      <c r="WOK1" s="643"/>
      <c r="WOL1" s="643"/>
      <c r="WOM1" s="643"/>
      <c r="WON1" s="643"/>
      <c r="WOO1" s="643"/>
      <c r="WOP1" s="643"/>
      <c r="WOQ1" s="643"/>
      <c r="WOR1" s="643"/>
      <c r="WOS1" s="643"/>
      <c r="WOT1" s="643"/>
      <c r="WOU1" s="643"/>
      <c r="WOV1" s="643"/>
      <c r="WOW1" s="643"/>
      <c r="WOX1" s="643"/>
      <c r="WOY1" s="643"/>
      <c r="WOZ1" s="643"/>
      <c r="WPA1" s="643"/>
      <c r="WPB1" s="643"/>
      <c r="WPC1" s="643"/>
      <c r="WPD1" s="643"/>
      <c r="WPE1" s="643"/>
      <c r="WPF1" s="643"/>
      <c r="WPG1" s="643"/>
      <c r="WPH1" s="643"/>
      <c r="WPI1" s="643"/>
      <c r="WPJ1" s="643"/>
      <c r="WPK1" s="643"/>
      <c r="WPL1" s="643"/>
      <c r="WPM1" s="643"/>
      <c r="WPN1" s="643"/>
      <c r="WPO1" s="643"/>
      <c r="WPP1" s="643"/>
      <c r="WPQ1" s="643"/>
      <c r="WPR1" s="643"/>
      <c r="WPS1" s="643"/>
      <c r="WPT1" s="643"/>
      <c r="WPU1" s="643"/>
      <c r="WPV1" s="643"/>
      <c r="WPW1" s="643"/>
      <c r="WPX1" s="643"/>
      <c r="WPY1" s="643"/>
      <c r="WPZ1" s="643"/>
      <c r="WQA1" s="643"/>
      <c r="WQB1" s="643"/>
      <c r="WQC1" s="643"/>
      <c r="WQD1" s="643"/>
      <c r="WQE1" s="643"/>
      <c r="WQF1" s="643"/>
      <c r="WQG1" s="643"/>
      <c r="WQH1" s="643"/>
      <c r="WQI1" s="643"/>
      <c r="WQJ1" s="643"/>
      <c r="WQK1" s="643"/>
      <c r="WQL1" s="643"/>
      <c r="WQM1" s="643"/>
      <c r="WQN1" s="643"/>
      <c r="WQO1" s="643"/>
      <c r="WQP1" s="643"/>
      <c r="WQQ1" s="643"/>
      <c r="WQR1" s="643"/>
      <c r="WQS1" s="643"/>
      <c r="WQT1" s="643"/>
      <c r="WQU1" s="643"/>
      <c r="WQV1" s="643"/>
      <c r="WQW1" s="643"/>
      <c r="WQX1" s="643"/>
      <c r="WQY1" s="643"/>
      <c r="WQZ1" s="643"/>
      <c r="WRA1" s="643"/>
      <c r="WRB1" s="643"/>
      <c r="WRC1" s="643"/>
      <c r="WRD1" s="643"/>
      <c r="WRE1" s="643"/>
      <c r="WRF1" s="643"/>
      <c r="WRG1" s="643"/>
      <c r="WRH1" s="643"/>
      <c r="WRI1" s="643"/>
      <c r="WRJ1" s="643"/>
      <c r="WRK1" s="643"/>
      <c r="WRL1" s="643"/>
      <c r="WRM1" s="643"/>
      <c r="WRN1" s="643"/>
      <c r="WRO1" s="643"/>
      <c r="WRP1" s="643"/>
      <c r="WRQ1" s="643"/>
      <c r="WRR1" s="643"/>
      <c r="WRS1" s="643"/>
      <c r="WRT1" s="643"/>
      <c r="WRU1" s="643"/>
      <c r="WRV1" s="643"/>
      <c r="WRW1" s="643"/>
      <c r="WRX1" s="643"/>
      <c r="WRY1" s="643"/>
      <c r="WRZ1" s="643"/>
      <c r="WSA1" s="643"/>
      <c r="WSB1" s="643"/>
      <c r="WSC1" s="643"/>
      <c r="WSD1" s="643"/>
      <c r="WSE1" s="643"/>
      <c r="WSF1" s="643"/>
      <c r="WSG1" s="643"/>
      <c r="WSH1" s="643"/>
      <c r="WSI1" s="643"/>
      <c r="WSJ1" s="643"/>
      <c r="WSK1" s="643"/>
      <c r="WSL1" s="643"/>
      <c r="WSM1" s="643"/>
      <c r="WSN1" s="643"/>
      <c r="WSO1" s="643"/>
      <c r="WSP1" s="643"/>
      <c r="WSQ1" s="643"/>
      <c r="WSR1" s="643"/>
      <c r="WSS1" s="643"/>
      <c r="WST1" s="643"/>
      <c r="WSU1" s="643"/>
      <c r="WSV1" s="643"/>
      <c r="WSW1" s="643"/>
      <c r="WSX1" s="643"/>
      <c r="WSY1" s="643"/>
      <c r="WSZ1" s="643"/>
      <c r="WTA1" s="643"/>
      <c r="WTB1" s="643"/>
      <c r="WTC1" s="643"/>
      <c r="WTD1" s="643"/>
      <c r="WTE1" s="643"/>
      <c r="WTF1" s="643"/>
      <c r="WTG1" s="643"/>
      <c r="WTH1" s="643"/>
      <c r="WTI1" s="643"/>
      <c r="WTJ1" s="643"/>
      <c r="WTK1" s="643"/>
      <c r="WTL1" s="643"/>
      <c r="WTM1" s="643"/>
      <c r="WTN1" s="643"/>
      <c r="WTO1" s="643"/>
      <c r="WTP1" s="643"/>
      <c r="WTQ1" s="643"/>
      <c r="WTR1" s="643"/>
      <c r="WTS1" s="643"/>
      <c r="WTT1" s="643"/>
      <c r="WTU1" s="643"/>
      <c r="WTV1" s="643"/>
      <c r="WTW1" s="643"/>
      <c r="WTX1" s="643"/>
      <c r="WTY1" s="643"/>
      <c r="WTZ1" s="643"/>
      <c r="WUA1" s="643"/>
      <c r="WUB1" s="643"/>
      <c r="WUC1" s="643"/>
      <c r="WUD1" s="643"/>
      <c r="WUE1" s="643"/>
      <c r="WUF1" s="643"/>
      <c r="WUG1" s="643"/>
      <c r="WUH1" s="643"/>
      <c r="WUI1" s="643"/>
      <c r="WUJ1" s="643"/>
      <c r="WUK1" s="643"/>
      <c r="WUL1" s="643"/>
      <c r="WUM1" s="643"/>
      <c r="WUN1" s="643"/>
      <c r="WUO1" s="643"/>
      <c r="WUP1" s="643"/>
      <c r="WUQ1" s="643"/>
      <c r="WUR1" s="643"/>
      <c r="WUS1" s="643"/>
      <c r="WUT1" s="643"/>
      <c r="WUU1" s="643"/>
      <c r="WUV1" s="643"/>
      <c r="WUW1" s="643"/>
      <c r="WUX1" s="643"/>
      <c r="WUY1" s="643"/>
      <c r="WUZ1" s="643"/>
      <c r="WVA1" s="643"/>
      <c r="WVB1" s="643"/>
      <c r="WVC1" s="643"/>
      <c r="WVD1" s="643"/>
      <c r="WVE1" s="643"/>
      <c r="WVF1" s="643"/>
      <c r="WVG1" s="643"/>
      <c r="WVH1" s="643"/>
      <c r="WVI1" s="643"/>
      <c r="WVJ1" s="643"/>
      <c r="WVK1" s="643"/>
      <c r="WVL1" s="643"/>
      <c r="WVM1" s="643"/>
      <c r="WVN1" s="643"/>
      <c r="WVO1" s="643"/>
      <c r="WVP1" s="643"/>
      <c r="WVQ1" s="643"/>
      <c r="WVR1" s="643"/>
      <c r="WVS1" s="643"/>
      <c r="WVT1" s="643"/>
      <c r="WVU1" s="643"/>
      <c r="WVV1" s="643"/>
      <c r="WVW1" s="643"/>
      <c r="WVX1" s="643"/>
      <c r="WVY1" s="643"/>
      <c r="WVZ1" s="643"/>
      <c r="WWA1" s="643"/>
      <c r="WWB1" s="643"/>
      <c r="WWC1" s="643"/>
      <c r="WWD1" s="643"/>
      <c r="WWE1" s="643"/>
      <c r="WWF1" s="643"/>
      <c r="WWG1" s="643"/>
      <c r="WWH1" s="643"/>
      <c r="WWI1" s="643"/>
      <c r="WWJ1" s="643"/>
      <c r="WWK1" s="643"/>
      <c r="WWL1" s="643"/>
      <c r="WWM1" s="643"/>
      <c r="WWN1" s="643"/>
      <c r="WWO1" s="643"/>
      <c r="WWP1" s="643"/>
      <c r="WWQ1" s="643"/>
      <c r="WWR1" s="643"/>
      <c r="WWS1" s="643"/>
      <c r="WWT1" s="643"/>
      <c r="WWU1" s="643"/>
      <c r="WWV1" s="643"/>
      <c r="WWW1" s="643"/>
      <c r="WWX1" s="643"/>
      <c r="WWY1" s="643"/>
      <c r="WWZ1" s="643"/>
      <c r="WXA1" s="643"/>
      <c r="WXB1" s="643"/>
      <c r="WXC1" s="643"/>
      <c r="WXD1" s="643"/>
      <c r="WXE1" s="643"/>
      <c r="WXF1" s="643"/>
      <c r="WXG1" s="643"/>
      <c r="WXH1" s="643"/>
      <c r="WXI1" s="643"/>
      <c r="WXJ1" s="643"/>
      <c r="WXK1" s="643"/>
      <c r="WXL1" s="643"/>
      <c r="WXM1" s="643"/>
      <c r="WXN1" s="643"/>
      <c r="WXO1" s="643"/>
      <c r="WXP1" s="643"/>
      <c r="WXQ1" s="643"/>
      <c r="WXR1" s="643"/>
      <c r="WXS1" s="643"/>
      <c r="WXT1" s="643"/>
      <c r="WXU1" s="643"/>
      <c r="WXV1" s="643"/>
      <c r="WXW1" s="643"/>
      <c r="WXX1" s="643"/>
      <c r="WXY1" s="643"/>
      <c r="WXZ1" s="643"/>
      <c r="WYA1" s="643"/>
      <c r="WYB1" s="643"/>
      <c r="WYC1" s="643"/>
      <c r="WYD1" s="643"/>
      <c r="WYE1" s="643"/>
      <c r="WYF1" s="643"/>
      <c r="WYG1" s="643"/>
      <c r="WYH1" s="643"/>
      <c r="WYI1" s="643"/>
      <c r="WYJ1" s="643"/>
      <c r="WYK1" s="643"/>
      <c r="WYL1" s="643"/>
      <c r="WYM1" s="643"/>
      <c r="WYN1" s="643"/>
      <c r="WYO1" s="643"/>
      <c r="WYP1" s="643"/>
      <c r="WYQ1" s="643"/>
      <c r="WYR1" s="643"/>
      <c r="WYS1" s="643"/>
      <c r="WYT1" s="643"/>
      <c r="WYU1" s="643"/>
      <c r="WYV1" s="643"/>
      <c r="WYW1" s="643"/>
      <c r="WYX1" s="643"/>
      <c r="WYY1" s="643"/>
      <c r="WYZ1" s="643"/>
      <c r="WZA1" s="643"/>
      <c r="WZB1" s="643"/>
      <c r="WZC1" s="643"/>
      <c r="WZD1" s="643"/>
      <c r="WZE1" s="643"/>
      <c r="WZF1" s="643"/>
      <c r="WZG1" s="643"/>
      <c r="WZH1" s="643"/>
      <c r="WZI1" s="643"/>
      <c r="WZJ1" s="643"/>
      <c r="WZK1" s="643"/>
      <c r="WZL1" s="643"/>
      <c r="WZM1" s="643"/>
      <c r="WZN1" s="643"/>
      <c r="WZO1" s="643"/>
      <c r="WZP1" s="643"/>
      <c r="WZQ1" s="643"/>
      <c r="WZR1" s="643"/>
      <c r="WZS1" s="643"/>
      <c r="WZT1" s="643"/>
      <c r="WZU1" s="643"/>
      <c r="WZV1" s="643"/>
      <c r="WZW1" s="643"/>
      <c r="WZX1" s="643"/>
      <c r="WZY1" s="643"/>
      <c r="WZZ1" s="643"/>
      <c r="XAA1" s="643"/>
      <c r="XAB1" s="643"/>
      <c r="XAC1" s="643"/>
      <c r="XAD1" s="643"/>
      <c r="XAE1" s="643"/>
      <c r="XAF1" s="643"/>
      <c r="XAG1" s="643"/>
      <c r="XAH1" s="643"/>
      <c r="XAI1" s="643"/>
      <c r="XAJ1" s="643"/>
      <c r="XAK1" s="643"/>
      <c r="XAL1" s="643"/>
      <c r="XAM1" s="643"/>
      <c r="XAN1" s="643"/>
      <c r="XAO1" s="643"/>
      <c r="XAP1" s="643"/>
      <c r="XAQ1" s="643"/>
      <c r="XAR1" s="643"/>
      <c r="XAS1" s="643"/>
      <c r="XAT1" s="643"/>
      <c r="XAU1" s="643"/>
      <c r="XAV1" s="643"/>
      <c r="XAW1" s="643"/>
      <c r="XAX1" s="643"/>
      <c r="XAY1" s="643"/>
      <c r="XAZ1" s="643"/>
      <c r="XBA1" s="643"/>
      <c r="XBB1" s="643"/>
      <c r="XBC1" s="643"/>
      <c r="XBD1" s="643"/>
      <c r="XBE1" s="643"/>
      <c r="XBF1" s="643"/>
      <c r="XBG1" s="643"/>
      <c r="XBH1" s="643"/>
      <c r="XBI1" s="643"/>
      <c r="XBJ1" s="643"/>
      <c r="XBK1" s="643"/>
      <c r="XBL1" s="643"/>
      <c r="XBM1" s="643"/>
      <c r="XBN1" s="643"/>
      <c r="XBO1" s="643"/>
      <c r="XBP1" s="643"/>
      <c r="XBQ1" s="643"/>
      <c r="XBR1" s="643"/>
      <c r="XBS1" s="643"/>
      <c r="XBT1" s="643"/>
      <c r="XBU1" s="643"/>
      <c r="XBV1" s="643"/>
      <c r="XBW1" s="643"/>
      <c r="XBX1" s="643"/>
      <c r="XBY1" s="643"/>
      <c r="XBZ1" s="643"/>
      <c r="XCA1" s="643"/>
      <c r="XCB1" s="643"/>
      <c r="XCC1" s="643"/>
      <c r="XCD1" s="643"/>
      <c r="XCE1" s="643"/>
      <c r="XCF1" s="643"/>
      <c r="XCG1" s="643"/>
      <c r="XCH1" s="643"/>
      <c r="XCI1" s="643"/>
      <c r="XCJ1" s="643"/>
      <c r="XCK1" s="643"/>
      <c r="XCL1" s="643"/>
      <c r="XCM1" s="643"/>
      <c r="XCN1" s="643"/>
      <c r="XCO1" s="643"/>
      <c r="XCP1" s="643"/>
      <c r="XCQ1" s="643"/>
      <c r="XCR1" s="643"/>
      <c r="XCS1" s="643"/>
      <c r="XCT1" s="643"/>
      <c r="XCU1" s="643"/>
      <c r="XCV1" s="643"/>
      <c r="XCW1" s="643"/>
      <c r="XCX1" s="643"/>
      <c r="XCY1" s="643"/>
      <c r="XCZ1" s="643"/>
      <c r="XDA1" s="643"/>
      <c r="XDB1" s="643"/>
      <c r="XDC1" s="643"/>
      <c r="XDD1" s="643"/>
      <c r="XDE1" s="643"/>
      <c r="XDF1" s="643"/>
      <c r="XDG1" s="643"/>
      <c r="XDH1" s="643"/>
      <c r="XDI1" s="643"/>
      <c r="XDJ1" s="643"/>
      <c r="XDK1" s="643"/>
      <c r="XDL1" s="643"/>
      <c r="XDM1" s="643"/>
      <c r="XDN1" s="643"/>
      <c r="XDO1" s="643"/>
      <c r="XDP1" s="643"/>
      <c r="XDQ1" s="643"/>
      <c r="XDR1" s="643"/>
      <c r="XDS1" s="643"/>
      <c r="XDT1" s="643"/>
      <c r="XDU1" s="643"/>
      <c r="XDV1" s="643"/>
      <c r="XDW1" s="643"/>
      <c r="XDX1" s="643"/>
      <c r="XDY1" s="643"/>
      <c r="XDZ1" s="643"/>
      <c r="XEA1" s="643"/>
      <c r="XEB1" s="643"/>
      <c r="XEC1" s="643"/>
      <c r="XED1" s="643"/>
      <c r="XEE1" s="643"/>
      <c r="XEF1" s="643"/>
      <c r="XEG1" s="643"/>
      <c r="XEH1" s="643"/>
      <c r="XEI1" s="643"/>
      <c r="XEJ1" s="643"/>
      <c r="XEK1" s="643"/>
      <c r="XEL1" s="643"/>
      <c r="XEM1" s="643"/>
      <c r="XEN1" s="643"/>
      <c r="XEO1" s="643"/>
      <c r="XEP1" s="643"/>
      <c r="XEQ1" s="643"/>
      <c r="XER1" s="643"/>
      <c r="XES1" s="643"/>
      <c r="XET1" s="643"/>
      <c r="XEU1" s="643"/>
    </row>
    <row r="2" spans="1:16375" ht="15" customHeight="1" x14ac:dyDescent="0.3">
      <c r="A2" s="21" t="s">
        <v>147</v>
      </c>
      <c r="B2" s="9"/>
      <c r="C2" s="9"/>
      <c r="D2" s="9"/>
      <c r="E2" s="9"/>
      <c r="F2" s="9"/>
      <c r="G2" s="9"/>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4"/>
      <c r="BW2" s="354"/>
      <c r="BX2" s="354"/>
      <c r="BY2" s="354"/>
      <c r="BZ2" s="354"/>
      <c r="CA2" s="354"/>
      <c r="CB2" s="354"/>
      <c r="CC2" s="354"/>
      <c r="CD2" s="354"/>
      <c r="CE2" s="354"/>
      <c r="CF2" s="354"/>
      <c r="CG2" s="354"/>
      <c r="CH2" s="354"/>
      <c r="CI2" s="354"/>
      <c r="CJ2" s="354"/>
      <c r="CK2" s="354"/>
      <c r="CL2" s="354"/>
      <c r="CM2" s="354"/>
      <c r="CN2" s="354"/>
      <c r="CO2" s="354"/>
      <c r="CP2" s="354"/>
      <c r="CQ2" s="354"/>
      <c r="CR2" s="354"/>
      <c r="CS2" s="354"/>
      <c r="CT2" s="354"/>
      <c r="CU2" s="354"/>
      <c r="CV2" s="354"/>
      <c r="CW2" s="354"/>
      <c r="CX2" s="354"/>
      <c r="CY2" s="354"/>
      <c r="CZ2" s="354"/>
      <c r="DA2" s="354"/>
      <c r="DB2" s="354"/>
      <c r="DC2" s="354"/>
      <c r="DD2" s="354"/>
      <c r="DE2" s="354"/>
      <c r="DF2" s="354"/>
      <c r="DG2" s="354"/>
      <c r="DH2" s="354"/>
      <c r="DI2" s="354"/>
      <c r="DJ2" s="354"/>
      <c r="DK2" s="354"/>
      <c r="DL2" s="354"/>
      <c r="DM2" s="354"/>
      <c r="DN2" s="354"/>
      <c r="DO2" s="354"/>
      <c r="DP2" s="354"/>
      <c r="DQ2" s="354"/>
      <c r="DR2" s="354"/>
      <c r="DS2" s="354"/>
      <c r="DT2" s="354"/>
      <c r="DU2" s="354"/>
      <c r="DV2" s="354"/>
      <c r="DW2" s="354"/>
      <c r="DX2" s="354"/>
      <c r="DY2" s="354"/>
      <c r="DZ2" s="354"/>
      <c r="EA2" s="354"/>
      <c r="EB2" s="354"/>
      <c r="EC2" s="354"/>
      <c r="ED2" s="354"/>
      <c r="EE2" s="354"/>
      <c r="EF2" s="354"/>
      <c r="EG2" s="354"/>
      <c r="EH2" s="354"/>
      <c r="EI2" s="354"/>
      <c r="EJ2" s="354"/>
      <c r="EK2" s="354"/>
      <c r="EL2" s="354"/>
      <c r="EM2" s="354"/>
      <c r="EN2" s="354"/>
      <c r="EO2" s="354"/>
      <c r="EP2" s="354"/>
      <c r="EQ2" s="354"/>
      <c r="ER2" s="354"/>
      <c r="ES2" s="354"/>
      <c r="ET2" s="354"/>
      <c r="EU2" s="354"/>
      <c r="EV2" s="354"/>
      <c r="EW2" s="354"/>
      <c r="EX2" s="354"/>
      <c r="EY2" s="354"/>
      <c r="EZ2" s="354"/>
      <c r="FA2" s="354"/>
      <c r="FB2" s="354"/>
      <c r="FC2" s="354"/>
      <c r="FD2" s="354"/>
      <c r="FE2" s="354"/>
      <c r="FF2" s="354"/>
      <c r="FG2" s="354"/>
      <c r="FH2" s="354"/>
      <c r="FI2" s="354"/>
      <c r="FJ2" s="354"/>
      <c r="FK2" s="354"/>
      <c r="FL2" s="354"/>
      <c r="FM2" s="354"/>
      <c r="FN2" s="354"/>
      <c r="FO2" s="354"/>
      <c r="FP2" s="354"/>
      <c r="FQ2" s="354"/>
      <c r="FR2" s="354"/>
      <c r="FS2" s="354"/>
      <c r="FT2" s="354"/>
      <c r="FU2" s="354"/>
      <c r="FV2" s="354"/>
      <c r="FW2" s="354"/>
      <c r="FX2" s="354"/>
      <c r="FY2" s="354"/>
      <c r="FZ2" s="354"/>
      <c r="GA2" s="354"/>
      <c r="GB2" s="354"/>
      <c r="GC2" s="354"/>
      <c r="GD2" s="354"/>
      <c r="GE2" s="354"/>
      <c r="GF2" s="354"/>
      <c r="GG2" s="354"/>
      <c r="GH2" s="354"/>
      <c r="GI2" s="354"/>
      <c r="GJ2" s="354"/>
      <c r="GK2" s="354"/>
      <c r="GL2" s="354"/>
      <c r="GM2" s="354"/>
      <c r="GN2" s="354"/>
      <c r="GO2" s="354"/>
      <c r="GP2" s="354"/>
      <c r="GQ2" s="354"/>
      <c r="GR2" s="354"/>
      <c r="GS2" s="354"/>
      <c r="GT2" s="354"/>
      <c r="GU2" s="354"/>
      <c r="GV2" s="354"/>
      <c r="GW2" s="354"/>
      <c r="GX2" s="354"/>
      <c r="GY2" s="354"/>
      <c r="GZ2" s="354"/>
      <c r="HA2" s="354"/>
      <c r="HB2" s="354"/>
      <c r="HC2" s="354"/>
      <c r="HD2" s="354"/>
      <c r="HE2" s="354"/>
      <c r="HF2" s="354"/>
      <c r="HG2" s="354"/>
      <c r="HH2" s="354"/>
      <c r="HI2" s="354"/>
      <c r="HJ2" s="354"/>
      <c r="HK2" s="354"/>
      <c r="HL2" s="354"/>
      <c r="HM2" s="354"/>
      <c r="HN2" s="354"/>
      <c r="HO2" s="354"/>
      <c r="HP2" s="354"/>
      <c r="HQ2" s="354"/>
      <c r="HR2" s="354"/>
      <c r="HS2" s="354"/>
      <c r="HT2" s="354"/>
      <c r="HU2" s="354"/>
      <c r="HV2" s="354"/>
      <c r="HW2" s="354"/>
      <c r="HX2" s="354"/>
      <c r="HY2" s="354"/>
      <c r="HZ2" s="354"/>
      <c r="IA2" s="354"/>
      <c r="IB2" s="354"/>
      <c r="IC2" s="354"/>
      <c r="ID2" s="354"/>
      <c r="IE2" s="354"/>
      <c r="IF2" s="354"/>
      <c r="IG2" s="354"/>
      <c r="IH2" s="354"/>
      <c r="II2" s="354"/>
      <c r="IJ2" s="354"/>
      <c r="IK2" s="354"/>
      <c r="IL2" s="354"/>
      <c r="IM2" s="354"/>
      <c r="IN2" s="354"/>
      <c r="IO2" s="354"/>
      <c r="IP2" s="354"/>
      <c r="IQ2" s="354"/>
      <c r="IR2" s="354"/>
      <c r="IS2" s="354"/>
      <c r="IT2" s="354"/>
      <c r="IU2" s="354"/>
      <c r="IV2" s="354"/>
      <c r="IW2" s="354"/>
      <c r="IX2" s="354"/>
      <c r="IY2" s="354"/>
      <c r="IZ2" s="354"/>
      <c r="JA2" s="354"/>
      <c r="JB2" s="354"/>
      <c r="JC2" s="354"/>
      <c r="JD2" s="354"/>
      <c r="JE2" s="354"/>
      <c r="JF2" s="354"/>
      <c r="JG2" s="354"/>
      <c r="JH2" s="354"/>
      <c r="JI2" s="354"/>
      <c r="JJ2" s="354"/>
      <c r="JK2" s="354"/>
      <c r="JL2" s="354"/>
      <c r="JM2" s="354"/>
      <c r="JN2" s="354"/>
      <c r="JO2" s="354"/>
      <c r="JP2" s="354"/>
      <c r="JQ2" s="354"/>
      <c r="JR2" s="354"/>
      <c r="JS2" s="354"/>
      <c r="JT2" s="354"/>
      <c r="JU2" s="354"/>
      <c r="JV2" s="354"/>
      <c r="JW2" s="354"/>
      <c r="JX2" s="354"/>
      <c r="JY2" s="354"/>
      <c r="JZ2" s="354"/>
      <c r="KA2" s="354"/>
      <c r="KB2" s="354"/>
      <c r="KC2" s="354"/>
      <c r="KD2" s="354"/>
      <c r="KE2" s="354"/>
      <c r="KF2" s="354"/>
      <c r="KG2" s="354"/>
      <c r="KH2" s="354"/>
      <c r="KI2" s="354"/>
      <c r="KJ2" s="354"/>
      <c r="KK2" s="354"/>
      <c r="KL2" s="354"/>
      <c r="KM2" s="354"/>
      <c r="KN2" s="354"/>
      <c r="KO2" s="354"/>
      <c r="KP2" s="354"/>
      <c r="KQ2" s="354"/>
      <c r="KR2" s="354"/>
      <c r="KS2" s="354"/>
      <c r="KT2" s="354"/>
      <c r="KU2" s="354"/>
      <c r="KV2" s="354"/>
      <c r="KW2" s="354"/>
      <c r="KX2" s="354"/>
      <c r="KY2" s="354"/>
      <c r="KZ2" s="354"/>
      <c r="LA2" s="354"/>
      <c r="LB2" s="354"/>
      <c r="LC2" s="354"/>
      <c r="LD2" s="354"/>
      <c r="LE2" s="354"/>
      <c r="LF2" s="354"/>
      <c r="LG2" s="354"/>
      <c r="LH2" s="354"/>
      <c r="LI2" s="354"/>
      <c r="LJ2" s="354"/>
      <c r="LK2" s="354"/>
      <c r="LL2" s="354"/>
      <c r="LM2" s="354"/>
      <c r="LN2" s="354"/>
      <c r="LO2" s="354"/>
      <c r="LP2" s="354"/>
      <c r="LQ2" s="354"/>
      <c r="LR2" s="354"/>
      <c r="LS2" s="354"/>
      <c r="LT2" s="354"/>
      <c r="LU2" s="354"/>
      <c r="LV2" s="354"/>
      <c r="LW2" s="354"/>
      <c r="LX2" s="354"/>
      <c r="LY2" s="354"/>
      <c r="LZ2" s="354"/>
      <c r="MA2" s="354"/>
      <c r="MB2" s="354"/>
      <c r="MC2" s="354"/>
      <c r="MD2" s="354"/>
      <c r="ME2" s="354"/>
      <c r="MF2" s="354"/>
      <c r="MG2" s="354"/>
      <c r="MH2" s="354"/>
      <c r="MI2" s="354"/>
      <c r="MJ2" s="354"/>
      <c r="MK2" s="354"/>
      <c r="ML2" s="354"/>
      <c r="MM2" s="354"/>
      <c r="MN2" s="354"/>
      <c r="MO2" s="354"/>
      <c r="MP2" s="354"/>
      <c r="MQ2" s="354"/>
      <c r="MR2" s="354"/>
      <c r="MS2" s="354"/>
      <c r="MT2" s="354"/>
      <c r="MU2" s="354"/>
      <c r="MV2" s="354"/>
      <c r="MW2" s="354"/>
      <c r="MX2" s="354"/>
      <c r="MY2" s="354"/>
      <c r="MZ2" s="354"/>
      <c r="NA2" s="354"/>
      <c r="NB2" s="354"/>
      <c r="NC2" s="354"/>
      <c r="ND2" s="354"/>
      <c r="NE2" s="354"/>
      <c r="NF2" s="354"/>
      <c r="NG2" s="354"/>
      <c r="NH2" s="354"/>
      <c r="NI2" s="354"/>
      <c r="NJ2" s="354"/>
      <c r="NK2" s="354"/>
      <c r="NL2" s="354"/>
      <c r="NM2" s="354"/>
      <c r="NN2" s="354"/>
      <c r="NO2" s="354"/>
      <c r="NP2" s="354"/>
      <c r="NQ2" s="354"/>
      <c r="NR2" s="354"/>
      <c r="NS2" s="354"/>
      <c r="NT2" s="354"/>
      <c r="NU2" s="354"/>
      <c r="NV2" s="354"/>
      <c r="NW2" s="354"/>
      <c r="NX2" s="354"/>
      <c r="NY2" s="354"/>
      <c r="NZ2" s="354"/>
      <c r="OA2" s="354"/>
      <c r="OB2" s="354"/>
      <c r="OC2" s="354"/>
      <c r="OD2" s="354"/>
      <c r="OE2" s="354"/>
      <c r="OF2" s="354"/>
      <c r="OG2" s="354"/>
      <c r="OH2" s="354"/>
      <c r="OI2" s="354"/>
      <c r="OJ2" s="354"/>
      <c r="OK2" s="354"/>
      <c r="OL2" s="354"/>
      <c r="OM2" s="354"/>
      <c r="ON2" s="354"/>
      <c r="OO2" s="354"/>
      <c r="OP2" s="354"/>
      <c r="OQ2" s="354"/>
      <c r="OR2" s="354"/>
      <c r="OS2" s="354"/>
      <c r="OT2" s="354"/>
      <c r="OU2" s="354"/>
      <c r="OV2" s="354"/>
      <c r="OW2" s="354"/>
      <c r="OX2" s="354"/>
      <c r="OY2" s="354"/>
      <c r="OZ2" s="354"/>
      <c r="PA2" s="354"/>
      <c r="PB2" s="354"/>
      <c r="PC2" s="354"/>
      <c r="PD2" s="354"/>
      <c r="PE2" s="354"/>
      <c r="PF2" s="354"/>
      <c r="PG2" s="354"/>
      <c r="PH2" s="354"/>
      <c r="PI2" s="354"/>
      <c r="PJ2" s="354"/>
      <c r="PK2" s="354"/>
      <c r="PL2" s="354"/>
      <c r="PM2" s="354"/>
      <c r="PN2" s="354"/>
      <c r="PO2" s="354"/>
      <c r="PP2" s="354"/>
      <c r="PQ2" s="354"/>
      <c r="PR2" s="354"/>
      <c r="PS2" s="354"/>
      <c r="PT2" s="354"/>
      <c r="PU2" s="354"/>
      <c r="PV2" s="354"/>
      <c r="PW2" s="354"/>
      <c r="PX2" s="354"/>
      <c r="PY2" s="354"/>
      <c r="PZ2" s="354"/>
      <c r="QA2" s="354"/>
      <c r="QB2" s="354"/>
      <c r="QC2" s="354"/>
      <c r="QD2" s="354"/>
      <c r="QE2" s="354"/>
      <c r="QF2" s="354"/>
      <c r="QG2" s="354"/>
      <c r="QH2" s="354"/>
      <c r="QI2" s="354"/>
      <c r="QJ2" s="354"/>
      <c r="QK2" s="354"/>
      <c r="QL2" s="354"/>
      <c r="QM2" s="354"/>
      <c r="QN2" s="354"/>
      <c r="QO2" s="354"/>
      <c r="QP2" s="354"/>
      <c r="QQ2" s="354"/>
      <c r="QR2" s="354"/>
      <c r="QS2" s="354"/>
      <c r="QT2" s="354"/>
      <c r="QU2" s="354"/>
      <c r="QV2" s="354"/>
      <c r="QW2" s="354"/>
      <c r="QX2" s="354"/>
      <c r="QY2" s="354"/>
      <c r="QZ2" s="354"/>
      <c r="RA2" s="354"/>
      <c r="RB2" s="354"/>
      <c r="RC2" s="354"/>
      <c r="RD2" s="354"/>
      <c r="RE2" s="354"/>
      <c r="RF2" s="354"/>
      <c r="RG2" s="354"/>
      <c r="RH2" s="354"/>
      <c r="RI2" s="354"/>
      <c r="RJ2" s="354"/>
      <c r="RK2" s="354"/>
      <c r="RL2" s="354"/>
      <c r="RM2" s="354"/>
      <c r="RN2" s="354"/>
      <c r="RO2" s="354"/>
      <c r="RP2" s="354"/>
      <c r="RQ2" s="354"/>
      <c r="RR2" s="354"/>
      <c r="RS2" s="354"/>
      <c r="RT2" s="354"/>
      <c r="RU2" s="354"/>
      <c r="RV2" s="354"/>
      <c r="RW2" s="354"/>
      <c r="RX2" s="354"/>
      <c r="RY2" s="354"/>
      <c r="RZ2" s="354"/>
      <c r="SA2" s="354"/>
      <c r="SB2" s="354"/>
      <c r="SC2" s="354"/>
      <c r="SD2" s="354"/>
      <c r="SE2" s="354"/>
      <c r="SF2" s="354"/>
      <c r="SG2" s="354"/>
      <c r="SH2" s="354"/>
      <c r="SI2" s="354"/>
      <c r="SJ2" s="354"/>
      <c r="SK2" s="354"/>
      <c r="SL2" s="354"/>
      <c r="SM2" s="354"/>
      <c r="SN2" s="354"/>
      <c r="SO2" s="354"/>
      <c r="SP2" s="354"/>
      <c r="SQ2" s="354"/>
      <c r="SR2" s="354"/>
      <c r="SS2" s="354"/>
      <c r="ST2" s="354"/>
      <c r="SU2" s="354"/>
      <c r="SV2" s="354"/>
      <c r="SW2" s="354"/>
      <c r="SX2" s="354"/>
      <c r="SY2" s="354"/>
      <c r="SZ2" s="354"/>
      <c r="TA2" s="354"/>
      <c r="TB2" s="354"/>
      <c r="TC2" s="354"/>
      <c r="TD2" s="354"/>
      <c r="TE2" s="354"/>
      <c r="TF2" s="354"/>
      <c r="TG2" s="354"/>
      <c r="TH2" s="354"/>
      <c r="TI2" s="354"/>
      <c r="TJ2" s="354"/>
      <c r="TK2" s="354"/>
      <c r="TL2" s="354"/>
      <c r="TM2" s="354"/>
      <c r="TN2" s="354"/>
      <c r="TO2" s="354"/>
      <c r="TP2" s="354"/>
      <c r="TQ2" s="354"/>
      <c r="TR2" s="354"/>
      <c r="TS2" s="354"/>
      <c r="TT2" s="354"/>
      <c r="TU2" s="354"/>
      <c r="TV2" s="354"/>
      <c r="TW2" s="354"/>
      <c r="TX2" s="354"/>
      <c r="TY2" s="354"/>
      <c r="TZ2" s="354"/>
      <c r="UA2" s="354"/>
      <c r="UB2" s="354"/>
      <c r="UC2" s="354"/>
      <c r="UD2" s="354"/>
      <c r="UE2" s="354"/>
      <c r="UF2" s="354"/>
      <c r="UG2" s="354"/>
      <c r="UH2" s="354"/>
      <c r="UI2" s="354"/>
      <c r="UJ2" s="354"/>
      <c r="UK2" s="354"/>
      <c r="UL2" s="354"/>
      <c r="UM2" s="354"/>
      <c r="UN2" s="354"/>
      <c r="UO2" s="354"/>
      <c r="UP2" s="354"/>
      <c r="UQ2" s="354"/>
      <c r="UR2" s="354"/>
      <c r="US2" s="354"/>
      <c r="UT2" s="354"/>
      <c r="UU2" s="354"/>
      <c r="UV2" s="354"/>
      <c r="UW2" s="354"/>
      <c r="UX2" s="354"/>
      <c r="UY2" s="354"/>
      <c r="UZ2" s="354"/>
      <c r="VA2" s="354"/>
      <c r="VB2" s="354"/>
      <c r="VC2" s="354"/>
      <c r="VD2" s="354"/>
      <c r="VE2" s="354"/>
      <c r="VF2" s="354"/>
      <c r="VG2" s="354"/>
      <c r="VH2" s="354"/>
      <c r="VI2" s="354"/>
      <c r="VJ2" s="354"/>
      <c r="VK2" s="354"/>
      <c r="VL2" s="354"/>
      <c r="VM2" s="354"/>
      <c r="VN2" s="354"/>
      <c r="VO2" s="354"/>
      <c r="VP2" s="354"/>
      <c r="VQ2" s="354"/>
      <c r="VR2" s="354"/>
      <c r="VS2" s="354"/>
      <c r="VT2" s="354"/>
      <c r="VU2" s="354"/>
      <c r="VV2" s="354"/>
      <c r="VW2" s="354"/>
      <c r="VX2" s="354"/>
      <c r="VY2" s="354"/>
      <c r="VZ2" s="354"/>
      <c r="WA2" s="354"/>
      <c r="WB2" s="354"/>
      <c r="WC2" s="354"/>
      <c r="WD2" s="354"/>
      <c r="WE2" s="354"/>
      <c r="WF2" s="354"/>
      <c r="WG2" s="354"/>
      <c r="WH2" s="354"/>
      <c r="WI2" s="354"/>
      <c r="WJ2" s="354"/>
      <c r="WK2" s="354"/>
      <c r="WL2" s="354"/>
      <c r="WM2" s="354"/>
      <c r="WN2" s="354"/>
      <c r="WO2" s="354"/>
      <c r="WP2" s="354"/>
      <c r="WQ2" s="354"/>
      <c r="WR2" s="354"/>
      <c r="WS2" s="354"/>
      <c r="WT2" s="354"/>
      <c r="WU2" s="354"/>
      <c r="WV2" s="354"/>
      <c r="WW2" s="354"/>
      <c r="WX2" s="354"/>
      <c r="WY2" s="354"/>
      <c r="WZ2" s="354"/>
      <c r="XA2" s="354"/>
      <c r="XB2" s="354"/>
      <c r="XC2" s="354"/>
      <c r="XD2" s="354"/>
      <c r="XE2" s="354"/>
      <c r="XF2" s="354"/>
      <c r="XG2" s="354"/>
      <c r="XH2" s="354"/>
      <c r="XI2" s="354"/>
      <c r="XJ2" s="354"/>
      <c r="XK2" s="354"/>
      <c r="XL2" s="354"/>
      <c r="XM2" s="354"/>
      <c r="XN2" s="354"/>
      <c r="XO2" s="354"/>
      <c r="XP2" s="354"/>
      <c r="XQ2" s="354"/>
      <c r="XR2" s="354"/>
      <c r="XS2" s="354"/>
      <c r="XT2" s="354"/>
      <c r="XU2" s="354"/>
      <c r="XV2" s="354"/>
      <c r="XW2" s="354"/>
      <c r="XX2" s="354"/>
      <c r="XY2" s="354"/>
      <c r="XZ2" s="354"/>
      <c r="YA2" s="354"/>
      <c r="YB2" s="354"/>
      <c r="YC2" s="354"/>
      <c r="YD2" s="354"/>
      <c r="YE2" s="354"/>
      <c r="YF2" s="354"/>
      <c r="YG2" s="354"/>
      <c r="YH2" s="354"/>
      <c r="YI2" s="354"/>
      <c r="YJ2" s="354"/>
      <c r="YK2" s="354"/>
      <c r="YL2" s="354"/>
      <c r="YM2" s="354"/>
      <c r="YN2" s="354"/>
      <c r="YO2" s="354"/>
      <c r="YP2" s="354"/>
      <c r="YQ2" s="354"/>
      <c r="YR2" s="354"/>
      <c r="YS2" s="354"/>
      <c r="YT2" s="354"/>
      <c r="YU2" s="354"/>
      <c r="YV2" s="354"/>
      <c r="YW2" s="354"/>
      <c r="YX2" s="354"/>
      <c r="YY2" s="354"/>
      <c r="YZ2" s="354"/>
      <c r="ZA2" s="354"/>
      <c r="ZB2" s="354"/>
      <c r="ZC2" s="354"/>
      <c r="ZD2" s="354"/>
      <c r="ZE2" s="354"/>
      <c r="ZF2" s="354"/>
      <c r="ZG2" s="354"/>
      <c r="ZH2" s="354"/>
      <c r="ZI2" s="354"/>
      <c r="ZJ2" s="354"/>
      <c r="ZK2" s="354"/>
      <c r="ZL2" s="354"/>
      <c r="ZM2" s="354"/>
      <c r="ZN2" s="354"/>
      <c r="ZO2" s="354"/>
      <c r="ZP2" s="354"/>
      <c r="ZQ2" s="354"/>
      <c r="ZR2" s="354"/>
      <c r="ZS2" s="354"/>
      <c r="ZT2" s="354"/>
      <c r="ZU2" s="354"/>
      <c r="ZV2" s="354"/>
      <c r="ZW2" s="354"/>
      <c r="ZX2" s="354"/>
      <c r="ZY2" s="354"/>
      <c r="ZZ2" s="354"/>
      <c r="AAA2" s="354"/>
      <c r="AAB2" s="354"/>
      <c r="AAC2" s="354"/>
      <c r="AAD2" s="354"/>
      <c r="AAE2" s="354"/>
      <c r="AAF2" s="354"/>
      <c r="AAG2" s="354"/>
      <c r="AAH2" s="354"/>
      <c r="AAI2" s="354"/>
      <c r="AAJ2" s="354"/>
      <c r="AAK2" s="354"/>
      <c r="AAL2" s="354"/>
      <c r="AAM2" s="354"/>
      <c r="AAN2" s="354"/>
      <c r="AAO2" s="354"/>
      <c r="AAP2" s="354"/>
      <c r="AAQ2" s="354"/>
      <c r="AAR2" s="354"/>
      <c r="AAS2" s="354"/>
      <c r="AAT2" s="354"/>
      <c r="AAU2" s="354"/>
      <c r="AAV2" s="354"/>
      <c r="AAW2" s="354"/>
      <c r="AAX2" s="354"/>
      <c r="AAY2" s="354"/>
      <c r="AAZ2" s="354"/>
      <c r="ABA2" s="354"/>
      <c r="ABB2" s="354"/>
      <c r="ABC2" s="354"/>
      <c r="ABD2" s="354"/>
      <c r="ABE2" s="354"/>
      <c r="ABF2" s="354"/>
      <c r="ABG2" s="354"/>
      <c r="ABH2" s="354"/>
      <c r="ABI2" s="354"/>
      <c r="ABJ2" s="354"/>
      <c r="ABK2" s="354"/>
      <c r="ABL2" s="354"/>
      <c r="ABM2" s="354"/>
      <c r="ABN2" s="354"/>
      <c r="ABO2" s="354"/>
      <c r="ABP2" s="354"/>
      <c r="ABQ2" s="354"/>
      <c r="ABR2" s="354"/>
      <c r="ABS2" s="354"/>
      <c r="ABT2" s="354"/>
      <c r="ABU2" s="354"/>
      <c r="ABV2" s="354"/>
      <c r="ABW2" s="354"/>
      <c r="ABX2" s="354"/>
      <c r="ABY2" s="354"/>
      <c r="ABZ2" s="354"/>
      <c r="ACA2" s="354"/>
      <c r="ACB2" s="354"/>
      <c r="ACC2" s="354"/>
      <c r="ACD2" s="354"/>
      <c r="ACE2" s="354"/>
      <c r="ACF2" s="354"/>
      <c r="ACG2" s="354"/>
      <c r="ACH2" s="354"/>
      <c r="ACI2" s="354"/>
      <c r="ACJ2" s="354"/>
      <c r="ACK2" s="354"/>
      <c r="ACL2" s="354"/>
      <c r="ACM2" s="354"/>
      <c r="ACN2" s="354"/>
      <c r="ACO2" s="354"/>
      <c r="ACP2" s="354"/>
      <c r="ACQ2" s="354"/>
      <c r="ACR2" s="354"/>
      <c r="ACS2" s="354"/>
      <c r="ACT2" s="354"/>
      <c r="ACU2" s="354"/>
      <c r="ACV2" s="354"/>
      <c r="ACW2" s="354"/>
      <c r="ACX2" s="354"/>
      <c r="ACY2" s="354"/>
      <c r="ACZ2" s="354"/>
      <c r="ADA2" s="354"/>
      <c r="ADB2" s="354"/>
      <c r="ADC2" s="354"/>
      <c r="ADD2" s="354"/>
      <c r="ADE2" s="354"/>
      <c r="ADF2" s="354"/>
      <c r="ADG2" s="354"/>
      <c r="ADH2" s="354"/>
      <c r="ADI2" s="354"/>
      <c r="ADJ2" s="354"/>
      <c r="ADK2" s="354"/>
      <c r="ADL2" s="354"/>
      <c r="ADM2" s="354"/>
      <c r="ADN2" s="354"/>
      <c r="ADO2" s="354"/>
      <c r="ADP2" s="354"/>
      <c r="ADQ2" s="354"/>
      <c r="ADR2" s="354"/>
      <c r="ADS2" s="354"/>
      <c r="ADT2" s="354"/>
      <c r="ADU2" s="354"/>
      <c r="ADV2" s="354"/>
      <c r="ADW2" s="354"/>
      <c r="ADX2" s="354"/>
      <c r="ADY2" s="354"/>
      <c r="ADZ2" s="354"/>
      <c r="AEA2" s="354"/>
      <c r="AEB2" s="354"/>
      <c r="AEC2" s="354"/>
      <c r="AED2" s="354"/>
      <c r="AEE2" s="354"/>
      <c r="AEF2" s="354"/>
      <c r="AEG2" s="354"/>
      <c r="AEH2" s="354"/>
      <c r="AEI2" s="354"/>
      <c r="AEJ2" s="354"/>
      <c r="AEK2" s="354"/>
      <c r="AEL2" s="354"/>
      <c r="AEM2" s="354"/>
      <c r="AEN2" s="354"/>
      <c r="AEO2" s="354"/>
      <c r="AEP2" s="354"/>
      <c r="AEQ2" s="354"/>
      <c r="AER2" s="354"/>
      <c r="AES2" s="354"/>
      <c r="AET2" s="354"/>
      <c r="AEU2" s="354"/>
      <c r="AEV2" s="354"/>
      <c r="AEW2" s="354"/>
      <c r="AEX2" s="354"/>
      <c r="AEY2" s="354"/>
      <c r="AEZ2" s="354"/>
      <c r="AFA2" s="354"/>
      <c r="AFB2" s="354"/>
      <c r="AFC2" s="354"/>
      <c r="AFD2" s="354"/>
      <c r="AFE2" s="354"/>
      <c r="AFF2" s="354"/>
      <c r="AFG2" s="354"/>
      <c r="AFH2" s="354"/>
      <c r="AFI2" s="354"/>
      <c r="AFJ2" s="354"/>
      <c r="AFK2" s="354"/>
      <c r="AFL2" s="354"/>
      <c r="AFM2" s="354"/>
      <c r="AFN2" s="354"/>
      <c r="AFO2" s="354"/>
      <c r="AFP2" s="354"/>
      <c r="AFQ2" s="354"/>
      <c r="AFR2" s="354"/>
      <c r="AFS2" s="354"/>
      <c r="AFT2" s="354"/>
      <c r="AFU2" s="354"/>
      <c r="AFV2" s="354"/>
      <c r="AFW2" s="354"/>
      <c r="AFX2" s="354"/>
      <c r="AFY2" s="354"/>
      <c r="AFZ2" s="354"/>
      <c r="AGA2" s="354"/>
      <c r="AGB2" s="354"/>
      <c r="AGC2" s="354"/>
      <c r="AGD2" s="354"/>
      <c r="AGE2" s="354"/>
      <c r="AGF2" s="354"/>
      <c r="AGG2" s="354"/>
      <c r="AGH2" s="354"/>
      <c r="AGI2" s="354"/>
      <c r="AGJ2" s="354"/>
      <c r="AGK2" s="354"/>
      <c r="AGL2" s="354"/>
      <c r="AGM2" s="354"/>
      <c r="AGN2" s="354"/>
      <c r="AGO2" s="354"/>
      <c r="AGP2" s="354"/>
      <c r="AGQ2" s="354"/>
      <c r="AGR2" s="354"/>
      <c r="AGS2" s="354"/>
      <c r="AGT2" s="354"/>
      <c r="AGU2" s="354"/>
      <c r="AGV2" s="354"/>
      <c r="AGW2" s="354"/>
      <c r="AGX2" s="354"/>
      <c r="AGY2" s="354"/>
      <c r="AGZ2" s="354"/>
      <c r="AHA2" s="354"/>
      <c r="AHB2" s="354"/>
      <c r="AHC2" s="354"/>
      <c r="AHD2" s="354"/>
      <c r="AHE2" s="354"/>
      <c r="AHF2" s="354"/>
      <c r="AHG2" s="354"/>
      <c r="AHH2" s="354"/>
      <c r="AHI2" s="354"/>
      <c r="AHJ2" s="354"/>
      <c r="AHK2" s="354"/>
      <c r="AHL2" s="354"/>
      <c r="AHM2" s="354"/>
      <c r="AHN2" s="354"/>
      <c r="AHO2" s="354"/>
      <c r="AHP2" s="354"/>
      <c r="AHQ2" s="354"/>
      <c r="AHR2" s="354"/>
      <c r="AHS2" s="354"/>
      <c r="AHT2" s="354"/>
      <c r="AHU2" s="354"/>
      <c r="AHV2" s="354"/>
      <c r="AHW2" s="354"/>
      <c r="AHX2" s="354"/>
      <c r="AHY2" s="354"/>
      <c r="AHZ2" s="354"/>
      <c r="AIA2" s="354"/>
      <c r="AIB2" s="354"/>
      <c r="AIC2" s="354"/>
      <c r="AID2" s="354"/>
      <c r="AIE2" s="354"/>
      <c r="AIF2" s="354"/>
      <c r="AIG2" s="354"/>
      <c r="AIH2" s="354"/>
      <c r="AII2" s="354"/>
      <c r="AIJ2" s="354"/>
      <c r="AIK2" s="354"/>
      <c r="AIL2" s="354"/>
      <c r="AIM2" s="354"/>
      <c r="AIN2" s="354"/>
      <c r="AIO2" s="354"/>
      <c r="AIP2" s="354"/>
      <c r="AIQ2" s="354"/>
      <c r="AIR2" s="354"/>
      <c r="AIS2" s="354"/>
      <c r="AIT2" s="354"/>
      <c r="AIU2" s="354"/>
      <c r="AIV2" s="354"/>
      <c r="AIW2" s="354"/>
      <c r="AIX2" s="354"/>
      <c r="AIY2" s="354"/>
      <c r="AIZ2" s="354"/>
      <c r="AJA2" s="354"/>
      <c r="AJB2" s="354"/>
      <c r="AJC2" s="354"/>
      <c r="AJD2" s="354"/>
      <c r="AJE2" s="354"/>
      <c r="AJF2" s="354"/>
      <c r="AJG2" s="354"/>
      <c r="AJH2" s="354"/>
      <c r="AJI2" s="354"/>
      <c r="AJJ2" s="354"/>
      <c r="AJK2" s="354"/>
      <c r="AJL2" s="354"/>
      <c r="AJM2" s="354"/>
      <c r="AJN2" s="354"/>
      <c r="AJO2" s="354"/>
      <c r="AJP2" s="354"/>
      <c r="AJQ2" s="354"/>
      <c r="AJR2" s="354"/>
      <c r="AJS2" s="354"/>
      <c r="AJT2" s="354"/>
      <c r="AJU2" s="354"/>
      <c r="AJV2" s="354"/>
      <c r="AJW2" s="354"/>
      <c r="AJX2" s="354"/>
      <c r="AJY2" s="354"/>
      <c r="AJZ2" s="354"/>
      <c r="AKA2" s="354"/>
      <c r="AKB2" s="354"/>
      <c r="AKC2" s="354"/>
      <c r="AKD2" s="354"/>
      <c r="AKE2" s="354"/>
      <c r="AKF2" s="354"/>
      <c r="AKG2" s="354"/>
      <c r="AKH2" s="354"/>
      <c r="AKI2" s="354"/>
      <c r="AKJ2" s="354"/>
      <c r="AKK2" s="354"/>
      <c r="AKL2" s="354"/>
      <c r="AKM2" s="354"/>
      <c r="AKN2" s="354"/>
      <c r="AKO2" s="354"/>
      <c r="AKP2" s="354"/>
      <c r="AKQ2" s="354"/>
      <c r="AKR2" s="354"/>
      <c r="AKS2" s="354"/>
      <c r="AKT2" s="354"/>
      <c r="AKU2" s="354"/>
      <c r="AKV2" s="354"/>
      <c r="AKW2" s="354"/>
      <c r="AKX2" s="354"/>
      <c r="AKY2" s="354"/>
      <c r="AKZ2" s="354"/>
      <c r="ALA2" s="354"/>
      <c r="ALB2" s="354"/>
      <c r="ALC2" s="354"/>
      <c r="ALD2" s="354"/>
      <c r="ALE2" s="354"/>
      <c r="ALF2" s="354"/>
      <c r="ALG2" s="354"/>
      <c r="ALH2" s="354"/>
      <c r="ALI2" s="354"/>
      <c r="ALJ2" s="354"/>
      <c r="ALK2" s="354"/>
      <c r="ALL2" s="354"/>
      <c r="ALM2" s="354"/>
      <c r="ALN2" s="354"/>
      <c r="ALO2" s="354"/>
      <c r="ALP2" s="354"/>
      <c r="ALQ2" s="354"/>
      <c r="ALR2" s="354"/>
      <c r="ALS2" s="354"/>
      <c r="ALT2" s="354"/>
      <c r="ALU2" s="354"/>
      <c r="ALV2" s="354"/>
      <c r="ALW2" s="354"/>
      <c r="ALX2" s="354"/>
      <c r="ALY2" s="354"/>
      <c r="ALZ2" s="354"/>
      <c r="AMA2" s="354"/>
      <c r="AMB2" s="354"/>
      <c r="AMC2" s="354"/>
      <c r="AMD2" s="354"/>
      <c r="AME2" s="354"/>
      <c r="AMF2" s="354"/>
      <c r="AMG2" s="354"/>
      <c r="AMH2" s="354"/>
      <c r="AMI2" s="354"/>
      <c r="AMJ2" s="354"/>
      <c r="AMK2" s="354"/>
      <c r="AML2" s="354"/>
      <c r="AMM2" s="354"/>
      <c r="AMN2" s="354"/>
      <c r="AMO2" s="354"/>
      <c r="AMP2" s="354"/>
      <c r="AMQ2" s="354"/>
      <c r="AMR2" s="354"/>
      <c r="AMS2" s="354"/>
      <c r="AMT2" s="354"/>
      <c r="AMU2" s="354"/>
      <c r="AMV2" s="354"/>
      <c r="AMW2" s="354"/>
      <c r="AMX2" s="354"/>
      <c r="AMY2" s="354"/>
      <c r="AMZ2" s="354"/>
      <c r="ANA2" s="354"/>
      <c r="ANB2" s="354"/>
      <c r="ANC2" s="354"/>
      <c r="AND2" s="354"/>
      <c r="ANE2" s="354"/>
      <c r="ANF2" s="354"/>
      <c r="ANG2" s="354"/>
      <c r="ANH2" s="354"/>
      <c r="ANI2" s="354"/>
      <c r="ANJ2" s="354"/>
      <c r="ANK2" s="354"/>
      <c r="ANL2" s="354"/>
      <c r="ANM2" s="354"/>
      <c r="ANN2" s="354"/>
      <c r="ANO2" s="354"/>
      <c r="ANP2" s="354"/>
      <c r="ANQ2" s="354"/>
      <c r="ANR2" s="354"/>
      <c r="ANS2" s="354"/>
      <c r="ANT2" s="354"/>
      <c r="ANU2" s="354"/>
      <c r="ANV2" s="354"/>
      <c r="ANW2" s="354"/>
      <c r="ANX2" s="354"/>
      <c r="ANY2" s="354"/>
      <c r="ANZ2" s="354"/>
      <c r="AOA2" s="354"/>
      <c r="AOB2" s="354"/>
      <c r="AOC2" s="354"/>
      <c r="AOD2" s="354"/>
      <c r="AOE2" s="354"/>
      <c r="AOF2" s="354"/>
      <c r="AOG2" s="354"/>
      <c r="AOH2" s="354"/>
      <c r="AOI2" s="354"/>
      <c r="AOJ2" s="354"/>
      <c r="AOK2" s="354"/>
      <c r="AOL2" s="354"/>
      <c r="AOM2" s="354"/>
      <c r="AON2" s="354"/>
      <c r="AOO2" s="354"/>
      <c r="AOP2" s="354"/>
      <c r="AOQ2" s="354"/>
      <c r="AOR2" s="354"/>
      <c r="AOS2" s="354"/>
      <c r="AOT2" s="354"/>
      <c r="AOU2" s="354"/>
      <c r="AOV2" s="354"/>
      <c r="AOW2" s="354"/>
      <c r="AOX2" s="354"/>
      <c r="AOY2" s="354"/>
      <c r="AOZ2" s="354"/>
      <c r="APA2" s="354"/>
      <c r="APB2" s="354"/>
      <c r="APC2" s="354"/>
      <c r="APD2" s="354"/>
      <c r="APE2" s="354"/>
      <c r="APF2" s="354"/>
      <c r="APG2" s="354"/>
      <c r="APH2" s="354"/>
      <c r="API2" s="354"/>
      <c r="APJ2" s="354"/>
      <c r="APK2" s="354"/>
      <c r="APL2" s="354"/>
      <c r="APM2" s="354"/>
      <c r="APN2" s="354"/>
      <c r="APO2" s="354"/>
      <c r="APP2" s="354"/>
      <c r="APQ2" s="354"/>
      <c r="APR2" s="354"/>
      <c r="APS2" s="354"/>
      <c r="APT2" s="354"/>
      <c r="APU2" s="354"/>
      <c r="APV2" s="354"/>
      <c r="APW2" s="354"/>
      <c r="APX2" s="354"/>
      <c r="APY2" s="354"/>
      <c r="APZ2" s="354"/>
      <c r="AQA2" s="354"/>
      <c r="AQB2" s="354"/>
      <c r="AQC2" s="354"/>
      <c r="AQD2" s="354"/>
      <c r="AQE2" s="354"/>
      <c r="AQF2" s="354"/>
      <c r="AQG2" s="354"/>
      <c r="AQH2" s="354"/>
      <c r="AQI2" s="354"/>
      <c r="AQJ2" s="354"/>
      <c r="AQK2" s="354"/>
      <c r="AQL2" s="354"/>
      <c r="AQM2" s="354"/>
      <c r="AQN2" s="354"/>
      <c r="AQO2" s="354"/>
      <c r="AQP2" s="354"/>
      <c r="AQQ2" s="354"/>
      <c r="AQR2" s="354"/>
      <c r="AQS2" s="354"/>
      <c r="AQT2" s="354"/>
      <c r="AQU2" s="354"/>
      <c r="AQV2" s="354"/>
      <c r="AQW2" s="354"/>
      <c r="AQX2" s="354"/>
      <c r="AQY2" s="354"/>
      <c r="AQZ2" s="354"/>
      <c r="ARA2" s="354"/>
      <c r="ARB2" s="354"/>
      <c r="ARC2" s="354"/>
      <c r="ARD2" s="354"/>
      <c r="ARE2" s="354"/>
      <c r="ARF2" s="354"/>
      <c r="ARG2" s="354"/>
      <c r="ARH2" s="354"/>
      <c r="ARI2" s="354"/>
      <c r="ARJ2" s="354"/>
      <c r="ARK2" s="354"/>
      <c r="ARL2" s="354"/>
      <c r="ARM2" s="354"/>
      <c r="ARN2" s="354"/>
      <c r="ARO2" s="354"/>
      <c r="ARP2" s="354"/>
      <c r="ARQ2" s="354"/>
      <c r="ARR2" s="354"/>
      <c r="ARS2" s="354"/>
      <c r="ART2" s="354"/>
      <c r="ARU2" s="354"/>
      <c r="ARV2" s="354"/>
      <c r="ARW2" s="354"/>
      <c r="ARX2" s="354"/>
      <c r="ARY2" s="354"/>
      <c r="ARZ2" s="354"/>
      <c r="ASA2" s="354"/>
      <c r="ASB2" s="354"/>
      <c r="ASC2" s="354"/>
      <c r="ASD2" s="354"/>
      <c r="ASE2" s="354"/>
      <c r="ASF2" s="354"/>
      <c r="ASG2" s="354"/>
      <c r="ASH2" s="354"/>
      <c r="ASI2" s="354"/>
      <c r="ASJ2" s="354"/>
      <c r="ASK2" s="354"/>
      <c r="ASL2" s="354"/>
      <c r="ASM2" s="354"/>
      <c r="ASN2" s="354"/>
      <c r="ASO2" s="354"/>
      <c r="ASP2" s="354"/>
      <c r="ASQ2" s="354"/>
      <c r="ASR2" s="354"/>
      <c r="ASS2" s="354"/>
      <c r="AST2" s="354"/>
      <c r="ASU2" s="354"/>
      <c r="ASV2" s="354"/>
      <c r="ASW2" s="354"/>
      <c r="ASX2" s="354"/>
      <c r="ASY2" s="354"/>
      <c r="ASZ2" s="354"/>
      <c r="ATA2" s="354"/>
      <c r="ATB2" s="354"/>
      <c r="ATC2" s="354"/>
      <c r="ATD2" s="354"/>
      <c r="ATE2" s="354"/>
      <c r="ATF2" s="354"/>
      <c r="ATG2" s="354"/>
      <c r="ATH2" s="354"/>
      <c r="ATI2" s="354"/>
      <c r="ATJ2" s="354"/>
      <c r="ATK2" s="354"/>
      <c r="ATL2" s="354"/>
      <c r="ATM2" s="354"/>
      <c r="ATN2" s="354"/>
      <c r="ATO2" s="354"/>
      <c r="ATP2" s="354"/>
      <c r="ATQ2" s="354"/>
      <c r="ATR2" s="354"/>
      <c r="ATS2" s="354"/>
      <c r="ATT2" s="354"/>
      <c r="ATU2" s="354"/>
      <c r="ATV2" s="354"/>
      <c r="ATW2" s="354"/>
      <c r="ATX2" s="354"/>
      <c r="ATY2" s="354"/>
      <c r="ATZ2" s="354"/>
      <c r="AUA2" s="354"/>
      <c r="AUB2" s="354"/>
      <c r="AUC2" s="354"/>
      <c r="AUD2" s="354"/>
      <c r="AUE2" s="354"/>
      <c r="AUF2" s="354"/>
      <c r="AUG2" s="354"/>
      <c r="AUH2" s="354"/>
      <c r="AUI2" s="354"/>
      <c r="AUJ2" s="354"/>
      <c r="AUK2" s="354"/>
      <c r="AUL2" s="354"/>
      <c r="AUM2" s="354"/>
      <c r="AUN2" s="354"/>
      <c r="AUO2" s="354"/>
      <c r="AUP2" s="354"/>
      <c r="AUQ2" s="354"/>
      <c r="AUR2" s="354"/>
      <c r="AUS2" s="354"/>
      <c r="AUT2" s="354"/>
      <c r="AUU2" s="354"/>
      <c r="AUV2" s="354"/>
      <c r="AUW2" s="354"/>
      <c r="AUX2" s="354"/>
      <c r="AUY2" s="354"/>
      <c r="AUZ2" s="354"/>
      <c r="AVA2" s="354"/>
      <c r="AVB2" s="354"/>
      <c r="AVC2" s="354"/>
      <c r="AVD2" s="354"/>
      <c r="AVE2" s="354"/>
      <c r="AVF2" s="354"/>
      <c r="AVG2" s="354"/>
      <c r="AVH2" s="354"/>
      <c r="AVI2" s="354"/>
      <c r="AVJ2" s="354"/>
      <c r="AVK2" s="354"/>
      <c r="AVL2" s="354"/>
      <c r="AVM2" s="354"/>
      <c r="AVN2" s="354"/>
      <c r="AVO2" s="354"/>
      <c r="AVP2" s="354"/>
      <c r="AVQ2" s="354"/>
      <c r="AVR2" s="354"/>
      <c r="AVS2" s="354"/>
      <c r="AVT2" s="354"/>
      <c r="AVU2" s="354"/>
      <c r="AVV2" s="354"/>
      <c r="AVW2" s="354"/>
      <c r="AVX2" s="354"/>
      <c r="AVY2" s="354"/>
      <c r="AVZ2" s="354"/>
      <c r="AWA2" s="354"/>
      <c r="AWB2" s="354"/>
      <c r="AWC2" s="354"/>
      <c r="AWD2" s="354"/>
      <c r="AWE2" s="354"/>
      <c r="AWF2" s="354"/>
      <c r="AWG2" s="354"/>
      <c r="AWH2" s="354"/>
      <c r="AWI2" s="354"/>
      <c r="AWJ2" s="354"/>
      <c r="AWK2" s="354"/>
      <c r="AWL2" s="354"/>
      <c r="AWM2" s="354"/>
      <c r="AWN2" s="354"/>
      <c r="AWO2" s="354"/>
      <c r="AWP2" s="354"/>
      <c r="AWQ2" s="354"/>
      <c r="AWR2" s="354"/>
      <c r="AWS2" s="354"/>
      <c r="AWT2" s="354"/>
      <c r="AWU2" s="354"/>
      <c r="AWV2" s="354"/>
      <c r="AWW2" s="354"/>
      <c r="AWX2" s="354"/>
      <c r="AWY2" s="354"/>
      <c r="AWZ2" s="354"/>
      <c r="AXA2" s="354"/>
      <c r="AXB2" s="354"/>
      <c r="AXC2" s="354"/>
      <c r="AXD2" s="354"/>
      <c r="AXE2" s="354"/>
      <c r="AXF2" s="354"/>
      <c r="AXG2" s="354"/>
      <c r="AXH2" s="354"/>
      <c r="AXI2" s="354"/>
      <c r="AXJ2" s="354"/>
      <c r="AXK2" s="354"/>
      <c r="AXL2" s="354"/>
      <c r="AXM2" s="354"/>
      <c r="AXN2" s="354"/>
      <c r="AXO2" s="354"/>
      <c r="AXP2" s="354"/>
      <c r="AXQ2" s="354"/>
      <c r="AXR2" s="354"/>
      <c r="AXS2" s="354"/>
      <c r="AXT2" s="354"/>
      <c r="AXU2" s="354"/>
      <c r="AXV2" s="354"/>
      <c r="AXW2" s="354"/>
      <c r="AXX2" s="354"/>
      <c r="AXY2" s="354"/>
      <c r="AXZ2" s="354"/>
      <c r="AYA2" s="354"/>
      <c r="AYB2" s="354"/>
      <c r="AYC2" s="354"/>
      <c r="AYD2" s="354"/>
      <c r="AYE2" s="354"/>
      <c r="AYF2" s="354"/>
      <c r="AYG2" s="354"/>
      <c r="AYH2" s="354"/>
      <c r="AYI2" s="354"/>
      <c r="AYJ2" s="354"/>
      <c r="AYK2" s="354"/>
      <c r="AYL2" s="354"/>
      <c r="AYM2" s="354"/>
      <c r="AYN2" s="354"/>
      <c r="AYO2" s="354"/>
      <c r="AYP2" s="354"/>
      <c r="AYQ2" s="354"/>
      <c r="AYR2" s="354"/>
      <c r="AYS2" s="354"/>
      <c r="AYT2" s="354"/>
      <c r="AYU2" s="354"/>
      <c r="AYV2" s="354"/>
      <c r="AYW2" s="354"/>
      <c r="AYX2" s="354"/>
      <c r="AYY2" s="354"/>
      <c r="AYZ2" s="354"/>
      <c r="AZA2" s="354"/>
      <c r="AZB2" s="354"/>
      <c r="AZC2" s="354"/>
      <c r="AZD2" s="354"/>
      <c r="AZE2" s="354"/>
      <c r="AZF2" s="354"/>
      <c r="AZG2" s="354"/>
      <c r="AZH2" s="354"/>
      <c r="AZI2" s="354"/>
      <c r="AZJ2" s="354"/>
      <c r="AZK2" s="354"/>
      <c r="AZL2" s="354"/>
      <c r="AZM2" s="354"/>
      <c r="AZN2" s="354"/>
      <c r="AZO2" s="354"/>
      <c r="AZP2" s="354"/>
      <c r="AZQ2" s="354"/>
      <c r="AZR2" s="354"/>
      <c r="AZS2" s="354"/>
      <c r="AZT2" s="354"/>
      <c r="AZU2" s="354"/>
      <c r="AZV2" s="354"/>
      <c r="AZW2" s="354"/>
      <c r="AZX2" s="354"/>
      <c r="AZY2" s="354"/>
      <c r="AZZ2" s="354"/>
      <c r="BAA2" s="354"/>
      <c r="BAB2" s="354"/>
      <c r="BAC2" s="354"/>
      <c r="BAD2" s="354"/>
      <c r="BAE2" s="354"/>
      <c r="BAF2" s="354"/>
      <c r="BAG2" s="354"/>
      <c r="BAH2" s="354"/>
      <c r="BAI2" s="354"/>
      <c r="BAJ2" s="354"/>
      <c r="BAK2" s="354"/>
      <c r="BAL2" s="354"/>
      <c r="BAM2" s="354"/>
      <c r="BAN2" s="354"/>
      <c r="BAO2" s="354"/>
      <c r="BAP2" s="354"/>
      <c r="BAQ2" s="354"/>
      <c r="BAR2" s="354"/>
      <c r="BAS2" s="354"/>
      <c r="BAT2" s="354"/>
      <c r="BAU2" s="354"/>
      <c r="BAV2" s="354"/>
      <c r="BAW2" s="354"/>
      <c r="BAX2" s="354"/>
      <c r="BAY2" s="354"/>
      <c r="BAZ2" s="354"/>
      <c r="BBA2" s="354"/>
      <c r="BBB2" s="354"/>
      <c r="BBC2" s="354"/>
      <c r="BBD2" s="354"/>
      <c r="BBE2" s="354"/>
      <c r="BBF2" s="354"/>
      <c r="BBG2" s="354"/>
      <c r="BBH2" s="354"/>
      <c r="BBI2" s="354"/>
      <c r="BBJ2" s="354"/>
      <c r="BBK2" s="354"/>
      <c r="BBL2" s="354"/>
      <c r="BBM2" s="354"/>
      <c r="BBN2" s="354"/>
      <c r="BBO2" s="354"/>
      <c r="BBP2" s="354"/>
      <c r="BBQ2" s="354"/>
      <c r="BBR2" s="354"/>
      <c r="BBS2" s="354"/>
      <c r="BBT2" s="354"/>
      <c r="BBU2" s="354"/>
      <c r="BBV2" s="354"/>
      <c r="BBW2" s="354"/>
      <c r="BBX2" s="354"/>
      <c r="BBY2" s="354"/>
      <c r="BBZ2" s="354"/>
      <c r="BCA2" s="354"/>
      <c r="BCB2" s="354"/>
      <c r="BCC2" s="354"/>
      <c r="BCD2" s="354"/>
      <c r="BCE2" s="354"/>
      <c r="BCF2" s="354"/>
      <c r="BCG2" s="354"/>
      <c r="BCH2" s="354"/>
      <c r="BCI2" s="354"/>
      <c r="BCJ2" s="354"/>
      <c r="BCK2" s="354"/>
      <c r="BCL2" s="354"/>
      <c r="BCM2" s="354"/>
      <c r="BCN2" s="354"/>
      <c r="BCO2" s="354"/>
      <c r="BCP2" s="354"/>
      <c r="BCQ2" s="354"/>
      <c r="BCR2" s="354"/>
      <c r="BCS2" s="354"/>
      <c r="BCT2" s="354"/>
      <c r="BCU2" s="354"/>
      <c r="BCV2" s="354"/>
      <c r="BCW2" s="354"/>
      <c r="BCX2" s="354"/>
      <c r="BCY2" s="354"/>
      <c r="BCZ2" s="354"/>
      <c r="BDA2" s="354"/>
      <c r="BDB2" s="354"/>
      <c r="BDC2" s="354"/>
      <c r="BDD2" s="354"/>
      <c r="BDE2" s="354"/>
      <c r="BDF2" s="354"/>
      <c r="BDG2" s="354"/>
      <c r="BDH2" s="354"/>
      <c r="BDI2" s="354"/>
      <c r="BDJ2" s="354"/>
      <c r="BDK2" s="354"/>
      <c r="BDL2" s="354"/>
      <c r="BDM2" s="354"/>
      <c r="BDN2" s="354"/>
      <c r="BDO2" s="354"/>
      <c r="BDP2" s="354"/>
      <c r="BDQ2" s="354"/>
      <c r="BDR2" s="354"/>
      <c r="BDS2" s="354"/>
      <c r="BDT2" s="354"/>
      <c r="BDU2" s="354"/>
      <c r="BDV2" s="354"/>
      <c r="BDW2" s="354"/>
      <c r="BDX2" s="354"/>
      <c r="BDY2" s="354"/>
      <c r="BDZ2" s="354"/>
      <c r="BEA2" s="354"/>
      <c r="BEB2" s="354"/>
      <c r="BEC2" s="354"/>
      <c r="BED2" s="354"/>
      <c r="BEE2" s="354"/>
      <c r="BEF2" s="354"/>
      <c r="BEG2" s="354"/>
      <c r="BEH2" s="354"/>
      <c r="BEI2" s="354"/>
      <c r="BEJ2" s="354"/>
      <c r="BEK2" s="354"/>
      <c r="BEL2" s="354"/>
      <c r="BEM2" s="354"/>
      <c r="BEN2" s="354"/>
      <c r="BEO2" s="354"/>
      <c r="BEP2" s="354"/>
      <c r="BEQ2" s="354"/>
      <c r="BER2" s="354"/>
      <c r="BES2" s="354"/>
      <c r="BET2" s="354"/>
      <c r="BEU2" s="354"/>
      <c r="BEV2" s="354"/>
      <c r="BEW2" s="354"/>
      <c r="BEX2" s="354"/>
      <c r="BEY2" s="354"/>
      <c r="BEZ2" s="354"/>
      <c r="BFA2" s="354"/>
      <c r="BFB2" s="354"/>
      <c r="BFC2" s="354"/>
      <c r="BFD2" s="354"/>
      <c r="BFE2" s="354"/>
      <c r="BFF2" s="354"/>
      <c r="BFG2" s="354"/>
      <c r="BFH2" s="354"/>
      <c r="BFI2" s="354"/>
      <c r="BFJ2" s="354"/>
      <c r="BFK2" s="354"/>
      <c r="BFL2" s="354"/>
      <c r="BFM2" s="354"/>
      <c r="BFN2" s="354"/>
      <c r="BFO2" s="354"/>
      <c r="BFP2" s="354"/>
      <c r="BFQ2" s="354"/>
      <c r="BFR2" s="354"/>
      <c r="BFS2" s="354"/>
      <c r="BFT2" s="354"/>
      <c r="BFU2" s="354"/>
      <c r="BFV2" s="354"/>
      <c r="BFW2" s="354"/>
      <c r="BFX2" s="354"/>
      <c r="BFY2" s="354"/>
      <c r="BFZ2" s="354"/>
      <c r="BGA2" s="354"/>
      <c r="BGB2" s="354"/>
      <c r="BGC2" s="354"/>
      <c r="BGD2" s="354"/>
      <c r="BGE2" s="354"/>
      <c r="BGF2" s="354"/>
      <c r="BGG2" s="354"/>
      <c r="BGH2" s="354"/>
      <c r="BGI2" s="354"/>
      <c r="BGJ2" s="354"/>
      <c r="BGK2" s="354"/>
      <c r="BGL2" s="354"/>
      <c r="BGM2" s="354"/>
      <c r="BGN2" s="354"/>
      <c r="BGO2" s="354"/>
      <c r="BGP2" s="354"/>
      <c r="BGQ2" s="354"/>
      <c r="BGR2" s="354"/>
      <c r="BGS2" s="354"/>
      <c r="BGT2" s="354"/>
      <c r="BGU2" s="354"/>
      <c r="BGV2" s="354"/>
      <c r="BGW2" s="354"/>
      <c r="BGX2" s="354"/>
      <c r="BGY2" s="354"/>
      <c r="BGZ2" s="354"/>
      <c r="BHA2" s="354"/>
      <c r="BHB2" s="354"/>
      <c r="BHC2" s="354"/>
      <c r="BHD2" s="354"/>
      <c r="BHE2" s="354"/>
      <c r="BHF2" s="354"/>
      <c r="BHG2" s="354"/>
      <c r="BHH2" s="354"/>
      <c r="BHI2" s="354"/>
      <c r="BHJ2" s="354"/>
      <c r="BHK2" s="354"/>
      <c r="BHL2" s="354"/>
      <c r="BHM2" s="354"/>
      <c r="BHN2" s="354"/>
      <c r="BHO2" s="354"/>
      <c r="BHP2" s="354"/>
      <c r="BHQ2" s="354"/>
      <c r="BHR2" s="354"/>
      <c r="BHS2" s="354"/>
      <c r="BHT2" s="354"/>
      <c r="BHU2" s="354"/>
      <c r="BHV2" s="354"/>
      <c r="BHW2" s="354"/>
      <c r="BHX2" s="354"/>
      <c r="BHY2" s="354"/>
      <c r="BHZ2" s="354"/>
      <c r="BIA2" s="354"/>
      <c r="BIB2" s="354"/>
      <c r="BIC2" s="354"/>
      <c r="BID2" s="354"/>
      <c r="BIE2" s="354"/>
      <c r="BIF2" s="354"/>
      <c r="BIG2" s="354"/>
      <c r="BIH2" s="354"/>
      <c r="BII2" s="354"/>
      <c r="BIJ2" s="354"/>
      <c r="BIK2" s="354"/>
      <c r="BIL2" s="354"/>
      <c r="BIM2" s="354"/>
      <c r="BIN2" s="354"/>
      <c r="BIO2" s="354"/>
      <c r="BIP2" s="354"/>
      <c r="BIQ2" s="354"/>
      <c r="BIR2" s="354"/>
      <c r="BIS2" s="354"/>
      <c r="BIT2" s="354"/>
      <c r="BIU2" s="354"/>
      <c r="BIV2" s="354"/>
      <c r="BIW2" s="354"/>
      <c r="BIX2" s="354"/>
      <c r="BIY2" s="354"/>
      <c r="BIZ2" s="354"/>
      <c r="BJA2" s="354"/>
      <c r="BJB2" s="354"/>
      <c r="BJC2" s="354"/>
      <c r="BJD2" s="354"/>
      <c r="BJE2" s="354"/>
      <c r="BJF2" s="354"/>
      <c r="BJG2" s="354"/>
      <c r="BJH2" s="354"/>
      <c r="BJI2" s="354"/>
      <c r="BJJ2" s="354"/>
      <c r="BJK2" s="354"/>
      <c r="BJL2" s="354"/>
      <c r="BJM2" s="354"/>
      <c r="BJN2" s="354"/>
      <c r="BJO2" s="354"/>
      <c r="BJP2" s="354"/>
      <c r="BJQ2" s="354"/>
      <c r="BJR2" s="354"/>
      <c r="BJS2" s="354"/>
      <c r="BJT2" s="354"/>
      <c r="BJU2" s="354"/>
      <c r="BJV2" s="354"/>
      <c r="BJW2" s="354"/>
      <c r="BJX2" s="354"/>
      <c r="BJY2" s="354"/>
      <c r="BJZ2" s="354"/>
      <c r="BKA2" s="354"/>
      <c r="BKB2" s="354"/>
      <c r="BKC2" s="354"/>
      <c r="BKD2" s="354"/>
      <c r="BKE2" s="354"/>
      <c r="BKF2" s="354"/>
      <c r="BKG2" s="354"/>
      <c r="BKH2" s="354"/>
      <c r="BKI2" s="354"/>
      <c r="BKJ2" s="354"/>
      <c r="BKK2" s="354"/>
      <c r="BKL2" s="354"/>
      <c r="BKM2" s="354"/>
      <c r="BKN2" s="354"/>
      <c r="BKO2" s="354"/>
      <c r="BKP2" s="354"/>
      <c r="BKQ2" s="354"/>
      <c r="BKR2" s="354"/>
      <c r="BKS2" s="354"/>
      <c r="BKT2" s="354"/>
      <c r="BKU2" s="354"/>
      <c r="BKV2" s="354"/>
      <c r="BKW2" s="354"/>
      <c r="BKX2" s="354"/>
      <c r="BKY2" s="354"/>
      <c r="BKZ2" s="354"/>
      <c r="BLA2" s="354"/>
      <c r="BLB2" s="354"/>
      <c r="BLC2" s="354"/>
      <c r="BLD2" s="354"/>
      <c r="BLE2" s="354"/>
      <c r="BLF2" s="354"/>
      <c r="BLG2" s="354"/>
      <c r="BLH2" s="354"/>
      <c r="BLI2" s="354"/>
      <c r="BLJ2" s="354"/>
      <c r="BLK2" s="354"/>
      <c r="BLL2" s="354"/>
      <c r="BLM2" s="354"/>
      <c r="BLN2" s="354"/>
      <c r="BLO2" s="354"/>
      <c r="BLP2" s="354"/>
      <c r="BLQ2" s="354"/>
      <c r="BLR2" s="354"/>
      <c r="BLS2" s="354"/>
      <c r="BLT2" s="354"/>
      <c r="BLU2" s="354"/>
      <c r="BLV2" s="354"/>
      <c r="BLW2" s="354"/>
      <c r="BLX2" s="354"/>
      <c r="BLY2" s="354"/>
      <c r="BLZ2" s="354"/>
      <c r="BMA2" s="354"/>
      <c r="BMB2" s="354"/>
      <c r="BMC2" s="354"/>
      <c r="BMD2" s="354"/>
      <c r="BME2" s="354"/>
      <c r="BMF2" s="354"/>
      <c r="BMG2" s="354"/>
      <c r="BMH2" s="354"/>
      <c r="BMI2" s="354"/>
      <c r="BMJ2" s="354"/>
      <c r="BMK2" s="354"/>
      <c r="BML2" s="354"/>
      <c r="BMM2" s="354"/>
      <c r="BMN2" s="354"/>
      <c r="BMO2" s="354"/>
      <c r="BMP2" s="354"/>
      <c r="BMQ2" s="354"/>
      <c r="BMR2" s="354"/>
      <c r="BMS2" s="354"/>
      <c r="BMT2" s="354"/>
      <c r="BMU2" s="354"/>
      <c r="BMV2" s="354"/>
      <c r="BMW2" s="354"/>
      <c r="BMX2" s="354"/>
      <c r="BMY2" s="354"/>
      <c r="BMZ2" s="354"/>
      <c r="BNA2" s="354"/>
      <c r="BNB2" s="354"/>
      <c r="BNC2" s="354"/>
      <c r="BND2" s="354"/>
      <c r="BNE2" s="354"/>
      <c r="BNF2" s="354"/>
      <c r="BNG2" s="354"/>
      <c r="BNH2" s="354"/>
      <c r="BNI2" s="354"/>
      <c r="BNJ2" s="354"/>
      <c r="BNK2" s="354"/>
      <c r="BNL2" s="354"/>
      <c r="BNM2" s="354"/>
      <c r="BNN2" s="354"/>
      <c r="BNO2" s="354"/>
      <c r="BNP2" s="354"/>
      <c r="BNQ2" s="354"/>
      <c r="BNR2" s="354"/>
      <c r="BNS2" s="354"/>
      <c r="BNT2" s="354"/>
      <c r="BNU2" s="354"/>
      <c r="BNV2" s="354"/>
      <c r="BNW2" s="354"/>
      <c r="BNX2" s="354"/>
      <c r="BNY2" s="354"/>
      <c r="BNZ2" s="354"/>
      <c r="BOA2" s="354"/>
      <c r="BOB2" s="354"/>
      <c r="BOC2" s="354"/>
      <c r="BOD2" s="354"/>
      <c r="BOE2" s="354"/>
      <c r="BOF2" s="354"/>
      <c r="BOG2" s="354"/>
      <c r="BOH2" s="354"/>
      <c r="BOI2" s="354"/>
      <c r="BOJ2" s="354"/>
      <c r="BOK2" s="354"/>
      <c r="BOL2" s="354"/>
      <c r="BOM2" s="354"/>
      <c r="BON2" s="354"/>
      <c r="BOO2" s="354"/>
      <c r="BOP2" s="354"/>
      <c r="BOQ2" s="354"/>
      <c r="BOR2" s="354"/>
      <c r="BOS2" s="354"/>
      <c r="BOT2" s="354"/>
      <c r="BOU2" s="354"/>
      <c r="BOV2" s="354"/>
      <c r="BOW2" s="354"/>
      <c r="BOX2" s="354"/>
      <c r="BOY2" s="354"/>
      <c r="BOZ2" s="354"/>
      <c r="BPA2" s="354"/>
      <c r="BPB2" s="354"/>
      <c r="BPC2" s="354"/>
      <c r="BPD2" s="354"/>
      <c r="BPE2" s="354"/>
      <c r="BPF2" s="354"/>
      <c r="BPG2" s="354"/>
      <c r="BPH2" s="354"/>
      <c r="BPI2" s="354"/>
      <c r="BPJ2" s="354"/>
      <c r="BPK2" s="354"/>
      <c r="BPL2" s="354"/>
      <c r="BPM2" s="354"/>
      <c r="BPN2" s="354"/>
      <c r="BPO2" s="354"/>
      <c r="BPP2" s="354"/>
      <c r="BPQ2" s="354"/>
      <c r="BPR2" s="354"/>
      <c r="BPS2" s="354"/>
      <c r="BPT2" s="354"/>
      <c r="BPU2" s="354"/>
      <c r="BPV2" s="354"/>
      <c r="BPW2" s="354"/>
      <c r="BPX2" s="354"/>
      <c r="BPY2" s="354"/>
      <c r="BPZ2" s="354"/>
      <c r="BQA2" s="354"/>
      <c r="BQB2" s="354"/>
      <c r="BQC2" s="354"/>
      <c r="BQD2" s="354"/>
      <c r="BQE2" s="354"/>
      <c r="BQF2" s="354"/>
      <c r="BQG2" s="354"/>
      <c r="BQH2" s="354"/>
      <c r="BQI2" s="354"/>
      <c r="BQJ2" s="354"/>
      <c r="BQK2" s="354"/>
      <c r="BQL2" s="354"/>
      <c r="BQM2" s="354"/>
      <c r="BQN2" s="354"/>
      <c r="BQO2" s="354"/>
      <c r="BQP2" s="354"/>
      <c r="BQQ2" s="354"/>
      <c r="BQR2" s="354"/>
      <c r="BQS2" s="354"/>
      <c r="BQT2" s="354"/>
      <c r="BQU2" s="354"/>
      <c r="BQV2" s="354"/>
      <c r="BQW2" s="354"/>
      <c r="BQX2" s="354"/>
      <c r="BQY2" s="354"/>
      <c r="BQZ2" s="354"/>
      <c r="BRA2" s="354"/>
      <c r="BRB2" s="354"/>
      <c r="BRC2" s="354"/>
      <c r="BRD2" s="354"/>
      <c r="BRE2" s="354"/>
      <c r="BRF2" s="354"/>
      <c r="BRG2" s="354"/>
      <c r="BRH2" s="354"/>
      <c r="BRI2" s="354"/>
      <c r="BRJ2" s="354"/>
      <c r="BRK2" s="354"/>
      <c r="BRL2" s="354"/>
      <c r="BRM2" s="354"/>
      <c r="BRN2" s="354"/>
      <c r="BRO2" s="354"/>
      <c r="BRP2" s="354"/>
      <c r="BRQ2" s="354"/>
      <c r="BRR2" s="354"/>
      <c r="BRS2" s="354"/>
      <c r="BRT2" s="354"/>
      <c r="BRU2" s="354"/>
      <c r="BRV2" s="354"/>
      <c r="BRW2" s="354"/>
      <c r="BRX2" s="354"/>
      <c r="BRY2" s="354"/>
      <c r="BRZ2" s="354"/>
      <c r="BSA2" s="354"/>
      <c r="BSB2" s="354"/>
      <c r="BSC2" s="354"/>
      <c r="BSD2" s="354"/>
      <c r="BSE2" s="354"/>
      <c r="BSF2" s="354"/>
      <c r="BSG2" s="354"/>
      <c r="BSH2" s="354"/>
      <c r="BSI2" s="354"/>
      <c r="BSJ2" s="354"/>
      <c r="BSK2" s="354"/>
      <c r="BSL2" s="354"/>
      <c r="BSM2" s="354"/>
      <c r="BSN2" s="354"/>
      <c r="BSO2" s="354"/>
      <c r="BSP2" s="354"/>
      <c r="BSQ2" s="354"/>
      <c r="BSR2" s="354"/>
      <c r="BSS2" s="354"/>
      <c r="BST2" s="354"/>
      <c r="BSU2" s="354"/>
      <c r="BSV2" s="354"/>
      <c r="BSW2" s="354"/>
      <c r="BSX2" s="354"/>
      <c r="BSY2" s="354"/>
      <c r="BSZ2" s="354"/>
      <c r="BTA2" s="354"/>
      <c r="BTB2" s="354"/>
      <c r="BTC2" s="354"/>
      <c r="BTD2" s="354"/>
      <c r="BTE2" s="354"/>
      <c r="BTF2" s="354"/>
      <c r="BTG2" s="354"/>
      <c r="BTH2" s="354"/>
      <c r="BTI2" s="354"/>
      <c r="BTJ2" s="354"/>
      <c r="BTK2" s="354"/>
      <c r="BTL2" s="354"/>
      <c r="BTM2" s="354"/>
      <c r="BTN2" s="354"/>
      <c r="BTO2" s="354"/>
      <c r="BTP2" s="354"/>
      <c r="BTQ2" s="354"/>
      <c r="BTR2" s="354"/>
      <c r="BTS2" s="354"/>
      <c r="BTT2" s="354"/>
      <c r="BTU2" s="354"/>
      <c r="BTV2" s="354"/>
      <c r="BTW2" s="354"/>
      <c r="BTX2" s="354"/>
      <c r="BTY2" s="354"/>
      <c r="BTZ2" s="354"/>
      <c r="BUA2" s="354"/>
      <c r="BUB2" s="354"/>
      <c r="BUC2" s="354"/>
      <c r="BUD2" s="354"/>
      <c r="BUE2" s="354"/>
      <c r="BUF2" s="354"/>
      <c r="BUG2" s="354"/>
      <c r="BUH2" s="354"/>
      <c r="BUI2" s="354"/>
      <c r="BUJ2" s="354"/>
      <c r="BUK2" s="354"/>
      <c r="BUL2" s="354"/>
      <c r="BUM2" s="354"/>
      <c r="BUN2" s="354"/>
      <c r="BUO2" s="354"/>
      <c r="BUP2" s="354"/>
      <c r="BUQ2" s="354"/>
      <c r="BUR2" s="354"/>
      <c r="BUS2" s="354"/>
      <c r="BUT2" s="354"/>
      <c r="BUU2" s="354"/>
      <c r="BUV2" s="354"/>
      <c r="BUW2" s="354"/>
      <c r="BUX2" s="354"/>
      <c r="BUY2" s="354"/>
      <c r="BUZ2" s="354"/>
      <c r="BVA2" s="354"/>
      <c r="BVB2" s="354"/>
      <c r="BVC2" s="354"/>
      <c r="BVD2" s="354"/>
      <c r="BVE2" s="354"/>
      <c r="BVF2" s="354"/>
      <c r="BVG2" s="354"/>
      <c r="BVH2" s="354"/>
      <c r="BVI2" s="354"/>
      <c r="BVJ2" s="354"/>
      <c r="BVK2" s="354"/>
      <c r="BVL2" s="354"/>
      <c r="BVM2" s="354"/>
      <c r="BVN2" s="354"/>
      <c r="BVO2" s="354"/>
      <c r="BVP2" s="354"/>
      <c r="BVQ2" s="354"/>
      <c r="BVR2" s="354"/>
      <c r="BVS2" s="354"/>
      <c r="BVT2" s="354"/>
      <c r="BVU2" s="354"/>
      <c r="BVV2" s="354"/>
      <c r="BVW2" s="354"/>
      <c r="BVX2" s="354"/>
      <c r="BVY2" s="354"/>
      <c r="BVZ2" s="354"/>
      <c r="BWA2" s="354"/>
      <c r="BWB2" s="354"/>
      <c r="BWC2" s="354"/>
      <c r="BWD2" s="354"/>
      <c r="BWE2" s="354"/>
      <c r="BWF2" s="354"/>
      <c r="BWG2" s="354"/>
      <c r="BWH2" s="354"/>
      <c r="BWI2" s="354"/>
      <c r="BWJ2" s="354"/>
      <c r="BWK2" s="354"/>
      <c r="BWL2" s="354"/>
      <c r="BWM2" s="354"/>
      <c r="BWN2" s="354"/>
      <c r="BWO2" s="354"/>
      <c r="BWP2" s="354"/>
      <c r="BWQ2" s="354"/>
      <c r="BWR2" s="354"/>
      <c r="BWS2" s="354"/>
      <c r="BWT2" s="354"/>
      <c r="BWU2" s="354"/>
      <c r="BWV2" s="354"/>
      <c r="BWW2" s="354"/>
      <c r="BWX2" s="354"/>
      <c r="BWY2" s="354"/>
      <c r="BWZ2" s="354"/>
      <c r="BXA2" s="354"/>
      <c r="BXB2" s="354"/>
      <c r="BXC2" s="354"/>
      <c r="BXD2" s="354"/>
      <c r="BXE2" s="354"/>
      <c r="BXF2" s="354"/>
      <c r="BXG2" s="354"/>
      <c r="BXH2" s="354"/>
      <c r="BXI2" s="354"/>
      <c r="BXJ2" s="354"/>
      <c r="BXK2" s="354"/>
      <c r="BXL2" s="354"/>
      <c r="BXM2" s="354"/>
      <c r="BXN2" s="354"/>
      <c r="BXO2" s="354"/>
      <c r="BXP2" s="354"/>
      <c r="BXQ2" s="354"/>
      <c r="BXR2" s="354"/>
      <c r="BXS2" s="354"/>
      <c r="BXT2" s="354"/>
      <c r="BXU2" s="354"/>
      <c r="BXV2" s="354"/>
      <c r="BXW2" s="354"/>
      <c r="BXX2" s="354"/>
      <c r="BXY2" s="354"/>
      <c r="BXZ2" s="354"/>
      <c r="BYA2" s="354"/>
      <c r="BYB2" s="354"/>
      <c r="BYC2" s="354"/>
      <c r="BYD2" s="354"/>
      <c r="BYE2" s="354"/>
      <c r="BYF2" s="354"/>
      <c r="BYG2" s="354"/>
      <c r="BYH2" s="354"/>
      <c r="BYI2" s="354"/>
      <c r="BYJ2" s="354"/>
      <c r="BYK2" s="354"/>
      <c r="BYL2" s="354"/>
      <c r="BYM2" s="354"/>
      <c r="BYN2" s="354"/>
      <c r="BYO2" s="354"/>
      <c r="BYP2" s="354"/>
      <c r="BYQ2" s="354"/>
      <c r="BYR2" s="354"/>
      <c r="BYS2" s="354"/>
      <c r="BYT2" s="354"/>
      <c r="BYU2" s="354"/>
      <c r="BYV2" s="354"/>
      <c r="BYW2" s="354"/>
      <c r="BYX2" s="354"/>
      <c r="BYY2" s="354"/>
      <c r="BYZ2" s="354"/>
      <c r="BZA2" s="354"/>
      <c r="BZB2" s="354"/>
      <c r="BZC2" s="354"/>
      <c r="BZD2" s="354"/>
      <c r="BZE2" s="354"/>
      <c r="BZF2" s="354"/>
      <c r="BZG2" s="354"/>
      <c r="BZH2" s="354"/>
      <c r="BZI2" s="354"/>
      <c r="BZJ2" s="354"/>
      <c r="BZK2" s="354"/>
      <c r="BZL2" s="354"/>
      <c r="BZM2" s="354"/>
      <c r="BZN2" s="354"/>
      <c r="BZO2" s="354"/>
      <c r="BZP2" s="354"/>
      <c r="BZQ2" s="354"/>
      <c r="BZR2" s="354"/>
      <c r="BZS2" s="354"/>
      <c r="BZT2" s="354"/>
      <c r="BZU2" s="354"/>
      <c r="BZV2" s="354"/>
      <c r="BZW2" s="354"/>
      <c r="BZX2" s="354"/>
      <c r="BZY2" s="354"/>
      <c r="BZZ2" s="354"/>
      <c r="CAA2" s="354"/>
      <c r="CAB2" s="354"/>
      <c r="CAC2" s="354"/>
      <c r="CAD2" s="354"/>
      <c r="CAE2" s="354"/>
      <c r="CAF2" s="354"/>
      <c r="CAG2" s="354"/>
      <c r="CAH2" s="354"/>
      <c r="CAI2" s="354"/>
      <c r="CAJ2" s="354"/>
      <c r="CAK2" s="354"/>
      <c r="CAL2" s="354"/>
      <c r="CAM2" s="354"/>
      <c r="CAN2" s="354"/>
      <c r="CAO2" s="354"/>
      <c r="CAP2" s="354"/>
      <c r="CAQ2" s="354"/>
      <c r="CAR2" s="354"/>
      <c r="CAS2" s="354"/>
      <c r="CAT2" s="354"/>
      <c r="CAU2" s="354"/>
      <c r="CAV2" s="354"/>
      <c r="CAW2" s="354"/>
      <c r="CAX2" s="354"/>
      <c r="CAY2" s="354"/>
      <c r="CAZ2" s="354"/>
      <c r="CBA2" s="354"/>
      <c r="CBB2" s="354"/>
      <c r="CBC2" s="354"/>
      <c r="CBD2" s="354"/>
      <c r="CBE2" s="354"/>
      <c r="CBF2" s="354"/>
      <c r="CBG2" s="354"/>
      <c r="CBH2" s="354"/>
      <c r="CBI2" s="354"/>
      <c r="CBJ2" s="354"/>
      <c r="CBK2" s="354"/>
      <c r="CBL2" s="354"/>
      <c r="CBM2" s="354"/>
      <c r="CBN2" s="354"/>
      <c r="CBO2" s="354"/>
      <c r="CBP2" s="354"/>
      <c r="CBQ2" s="354"/>
      <c r="CBR2" s="354"/>
      <c r="CBS2" s="354"/>
      <c r="CBT2" s="354"/>
      <c r="CBU2" s="354"/>
      <c r="CBV2" s="354"/>
      <c r="CBW2" s="354"/>
      <c r="CBX2" s="354"/>
      <c r="CBY2" s="354"/>
      <c r="CBZ2" s="354"/>
      <c r="CCA2" s="354"/>
      <c r="CCB2" s="354"/>
      <c r="CCC2" s="354"/>
      <c r="CCD2" s="354"/>
      <c r="CCE2" s="354"/>
      <c r="CCF2" s="354"/>
      <c r="CCG2" s="354"/>
      <c r="CCH2" s="354"/>
      <c r="CCI2" s="354"/>
      <c r="CCJ2" s="354"/>
      <c r="CCK2" s="354"/>
      <c r="CCL2" s="354"/>
      <c r="CCM2" s="354"/>
      <c r="CCN2" s="354"/>
      <c r="CCO2" s="354"/>
      <c r="CCP2" s="354"/>
      <c r="CCQ2" s="354"/>
      <c r="CCR2" s="354"/>
      <c r="CCS2" s="354"/>
      <c r="CCT2" s="354"/>
      <c r="CCU2" s="354"/>
      <c r="CCV2" s="354"/>
      <c r="CCW2" s="354"/>
      <c r="CCX2" s="354"/>
      <c r="CCY2" s="354"/>
      <c r="CCZ2" s="354"/>
      <c r="CDA2" s="354"/>
      <c r="CDB2" s="354"/>
      <c r="CDC2" s="354"/>
      <c r="CDD2" s="354"/>
      <c r="CDE2" s="354"/>
      <c r="CDF2" s="354"/>
      <c r="CDG2" s="354"/>
      <c r="CDH2" s="354"/>
      <c r="CDI2" s="354"/>
      <c r="CDJ2" s="354"/>
      <c r="CDK2" s="354"/>
      <c r="CDL2" s="354"/>
      <c r="CDM2" s="354"/>
      <c r="CDN2" s="354"/>
      <c r="CDO2" s="354"/>
      <c r="CDP2" s="354"/>
      <c r="CDQ2" s="354"/>
      <c r="CDR2" s="354"/>
      <c r="CDS2" s="354"/>
      <c r="CDT2" s="354"/>
      <c r="CDU2" s="354"/>
      <c r="CDV2" s="354"/>
      <c r="CDW2" s="354"/>
      <c r="CDX2" s="354"/>
      <c r="CDY2" s="354"/>
      <c r="CDZ2" s="354"/>
      <c r="CEA2" s="354"/>
      <c r="CEB2" s="354"/>
      <c r="CEC2" s="354"/>
      <c r="CED2" s="354"/>
      <c r="CEE2" s="354"/>
      <c r="CEF2" s="354"/>
      <c r="CEG2" s="354"/>
      <c r="CEH2" s="354"/>
      <c r="CEI2" s="354"/>
      <c r="CEJ2" s="354"/>
      <c r="CEK2" s="354"/>
      <c r="CEL2" s="354"/>
      <c r="CEM2" s="354"/>
      <c r="CEN2" s="354"/>
      <c r="CEO2" s="354"/>
      <c r="CEP2" s="354"/>
      <c r="CEQ2" s="354"/>
      <c r="CER2" s="354"/>
      <c r="CES2" s="354"/>
      <c r="CET2" s="354"/>
      <c r="CEU2" s="354"/>
      <c r="CEV2" s="354"/>
      <c r="CEW2" s="354"/>
      <c r="CEX2" s="354"/>
      <c r="CEY2" s="354"/>
      <c r="CEZ2" s="354"/>
      <c r="CFA2" s="354"/>
      <c r="CFB2" s="354"/>
      <c r="CFC2" s="354"/>
      <c r="CFD2" s="354"/>
      <c r="CFE2" s="354"/>
      <c r="CFF2" s="354"/>
      <c r="CFG2" s="354"/>
      <c r="CFH2" s="354"/>
      <c r="CFI2" s="354"/>
      <c r="CFJ2" s="354"/>
      <c r="CFK2" s="354"/>
      <c r="CFL2" s="354"/>
      <c r="CFM2" s="354"/>
      <c r="CFN2" s="354"/>
      <c r="CFO2" s="354"/>
      <c r="CFP2" s="354"/>
      <c r="CFQ2" s="354"/>
      <c r="CFR2" s="354"/>
      <c r="CFS2" s="354"/>
      <c r="CFT2" s="354"/>
      <c r="CFU2" s="354"/>
      <c r="CFV2" s="354"/>
      <c r="CFW2" s="354"/>
      <c r="CFX2" s="354"/>
      <c r="CFY2" s="354"/>
      <c r="CFZ2" s="354"/>
      <c r="CGA2" s="354"/>
      <c r="CGB2" s="354"/>
      <c r="CGC2" s="354"/>
      <c r="CGD2" s="354"/>
      <c r="CGE2" s="354"/>
      <c r="CGF2" s="354"/>
      <c r="CGG2" s="354"/>
      <c r="CGH2" s="354"/>
      <c r="CGI2" s="354"/>
      <c r="CGJ2" s="354"/>
      <c r="CGK2" s="354"/>
      <c r="CGL2" s="354"/>
      <c r="CGM2" s="354"/>
      <c r="CGN2" s="354"/>
      <c r="CGO2" s="354"/>
      <c r="CGP2" s="354"/>
      <c r="CGQ2" s="354"/>
      <c r="CGR2" s="354"/>
      <c r="CGS2" s="354"/>
      <c r="CGT2" s="354"/>
      <c r="CGU2" s="354"/>
      <c r="CGV2" s="354"/>
      <c r="CGW2" s="354"/>
      <c r="CGX2" s="354"/>
      <c r="CGY2" s="354"/>
      <c r="CGZ2" s="354"/>
      <c r="CHA2" s="354"/>
      <c r="CHB2" s="354"/>
      <c r="CHC2" s="354"/>
      <c r="CHD2" s="354"/>
      <c r="CHE2" s="354"/>
      <c r="CHF2" s="354"/>
      <c r="CHG2" s="354"/>
      <c r="CHH2" s="354"/>
      <c r="CHI2" s="354"/>
      <c r="CHJ2" s="354"/>
      <c r="CHK2" s="354"/>
      <c r="CHL2" s="354"/>
      <c r="CHM2" s="354"/>
      <c r="CHN2" s="354"/>
      <c r="CHO2" s="354"/>
      <c r="CHP2" s="354"/>
      <c r="CHQ2" s="354"/>
      <c r="CHR2" s="354"/>
      <c r="CHS2" s="354"/>
      <c r="CHT2" s="354"/>
      <c r="CHU2" s="354"/>
      <c r="CHV2" s="354"/>
      <c r="CHW2" s="354"/>
      <c r="CHX2" s="354"/>
      <c r="CHY2" s="354"/>
      <c r="CHZ2" s="354"/>
      <c r="CIA2" s="354"/>
      <c r="CIB2" s="354"/>
      <c r="CIC2" s="354"/>
      <c r="CID2" s="354"/>
      <c r="CIE2" s="354"/>
      <c r="CIF2" s="354"/>
      <c r="CIG2" s="354"/>
      <c r="CIH2" s="354"/>
      <c r="CII2" s="354"/>
      <c r="CIJ2" s="354"/>
      <c r="CIK2" s="354"/>
      <c r="CIL2" s="354"/>
      <c r="CIM2" s="354"/>
      <c r="CIN2" s="354"/>
      <c r="CIO2" s="354"/>
      <c r="CIP2" s="354"/>
      <c r="CIQ2" s="354"/>
      <c r="CIR2" s="354"/>
      <c r="CIS2" s="354"/>
      <c r="CIT2" s="354"/>
      <c r="CIU2" s="354"/>
      <c r="CIV2" s="354"/>
      <c r="CIW2" s="354"/>
      <c r="CIX2" s="354"/>
      <c r="CIY2" s="354"/>
      <c r="CIZ2" s="354"/>
      <c r="CJA2" s="354"/>
      <c r="CJB2" s="354"/>
      <c r="CJC2" s="354"/>
      <c r="CJD2" s="354"/>
      <c r="CJE2" s="354"/>
      <c r="CJF2" s="354"/>
      <c r="CJG2" s="354"/>
      <c r="CJH2" s="354"/>
      <c r="CJI2" s="354"/>
      <c r="CJJ2" s="354"/>
      <c r="CJK2" s="354"/>
      <c r="CJL2" s="354"/>
      <c r="CJM2" s="354"/>
      <c r="CJN2" s="354"/>
      <c r="CJO2" s="354"/>
      <c r="CJP2" s="354"/>
      <c r="CJQ2" s="354"/>
      <c r="CJR2" s="354"/>
      <c r="CJS2" s="354"/>
      <c r="CJT2" s="354"/>
      <c r="CJU2" s="354"/>
      <c r="CJV2" s="354"/>
      <c r="CJW2" s="354"/>
      <c r="CJX2" s="354"/>
      <c r="CJY2" s="354"/>
      <c r="CJZ2" s="354"/>
      <c r="CKA2" s="354"/>
      <c r="CKB2" s="354"/>
      <c r="CKC2" s="354"/>
      <c r="CKD2" s="354"/>
      <c r="CKE2" s="354"/>
      <c r="CKF2" s="354"/>
      <c r="CKG2" s="354"/>
      <c r="CKH2" s="354"/>
      <c r="CKI2" s="354"/>
      <c r="CKJ2" s="354"/>
      <c r="CKK2" s="354"/>
      <c r="CKL2" s="354"/>
      <c r="CKM2" s="354"/>
      <c r="CKN2" s="354"/>
      <c r="CKO2" s="354"/>
      <c r="CKP2" s="354"/>
      <c r="CKQ2" s="354"/>
      <c r="CKR2" s="354"/>
      <c r="CKS2" s="354"/>
      <c r="CKT2" s="354"/>
      <c r="CKU2" s="354"/>
      <c r="CKV2" s="354"/>
      <c r="CKW2" s="354"/>
      <c r="CKX2" s="354"/>
      <c r="CKY2" s="354"/>
      <c r="CKZ2" s="354"/>
      <c r="CLA2" s="354"/>
      <c r="CLB2" s="354"/>
      <c r="CLC2" s="354"/>
      <c r="CLD2" s="354"/>
      <c r="CLE2" s="354"/>
      <c r="CLF2" s="354"/>
      <c r="CLG2" s="354"/>
      <c r="CLH2" s="354"/>
      <c r="CLI2" s="354"/>
      <c r="CLJ2" s="354"/>
      <c r="CLK2" s="354"/>
      <c r="CLL2" s="354"/>
      <c r="CLM2" s="354"/>
      <c r="CLN2" s="354"/>
      <c r="CLO2" s="354"/>
      <c r="CLP2" s="354"/>
      <c r="CLQ2" s="354"/>
      <c r="CLR2" s="354"/>
      <c r="CLS2" s="354"/>
      <c r="CLT2" s="354"/>
      <c r="CLU2" s="354"/>
      <c r="CLV2" s="354"/>
      <c r="CLW2" s="354"/>
      <c r="CLX2" s="354"/>
      <c r="CLY2" s="354"/>
      <c r="CLZ2" s="354"/>
      <c r="CMA2" s="354"/>
      <c r="CMB2" s="354"/>
      <c r="CMC2" s="354"/>
      <c r="CMD2" s="354"/>
      <c r="CME2" s="354"/>
      <c r="CMF2" s="354"/>
      <c r="CMG2" s="354"/>
      <c r="CMH2" s="354"/>
      <c r="CMI2" s="354"/>
      <c r="CMJ2" s="354"/>
      <c r="CMK2" s="354"/>
      <c r="CML2" s="354"/>
      <c r="CMM2" s="354"/>
      <c r="CMN2" s="354"/>
      <c r="CMO2" s="354"/>
      <c r="CMP2" s="354"/>
      <c r="CMQ2" s="354"/>
      <c r="CMR2" s="354"/>
      <c r="CMS2" s="354"/>
      <c r="CMT2" s="354"/>
      <c r="CMU2" s="354"/>
      <c r="CMV2" s="354"/>
      <c r="CMW2" s="354"/>
      <c r="CMX2" s="354"/>
      <c r="CMY2" s="354"/>
      <c r="CMZ2" s="354"/>
      <c r="CNA2" s="354"/>
      <c r="CNB2" s="354"/>
      <c r="CNC2" s="354"/>
      <c r="CND2" s="354"/>
      <c r="CNE2" s="354"/>
      <c r="CNF2" s="354"/>
      <c r="CNG2" s="354"/>
      <c r="CNH2" s="354"/>
      <c r="CNI2" s="354"/>
      <c r="CNJ2" s="354"/>
      <c r="CNK2" s="354"/>
      <c r="CNL2" s="354"/>
      <c r="CNM2" s="354"/>
      <c r="CNN2" s="354"/>
      <c r="CNO2" s="354"/>
      <c r="CNP2" s="354"/>
      <c r="CNQ2" s="354"/>
      <c r="CNR2" s="354"/>
      <c r="CNS2" s="354"/>
      <c r="CNT2" s="354"/>
      <c r="CNU2" s="354"/>
      <c r="CNV2" s="354"/>
      <c r="CNW2" s="354"/>
      <c r="CNX2" s="354"/>
      <c r="CNY2" s="354"/>
      <c r="CNZ2" s="354"/>
      <c r="COA2" s="354"/>
      <c r="COB2" s="354"/>
      <c r="COC2" s="354"/>
      <c r="COD2" s="354"/>
      <c r="COE2" s="354"/>
      <c r="COF2" s="354"/>
      <c r="COG2" s="354"/>
      <c r="COH2" s="354"/>
      <c r="COI2" s="354"/>
      <c r="COJ2" s="354"/>
      <c r="COK2" s="354"/>
      <c r="COL2" s="354"/>
      <c r="COM2" s="354"/>
      <c r="CON2" s="354"/>
      <c r="COO2" s="354"/>
      <c r="COP2" s="354"/>
      <c r="COQ2" s="354"/>
      <c r="COR2" s="354"/>
      <c r="COS2" s="354"/>
      <c r="COT2" s="354"/>
      <c r="COU2" s="354"/>
      <c r="COV2" s="354"/>
      <c r="COW2" s="354"/>
      <c r="COX2" s="354"/>
      <c r="COY2" s="354"/>
      <c r="COZ2" s="354"/>
      <c r="CPA2" s="354"/>
      <c r="CPB2" s="354"/>
      <c r="CPC2" s="354"/>
      <c r="CPD2" s="354"/>
      <c r="CPE2" s="354"/>
      <c r="CPF2" s="354"/>
      <c r="CPG2" s="354"/>
      <c r="CPH2" s="354"/>
      <c r="CPI2" s="354"/>
      <c r="CPJ2" s="354"/>
      <c r="CPK2" s="354"/>
      <c r="CPL2" s="354"/>
      <c r="CPM2" s="354"/>
      <c r="CPN2" s="354"/>
      <c r="CPO2" s="354"/>
      <c r="CPP2" s="354"/>
      <c r="CPQ2" s="354"/>
      <c r="CPR2" s="354"/>
      <c r="CPS2" s="354"/>
      <c r="CPT2" s="354"/>
      <c r="CPU2" s="354"/>
      <c r="CPV2" s="354"/>
      <c r="CPW2" s="354"/>
      <c r="CPX2" s="354"/>
      <c r="CPY2" s="354"/>
      <c r="CPZ2" s="354"/>
      <c r="CQA2" s="354"/>
      <c r="CQB2" s="354"/>
      <c r="CQC2" s="354"/>
      <c r="CQD2" s="354"/>
      <c r="CQE2" s="354"/>
      <c r="CQF2" s="354"/>
      <c r="CQG2" s="354"/>
      <c r="CQH2" s="354"/>
      <c r="CQI2" s="354"/>
      <c r="CQJ2" s="354"/>
      <c r="CQK2" s="354"/>
      <c r="CQL2" s="354"/>
      <c r="CQM2" s="354"/>
      <c r="CQN2" s="354"/>
      <c r="CQO2" s="354"/>
      <c r="CQP2" s="354"/>
      <c r="CQQ2" s="354"/>
      <c r="CQR2" s="354"/>
      <c r="CQS2" s="354"/>
      <c r="CQT2" s="354"/>
      <c r="CQU2" s="354"/>
      <c r="CQV2" s="354"/>
      <c r="CQW2" s="354"/>
      <c r="CQX2" s="354"/>
      <c r="CQY2" s="354"/>
      <c r="CQZ2" s="354"/>
      <c r="CRA2" s="354"/>
      <c r="CRB2" s="354"/>
      <c r="CRC2" s="354"/>
      <c r="CRD2" s="354"/>
      <c r="CRE2" s="354"/>
      <c r="CRF2" s="354"/>
      <c r="CRG2" s="354"/>
      <c r="CRH2" s="354"/>
      <c r="CRI2" s="354"/>
      <c r="CRJ2" s="354"/>
      <c r="CRK2" s="354"/>
      <c r="CRL2" s="354"/>
      <c r="CRM2" s="354"/>
      <c r="CRN2" s="354"/>
      <c r="CRO2" s="354"/>
      <c r="CRP2" s="354"/>
      <c r="CRQ2" s="354"/>
      <c r="CRR2" s="354"/>
      <c r="CRS2" s="354"/>
      <c r="CRT2" s="354"/>
      <c r="CRU2" s="354"/>
      <c r="CRV2" s="354"/>
      <c r="CRW2" s="354"/>
      <c r="CRX2" s="354"/>
      <c r="CRY2" s="354"/>
      <c r="CRZ2" s="354"/>
      <c r="CSA2" s="354"/>
      <c r="CSB2" s="354"/>
      <c r="CSC2" s="354"/>
      <c r="CSD2" s="354"/>
      <c r="CSE2" s="354"/>
      <c r="CSF2" s="354"/>
      <c r="CSG2" s="354"/>
      <c r="CSH2" s="354"/>
      <c r="CSI2" s="354"/>
      <c r="CSJ2" s="354"/>
      <c r="CSK2" s="354"/>
      <c r="CSL2" s="354"/>
      <c r="CSM2" s="354"/>
      <c r="CSN2" s="354"/>
      <c r="CSO2" s="354"/>
      <c r="CSP2" s="354"/>
      <c r="CSQ2" s="354"/>
      <c r="CSR2" s="354"/>
      <c r="CSS2" s="354"/>
      <c r="CST2" s="354"/>
      <c r="CSU2" s="354"/>
      <c r="CSV2" s="354"/>
      <c r="CSW2" s="354"/>
      <c r="CSX2" s="354"/>
      <c r="CSY2" s="354"/>
      <c r="CSZ2" s="354"/>
      <c r="CTA2" s="354"/>
      <c r="CTB2" s="354"/>
      <c r="CTC2" s="354"/>
      <c r="CTD2" s="354"/>
      <c r="CTE2" s="354"/>
      <c r="CTF2" s="354"/>
      <c r="CTG2" s="354"/>
      <c r="CTH2" s="354"/>
      <c r="CTI2" s="354"/>
      <c r="CTJ2" s="354"/>
      <c r="CTK2" s="354"/>
      <c r="CTL2" s="354"/>
      <c r="CTM2" s="354"/>
      <c r="CTN2" s="354"/>
      <c r="CTO2" s="354"/>
      <c r="CTP2" s="354"/>
      <c r="CTQ2" s="354"/>
      <c r="CTR2" s="354"/>
      <c r="CTS2" s="354"/>
      <c r="CTT2" s="354"/>
      <c r="CTU2" s="354"/>
      <c r="CTV2" s="354"/>
      <c r="CTW2" s="354"/>
      <c r="CTX2" s="354"/>
      <c r="CTY2" s="354"/>
      <c r="CTZ2" s="354"/>
      <c r="CUA2" s="354"/>
      <c r="CUB2" s="354"/>
      <c r="CUC2" s="354"/>
      <c r="CUD2" s="354"/>
      <c r="CUE2" s="354"/>
      <c r="CUF2" s="354"/>
      <c r="CUG2" s="354"/>
      <c r="CUH2" s="354"/>
      <c r="CUI2" s="354"/>
      <c r="CUJ2" s="354"/>
      <c r="CUK2" s="354"/>
      <c r="CUL2" s="354"/>
      <c r="CUM2" s="354"/>
      <c r="CUN2" s="354"/>
      <c r="CUO2" s="354"/>
      <c r="CUP2" s="354"/>
      <c r="CUQ2" s="354"/>
      <c r="CUR2" s="354"/>
      <c r="CUS2" s="354"/>
      <c r="CUT2" s="354"/>
      <c r="CUU2" s="354"/>
      <c r="CUV2" s="354"/>
      <c r="CUW2" s="354"/>
      <c r="CUX2" s="354"/>
      <c r="CUY2" s="354"/>
      <c r="CUZ2" s="354"/>
      <c r="CVA2" s="354"/>
      <c r="CVB2" s="354"/>
      <c r="CVC2" s="354"/>
      <c r="CVD2" s="354"/>
      <c r="CVE2" s="354"/>
      <c r="CVF2" s="354"/>
      <c r="CVG2" s="354"/>
      <c r="CVH2" s="354"/>
      <c r="CVI2" s="354"/>
      <c r="CVJ2" s="354"/>
      <c r="CVK2" s="354"/>
      <c r="CVL2" s="354"/>
      <c r="CVM2" s="354"/>
      <c r="CVN2" s="354"/>
      <c r="CVO2" s="354"/>
      <c r="CVP2" s="354"/>
      <c r="CVQ2" s="354"/>
      <c r="CVR2" s="354"/>
      <c r="CVS2" s="354"/>
      <c r="CVT2" s="354"/>
      <c r="CVU2" s="354"/>
      <c r="CVV2" s="354"/>
      <c r="CVW2" s="354"/>
      <c r="CVX2" s="354"/>
      <c r="CVY2" s="354"/>
      <c r="CVZ2" s="354"/>
      <c r="CWA2" s="354"/>
      <c r="CWB2" s="354"/>
      <c r="CWC2" s="354"/>
      <c r="CWD2" s="354"/>
      <c r="CWE2" s="354"/>
      <c r="CWF2" s="354"/>
      <c r="CWG2" s="354"/>
      <c r="CWH2" s="354"/>
      <c r="CWI2" s="354"/>
      <c r="CWJ2" s="354"/>
      <c r="CWK2" s="354"/>
      <c r="CWL2" s="354"/>
      <c r="CWM2" s="354"/>
      <c r="CWN2" s="354"/>
      <c r="CWO2" s="354"/>
      <c r="CWP2" s="354"/>
      <c r="CWQ2" s="354"/>
      <c r="CWR2" s="354"/>
      <c r="CWS2" s="354"/>
      <c r="CWT2" s="354"/>
      <c r="CWU2" s="354"/>
      <c r="CWV2" s="354"/>
      <c r="CWW2" s="354"/>
      <c r="CWX2" s="354"/>
      <c r="CWY2" s="354"/>
      <c r="CWZ2" s="354"/>
      <c r="CXA2" s="354"/>
      <c r="CXB2" s="354"/>
      <c r="CXC2" s="354"/>
      <c r="CXD2" s="354"/>
      <c r="CXE2" s="354"/>
      <c r="CXF2" s="354"/>
      <c r="CXG2" s="354"/>
      <c r="CXH2" s="354"/>
      <c r="CXI2" s="354"/>
      <c r="CXJ2" s="354"/>
      <c r="CXK2" s="354"/>
      <c r="CXL2" s="354"/>
      <c r="CXM2" s="354"/>
      <c r="CXN2" s="354"/>
      <c r="CXO2" s="354"/>
      <c r="CXP2" s="354"/>
      <c r="CXQ2" s="354"/>
      <c r="CXR2" s="354"/>
      <c r="CXS2" s="354"/>
      <c r="CXT2" s="354"/>
      <c r="CXU2" s="354"/>
      <c r="CXV2" s="354"/>
      <c r="CXW2" s="354"/>
      <c r="CXX2" s="354"/>
      <c r="CXY2" s="354"/>
      <c r="CXZ2" s="354"/>
      <c r="CYA2" s="354"/>
      <c r="CYB2" s="354"/>
      <c r="CYC2" s="354"/>
      <c r="CYD2" s="354"/>
      <c r="CYE2" s="354"/>
      <c r="CYF2" s="354"/>
      <c r="CYG2" s="354"/>
      <c r="CYH2" s="354"/>
      <c r="CYI2" s="354"/>
      <c r="CYJ2" s="354"/>
      <c r="CYK2" s="354"/>
      <c r="CYL2" s="354"/>
      <c r="CYM2" s="354"/>
      <c r="CYN2" s="354"/>
      <c r="CYO2" s="354"/>
      <c r="CYP2" s="354"/>
      <c r="CYQ2" s="354"/>
      <c r="CYR2" s="354"/>
      <c r="CYS2" s="354"/>
      <c r="CYT2" s="354"/>
      <c r="CYU2" s="354"/>
      <c r="CYV2" s="354"/>
      <c r="CYW2" s="354"/>
      <c r="CYX2" s="354"/>
      <c r="CYY2" s="354"/>
      <c r="CYZ2" s="354"/>
      <c r="CZA2" s="354"/>
      <c r="CZB2" s="354"/>
      <c r="CZC2" s="354"/>
      <c r="CZD2" s="354"/>
      <c r="CZE2" s="354"/>
      <c r="CZF2" s="354"/>
      <c r="CZG2" s="354"/>
      <c r="CZH2" s="354"/>
      <c r="CZI2" s="354"/>
      <c r="CZJ2" s="354"/>
      <c r="CZK2" s="354"/>
      <c r="CZL2" s="354"/>
      <c r="CZM2" s="354"/>
      <c r="CZN2" s="354"/>
      <c r="CZO2" s="354"/>
      <c r="CZP2" s="354"/>
      <c r="CZQ2" s="354"/>
      <c r="CZR2" s="354"/>
      <c r="CZS2" s="354"/>
      <c r="CZT2" s="354"/>
      <c r="CZU2" s="354"/>
      <c r="CZV2" s="354"/>
      <c r="CZW2" s="354"/>
      <c r="CZX2" s="354"/>
      <c r="CZY2" s="354"/>
      <c r="CZZ2" s="354"/>
      <c r="DAA2" s="354"/>
      <c r="DAB2" s="354"/>
      <c r="DAC2" s="354"/>
      <c r="DAD2" s="354"/>
      <c r="DAE2" s="354"/>
      <c r="DAF2" s="354"/>
      <c r="DAG2" s="354"/>
      <c r="DAH2" s="354"/>
      <c r="DAI2" s="354"/>
      <c r="DAJ2" s="354"/>
      <c r="DAK2" s="354"/>
      <c r="DAL2" s="354"/>
      <c r="DAM2" s="354"/>
      <c r="DAN2" s="354"/>
      <c r="DAO2" s="354"/>
      <c r="DAP2" s="354"/>
      <c r="DAQ2" s="354"/>
      <c r="DAR2" s="354"/>
      <c r="DAS2" s="354"/>
      <c r="DAT2" s="354"/>
      <c r="DAU2" s="354"/>
      <c r="DAV2" s="354"/>
      <c r="DAW2" s="354"/>
      <c r="DAX2" s="354"/>
      <c r="DAY2" s="354"/>
      <c r="DAZ2" s="354"/>
      <c r="DBA2" s="354"/>
      <c r="DBB2" s="354"/>
      <c r="DBC2" s="354"/>
      <c r="DBD2" s="354"/>
      <c r="DBE2" s="354"/>
      <c r="DBF2" s="354"/>
      <c r="DBG2" s="354"/>
      <c r="DBH2" s="354"/>
      <c r="DBI2" s="354"/>
      <c r="DBJ2" s="354"/>
      <c r="DBK2" s="354"/>
      <c r="DBL2" s="354"/>
      <c r="DBM2" s="354"/>
      <c r="DBN2" s="354"/>
      <c r="DBO2" s="354"/>
      <c r="DBP2" s="354"/>
      <c r="DBQ2" s="354"/>
      <c r="DBR2" s="354"/>
      <c r="DBS2" s="354"/>
      <c r="DBT2" s="354"/>
      <c r="DBU2" s="354"/>
      <c r="DBV2" s="354"/>
      <c r="DBW2" s="354"/>
      <c r="DBX2" s="354"/>
      <c r="DBY2" s="354"/>
      <c r="DBZ2" s="354"/>
      <c r="DCA2" s="354"/>
      <c r="DCB2" s="354"/>
      <c r="DCC2" s="354"/>
      <c r="DCD2" s="354"/>
      <c r="DCE2" s="354"/>
      <c r="DCF2" s="354"/>
      <c r="DCG2" s="354"/>
      <c r="DCH2" s="354"/>
      <c r="DCI2" s="354"/>
      <c r="DCJ2" s="354"/>
      <c r="DCK2" s="354"/>
      <c r="DCL2" s="354"/>
      <c r="DCM2" s="354"/>
      <c r="DCN2" s="354"/>
      <c r="DCO2" s="354"/>
      <c r="DCP2" s="354"/>
      <c r="DCQ2" s="354"/>
      <c r="DCR2" s="354"/>
      <c r="DCS2" s="354"/>
      <c r="DCT2" s="354"/>
      <c r="DCU2" s="354"/>
      <c r="DCV2" s="354"/>
      <c r="DCW2" s="354"/>
      <c r="DCX2" s="354"/>
      <c r="DCY2" s="354"/>
      <c r="DCZ2" s="354"/>
      <c r="DDA2" s="354"/>
      <c r="DDB2" s="354"/>
      <c r="DDC2" s="354"/>
      <c r="DDD2" s="354"/>
      <c r="DDE2" s="354"/>
      <c r="DDF2" s="354"/>
      <c r="DDG2" s="354"/>
      <c r="DDH2" s="354"/>
      <c r="DDI2" s="354"/>
      <c r="DDJ2" s="354"/>
      <c r="DDK2" s="354"/>
      <c r="DDL2" s="354"/>
      <c r="DDM2" s="354"/>
      <c r="DDN2" s="354"/>
      <c r="DDO2" s="354"/>
      <c r="DDP2" s="354"/>
      <c r="DDQ2" s="354"/>
      <c r="DDR2" s="354"/>
      <c r="DDS2" s="354"/>
      <c r="DDT2" s="354"/>
      <c r="DDU2" s="354"/>
      <c r="DDV2" s="354"/>
      <c r="DDW2" s="354"/>
      <c r="DDX2" s="354"/>
      <c r="DDY2" s="354"/>
      <c r="DDZ2" s="354"/>
      <c r="DEA2" s="354"/>
      <c r="DEB2" s="354"/>
      <c r="DEC2" s="354"/>
      <c r="DED2" s="354"/>
      <c r="DEE2" s="354"/>
      <c r="DEF2" s="354"/>
      <c r="DEG2" s="354"/>
      <c r="DEH2" s="354"/>
      <c r="DEI2" s="354"/>
      <c r="DEJ2" s="354"/>
      <c r="DEK2" s="354"/>
      <c r="DEL2" s="354"/>
      <c r="DEM2" s="354"/>
      <c r="DEN2" s="354"/>
      <c r="DEO2" s="354"/>
      <c r="DEP2" s="354"/>
      <c r="DEQ2" s="354"/>
      <c r="DER2" s="354"/>
      <c r="DES2" s="354"/>
      <c r="DET2" s="354"/>
      <c r="DEU2" s="354"/>
      <c r="DEV2" s="354"/>
      <c r="DEW2" s="354"/>
      <c r="DEX2" s="354"/>
      <c r="DEY2" s="354"/>
      <c r="DEZ2" s="354"/>
      <c r="DFA2" s="354"/>
      <c r="DFB2" s="354"/>
      <c r="DFC2" s="354"/>
      <c r="DFD2" s="354"/>
      <c r="DFE2" s="354"/>
      <c r="DFF2" s="354"/>
      <c r="DFG2" s="354"/>
      <c r="DFH2" s="354"/>
      <c r="DFI2" s="354"/>
      <c r="DFJ2" s="354"/>
      <c r="DFK2" s="354"/>
      <c r="DFL2" s="354"/>
      <c r="DFM2" s="354"/>
      <c r="DFN2" s="354"/>
      <c r="DFO2" s="354"/>
      <c r="DFP2" s="354"/>
      <c r="DFQ2" s="354"/>
      <c r="DFR2" s="354"/>
      <c r="DFS2" s="354"/>
      <c r="DFT2" s="354"/>
      <c r="DFU2" s="354"/>
      <c r="DFV2" s="354"/>
      <c r="DFW2" s="354"/>
      <c r="DFX2" s="354"/>
      <c r="DFY2" s="354"/>
      <c r="DFZ2" s="354"/>
      <c r="DGA2" s="354"/>
      <c r="DGB2" s="354"/>
      <c r="DGC2" s="354"/>
      <c r="DGD2" s="354"/>
      <c r="DGE2" s="354"/>
      <c r="DGF2" s="354"/>
      <c r="DGG2" s="354"/>
      <c r="DGH2" s="354"/>
      <c r="DGI2" s="354"/>
      <c r="DGJ2" s="354"/>
      <c r="DGK2" s="354"/>
      <c r="DGL2" s="354"/>
      <c r="DGM2" s="354"/>
      <c r="DGN2" s="354"/>
      <c r="DGO2" s="354"/>
      <c r="DGP2" s="354"/>
      <c r="DGQ2" s="354"/>
      <c r="DGR2" s="354"/>
      <c r="DGS2" s="354"/>
      <c r="DGT2" s="354"/>
      <c r="DGU2" s="354"/>
      <c r="DGV2" s="354"/>
      <c r="DGW2" s="354"/>
      <c r="DGX2" s="354"/>
      <c r="DGY2" s="354"/>
      <c r="DGZ2" s="354"/>
      <c r="DHA2" s="354"/>
      <c r="DHB2" s="354"/>
      <c r="DHC2" s="354"/>
      <c r="DHD2" s="354"/>
      <c r="DHE2" s="354"/>
      <c r="DHF2" s="354"/>
      <c r="DHG2" s="354"/>
      <c r="DHH2" s="354"/>
      <c r="DHI2" s="354"/>
      <c r="DHJ2" s="354"/>
      <c r="DHK2" s="354"/>
      <c r="DHL2" s="354"/>
      <c r="DHM2" s="354"/>
      <c r="DHN2" s="354"/>
      <c r="DHO2" s="354"/>
      <c r="DHP2" s="354"/>
      <c r="DHQ2" s="354"/>
      <c r="DHR2" s="354"/>
      <c r="DHS2" s="354"/>
      <c r="DHT2" s="354"/>
      <c r="DHU2" s="354"/>
      <c r="DHV2" s="354"/>
      <c r="DHW2" s="354"/>
      <c r="DHX2" s="354"/>
      <c r="DHY2" s="354"/>
      <c r="DHZ2" s="354"/>
      <c r="DIA2" s="354"/>
      <c r="DIB2" s="354"/>
      <c r="DIC2" s="354"/>
      <c r="DID2" s="354"/>
      <c r="DIE2" s="354"/>
      <c r="DIF2" s="354"/>
      <c r="DIG2" s="354"/>
      <c r="DIH2" s="354"/>
      <c r="DII2" s="354"/>
      <c r="DIJ2" s="354"/>
      <c r="DIK2" s="354"/>
      <c r="DIL2" s="354"/>
      <c r="DIM2" s="354"/>
      <c r="DIN2" s="354"/>
      <c r="DIO2" s="354"/>
      <c r="DIP2" s="354"/>
      <c r="DIQ2" s="354"/>
      <c r="DIR2" s="354"/>
      <c r="DIS2" s="354"/>
      <c r="DIT2" s="354"/>
      <c r="DIU2" s="354"/>
      <c r="DIV2" s="354"/>
      <c r="DIW2" s="354"/>
      <c r="DIX2" s="354"/>
      <c r="DIY2" s="354"/>
      <c r="DIZ2" s="354"/>
      <c r="DJA2" s="354"/>
      <c r="DJB2" s="354"/>
      <c r="DJC2" s="354"/>
      <c r="DJD2" s="354"/>
      <c r="DJE2" s="354"/>
      <c r="DJF2" s="354"/>
      <c r="DJG2" s="354"/>
      <c r="DJH2" s="354"/>
      <c r="DJI2" s="354"/>
      <c r="DJJ2" s="354"/>
      <c r="DJK2" s="354"/>
      <c r="DJL2" s="354"/>
      <c r="DJM2" s="354"/>
      <c r="DJN2" s="354"/>
      <c r="DJO2" s="354"/>
      <c r="DJP2" s="354"/>
      <c r="DJQ2" s="354"/>
      <c r="DJR2" s="354"/>
      <c r="DJS2" s="354"/>
      <c r="DJT2" s="354"/>
      <c r="DJU2" s="354"/>
      <c r="DJV2" s="354"/>
      <c r="DJW2" s="354"/>
      <c r="DJX2" s="354"/>
      <c r="DJY2" s="354"/>
      <c r="DJZ2" s="354"/>
      <c r="DKA2" s="354"/>
      <c r="DKB2" s="354"/>
      <c r="DKC2" s="354"/>
      <c r="DKD2" s="354"/>
      <c r="DKE2" s="354"/>
      <c r="DKF2" s="354"/>
      <c r="DKG2" s="354"/>
      <c r="DKH2" s="354"/>
      <c r="DKI2" s="354"/>
      <c r="DKJ2" s="354"/>
      <c r="DKK2" s="354"/>
      <c r="DKL2" s="354"/>
      <c r="DKM2" s="354"/>
      <c r="DKN2" s="354"/>
      <c r="DKO2" s="354"/>
      <c r="DKP2" s="354"/>
      <c r="DKQ2" s="354"/>
      <c r="DKR2" s="354"/>
      <c r="DKS2" s="354"/>
      <c r="DKT2" s="354"/>
      <c r="DKU2" s="354"/>
      <c r="DKV2" s="354"/>
      <c r="DKW2" s="354"/>
      <c r="DKX2" s="354"/>
      <c r="DKY2" s="354"/>
      <c r="DKZ2" s="354"/>
      <c r="DLA2" s="354"/>
      <c r="DLB2" s="354"/>
      <c r="DLC2" s="354"/>
      <c r="DLD2" s="354"/>
      <c r="DLE2" s="354"/>
      <c r="DLF2" s="354"/>
      <c r="DLG2" s="354"/>
      <c r="DLH2" s="354"/>
      <c r="DLI2" s="354"/>
      <c r="DLJ2" s="354"/>
      <c r="DLK2" s="354"/>
      <c r="DLL2" s="354"/>
      <c r="DLM2" s="354"/>
      <c r="DLN2" s="354"/>
      <c r="DLO2" s="354"/>
      <c r="DLP2" s="354"/>
      <c r="DLQ2" s="354"/>
      <c r="DLR2" s="354"/>
      <c r="DLS2" s="354"/>
      <c r="DLT2" s="354"/>
      <c r="DLU2" s="354"/>
      <c r="DLV2" s="354"/>
      <c r="DLW2" s="354"/>
      <c r="DLX2" s="354"/>
      <c r="DLY2" s="354"/>
      <c r="DLZ2" s="354"/>
      <c r="DMA2" s="354"/>
      <c r="DMB2" s="354"/>
      <c r="DMC2" s="354"/>
      <c r="DMD2" s="354"/>
      <c r="DME2" s="354"/>
      <c r="DMF2" s="354"/>
      <c r="DMG2" s="354"/>
      <c r="DMH2" s="354"/>
      <c r="DMI2" s="354"/>
      <c r="DMJ2" s="354"/>
      <c r="DMK2" s="354"/>
      <c r="DML2" s="354"/>
      <c r="DMM2" s="354"/>
      <c r="DMN2" s="354"/>
      <c r="DMO2" s="354"/>
      <c r="DMP2" s="354"/>
      <c r="DMQ2" s="354"/>
      <c r="DMR2" s="354"/>
      <c r="DMS2" s="354"/>
      <c r="DMT2" s="354"/>
      <c r="DMU2" s="354"/>
      <c r="DMV2" s="354"/>
      <c r="DMW2" s="354"/>
      <c r="DMX2" s="354"/>
      <c r="DMY2" s="354"/>
      <c r="DMZ2" s="354"/>
      <c r="DNA2" s="354"/>
      <c r="DNB2" s="354"/>
      <c r="DNC2" s="354"/>
      <c r="DND2" s="354"/>
      <c r="DNE2" s="354"/>
      <c r="DNF2" s="354"/>
      <c r="DNG2" s="354"/>
      <c r="DNH2" s="354"/>
      <c r="DNI2" s="354"/>
      <c r="DNJ2" s="354"/>
      <c r="DNK2" s="354"/>
      <c r="DNL2" s="354"/>
      <c r="DNM2" s="354"/>
      <c r="DNN2" s="354"/>
      <c r="DNO2" s="354"/>
      <c r="DNP2" s="354"/>
      <c r="DNQ2" s="354"/>
      <c r="DNR2" s="354"/>
      <c r="DNS2" s="354"/>
      <c r="DNT2" s="354"/>
      <c r="DNU2" s="354"/>
      <c r="DNV2" s="354"/>
      <c r="DNW2" s="354"/>
      <c r="DNX2" s="354"/>
      <c r="DNY2" s="354"/>
      <c r="DNZ2" s="354"/>
      <c r="DOA2" s="354"/>
      <c r="DOB2" s="354"/>
      <c r="DOC2" s="354"/>
      <c r="DOD2" s="354"/>
      <c r="DOE2" s="354"/>
      <c r="DOF2" s="354"/>
      <c r="DOG2" s="354"/>
      <c r="DOH2" s="354"/>
      <c r="DOI2" s="354"/>
      <c r="DOJ2" s="354"/>
      <c r="DOK2" s="354"/>
      <c r="DOL2" s="354"/>
      <c r="DOM2" s="354"/>
      <c r="DON2" s="354"/>
      <c r="DOO2" s="354"/>
      <c r="DOP2" s="354"/>
      <c r="DOQ2" s="354"/>
      <c r="DOR2" s="354"/>
      <c r="DOS2" s="354"/>
      <c r="DOT2" s="354"/>
      <c r="DOU2" s="354"/>
      <c r="DOV2" s="354"/>
      <c r="DOW2" s="354"/>
      <c r="DOX2" s="354"/>
      <c r="DOY2" s="354"/>
      <c r="DOZ2" s="354"/>
      <c r="DPA2" s="354"/>
      <c r="DPB2" s="354"/>
      <c r="DPC2" s="354"/>
      <c r="DPD2" s="354"/>
      <c r="DPE2" s="354"/>
      <c r="DPF2" s="354"/>
      <c r="DPG2" s="354"/>
      <c r="DPH2" s="354"/>
      <c r="DPI2" s="354"/>
      <c r="DPJ2" s="354"/>
      <c r="DPK2" s="354"/>
      <c r="DPL2" s="354"/>
      <c r="DPM2" s="354"/>
      <c r="DPN2" s="354"/>
      <c r="DPO2" s="354"/>
      <c r="DPP2" s="354"/>
      <c r="DPQ2" s="354"/>
      <c r="DPR2" s="354"/>
      <c r="DPS2" s="354"/>
      <c r="DPT2" s="354"/>
      <c r="DPU2" s="354"/>
      <c r="DPV2" s="354"/>
      <c r="DPW2" s="354"/>
      <c r="DPX2" s="354"/>
      <c r="DPY2" s="354"/>
      <c r="DPZ2" s="354"/>
      <c r="DQA2" s="354"/>
      <c r="DQB2" s="354"/>
      <c r="DQC2" s="354"/>
      <c r="DQD2" s="354"/>
      <c r="DQE2" s="354"/>
      <c r="DQF2" s="354"/>
      <c r="DQG2" s="354"/>
      <c r="DQH2" s="354"/>
      <c r="DQI2" s="354"/>
      <c r="DQJ2" s="354"/>
      <c r="DQK2" s="354"/>
      <c r="DQL2" s="354"/>
      <c r="DQM2" s="354"/>
      <c r="DQN2" s="354"/>
      <c r="DQO2" s="354"/>
      <c r="DQP2" s="354"/>
      <c r="DQQ2" s="354"/>
      <c r="DQR2" s="354"/>
      <c r="DQS2" s="354"/>
      <c r="DQT2" s="354"/>
      <c r="DQU2" s="354"/>
      <c r="DQV2" s="354"/>
      <c r="DQW2" s="354"/>
      <c r="DQX2" s="354"/>
      <c r="DQY2" s="354"/>
      <c r="DQZ2" s="354"/>
      <c r="DRA2" s="354"/>
      <c r="DRB2" s="354"/>
      <c r="DRC2" s="354"/>
      <c r="DRD2" s="354"/>
      <c r="DRE2" s="354"/>
      <c r="DRF2" s="354"/>
      <c r="DRG2" s="354"/>
      <c r="DRH2" s="354"/>
      <c r="DRI2" s="354"/>
      <c r="DRJ2" s="354"/>
      <c r="DRK2" s="354"/>
      <c r="DRL2" s="354"/>
      <c r="DRM2" s="354"/>
      <c r="DRN2" s="354"/>
      <c r="DRO2" s="354"/>
      <c r="DRP2" s="354"/>
      <c r="DRQ2" s="354"/>
      <c r="DRR2" s="354"/>
      <c r="DRS2" s="354"/>
      <c r="DRT2" s="354"/>
      <c r="DRU2" s="354"/>
      <c r="DRV2" s="354"/>
      <c r="DRW2" s="354"/>
      <c r="DRX2" s="354"/>
      <c r="DRY2" s="354"/>
      <c r="DRZ2" s="354"/>
      <c r="DSA2" s="354"/>
      <c r="DSB2" s="354"/>
      <c r="DSC2" s="354"/>
      <c r="DSD2" s="354"/>
      <c r="DSE2" s="354"/>
      <c r="DSF2" s="354"/>
      <c r="DSG2" s="354"/>
      <c r="DSH2" s="354"/>
      <c r="DSI2" s="354"/>
      <c r="DSJ2" s="354"/>
      <c r="DSK2" s="354"/>
      <c r="DSL2" s="354"/>
      <c r="DSM2" s="354"/>
      <c r="DSN2" s="354"/>
      <c r="DSO2" s="354"/>
      <c r="DSP2" s="354"/>
      <c r="DSQ2" s="354"/>
      <c r="DSR2" s="354"/>
      <c r="DSS2" s="354"/>
      <c r="DST2" s="354"/>
      <c r="DSU2" s="354"/>
      <c r="DSV2" s="354"/>
      <c r="DSW2" s="354"/>
      <c r="DSX2" s="354"/>
      <c r="DSY2" s="354"/>
      <c r="DSZ2" s="354"/>
      <c r="DTA2" s="354"/>
      <c r="DTB2" s="354"/>
      <c r="DTC2" s="354"/>
      <c r="DTD2" s="354"/>
      <c r="DTE2" s="354"/>
      <c r="DTF2" s="354"/>
      <c r="DTG2" s="354"/>
      <c r="DTH2" s="354"/>
      <c r="DTI2" s="354"/>
      <c r="DTJ2" s="354"/>
      <c r="DTK2" s="354"/>
      <c r="DTL2" s="354"/>
      <c r="DTM2" s="354"/>
      <c r="DTN2" s="354"/>
      <c r="DTO2" s="354"/>
      <c r="DTP2" s="354"/>
      <c r="DTQ2" s="354"/>
      <c r="DTR2" s="354"/>
      <c r="DTS2" s="354"/>
      <c r="DTT2" s="354"/>
      <c r="DTU2" s="354"/>
      <c r="DTV2" s="354"/>
      <c r="DTW2" s="354"/>
      <c r="DTX2" s="354"/>
      <c r="DTY2" s="354"/>
      <c r="DTZ2" s="354"/>
      <c r="DUA2" s="354"/>
      <c r="DUB2" s="354"/>
      <c r="DUC2" s="354"/>
      <c r="DUD2" s="354"/>
      <c r="DUE2" s="354"/>
      <c r="DUF2" s="354"/>
      <c r="DUG2" s="354"/>
      <c r="DUH2" s="354"/>
      <c r="DUI2" s="354"/>
      <c r="DUJ2" s="354"/>
      <c r="DUK2" s="354"/>
      <c r="DUL2" s="354"/>
      <c r="DUM2" s="354"/>
      <c r="DUN2" s="354"/>
      <c r="DUO2" s="354"/>
      <c r="DUP2" s="354"/>
      <c r="DUQ2" s="354"/>
      <c r="DUR2" s="354"/>
      <c r="DUS2" s="354"/>
      <c r="DUT2" s="354"/>
      <c r="DUU2" s="354"/>
      <c r="DUV2" s="354"/>
      <c r="DUW2" s="354"/>
      <c r="DUX2" s="354"/>
      <c r="DUY2" s="354"/>
      <c r="DUZ2" s="354"/>
      <c r="DVA2" s="354"/>
      <c r="DVB2" s="354"/>
      <c r="DVC2" s="354"/>
      <c r="DVD2" s="354"/>
      <c r="DVE2" s="354"/>
      <c r="DVF2" s="354"/>
      <c r="DVG2" s="354"/>
      <c r="DVH2" s="354"/>
      <c r="DVI2" s="354"/>
      <c r="DVJ2" s="354"/>
      <c r="DVK2" s="354"/>
      <c r="DVL2" s="354"/>
      <c r="DVM2" s="354"/>
      <c r="DVN2" s="354"/>
      <c r="DVO2" s="354"/>
      <c r="DVP2" s="354"/>
      <c r="DVQ2" s="354"/>
      <c r="DVR2" s="354"/>
      <c r="DVS2" s="354"/>
      <c r="DVT2" s="354"/>
      <c r="DVU2" s="354"/>
      <c r="DVV2" s="354"/>
      <c r="DVW2" s="354"/>
      <c r="DVX2" s="354"/>
      <c r="DVY2" s="354"/>
      <c r="DVZ2" s="354"/>
      <c r="DWA2" s="354"/>
      <c r="DWB2" s="354"/>
      <c r="DWC2" s="354"/>
      <c r="DWD2" s="354"/>
      <c r="DWE2" s="354"/>
      <c r="DWF2" s="354"/>
      <c r="DWG2" s="354"/>
      <c r="DWH2" s="354"/>
      <c r="DWI2" s="354"/>
      <c r="DWJ2" s="354"/>
      <c r="DWK2" s="354"/>
      <c r="DWL2" s="354"/>
      <c r="DWM2" s="354"/>
      <c r="DWN2" s="354"/>
      <c r="DWO2" s="354"/>
      <c r="DWP2" s="354"/>
      <c r="DWQ2" s="354"/>
      <c r="DWR2" s="354"/>
      <c r="DWS2" s="354"/>
      <c r="DWT2" s="354"/>
      <c r="DWU2" s="354"/>
      <c r="DWV2" s="354"/>
      <c r="DWW2" s="354"/>
      <c r="DWX2" s="354"/>
      <c r="DWY2" s="354"/>
      <c r="DWZ2" s="354"/>
      <c r="DXA2" s="354"/>
      <c r="DXB2" s="354"/>
      <c r="DXC2" s="354"/>
      <c r="DXD2" s="354"/>
      <c r="DXE2" s="354"/>
      <c r="DXF2" s="354"/>
      <c r="DXG2" s="354"/>
      <c r="DXH2" s="354"/>
      <c r="DXI2" s="354"/>
      <c r="DXJ2" s="354"/>
      <c r="DXK2" s="354"/>
      <c r="DXL2" s="354"/>
      <c r="DXM2" s="354"/>
      <c r="DXN2" s="354"/>
      <c r="DXO2" s="354"/>
      <c r="DXP2" s="354"/>
      <c r="DXQ2" s="354"/>
      <c r="DXR2" s="354"/>
      <c r="DXS2" s="354"/>
      <c r="DXT2" s="354"/>
      <c r="DXU2" s="354"/>
      <c r="DXV2" s="354"/>
      <c r="DXW2" s="354"/>
      <c r="DXX2" s="354"/>
      <c r="DXY2" s="354"/>
      <c r="DXZ2" s="354"/>
      <c r="DYA2" s="354"/>
      <c r="DYB2" s="354"/>
      <c r="DYC2" s="354"/>
      <c r="DYD2" s="354"/>
      <c r="DYE2" s="354"/>
      <c r="DYF2" s="354"/>
      <c r="DYG2" s="354"/>
      <c r="DYH2" s="354"/>
      <c r="DYI2" s="354"/>
      <c r="DYJ2" s="354"/>
      <c r="DYK2" s="354"/>
      <c r="DYL2" s="354"/>
      <c r="DYM2" s="354"/>
      <c r="DYN2" s="354"/>
      <c r="DYO2" s="354"/>
      <c r="DYP2" s="354"/>
      <c r="DYQ2" s="354"/>
      <c r="DYR2" s="354"/>
      <c r="DYS2" s="354"/>
      <c r="DYT2" s="354"/>
      <c r="DYU2" s="354"/>
      <c r="DYV2" s="354"/>
      <c r="DYW2" s="354"/>
      <c r="DYX2" s="354"/>
      <c r="DYY2" s="354"/>
      <c r="DYZ2" s="354"/>
      <c r="DZA2" s="354"/>
      <c r="DZB2" s="354"/>
      <c r="DZC2" s="354"/>
      <c r="DZD2" s="354"/>
      <c r="DZE2" s="354"/>
      <c r="DZF2" s="354"/>
      <c r="DZG2" s="354"/>
      <c r="DZH2" s="354"/>
      <c r="DZI2" s="354"/>
      <c r="DZJ2" s="354"/>
      <c r="DZK2" s="354"/>
      <c r="DZL2" s="354"/>
      <c r="DZM2" s="354"/>
      <c r="DZN2" s="354"/>
      <c r="DZO2" s="354"/>
      <c r="DZP2" s="354"/>
      <c r="DZQ2" s="354"/>
      <c r="DZR2" s="354"/>
      <c r="DZS2" s="354"/>
      <c r="DZT2" s="354"/>
      <c r="DZU2" s="354"/>
      <c r="DZV2" s="354"/>
      <c r="DZW2" s="354"/>
      <c r="DZX2" s="354"/>
      <c r="DZY2" s="354"/>
      <c r="DZZ2" s="354"/>
      <c r="EAA2" s="354"/>
      <c r="EAB2" s="354"/>
      <c r="EAC2" s="354"/>
      <c r="EAD2" s="354"/>
      <c r="EAE2" s="354"/>
      <c r="EAF2" s="354"/>
      <c r="EAG2" s="354"/>
      <c r="EAH2" s="354"/>
      <c r="EAI2" s="354"/>
      <c r="EAJ2" s="354"/>
      <c r="EAK2" s="354"/>
      <c r="EAL2" s="354"/>
      <c r="EAM2" s="354"/>
      <c r="EAN2" s="354"/>
      <c r="EAO2" s="354"/>
      <c r="EAP2" s="354"/>
      <c r="EAQ2" s="354"/>
      <c r="EAR2" s="354"/>
      <c r="EAS2" s="354"/>
      <c r="EAT2" s="354"/>
      <c r="EAU2" s="354"/>
      <c r="EAV2" s="354"/>
      <c r="EAW2" s="354"/>
      <c r="EAX2" s="354"/>
      <c r="EAY2" s="354"/>
      <c r="EAZ2" s="354"/>
      <c r="EBA2" s="354"/>
      <c r="EBB2" s="354"/>
      <c r="EBC2" s="354"/>
      <c r="EBD2" s="354"/>
      <c r="EBE2" s="354"/>
      <c r="EBF2" s="354"/>
      <c r="EBG2" s="354"/>
      <c r="EBH2" s="354"/>
      <c r="EBI2" s="354"/>
      <c r="EBJ2" s="354"/>
      <c r="EBK2" s="354"/>
      <c r="EBL2" s="354"/>
      <c r="EBM2" s="354"/>
      <c r="EBN2" s="354"/>
      <c r="EBO2" s="354"/>
      <c r="EBP2" s="354"/>
      <c r="EBQ2" s="354"/>
      <c r="EBR2" s="354"/>
      <c r="EBS2" s="354"/>
      <c r="EBT2" s="354"/>
      <c r="EBU2" s="354"/>
      <c r="EBV2" s="354"/>
      <c r="EBW2" s="354"/>
      <c r="EBX2" s="354"/>
      <c r="EBY2" s="354"/>
      <c r="EBZ2" s="354"/>
      <c r="ECA2" s="354"/>
      <c r="ECB2" s="354"/>
      <c r="ECC2" s="354"/>
      <c r="ECD2" s="354"/>
      <c r="ECE2" s="354"/>
      <c r="ECF2" s="354"/>
      <c r="ECG2" s="354"/>
      <c r="ECH2" s="354"/>
      <c r="ECI2" s="354"/>
      <c r="ECJ2" s="354"/>
      <c r="ECK2" s="354"/>
      <c r="ECL2" s="354"/>
      <c r="ECM2" s="354"/>
      <c r="ECN2" s="354"/>
      <c r="ECO2" s="354"/>
      <c r="ECP2" s="354"/>
      <c r="ECQ2" s="354"/>
      <c r="ECR2" s="354"/>
      <c r="ECS2" s="354"/>
      <c r="ECT2" s="354"/>
      <c r="ECU2" s="354"/>
      <c r="ECV2" s="354"/>
      <c r="ECW2" s="354"/>
      <c r="ECX2" s="354"/>
      <c r="ECY2" s="354"/>
      <c r="ECZ2" s="354"/>
      <c r="EDA2" s="354"/>
      <c r="EDB2" s="354"/>
      <c r="EDC2" s="354"/>
      <c r="EDD2" s="354"/>
      <c r="EDE2" s="354"/>
      <c r="EDF2" s="354"/>
      <c r="EDG2" s="354"/>
      <c r="EDH2" s="354"/>
      <c r="EDI2" s="354"/>
      <c r="EDJ2" s="354"/>
      <c r="EDK2" s="354"/>
      <c r="EDL2" s="354"/>
      <c r="EDM2" s="354"/>
      <c r="EDN2" s="354"/>
      <c r="EDO2" s="354"/>
      <c r="EDP2" s="354"/>
      <c r="EDQ2" s="354"/>
      <c r="EDR2" s="354"/>
      <c r="EDS2" s="354"/>
      <c r="EDT2" s="354"/>
      <c r="EDU2" s="354"/>
      <c r="EDV2" s="354"/>
      <c r="EDW2" s="354"/>
      <c r="EDX2" s="354"/>
      <c r="EDY2" s="354"/>
      <c r="EDZ2" s="354"/>
      <c r="EEA2" s="354"/>
      <c r="EEB2" s="354"/>
      <c r="EEC2" s="354"/>
      <c r="EED2" s="354"/>
      <c r="EEE2" s="354"/>
      <c r="EEF2" s="354"/>
      <c r="EEG2" s="354"/>
      <c r="EEH2" s="354"/>
      <c r="EEI2" s="354"/>
      <c r="EEJ2" s="354"/>
      <c r="EEK2" s="354"/>
      <c r="EEL2" s="354"/>
      <c r="EEM2" s="354"/>
      <c r="EEN2" s="354"/>
      <c r="EEO2" s="354"/>
      <c r="EEP2" s="354"/>
      <c r="EEQ2" s="354"/>
      <c r="EER2" s="354"/>
      <c r="EES2" s="354"/>
      <c r="EET2" s="354"/>
      <c r="EEU2" s="354"/>
      <c r="EEV2" s="354"/>
      <c r="EEW2" s="354"/>
      <c r="EEX2" s="354"/>
      <c r="EEY2" s="354"/>
      <c r="EEZ2" s="354"/>
      <c r="EFA2" s="354"/>
      <c r="EFB2" s="354"/>
      <c r="EFC2" s="354"/>
      <c r="EFD2" s="354"/>
      <c r="EFE2" s="354"/>
      <c r="EFF2" s="354"/>
      <c r="EFG2" s="354"/>
      <c r="EFH2" s="354"/>
      <c r="EFI2" s="354"/>
      <c r="EFJ2" s="354"/>
      <c r="EFK2" s="354"/>
      <c r="EFL2" s="354"/>
      <c r="EFM2" s="354"/>
      <c r="EFN2" s="354"/>
      <c r="EFO2" s="354"/>
      <c r="EFP2" s="354"/>
      <c r="EFQ2" s="354"/>
      <c r="EFR2" s="354"/>
      <c r="EFS2" s="354"/>
      <c r="EFT2" s="354"/>
      <c r="EFU2" s="354"/>
      <c r="EFV2" s="354"/>
      <c r="EFW2" s="354"/>
      <c r="EFX2" s="354"/>
      <c r="EFY2" s="354"/>
      <c r="EFZ2" s="354"/>
      <c r="EGA2" s="354"/>
      <c r="EGB2" s="354"/>
      <c r="EGC2" s="354"/>
      <c r="EGD2" s="354"/>
      <c r="EGE2" s="354"/>
      <c r="EGF2" s="354"/>
      <c r="EGG2" s="354"/>
      <c r="EGH2" s="354"/>
      <c r="EGI2" s="354"/>
      <c r="EGJ2" s="354"/>
      <c r="EGK2" s="354"/>
      <c r="EGL2" s="354"/>
      <c r="EGM2" s="354"/>
      <c r="EGN2" s="354"/>
      <c r="EGO2" s="354"/>
      <c r="EGP2" s="354"/>
      <c r="EGQ2" s="354"/>
      <c r="EGR2" s="354"/>
      <c r="EGS2" s="354"/>
      <c r="EGT2" s="354"/>
      <c r="EGU2" s="354"/>
      <c r="EGV2" s="354"/>
      <c r="EGW2" s="354"/>
      <c r="EGX2" s="354"/>
      <c r="EGY2" s="354"/>
      <c r="EGZ2" s="354"/>
      <c r="EHA2" s="354"/>
      <c r="EHB2" s="354"/>
      <c r="EHC2" s="354"/>
      <c r="EHD2" s="354"/>
      <c r="EHE2" s="354"/>
      <c r="EHF2" s="354"/>
      <c r="EHG2" s="354"/>
      <c r="EHH2" s="354"/>
      <c r="EHI2" s="354"/>
      <c r="EHJ2" s="354"/>
      <c r="EHK2" s="354"/>
      <c r="EHL2" s="354"/>
      <c r="EHM2" s="354"/>
      <c r="EHN2" s="354"/>
      <c r="EHO2" s="354"/>
      <c r="EHP2" s="354"/>
      <c r="EHQ2" s="354"/>
      <c r="EHR2" s="354"/>
      <c r="EHS2" s="354"/>
      <c r="EHT2" s="354"/>
      <c r="EHU2" s="354"/>
      <c r="EHV2" s="354"/>
      <c r="EHW2" s="354"/>
      <c r="EHX2" s="354"/>
      <c r="EHY2" s="354"/>
      <c r="EHZ2" s="354"/>
      <c r="EIA2" s="354"/>
      <c r="EIB2" s="354"/>
      <c r="EIC2" s="354"/>
      <c r="EID2" s="354"/>
      <c r="EIE2" s="354"/>
      <c r="EIF2" s="354"/>
      <c r="EIG2" s="354"/>
      <c r="EIH2" s="354"/>
      <c r="EII2" s="354"/>
      <c r="EIJ2" s="354"/>
      <c r="EIK2" s="354"/>
      <c r="EIL2" s="354"/>
      <c r="EIM2" s="354"/>
      <c r="EIN2" s="354"/>
      <c r="EIO2" s="354"/>
      <c r="EIP2" s="354"/>
      <c r="EIQ2" s="354"/>
      <c r="EIR2" s="354"/>
      <c r="EIS2" s="354"/>
      <c r="EIT2" s="354"/>
      <c r="EIU2" s="354"/>
      <c r="EIV2" s="354"/>
      <c r="EIW2" s="354"/>
      <c r="EIX2" s="354"/>
      <c r="EIY2" s="354"/>
      <c r="EIZ2" s="354"/>
      <c r="EJA2" s="354"/>
      <c r="EJB2" s="354"/>
      <c r="EJC2" s="354"/>
      <c r="EJD2" s="354"/>
      <c r="EJE2" s="354"/>
      <c r="EJF2" s="354"/>
      <c r="EJG2" s="354"/>
      <c r="EJH2" s="354"/>
      <c r="EJI2" s="354"/>
      <c r="EJJ2" s="354"/>
      <c r="EJK2" s="354"/>
      <c r="EJL2" s="354"/>
      <c r="EJM2" s="354"/>
      <c r="EJN2" s="354"/>
      <c r="EJO2" s="354"/>
      <c r="EJP2" s="354"/>
      <c r="EJQ2" s="354"/>
      <c r="EJR2" s="354"/>
      <c r="EJS2" s="354"/>
      <c r="EJT2" s="354"/>
      <c r="EJU2" s="354"/>
      <c r="EJV2" s="354"/>
      <c r="EJW2" s="354"/>
      <c r="EJX2" s="354"/>
      <c r="EJY2" s="354"/>
      <c r="EJZ2" s="354"/>
      <c r="EKA2" s="354"/>
      <c r="EKB2" s="354"/>
      <c r="EKC2" s="354"/>
      <c r="EKD2" s="354"/>
      <c r="EKE2" s="354"/>
      <c r="EKF2" s="354"/>
      <c r="EKG2" s="354"/>
      <c r="EKH2" s="354"/>
      <c r="EKI2" s="354"/>
      <c r="EKJ2" s="354"/>
      <c r="EKK2" s="354"/>
      <c r="EKL2" s="354"/>
      <c r="EKM2" s="354"/>
      <c r="EKN2" s="354"/>
      <c r="EKO2" s="354"/>
      <c r="EKP2" s="354"/>
      <c r="EKQ2" s="354"/>
      <c r="EKR2" s="354"/>
      <c r="EKS2" s="354"/>
      <c r="EKT2" s="354"/>
      <c r="EKU2" s="354"/>
      <c r="EKV2" s="354"/>
      <c r="EKW2" s="354"/>
      <c r="EKX2" s="354"/>
      <c r="EKY2" s="354"/>
      <c r="EKZ2" s="354"/>
      <c r="ELA2" s="354"/>
      <c r="ELB2" s="354"/>
      <c r="ELC2" s="354"/>
      <c r="ELD2" s="354"/>
      <c r="ELE2" s="354"/>
      <c r="ELF2" s="354"/>
      <c r="ELG2" s="354"/>
      <c r="ELH2" s="354"/>
      <c r="ELI2" s="354"/>
      <c r="ELJ2" s="354"/>
      <c r="ELK2" s="354"/>
      <c r="ELL2" s="354"/>
      <c r="ELM2" s="354"/>
      <c r="ELN2" s="354"/>
      <c r="ELO2" s="354"/>
      <c r="ELP2" s="354"/>
      <c r="ELQ2" s="354"/>
      <c r="ELR2" s="354"/>
      <c r="ELS2" s="354"/>
      <c r="ELT2" s="354"/>
      <c r="ELU2" s="354"/>
      <c r="ELV2" s="354"/>
      <c r="ELW2" s="354"/>
      <c r="ELX2" s="354"/>
      <c r="ELY2" s="354"/>
      <c r="ELZ2" s="354"/>
      <c r="EMA2" s="354"/>
      <c r="EMB2" s="354"/>
      <c r="EMC2" s="354"/>
      <c r="EMD2" s="354"/>
      <c r="EME2" s="354"/>
      <c r="EMF2" s="354"/>
      <c r="EMG2" s="354"/>
      <c r="EMH2" s="354"/>
      <c r="EMI2" s="354"/>
      <c r="EMJ2" s="354"/>
      <c r="EMK2" s="354"/>
      <c r="EML2" s="354"/>
      <c r="EMM2" s="354"/>
      <c r="EMN2" s="354"/>
      <c r="EMO2" s="354"/>
      <c r="EMP2" s="354"/>
      <c r="EMQ2" s="354"/>
      <c r="EMR2" s="354"/>
      <c r="EMS2" s="354"/>
      <c r="EMT2" s="354"/>
      <c r="EMU2" s="354"/>
      <c r="EMV2" s="354"/>
      <c r="EMW2" s="354"/>
      <c r="EMX2" s="354"/>
      <c r="EMY2" s="354"/>
      <c r="EMZ2" s="354"/>
      <c r="ENA2" s="354"/>
      <c r="ENB2" s="354"/>
      <c r="ENC2" s="354"/>
      <c r="END2" s="354"/>
      <c r="ENE2" s="354"/>
      <c r="ENF2" s="354"/>
      <c r="ENG2" s="354"/>
      <c r="ENH2" s="354"/>
      <c r="ENI2" s="354"/>
      <c r="ENJ2" s="354"/>
      <c r="ENK2" s="354"/>
      <c r="ENL2" s="354"/>
      <c r="ENM2" s="354"/>
      <c r="ENN2" s="354"/>
      <c r="ENO2" s="354"/>
      <c r="ENP2" s="354"/>
      <c r="ENQ2" s="354"/>
      <c r="ENR2" s="354"/>
      <c r="ENS2" s="354"/>
      <c r="ENT2" s="354"/>
      <c r="ENU2" s="354"/>
      <c r="ENV2" s="354"/>
      <c r="ENW2" s="354"/>
      <c r="ENX2" s="354"/>
      <c r="ENY2" s="354"/>
      <c r="ENZ2" s="354"/>
      <c r="EOA2" s="354"/>
      <c r="EOB2" s="354"/>
      <c r="EOC2" s="354"/>
      <c r="EOD2" s="354"/>
      <c r="EOE2" s="354"/>
      <c r="EOF2" s="354"/>
      <c r="EOG2" s="354"/>
      <c r="EOH2" s="354"/>
      <c r="EOI2" s="354"/>
      <c r="EOJ2" s="354"/>
      <c r="EOK2" s="354"/>
      <c r="EOL2" s="354"/>
      <c r="EOM2" s="354"/>
      <c r="EON2" s="354"/>
      <c r="EOO2" s="354"/>
      <c r="EOP2" s="354"/>
      <c r="EOQ2" s="354"/>
      <c r="EOR2" s="354"/>
      <c r="EOS2" s="354"/>
      <c r="EOT2" s="354"/>
      <c r="EOU2" s="354"/>
      <c r="EOV2" s="354"/>
      <c r="EOW2" s="354"/>
      <c r="EOX2" s="354"/>
      <c r="EOY2" s="354"/>
      <c r="EOZ2" s="354"/>
      <c r="EPA2" s="354"/>
      <c r="EPB2" s="354"/>
      <c r="EPC2" s="354"/>
      <c r="EPD2" s="354"/>
      <c r="EPE2" s="354"/>
      <c r="EPF2" s="354"/>
      <c r="EPG2" s="354"/>
      <c r="EPH2" s="354"/>
      <c r="EPI2" s="354"/>
      <c r="EPJ2" s="354"/>
      <c r="EPK2" s="354"/>
      <c r="EPL2" s="354"/>
      <c r="EPM2" s="354"/>
      <c r="EPN2" s="354"/>
      <c r="EPO2" s="354"/>
      <c r="EPP2" s="354"/>
      <c r="EPQ2" s="354"/>
      <c r="EPR2" s="354"/>
      <c r="EPS2" s="354"/>
      <c r="EPT2" s="354"/>
      <c r="EPU2" s="354"/>
      <c r="EPV2" s="354"/>
      <c r="EPW2" s="354"/>
      <c r="EPX2" s="354"/>
      <c r="EPY2" s="354"/>
      <c r="EPZ2" s="354"/>
      <c r="EQA2" s="354"/>
      <c r="EQB2" s="354"/>
      <c r="EQC2" s="354"/>
      <c r="EQD2" s="354"/>
      <c r="EQE2" s="354"/>
      <c r="EQF2" s="354"/>
      <c r="EQG2" s="354"/>
      <c r="EQH2" s="354"/>
      <c r="EQI2" s="354"/>
      <c r="EQJ2" s="354"/>
      <c r="EQK2" s="354"/>
      <c r="EQL2" s="354"/>
      <c r="EQM2" s="354"/>
      <c r="EQN2" s="354"/>
      <c r="EQO2" s="354"/>
      <c r="EQP2" s="354"/>
      <c r="EQQ2" s="354"/>
      <c r="EQR2" s="354"/>
      <c r="EQS2" s="354"/>
      <c r="EQT2" s="354"/>
      <c r="EQU2" s="354"/>
      <c r="EQV2" s="354"/>
      <c r="EQW2" s="354"/>
      <c r="EQX2" s="354"/>
      <c r="EQY2" s="354"/>
      <c r="EQZ2" s="354"/>
      <c r="ERA2" s="354"/>
      <c r="ERB2" s="354"/>
      <c r="ERC2" s="354"/>
      <c r="ERD2" s="354"/>
      <c r="ERE2" s="354"/>
      <c r="ERF2" s="354"/>
      <c r="ERG2" s="354"/>
      <c r="ERH2" s="354"/>
      <c r="ERI2" s="354"/>
      <c r="ERJ2" s="354"/>
      <c r="ERK2" s="354"/>
      <c r="ERL2" s="354"/>
      <c r="ERM2" s="354"/>
      <c r="ERN2" s="354"/>
      <c r="ERO2" s="354"/>
      <c r="ERP2" s="354"/>
      <c r="ERQ2" s="354"/>
      <c r="ERR2" s="354"/>
      <c r="ERS2" s="354"/>
      <c r="ERT2" s="354"/>
      <c r="ERU2" s="354"/>
      <c r="ERV2" s="354"/>
      <c r="ERW2" s="354"/>
      <c r="ERX2" s="354"/>
      <c r="ERY2" s="354"/>
      <c r="ERZ2" s="354"/>
      <c r="ESA2" s="354"/>
      <c r="ESB2" s="354"/>
      <c r="ESC2" s="354"/>
      <c r="ESD2" s="354"/>
      <c r="ESE2" s="354"/>
      <c r="ESF2" s="354"/>
      <c r="ESG2" s="354"/>
      <c r="ESH2" s="354"/>
      <c r="ESI2" s="354"/>
      <c r="ESJ2" s="354"/>
      <c r="ESK2" s="354"/>
      <c r="ESL2" s="354"/>
      <c r="ESM2" s="354"/>
      <c r="ESN2" s="354"/>
      <c r="ESO2" s="354"/>
      <c r="ESP2" s="354"/>
      <c r="ESQ2" s="354"/>
      <c r="ESR2" s="354"/>
      <c r="ESS2" s="354"/>
      <c r="EST2" s="354"/>
      <c r="ESU2" s="354"/>
      <c r="ESV2" s="354"/>
      <c r="ESW2" s="354"/>
      <c r="ESX2" s="354"/>
      <c r="ESY2" s="354"/>
      <c r="ESZ2" s="354"/>
      <c r="ETA2" s="354"/>
      <c r="ETB2" s="354"/>
      <c r="ETC2" s="354"/>
      <c r="ETD2" s="354"/>
      <c r="ETE2" s="354"/>
      <c r="ETF2" s="354"/>
      <c r="ETG2" s="354"/>
      <c r="ETH2" s="354"/>
      <c r="ETI2" s="354"/>
      <c r="ETJ2" s="354"/>
      <c r="ETK2" s="354"/>
      <c r="ETL2" s="354"/>
      <c r="ETM2" s="354"/>
      <c r="ETN2" s="354"/>
      <c r="ETO2" s="354"/>
      <c r="ETP2" s="354"/>
      <c r="ETQ2" s="354"/>
      <c r="ETR2" s="354"/>
      <c r="ETS2" s="354"/>
      <c r="ETT2" s="354"/>
      <c r="ETU2" s="354"/>
      <c r="ETV2" s="354"/>
      <c r="ETW2" s="354"/>
      <c r="ETX2" s="354"/>
      <c r="ETY2" s="354"/>
      <c r="ETZ2" s="354"/>
      <c r="EUA2" s="354"/>
      <c r="EUB2" s="354"/>
      <c r="EUC2" s="354"/>
      <c r="EUD2" s="354"/>
      <c r="EUE2" s="354"/>
      <c r="EUF2" s="354"/>
      <c r="EUG2" s="354"/>
      <c r="EUH2" s="354"/>
      <c r="EUI2" s="354"/>
      <c r="EUJ2" s="354"/>
      <c r="EUK2" s="354"/>
      <c r="EUL2" s="354"/>
      <c r="EUM2" s="354"/>
      <c r="EUN2" s="354"/>
      <c r="EUO2" s="354"/>
      <c r="EUP2" s="354"/>
      <c r="EUQ2" s="354"/>
      <c r="EUR2" s="354"/>
      <c r="EUS2" s="354"/>
      <c r="EUT2" s="354"/>
      <c r="EUU2" s="354"/>
      <c r="EUV2" s="354"/>
      <c r="EUW2" s="354"/>
      <c r="EUX2" s="354"/>
      <c r="EUY2" s="354"/>
      <c r="EUZ2" s="354"/>
      <c r="EVA2" s="354"/>
      <c r="EVB2" s="354"/>
      <c r="EVC2" s="354"/>
      <c r="EVD2" s="354"/>
      <c r="EVE2" s="354"/>
      <c r="EVF2" s="354"/>
      <c r="EVG2" s="354"/>
      <c r="EVH2" s="354"/>
      <c r="EVI2" s="354"/>
      <c r="EVJ2" s="354"/>
      <c r="EVK2" s="354"/>
      <c r="EVL2" s="354"/>
      <c r="EVM2" s="354"/>
      <c r="EVN2" s="354"/>
      <c r="EVO2" s="354"/>
      <c r="EVP2" s="354"/>
      <c r="EVQ2" s="354"/>
      <c r="EVR2" s="354"/>
      <c r="EVS2" s="354"/>
      <c r="EVT2" s="354"/>
      <c r="EVU2" s="354"/>
      <c r="EVV2" s="354"/>
      <c r="EVW2" s="354"/>
      <c r="EVX2" s="354"/>
      <c r="EVY2" s="354"/>
      <c r="EVZ2" s="354"/>
      <c r="EWA2" s="354"/>
      <c r="EWB2" s="354"/>
      <c r="EWC2" s="354"/>
      <c r="EWD2" s="354"/>
      <c r="EWE2" s="354"/>
      <c r="EWF2" s="354"/>
      <c r="EWG2" s="354"/>
      <c r="EWH2" s="354"/>
      <c r="EWI2" s="354"/>
      <c r="EWJ2" s="354"/>
      <c r="EWK2" s="354"/>
      <c r="EWL2" s="354"/>
      <c r="EWM2" s="354"/>
      <c r="EWN2" s="354"/>
      <c r="EWO2" s="354"/>
      <c r="EWP2" s="354"/>
      <c r="EWQ2" s="354"/>
      <c r="EWR2" s="354"/>
      <c r="EWS2" s="354"/>
      <c r="EWT2" s="354"/>
      <c r="EWU2" s="354"/>
      <c r="EWV2" s="354"/>
      <c r="EWW2" s="354"/>
      <c r="EWX2" s="354"/>
      <c r="EWY2" s="354"/>
      <c r="EWZ2" s="354"/>
      <c r="EXA2" s="354"/>
      <c r="EXB2" s="354"/>
      <c r="EXC2" s="354"/>
      <c r="EXD2" s="354"/>
      <c r="EXE2" s="354"/>
      <c r="EXF2" s="354"/>
      <c r="EXG2" s="354"/>
      <c r="EXH2" s="354"/>
      <c r="EXI2" s="354"/>
      <c r="EXJ2" s="354"/>
      <c r="EXK2" s="354"/>
      <c r="EXL2" s="354"/>
      <c r="EXM2" s="354"/>
      <c r="EXN2" s="354"/>
      <c r="EXO2" s="354"/>
      <c r="EXP2" s="354"/>
      <c r="EXQ2" s="354"/>
      <c r="EXR2" s="354"/>
      <c r="EXS2" s="354"/>
      <c r="EXT2" s="354"/>
      <c r="EXU2" s="354"/>
      <c r="EXV2" s="354"/>
      <c r="EXW2" s="354"/>
      <c r="EXX2" s="354"/>
      <c r="EXY2" s="354"/>
      <c r="EXZ2" s="354"/>
      <c r="EYA2" s="354"/>
      <c r="EYB2" s="354"/>
      <c r="EYC2" s="354"/>
      <c r="EYD2" s="354"/>
      <c r="EYE2" s="354"/>
      <c r="EYF2" s="354"/>
      <c r="EYG2" s="354"/>
      <c r="EYH2" s="354"/>
      <c r="EYI2" s="354"/>
      <c r="EYJ2" s="354"/>
      <c r="EYK2" s="354"/>
      <c r="EYL2" s="354"/>
      <c r="EYM2" s="354"/>
      <c r="EYN2" s="354"/>
      <c r="EYO2" s="354"/>
      <c r="EYP2" s="354"/>
      <c r="EYQ2" s="354"/>
      <c r="EYR2" s="354"/>
      <c r="EYS2" s="354"/>
      <c r="EYT2" s="354"/>
      <c r="EYU2" s="354"/>
      <c r="EYV2" s="354"/>
      <c r="EYW2" s="354"/>
      <c r="EYX2" s="354"/>
      <c r="EYY2" s="354"/>
      <c r="EYZ2" s="354"/>
      <c r="EZA2" s="354"/>
      <c r="EZB2" s="354"/>
      <c r="EZC2" s="354"/>
      <c r="EZD2" s="354"/>
      <c r="EZE2" s="354"/>
      <c r="EZF2" s="354"/>
      <c r="EZG2" s="354"/>
      <c r="EZH2" s="354"/>
      <c r="EZI2" s="354"/>
      <c r="EZJ2" s="354"/>
      <c r="EZK2" s="354"/>
      <c r="EZL2" s="354"/>
      <c r="EZM2" s="354"/>
      <c r="EZN2" s="354"/>
      <c r="EZO2" s="354"/>
      <c r="EZP2" s="354"/>
      <c r="EZQ2" s="354"/>
      <c r="EZR2" s="354"/>
      <c r="EZS2" s="354"/>
      <c r="EZT2" s="354"/>
      <c r="EZU2" s="354"/>
      <c r="EZV2" s="354"/>
      <c r="EZW2" s="354"/>
      <c r="EZX2" s="354"/>
      <c r="EZY2" s="354"/>
      <c r="EZZ2" s="354"/>
      <c r="FAA2" s="354"/>
      <c r="FAB2" s="354"/>
      <c r="FAC2" s="354"/>
      <c r="FAD2" s="354"/>
      <c r="FAE2" s="354"/>
      <c r="FAF2" s="354"/>
      <c r="FAG2" s="354"/>
      <c r="FAH2" s="354"/>
      <c r="FAI2" s="354"/>
      <c r="FAJ2" s="354"/>
      <c r="FAK2" s="354"/>
      <c r="FAL2" s="354"/>
      <c r="FAM2" s="354"/>
      <c r="FAN2" s="354"/>
      <c r="FAO2" s="354"/>
      <c r="FAP2" s="354"/>
      <c r="FAQ2" s="354"/>
      <c r="FAR2" s="354"/>
      <c r="FAS2" s="354"/>
      <c r="FAT2" s="354"/>
      <c r="FAU2" s="354"/>
      <c r="FAV2" s="354"/>
      <c r="FAW2" s="354"/>
      <c r="FAX2" s="354"/>
      <c r="FAY2" s="354"/>
      <c r="FAZ2" s="354"/>
      <c r="FBA2" s="354"/>
      <c r="FBB2" s="354"/>
      <c r="FBC2" s="354"/>
      <c r="FBD2" s="354"/>
      <c r="FBE2" s="354"/>
      <c r="FBF2" s="354"/>
      <c r="FBG2" s="354"/>
      <c r="FBH2" s="354"/>
      <c r="FBI2" s="354"/>
      <c r="FBJ2" s="354"/>
      <c r="FBK2" s="354"/>
      <c r="FBL2" s="354"/>
      <c r="FBM2" s="354"/>
      <c r="FBN2" s="354"/>
      <c r="FBO2" s="354"/>
      <c r="FBP2" s="354"/>
      <c r="FBQ2" s="354"/>
      <c r="FBR2" s="354"/>
      <c r="FBS2" s="354"/>
      <c r="FBT2" s="354"/>
      <c r="FBU2" s="354"/>
      <c r="FBV2" s="354"/>
      <c r="FBW2" s="354"/>
      <c r="FBX2" s="354"/>
      <c r="FBY2" s="354"/>
      <c r="FBZ2" s="354"/>
      <c r="FCA2" s="354"/>
      <c r="FCB2" s="354"/>
      <c r="FCC2" s="354"/>
      <c r="FCD2" s="354"/>
      <c r="FCE2" s="354"/>
      <c r="FCF2" s="354"/>
      <c r="FCG2" s="354"/>
      <c r="FCH2" s="354"/>
      <c r="FCI2" s="354"/>
      <c r="FCJ2" s="354"/>
      <c r="FCK2" s="354"/>
      <c r="FCL2" s="354"/>
      <c r="FCM2" s="354"/>
      <c r="FCN2" s="354"/>
      <c r="FCO2" s="354"/>
      <c r="FCP2" s="354"/>
      <c r="FCQ2" s="354"/>
      <c r="FCR2" s="354"/>
      <c r="FCS2" s="354"/>
      <c r="FCT2" s="354"/>
      <c r="FCU2" s="354"/>
      <c r="FCV2" s="354"/>
      <c r="FCW2" s="354"/>
      <c r="FCX2" s="354"/>
      <c r="FCY2" s="354"/>
      <c r="FCZ2" s="354"/>
      <c r="FDA2" s="354"/>
      <c r="FDB2" s="354"/>
      <c r="FDC2" s="354"/>
      <c r="FDD2" s="354"/>
      <c r="FDE2" s="354"/>
      <c r="FDF2" s="354"/>
      <c r="FDG2" s="354"/>
      <c r="FDH2" s="354"/>
      <c r="FDI2" s="354"/>
      <c r="FDJ2" s="354"/>
      <c r="FDK2" s="354"/>
      <c r="FDL2" s="354"/>
      <c r="FDM2" s="354"/>
      <c r="FDN2" s="354"/>
      <c r="FDO2" s="354"/>
      <c r="FDP2" s="354"/>
      <c r="FDQ2" s="354"/>
      <c r="FDR2" s="354"/>
      <c r="FDS2" s="354"/>
      <c r="FDT2" s="354"/>
      <c r="FDU2" s="354"/>
      <c r="FDV2" s="354"/>
      <c r="FDW2" s="354"/>
      <c r="FDX2" s="354"/>
      <c r="FDY2" s="354"/>
      <c r="FDZ2" s="354"/>
      <c r="FEA2" s="354"/>
      <c r="FEB2" s="354"/>
      <c r="FEC2" s="354"/>
      <c r="FED2" s="354"/>
      <c r="FEE2" s="354"/>
      <c r="FEF2" s="354"/>
      <c r="FEG2" s="354"/>
      <c r="FEH2" s="354"/>
      <c r="FEI2" s="354"/>
      <c r="FEJ2" s="354"/>
      <c r="FEK2" s="354"/>
      <c r="FEL2" s="354"/>
      <c r="FEM2" s="354"/>
      <c r="FEN2" s="354"/>
      <c r="FEO2" s="354"/>
      <c r="FEP2" s="354"/>
      <c r="FEQ2" s="354"/>
      <c r="FER2" s="354"/>
      <c r="FES2" s="354"/>
      <c r="FET2" s="354"/>
      <c r="FEU2" s="354"/>
      <c r="FEV2" s="354"/>
      <c r="FEW2" s="354"/>
      <c r="FEX2" s="354"/>
      <c r="FEY2" s="354"/>
      <c r="FEZ2" s="354"/>
      <c r="FFA2" s="354"/>
      <c r="FFB2" s="354"/>
      <c r="FFC2" s="354"/>
      <c r="FFD2" s="354"/>
      <c r="FFE2" s="354"/>
      <c r="FFF2" s="354"/>
      <c r="FFG2" s="354"/>
      <c r="FFH2" s="354"/>
      <c r="FFI2" s="354"/>
      <c r="FFJ2" s="354"/>
      <c r="FFK2" s="354"/>
      <c r="FFL2" s="354"/>
      <c r="FFM2" s="354"/>
      <c r="FFN2" s="354"/>
      <c r="FFO2" s="354"/>
      <c r="FFP2" s="354"/>
      <c r="FFQ2" s="354"/>
      <c r="FFR2" s="354"/>
      <c r="FFS2" s="354"/>
      <c r="FFT2" s="354"/>
      <c r="FFU2" s="354"/>
      <c r="FFV2" s="354"/>
      <c r="FFW2" s="354"/>
      <c r="FFX2" s="354"/>
      <c r="FFY2" s="354"/>
      <c r="FFZ2" s="354"/>
      <c r="FGA2" s="354"/>
      <c r="FGB2" s="354"/>
      <c r="FGC2" s="354"/>
      <c r="FGD2" s="354"/>
      <c r="FGE2" s="354"/>
      <c r="FGF2" s="354"/>
      <c r="FGG2" s="354"/>
      <c r="FGH2" s="354"/>
      <c r="FGI2" s="354"/>
      <c r="FGJ2" s="354"/>
      <c r="FGK2" s="354"/>
      <c r="FGL2" s="354"/>
      <c r="FGM2" s="354"/>
      <c r="FGN2" s="354"/>
      <c r="FGO2" s="354"/>
      <c r="FGP2" s="354"/>
      <c r="FGQ2" s="354"/>
      <c r="FGR2" s="354"/>
      <c r="FGS2" s="354"/>
      <c r="FGT2" s="354"/>
      <c r="FGU2" s="354"/>
      <c r="FGV2" s="354"/>
      <c r="FGW2" s="354"/>
      <c r="FGX2" s="354"/>
      <c r="FGY2" s="354"/>
      <c r="FGZ2" s="354"/>
      <c r="FHA2" s="354"/>
      <c r="FHB2" s="354"/>
      <c r="FHC2" s="354"/>
      <c r="FHD2" s="354"/>
      <c r="FHE2" s="354"/>
      <c r="FHF2" s="354"/>
      <c r="FHG2" s="354"/>
      <c r="FHH2" s="354"/>
      <c r="FHI2" s="354"/>
      <c r="FHJ2" s="354"/>
      <c r="FHK2" s="354"/>
      <c r="FHL2" s="354"/>
      <c r="FHM2" s="354"/>
      <c r="FHN2" s="354"/>
      <c r="FHO2" s="354"/>
      <c r="FHP2" s="354"/>
      <c r="FHQ2" s="354"/>
      <c r="FHR2" s="354"/>
      <c r="FHS2" s="354"/>
      <c r="FHT2" s="354"/>
      <c r="FHU2" s="354"/>
      <c r="FHV2" s="354"/>
      <c r="FHW2" s="354"/>
      <c r="FHX2" s="354"/>
      <c r="FHY2" s="354"/>
      <c r="FHZ2" s="354"/>
      <c r="FIA2" s="354"/>
      <c r="FIB2" s="354"/>
      <c r="FIC2" s="354"/>
      <c r="FID2" s="354"/>
      <c r="FIE2" s="354"/>
      <c r="FIF2" s="354"/>
      <c r="FIG2" s="354"/>
      <c r="FIH2" s="354"/>
      <c r="FII2" s="354"/>
      <c r="FIJ2" s="354"/>
      <c r="FIK2" s="354"/>
      <c r="FIL2" s="354"/>
      <c r="FIM2" s="354"/>
      <c r="FIN2" s="354"/>
      <c r="FIO2" s="354"/>
      <c r="FIP2" s="354"/>
      <c r="FIQ2" s="354"/>
      <c r="FIR2" s="354"/>
      <c r="FIS2" s="354"/>
      <c r="FIT2" s="354"/>
      <c r="FIU2" s="354"/>
      <c r="FIV2" s="354"/>
      <c r="FIW2" s="354"/>
      <c r="FIX2" s="354"/>
      <c r="FIY2" s="354"/>
      <c r="FIZ2" s="354"/>
      <c r="FJA2" s="354"/>
      <c r="FJB2" s="354"/>
      <c r="FJC2" s="354"/>
      <c r="FJD2" s="354"/>
      <c r="FJE2" s="354"/>
      <c r="FJF2" s="354"/>
      <c r="FJG2" s="354"/>
      <c r="FJH2" s="354"/>
      <c r="FJI2" s="354"/>
      <c r="FJJ2" s="354"/>
      <c r="FJK2" s="354"/>
      <c r="FJL2" s="354"/>
      <c r="FJM2" s="354"/>
      <c r="FJN2" s="354"/>
      <c r="FJO2" s="354"/>
      <c r="FJP2" s="354"/>
      <c r="FJQ2" s="354"/>
      <c r="FJR2" s="354"/>
      <c r="FJS2" s="354"/>
      <c r="FJT2" s="354"/>
      <c r="FJU2" s="354"/>
      <c r="FJV2" s="354"/>
      <c r="FJW2" s="354"/>
      <c r="FJX2" s="354"/>
      <c r="FJY2" s="354"/>
      <c r="FJZ2" s="354"/>
      <c r="FKA2" s="354"/>
      <c r="FKB2" s="354"/>
      <c r="FKC2" s="354"/>
      <c r="FKD2" s="354"/>
      <c r="FKE2" s="354"/>
      <c r="FKF2" s="354"/>
      <c r="FKG2" s="354"/>
      <c r="FKH2" s="354"/>
      <c r="FKI2" s="354"/>
      <c r="FKJ2" s="354"/>
      <c r="FKK2" s="354"/>
      <c r="FKL2" s="354"/>
      <c r="FKM2" s="354"/>
      <c r="FKN2" s="354"/>
      <c r="FKO2" s="354"/>
      <c r="FKP2" s="354"/>
      <c r="FKQ2" s="354"/>
      <c r="FKR2" s="354"/>
      <c r="FKS2" s="354"/>
      <c r="FKT2" s="354"/>
      <c r="FKU2" s="354"/>
      <c r="FKV2" s="354"/>
      <c r="FKW2" s="354"/>
      <c r="FKX2" s="354"/>
      <c r="FKY2" s="354"/>
      <c r="FKZ2" s="354"/>
      <c r="FLA2" s="354"/>
      <c r="FLB2" s="354"/>
      <c r="FLC2" s="354"/>
      <c r="FLD2" s="354"/>
      <c r="FLE2" s="354"/>
      <c r="FLF2" s="354"/>
      <c r="FLG2" s="354"/>
      <c r="FLH2" s="354"/>
      <c r="FLI2" s="354"/>
      <c r="FLJ2" s="354"/>
      <c r="FLK2" s="354"/>
      <c r="FLL2" s="354"/>
      <c r="FLM2" s="354"/>
      <c r="FLN2" s="354"/>
      <c r="FLO2" s="354"/>
      <c r="FLP2" s="354"/>
      <c r="FLQ2" s="354"/>
      <c r="FLR2" s="354"/>
      <c r="FLS2" s="354"/>
      <c r="FLT2" s="354"/>
      <c r="FLU2" s="354"/>
      <c r="FLV2" s="354"/>
      <c r="FLW2" s="354"/>
      <c r="FLX2" s="354"/>
      <c r="FLY2" s="354"/>
      <c r="FLZ2" s="354"/>
      <c r="FMA2" s="354"/>
      <c r="FMB2" s="354"/>
      <c r="FMC2" s="354"/>
      <c r="FMD2" s="354"/>
      <c r="FME2" s="354"/>
      <c r="FMF2" s="354"/>
      <c r="FMG2" s="354"/>
      <c r="FMH2" s="354"/>
      <c r="FMI2" s="354"/>
      <c r="FMJ2" s="354"/>
      <c r="FMK2" s="354"/>
      <c r="FML2" s="354"/>
      <c r="FMM2" s="354"/>
      <c r="FMN2" s="354"/>
      <c r="FMO2" s="354"/>
      <c r="FMP2" s="354"/>
      <c r="FMQ2" s="354"/>
      <c r="FMR2" s="354"/>
      <c r="FMS2" s="354"/>
      <c r="FMT2" s="354"/>
      <c r="FMU2" s="354"/>
      <c r="FMV2" s="354"/>
      <c r="FMW2" s="354"/>
      <c r="FMX2" s="354"/>
      <c r="FMY2" s="354"/>
      <c r="FMZ2" s="354"/>
      <c r="FNA2" s="354"/>
      <c r="FNB2" s="354"/>
      <c r="FNC2" s="354"/>
      <c r="FND2" s="354"/>
      <c r="FNE2" s="354"/>
      <c r="FNF2" s="354"/>
      <c r="FNG2" s="354"/>
      <c r="FNH2" s="354"/>
      <c r="FNI2" s="354"/>
      <c r="FNJ2" s="354"/>
      <c r="FNK2" s="354"/>
      <c r="FNL2" s="354"/>
      <c r="FNM2" s="354"/>
      <c r="FNN2" s="354"/>
      <c r="FNO2" s="354"/>
      <c r="FNP2" s="354"/>
      <c r="FNQ2" s="354"/>
      <c r="FNR2" s="354"/>
      <c r="FNS2" s="354"/>
      <c r="FNT2" s="354"/>
      <c r="FNU2" s="354"/>
      <c r="FNV2" s="354"/>
      <c r="FNW2" s="354"/>
      <c r="FNX2" s="354"/>
      <c r="FNY2" s="354"/>
      <c r="FNZ2" s="354"/>
      <c r="FOA2" s="354"/>
      <c r="FOB2" s="354"/>
      <c r="FOC2" s="354"/>
      <c r="FOD2" s="354"/>
      <c r="FOE2" s="354"/>
      <c r="FOF2" s="354"/>
      <c r="FOG2" s="354"/>
      <c r="FOH2" s="354"/>
      <c r="FOI2" s="354"/>
      <c r="FOJ2" s="354"/>
      <c r="FOK2" s="354"/>
      <c r="FOL2" s="354"/>
      <c r="FOM2" s="354"/>
      <c r="FON2" s="354"/>
      <c r="FOO2" s="354"/>
      <c r="FOP2" s="354"/>
      <c r="FOQ2" s="354"/>
      <c r="FOR2" s="354"/>
      <c r="FOS2" s="354"/>
      <c r="FOT2" s="354"/>
      <c r="FOU2" s="354"/>
      <c r="FOV2" s="354"/>
      <c r="FOW2" s="354"/>
      <c r="FOX2" s="354"/>
      <c r="FOY2" s="354"/>
      <c r="FOZ2" s="354"/>
      <c r="FPA2" s="354"/>
      <c r="FPB2" s="354"/>
      <c r="FPC2" s="354"/>
      <c r="FPD2" s="354"/>
      <c r="FPE2" s="354"/>
      <c r="FPF2" s="354"/>
      <c r="FPG2" s="354"/>
      <c r="FPH2" s="354"/>
      <c r="FPI2" s="354"/>
      <c r="FPJ2" s="354"/>
      <c r="FPK2" s="354"/>
      <c r="FPL2" s="354"/>
      <c r="FPM2" s="354"/>
      <c r="FPN2" s="354"/>
      <c r="FPO2" s="354"/>
      <c r="FPP2" s="354"/>
      <c r="FPQ2" s="354"/>
      <c r="FPR2" s="354"/>
      <c r="FPS2" s="354"/>
      <c r="FPT2" s="354"/>
      <c r="FPU2" s="354"/>
      <c r="FPV2" s="354"/>
      <c r="FPW2" s="354"/>
      <c r="FPX2" s="354"/>
      <c r="FPY2" s="354"/>
      <c r="FPZ2" s="354"/>
      <c r="FQA2" s="354"/>
      <c r="FQB2" s="354"/>
      <c r="FQC2" s="354"/>
      <c r="FQD2" s="354"/>
      <c r="FQE2" s="354"/>
      <c r="FQF2" s="354"/>
      <c r="FQG2" s="354"/>
      <c r="FQH2" s="354"/>
      <c r="FQI2" s="354"/>
      <c r="FQJ2" s="354"/>
      <c r="FQK2" s="354"/>
      <c r="FQL2" s="354"/>
      <c r="FQM2" s="354"/>
      <c r="FQN2" s="354"/>
      <c r="FQO2" s="354"/>
      <c r="FQP2" s="354"/>
      <c r="FQQ2" s="354"/>
      <c r="FQR2" s="354"/>
      <c r="FQS2" s="354"/>
      <c r="FQT2" s="354"/>
      <c r="FQU2" s="354"/>
      <c r="FQV2" s="354"/>
      <c r="FQW2" s="354"/>
      <c r="FQX2" s="354"/>
      <c r="FQY2" s="354"/>
      <c r="FQZ2" s="354"/>
      <c r="FRA2" s="354"/>
      <c r="FRB2" s="354"/>
      <c r="FRC2" s="354"/>
      <c r="FRD2" s="354"/>
      <c r="FRE2" s="354"/>
      <c r="FRF2" s="354"/>
      <c r="FRG2" s="354"/>
      <c r="FRH2" s="354"/>
      <c r="FRI2" s="354"/>
      <c r="FRJ2" s="354"/>
      <c r="FRK2" s="354"/>
      <c r="FRL2" s="354"/>
      <c r="FRM2" s="354"/>
      <c r="FRN2" s="354"/>
      <c r="FRO2" s="354"/>
      <c r="FRP2" s="354"/>
      <c r="FRQ2" s="354"/>
      <c r="FRR2" s="354"/>
      <c r="FRS2" s="354"/>
      <c r="FRT2" s="354"/>
      <c r="FRU2" s="354"/>
      <c r="FRV2" s="354"/>
      <c r="FRW2" s="354"/>
      <c r="FRX2" s="354"/>
      <c r="FRY2" s="354"/>
      <c r="FRZ2" s="354"/>
      <c r="FSA2" s="354"/>
      <c r="FSB2" s="354"/>
      <c r="FSC2" s="354"/>
      <c r="FSD2" s="354"/>
      <c r="FSE2" s="354"/>
      <c r="FSF2" s="354"/>
      <c r="FSG2" s="354"/>
      <c r="FSH2" s="354"/>
      <c r="FSI2" s="354"/>
      <c r="FSJ2" s="354"/>
      <c r="FSK2" s="354"/>
      <c r="FSL2" s="354"/>
      <c r="FSM2" s="354"/>
      <c r="FSN2" s="354"/>
      <c r="FSO2" s="354"/>
      <c r="FSP2" s="354"/>
      <c r="FSQ2" s="354"/>
      <c r="FSR2" s="354"/>
      <c r="FSS2" s="354"/>
      <c r="FST2" s="354"/>
      <c r="FSU2" s="354"/>
      <c r="FSV2" s="354"/>
      <c r="FSW2" s="354"/>
      <c r="FSX2" s="354"/>
      <c r="FSY2" s="354"/>
      <c r="FSZ2" s="354"/>
      <c r="FTA2" s="354"/>
      <c r="FTB2" s="354"/>
      <c r="FTC2" s="354"/>
      <c r="FTD2" s="354"/>
      <c r="FTE2" s="354"/>
      <c r="FTF2" s="354"/>
      <c r="FTG2" s="354"/>
      <c r="FTH2" s="354"/>
      <c r="FTI2" s="354"/>
      <c r="FTJ2" s="354"/>
      <c r="FTK2" s="354"/>
      <c r="FTL2" s="354"/>
      <c r="FTM2" s="354"/>
      <c r="FTN2" s="354"/>
      <c r="FTO2" s="354"/>
      <c r="FTP2" s="354"/>
      <c r="FTQ2" s="354"/>
      <c r="FTR2" s="354"/>
      <c r="FTS2" s="354"/>
      <c r="FTT2" s="354"/>
      <c r="FTU2" s="354"/>
      <c r="FTV2" s="354"/>
      <c r="FTW2" s="354"/>
      <c r="FTX2" s="354"/>
      <c r="FTY2" s="354"/>
      <c r="FTZ2" s="354"/>
      <c r="FUA2" s="354"/>
      <c r="FUB2" s="354"/>
      <c r="FUC2" s="354"/>
      <c r="FUD2" s="354"/>
      <c r="FUE2" s="354"/>
      <c r="FUF2" s="354"/>
      <c r="FUG2" s="354"/>
      <c r="FUH2" s="354"/>
      <c r="FUI2" s="354"/>
      <c r="FUJ2" s="354"/>
      <c r="FUK2" s="354"/>
      <c r="FUL2" s="354"/>
      <c r="FUM2" s="354"/>
      <c r="FUN2" s="354"/>
      <c r="FUO2" s="354"/>
      <c r="FUP2" s="354"/>
      <c r="FUQ2" s="354"/>
      <c r="FUR2" s="354"/>
      <c r="FUS2" s="354"/>
      <c r="FUT2" s="354"/>
      <c r="FUU2" s="354"/>
      <c r="FUV2" s="354"/>
      <c r="FUW2" s="354"/>
      <c r="FUX2" s="354"/>
      <c r="FUY2" s="354"/>
      <c r="FUZ2" s="354"/>
      <c r="FVA2" s="354"/>
      <c r="FVB2" s="354"/>
      <c r="FVC2" s="354"/>
      <c r="FVD2" s="354"/>
      <c r="FVE2" s="354"/>
      <c r="FVF2" s="354"/>
      <c r="FVG2" s="354"/>
      <c r="FVH2" s="354"/>
      <c r="FVI2" s="354"/>
      <c r="FVJ2" s="354"/>
      <c r="FVK2" s="354"/>
      <c r="FVL2" s="354"/>
      <c r="FVM2" s="354"/>
      <c r="FVN2" s="354"/>
      <c r="FVO2" s="354"/>
      <c r="FVP2" s="354"/>
      <c r="FVQ2" s="354"/>
      <c r="FVR2" s="354"/>
      <c r="FVS2" s="354"/>
      <c r="FVT2" s="354"/>
      <c r="FVU2" s="354"/>
      <c r="FVV2" s="354"/>
      <c r="FVW2" s="354"/>
      <c r="FVX2" s="354"/>
      <c r="FVY2" s="354"/>
      <c r="FVZ2" s="354"/>
      <c r="FWA2" s="354"/>
      <c r="FWB2" s="354"/>
      <c r="FWC2" s="354"/>
      <c r="FWD2" s="354"/>
      <c r="FWE2" s="354"/>
      <c r="FWF2" s="354"/>
      <c r="FWG2" s="354"/>
      <c r="FWH2" s="354"/>
      <c r="FWI2" s="354"/>
      <c r="FWJ2" s="354"/>
      <c r="FWK2" s="354"/>
      <c r="FWL2" s="354"/>
      <c r="FWM2" s="354"/>
      <c r="FWN2" s="354"/>
      <c r="FWO2" s="354"/>
      <c r="FWP2" s="354"/>
      <c r="FWQ2" s="354"/>
      <c r="FWR2" s="354"/>
      <c r="FWS2" s="354"/>
      <c r="FWT2" s="354"/>
      <c r="FWU2" s="354"/>
      <c r="FWV2" s="354"/>
      <c r="FWW2" s="354"/>
      <c r="FWX2" s="354"/>
      <c r="FWY2" s="354"/>
      <c r="FWZ2" s="354"/>
      <c r="FXA2" s="354"/>
      <c r="FXB2" s="354"/>
      <c r="FXC2" s="354"/>
      <c r="FXD2" s="354"/>
      <c r="FXE2" s="354"/>
      <c r="FXF2" s="354"/>
      <c r="FXG2" s="354"/>
      <c r="FXH2" s="354"/>
      <c r="FXI2" s="354"/>
      <c r="FXJ2" s="354"/>
      <c r="FXK2" s="354"/>
      <c r="FXL2" s="354"/>
      <c r="FXM2" s="354"/>
      <c r="FXN2" s="354"/>
      <c r="FXO2" s="354"/>
      <c r="FXP2" s="354"/>
      <c r="FXQ2" s="354"/>
      <c r="FXR2" s="354"/>
      <c r="FXS2" s="354"/>
      <c r="FXT2" s="354"/>
      <c r="FXU2" s="354"/>
      <c r="FXV2" s="354"/>
      <c r="FXW2" s="354"/>
      <c r="FXX2" s="354"/>
      <c r="FXY2" s="354"/>
      <c r="FXZ2" s="354"/>
      <c r="FYA2" s="354"/>
      <c r="FYB2" s="354"/>
      <c r="FYC2" s="354"/>
      <c r="FYD2" s="354"/>
      <c r="FYE2" s="354"/>
      <c r="FYF2" s="354"/>
      <c r="FYG2" s="354"/>
      <c r="FYH2" s="354"/>
      <c r="FYI2" s="354"/>
      <c r="FYJ2" s="354"/>
      <c r="FYK2" s="354"/>
      <c r="FYL2" s="354"/>
      <c r="FYM2" s="354"/>
      <c r="FYN2" s="354"/>
      <c r="FYO2" s="354"/>
      <c r="FYP2" s="354"/>
      <c r="FYQ2" s="354"/>
      <c r="FYR2" s="354"/>
      <c r="FYS2" s="354"/>
      <c r="FYT2" s="354"/>
      <c r="FYU2" s="354"/>
      <c r="FYV2" s="354"/>
      <c r="FYW2" s="354"/>
      <c r="FYX2" s="354"/>
      <c r="FYY2" s="354"/>
      <c r="FYZ2" s="354"/>
      <c r="FZA2" s="354"/>
      <c r="FZB2" s="354"/>
      <c r="FZC2" s="354"/>
      <c r="FZD2" s="354"/>
      <c r="FZE2" s="354"/>
      <c r="FZF2" s="354"/>
      <c r="FZG2" s="354"/>
      <c r="FZH2" s="354"/>
      <c r="FZI2" s="354"/>
      <c r="FZJ2" s="354"/>
      <c r="FZK2" s="354"/>
      <c r="FZL2" s="354"/>
      <c r="FZM2" s="354"/>
      <c r="FZN2" s="354"/>
      <c r="FZO2" s="354"/>
      <c r="FZP2" s="354"/>
      <c r="FZQ2" s="354"/>
      <c r="FZR2" s="354"/>
      <c r="FZS2" s="354"/>
      <c r="FZT2" s="354"/>
      <c r="FZU2" s="354"/>
      <c r="FZV2" s="354"/>
      <c r="FZW2" s="354"/>
      <c r="FZX2" s="354"/>
      <c r="FZY2" s="354"/>
      <c r="FZZ2" s="354"/>
      <c r="GAA2" s="354"/>
      <c r="GAB2" s="354"/>
      <c r="GAC2" s="354"/>
      <c r="GAD2" s="354"/>
      <c r="GAE2" s="354"/>
      <c r="GAF2" s="354"/>
      <c r="GAG2" s="354"/>
      <c r="GAH2" s="354"/>
      <c r="GAI2" s="354"/>
      <c r="GAJ2" s="354"/>
      <c r="GAK2" s="354"/>
      <c r="GAL2" s="354"/>
      <c r="GAM2" s="354"/>
      <c r="GAN2" s="354"/>
      <c r="GAO2" s="354"/>
      <c r="GAP2" s="354"/>
      <c r="GAQ2" s="354"/>
      <c r="GAR2" s="354"/>
      <c r="GAS2" s="354"/>
      <c r="GAT2" s="354"/>
      <c r="GAU2" s="354"/>
      <c r="GAV2" s="354"/>
      <c r="GAW2" s="354"/>
      <c r="GAX2" s="354"/>
      <c r="GAY2" s="354"/>
      <c r="GAZ2" s="354"/>
      <c r="GBA2" s="354"/>
      <c r="GBB2" s="354"/>
      <c r="GBC2" s="354"/>
      <c r="GBD2" s="354"/>
      <c r="GBE2" s="354"/>
      <c r="GBF2" s="354"/>
      <c r="GBG2" s="354"/>
      <c r="GBH2" s="354"/>
      <c r="GBI2" s="354"/>
      <c r="GBJ2" s="354"/>
      <c r="GBK2" s="354"/>
      <c r="GBL2" s="354"/>
      <c r="GBM2" s="354"/>
      <c r="GBN2" s="354"/>
      <c r="GBO2" s="354"/>
      <c r="GBP2" s="354"/>
      <c r="GBQ2" s="354"/>
      <c r="GBR2" s="354"/>
      <c r="GBS2" s="354"/>
      <c r="GBT2" s="354"/>
      <c r="GBU2" s="354"/>
      <c r="GBV2" s="354"/>
      <c r="GBW2" s="354"/>
      <c r="GBX2" s="354"/>
      <c r="GBY2" s="354"/>
      <c r="GBZ2" s="354"/>
      <c r="GCA2" s="354"/>
      <c r="GCB2" s="354"/>
      <c r="GCC2" s="354"/>
      <c r="GCD2" s="354"/>
      <c r="GCE2" s="354"/>
      <c r="GCF2" s="354"/>
      <c r="GCG2" s="354"/>
      <c r="GCH2" s="354"/>
      <c r="GCI2" s="354"/>
      <c r="GCJ2" s="354"/>
      <c r="GCK2" s="354"/>
      <c r="GCL2" s="354"/>
      <c r="GCM2" s="354"/>
      <c r="GCN2" s="354"/>
      <c r="GCO2" s="354"/>
      <c r="GCP2" s="354"/>
      <c r="GCQ2" s="354"/>
      <c r="GCR2" s="354"/>
      <c r="GCS2" s="354"/>
      <c r="GCT2" s="354"/>
      <c r="GCU2" s="354"/>
      <c r="GCV2" s="354"/>
      <c r="GCW2" s="354"/>
      <c r="GCX2" s="354"/>
      <c r="GCY2" s="354"/>
      <c r="GCZ2" s="354"/>
      <c r="GDA2" s="354"/>
      <c r="GDB2" s="354"/>
      <c r="GDC2" s="354"/>
      <c r="GDD2" s="354"/>
      <c r="GDE2" s="354"/>
      <c r="GDF2" s="354"/>
      <c r="GDG2" s="354"/>
      <c r="GDH2" s="354"/>
      <c r="GDI2" s="354"/>
      <c r="GDJ2" s="354"/>
      <c r="GDK2" s="354"/>
      <c r="GDL2" s="354"/>
      <c r="GDM2" s="354"/>
      <c r="GDN2" s="354"/>
      <c r="GDO2" s="354"/>
      <c r="GDP2" s="354"/>
      <c r="GDQ2" s="354"/>
      <c r="GDR2" s="354"/>
      <c r="GDS2" s="354"/>
      <c r="GDT2" s="354"/>
      <c r="GDU2" s="354"/>
      <c r="GDV2" s="354"/>
      <c r="GDW2" s="354"/>
      <c r="GDX2" s="354"/>
      <c r="GDY2" s="354"/>
      <c r="GDZ2" s="354"/>
      <c r="GEA2" s="354"/>
      <c r="GEB2" s="354"/>
      <c r="GEC2" s="354"/>
      <c r="GED2" s="354"/>
      <c r="GEE2" s="354"/>
      <c r="GEF2" s="354"/>
      <c r="GEG2" s="354"/>
      <c r="GEH2" s="354"/>
      <c r="GEI2" s="354"/>
      <c r="GEJ2" s="354"/>
      <c r="GEK2" s="354"/>
      <c r="GEL2" s="354"/>
      <c r="GEM2" s="354"/>
      <c r="GEN2" s="354"/>
      <c r="GEO2" s="354"/>
      <c r="GEP2" s="354"/>
      <c r="GEQ2" s="354"/>
      <c r="GER2" s="354"/>
      <c r="GES2" s="354"/>
      <c r="GET2" s="354"/>
      <c r="GEU2" s="354"/>
      <c r="GEV2" s="354"/>
      <c r="GEW2" s="354"/>
      <c r="GEX2" s="354"/>
      <c r="GEY2" s="354"/>
      <c r="GEZ2" s="354"/>
      <c r="GFA2" s="354"/>
      <c r="GFB2" s="354"/>
      <c r="GFC2" s="354"/>
      <c r="GFD2" s="354"/>
      <c r="GFE2" s="354"/>
      <c r="GFF2" s="354"/>
      <c r="GFG2" s="354"/>
      <c r="GFH2" s="354"/>
      <c r="GFI2" s="354"/>
      <c r="GFJ2" s="354"/>
      <c r="GFK2" s="354"/>
      <c r="GFL2" s="354"/>
      <c r="GFM2" s="354"/>
      <c r="GFN2" s="354"/>
      <c r="GFO2" s="354"/>
      <c r="GFP2" s="354"/>
      <c r="GFQ2" s="354"/>
      <c r="GFR2" s="354"/>
      <c r="GFS2" s="354"/>
      <c r="GFT2" s="354"/>
      <c r="GFU2" s="354"/>
      <c r="GFV2" s="354"/>
      <c r="GFW2" s="354"/>
      <c r="GFX2" s="354"/>
      <c r="GFY2" s="354"/>
      <c r="GFZ2" s="354"/>
      <c r="GGA2" s="354"/>
      <c r="GGB2" s="354"/>
      <c r="GGC2" s="354"/>
      <c r="GGD2" s="354"/>
      <c r="GGE2" s="354"/>
      <c r="GGF2" s="354"/>
      <c r="GGG2" s="354"/>
      <c r="GGH2" s="354"/>
      <c r="GGI2" s="354"/>
      <c r="GGJ2" s="354"/>
      <c r="GGK2" s="354"/>
      <c r="GGL2" s="354"/>
      <c r="GGM2" s="354"/>
      <c r="GGN2" s="354"/>
      <c r="GGO2" s="354"/>
      <c r="GGP2" s="354"/>
      <c r="GGQ2" s="354"/>
      <c r="GGR2" s="354"/>
      <c r="GGS2" s="354"/>
      <c r="GGT2" s="354"/>
      <c r="GGU2" s="354"/>
      <c r="GGV2" s="354"/>
      <c r="GGW2" s="354"/>
      <c r="GGX2" s="354"/>
      <c r="GGY2" s="354"/>
      <c r="GGZ2" s="354"/>
      <c r="GHA2" s="354"/>
      <c r="GHB2" s="354"/>
      <c r="GHC2" s="354"/>
      <c r="GHD2" s="354"/>
      <c r="GHE2" s="354"/>
      <c r="GHF2" s="354"/>
      <c r="GHG2" s="354"/>
      <c r="GHH2" s="354"/>
      <c r="GHI2" s="354"/>
      <c r="GHJ2" s="354"/>
      <c r="GHK2" s="354"/>
      <c r="GHL2" s="354"/>
      <c r="GHM2" s="354"/>
      <c r="GHN2" s="354"/>
      <c r="GHO2" s="354"/>
      <c r="GHP2" s="354"/>
      <c r="GHQ2" s="354"/>
      <c r="GHR2" s="354"/>
      <c r="GHS2" s="354"/>
      <c r="GHT2" s="354"/>
      <c r="GHU2" s="354"/>
      <c r="GHV2" s="354"/>
      <c r="GHW2" s="354"/>
      <c r="GHX2" s="354"/>
      <c r="GHY2" s="354"/>
      <c r="GHZ2" s="354"/>
      <c r="GIA2" s="354"/>
      <c r="GIB2" s="354"/>
      <c r="GIC2" s="354"/>
      <c r="GID2" s="354"/>
      <c r="GIE2" s="354"/>
      <c r="GIF2" s="354"/>
      <c r="GIG2" s="354"/>
      <c r="GIH2" s="354"/>
      <c r="GII2" s="354"/>
      <c r="GIJ2" s="354"/>
      <c r="GIK2" s="354"/>
      <c r="GIL2" s="354"/>
      <c r="GIM2" s="354"/>
      <c r="GIN2" s="354"/>
      <c r="GIO2" s="354"/>
      <c r="GIP2" s="354"/>
      <c r="GIQ2" s="354"/>
      <c r="GIR2" s="354"/>
      <c r="GIS2" s="354"/>
      <c r="GIT2" s="354"/>
      <c r="GIU2" s="354"/>
      <c r="GIV2" s="354"/>
      <c r="GIW2" s="354"/>
      <c r="GIX2" s="354"/>
      <c r="GIY2" s="354"/>
      <c r="GIZ2" s="354"/>
      <c r="GJA2" s="354"/>
      <c r="GJB2" s="354"/>
      <c r="GJC2" s="354"/>
      <c r="GJD2" s="354"/>
      <c r="GJE2" s="354"/>
      <c r="GJF2" s="354"/>
      <c r="GJG2" s="354"/>
      <c r="GJH2" s="354"/>
      <c r="GJI2" s="354"/>
      <c r="GJJ2" s="354"/>
      <c r="GJK2" s="354"/>
      <c r="GJL2" s="354"/>
      <c r="GJM2" s="354"/>
      <c r="GJN2" s="354"/>
      <c r="GJO2" s="354"/>
      <c r="GJP2" s="354"/>
      <c r="GJQ2" s="354"/>
      <c r="GJR2" s="354"/>
      <c r="GJS2" s="354"/>
      <c r="GJT2" s="354"/>
      <c r="GJU2" s="354"/>
      <c r="GJV2" s="354"/>
      <c r="GJW2" s="354"/>
      <c r="GJX2" s="354"/>
      <c r="GJY2" s="354"/>
      <c r="GJZ2" s="354"/>
      <c r="GKA2" s="354"/>
      <c r="GKB2" s="354"/>
      <c r="GKC2" s="354"/>
      <c r="GKD2" s="354"/>
      <c r="GKE2" s="354"/>
      <c r="GKF2" s="354"/>
      <c r="GKG2" s="354"/>
      <c r="GKH2" s="354"/>
      <c r="GKI2" s="354"/>
      <c r="GKJ2" s="354"/>
      <c r="GKK2" s="354"/>
      <c r="GKL2" s="354"/>
      <c r="GKM2" s="354"/>
      <c r="GKN2" s="354"/>
      <c r="GKO2" s="354"/>
      <c r="GKP2" s="354"/>
      <c r="GKQ2" s="354"/>
      <c r="GKR2" s="354"/>
      <c r="GKS2" s="354"/>
      <c r="GKT2" s="354"/>
      <c r="GKU2" s="354"/>
      <c r="GKV2" s="354"/>
      <c r="GKW2" s="354"/>
      <c r="GKX2" s="354"/>
      <c r="GKY2" s="354"/>
      <c r="GKZ2" s="354"/>
      <c r="GLA2" s="354"/>
      <c r="GLB2" s="354"/>
      <c r="GLC2" s="354"/>
      <c r="GLD2" s="354"/>
      <c r="GLE2" s="354"/>
      <c r="GLF2" s="354"/>
      <c r="GLG2" s="354"/>
      <c r="GLH2" s="354"/>
      <c r="GLI2" s="354"/>
      <c r="GLJ2" s="354"/>
      <c r="GLK2" s="354"/>
      <c r="GLL2" s="354"/>
      <c r="GLM2" s="354"/>
      <c r="GLN2" s="354"/>
      <c r="GLO2" s="354"/>
      <c r="GLP2" s="354"/>
      <c r="GLQ2" s="354"/>
      <c r="GLR2" s="354"/>
      <c r="GLS2" s="354"/>
      <c r="GLT2" s="354"/>
      <c r="GLU2" s="354"/>
      <c r="GLV2" s="354"/>
      <c r="GLW2" s="354"/>
      <c r="GLX2" s="354"/>
      <c r="GLY2" s="354"/>
      <c r="GLZ2" s="354"/>
      <c r="GMA2" s="354"/>
      <c r="GMB2" s="354"/>
      <c r="GMC2" s="354"/>
      <c r="GMD2" s="354"/>
      <c r="GME2" s="354"/>
      <c r="GMF2" s="354"/>
      <c r="GMG2" s="354"/>
      <c r="GMH2" s="354"/>
      <c r="GMI2" s="354"/>
      <c r="GMJ2" s="354"/>
      <c r="GMK2" s="354"/>
      <c r="GML2" s="354"/>
      <c r="GMM2" s="354"/>
      <c r="GMN2" s="354"/>
      <c r="GMO2" s="354"/>
      <c r="GMP2" s="354"/>
      <c r="GMQ2" s="354"/>
      <c r="GMR2" s="354"/>
      <c r="GMS2" s="354"/>
      <c r="GMT2" s="354"/>
      <c r="GMU2" s="354"/>
      <c r="GMV2" s="354"/>
      <c r="GMW2" s="354"/>
      <c r="GMX2" s="354"/>
      <c r="GMY2" s="354"/>
      <c r="GMZ2" s="354"/>
      <c r="GNA2" s="354"/>
      <c r="GNB2" s="354"/>
      <c r="GNC2" s="354"/>
      <c r="GND2" s="354"/>
      <c r="GNE2" s="354"/>
      <c r="GNF2" s="354"/>
      <c r="GNG2" s="354"/>
      <c r="GNH2" s="354"/>
      <c r="GNI2" s="354"/>
      <c r="GNJ2" s="354"/>
      <c r="GNK2" s="354"/>
      <c r="GNL2" s="354"/>
      <c r="GNM2" s="354"/>
      <c r="GNN2" s="354"/>
      <c r="GNO2" s="354"/>
      <c r="GNP2" s="354"/>
      <c r="GNQ2" s="354"/>
      <c r="GNR2" s="354"/>
      <c r="GNS2" s="354"/>
      <c r="GNT2" s="354"/>
      <c r="GNU2" s="354"/>
      <c r="GNV2" s="354"/>
      <c r="GNW2" s="354"/>
      <c r="GNX2" s="354"/>
      <c r="GNY2" s="354"/>
      <c r="GNZ2" s="354"/>
      <c r="GOA2" s="354"/>
      <c r="GOB2" s="354"/>
      <c r="GOC2" s="354"/>
      <c r="GOD2" s="354"/>
      <c r="GOE2" s="354"/>
      <c r="GOF2" s="354"/>
      <c r="GOG2" s="354"/>
      <c r="GOH2" s="354"/>
      <c r="GOI2" s="354"/>
      <c r="GOJ2" s="354"/>
      <c r="GOK2" s="354"/>
      <c r="GOL2" s="354"/>
      <c r="GOM2" s="354"/>
      <c r="GON2" s="354"/>
      <c r="GOO2" s="354"/>
      <c r="GOP2" s="354"/>
      <c r="GOQ2" s="354"/>
      <c r="GOR2" s="354"/>
      <c r="GOS2" s="354"/>
      <c r="GOT2" s="354"/>
      <c r="GOU2" s="354"/>
      <c r="GOV2" s="354"/>
      <c r="GOW2" s="354"/>
      <c r="GOX2" s="354"/>
      <c r="GOY2" s="354"/>
      <c r="GOZ2" s="354"/>
      <c r="GPA2" s="354"/>
      <c r="GPB2" s="354"/>
      <c r="GPC2" s="354"/>
      <c r="GPD2" s="354"/>
      <c r="GPE2" s="354"/>
      <c r="GPF2" s="354"/>
      <c r="GPG2" s="354"/>
      <c r="GPH2" s="354"/>
      <c r="GPI2" s="354"/>
      <c r="GPJ2" s="354"/>
      <c r="GPK2" s="354"/>
      <c r="GPL2" s="354"/>
      <c r="GPM2" s="354"/>
      <c r="GPN2" s="354"/>
      <c r="GPO2" s="354"/>
      <c r="GPP2" s="354"/>
      <c r="GPQ2" s="354"/>
      <c r="GPR2" s="354"/>
      <c r="GPS2" s="354"/>
      <c r="GPT2" s="354"/>
      <c r="GPU2" s="354"/>
      <c r="GPV2" s="354"/>
      <c r="GPW2" s="354"/>
      <c r="GPX2" s="354"/>
      <c r="GPY2" s="354"/>
      <c r="GPZ2" s="354"/>
      <c r="GQA2" s="354"/>
      <c r="GQB2" s="354"/>
      <c r="GQC2" s="354"/>
      <c r="GQD2" s="354"/>
      <c r="GQE2" s="354"/>
      <c r="GQF2" s="354"/>
      <c r="GQG2" s="354"/>
      <c r="GQH2" s="354"/>
      <c r="GQI2" s="354"/>
      <c r="GQJ2" s="354"/>
      <c r="GQK2" s="354"/>
      <c r="GQL2" s="354"/>
      <c r="GQM2" s="354"/>
      <c r="GQN2" s="354"/>
      <c r="GQO2" s="354"/>
      <c r="GQP2" s="354"/>
      <c r="GQQ2" s="354"/>
      <c r="GQR2" s="354"/>
      <c r="GQS2" s="354"/>
      <c r="GQT2" s="354"/>
      <c r="GQU2" s="354"/>
      <c r="GQV2" s="354"/>
      <c r="GQW2" s="354"/>
      <c r="GQX2" s="354"/>
      <c r="GQY2" s="354"/>
      <c r="GQZ2" s="354"/>
      <c r="GRA2" s="354"/>
      <c r="GRB2" s="354"/>
      <c r="GRC2" s="354"/>
      <c r="GRD2" s="354"/>
      <c r="GRE2" s="354"/>
      <c r="GRF2" s="354"/>
      <c r="GRG2" s="354"/>
      <c r="GRH2" s="354"/>
      <c r="GRI2" s="354"/>
      <c r="GRJ2" s="354"/>
      <c r="GRK2" s="354"/>
      <c r="GRL2" s="354"/>
      <c r="GRM2" s="354"/>
      <c r="GRN2" s="354"/>
      <c r="GRO2" s="354"/>
      <c r="GRP2" s="354"/>
      <c r="GRQ2" s="354"/>
      <c r="GRR2" s="354"/>
      <c r="GRS2" s="354"/>
      <c r="GRT2" s="354"/>
      <c r="GRU2" s="354"/>
      <c r="GRV2" s="354"/>
      <c r="GRW2" s="354"/>
      <c r="GRX2" s="354"/>
      <c r="GRY2" s="354"/>
      <c r="GRZ2" s="354"/>
      <c r="GSA2" s="354"/>
      <c r="GSB2" s="354"/>
      <c r="GSC2" s="354"/>
      <c r="GSD2" s="354"/>
      <c r="GSE2" s="354"/>
      <c r="GSF2" s="354"/>
      <c r="GSG2" s="354"/>
      <c r="GSH2" s="354"/>
      <c r="GSI2" s="354"/>
      <c r="GSJ2" s="354"/>
      <c r="GSK2" s="354"/>
      <c r="GSL2" s="354"/>
      <c r="GSM2" s="354"/>
      <c r="GSN2" s="354"/>
      <c r="GSO2" s="354"/>
      <c r="GSP2" s="354"/>
      <c r="GSQ2" s="354"/>
      <c r="GSR2" s="354"/>
      <c r="GSS2" s="354"/>
      <c r="GST2" s="354"/>
      <c r="GSU2" s="354"/>
      <c r="GSV2" s="354"/>
      <c r="GSW2" s="354"/>
      <c r="GSX2" s="354"/>
      <c r="GSY2" s="354"/>
      <c r="GSZ2" s="354"/>
      <c r="GTA2" s="354"/>
      <c r="GTB2" s="354"/>
      <c r="GTC2" s="354"/>
      <c r="GTD2" s="354"/>
      <c r="GTE2" s="354"/>
      <c r="GTF2" s="354"/>
      <c r="GTG2" s="354"/>
      <c r="GTH2" s="354"/>
      <c r="GTI2" s="354"/>
      <c r="GTJ2" s="354"/>
      <c r="GTK2" s="354"/>
      <c r="GTL2" s="354"/>
      <c r="GTM2" s="354"/>
      <c r="GTN2" s="354"/>
      <c r="GTO2" s="354"/>
      <c r="GTP2" s="354"/>
      <c r="GTQ2" s="354"/>
      <c r="GTR2" s="354"/>
      <c r="GTS2" s="354"/>
      <c r="GTT2" s="354"/>
      <c r="GTU2" s="354"/>
      <c r="GTV2" s="354"/>
      <c r="GTW2" s="354"/>
      <c r="GTX2" s="354"/>
      <c r="GTY2" s="354"/>
      <c r="GTZ2" s="354"/>
      <c r="GUA2" s="354"/>
      <c r="GUB2" s="354"/>
      <c r="GUC2" s="354"/>
      <c r="GUD2" s="354"/>
      <c r="GUE2" s="354"/>
      <c r="GUF2" s="354"/>
      <c r="GUG2" s="354"/>
      <c r="GUH2" s="354"/>
      <c r="GUI2" s="354"/>
      <c r="GUJ2" s="354"/>
      <c r="GUK2" s="354"/>
      <c r="GUL2" s="354"/>
      <c r="GUM2" s="354"/>
      <c r="GUN2" s="354"/>
      <c r="GUO2" s="354"/>
      <c r="GUP2" s="354"/>
      <c r="GUQ2" s="354"/>
      <c r="GUR2" s="354"/>
      <c r="GUS2" s="354"/>
      <c r="GUT2" s="354"/>
      <c r="GUU2" s="354"/>
      <c r="GUV2" s="354"/>
      <c r="GUW2" s="354"/>
      <c r="GUX2" s="354"/>
      <c r="GUY2" s="354"/>
      <c r="GUZ2" s="354"/>
      <c r="GVA2" s="354"/>
      <c r="GVB2" s="354"/>
      <c r="GVC2" s="354"/>
      <c r="GVD2" s="354"/>
      <c r="GVE2" s="354"/>
      <c r="GVF2" s="354"/>
      <c r="GVG2" s="354"/>
      <c r="GVH2" s="354"/>
      <c r="GVI2" s="354"/>
      <c r="GVJ2" s="354"/>
      <c r="GVK2" s="354"/>
      <c r="GVL2" s="354"/>
      <c r="GVM2" s="354"/>
      <c r="GVN2" s="354"/>
      <c r="GVO2" s="354"/>
      <c r="GVP2" s="354"/>
      <c r="GVQ2" s="354"/>
      <c r="GVR2" s="354"/>
      <c r="GVS2" s="354"/>
      <c r="GVT2" s="354"/>
      <c r="GVU2" s="354"/>
      <c r="GVV2" s="354"/>
      <c r="GVW2" s="354"/>
      <c r="GVX2" s="354"/>
      <c r="GVY2" s="354"/>
      <c r="GVZ2" s="354"/>
      <c r="GWA2" s="354"/>
      <c r="GWB2" s="354"/>
      <c r="GWC2" s="354"/>
      <c r="GWD2" s="354"/>
      <c r="GWE2" s="354"/>
      <c r="GWF2" s="354"/>
      <c r="GWG2" s="354"/>
      <c r="GWH2" s="354"/>
      <c r="GWI2" s="354"/>
      <c r="GWJ2" s="354"/>
      <c r="GWK2" s="354"/>
      <c r="GWL2" s="354"/>
      <c r="GWM2" s="354"/>
      <c r="GWN2" s="354"/>
      <c r="GWO2" s="354"/>
      <c r="GWP2" s="354"/>
      <c r="GWQ2" s="354"/>
      <c r="GWR2" s="354"/>
      <c r="GWS2" s="354"/>
      <c r="GWT2" s="354"/>
      <c r="GWU2" s="354"/>
      <c r="GWV2" s="354"/>
      <c r="GWW2" s="354"/>
      <c r="GWX2" s="354"/>
      <c r="GWY2" s="354"/>
      <c r="GWZ2" s="354"/>
      <c r="GXA2" s="354"/>
      <c r="GXB2" s="354"/>
      <c r="GXC2" s="354"/>
      <c r="GXD2" s="354"/>
      <c r="GXE2" s="354"/>
      <c r="GXF2" s="354"/>
      <c r="GXG2" s="354"/>
      <c r="GXH2" s="354"/>
      <c r="GXI2" s="354"/>
      <c r="GXJ2" s="354"/>
      <c r="GXK2" s="354"/>
      <c r="GXL2" s="354"/>
      <c r="GXM2" s="354"/>
      <c r="GXN2" s="354"/>
      <c r="GXO2" s="354"/>
      <c r="GXP2" s="354"/>
      <c r="GXQ2" s="354"/>
      <c r="GXR2" s="354"/>
      <c r="GXS2" s="354"/>
      <c r="GXT2" s="354"/>
      <c r="GXU2" s="354"/>
      <c r="GXV2" s="354"/>
      <c r="GXW2" s="354"/>
      <c r="GXX2" s="354"/>
      <c r="GXY2" s="354"/>
      <c r="GXZ2" s="354"/>
      <c r="GYA2" s="354"/>
      <c r="GYB2" s="354"/>
      <c r="GYC2" s="354"/>
      <c r="GYD2" s="354"/>
      <c r="GYE2" s="354"/>
      <c r="GYF2" s="354"/>
      <c r="GYG2" s="354"/>
      <c r="GYH2" s="354"/>
      <c r="GYI2" s="354"/>
      <c r="GYJ2" s="354"/>
      <c r="GYK2" s="354"/>
      <c r="GYL2" s="354"/>
      <c r="GYM2" s="354"/>
      <c r="GYN2" s="354"/>
      <c r="GYO2" s="354"/>
      <c r="GYP2" s="354"/>
      <c r="GYQ2" s="354"/>
      <c r="GYR2" s="354"/>
      <c r="GYS2" s="354"/>
      <c r="GYT2" s="354"/>
      <c r="GYU2" s="354"/>
      <c r="GYV2" s="354"/>
      <c r="GYW2" s="354"/>
      <c r="GYX2" s="354"/>
      <c r="GYY2" s="354"/>
      <c r="GYZ2" s="354"/>
      <c r="GZA2" s="354"/>
      <c r="GZB2" s="354"/>
      <c r="GZC2" s="354"/>
      <c r="GZD2" s="354"/>
      <c r="GZE2" s="354"/>
      <c r="GZF2" s="354"/>
      <c r="GZG2" s="354"/>
      <c r="GZH2" s="354"/>
      <c r="GZI2" s="354"/>
      <c r="GZJ2" s="354"/>
      <c r="GZK2" s="354"/>
      <c r="GZL2" s="354"/>
      <c r="GZM2" s="354"/>
      <c r="GZN2" s="354"/>
      <c r="GZO2" s="354"/>
      <c r="GZP2" s="354"/>
      <c r="GZQ2" s="354"/>
      <c r="GZR2" s="354"/>
      <c r="GZS2" s="354"/>
      <c r="GZT2" s="354"/>
      <c r="GZU2" s="354"/>
      <c r="GZV2" s="354"/>
      <c r="GZW2" s="354"/>
      <c r="GZX2" s="354"/>
      <c r="GZY2" s="354"/>
      <c r="GZZ2" s="354"/>
      <c r="HAA2" s="354"/>
      <c r="HAB2" s="354"/>
      <c r="HAC2" s="354"/>
      <c r="HAD2" s="354"/>
      <c r="HAE2" s="354"/>
      <c r="HAF2" s="354"/>
      <c r="HAG2" s="354"/>
      <c r="HAH2" s="354"/>
      <c r="HAI2" s="354"/>
      <c r="HAJ2" s="354"/>
      <c r="HAK2" s="354"/>
      <c r="HAL2" s="354"/>
      <c r="HAM2" s="354"/>
      <c r="HAN2" s="354"/>
      <c r="HAO2" s="354"/>
      <c r="HAP2" s="354"/>
      <c r="HAQ2" s="354"/>
      <c r="HAR2" s="354"/>
      <c r="HAS2" s="354"/>
      <c r="HAT2" s="354"/>
      <c r="HAU2" s="354"/>
      <c r="HAV2" s="354"/>
      <c r="HAW2" s="354"/>
      <c r="HAX2" s="354"/>
      <c r="HAY2" s="354"/>
      <c r="HAZ2" s="354"/>
      <c r="HBA2" s="354"/>
      <c r="HBB2" s="354"/>
      <c r="HBC2" s="354"/>
      <c r="HBD2" s="354"/>
      <c r="HBE2" s="354"/>
      <c r="HBF2" s="354"/>
      <c r="HBG2" s="354"/>
      <c r="HBH2" s="354"/>
      <c r="HBI2" s="354"/>
      <c r="HBJ2" s="354"/>
      <c r="HBK2" s="354"/>
      <c r="HBL2" s="354"/>
      <c r="HBM2" s="354"/>
      <c r="HBN2" s="354"/>
      <c r="HBO2" s="354"/>
      <c r="HBP2" s="354"/>
      <c r="HBQ2" s="354"/>
      <c r="HBR2" s="354"/>
      <c r="HBS2" s="354"/>
      <c r="HBT2" s="354"/>
      <c r="HBU2" s="354"/>
      <c r="HBV2" s="354"/>
      <c r="HBW2" s="354"/>
      <c r="HBX2" s="354"/>
      <c r="HBY2" s="354"/>
      <c r="HBZ2" s="354"/>
      <c r="HCA2" s="354"/>
      <c r="HCB2" s="354"/>
      <c r="HCC2" s="354"/>
      <c r="HCD2" s="354"/>
      <c r="HCE2" s="354"/>
      <c r="HCF2" s="354"/>
      <c r="HCG2" s="354"/>
      <c r="HCH2" s="354"/>
      <c r="HCI2" s="354"/>
      <c r="HCJ2" s="354"/>
      <c r="HCK2" s="354"/>
      <c r="HCL2" s="354"/>
      <c r="HCM2" s="354"/>
      <c r="HCN2" s="354"/>
      <c r="HCO2" s="354"/>
      <c r="HCP2" s="354"/>
      <c r="HCQ2" s="354"/>
      <c r="HCR2" s="354"/>
      <c r="HCS2" s="354"/>
      <c r="HCT2" s="354"/>
      <c r="HCU2" s="354"/>
      <c r="HCV2" s="354"/>
      <c r="HCW2" s="354"/>
      <c r="HCX2" s="354"/>
      <c r="HCY2" s="354"/>
      <c r="HCZ2" s="354"/>
      <c r="HDA2" s="354"/>
      <c r="HDB2" s="354"/>
      <c r="HDC2" s="354"/>
      <c r="HDD2" s="354"/>
      <c r="HDE2" s="354"/>
      <c r="HDF2" s="354"/>
      <c r="HDG2" s="354"/>
      <c r="HDH2" s="354"/>
      <c r="HDI2" s="354"/>
      <c r="HDJ2" s="354"/>
      <c r="HDK2" s="354"/>
      <c r="HDL2" s="354"/>
      <c r="HDM2" s="354"/>
      <c r="HDN2" s="354"/>
      <c r="HDO2" s="354"/>
      <c r="HDP2" s="354"/>
      <c r="HDQ2" s="354"/>
      <c r="HDR2" s="354"/>
      <c r="HDS2" s="354"/>
      <c r="HDT2" s="354"/>
      <c r="HDU2" s="354"/>
      <c r="HDV2" s="354"/>
      <c r="HDW2" s="354"/>
      <c r="HDX2" s="354"/>
      <c r="HDY2" s="354"/>
      <c r="HDZ2" s="354"/>
      <c r="HEA2" s="354"/>
      <c r="HEB2" s="354"/>
      <c r="HEC2" s="354"/>
      <c r="HED2" s="354"/>
      <c r="HEE2" s="354"/>
      <c r="HEF2" s="354"/>
      <c r="HEG2" s="354"/>
      <c r="HEH2" s="354"/>
      <c r="HEI2" s="354"/>
      <c r="HEJ2" s="354"/>
      <c r="HEK2" s="354"/>
      <c r="HEL2" s="354"/>
      <c r="HEM2" s="354"/>
      <c r="HEN2" s="354"/>
      <c r="HEO2" s="354"/>
      <c r="HEP2" s="354"/>
      <c r="HEQ2" s="354"/>
      <c r="HER2" s="354"/>
      <c r="HES2" s="354"/>
      <c r="HET2" s="354"/>
      <c r="HEU2" s="354"/>
      <c r="HEV2" s="354"/>
      <c r="HEW2" s="354"/>
      <c r="HEX2" s="354"/>
      <c r="HEY2" s="354"/>
      <c r="HEZ2" s="354"/>
      <c r="HFA2" s="354"/>
      <c r="HFB2" s="354"/>
      <c r="HFC2" s="354"/>
      <c r="HFD2" s="354"/>
      <c r="HFE2" s="354"/>
      <c r="HFF2" s="354"/>
      <c r="HFG2" s="354"/>
      <c r="HFH2" s="354"/>
      <c r="HFI2" s="354"/>
      <c r="HFJ2" s="354"/>
      <c r="HFK2" s="354"/>
      <c r="HFL2" s="354"/>
      <c r="HFM2" s="354"/>
      <c r="HFN2" s="354"/>
      <c r="HFO2" s="354"/>
      <c r="HFP2" s="354"/>
      <c r="HFQ2" s="354"/>
      <c r="HFR2" s="354"/>
      <c r="HFS2" s="354"/>
      <c r="HFT2" s="354"/>
      <c r="HFU2" s="354"/>
      <c r="HFV2" s="354"/>
      <c r="HFW2" s="354"/>
      <c r="HFX2" s="354"/>
      <c r="HFY2" s="354"/>
      <c r="HFZ2" s="354"/>
      <c r="HGA2" s="354"/>
      <c r="HGB2" s="354"/>
      <c r="HGC2" s="354"/>
      <c r="HGD2" s="354"/>
      <c r="HGE2" s="354"/>
      <c r="HGF2" s="354"/>
      <c r="HGG2" s="354"/>
      <c r="HGH2" s="354"/>
      <c r="HGI2" s="354"/>
      <c r="HGJ2" s="354"/>
      <c r="HGK2" s="354"/>
      <c r="HGL2" s="354"/>
      <c r="HGM2" s="354"/>
      <c r="HGN2" s="354"/>
      <c r="HGO2" s="354"/>
      <c r="HGP2" s="354"/>
      <c r="HGQ2" s="354"/>
      <c r="HGR2" s="354"/>
      <c r="HGS2" s="354"/>
      <c r="HGT2" s="354"/>
      <c r="HGU2" s="354"/>
      <c r="HGV2" s="354"/>
      <c r="HGW2" s="354"/>
      <c r="HGX2" s="354"/>
      <c r="HGY2" s="354"/>
      <c r="HGZ2" s="354"/>
      <c r="HHA2" s="354"/>
      <c r="HHB2" s="354"/>
      <c r="HHC2" s="354"/>
      <c r="HHD2" s="354"/>
      <c r="HHE2" s="354"/>
      <c r="HHF2" s="354"/>
      <c r="HHG2" s="354"/>
      <c r="HHH2" s="354"/>
      <c r="HHI2" s="354"/>
      <c r="HHJ2" s="354"/>
      <c r="HHK2" s="354"/>
      <c r="HHL2" s="354"/>
      <c r="HHM2" s="354"/>
      <c r="HHN2" s="354"/>
      <c r="HHO2" s="354"/>
      <c r="HHP2" s="354"/>
      <c r="HHQ2" s="354"/>
      <c r="HHR2" s="354"/>
      <c r="HHS2" s="354"/>
      <c r="HHT2" s="354"/>
      <c r="HHU2" s="354"/>
      <c r="HHV2" s="354"/>
      <c r="HHW2" s="354"/>
      <c r="HHX2" s="354"/>
      <c r="HHY2" s="354"/>
      <c r="HHZ2" s="354"/>
      <c r="HIA2" s="354"/>
      <c r="HIB2" s="354"/>
      <c r="HIC2" s="354"/>
      <c r="HID2" s="354"/>
      <c r="HIE2" s="354"/>
      <c r="HIF2" s="354"/>
      <c r="HIG2" s="354"/>
      <c r="HIH2" s="354"/>
      <c r="HII2" s="354"/>
      <c r="HIJ2" s="354"/>
      <c r="HIK2" s="354"/>
      <c r="HIL2" s="354"/>
      <c r="HIM2" s="354"/>
      <c r="HIN2" s="354"/>
      <c r="HIO2" s="354"/>
      <c r="HIP2" s="354"/>
      <c r="HIQ2" s="354"/>
      <c r="HIR2" s="354"/>
      <c r="HIS2" s="354"/>
      <c r="HIT2" s="354"/>
      <c r="HIU2" s="354"/>
      <c r="HIV2" s="354"/>
      <c r="HIW2" s="354"/>
      <c r="HIX2" s="354"/>
      <c r="HIY2" s="354"/>
      <c r="HIZ2" s="354"/>
      <c r="HJA2" s="354"/>
      <c r="HJB2" s="354"/>
      <c r="HJC2" s="354"/>
      <c r="HJD2" s="354"/>
      <c r="HJE2" s="354"/>
      <c r="HJF2" s="354"/>
      <c r="HJG2" s="354"/>
      <c r="HJH2" s="354"/>
      <c r="HJI2" s="354"/>
      <c r="HJJ2" s="354"/>
      <c r="HJK2" s="354"/>
      <c r="HJL2" s="354"/>
      <c r="HJM2" s="354"/>
      <c r="HJN2" s="354"/>
      <c r="HJO2" s="354"/>
      <c r="HJP2" s="354"/>
      <c r="HJQ2" s="354"/>
      <c r="HJR2" s="354"/>
      <c r="HJS2" s="354"/>
      <c r="HJT2" s="354"/>
      <c r="HJU2" s="354"/>
      <c r="HJV2" s="354"/>
      <c r="HJW2" s="354"/>
      <c r="HJX2" s="354"/>
      <c r="HJY2" s="354"/>
      <c r="HJZ2" s="354"/>
      <c r="HKA2" s="354"/>
      <c r="HKB2" s="354"/>
      <c r="HKC2" s="354"/>
      <c r="HKD2" s="354"/>
      <c r="HKE2" s="354"/>
      <c r="HKF2" s="354"/>
      <c r="HKG2" s="354"/>
      <c r="HKH2" s="354"/>
      <c r="HKI2" s="354"/>
      <c r="HKJ2" s="354"/>
      <c r="HKK2" s="354"/>
      <c r="HKL2" s="354"/>
      <c r="HKM2" s="354"/>
      <c r="HKN2" s="354"/>
      <c r="HKO2" s="354"/>
      <c r="HKP2" s="354"/>
      <c r="HKQ2" s="354"/>
      <c r="HKR2" s="354"/>
      <c r="HKS2" s="354"/>
      <c r="HKT2" s="354"/>
      <c r="HKU2" s="354"/>
      <c r="HKV2" s="354"/>
      <c r="HKW2" s="354"/>
      <c r="HKX2" s="354"/>
      <c r="HKY2" s="354"/>
      <c r="HKZ2" s="354"/>
      <c r="HLA2" s="354"/>
      <c r="HLB2" s="354"/>
      <c r="HLC2" s="354"/>
      <c r="HLD2" s="354"/>
      <c r="HLE2" s="354"/>
      <c r="HLF2" s="354"/>
      <c r="HLG2" s="354"/>
      <c r="HLH2" s="354"/>
      <c r="HLI2" s="354"/>
      <c r="HLJ2" s="354"/>
      <c r="HLK2" s="354"/>
      <c r="HLL2" s="354"/>
      <c r="HLM2" s="354"/>
      <c r="HLN2" s="354"/>
      <c r="HLO2" s="354"/>
      <c r="HLP2" s="354"/>
      <c r="HLQ2" s="354"/>
      <c r="HLR2" s="354"/>
      <c r="HLS2" s="354"/>
      <c r="HLT2" s="354"/>
      <c r="HLU2" s="354"/>
      <c r="HLV2" s="354"/>
      <c r="HLW2" s="354"/>
      <c r="HLX2" s="354"/>
      <c r="HLY2" s="354"/>
      <c r="HLZ2" s="354"/>
      <c r="HMA2" s="354"/>
      <c r="HMB2" s="354"/>
      <c r="HMC2" s="354"/>
      <c r="HMD2" s="354"/>
      <c r="HME2" s="354"/>
      <c r="HMF2" s="354"/>
      <c r="HMG2" s="354"/>
      <c r="HMH2" s="354"/>
      <c r="HMI2" s="354"/>
      <c r="HMJ2" s="354"/>
      <c r="HMK2" s="354"/>
      <c r="HML2" s="354"/>
      <c r="HMM2" s="354"/>
      <c r="HMN2" s="354"/>
      <c r="HMO2" s="354"/>
      <c r="HMP2" s="354"/>
      <c r="HMQ2" s="354"/>
      <c r="HMR2" s="354"/>
      <c r="HMS2" s="354"/>
      <c r="HMT2" s="354"/>
      <c r="HMU2" s="354"/>
      <c r="HMV2" s="354"/>
      <c r="HMW2" s="354"/>
      <c r="HMX2" s="354"/>
      <c r="HMY2" s="354"/>
      <c r="HMZ2" s="354"/>
      <c r="HNA2" s="354"/>
      <c r="HNB2" s="354"/>
      <c r="HNC2" s="354"/>
      <c r="HND2" s="354"/>
      <c r="HNE2" s="354"/>
      <c r="HNF2" s="354"/>
      <c r="HNG2" s="354"/>
      <c r="HNH2" s="354"/>
      <c r="HNI2" s="354"/>
      <c r="HNJ2" s="354"/>
      <c r="HNK2" s="354"/>
      <c r="HNL2" s="354"/>
      <c r="HNM2" s="354"/>
      <c r="HNN2" s="354"/>
      <c r="HNO2" s="354"/>
      <c r="HNP2" s="354"/>
      <c r="HNQ2" s="354"/>
      <c r="HNR2" s="354"/>
      <c r="HNS2" s="354"/>
      <c r="HNT2" s="354"/>
      <c r="HNU2" s="354"/>
      <c r="HNV2" s="354"/>
      <c r="HNW2" s="354"/>
      <c r="HNX2" s="354"/>
      <c r="HNY2" s="354"/>
      <c r="HNZ2" s="354"/>
      <c r="HOA2" s="354"/>
      <c r="HOB2" s="354"/>
      <c r="HOC2" s="354"/>
      <c r="HOD2" s="354"/>
      <c r="HOE2" s="354"/>
      <c r="HOF2" s="354"/>
      <c r="HOG2" s="354"/>
      <c r="HOH2" s="354"/>
      <c r="HOI2" s="354"/>
      <c r="HOJ2" s="354"/>
      <c r="HOK2" s="354"/>
      <c r="HOL2" s="354"/>
      <c r="HOM2" s="354"/>
      <c r="HON2" s="354"/>
      <c r="HOO2" s="354"/>
      <c r="HOP2" s="354"/>
      <c r="HOQ2" s="354"/>
      <c r="HOR2" s="354"/>
      <c r="HOS2" s="354"/>
      <c r="HOT2" s="354"/>
      <c r="HOU2" s="354"/>
      <c r="HOV2" s="354"/>
      <c r="HOW2" s="354"/>
      <c r="HOX2" s="354"/>
      <c r="HOY2" s="354"/>
      <c r="HOZ2" s="354"/>
      <c r="HPA2" s="354"/>
      <c r="HPB2" s="354"/>
      <c r="HPC2" s="354"/>
      <c r="HPD2" s="354"/>
      <c r="HPE2" s="354"/>
      <c r="HPF2" s="354"/>
      <c r="HPG2" s="354"/>
      <c r="HPH2" s="354"/>
      <c r="HPI2" s="354"/>
      <c r="HPJ2" s="354"/>
      <c r="HPK2" s="354"/>
      <c r="HPL2" s="354"/>
      <c r="HPM2" s="354"/>
      <c r="HPN2" s="354"/>
      <c r="HPO2" s="354"/>
      <c r="HPP2" s="354"/>
      <c r="HPQ2" s="354"/>
      <c r="HPR2" s="354"/>
      <c r="HPS2" s="354"/>
      <c r="HPT2" s="354"/>
      <c r="HPU2" s="354"/>
      <c r="HPV2" s="354"/>
      <c r="HPW2" s="354"/>
      <c r="HPX2" s="354"/>
      <c r="HPY2" s="354"/>
      <c r="HPZ2" s="354"/>
      <c r="HQA2" s="354"/>
      <c r="HQB2" s="354"/>
      <c r="HQC2" s="354"/>
      <c r="HQD2" s="354"/>
      <c r="HQE2" s="354"/>
      <c r="HQF2" s="354"/>
      <c r="HQG2" s="354"/>
      <c r="HQH2" s="354"/>
      <c r="HQI2" s="354"/>
      <c r="HQJ2" s="354"/>
      <c r="HQK2" s="354"/>
      <c r="HQL2" s="354"/>
      <c r="HQM2" s="354"/>
      <c r="HQN2" s="354"/>
      <c r="HQO2" s="354"/>
      <c r="HQP2" s="354"/>
      <c r="HQQ2" s="354"/>
      <c r="HQR2" s="354"/>
      <c r="HQS2" s="354"/>
      <c r="HQT2" s="354"/>
      <c r="HQU2" s="354"/>
      <c r="HQV2" s="354"/>
      <c r="HQW2" s="354"/>
      <c r="HQX2" s="354"/>
      <c r="HQY2" s="354"/>
      <c r="HQZ2" s="354"/>
      <c r="HRA2" s="354"/>
      <c r="HRB2" s="354"/>
      <c r="HRC2" s="354"/>
      <c r="HRD2" s="354"/>
      <c r="HRE2" s="354"/>
      <c r="HRF2" s="354"/>
      <c r="HRG2" s="354"/>
      <c r="HRH2" s="354"/>
      <c r="HRI2" s="354"/>
      <c r="HRJ2" s="354"/>
      <c r="HRK2" s="354"/>
      <c r="HRL2" s="354"/>
      <c r="HRM2" s="354"/>
      <c r="HRN2" s="354"/>
      <c r="HRO2" s="354"/>
      <c r="HRP2" s="354"/>
      <c r="HRQ2" s="354"/>
      <c r="HRR2" s="354"/>
      <c r="HRS2" s="354"/>
      <c r="HRT2" s="354"/>
      <c r="HRU2" s="354"/>
      <c r="HRV2" s="354"/>
      <c r="HRW2" s="354"/>
      <c r="HRX2" s="354"/>
      <c r="HRY2" s="354"/>
      <c r="HRZ2" s="354"/>
      <c r="HSA2" s="354"/>
      <c r="HSB2" s="354"/>
      <c r="HSC2" s="354"/>
      <c r="HSD2" s="354"/>
      <c r="HSE2" s="354"/>
      <c r="HSF2" s="354"/>
      <c r="HSG2" s="354"/>
      <c r="HSH2" s="354"/>
      <c r="HSI2" s="354"/>
      <c r="HSJ2" s="354"/>
      <c r="HSK2" s="354"/>
      <c r="HSL2" s="354"/>
      <c r="HSM2" s="354"/>
      <c r="HSN2" s="354"/>
      <c r="HSO2" s="354"/>
      <c r="HSP2" s="354"/>
      <c r="HSQ2" s="354"/>
      <c r="HSR2" s="354"/>
      <c r="HSS2" s="354"/>
      <c r="HST2" s="354"/>
      <c r="HSU2" s="354"/>
      <c r="HSV2" s="354"/>
      <c r="HSW2" s="354"/>
      <c r="HSX2" s="354"/>
      <c r="HSY2" s="354"/>
      <c r="HSZ2" s="354"/>
      <c r="HTA2" s="354"/>
      <c r="HTB2" s="354"/>
      <c r="HTC2" s="354"/>
      <c r="HTD2" s="354"/>
      <c r="HTE2" s="354"/>
      <c r="HTF2" s="354"/>
      <c r="HTG2" s="354"/>
      <c r="HTH2" s="354"/>
      <c r="HTI2" s="354"/>
      <c r="HTJ2" s="354"/>
      <c r="HTK2" s="354"/>
      <c r="HTL2" s="354"/>
      <c r="HTM2" s="354"/>
      <c r="HTN2" s="354"/>
      <c r="HTO2" s="354"/>
      <c r="HTP2" s="354"/>
      <c r="HTQ2" s="354"/>
      <c r="HTR2" s="354"/>
      <c r="HTS2" s="354"/>
      <c r="HTT2" s="354"/>
      <c r="HTU2" s="354"/>
      <c r="HTV2" s="354"/>
      <c r="HTW2" s="354"/>
      <c r="HTX2" s="354"/>
      <c r="HTY2" s="354"/>
      <c r="HTZ2" s="354"/>
      <c r="HUA2" s="354"/>
      <c r="HUB2" s="354"/>
      <c r="HUC2" s="354"/>
      <c r="HUD2" s="354"/>
      <c r="HUE2" s="354"/>
      <c r="HUF2" s="354"/>
      <c r="HUG2" s="354"/>
      <c r="HUH2" s="354"/>
      <c r="HUI2" s="354"/>
      <c r="HUJ2" s="354"/>
      <c r="HUK2" s="354"/>
      <c r="HUL2" s="354"/>
      <c r="HUM2" s="354"/>
      <c r="HUN2" s="354"/>
      <c r="HUO2" s="354"/>
      <c r="HUP2" s="354"/>
      <c r="HUQ2" s="354"/>
      <c r="HUR2" s="354"/>
      <c r="HUS2" s="354"/>
      <c r="HUT2" s="354"/>
      <c r="HUU2" s="354"/>
      <c r="HUV2" s="354"/>
      <c r="HUW2" s="354"/>
      <c r="HUX2" s="354"/>
      <c r="HUY2" s="354"/>
      <c r="HUZ2" s="354"/>
      <c r="HVA2" s="354"/>
      <c r="HVB2" s="354"/>
      <c r="HVC2" s="354"/>
      <c r="HVD2" s="354"/>
      <c r="HVE2" s="354"/>
      <c r="HVF2" s="354"/>
      <c r="HVG2" s="354"/>
      <c r="HVH2" s="354"/>
      <c r="HVI2" s="354"/>
      <c r="HVJ2" s="354"/>
      <c r="HVK2" s="354"/>
      <c r="HVL2" s="354"/>
      <c r="HVM2" s="354"/>
      <c r="HVN2" s="354"/>
      <c r="HVO2" s="354"/>
      <c r="HVP2" s="354"/>
      <c r="HVQ2" s="354"/>
      <c r="HVR2" s="354"/>
      <c r="HVS2" s="354"/>
      <c r="HVT2" s="354"/>
      <c r="HVU2" s="354"/>
      <c r="HVV2" s="354"/>
      <c r="HVW2" s="354"/>
      <c r="HVX2" s="354"/>
      <c r="HVY2" s="354"/>
      <c r="HVZ2" s="354"/>
      <c r="HWA2" s="354"/>
      <c r="HWB2" s="354"/>
      <c r="HWC2" s="354"/>
      <c r="HWD2" s="354"/>
      <c r="HWE2" s="354"/>
      <c r="HWF2" s="354"/>
      <c r="HWG2" s="354"/>
      <c r="HWH2" s="354"/>
      <c r="HWI2" s="354"/>
      <c r="HWJ2" s="354"/>
      <c r="HWK2" s="354"/>
      <c r="HWL2" s="354"/>
      <c r="HWM2" s="354"/>
      <c r="HWN2" s="354"/>
      <c r="HWO2" s="354"/>
      <c r="HWP2" s="354"/>
      <c r="HWQ2" s="354"/>
      <c r="HWR2" s="354"/>
      <c r="HWS2" s="354"/>
      <c r="HWT2" s="354"/>
      <c r="HWU2" s="354"/>
      <c r="HWV2" s="354"/>
      <c r="HWW2" s="354"/>
      <c r="HWX2" s="354"/>
      <c r="HWY2" s="354"/>
      <c r="HWZ2" s="354"/>
      <c r="HXA2" s="354"/>
      <c r="HXB2" s="354"/>
      <c r="HXC2" s="354"/>
      <c r="HXD2" s="354"/>
      <c r="HXE2" s="354"/>
      <c r="HXF2" s="354"/>
      <c r="HXG2" s="354"/>
      <c r="HXH2" s="354"/>
      <c r="HXI2" s="354"/>
      <c r="HXJ2" s="354"/>
      <c r="HXK2" s="354"/>
      <c r="HXL2" s="354"/>
      <c r="HXM2" s="354"/>
      <c r="HXN2" s="354"/>
      <c r="HXO2" s="354"/>
      <c r="HXP2" s="354"/>
      <c r="HXQ2" s="354"/>
      <c r="HXR2" s="354"/>
      <c r="HXS2" s="354"/>
      <c r="HXT2" s="354"/>
      <c r="HXU2" s="354"/>
      <c r="HXV2" s="354"/>
      <c r="HXW2" s="354"/>
      <c r="HXX2" s="354"/>
      <c r="HXY2" s="354"/>
      <c r="HXZ2" s="354"/>
      <c r="HYA2" s="354"/>
      <c r="HYB2" s="354"/>
      <c r="HYC2" s="354"/>
      <c r="HYD2" s="354"/>
      <c r="HYE2" s="354"/>
      <c r="HYF2" s="354"/>
      <c r="HYG2" s="354"/>
      <c r="HYH2" s="354"/>
      <c r="HYI2" s="354"/>
      <c r="HYJ2" s="354"/>
      <c r="HYK2" s="354"/>
      <c r="HYL2" s="354"/>
      <c r="HYM2" s="354"/>
      <c r="HYN2" s="354"/>
      <c r="HYO2" s="354"/>
      <c r="HYP2" s="354"/>
      <c r="HYQ2" s="354"/>
      <c r="HYR2" s="354"/>
      <c r="HYS2" s="354"/>
      <c r="HYT2" s="354"/>
      <c r="HYU2" s="354"/>
      <c r="HYV2" s="354"/>
      <c r="HYW2" s="354"/>
      <c r="HYX2" s="354"/>
      <c r="HYY2" s="354"/>
      <c r="HYZ2" s="354"/>
      <c r="HZA2" s="354"/>
      <c r="HZB2" s="354"/>
      <c r="HZC2" s="354"/>
      <c r="HZD2" s="354"/>
      <c r="HZE2" s="354"/>
      <c r="HZF2" s="354"/>
      <c r="HZG2" s="354"/>
      <c r="HZH2" s="354"/>
      <c r="HZI2" s="354"/>
      <c r="HZJ2" s="354"/>
      <c r="HZK2" s="354"/>
      <c r="HZL2" s="354"/>
      <c r="HZM2" s="354"/>
      <c r="HZN2" s="354"/>
      <c r="HZO2" s="354"/>
      <c r="HZP2" s="354"/>
      <c r="HZQ2" s="354"/>
      <c r="HZR2" s="354"/>
      <c r="HZS2" s="354"/>
      <c r="HZT2" s="354"/>
      <c r="HZU2" s="354"/>
      <c r="HZV2" s="354"/>
      <c r="HZW2" s="354"/>
      <c r="HZX2" s="354"/>
      <c r="HZY2" s="354"/>
      <c r="HZZ2" s="354"/>
      <c r="IAA2" s="354"/>
      <c r="IAB2" s="354"/>
      <c r="IAC2" s="354"/>
      <c r="IAD2" s="354"/>
      <c r="IAE2" s="354"/>
      <c r="IAF2" s="354"/>
      <c r="IAG2" s="354"/>
      <c r="IAH2" s="354"/>
      <c r="IAI2" s="354"/>
      <c r="IAJ2" s="354"/>
      <c r="IAK2" s="354"/>
      <c r="IAL2" s="354"/>
      <c r="IAM2" s="354"/>
      <c r="IAN2" s="354"/>
      <c r="IAO2" s="354"/>
      <c r="IAP2" s="354"/>
      <c r="IAQ2" s="354"/>
      <c r="IAR2" s="354"/>
      <c r="IAS2" s="354"/>
      <c r="IAT2" s="354"/>
      <c r="IAU2" s="354"/>
      <c r="IAV2" s="354"/>
      <c r="IAW2" s="354"/>
      <c r="IAX2" s="354"/>
      <c r="IAY2" s="354"/>
      <c r="IAZ2" s="354"/>
      <c r="IBA2" s="354"/>
      <c r="IBB2" s="354"/>
      <c r="IBC2" s="354"/>
      <c r="IBD2" s="354"/>
      <c r="IBE2" s="354"/>
      <c r="IBF2" s="354"/>
      <c r="IBG2" s="354"/>
      <c r="IBH2" s="354"/>
      <c r="IBI2" s="354"/>
      <c r="IBJ2" s="354"/>
      <c r="IBK2" s="354"/>
      <c r="IBL2" s="354"/>
      <c r="IBM2" s="354"/>
      <c r="IBN2" s="354"/>
      <c r="IBO2" s="354"/>
      <c r="IBP2" s="354"/>
      <c r="IBQ2" s="354"/>
      <c r="IBR2" s="354"/>
      <c r="IBS2" s="354"/>
      <c r="IBT2" s="354"/>
      <c r="IBU2" s="354"/>
      <c r="IBV2" s="354"/>
      <c r="IBW2" s="354"/>
      <c r="IBX2" s="354"/>
      <c r="IBY2" s="354"/>
      <c r="IBZ2" s="354"/>
      <c r="ICA2" s="354"/>
      <c r="ICB2" s="354"/>
      <c r="ICC2" s="354"/>
      <c r="ICD2" s="354"/>
      <c r="ICE2" s="354"/>
      <c r="ICF2" s="354"/>
      <c r="ICG2" s="354"/>
      <c r="ICH2" s="354"/>
      <c r="ICI2" s="354"/>
      <c r="ICJ2" s="354"/>
      <c r="ICK2" s="354"/>
      <c r="ICL2" s="354"/>
      <c r="ICM2" s="354"/>
      <c r="ICN2" s="354"/>
      <c r="ICO2" s="354"/>
      <c r="ICP2" s="354"/>
      <c r="ICQ2" s="354"/>
      <c r="ICR2" s="354"/>
      <c r="ICS2" s="354"/>
      <c r="ICT2" s="354"/>
      <c r="ICU2" s="354"/>
      <c r="ICV2" s="354"/>
      <c r="ICW2" s="354"/>
      <c r="ICX2" s="354"/>
      <c r="ICY2" s="354"/>
      <c r="ICZ2" s="354"/>
      <c r="IDA2" s="354"/>
      <c r="IDB2" s="354"/>
      <c r="IDC2" s="354"/>
      <c r="IDD2" s="354"/>
      <c r="IDE2" s="354"/>
      <c r="IDF2" s="354"/>
      <c r="IDG2" s="354"/>
      <c r="IDH2" s="354"/>
      <c r="IDI2" s="354"/>
      <c r="IDJ2" s="354"/>
      <c r="IDK2" s="354"/>
      <c r="IDL2" s="354"/>
      <c r="IDM2" s="354"/>
      <c r="IDN2" s="354"/>
      <c r="IDO2" s="354"/>
      <c r="IDP2" s="354"/>
      <c r="IDQ2" s="354"/>
      <c r="IDR2" s="354"/>
      <c r="IDS2" s="354"/>
      <c r="IDT2" s="354"/>
      <c r="IDU2" s="354"/>
      <c r="IDV2" s="354"/>
      <c r="IDW2" s="354"/>
      <c r="IDX2" s="354"/>
      <c r="IDY2" s="354"/>
      <c r="IDZ2" s="354"/>
      <c r="IEA2" s="354"/>
      <c r="IEB2" s="354"/>
      <c r="IEC2" s="354"/>
      <c r="IED2" s="354"/>
      <c r="IEE2" s="354"/>
      <c r="IEF2" s="354"/>
      <c r="IEG2" s="354"/>
      <c r="IEH2" s="354"/>
      <c r="IEI2" s="354"/>
      <c r="IEJ2" s="354"/>
      <c r="IEK2" s="354"/>
      <c r="IEL2" s="354"/>
      <c r="IEM2" s="354"/>
      <c r="IEN2" s="354"/>
      <c r="IEO2" s="354"/>
      <c r="IEP2" s="354"/>
      <c r="IEQ2" s="354"/>
      <c r="IER2" s="354"/>
      <c r="IES2" s="354"/>
      <c r="IET2" s="354"/>
      <c r="IEU2" s="354"/>
      <c r="IEV2" s="354"/>
      <c r="IEW2" s="354"/>
      <c r="IEX2" s="354"/>
      <c r="IEY2" s="354"/>
      <c r="IEZ2" s="354"/>
      <c r="IFA2" s="354"/>
      <c r="IFB2" s="354"/>
      <c r="IFC2" s="354"/>
      <c r="IFD2" s="354"/>
      <c r="IFE2" s="354"/>
      <c r="IFF2" s="354"/>
      <c r="IFG2" s="354"/>
      <c r="IFH2" s="354"/>
      <c r="IFI2" s="354"/>
      <c r="IFJ2" s="354"/>
      <c r="IFK2" s="354"/>
      <c r="IFL2" s="354"/>
      <c r="IFM2" s="354"/>
      <c r="IFN2" s="354"/>
      <c r="IFO2" s="354"/>
      <c r="IFP2" s="354"/>
      <c r="IFQ2" s="354"/>
      <c r="IFR2" s="354"/>
      <c r="IFS2" s="354"/>
      <c r="IFT2" s="354"/>
      <c r="IFU2" s="354"/>
      <c r="IFV2" s="354"/>
      <c r="IFW2" s="354"/>
      <c r="IFX2" s="354"/>
      <c r="IFY2" s="354"/>
      <c r="IFZ2" s="354"/>
      <c r="IGA2" s="354"/>
      <c r="IGB2" s="354"/>
      <c r="IGC2" s="354"/>
      <c r="IGD2" s="354"/>
      <c r="IGE2" s="354"/>
      <c r="IGF2" s="354"/>
      <c r="IGG2" s="354"/>
      <c r="IGH2" s="354"/>
      <c r="IGI2" s="354"/>
      <c r="IGJ2" s="354"/>
      <c r="IGK2" s="354"/>
      <c r="IGL2" s="354"/>
      <c r="IGM2" s="354"/>
      <c r="IGN2" s="354"/>
      <c r="IGO2" s="354"/>
      <c r="IGP2" s="354"/>
      <c r="IGQ2" s="354"/>
      <c r="IGR2" s="354"/>
      <c r="IGS2" s="354"/>
      <c r="IGT2" s="354"/>
      <c r="IGU2" s="354"/>
      <c r="IGV2" s="354"/>
      <c r="IGW2" s="354"/>
      <c r="IGX2" s="354"/>
      <c r="IGY2" s="354"/>
      <c r="IGZ2" s="354"/>
      <c r="IHA2" s="354"/>
      <c r="IHB2" s="354"/>
      <c r="IHC2" s="354"/>
      <c r="IHD2" s="354"/>
      <c r="IHE2" s="354"/>
      <c r="IHF2" s="354"/>
      <c r="IHG2" s="354"/>
      <c r="IHH2" s="354"/>
      <c r="IHI2" s="354"/>
      <c r="IHJ2" s="354"/>
      <c r="IHK2" s="354"/>
      <c r="IHL2" s="354"/>
      <c r="IHM2" s="354"/>
      <c r="IHN2" s="354"/>
      <c r="IHO2" s="354"/>
      <c r="IHP2" s="354"/>
      <c r="IHQ2" s="354"/>
      <c r="IHR2" s="354"/>
      <c r="IHS2" s="354"/>
      <c r="IHT2" s="354"/>
      <c r="IHU2" s="354"/>
      <c r="IHV2" s="354"/>
      <c r="IHW2" s="354"/>
      <c r="IHX2" s="354"/>
      <c r="IHY2" s="354"/>
      <c r="IHZ2" s="354"/>
      <c r="IIA2" s="354"/>
      <c r="IIB2" s="354"/>
      <c r="IIC2" s="354"/>
      <c r="IID2" s="354"/>
      <c r="IIE2" s="354"/>
      <c r="IIF2" s="354"/>
      <c r="IIG2" s="354"/>
      <c r="IIH2" s="354"/>
      <c r="III2" s="354"/>
      <c r="IIJ2" s="354"/>
      <c r="IIK2" s="354"/>
      <c r="IIL2" s="354"/>
      <c r="IIM2" s="354"/>
      <c r="IIN2" s="354"/>
      <c r="IIO2" s="354"/>
      <c r="IIP2" s="354"/>
      <c r="IIQ2" s="354"/>
      <c r="IIR2" s="354"/>
      <c r="IIS2" s="354"/>
      <c r="IIT2" s="354"/>
      <c r="IIU2" s="354"/>
      <c r="IIV2" s="354"/>
      <c r="IIW2" s="354"/>
      <c r="IIX2" s="354"/>
      <c r="IIY2" s="354"/>
      <c r="IIZ2" s="354"/>
      <c r="IJA2" s="354"/>
      <c r="IJB2" s="354"/>
      <c r="IJC2" s="354"/>
      <c r="IJD2" s="354"/>
      <c r="IJE2" s="354"/>
      <c r="IJF2" s="354"/>
      <c r="IJG2" s="354"/>
      <c r="IJH2" s="354"/>
      <c r="IJI2" s="354"/>
      <c r="IJJ2" s="354"/>
      <c r="IJK2" s="354"/>
      <c r="IJL2" s="354"/>
      <c r="IJM2" s="354"/>
      <c r="IJN2" s="354"/>
      <c r="IJO2" s="354"/>
      <c r="IJP2" s="354"/>
      <c r="IJQ2" s="354"/>
      <c r="IJR2" s="354"/>
      <c r="IJS2" s="354"/>
      <c r="IJT2" s="354"/>
      <c r="IJU2" s="354"/>
      <c r="IJV2" s="354"/>
      <c r="IJW2" s="354"/>
      <c r="IJX2" s="354"/>
      <c r="IJY2" s="354"/>
      <c r="IJZ2" s="354"/>
      <c r="IKA2" s="354"/>
      <c r="IKB2" s="354"/>
      <c r="IKC2" s="354"/>
      <c r="IKD2" s="354"/>
      <c r="IKE2" s="354"/>
      <c r="IKF2" s="354"/>
      <c r="IKG2" s="354"/>
      <c r="IKH2" s="354"/>
      <c r="IKI2" s="354"/>
      <c r="IKJ2" s="354"/>
      <c r="IKK2" s="354"/>
      <c r="IKL2" s="354"/>
      <c r="IKM2" s="354"/>
      <c r="IKN2" s="354"/>
      <c r="IKO2" s="354"/>
      <c r="IKP2" s="354"/>
      <c r="IKQ2" s="354"/>
      <c r="IKR2" s="354"/>
      <c r="IKS2" s="354"/>
      <c r="IKT2" s="354"/>
      <c r="IKU2" s="354"/>
      <c r="IKV2" s="354"/>
      <c r="IKW2" s="354"/>
      <c r="IKX2" s="354"/>
      <c r="IKY2" s="354"/>
      <c r="IKZ2" s="354"/>
      <c r="ILA2" s="354"/>
      <c r="ILB2" s="354"/>
      <c r="ILC2" s="354"/>
      <c r="ILD2" s="354"/>
      <c r="ILE2" s="354"/>
      <c r="ILF2" s="354"/>
      <c r="ILG2" s="354"/>
      <c r="ILH2" s="354"/>
      <c r="ILI2" s="354"/>
      <c r="ILJ2" s="354"/>
      <c r="ILK2" s="354"/>
      <c r="ILL2" s="354"/>
      <c r="ILM2" s="354"/>
      <c r="ILN2" s="354"/>
      <c r="ILO2" s="354"/>
      <c r="ILP2" s="354"/>
      <c r="ILQ2" s="354"/>
      <c r="ILR2" s="354"/>
      <c r="ILS2" s="354"/>
      <c r="ILT2" s="354"/>
      <c r="ILU2" s="354"/>
      <c r="ILV2" s="354"/>
      <c r="ILW2" s="354"/>
      <c r="ILX2" s="354"/>
      <c r="ILY2" s="354"/>
      <c r="ILZ2" s="354"/>
      <c r="IMA2" s="354"/>
      <c r="IMB2" s="354"/>
      <c r="IMC2" s="354"/>
      <c r="IMD2" s="354"/>
      <c r="IME2" s="354"/>
      <c r="IMF2" s="354"/>
      <c r="IMG2" s="354"/>
      <c r="IMH2" s="354"/>
      <c r="IMI2" s="354"/>
      <c r="IMJ2" s="354"/>
      <c r="IMK2" s="354"/>
      <c r="IML2" s="354"/>
      <c r="IMM2" s="354"/>
      <c r="IMN2" s="354"/>
      <c r="IMO2" s="354"/>
      <c r="IMP2" s="354"/>
      <c r="IMQ2" s="354"/>
      <c r="IMR2" s="354"/>
      <c r="IMS2" s="354"/>
      <c r="IMT2" s="354"/>
      <c r="IMU2" s="354"/>
      <c r="IMV2" s="354"/>
      <c r="IMW2" s="354"/>
      <c r="IMX2" s="354"/>
      <c r="IMY2" s="354"/>
      <c r="IMZ2" s="354"/>
      <c r="INA2" s="354"/>
      <c r="INB2" s="354"/>
      <c r="INC2" s="354"/>
      <c r="IND2" s="354"/>
      <c r="INE2" s="354"/>
      <c r="INF2" s="354"/>
      <c r="ING2" s="354"/>
      <c r="INH2" s="354"/>
      <c r="INI2" s="354"/>
      <c r="INJ2" s="354"/>
      <c r="INK2" s="354"/>
      <c r="INL2" s="354"/>
      <c r="INM2" s="354"/>
      <c r="INN2" s="354"/>
      <c r="INO2" s="354"/>
      <c r="INP2" s="354"/>
      <c r="INQ2" s="354"/>
      <c r="INR2" s="354"/>
      <c r="INS2" s="354"/>
      <c r="INT2" s="354"/>
      <c r="INU2" s="354"/>
      <c r="INV2" s="354"/>
      <c r="INW2" s="354"/>
      <c r="INX2" s="354"/>
      <c r="INY2" s="354"/>
      <c r="INZ2" s="354"/>
      <c r="IOA2" s="354"/>
      <c r="IOB2" s="354"/>
      <c r="IOC2" s="354"/>
      <c r="IOD2" s="354"/>
      <c r="IOE2" s="354"/>
      <c r="IOF2" s="354"/>
      <c r="IOG2" s="354"/>
      <c r="IOH2" s="354"/>
      <c r="IOI2" s="354"/>
      <c r="IOJ2" s="354"/>
      <c r="IOK2" s="354"/>
      <c r="IOL2" s="354"/>
      <c r="IOM2" s="354"/>
      <c r="ION2" s="354"/>
      <c r="IOO2" s="354"/>
      <c r="IOP2" s="354"/>
      <c r="IOQ2" s="354"/>
      <c r="IOR2" s="354"/>
      <c r="IOS2" s="354"/>
      <c r="IOT2" s="354"/>
      <c r="IOU2" s="354"/>
      <c r="IOV2" s="354"/>
      <c r="IOW2" s="354"/>
      <c r="IOX2" s="354"/>
      <c r="IOY2" s="354"/>
      <c r="IOZ2" s="354"/>
      <c r="IPA2" s="354"/>
      <c r="IPB2" s="354"/>
      <c r="IPC2" s="354"/>
      <c r="IPD2" s="354"/>
      <c r="IPE2" s="354"/>
      <c r="IPF2" s="354"/>
      <c r="IPG2" s="354"/>
      <c r="IPH2" s="354"/>
      <c r="IPI2" s="354"/>
      <c r="IPJ2" s="354"/>
      <c r="IPK2" s="354"/>
      <c r="IPL2" s="354"/>
      <c r="IPM2" s="354"/>
      <c r="IPN2" s="354"/>
      <c r="IPO2" s="354"/>
      <c r="IPP2" s="354"/>
      <c r="IPQ2" s="354"/>
      <c r="IPR2" s="354"/>
      <c r="IPS2" s="354"/>
      <c r="IPT2" s="354"/>
      <c r="IPU2" s="354"/>
      <c r="IPV2" s="354"/>
      <c r="IPW2" s="354"/>
      <c r="IPX2" s="354"/>
      <c r="IPY2" s="354"/>
      <c r="IPZ2" s="354"/>
      <c r="IQA2" s="354"/>
      <c r="IQB2" s="354"/>
      <c r="IQC2" s="354"/>
      <c r="IQD2" s="354"/>
      <c r="IQE2" s="354"/>
      <c r="IQF2" s="354"/>
      <c r="IQG2" s="354"/>
      <c r="IQH2" s="354"/>
      <c r="IQI2" s="354"/>
      <c r="IQJ2" s="354"/>
      <c r="IQK2" s="354"/>
      <c r="IQL2" s="354"/>
      <c r="IQM2" s="354"/>
      <c r="IQN2" s="354"/>
      <c r="IQO2" s="354"/>
      <c r="IQP2" s="354"/>
      <c r="IQQ2" s="354"/>
      <c r="IQR2" s="354"/>
      <c r="IQS2" s="354"/>
      <c r="IQT2" s="354"/>
      <c r="IQU2" s="354"/>
      <c r="IQV2" s="354"/>
      <c r="IQW2" s="354"/>
      <c r="IQX2" s="354"/>
      <c r="IQY2" s="354"/>
      <c r="IQZ2" s="354"/>
      <c r="IRA2" s="354"/>
      <c r="IRB2" s="354"/>
      <c r="IRC2" s="354"/>
      <c r="IRD2" s="354"/>
      <c r="IRE2" s="354"/>
      <c r="IRF2" s="354"/>
      <c r="IRG2" s="354"/>
      <c r="IRH2" s="354"/>
      <c r="IRI2" s="354"/>
      <c r="IRJ2" s="354"/>
      <c r="IRK2" s="354"/>
      <c r="IRL2" s="354"/>
      <c r="IRM2" s="354"/>
      <c r="IRN2" s="354"/>
      <c r="IRO2" s="354"/>
      <c r="IRP2" s="354"/>
      <c r="IRQ2" s="354"/>
      <c r="IRR2" s="354"/>
      <c r="IRS2" s="354"/>
      <c r="IRT2" s="354"/>
      <c r="IRU2" s="354"/>
      <c r="IRV2" s="354"/>
      <c r="IRW2" s="354"/>
      <c r="IRX2" s="354"/>
      <c r="IRY2" s="354"/>
      <c r="IRZ2" s="354"/>
      <c r="ISA2" s="354"/>
      <c r="ISB2" s="354"/>
      <c r="ISC2" s="354"/>
      <c r="ISD2" s="354"/>
      <c r="ISE2" s="354"/>
      <c r="ISF2" s="354"/>
      <c r="ISG2" s="354"/>
      <c r="ISH2" s="354"/>
      <c r="ISI2" s="354"/>
      <c r="ISJ2" s="354"/>
      <c r="ISK2" s="354"/>
      <c r="ISL2" s="354"/>
      <c r="ISM2" s="354"/>
      <c r="ISN2" s="354"/>
      <c r="ISO2" s="354"/>
      <c r="ISP2" s="354"/>
      <c r="ISQ2" s="354"/>
      <c r="ISR2" s="354"/>
      <c r="ISS2" s="354"/>
      <c r="IST2" s="354"/>
      <c r="ISU2" s="354"/>
      <c r="ISV2" s="354"/>
      <c r="ISW2" s="354"/>
      <c r="ISX2" s="354"/>
      <c r="ISY2" s="354"/>
      <c r="ISZ2" s="354"/>
      <c r="ITA2" s="354"/>
      <c r="ITB2" s="354"/>
      <c r="ITC2" s="354"/>
      <c r="ITD2" s="354"/>
      <c r="ITE2" s="354"/>
      <c r="ITF2" s="354"/>
      <c r="ITG2" s="354"/>
      <c r="ITH2" s="354"/>
      <c r="ITI2" s="354"/>
      <c r="ITJ2" s="354"/>
      <c r="ITK2" s="354"/>
      <c r="ITL2" s="354"/>
      <c r="ITM2" s="354"/>
      <c r="ITN2" s="354"/>
      <c r="ITO2" s="354"/>
      <c r="ITP2" s="354"/>
      <c r="ITQ2" s="354"/>
      <c r="ITR2" s="354"/>
      <c r="ITS2" s="354"/>
      <c r="ITT2" s="354"/>
      <c r="ITU2" s="354"/>
      <c r="ITV2" s="354"/>
      <c r="ITW2" s="354"/>
      <c r="ITX2" s="354"/>
      <c r="ITY2" s="354"/>
      <c r="ITZ2" s="354"/>
      <c r="IUA2" s="354"/>
      <c r="IUB2" s="354"/>
      <c r="IUC2" s="354"/>
      <c r="IUD2" s="354"/>
      <c r="IUE2" s="354"/>
      <c r="IUF2" s="354"/>
      <c r="IUG2" s="354"/>
      <c r="IUH2" s="354"/>
      <c r="IUI2" s="354"/>
      <c r="IUJ2" s="354"/>
      <c r="IUK2" s="354"/>
      <c r="IUL2" s="354"/>
      <c r="IUM2" s="354"/>
      <c r="IUN2" s="354"/>
      <c r="IUO2" s="354"/>
      <c r="IUP2" s="354"/>
      <c r="IUQ2" s="354"/>
      <c r="IUR2" s="354"/>
      <c r="IUS2" s="354"/>
      <c r="IUT2" s="354"/>
      <c r="IUU2" s="354"/>
      <c r="IUV2" s="354"/>
      <c r="IUW2" s="354"/>
      <c r="IUX2" s="354"/>
      <c r="IUY2" s="354"/>
      <c r="IUZ2" s="354"/>
      <c r="IVA2" s="354"/>
      <c r="IVB2" s="354"/>
      <c r="IVC2" s="354"/>
      <c r="IVD2" s="354"/>
      <c r="IVE2" s="354"/>
      <c r="IVF2" s="354"/>
      <c r="IVG2" s="354"/>
      <c r="IVH2" s="354"/>
      <c r="IVI2" s="354"/>
      <c r="IVJ2" s="354"/>
      <c r="IVK2" s="354"/>
      <c r="IVL2" s="354"/>
      <c r="IVM2" s="354"/>
      <c r="IVN2" s="354"/>
      <c r="IVO2" s="354"/>
      <c r="IVP2" s="354"/>
      <c r="IVQ2" s="354"/>
      <c r="IVR2" s="354"/>
      <c r="IVS2" s="354"/>
      <c r="IVT2" s="354"/>
      <c r="IVU2" s="354"/>
      <c r="IVV2" s="354"/>
      <c r="IVW2" s="354"/>
      <c r="IVX2" s="354"/>
      <c r="IVY2" s="354"/>
      <c r="IVZ2" s="354"/>
      <c r="IWA2" s="354"/>
      <c r="IWB2" s="354"/>
      <c r="IWC2" s="354"/>
      <c r="IWD2" s="354"/>
      <c r="IWE2" s="354"/>
      <c r="IWF2" s="354"/>
      <c r="IWG2" s="354"/>
      <c r="IWH2" s="354"/>
      <c r="IWI2" s="354"/>
      <c r="IWJ2" s="354"/>
      <c r="IWK2" s="354"/>
      <c r="IWL2" s="354"/>
      <c r="IWM2" s="354"/>
      <c r="IWN2" s="354"/>
      <c r="IWO2" s="354"/>
      <c r="IWP2" s="354"/>
      <c r="IWQ2" s="354"/>
      <c r="IWR2" s="354"/>
      <c r="IWS2" s="354"/>
      <c r="IWT2" s="354"/>
      <c r="IWU2" s="354"/>
      <c r="IWV2" s="354"/>
      <c r="IWW2" s="354"/>
      <c r="IWX2" s="354"/>
      <c r="IWY2" s="354"/>
      <c r="IWZ2" s="354"/>
      <c r="IXA2" s="354"/>
      <c r="IXB2" s="354"/>
      <c r="IXC2" s="354"/>
      <c r="IXD2" s="354"/>
      <c r="IXE2" s="354"/>
      <c r="IXF2" s="354"/>
      <c r="IXG2" s="354"/>
      <c r="IXH2" s="354"/>
      <c r="IXI2" s="354"/>
      <c r="IXJ2" s="354"/>
      <c r="IXK2" s="354"/>
      <c r="IXL2" s="354"/>
      <c r="IXM2" s="354"/>
      <c r="IXN2" s="354"/>
      <c r="IXO2" s="354"/>
      <c r="IXP2" s="354"/>
      <c r="IXQ2" s="354"/>
      <c r="IXR2" s="354"/>
      <c r="IXS2" s="354"/>
      <c r="IXT2" s="354"/>
      <c r="IXU2" s="354"/>
      <c r="IXV2" s="354"/>
      <c r="IXW2" s="354"/>
      <c r="IXX2" s="354"/>
      <c r="IXY2" s="354"/>
      <c r="IXZ2" s="354"/>
      <c r="IYA2" s="354"/>
      <c r="IYB2" s="354"/>
      <c r="IYC2" s="354"/>
      <c r="IYD2" s="354"/>
      <c r="IYE2" s="354"/>
      <c r="IYF2" s="354"/>
      <c r="IYG2" s="354"/>
      <c r="IYH2" s="354"/>
      <c r="IYI2" s="354"/>
      <c r="IYJ2" s="354"/>
      <c r="IYK2" s="354"/>
      <c r="IYL2" s="354"/>
      <c r="IYM2" s="354"/>
      <c r="IYN2" s="354"/>
      <c r="IYO2" s="354"/>
      <c r="IYP2" s="354"/>
      <c r="IYQ2" s="354"/>
      <c r="IYR2" s="354"/>
      <c r="IYS2" s="354"/>
      <c r="IYT2" s="354"/>
      <c r="IYU2" s="354"/>
      <c r="IYV2" s="354"/>
      <c r="IYW2" s="354"/>
      <c r="IYX2" s="354"/>
      <c r="IYY2" s="354"/>
      <c r="IYZ2" s="354"/>
      <c r="IZA2" s="354"/>
      <c r="IZB2" s="354"/>
      <c r="IZC2" s="354"/>
      <c r="IZD2" s="354"/>
      <c r="IZE2" s="354"/>
      <c r="IZF2" s="354"/>
      <c r="IZG2" s="354"/>
      <c r="IZH2" s="354"/>
      <c r="IZI2" s="354"/>
      <c r="IZJ2" s="354"/>
      <c r="IZK2" s="354"/>
      <c r="IZL2" s="354"/>
      <c r="IZM2" s="354"/>
      <c r="IZN2" s="354"/>
      <c r="IZO2" s="354"/>
      <c r="IZP2" s="354"/>
      <c r="IZQ2" s="354"/>
      <c r="IZR2" s="354"/>
      <c r="IZS2" s="354"/>
      <c r="IZT2" s="354"/>
      <c r="IZU2" s="354"/>
      <c r="IZV2" s="354"/>
      <c r="IZW2" s="354"/>
      <c r="IZX2" s="354"/>
      <c r="IZY2" s="354"/>
      <c r="IZZ2" s="354"/>
      <c r="JAA2" s="354"/>
      <c r="JAB2" s="354"/>
      <c r="JAC2" s="354"/>
      <c r="JAD2" s="354"/>
      <c r="JAE2" s="354"/>
      <c r="JAF2" s="354"/>
      <c r="JAG2" s="354"/>
      <c r="JAH2" s="354"/>
      <c r="JAI2" s="354"/>
      <c r="JAJ2" s="354"/>
      <c r="JAK2" s="354"/>
      <c r="JAL2" s="354"/>
      <c r="JAM2" s="354"/>
      <c r="JAN2" s="354"/>
      <c r="JAO2" s="354"/>
      <c r="JAP2" s="354"/>
      <c r="JAQ2" s="354"/>
      <c r="JAR2" s="354"/>
      <c r="JAS2" s="354"/>
      <c r="JAT2" s="354"/>
      <c r="JAU2" s="354"/>
      <c r="JAV2" s="354"/>
      <c r="JAW2" s="354"/>
      <c r="JAX2" s="354"/>
      <c r="JAY2" s="354"/>
      <c r="JAZ2" s="354"/>
      <c r="JBA2" s="354"/>
      <c r="JBB2" s="354"/>
      <c r="JBC2" s="354"/>
      <c r="JBD2" s="354"/>
      <c r="JBE2" s="354"/>
      <c r="JBF2" s="354"/>
      <c r="JBG2" s="354"/>
      <c r="JBH2" s="354"/>
      <c r="JBI2" s="354"/>
      <c r="JBJ2" s="354"/>
      <c r="JBK2" s="354"/>
      <c r="JBL2" s="354"/>
      <c r="JBM2" s="354"/>
      <c r="JBN2" s="354"/>
      <c r="JBO2" s="354"/>
      <c r="JBP2" s="354"/>
      <c r="JBQ2" s="354"/>
      <c r="JBR2" s="354"/>
      <c r="JBS2" s="354"/>
      <c r="JBT2" s="354"/>
      <c r="JBU2" s="354"/>
      <c r="JBV2" s="354"/>
      <c r="JBW2" s="354"/>
      <c r="JBX2" s="354"/>
      <c r="JBY2" s="354"/>
      <c r="JBZ2" s="354"/>
      <c r="JCA2" s="354"/>
      <c r="JCB2" s="354"/>
      <c r="JCC2" s="354"/>
      <c r="JCD2" s="354"/>
      <c r="JCE2" s="354"/>
      <c r="JCF2" s="354"/>
      <c r="JCG2" s="354"/>
      <c r="JCH2" s="354"/>
      <c r="JCI2" s="354"/>
      <c r="JCJ2" s="354"/>
      <c r="JCK2" s="354"/>
      <c r="JCL2" s="354"/>
      <c r="JCM2" s="354"/>
      <c r="JCN2" s="354"/>
      <c r="JCO2" s="354"/>
      <c r="JCP2" s="354"/>
      <c r="JCQ2" s="354"/>
      <c r="JCR2" s="354"/>
      <c r="JCS2" s="354"/>
      <c r="JCT2" s="354"/>
      <c r="JCU2" s="354"/>
      <c r="JCV2" s="354"/>
      <c r="JCW2" s="354"/>
      <c r="JCX2" s="354"/>
      <c r="JCY2" s="354"/>
      <c r="JCZ2" s="354"/>
      <c r="JDA2" s="354"/>
      <c r="JDB2" s="354"/>
      <c r="JDC2" s="354"/>
      <c r="JDD2" s="354"/>
      <c r="JDE2" s="354"/>
      <c r="JDF2" s="354"/>
      <c r="JDG2" s="354"/>
      <c r="JDH2" s="354"/>
      <c r="JDI2" s="354"/>
      <c r="JDJ2" s="354"/>
      <c r="JDK2" s="354"/>
      <c r="JDL2" s="354"/>
      <c r="JDM2" s="354"/>
      <c r="JDN2" s="354"/>
      <c r="JDO2" s="354"/>
      <c r="JDP2" s="354"/>
      <c r="JDQ2" s="354"/>
      <c r="JDR2" s="354"/>
      <c r="JDS2" s="354"/>
      <c r="JDT2" s="354"/>
      <c r="JDU2" s="354"/>
      <c r="JDV2" s="354"/>
      <c r="JDW2" s="354"/>
      <c r="JDX2" s="354"/>
      <c r="JDY2" s="354"/>
      <c r="JDZ2" s="354"/>
      <c r="JEA2" s="354"/>
      <c r="JEB2" s="354"/>
      <c r="JEC2" s="354"/>
      <c r="JED2" s="354"/>
      <c r="JEE2" s="354"/>
      <c r="JEF2" s="354"/>
      <c r="JEG2" s="354"/>
      <c r="JEH2" s="354"/>
      <c r="JEI2" s="354"/>
      <c r="JEJ2" s="354"/>
      <c r="JEK2" s="354"/>
      <c r="JEL2" s="354"/>
      <c r="JEM2" s="354"/>
      <c r="JEN2" s="354"/>
      <c r="JEO2" s="354"/>
      <c r="JEP2" s="354"/>
      <c r="JEQ2" s="354"/>
      <c r="JER2" s="354"/>
      <c r="JES2" s="354"/>
      <c r="JET2" s="354"/>
      <c r="JEU2" s="354"/>
      <c r="JEV2" s="354"/>
      <c r="JEW2" s="354"/>
      <c r="JEX2" s="354"/>
      <c r="JEY2" s="354"/>
      <c r="JEZ2" s="354"/>
      <c r="JFA2" s="354"/>
      <c r="JFB2" s="354"/>
      <c r="JFC2" s="354"/>
      <c r="JFD2" s="354"/>
      <c r="JFE2" s="354"/>
      <c r="JFF2" s="354"/>
      <c r="JFG2" s="354"/>
      <c r="JFH2" s="354"/>
      <c r="JFI2" s="354"/>
      <c r="JFJ2" s="354"/>
      <c r="JFK2" s="354"/>
      <c r="JFL2" s="354"/>
      <c r="JFM2" s="354"/>
      <c r="JFN2" s="354"/>
      <c r="JFO2" s="354"/>
      <c r="JFP2" s="354"/>
      <c r="JFQ2" s="354"/>
      <c r="JFR2" s="354"/>
      <c r="JFS2" s="354"/>
      <c r="JFT2" s="354"/>
      <c r="JFU2" s="354"/>
      <c r="JFV2" s="354"/>
      <c r="JFW2" s="354"/>
      <c r="JFX2" s="354"/>
      <c r="JFY2" s="354"/>
      <c r="JFZ2" s="354"/>
      <c r="JGA2" s="354"/>
      <c r="JGB2" s="354"/>
      <c r="JGC2" s="354"/>
      <c r="JGD2" s="354"/>
      <c r="JGE2" s="354"/>
      <c r="JGF2" s="354"/>
      <c r="JGG2" s="354"/>
      <c r="JGH2" s="354"/>
      <c r="JGI2" s="354"/>
      <c r="JGJ2" s="354"/>
      <c r="JGK2" s="354"/>
      <c r="JGL2" s="354"/>
      <c r="JGM2" s="354"/>
      <c r="JGN2" s="354"/>
      <c r="JGO2" s="354"/>
      <c r="JGP2" s="354"/>
      <c r="JGQ2" s="354"/>
      <c r="JGR2" s="354"/>
      <c r="JGS2" s="354"/>
      <c r="JGT2" s="354"/>
      <c r="JGU2" s="354"/>
      <c r="JGV2" s="354"/>
      <c r="JGW2" s="354"/>
      <c r="JGX2" s="354"/>
      <c r="JGY2" s="354"/>
      <c r="JGZ2" s="354"/>
      <c r="JHA2" s="354"/>
      <c r="JHB2" s="354"/>
      <c r="JHC2" s="354"/>
      <c r="JHD2" s="354"/>
      <c r="JHE2" s="354"/>
      <c r="JHF2" s="354"/>
      <c r="JHG2" s="354"/>
      <c r="JHH2" s="354"/>
      <c r="JHI2" s="354"/>
      <c r="JHJ2" s="354"/>
      <c r="JHK2" s="354"/>
      <c r="JHL2" s="354"/>
      <c r="JHM2" s="354"/>
      <c r="JHN2" s="354"/>
      <c r="JHO2" s="354"/>
      <c r="JHP2" s="354"/>
      <c r="JHQ2" s="354"/>
      <c r="JHR2" s="354"/>
      <c r="JHS2" s="354"/>
      <c r="JHT2" s="354"/>
      <c r="JHU2" s="354"/>
      <c r="JHV2" s="354"/>
      <c r="JHW2" s="354"/>
      <c r="JHX2" s="354"/>
      <c r="JHY2" s="354"/>
      <c r="JHZ2" s="354"/>
      <c r="JIA2" s="354"/>
      <c r="JIB2" s="354"/>
      <c r="JIC2" s="354"/>
      <c r="JID2" s="354"/>
      <c r="JIE2" s="354"/>
      <c r="JIF2" s="354"/>
      <c r="JIG2" s="354"/>
      <c r="JIH2" s="354"/>
      <c r="JII2" s="354"/>
      <c r="JIJ2" s="354"/>
      <c r="JIK2" s="354"/>
      <c r="JIL2" s="354"/>
      <c r="JIM2" s="354"/>
      <c r="JIN2" s="354"/>
      <c r="JIO2" s="354"/>
      <c r="JIP2" s="354"/>
      <c r="JIQ2" s="354"/>
      <c r="JIR2" s="354"/>
      <c r="JIS2" s="354"/>
      <c r="JIT2" s="354"/>
      <c r="JIU2" s="354"/>
      <c r="JIV2" s="354"/>
      <c r="JIW2" s="354"/>
      <c r="JIX2" s="354"/>
      <c r="JIY2" s="354"/>
      <c r="JIZ2" s="354"/>
      <c r="JJA2" s="354"/>
      <c r="JJB2" s="354"/>
      <c r="JJC2" s="354"/>
      <c r="JJD2" s="354"/>
      <c r="JJE2" s="354"/>
      <c r="JJF2" s="354"/>
      <c r="JJG2" s="354"/>
      <c r="JJH2" s="354"/>
      <c r="JJI2" s="354"/>
      <c r="JJJ2" s="354"/>
      <c r="JJK2" s="354"/>
      <c r="JJL2" s="354"/>
      <c r="JJM2" s="354"/>
      <c r="JJN2" s="354"/>
      <c r="JJO2" s="354"/>
      <c r="JJP2" s="354"/>
      <c r="JJQ2" s="354"/>
      <c r="JJR2" s="354"/>
      <c r="JJS2" s="354"/>
      <c r="JJT2" s="354"/>
      <c r="JJU2" s="354"/>
      <c r="JJV2" s="354"/>
      <c r="JJW2" s="354"/>
      <c r="JJX2" s="354"/>
      <c r="JJY2" s="354"/>
      <c r="JJZ2" s="354"/>
      <c r="JKA2" s="354"/>
      <c r="JKB2" s="354"/>
      <c r="JKC2" s="354"/>
      <c r="JKD2" s="354"/>
      <c r="JKE2" s="354"/>
      <c r="JKF2" s="354"/>
      <c r="JKG2" s="354"/>
      <c r="JKH2" s="354"/>
      <c r="JKI2" s="354"/>
      <c r="JKJ2" s="354"/>
      <c r="JKK2" s="354"/>
      <c r="JKL2" s="354"/>
      <c r="JKM2" s="354"/>
      <c r="JKN2" s="354"/>
      <c r="JKO2" s="354"/>
      <c r="JKP2" s="354"/>
      <c r="JKQ2" s="354"/>
      <c r="JKR2" s="354"/>
      <c r="JKS2" s="354"/>
      <c r="JKT2" s="354"/>
      <c r="JKU2" s="354"/>
      <c r="JKV2" s="354"/>
      <c r="JKW2" s="354"/>
      <c r="JKX2" s="354"/>
      <c r="JKY2" s="354"/>
      <c r="JKZ2" s="354"/>
      <c r="JLA2" s="354"/>
      <c r="JLB2" s="354"/>
      <c r="JLC2" s="354"/>
      <c r="JLD2" s="354"/>
      <c r="JLE2" s="354"/>
      <c r="JLF2" s="354"/>
      <c r="JLG2" s="354"/>
      <c r="JLH2" s="354"/>
      <c r="JLI2" s="354"/>
      <c r="JLJ2" s="354"/>
      <c r="JLK2" s="354"/>
      <c r="JLL2" s="354"/>
      <c r="JLM2" s="354"/>
      <c r="JLN2" s="354"/>
      <c r="JLO2" s="354"/>
      <c r="JLP2" s="354"/>
      <c r="JLQ2" s="354"/>
      <c r="JLR2" s="354"/>
      <c r="JLS2" s="354"/>
      <c r="JLT2" s="354"/>
      <c r="JLU2" s="354"/>
      <c r="JLV2" s="354"/>
      <c r="JLW2" s="354"/>
      <c r="JLX2" s="354"/>
      <c r="JLY2" s="354"/>
      <c r="JLZ2" s="354"/>
      <c r="JMA2" s="354"/>
      <c r="JMB2" s="354"/>
      <c r="JMC2" s="354"/>
      <c r="JMD2" s="354"/>
      <c r="JME2" s="354"/>
      <c r="JMF2" s="354"/>
      <c r="JMG2" s="354"/>
      <c r="JMH2" s="354"/>
      <c r="JMI2" s="354"/>
      <c r="JMJ2" s="354"/>
      <c r="JMK2" s="354"/>
      <c r="JML2" s="354"/>
      <c r="JMM2" s="354"/>
      <c r="JMN2" s="354"/>
      <c r="JMO2" s="354"/>
      <c r="JMP2" s="354"/>
      <c r="JMQ2" s="354"/>
      <c r="JMR2" s="354"/>
      <c r="JMS2" s="354"/>
      <c r="JMT2" s="354"/>
      <c r="JMU2" s="354"/>
      <c r="JMV2" s="354"/>
      <c r="JMW2" s="354"/>
      <c r="JMX2" s="354"/>
      <c r="JMY2" s="354"/>
      <c r="JMZ2" s="354"/>
      <c r="JNA2" s="354"/>
      <c r="JNB2" s="354"/>
      <c r="JNC2" s="354"/>
      <c r="JND2" s="354"/>
      <c r="JNE2" s="354"/>
      <c r="JNF2" s="354"/>
      <c r="JNG2" s="354"/>
      <c r="JNH2" s="354"/>
      <c r="JNI2" s="354"/>
      <c r="JNJ2" s="354"/>
      <c r="JNK2" s="354"/>
      <c r="JNL2" s="354"/>
      <c r="JNM2" s="354"/>
      <c r="JNN2" s="354"/>
      <c r="JNO2" s="354"/>
      <c r="JNP2" s="354"/>
      <c r="JNQ2" s="354"/>
      <c r="JNR2" s="354"/>
      <c r="JNS2" s="354"/>
      <c r="JNT2" s="354"/>
      <c r="JNU2" s="354"/>
      <c r="JNV2" s="354"/>
      <c r="JNW2" s="354"/>
      <c r="JNX2" s="354"/>
      <c r="JNY2" s="354"/>
      <c r="JNZ2" s="354"/>
      <c r="JOA2" s="354"/>
      <c r="JOB2" s="354"/>
      <c r="JOC2" s="354"/>
      <c r="JOD2" s="354"/>
      <c r="JOE2" s="354"/>
      <c r="JOF2" s="354"/>
      <c r="JOG2" s="354"/>
      <c r="JOH2" s="354"/>
      <c r="JOI2" s="354"/>
      <c r="JOJ2" s="354"/>
      <c r="JOK2" s="354"/>
      <c r="JOL2" s="354"/>
      <c r="JOM2" s="354"/>
      <c r="JON2" s="354"/>
      <c r="JOO2" s="354"/>
      <c r="JOP2" s="354"/>
      <c r="JOQ2" s="354"/>
      <c r="JOR2" s="354"/>
      <c r="JOS2" s="354"/>
      <c r="JOT2" s="354"/>
      <c r="JOU2" s="354"/>
      <c r="JOV2" s="354"/>
      <c r="JOW2" s="354"/>
      <c r="JOX2" s="354"/>
      <c r="JOY2" s="354"/>
      <c r="JOZ2" s="354"/>
      <c r="JPA2" s="354"/>
      <c r="JPB2" s="354"/>
      <c r="JPC2" s="354"/>
      <c r="JPD2" s="354"/>
      <c r="JPE2" s="354"/>
      <c r="JPF2" s="354"/>
      <c r="JPG2" s="354"/>
      <c r="JPH2" s="354"/>
      <c r="JPI2" s="354"/>
      <c r="JPJ2" s="354"/>
      <c r="JPK2" s="354"/>
      <c r="JPL2" s="354"/>
      <c r="JPM2" s="354"/>
      <c r="JPN2" s="354"/>
      <c r="JPO2" s="354"/>
      <c r="JPP2" s="354"/>
      <c r="JPQ2" s="354"/>
      <c r="JPR2" s="354"/>
      <c r="JPS2" s="354"/>
      <c r="JPT2" s="354"/>
      <c r="JPU2" s="354"/>
      <c r="JPV2" s="354"/>
      <c r="JPW2" s="354"/>
      <c r="JPX2" s="354"/>
      <c r="JPY2" s="354"/>
      <c r="JPZ2" s="354"/>
      <c r="JQA2" s="354"/>
      <c r="JQB2" s="354"/>
      <c r="JQC2" s="354"/>
      <c r="JQD2" s="354"/>
      <c r="JQE2" s="354"/>
      <c r="JQF2" s="354"/>
      <c r="JQG2" s="354"/>
      <c r="JQH2" s="354"/>
      <c r="JQI2" s="354"/>
      <c r="JQJ2" s="354"/>
      <c r="JQK2" s="354"/>
      <c r="JQL2" s="354"/>
      <c r="JQM2" s="354"/>
      <c r="JQN2" s="354"/>
      <c r="JQO2" s="354"/>
      <c r="JQP2" s="354"/>
      <c r="JQQ2" s="354"/>
      <c r="JQR2" s="354"/>
      <c r="JQS2" s="354"/>
      <c r="JQT2" s="354"/>
      <c r="JQU2" s="354"/>
      <c r="JQV2" s="354"/>
      <c r="JQW2" s="354"/>
      <c r="JQX2" s="354"/>
      <c r="JQY2" s="354"/>
      <c r="JQZ2" s="354"/>
      <c r="JRA2" s="354"/>
      <c r="JRB2" s="354"/>
      <c r="JRC2" s="354"/>
      <c r="JRD2" s="354"/>
      <c r="JRE2" s="354"/>
      <c r="JRF2" s="354"/>
      <c r="JRG2" s="354"/>
      <c r="JRH2" s="354"/>
      <c r="JRI2" s="354"/>
      <c r="JRJ2" s="354"/>
      <c r="JRK2" s="354"/>
      <c r="JRL2" s="354"/>
      <c r="JRM2" s="354"/>
      <c r="JRN2" s="354"/>
      <c r="JRO2" s="354"/>
      <c r="JRP2" s="354"/>
      <c r="JRQ2" s="354"/>
      <c r="JRR2" s="354"/>
      <c r="JRS2" s="354"/>
      <c r="JRT2" s="354"/>
      <c r="JRU2" s="354"/>
      <c r="JRV2" s="354"/>
      <c r="JRW2" s="354"/>
      <c r="JRX2" s="354"/>
      <c r="JRY2" s="354"/>
      <c r="JRZ2" s="354"/>
      <c r="JSA2" s="354"/>
      <c r="JSB2" s="354"/>
      <c r="JSC2" s="354"/>
      <c r="JSD2" s="354"/>
      <c r="JSE2" s="354"/>
      <c r="JSF2" s="354"/>
      <c r="JSG2" s="354"/>
      <c r="JSH2" s="354"/>
      <c r="JSI2" s="354"/>
      <c r="JSJ2" s="354"/>
      <c r="JSK2" s="354"/>
      <c r="JSL2" s="354"/>
      <c r="JSM2" s="354"/>
      <c r="JSN2" s="354"/>
      <c r="JSO2" s="354"/>
      <c r="JSP2" s="354"/>
      <c r="JSQ2" s="354"/>
      <c r="JSR2" s="354"/>
      <c r="JSS2" s="354"/>
      <c r="JST2" s="354"/>
      <c r="JSU2" s="354"/>
      <c r="JSV2" s="354"/>
      <c r="JSW2" s="354"/>
      <c r="JSX2" s="354"/>
      <c r="JSY2" s="354"/>
      <c r="JSZ2" s="354"/>
      <c r="JTA2" s="354"/>
      <c r="JTB2" s="354"/>
      <c r="JTC2" s="354"/>
      <c r="JTD2" s="354"/>
      <c r="JTE2" s="354"/>
      <c r="JTF2" s="354"/>
      <c r="JTG2" s="354"/>
      <c r="JTH2" s="354"/>
      <c r="JTI2" s="354"/>
      <c r="JTJ2" s="354"/>
      <c r="JTK2" s="354"/>
      <c r="JTL2" s="354"/>
      <c r="JTM2" s="354"/>
      <c r="JTN2" s="354"/>
      <c r="JTO2" s="354"/>
      <c r="JTP2" s="354"/>
      <c r="JTQ2" s="354"/>
      <c r="JTR2" s="354"/>
      <c r="JTS2" s="354"/>
      <c r="JTT2" s="354"/>
      <c r="JTU2" s="354"/>
      <c r="JTV2" s="354"/>
      <c r="JTW2" s="354"/>
      <c r="JTX2" s="354"/>
      <c r="JTY2" s="354"/>
      <c r="JTZ2" s="354"/>
      <c r="JUA2" s="354"/>
      <c r="JUB2" s="354"/>
      <c r="JUC2" s="354"/>
      <c r="JUD2" s="354"/>
      <c r="JUE2" s="354"/>
      <c r="JUF2" s="354"/>
      <c r="JUG2" s="354"/>
      <c r="JUH2" s="354"/>
      <c r="JUI2" s="354"/>
      <c r="JUJ2" s="354"/>
      <c r="JUK2" s="354"/>
      <c r="JUL2" s="354"/>
      <c r="JUM2" s="354"/>
      <c r="JUN2" s="354"/>
      <c r="JUO2" s="354"/>
      <c r="JUP2" s="354"/>
      <c r="JUQ2" s="354"/>
      <c r="JUR2" s="354"/>
      <c r="JUS2" s="354"/>
      <c r="JUT2" s="354"/>
      <c r="JUU2" s="354"/>
      <c r="JUV2" s="354"/>
      <c r="JUW2" s="354"/>
      <c r="JUX2" s="354"/>
      <c r="JUY2" s="354"/>
      <c r="JUZ2" s="354"/>
      <c r="JVA2" s="354"/>
      <c r="JVB2" s="354"/>
      <c r="JVC2" s="354"/>
      <c r="JVD2" s="354"/>
      <c r="JVE2" s="354"/>
      <c r="JVF2" s="354"/>
      <c r="JVG2" s="354"/>
      <c r="JVH2" s="354"/>
      <c r="JVI2" s="354"/>
      <c r="JVJ2" s="354"/>
      <c r="JVK2" s="354"/>
      <c r="JVL2" s="354"/>
      <c r="JVM2" s="354"/>
      <c r="JVN2" s="354"/>
      <c r="JVO2" s="354"/>
      <c r="JVP2" s="354"/>
      <c r="JVQ2" s="354"/>
      <c r="JVR2" s="354"/>
      <c r="JVS2" s="354"/>
      <c r="JVT2" s="354"/>
      <c r="JVU2" s="354"/>
      <c r="JVV2" s="354"/>
      <c r="JVW2" s="354"/>
      <c r="JVX2" s="354"/>
      <c r="JVY2" s="354"/>
      <c r="JVZ2" s="354"/>
      <c r="JWA2" s="354"/>
      <c r="JWB2" s="354"/>
      <c r="JWC2" s="354"/>
      <c r="JWD2" s="354"/>
      <c r="JWE2" s="354"/>
      <c r="JWF2" s="354"/>
      <c r="JWG2" s="354"/>
      <c r="JWH2" s="354"/>
      <c r="JWI2" s="354"/>
      <c r="JWJ2" s="354"/>
      <c r="JWK2" s="354"/>
      <c r="JWL2" s="354"/>
      <c r="JWM2" s="354"/>
      <c r="JWN2" s="354"/>
      <c r="JWO2" s="354"/>
      <c r="JWP2" s="354"/>
      <c r="JWQ2" s="354"/>
      <c r="JWR2" s="354"/>
      <c r="JWS2" s="354"/>
      <c r="JWT2" s="354"/>
      <c r="JWU2" s="354"/>
      <c r="JWV2" s="354"/>
      <c r="JWW2" s="354"/>
      <c r="JWX2" s="354"/>
      <c r="JWY2" s="354"/>
      <c r="JWZ2" s="354"/>
      <c r="JXA2" s="354"/>
      <c r="JXB2" s="354"/>
      <c r="JXC2" s="354"/>
      <c r="JXD2" s="354"/>
      <c r="JXE2" s="354"/>
      <c r="JXF2" s="354"/>
      <c r="JXG2" s="354"/>
      <c r="JXH2" s="354"/>
      <c r="JXI2" s="354"/>
      <c r="JXJ2" s="354"/>
      <c r="JXK2" s="354"/>
      <c r="JXL2" s="354"/>
      <c r="JXM2" s="354"/>
      <c r="JXN2" s="354"/>
      <c r="JXO2" s="354"/>
      <c r="JXP2" s="354"/>
      <c r="JXQ2" s="354"/>
      <c r="JXR2" s="354"/>
      <c r="JXS2" s="354"/>
      <c r="JXT2" s="354"/>
      <c r="JXU2" s="354"/>
      <c r="JXV2" s="354"/>
      <c r="JXW2" s="354"/>
      <c r="JXX2" s="354"/>
      <c r="JXY2" s="354"/>
      <c r="JXZ2" s="354"/>
      <c r="JYA2" s="354"/>
      <c r="JYB2" s="354"/>
      <c r="JYC2" s="354"/>
      <c r="JYD2" s="354"/>
      <c r="JYE2" s="354"/>
      <c r="JYF2" s="354"/>
      <c r="JYG2" s="354"/>
      <c r="JYH2" s="354"/>
      <c r="JYI2" s="354"/>
      <c r="JYJ2" s="354"/>
      <c r="JYK2" s="354"/>
      <c r="JYL2" s="354"/>
      <c r="JYM2" s="354"/>
      <c r="JYN2" s="354"/>
      <c r="JYO2" s="354"/>
      <c r="JYP2" s="354"/>
      <c r="JYQ2" s="354"/>
      <c r="JYR2" s="354"/>
      <c r="JYS2" s="354"/>
      <c r="JYT2" s="354"/>
      <c r="JYU2" s="354"/>
      <c r="JYV2" s="354"/>
      <c r="JYW2" s="354"/>
      <c r="JYX2" s="354"/>
      <c r="JYY2" s="354"/>
      <c r="JYZ2" s="354"/>
      <c r="JZA2" s="354"/>
      <c r="JZB2" s="354"/>
      <c r="JZC2" s="354"/>
      <c r="JZD2" s="354"/>
      <c r="JZE2" s="354"/>
      <c r="JZF2" s="354"/>
      <c r="JZG2" s="354"/>
      <c r="JZH2" s="354"/>
      <c r="JZI2" s="354"/>
      <c r="JZJ2" s="354"/>
      <c r="JZK2" s="354"/>
      <c r="JZL2" s="354"/>
      <c r="JZM2" s="354"/>
      <c r="JZN2" s="354"/>
      <c r="JZO2" s="354"/>
      <c r="JZP2" s="354"/>
      <c r="JZQ2" s="354"/>
      <c r="JZR2" s="354"/>
      <c r="JZS2" s="354"/>
      <c r="JZT2" s="354"/>
      <c r="JZU2" s="354"/>
      <c r="JZV2" s="354"/>
      <c r="JZW2" s="354"/>
      <c r="JZX2" s="354"/>
      <c r="JZY2" s="354"/>
      <c r="JZZ2" s="354"/>
      <c r="KAA2" s="354"/>
      <c r="KAB2" s="354"/>
      <c r="KAC2" s="354"/>
      <c r="KAD2" s="354"/>
      <c r="KAE2" s="354"/>
      <c r="KAF2" s="354"/>
      <c r="KAG2" s="354"/>
      <c r="KAH2" s="354"/>
      <c r="KAI2" s="354"/>
      <c r="KAJ2" s="354"/>
      <c r="KAK2" s="354"/>
      <c r="KAL2" s="354"/>
      <c r="KAM2" s="354"/>
      <c r="KAN2" s="354"/>
      <c r="KAO2" s="354"/>
      <c r="KAP2" s="354"/>
      <c r="KAQ2" s="354"/>
      <c r="KAR2" s="354"/>
      <c r="KAS2" s="354"/>
      <c r="KAT2" s="354"/>
      <c r="KAU2" s="354"/>
      <c r="KAV2" s="354"/>
      <c r="KAW2" s="354"/>
      <c r="KAX2" s="354"/>
      <c r="KAY2" s="354"/>
      <c r="KAZ2" s="354"/>
      <c r="KBA2" s="354"/>
      <c r="KBB2" s="354"/>
      <c r="KBC2" s="354"/>
      <c r="KBD2" s="354"/>
      <c r="KBE2" s="354"/>
      <c r="KBF2" s="354"/>
      <c r="KBG2" s="354"/>
      <c r="KBH2" s="354"/>
      <c r="KBI2" s="354"/>
      <c r="KBJ2" s="354"/>
      <c r="KBK2" s="354"/>
      <c r="KBL2" s="354"/>
      <c r="KBM2" s="354"/>
      <c r="KBN2" s="354"/>
      <c r="KBO2" s="354"/>
      <c r="KBP2" s="354"/>
      <c r="KBQ2" s="354"/>
      <c r="KBR2" s="354"/>
      <c r="KBS2" s="354"/>
      <c r="KBT2" s="354"/>
      <c r="KBU2" s="354"/>
      <c r="KBV2" s="354"/>
      <c r="KBW2" s="354"/>
      <c r="KBX2" s="354"/>
      <c r="KBY2" s="354"/>
      <c r="KBZ2" s="354"/>
      <c r="KCA2" s="354"/>
      <c r="KCB2" s="354"/>
      <c r="KCC2" s="354"/>
      <c r="KCD2" s="354"/>
      <c r="KCE2" s="354"/>
      <c r="KCF2" s="354"/>
      <c r="KCG2" s="354"/>
      <c r="KCH2" s="354"/>
      <c r="KCI2" s="354"/>
      <c r="KCJ2" s="354"/>
      <c r="KCK2" s="354"/>
      <c r="KCL2" s="354"/>
      <c r="KCM2" s="354"/>
      <c r="KCN2" s="354"/>
      <c r="KCO2" s="354"/>
      <c r="KCP2" s="354"/>
      <c r="KCQ2" s="354"/>
      <c r="KCR2" s="354"/>
      <c r="KCS2" s="354"/>
      <c r="KCT2" s="354"/>
      <c r="KCU2" s="354"/>
      <c r="KCV2" s="354"/>
      <c r="KCW2" s="354"/>
      <c r="KCX2" s="354"/>
      <c r="KCY2" s="354"/>
      <c r="KCZ2" s="354"/>
      <c r="KDA2" s="354"/>
      <c r="KDB2" s="354"/>
      <c r="KDC2" s="354"/>
      <c r="KDD2" s="354"/>
      <c r="KDE2" s="354"/>
      <c r="KDF2" s="354"/>
      <c r="KDG2" s="354"/>
      <c r="KDH2" s="354"/>
      <c r="KDI2" s="354"/>
      <c r="KDJ2" s="354"/>
      <c r="KDK2" s="354"/>
      <c r="KDL2" s="354"/>
      <c r="KDM2" s="354"/>
      <c r="KDN2" s="354"/>
      <c r="KDO2" s="354"/>
      <c r="KDP2" s="354"/>
      <c r="KDQ2" s="354"/>
      <c r="KDR2" s="354"/>
      <c r="KDS2" s="354"/>
      <c r="KDT2" s="354"/>
      <c r="KDU2" s="354"/>
      <c r="KDV2" s="354"/>
      <c r="KDW2" s="354"/>
      <c r="KDX2" s="354"/>
      <c r="KDY2" s="354"/>
      <c r="KDZ2" s="354"/>
      <c r="KEA2" s="354"/>
      <c r="KEB2" s="354"/>
      <c r="KEC2" s="354"/>
      <c r="KED2" s="354"/>
      <c r="KEE2" s="354"/>
      <c r="KEF2" s="354"/>
      <c r="KEG2" s="354"/>
      <c r="KEH2" s="354"/>
      <c r="KEI2" s="354"/>
      <c r="KEJ2" s="354"/>
      <c r="KEK2" s="354"/>
      <c r="KEL2" s="354"/>
      <c r="KEM2" s="354"/>
      <c r="KEN2" s="354"/>
      <c r="KEO2" s="354"/>
      <c r="KEP2" s="354"/>
      <c r="KEQ2" s="354"/>
      <c r="KER2" s="354"/>
      <c r="KES2" s="354"/>
      <c r="KET2" s="354"/>
      <c r="KEU2" s="354"/>
      <c r="KEV2" s="354"/>
      <c r="KEW2" s="354"/>
      <c r="KEX2" s="354"/>
      <c r="KEY2" s="354"/>
      <c r="KEZ2" s="354"/>
      <c r="KFA2" s="354"/>
      <c r="KFB2" s="354"/>
      <c r="KFC2" s="354"/>
      <c r="KFD2" s="354"/>
      <c r="KFE2" s="354"/>
      <c r="KFF2" s="354"/>
      <c r="KFG2" s="354"/>
      <c r="KFH2" s="354"/>
      <c r="KFI2" s="354"/>
      <c r="KFJ2" s="354"/>
      <c r="KFK2" s="354"/>
      <c r="KFL2" s="354"/>
      <c r="KFM2" s="354"/>
      <c r="KFN2" s="354"/>
      <c r="KFO2" s="354"/>
      <c r="KFP2" s="354"/>
      <c r="KFQ2" s="354"/>
      <c r="KFR2" s="354"/>
      <c r="KFS2" s="354"/>
      <c r="KFT2" s="354"/>
      <c r="KFU2" s="354"/>
      <c r="KFV2" s="354"/>
      <c r="KFW2" s="354"/>
      <c r="KFX2" s="354"/>
      <c r="KFY2" s="354"/>
      <c r="KFZ2" s="354"/>
      <c r="KGA2" s="354"/>
      <c r="KGB2" s="354"/>
      <c r="KGC2" s="354"/>
      <c r="KGD2" s="354"/>
      <c r="KGE2" s="354"/>
      <c r="KGF2" s="354"/>
      <c r="KGG2" s="354"/>
      <c r="KGH2" s="354"/>
      <c r="KGI2" s="354"/>
      <c r="KGJ2" s="354"/>
      <c r="KGK2" s="354"/>
      <c r="KGL2" s="354"/>
      <c r="KGM2" s="354"/>
      <c r="KGN2" s="354"/>
      <c r="KGO2" s="354"/>
      <c r="KGP2" s="354"/>
      <c r="KGQ2" s="354"/>
      <c r="KGR2" s="354"/>
      <c r="KGS2" s="354"/>
      <c r="KGT2" s="354"/>
      <c r="KGU2" s="354"/>
      <c r="KGV2" s="354"/>
      <c r="KGW2" s="354"/>
      <c r="KGX2" s="354"/>
      <c r="KGY2" s="354"/>
      <c r="KGZ2" s="354"/>
      <c r="KHA2" s="354"/>
      <c r="KHB2" s="354"/>
      <c r="KHC2" s="354"/>
      <c r="KHD2" s="354"/>
      <c r="KHE2" s="354"/>
      <c r="KHF2" s="354"/>
      <c r="KHG2" s="354"/>
      <c r="KHH2" s="354"/>
      <c r="KHI2" s="354"/>
      <c r="KHJ2" s="354"/>
      <c r="KHK2" s="354"/>
      <c r="KHL2" s="354"/>
      <c r="KHM2" s="354"/>
      <c r="KHN2" s="354"/>
      <c r="KHO2" s="354"/>
      <c r="KHP2" s="354"/>
      <c r="KHQ2" s="354"/>
      <c r="KHR2" s="354"/>
      <c r="KHS2" s="354"/>
      <c r="KHT2" s="354"/>
      <c r="KHU2" s="354"/>
      <c r="KHV2" s="354"/>
      <c r="KHW2" s="354"/>
      <c r="KHX2" s="354"/>
      <c r="KHY2" s="354"/>
      <c r="KHZ2" s="354"/>
      <c r="KIA2" s="354"/>
      <c r="KIB2" s="354"/>
      <c r="KIC2" s="354"/>
      <c r="KID2" s="354"/>
      <c r="KIE2" s="354"/>
      <c r="KIF2" s="354"/>
      <c r="KIG2" s="354"/>
      <c r="KIH2" s="354"/>
      <c r="KII2" s="354"/>
      <c r="KIJ2" s="354"/>
      <c r="KIK2" s="354"/>
      <c r="KIL2" s="354"/>
      <c r="KIM2" s="354"/>
      <c r="KIN2" s="354"/>
      <c r="KIO2" s="354"/>
      <c r="KIP2" s="354"/>
      <c r="KIQ2" s="354"/>
      <c r="KIR2" s="354"/>
      <c r="KIS2" s="354"/>
      <c r="KIT2" s="354"/>
      <c r="KIU2" s="354"/>
      <c r="KIV2" s="354"/>
      <c r="KIW2" s="354"/>
      <c r="KIX2" s="354"/>
      <c r="KIY2" s="354"/>
      <c r="KIZ2" s="354"/>
      <c r="KJA2" s="354"/>
      <c r="KJB2" s="354"/>
      <c r="KJC2" s="354"/>
      <c r="KJD2" s="354"/>
      <c r="KJE2" s="354"/>
      <c r="KJF2" s="354"/>
      <c r="KJG2" s="354"/>
      <c r="KJH2" s="354"/>
      <c r="KJI2" s="354"/>
      <c r="KJJ2" s="354"/>
      <c r="KJK2" s="354"/>
      <c r="KJL2" s="354"/>
      <c r="KJM2" s="354"/>
      <c r="KJN2" s="354"/>
      <c r="KJO2" s="354"/>
      <c r="KJP2" s="354"/>
      <c r="KJQ2" s="354"/>
      <c r="KJR2" s="354"/>
      <c r="KJS2" s="354"/>
      <c r="KJT2" s="354"/>
      <c r="KJU2" s="354"/>
      <c r="KJV2" s="354"/>
      <c r="KJW2" s="354"/>
      <c r="KJX2" s="354"/>
      <c r="KJY2" s="354"/>
      <c r="KJZ2" s="354"/>
      <c r="KKA2" s="354"/>
      <c r="KKB2" s="354"/>
      <c r="KKC2" s="354"/>
      <c r="KKD2" s="354"/>
      <c r="KKE2" s="354"/>
      <c r="KKF2" s="354"/>
      <c r="KKG2" s="354"/>
      <c r="KKH2" s="354"/>
      <c r="KKI2" s="354"/>
      <c r="KKJ2" s="354"/>
      <c r="KKK2" s="354"/>
      <c r="KKL2" s="354"/>
      <c r="KKM2" s="354"/>
      <c r="KKN2" s="354"/>
      <c r="KKO2" s="354"/>
      <c r="KKP2" s="354"/>
      <c r="KKQ2" s="354"/>
      <c r="KKR2" s="354"/>
      <c r="KKS2" s="354"/>
      <c r="KKT2" s="354"/>
      <c r="KKU2" s="354"/>
      <c r="KKV2" s="354"/>
      <c r="KKW2" s="354"/>
      <c r="KKX2" s="354"/>
      <c r="KKY2" s="354"/>
      <c r="KKZ2" s="354"/>
      <c r="KLA2" s="354"/>
      <c r="KLB2" s="354"/>
      <c r="KLC2" s="354"/>
      <c r="KLD2" s="354"/>
      <c r="KLE2" s="354"/>
      <c r="KLF2" s="354"/>
      <c r="KLG2" s="354"/>
      <c r="KLH2" s="354"/>
      <c r="KLI2" s="354"/>
      <c r="KLJ2" s="354"/>
      <c r="KLK2" s="354"/>
      <c r="KLL2" s="354"/>
      <c r="KLM2" s="354"/>
      <c r="KLN2" s="354"/>
      <c r="KLO2" s="354"/>
      <c r="KLP2" s="354"/>
      <c r="KLQ2" s="354"/>
      <c r="KLR2" s="354"/>
      <c r="KLS2" s="354"/>
      <c r="KLT2" s="354"/>
      <c r="KLU2" s="354"/>
      <c r="KLV2" s="354"/>
      <c r="KLW2" s="354"/>
      <c r="KLX2" s="354"/>
      <c r="KLY2" s="354"/>
      <c r="KLZ2" s="354"/>
      <c r="KMA2" s="354"/>
      <c r="KMB2" s="354"/>
      <c r="KMC2" s="354"/>
      <c r="KMD2" s="354"/>
      <c r="KME2" s="354"/>
      <c r="KMF2" s="354"/>
      <c r="KMG2" s="354"/>
      <c r="KMH2" s="354"/>
      <c r="KMI2" s="354"/>
      <c r="KMJ2" s="354"/>
      <c r="KMK2" s="354"/>
      <c r="KML2" s="354"/>
      <c r="KMM2" s="354"/>
      <c r="KMN2" s="354"/>
      <c r="KMO2" s="354"/>
      <c r="KMP2" s="354"/>
      <c r="KMQ2" s="354"/>
      <c r="KMR2" s="354"/>
      <c r="KMS2" s="354"/>
      <c r="KMT2" s="354"/>
      <c r="KMU2" s="354"/>
      <c r="KMV2" s="354"/>
      <c r="KMW2" s="354"/>
      <c r="KMX2" s="354"/>
      <c r="KMY2" s="354"/>
      <c r="KMZ2" s="354"/>
      <c r="KNA2" s="354"/>
      <c r="KNB2" s="354"/>
      <c r="KNC2" s="354"/>
      <c r="KND2" s="354"/>
      <c r="KNE2" s="354"/>
      <c r="KNF2" s="354"/>
      <c r="KNG2" s="354"/>
      <c r="KNH2" s="354"/>
      <c r="KNI2" s="354"/>
      <c r="KNJ2" s="354"/>
      <c r="KNK2" s="354"/>
      <c r="KNL2" s="354"/>
      <c r="KNM2" s="354"/>
      <c r="KNN2" s="354"/>
      <c r="KNO2" s="354"/>
      <c r="KNP2" s="354"/>
      <c r="KNQ2" s="354"/>
      <c r="KNR2" s="354"/>
      <c r="KNS2" s="354"/>
      <c r="KNT2" s="354"/>
      <c r="KNU2" s="354"/>
      <c r="KNV2" s="354"/>
      <c r="KNW2" s="354"/>
      <c r="KNX2" s="354"/>
      <c r="KNY2" s="354"/>
      <c r="KNZ2" s="354"/>
      <c r="KOA2" s="354"/>
      <c r="KOB2" s="354"/>
      <c r="KOC2" s="354"/>
      <c r="KOD2" s="354"/>
      <c r="KOE2" s="354"/>
      <c r="KOF2" s="354"/>
      <c r="KOG2" s="354"/>
      <c r="KOH2" s="354"/>
      <c r="KOI2" s="354"/>
      <c r="KOJ2" s="354"/>
      <c r="KOK2" s="354"/>
      <c r="KOL2" s="354"/>
      <c r="KOM2" s="354"/>
      <c r="KON2" s="354"/>
      <c r="KOO2" s="354"/>
      <c r="KOP2" s="354"/>
      <c r="KOQ2" s="354"/>
      <c r="KOR2" s="354"/>
      <c r="KOS2" s="354"/>
      <c r="KOT2" s="354"/>
      <c r="KOU2" s="354"/>
      <c r="KOV2" s="354"/>
      <c r="KOW2" s="354"/>
      <c r="KOX2" s="354"/>
      <c r="KOY2" s="354"/>
      <c r="KOZ2" s="354"/>
      <c r="KPA2" s="354"/>
      <c r="KPB2" s="354"/>
      <c r="KPC2" s="354"/>
      <c r="KPD2" s="354"/>
      <c r="KPE2" s="354"/>
      <c r="KPF2" s="354"/>
      <c r="KPG2" s="354"/>
      <c r="KPH2" s="354"/>
      <c r="KPI2" s="354"/>
      <c r="KPJ2" s="354"/>
      <c r="KPK2" s="354"/>
      <c r="KPL2" s="354"/>
      <c r="KPM2" s="354"/>
      <c r="KPN2" s="354"/>
      <c r="KPO2" s="354"/>
      <c r="KPP2" s="354"/>
      <c r="KPQ2" s="354"/>
      <c r="KPR2" s="354"/>
      <c r="KPS2" s="354"/>
      <c r="KPT2" s="354"/>
      <c r="KPU2" s="354"/>
      <c r="KPV2" s="354"/>
      <c r="KPW2" s="354"/>
      <c r="KPX2" s="354"/>
      <c r="KPY2" s="354"/>
      <c r="KPZ2" s="354"/>
      <c r="KQA2" s="354"/>
      <c r="KQB2" s="354"/>
      <c r="KQC2" s="354"/>
      <c r="KQD2" s="354"/>
      <c r="KQE2" s="354"/>
      <c r="KQF2" s="354"/>
      <c r="KQG2" s="354"/>
      <c r="KQH2" s="354"/>
      <c r="KQI2" s="354"/>
      <c r="KQJ2" s="354"/>
      <c r="KQK2" s="354"/>
      <c r="KQL2" s="354"/>
      <c r="KQM2" s="354"/>
      <c r="KQN2" s="354"/>
      <c r="KQO2" s="354"/>
      <c r="KQP2" s="354"/>
      <c r="KQQ2" s="354"/>
      <c r="KQR2" s="354"/>
      <c r="KQS2" s="354"/>
      <c r="KQT2" s="354"/>
      <c r="KQU2" s="354"/>
      <c r="KQV2" s="354"/>
      <c r="KQW2" s="354"/>
      <c r="KQX2" s="354"/>
      <c r="KQY2" s="354"/>
      <c r="KQZ2" s="354"/>
      <c r="KRA2" s="354"/>
      <c r="KRB2" s="354"/>
      <c r="KRC2" s="354"/>
      <c r="KRD2" s="354"/>
      <c r="KRE2" s="354"/>
      <c r="KRF2" s="354"/>
      <c r="KRG2" s="354"/>
      <c r="KRH2" s="354"/>
      <c r="KRI2" s="354"/>
      <c r="KRJ2" s="354"/>
      <c r="KRK2" s="354"/>
      <c r="KRL2" s="354"/>
      <c r="KRM2" s="354"/>
      <c r="KRN2" s="354"/>
      <c r="KRO2" s="354"/>
      <c r="KRP2" s="354"/>
      <c r="KRQ2" s="354"/>
      <c r="KRR2" s="354"/>
      <c r="KRS2" s="354"/>
      <c r="KRT2" s="354"/>
      <c r="KRU2" s="354"/>
      <c r="KRV2" s="354"/>
      <c r="KRW2" s="354"/>
      <c r="KRX2" s="354"/>
      <c r="KRY2" s="354"/>
      <c r="KRZ2" s="354"/>
      <c r="KSA2" s="354"/>
      <c r="KSB2" s="354"/>
      <c r="KSC2" s="354"/>
      <c r="KSD2" s="354"/>
      <c r="KSE2" s="354"/>
      <c r="KSF2" s="354"/>
      <c r="KSG2" s="354"/>
      <c r="KSH2" s="354"/>
      <c r="KSI2" s="354"/>
      <c r="KSJ2" s="354"/>
      <c r="KSK2" s="354"/>
      <c r="KSL2" s="354"/>
      <c r="KSM2" s="354"/>
      <c r="KSN2" s="354"/>
      <c r="KSO2" s="354"/>
      <c r="KSP2" s="354"/>
      <c r="KSQ2" s="354"/>
      <c r="KSR2" s="354"/>
      <c r="KSS2" s="354"/>
      <c r="KST2" s="354"/>
      <c r="KSU2" s="354"/>
      <c r="KSV2" s="354"/>
      <c r="KSW2" s="354"/>
      <c r="KSX2" s="354"/>
      <c r="KSY2" s="354"/>
      <c r="KSZ2" s="354"/>
      <c r="KTA2" s="354"/>
      <c r="KTB2" s="354"/>
      <c r="KTC2" s="354"/>
      <c r="KTD2" s="354"/>
      <c r="KTE2" s="354"/>
      <c r="KTF2" s="354"/>
      <c r="KTG2" s="354"/>
      <c r="KTH2" s="354"/>
      <c r="KTI2" s="354"/>
      <c r="KTJ2" s="354"/>
      <c r="KTK2" s="354"/>
      <c r="KTL2" s="354"/>
      <c r="KTM2" s="354"/>
      <c r="KTN2" s="354"/>
      <c r="KTO2" s="354"/>
      <c r="KTP2" s="354"/>
      <c r="KTQ2" s="354"/>
      <c r="KTR2" s="354"/>
      <c r="KTS2" s="354"/>
      <c r="KTT2" s="354"/>
      <c r="KTU2" s="354"/>
      <c r="KTV2" s="354"/>
      <c r="KTW2" s="354"/>
      <c r="KTX2" s="354"/>
      <c r="KTY2" s="354"/>
      <c r="KTZ2" s="354"/>
      <c r="KUA2" s="354"/>
      <c r="KUB2" s="354"/>
      <c r="KUC2" s="354"/>
      <c r="KUD2" s="354"/>
      <c r="KUE2" s="354"/>
      <c r="KUF2" s="354"/>
      <c r="KUG2" s="354"/>
      <c r="KUH2" s="354"/>
      <c r="KUI2" s="354"/>
      <c r="KUJ2" s="354"/>
      <c r="KUK2" s="354"/>
      <c r="KUL2" s="354"/>
      <c r="KUM2" s="354"/>
      <c r="KUN2" s="354"/>
      <c r="KUO2" s="354"/>
      <c r="KUP2" s="354"/>
      <c r="KUQ2" s="354"/>
      <c r="KUR2" s="354"/>
      <c r="KUS2" s="354"/>
      <c r="KUT2" s="354"/>
      <c r="KUU2" s="354"/>
      <c r="KUV2" s="354"/>
      <c r="KUW2" s="354"/>
      <c r="KUX2" s="354"/>
      <c r="KUY2" s="354"/>
      <c r="KUZ2" s="354"/>
      <c r="KVA2" s="354"/>
      <c r="KVB2" s="354"/>
      <c r="KVC2" s="354"/>
      <c r="KVD2" s="354"/>
      <c r="KVE2" s="354"/>
      <c r="KVF2" s="354"/>
      <c r="KVG2" s="354"/>
      <c r="KVH2" s="354"/>
      <c r="KVI2" s="354"/>
      <c r="KVJ2" s="354"/>
      <c r="KVK2" s="354"/>
      <c r="KVL2" s="354"/>
      <c r="KVM2" s="354"/>
      <c r="KVN2" s="354"/>
      <c r="KVO2" s="354"/>
      <c r="KVP2" s="354"/>
      <c r="KVQ2" s="354"/>
      <c r="KVR2" s="354"/>
      <c r="KVS2" s="354"/>
      <c r="KVT2" s="354"/>
      <c r="KVU2" s="354"/>
      <c r="KVV2" s="354"/>
      <c r="KVW2" s="354"/>
      <c r="KVX2" s="354"/>
      <c r="KVY2" s="354"/>
      <c r="KVZ2" s="354"/>
      <c r="KWA2" s="354"/>
      <c r="KWB2" s="354"/>
      <c r="KWC2" s="354"/>
      <c r="KWD2" s="354"/>
      <c r="KWE2" s="354"/>
      <c r="KWF2" s="354"/>
      <c r="KWG2" s="354"/>
      <c r="KWH2" s="354"/>
      <c r="KWI2" s="354"/>
      <c r="KWJ2" s="354"/>
      <c r="KWK2" s="354"/>
      <c r="KWL2" s="354"/>
      <c r="KWM2" s="354"/>
      <c r="KWN2" s="354"/>
      <c r="KWO2" s="354"/>
      <c r="KWP2" s="354"/>
      <c r="KWQ2" s="354"/>
      <c r="KWR2" s="354"/>
      <c r="KWS2" s="354"/>
      <c r="KWT2" s="354"/>
      <c r="KWU2" s="354"/>
      <c r="KWV2" s="354"/>
      <c r="KWW2" s="354"/>
      <c r="KWX2" s="354"/>
      <c r="KWY2" s="354"/>
      <c r="KWZ2" s="354"/>
      <c r="KXA2" s="354"/>
      <c r="KXB2" s="354"/>
      <c r="KXC2" s="354"/>
      <c r="KXD2" s="354"/>
      <c r="KXE2" s="354"/>
      <c r="KXF2" s="354"/>
      <c r="KXG2" s="354"/>
      <c r="KXH2" s="354"/>
      <c r="KXI2" s="354"/>
      <c r="KXJ2" s="354"/>
      <c r="KXK2" s="354"/>
      <c r="KXL2" s="354"/>
      <c r="KXM2" s="354"/>
      <c r="KXN2" s="354"/>
      <c r="KXO2" s="354"/>
      <c r="KXP2" s="354"/>
      <c r="KXQ2" s="354"/>
      <c r="KXR2" s="354"/>
      <c r="KXS2" s="354"/>
      <c r="KXT2" s="354"/>
      <c r="KXU2" s="354"/>
      <c r="KXV2" s="354"/>
      <c r="KXW2" s="354"/>
      <c r="KXX2" s="354"/>
      <c r="KXY2" s="354"/>
      <c r="KXZ2" s="354"/>
      <c r="KYA2" s="354"/>
      <c r="KYB2" s="354"/>
      <c r="KYC2" s="354"/>
      <c r="KYD2" s="354"/>
      <c r="KYE2" s="354"/>
      <c r="KYF2" s="354"/>
      <c r="KYG2" s="354"/>
      <c r="KYH2" s="354"/>
      <c r="KYI2" s="354"/>
      <c r="KYJ2" s="354"/>
      <c r="KYK2" s="354"/>
      <c r="KYL2" s="354"/>
      <c r="KYM2" s="354"/>
      <c r="KYN2" s="354"/>
      <c r="KYO2" s="354"/>
      <c r="KYP2" s="354"/>
      <c r="KYQ2" s="354"/>
      <c r="KYR2" s="354"/>
      <c r="KYS2" s="354"/>
      <c r="KYT2" s="354"/>
      <c r="KYU2" s="354"/>
      <c r="KYV2" s="354"/>
      <c r="KYW2" s="354"/>
      <c r="KYX2" s="354"/>
      <c r="KYY2" s="354"/>
      <c r="KYZ2" s="354"/>
      <c r="KZA2" s="354"/>
      <c r="KZB2" s="354"/>
      <c r="KZC2" s="354"/>
      <c r="KZD2" s="354"/>
      <c r="KZE2" s="354"/>
      <c r="KZF2" s="354"/>
      <c r="KZG2" s="354"/>
      <c r="KZH2" s="354"/>
      <c r="KZI2" s="354"/>
      <c r="KZJ2" s="354"/>
      <c r="KZK2" s="354"/>
      <c r="KZL2" s="354"/>
      <c r="KZM2" s="354"/>
      <c r="KZN2" s="354"/>
      <c r="KZO2" s="354"/>
      <c r="KZP2" s="354"/>
      <c r="KZQ2" s="354"/>
      <c r="KZR2" s="354"/>
      <c r="KZS2" s="354"/>
      <c r="KZT2" s="354"/>
      <c r="KZU2" s="354"/>
      <c r="KZV2" s="354"/>
      <c r="KZW2" s="354"/>
      <c r="KZX2" s="354"/>
      <c r="KZY2" s="354"/>
      <c r="KZZ2" s="354"/>
      <c r="LAA2" s="354"/>
      <c r="LAB2" s="354"/>
      <c r="LAC2" s="354"/>
      <c r="LAD2" s="354"/>
      <c r="LAE2" s="354"/>
      <c r="LAF2" s="354"/>
      <c r="LAG2" s="354"/>
      <c r="LAH2" s="354"/>
      <c r="LAI2" s="354"/>
      <c r="LAJ2" s="354"/>
      <c r="LAK2" s="354"/>
      <c r="LAL2" s="354"/>
      <c r="LAM2" s="354"/>
      <c r="LAN2" s="354"/>
      <c r="LAO2" s="354"/>
      <c r="LAP2" s="354"/>
      <c r="LAQ2" s="354"/>
      <c r="LAR2" s="354"/>
      <c r="LAS2" s="354"/>
      <c r="LAT2" s="354"/>
      <c r="LAU2" s="354"/>
      <c r="LAV2" s="354"/>
      <c r="LAW2" s="354"/>
      <c r="LAX2" s="354"/>
      <c r="LAY2" s="354"/>
      <c r="LAZ2" s="354"/>
      <c r="LBA2" s="354"/>
      <c r="LBB2" s="354"/>
      <c r="LBC2" s="354"/>
      <c r="LBD2" s="354"/>
      <c r="LBE2" s="354"/>
      <c r="LBF2" s="354"/>
      <c r="LBG2" s="354"/>
      <c r="LBH2" s="354"/>
      <c r="LBI2" s="354"/>
      <c r="LBJ2" s="354"/>
      <c r="LBK2" s="354"/>
      <c r="LBL2" s="354"/>
      <c r="LBM2" s="354"/>
      <c r="LBN2" s="354"/>
      <c r="LBO2" s="354"/>
      <c r="LBP2" s="354"/>
      <c r="LBQ2" s="354"/>
      <c r="LBR2" s="354"/>
      <c r="LBS2" s="354"/>
      <c r="LBT2" s="354"/>
      <c r="LBU2" s="354"/>
      <c r="LBV2" s="354"/>
      <c r="LBW2" s="354"/>
      <c r="LBX2" s="354"/>
      <c r="LBY2" s="354"/>
      <c r="LBZ2" s="354"/>
      <c r="LCA2" s="354"/>
      <c r="LCB2" s="354"/>
      <c r="LCC2" s="354"/>
      <c r="LCD2" s="354"/>
      <c r="LCE2" s="354"/>
      <c r="LCF2" s="354"/>
      <c r="LCG2" s="354"/>
      <c r="LCH2" s="354"/>
      <c r="LCI2" s="354"/>
      <c r="LCJ2" s="354"/>
      <c r="LCK2" s="354"/>
      <c r="LCL2" s="354"/>
      <c r="LCM2" s="354"/>
      <c r="LCN2" s="354"/>
      <c r="LCO2" s="354"/>
      <c r="LCP2" s="354"/>
      <c r="LCQ2" s="354"/>
      <c r="LCR2" s="354"/>
      <c r="LCS2" s="354"/>
      <c r="LCT2" s="354"/>
      <c r="LCU2" s="354"/>
      <c r="LCV2" s="354"/>
      <c r="LCW2" s="354"/>
      <c r="LCX2" s="354"/>
      <c r="LCY2" s="354"/>
      <c r="LCZ2" s="354"/>
      <c r="LDA2" s="354"/>
      <c r="LDB2" s="354"/>
      <c r="LDC2" s="354"/>
      <c r="LDD2" s="354"/>
      <c r="LDE2" s="354"/>
      <c r="LDF2" s="354"/>
      <c r="LDG2" s="354"/>
      <c r="LDH2" s="354"/>
      <c r="LDI2" s="354"/>
      <c r="LDJ2" s="354"/>
      <c r="LDK2" s="354"/>
      <c r="LDL2" s="354"/>
      <c r="LDM2" s="354"/>
      <c r="LDN2" s="354"/>
      <c r="LDO2" s="354"/>
      <c r="LDP2" s="354"/>
      <c r="LDQ2" s="354"/>
      <c r="LDR2" s="354"/>
      <c r="LDS2" s="354"/>
      <c r="LDT2" s="354"/>
      <c r="LDU2" s="354"/>
      <c r="LDV2" s="354"/>
      <c r="LDW2" s="354"/>
      <c r="LDX2" s="354"/>
      <c r="LDY2" s="354"/>
      <c r="LDZ2" s="354"/>
      <c r="LEA2" s="354"/>
      <c r="LEB2" s="354"/>
      <c r="LEC2" s="354"/>
      <c r="LED2" s="354"/>
      <c r="LEE2" s="354"/>
      <c r="LEF2" s="354"/>
      <c r="LEG2" s="354"/>
      <c r="LEH2" s="354"/>
      <c r="LEI2" s="354"/>
      <c r="LEJ2" s="354"/>
      <c r="LEK2" s="354"/>
      <c r="LEL2" s="354"/>
      <c r="LEM2" s="354"/>
      <c r="LEN2" s="354"/>
      <c r="LEO2" s="354"/>
      <c r="LEP2" s="354"/>
      <c r="LEQ2" s="354"/>
      <c r="LER2" s="354"/>
      <c r="LES2" s="354"/>
      <c r="LET2" s="354"/>
      <c r="LEU2" s="354"/>
      <c r="LEV2" s="354"/>
      <c r="LEW2" s="354"/>
      <c r="LEX2" s="354"/>
      <c r="LEY2" s="354"/>
      <c r="LEZ2" s="354"/>
      <c r="LFA2" s="354"/>
      <c r="LFB2" s="354"/>
      <c r="LFC2" s="354"/>
      <c r="LFD2" s="354"/>
      <c r="LFE2" s="354"/>
      <c r="LFF2" s="354"/>
      <c r="LFG2" s="354"/>
      <c r="LFH2" s="354"/>
      <c r="LFI2" s="354"/>
      <c r="LFJ2" s="354"/>
      <c r="LFK2" s="354"/>
      <c r="LFL2" s="354"/>
      <c r="LFM2" s="354"/>
      <c r="LFN2" s="354"/>
      <c r="LFO2" s="354"/>
      <c r="LFP2" s="354"/>
      <c r="LFQ2" s="354"/>
      <c r="LFR2" s="354"/>
      <c r="LFS2" s="354"/>
      <c r="LFT2" s="354"/>
      <c r="LFU2" s="354"/>
      <c r="LFV2" s="354"/>
      <c r="LFW2" s="354"/>
      <c r="LFX2" s="354"/>
      <c r="LFY2" s="354"/>
      <c r="LFZ2" s="354"/>
      <c r="LGA2" s="354"/>
      <c r="LGB2" s="354"/>
      <c r="LGC2" s="354"/>
      <c r="LGD2" s="354"/>
      <c r="LGE2" s="354"/>
      <c r="LGF2" s="354"/>
      <c r="LGG2" s="354"/>
      <c r="LGH2" s="354"/>
      <c r="LGI2" s="354"/>
      <c r="LGJ2" s="354"/>
      <c r="LGK2" s="354"/>
      <c r="LGL2" s="354"/>
      <c r="LGM2" s="354"/>
      <c r="LGN2" s="354"/>
      <c r="LGO2" s="354"/>
      <c r="LGP2" s="354"/>
      <c r="LGQ2" s="354"/>
      <c r="LGR2" s="354"/>
      <c r="LGS2" s="354"/>
      <c r="LGT2" s="354"/>
      <c r="LGU2" s="354"/>
      <c r="LGV2" s="354"/>
      <c r="LGW2" s="354"/>
      <c r="LGX2" s="354"/>
      <c r="LGY2" s="354"/>
      <c r="LGZ2" s="354"/>
      <c r="LHA2" s="354"/>
      <c r="LHB2" s="354"/>
      <c r="LHC2" s="354"/>
      <c r="LHD2" s="354"/>
      <c r="LHE2" s="354"/>
      <c r="LHF2" s="354"/>
      <c r="LHG2" s="354"/>
      <c r="LHH2" s="354"/>
      <c r="LHI2" s="354"/>
      <c r="LHJ2" s="354"/>
      <c r="LHK2" s="354"/>
      <c r="LHL2" s="354"/>
      <c r="LHM2" s="354"/>
      <c r="LHN2" s="354"/>
      <c r="LHO2" s="354"/>
      <c r="LHP2" s="354"/>
      <c r="LHQ2" s="354"/>
      <c r="LHR2" s="354"/>
      <c r="LHS2" s="354"/>
      <c r="LHT2" s="354"/>
      <c r="LHU2" s="354"/>
      <c r="LHV2" s="354"/>
      <c r="LHW2" s="354"/>
      <c r="LHX2" s="354"/>
      <c r="LHY2" s="354"/>
      <c r="LHZ2" s="354"/>
      <c r="LIA2" s="354"/>
      <c r="LIB2" s="354"/>
      <c r="LIC2" s="354"/>
      <c r="LID2" s="354"/>
      <c r="LIE2" s="354"/>
      <c r="LIF2" s="354"/>
      <c r="LIG2" s="354"/>
      <c r="LIH2" s="354"/>
      <c r="LII2" s="354"/>
      <c r="LIJ2" s="354"/>
      <c r="LIK2" s="354"/>
      <c r="LIL2" s="354"/>
      <c r="LIM2" s="354"/>
      <c r="LIN2" s="354"/>
      <c r="LIO2" s="354"/>
      <c r="LIP2" s="354"/>
      <c r="LIQ2" s="354"/>
      <c r="LIR2" s="354"/>
      <c r="LIS2" s="354"/>
      <c r="LIT2" s="354"/>
      <c r="LIU2" s="354"/>
      <c r="LIV2" s="354"/>
      <c r="LIW2" s="354"/>
      <c r="LIX2" s="354"/>
      <c r="LIY2" s="354"/>
      <c r="LIZ2" s="354"/>
      <c r="LJA2" s="354"/>
      <c r="LJB2" s="354"/>
      <c r="LJC2" s="354"/>
      <c r="LJD2" s="354"/>
      <c r="LJE2" s="354"/>
      <c r="LJF2" s="354"/>
      <c r="LJG2" s="354"/>
      <c r="LJH2" s="354"/>
      <c r="LJI2" s="354"/>
      <c r="LJJ2" s="354"/>
      <c r="LJK2" s="354"/>
      <c r="LJL2" s="354"/>
      <c r="LJM2" s="354"/>
      <c r="LJN2" s="354"/>
      <c r="LJO2" s="354"/>
      <c r="LJP2" s="354"/>
      <c r="LJQ2" s="354"/>
      <c r="LJR2" s="354"/>
      <c r="LJS2" s="354"/>
      <c r="LJT2" s="354"/>
      <c r="LJU2" s="354"/>
      <c r="LJV2" s="354"/>
      <c r="LJW2" s="354"/>
      <c r="LJX2" s="354"/>
      <c r="LJY2" s="354"/>
      <c r="LJZ2" s="354"/>
      <c r="LKA2" s="354"/>
      <c r="LKB2" s="354"/>
      <c r="LKC2" s="354"/>
      <c r="LKD2" s="354"/>
      <c r="LKE2" s="354"/>
      <c r="LKF2" s="354"/>
      <c r="LKG2" s="354"/>
      <c r="LKH2" s="354"/>
      <c r="LKI2" s="354"/>
      <c r="LKJ2" s="354"/>
      <c r="LKK2" s="354"/>
      <c r="LKL2" s="354"/>
      <c r="LKM2" s="354"/>
      <c r="LKN2" s="354"/>
      <c r="LKO2" s="354"/>
      <c r="LKP2" s="354"/>
      <c r="LKQ2" s="354"/>
      <c r="LKR2" s="354"/>
      <c r="LKS2" s="354"/>
      <c r="LKT2" s="354"/>
      <c r="LKU2" s="354"/>
      <c r="LKV2" s="354"/>
      <c r="LKW2" s="354"/>
      <c r="LKX2" s="354"/>
      <c r="LKY2" s="354"/>
      <c r="LKZ2" s="354"/>
      <c r="LLA2" s="354"/>
      <c r="LLB2" s="354"/>
      <c r="LLC2" s="354"/>
      <c r="LLD2" s="354"/>
      <c r="LLE2" s="354"/>
      <c r="LLF2" s="354"/>
      <c r="LLG2" s="354"/>
      <c r="LLH2" s="354"/>
      <c r="LLI2" s="354"/>
      <c r="LLJ2" s="354"/>
      <c r="LLK2" s="354"/>
      <c r="LLL2" s="354"/>
      <c r="LLM2" s="354"/>
      <c r="LLN2" s="354"/>
      <c r="LLO2" s="354"/>
      <c r="LLP2" s="354"/>
      <c r="LLQ2" s="354"/>
      <c r="LLR2" s="354"/>
      <c r="LLS2" s="354"/>
      <c r="LLT2" s="354"/>
      <c r="LLU2" s="354"/>
      <c r="LLV2" s="354"/>
      <c r="LLW2" s="354"/>
      <c r="LLX2" s="354"/>
      <c r="LLY2" s="354"/>
      <c r="LLZ2" s="354"/>
      <c r="LMA2" s="354"/>
      <c r="LMB2" s="354"/>
      <c r="LMC2" s="354"/>
      <c r="LMD2" s="354"/>
      <c r="LME2" s="354"/>
      <c r="LMF2" s="354"/>
      <c r="LMG2" s="354"/>
      <c r="LMH2" s="354"/>
      <c r="LMI2" s="354"/>
      <c r="LMJ2" s="354"/>
      <c r="LMK2" s="354"/>
      <c r="LML2" s="354"/>
      <c r="LMM2" s="354"/>
      <c r="LMN2" s="354"/>
      <c r="LMO2" s="354"/>
      <c r="LMP2" s="354"/>
      <c r="LMQ2" s="354"/>
      <c r="LMR2" s="354"/>
      <c r="LMS2" s="354"/>
      <c r="LMT2" s="354"/>
      <c r="LMU2" s="354"/>
      <c r="LMV2" s="354"/>
      <c r="LMW2" s="354"/>
      <c r="LMX2" s="354"/>
      <c r="LMY2" s="354"/>
      <c r="LMZ2" s="354"/>
      <c r="LNA2" s="354"/>
      <c r="LNB2" s="354"/>
      <c r="LNC2" s="354"/>
      <c r="LND2" s="354"/>
      <c r="LNE2" s="354"/>
      <c r="LNF2" s="354"/>
      <c r="LNG2" s="354"/>
      <c r="LNH2" s="354"/>
      <c r="LNI2" s="354"/>
      <c r="LNJ2" s="354"/>
      <c r="LNK2" s="354"/>
      <c r="LNL2" s="354"/>
      <c r="LNM2" s="354"/>
      <c r="LNN2" s="354"/>
      <c r="LNO2" s="354"/>
      <c r="LNP2" s="354"/>
      <c r="LNQ2" s="354"/>
      <c r="LNR2" s="354"/>
      <c r="LNS2" s="354"/>
      <c r="LNT2" s="354"/>
      <c r="LNU2" s="354"/>
      <c r="LNV2" s="354"/>
      <c r="LNW2" s="354"/>
      <c r="LNX2" s="354"/>
      <c r="LNY2" s="354"/>
      <c r="LNZ2" s="354"/>
      <c r="LOA2" s="354"/>
      <c r="LOB2" s="354"/>
      <c r="LOC2" s="354"/>
      <c r="LOD2" s="354"/>
      <c r="LOE2" s="354"/>
      <c r="LOF2" s="354"/>
      <c r="LOG2" s="354"/>
      <c r="LOH2" s="354"/>
      <c r="LOI2" s="354"/>
      <c r="LOJ2" s="354"/>
      <c r="LOK2" s="354"/>
      <c r="LOL2" s="354"/>
      <c r="LOM2" s="354"/>
      <c r="LON2" s="354"/>
      <c r="LOO2" s="354"/>
      <c r="LOP2" s="354"/>
      <c r="LOQ2" s="354"/>
      <c r="LOR2" s="354"/>
      <c r="LOS2" s="354"/>
      <c r="LOT2" s="354"/>
      <c r="LOU2" s="354"/>
      <c r="LOV2" s="354"/>
      <c r="LOW2" s="354"/>
      <c r="LOX2" s="354"/>
      <c r="LOY2" s="354"/>
      <c r="LOZ2" s="354"/>
      <c r="LPA2" s="354"/>
      <c r="LPB2" s="354"/>
      <c r="LPC2" s="354"/>
      <c r="LPD2" s="354"/>
      <c r="LPE2" s="354"/>
      <c r="LPF2" s="354"/>
      <c r="LPG2" s="354"/>
      <c r="LPH2" s="354"/>
      <c r="LPI2" s="354"/>
      <c r="LPJ2" s="354"/>
      <c r="LPK2" s="354"/>
      <c r="LPL2" s="354"/>
      <c r="LPM2" s="354"/>
      <c r="LPN2" s="354"/>
      <c r="LPO2" s="354"/>
      <c r="LPP2" s="354"/>
      <c r="LPQ2" s="354"/>
      <c r="LPR2" s="354"/>
      <c r="LPS2" s="354"/>
      <c r="LPT2" s="354"/>
      <c r="LPU2" s="354"/>
      <c r="LPV2" s="354"/>
      <c r="LPW2" s="354"/>
      <c r="LPX2" s="354"/>
      <c r="LPY2" s="354"/>
      <c r="LPZ2" s="354"/>
      <c r="LQA2" s="354"/>
      <c r="LQB2" s="354"/>
      <c r="LQC2" s="354"/>
      <c r="LQD2" s="354"/>
      <c r="LQE2" s="354"/>
      <c r="LQF2" s="354"/>
      <c r="LQG2" s="354"/>
      <c r="LQH2" s="354"/>
      <c r="LQI2" s="354"/>
      <c r="LQJ2" s="354"/>
      <c r="LQK2" s="354"/>
      <c r="LQL2" s="354"/>
      <c r="LQM2" s="354"/>
      <c r="LQN2" s="354"/>
      <c r="LQO2" s="354"/>
      <c r="LQP2" s="354"/>
      <c r="LQQ2" s="354"/>
      <c r="LQR2" s="354"/>
      <c r="LQS2" s="354"/>
      <c r="LQT2" s="354"/>
      <c r="LQU2" s="354"/>
      <c r="LQV2" s="354"/>
      <c r="LQW2" s="354"/>
      <c r="LQX2" s="354"/>
      <c r="LQY2" s="354"/>
      <c r="LQZ2" s="354"/>
      <c r="LRA2" s="354"/>
      <c r="LRB2" s="354"/>
      <c r="LRC2" s="354"/>
      <c r="LRD2" s="354"/>
      <c r="LRE2" s="354"/>
      <c r="LRF2" s="354"/>
      <c r="LRG2" s="354"/>
      <c r="LRH2" s="354"/>
      <c r="LRI2" s="354"/>
      <c r="LRJ2" s="354"/>
      <c r="LRK2" s="354"/>
      <c r="LRL2" s="354"/>
      <c r="LRM2" s="354"/>
      <c r="LRN2" s="354"/>
      <c r="LRO2" s="354"/>
      <c r="LRP2" s="354"/>
      <c r="LRQ2" s="354"/>
      <c r="LRR2" s="354"/>
      <c r="LRS2" s="354"/>
      <c r="LRT2" s="354"/>
      <c r="LRU2" s="354"/>
      <c r="LRV2" s="354"/>
      <c r="LRW2" s="354"/>
      <c r="LRX2" s="354"/>
      <c r="LRY2" s="354"/>
      <c r="LRZ2" s="354"/>
      <c r="LSA2" s="354"/>
      <c r="LSB2" s="354"/>
      <c r="LSC2" s="354"/>
      <c r="LSD2" s="354"/>
      <c r="LSE2" s="354"/>
      <c r="LSF2" s="354"/>
      <c r="LSG2" s="354"/>
      <c r="LSH2" s="354"/>
      <c r="LSI2" s="354"/>
      <c r="LSJ2" s="354"/>
      <c r="LSK2" s="354"/>
      <c r="LSL2" s="354"/>
      <c r="LSM2" s="354"/>
      <c r="LSN2" s="354"/>
      <c r="LSO2" s="354"/>
      <c r="LSP2" s="354"/>
      <c r="LSQ2" s="354"/>
      <c r="LSR2" s="354"/>
      <c r="LSS2" s="354"/>
      <c r="LST2" s="354"/>
      <c r="LSU2" s="354"/>
      <c r="LSV2" s="354"/>
      <c r="LSW2" s="354"/>
      <c r="LSX2" s="354"/>
      <c r="LSY2" s="354"/>
      <c r="LSZ2" s="354"/>
      <c r="LTA2" s="354"/>
      <c r="LTB2" s="354"/>
      <c r="LTC2" s="354"/>
      <c r="LTD2" s="354"/>
      <c r="LTE2" s="354"/>
      <c r="LTF2" s="354"/>
      <c r="LTG2" s="354"/>
      <c r="LTH2" s="354"/>
      <c r="LTI2" s="354"/>
      <c r="LTJ2" s="354"/>
      <c r="LTK2" s="354"/>
      <c r="LTL2" s="354"/>
      <c r="LTM2" s="354"/>
      <c r="LTN2" s="354"/>
      <c r="LTO2" s="354"/>
      <c r="LTP2" s="354"/>
      <c r="LTQ2" s="354"/>
      <c r="LTR2" s="354"/>
      <c r="LTS2" s="354"/>
      <c r="LTT2" s="354"/>
      <c r="LTU2" s="354"/>
      <c r="LTV2" s="354"/>
      <c r="LTW2" s="354"/>
      <c r="LTX2" s="354"/>
      <c r="LTY2" s="354"/>
      <c r="LTZ2" s="354"/>
      <c r="LUA2" s="354"/>
      <c r="LUB2" s="354"/>
      <c r="LUC2" s="354"/>
      <c r="LUD2" s="354"/>
      <c r="LUE2" s="354"/>
      <c r="LUF2" s="354"/>
      <c r="LUG2" s="354"/>
      <c r="LUH2" s="354"/>
      <c r="LUI2" s="354"/>
      <c r="LUJ2" s="354"/>
      <c r="LUK2" s="354"/>
      <c r="LUL2" s="354"/>
      <c r="LUM2" s="354"/>
      <c r="LUN2" s="354"/>
      <c r="LUO2" s="354"/>
      <c r="LUP2" s="354"/>
      <c r="LUQ2" s="354"/>
      <c r="LUR2" s="354"/>
      <c r="LUS2" s="354"/>
      <c r="LUT2" s="354"/>
      <c r="LUU2" s="354"/>
      <c r="LUV2" s="354"/>
      <c r="LUW2" s="354"/>
      <c r="LUX2" s="354"/>
      <c r="LUY2" s="354"/>
      <c r="LUZ2" s="354"/>
      <c r="LVA2" s="354"/>
      <c r="LVB2" s="354"/>
      <c r="LVC2" s="354"/>
      <c r="LVD2" s="354"/>
      <c r="LVE2" s="354"/>
      <c r="LVF2" s="354"/>
      <c r="LVG2" s="354"/>
      <c r="LVH2" s="354"/>
      <c r="LVI2" s="354"/>
      <c r="LVJ2" s="354"/>
      <c r="LVK2" s="354"/>
      <c r="LVL2" s="354"/>
      <c r="LVM2" s="354"/>
      <c r="LVN2" s="354"/>
      <c r="LVO2" s="354"/>
      <c r="LVP2" s="354"/>
      <c r="LVQ2" s="354"/>
      <c r="LVR2" s="354"/>
      <c r="LVS2" s="354"/>
      <c r="LVT2" s="354"/>
      <c r="LVU2" s="354"/>
      <c r="LVV2" s="354"/>
      <c r="LVW2" s="354"/>
      <c r="LVX2" s="354"/>
      <c r="LVY2" s="354"/>
      <c r="LVZ2" s="354"/>
      <c r="LWA2" s="354"/>
      <c r="LWB2" s="354"/>
      <c r="LWC2" s="354"/>
      <c r="LWD2" s="354"/>
      <c r="LWE2" s="354"/>
      <c r="LWF2" s="354"/>
      <c r="LWG2" s="354"/>
      <c r="LWH2" s="354"/>
      <c r="LWI2" s="354"/>
      <c r="LWJ2" s="354"/>
      <c r="LWK2" s="354"/>
      <c r="LWL2" s="354"/>
      <c r="LWM2" s="354"/>
      <c r="LWN2" s="354"/>
      <c r="LWO2" s="354"/>
      <c r="LWP2" s="354"/>
      <c r="LWQ2" s="354"/>
      <c r="LWR2" s="354"/>
      <c r="LWS2" s="354"/>
      <c r="LWT2" s="354"/>
      <c r="LWU2" s="354"/>
      <c r="LWV2" s="354"/>
      <c r="LWW2" s="354"/>
      <c r="LWX2" s="354"/>
      <c r="LWY2" s="354"/>
      <c r="LWZ2" s="354"/>
      <c r="LXA2" s="354"/>
      <c r="LXB2" s="354"/>
      <c r="LXC2" s="354"/>
      <c r="LXD2" s="354"/>
      <c r="LXE2" s="354"/>
      <c r="LXF2" s="354"/>
      <c r="LXG2" s="354"/>
      <c r="LXH2" s="354"/>
      <c r="LXI2" s="354"/>
      <c r="LXJ2" s="354"/>
      <c r="LXK2" s="354"/>
      <c r="LXL2" s="354"/>
      <c r="LXM2" s="354"/>
      <c r="LXN2" s="354"/>
      <c r="LXO2" s="354"/>
      <c r="LXP2" s="354"/>
      <c r="LXQ2" s="354"/>
      <c r="LXR2" s="354"/>
      <c r="LXS2" s="354"/>
      <c r="LXT2" s="354"/>
      <c r="LXU2" s="354"/>
      <c r="LXV2" s="354"/>
      <c r="LXW2" s="354"/>
      <c r="LXX2" s="354"/>
      <c r="LXY2" s="354"/>
      <c r="LXZ2" s="354"/>
      <c r="LYA2" s="354"/>
      <c r="LYB2" s="354"/>
      <c r="LYC2" s="354"/>
      <c r="LYD2" s="354"/>
      <c r="LYE2" s="354"/>
      <c r="LYF2" s="354"/>
      <c r="LYG2" s="354"/>
      <c r="LYH2" s="354"/>
      <c r="LYI2" s="354"/>
      <c r="LYJ2" s="354"/>
      <c r="LYK2" s="354"/>
      <c r="LYL2" s="354"/>
      <c r="LYM2" s="354"/>
      <c r="LYN2" s="354"/>
      <c r="LYO2" s="354"/>
      <c r="LYP2" s="354"/>
      <c r="LYQ2" s="354"/>
      <c r="LYR2" s="354"/>
      <c r="LYS2" s="354"/>
      <c r="LYT2" s="354"/>
      <c r="LYU2" s="354"/>
      <c r="LYV2" s="354"/>
      <c r="LYW2" s="354"/>
      <c r="LYX2" s="354"/>
      <c r="LYY2" s="354"/>
      <c r="LYZ2" s="354"/>
      <c r="LZA2" s="354"/>
      <c r="LZB2" s="354"/>
      <c r="LZC2" s="354"/>
      <c r="LZD2" s="354"/>
      <c r="LZE2" s="354"/>
      <c r="LZF2" s="354"/>
      <c r="LZG2" s="354"/>
      <c r="LZH2" s="354"/>
      <c r="LZI2" s="354"/>
      <c r="LZJ2" s="354"/>
      <c r="LZK2" s="354"/>
      <c r="LZL2" s="354"/>
      <c r="LZM2" s="354"/>
      <c r="LZN2" s="354"/>
      <c r="LZO2" s="354"/>
      <c r="LZP2" s="354"/>
      <c r="LZQ2" s="354"/>
      <c r="LZR2" s="354"/>
      <c r="LZS2" s="354"/>
      <c r="LZT2" s="354"/>
      <c r="LZU2" s="354"/>
      <c r="LZV2" s="354"/>
      <c r="LZW2" s="354"/>
      <c r="LZX2" s="354"/>
      <c r="LZY2" s="354"/>
      <c r="LZZ2" s="354"/>
      <c r="MAA2" s="354"/>
      <c r="MAB2" s="354"/>
      <c r="MAC2" s="354"/>
      <c r="MAD2" s="354"/>
      <c r="MAE2" s="354"/>
      <c r="MAF2" s="354"/>
      <c r="MAG2" s="354"/>
      <c r="MAH2" s="354"/>
      <c r="MAI2" s="354"/>
      <c r="MAJ2" s="354"/>
      <c r="MAK2" s="354"/>
      <c r="MAL2" s="354"/>
      <c r="MAM2" s="354"/>
      <c r="MAN2" s="354"/>
      <c r="MAO2" s="354"/>
      <c r="MAP2" s="354"/>
      <c r="MAQ2" s="354"/>
      <c r="MAR2" s="354"/>
      <c r="MAS2" s="354"/>
      <c r="MAT2" s="354"/>
      <c r="MAU2" s="354"/>
      <c r="MAV2" s="354"/>
      <c r="MAW2" s="354"/>
      <c r="MAX2" s="354"/>
      <c r="MAY2" s="354"/>
      <c r="MAZ2" s="354"/>
      <c r="MBA2" s="354"/>
      <c r="MBB2" s="354"/>
      <c r="MBC2" s="354"/>
      <c r="MBD2" s="354"/>
      <c r="MBE2" s="354"/>
      <c r="MBF2" s="354"/>
      <c r="MBG2" s="354"/>
      <c r="MBH2" s="354"/>
      <c r="MBI2" s="354"/>
      <c r="MBJ2" s="354"/>
      <c r="MBK2" s="354"/>
      <c r="MBL2" s="354"/>
      <c r="MBM2" s="354"/>
      <c r="MBN2" s="354"/>
      <c r="MBO2" s="354"/>
      <c r="MBP2" s="354"/>
      <c r="MBQ2" s="354"/>
      <c r="MBR2" s="354"/>
      <c r="MBS2" s="354"/>
      <c r="MBT2" s="354"/>
      <c r="MBU2" s="354"/>
      <c r="MBV2" s="354"/>
      <c r="MBW2" s="354"/>
      <c r="MBX2" s="354"/>
      <c r="MBY2" s="354"/>
      <c r="MBZ2" s="354"/>
      <c r="MCA2" s="354"/>
      <c r="MCB2" s="354"/>
      <c r="MCC2" s="354"/>
      <c r="MCD2" s="354"/>
      <c r="MCE2" s="354"/>
      <c r="MCF2" s="354"/>
      <c r="MCG2" s="354"/>
      <c r="MCH2" s="354"/>
      <c r="MCI2" s="354"/>
      <c r="MCJ2" s="354"/>
      <c r="MCK2" s="354"/>
      <c r="MCL2" s="354"/>
      <c r="MCM2" s="354"/>
      <c r="MCN2" s="354"/>
      <c r="MCO2" s="354"/>
      <c r="MCP2" s="354"/>
      <c r="MCQ2" s="354"/>
      <c r="MCR2" s="354"/>
      <c r="MCS2" s="354"/>
      <c r="MCT2" s="354"/>
      <c r="MCU2" s="354"/>
      <c r="MCV2" s="354"/>
      <c r="MCW2" s="354"/>
      <c r="MCX2" s="354"/>
      <c r="MCY2" s="354"/>
      <c r="MCZ2" s="354"/>
      <c r="MDA2" s="354"/>
      <c r="MDB2" s="354"/>
      <c r="MDC2" s="354"/>
      <c r="MDD2" s="354"/>
      <c r="MDE2" s="354"/>
      <c r="MDF2" s="354"/>
      <c r="MDG2" s="354"/>
      <c r="MDH2" s="354"/>
      <c r="MDI2" s="354"/>
      <c r="MDJ2" s="354"/>
      <c r="MDK2" s="354"/>
      <c r="MDL2" s="354"/>
      <c r="MDM2" s="354"/>
      <c r="MDN2" s="354"/>
      <c r="MDO2" s="354"/>
      <c r="MDP2" s="354"/>
      <c r="MDQ2" s="354"/>
      <c r="MDR2" s="354"/>
      <c r="MDS2" s="354"/>
      <c r="MDT2" s="354"/>
      <c r="MDU2" s="354"/>
      <c r="MDV2" s="354"/>
      <c r="MDW2" s="354"/>
      <c r="MDX2" s="354"/>
      <c r="MDY2" s="354"/>
      <c r="MDZ2" s="354"/>
      <c r="MEA2" s="354"/>
      <c r="MEB2" s="354"/>
      <c r="MEC2" s="354"/>
      <c r="MED2" s="354"/>
      <c r="MEE2" s="354"/>
      <c r="MEF2" s="354"/>
      <c r="MEG2" s="354"/>
      <c r="MEH2" s="354"/>
      <c r="MEI2" s="354"/>
      <c r="MEJ2" s="354"/>
      <c r="MEK2" s="354"/>
      <c r="MEL2" s="354"/>
      <c r="MEM2" s="354"/>
      <c r="MEN2" s="354"/>
      <c r="MEO2" s="354"/>
      <c r="MEP2" s="354"/>
      <c r="MEQ2" s="354"/>
      <c r="MER2" s="354"/>
      <c r="MES2" s="354"/>
      <c r="MET2" s="354"/>
      <c r="MEU2" s="354"/>
      <c r="MEV2" s="354"/>
      <c r="MEW2" s="354"/>
      <c r="MEX2" s="354"/>
      <c r="MEY2" s="354"/>
      <c r="MEZ2" s="354"/>
      <c r="MFA2" s="354"/>
      <c r="MFB2" s="354"/>
      <c r="MFC2" s="354"/>
      <c r="MFD2" s="354"/>
      <c r="MFE2" s="354"/>
      <c r="MFF2" s="354"/>
      <c r="MFG2" s="354"/>
      <c r="MFH2" s="354"/>
      <c r="MFI2" s="354"/>
      <c r="MFJ2" s="354"/>
      <c r="MFK2" s="354"/>
      <c r="MFL2" s="354"/>
      <c r="MFM2" s="354"/>
      <c r="MFN2" s="354"/>
      <c r="MFO2" s="354"/>
      <c r="MFP2" s="354"/>
      <c r="MFQ2" s="354"/>
      <c r="MFR2" s="354"/>
      <c r="MFS2" s="354"/>
      <c r="MFT2" s="354"/>
      <c r="MFU2" s="354"/>
      <c r="MFV2" s="354"/>
      <c r="MFW2" s="354"/>
      <c r="MFX2" s="354"/>
      <c r="MFY2" s="354"/>
      <c r="MFZ2" s="354"/>
      <c r="MGA2" s="354"/>
      <c r="MGB2" s="354"/>
      <c r="MGC2" s="354"/>
      <c r="MGD2" s="354"/>
      <c r="MGE2" s="354"/>
      <c r="MGF2" s="354"/>
      <c r="MGG2" s="354"/>
      <c r="MGH2" s="354"/>
      <c r="MGI2" s="354"/>
      <c r="MGJ2" s="354"/>
      <c r="MGK2" s="354"/>
      <c r="MGL2" s="354"/>
      <c r="MGM2" s="354"/>
      <c r="MGN2" s="354"/>
      <c r="MGO2" s="354"/>
      <c r="MGP2" s="354"/>
      <c r="MGQ2" s="354"/>
      <c r="MGR2" s="354"/>
      <c r="MGS2" s="354"/>
      <c r="MGT2" s="354"/>
      <c r="MGU2" s="354"/>
      <c r="MGV2" s="354"/>
      <c r="MGW2" s="354"/>
      <c r="MGX2" s="354"/>
      <c r="MGY2" s="354"/>
      <c r="MGZ2" s="354"/>
      <c r="MHA2" s="354"/>
      <c r="MHB2" s="354"/>
      <c r="MHC2" s="354"/>
      <c r="MHD2" s="354"/>
      <c r="MHE2" s="354"/>
      <c r="MHF2" s="354"/>
      <c r="MHG2" s="354"/>
      <c r="MHH2" s="354"/>
      <c r="MHI2" s="354"/>
      <c r="MHJ2" s="354"/>
      <c r="MHK2" s="354"/>
      <c r="MHL2" s="354"/>
      <c r="MHM2" s="354"/>
      <c r="MHN2" s="354"/>
      <c r="MHO2" s="354"/>
      <c r="MHP2" s="354"/>
      <c r="MHQ2" s="354"/>
      <c r="MHR2" s="354"/>
      <c r="MHS2" s="354"/>
      <c r="MHT2" s="354"/>
      <c r="MHU2" s="354"/>
      <c r="MHV2" s="354"/>
      <c r="MHW2" s="354"/>
      <c r="MHX2" s="354"/>
      <c r="MHY2" s="354"/>
      <c r="MHZ2" s="354"/>
      <c r="MIA2" s="354"/>
      <c r="MIB2" s="354"/>
      <c r="MIC2" s="354"/>
      <c r="MID2" s="354"/>
      <c r="MIE2" s="354"/>
      <c r="MIF2" s="354"/>
      <c r="MIG2" s="354"/>
      <c r="MIH2" s="354"/>
      <c r="MII2" s="354"/>
      <c r="MIJ2" s="354"/>
      <c r="MIK2" s="354"/>
      <c r="MIL2" s="354"/>
      <c r="MIM2" s="354"/>
      <c r="MIN2" s="354"/>
      <c r="MIO2" s="354"/>
      <c r="MIP2" s="354"/>
      <c r="MIQ2" s="354"/>
      <c r="MIR2" s="354"/>
      <c r="MIS2" s="354"/>
      <c r="MIT2" s="354"/>
      <c r="MIU2" s="354"/>
      <c r="MIV2" s="354"/>
      <c r="MIW2" s="354"/>
      <c r="MIX2" s="354"/>
      <c r="MIY2" s="354"/>
      <c r="MIZ2" s="354"/>
      <c r="MJA2" s="354"/>
      <c r="MJB2" s="354"/>
      <c r="MJC2" s="354"/>
      <c r="MJD2" s="354"/>
      <c r="MJE2" s="354"/>
      <c r="MJF2" s="354"/>
      <c r="MJG2" s="354"/>
      <c r="MJH2" s="354"/>
      <c r="MJI2" s="354"/>
      <c r="MJJ2" s="354"/>
      <c r="MJK2" s="354"/>
      <c r="MJL2" s="354"/>
      <c r="MJM2" s="354"/>
      <c r="MJN2" s="354"/>
      <c r="MJO2" s="354"/>
      <c r="MJP2" s="354"/>
      <c r="MJQ2" s="354"/>
      <c r="MJR2" s="354"/>
      <c r="MJS2" s="354"/>
      <c r="MJT2" s="354"/>
      <c r="MJU2" s="354"/>
      <c r="MJV2" s="354"/>
      <c r="MJW2" s="354"/>
      <c r="MJX2" s="354"/>
      <c r="MJY2" s="354"/>
      <c r="MJZ2" s="354"/>
      <c r="MKA2" s="354"/>
      <c r="MKB2" s="354"/>
      <c r="MKC2" s="354"/>
      <c r="MKD2" s="354"/>
      <c r="MKE2" s="354"/>
      <c r="MKF2" s="354"/>
      <c r="MKG2" s="354"/>
      <c r="MKH2" s="354"/>
      <c r="MKI2" s="354"/>
      <c r="MKJ2" s="354"/>
      <c r="MKK2" s="354"/>
      <c r="MKL2" s="354"/>
      <c r="MKM2" s="354"/>
      <c r="MKN2" s="354"/>
      <c r="MKO2" s="354"/>
      <c r="MKP2" s="354"/>
      <c r="MKQ2" s="354"/>
      <c r="MKR2" s="354"/>
      <c r="MKS2" s="354"/>
      <c r="MKT2" s="354"/>
      <c r="MKU2" s="354"/>
      <c r="MKV2" s="354"/>
      <c r="MKW2" s="354"/>
      <c r="MKX2" s="354"/>
      <c r="MKY2" s="354"/>
      <c r="MKZ2" s="354"/>
      <c r="MLA2" s="354"/>
      <c r="MLB2" s="354"/>
      <c r="MLC2" s="354"/>
      <c r="MLD2" s="354"/>
      <c r="MLE2" s="354"/>
      <c r="MLF2" s="354"/>
      <c r="MLG2" s="354"/>
      <c r="MLH2" s="354"/>
      <c r="MLI2" s="354"/>
      <c r="MLJ2" s="354"/>
      <c r="MLK2" s="354"/>
      <c r="MLL2" s="354"/>
      <c r="MLM2" s="354"/>
      <c r="MLN2" s="354"/>
      <c r="MLO2" s="354"/>
      <c r="MLP2" s="354"/>
      <c r="MLQ2" s="354"/>
      <c r="MLR2" s="354"/>
      <c r="MLS2" s="354"/>
      <c r="MLT2" s="354"/>
      <c r="MLU2" s="354"/>
      <c r="MLV2" s="354"/>
      <c r="MLW2" s="354"/>
      <c r="MLX2" s="354"/>
      <c r="MLY2" s="354"/>
      <c r="MLZ2" s="354"/>
      <c r="MMA2" s="354"/>
      <c r="MMB2" s="354"/>
      <c r="MMC2" s="354"/>
      <c r="MMD2" s="354"/>
      <c r="MME2" s="354"/>
      <c r="MMF2" s="354"/>
      <c r="MMG2" s="354"/>
      <c r="MMH2" s="354"/>
      <c r="MMI2" s="354"/>
      <c r="MMJ2" s="354"/>
      <c r="MMK2" s="354"/>
      <c r="MML2" s="354"/>
      <c r="MMM2" s="354"/>
      <c r="MMN2" s="354"/>
      <c r="MMO2" s="354"/>
      <c r="MMP2" s="354"/>
      <c r="MMQ2" s="354"/>
      <c r="MMR2" s="354"/>
      <c r="MMS2" s="354"/>
      <c r="MMT2" s="354"/>
      <c r="MMU2" s="354"/>
      <c r="MMV2" s="354"/>
      <c r="MMW2" s="354"/>
      <c r="MMX2" s="354"/>
      <c r="MMY2" s="354"/>
      <c r="MMZ2" s="354"/>
      <c r="MNA2" s="354"/>
      <c r="MNB2" s="354"/>
      <c r="MNC2" s="354"/>
      <c r="MND2" s="354"/>
      <c r="MNE2" s="354"/>
      <c r="MNF2" s="354"/>
      <c r="MNG2" s="354"/>
      <c r="MNH2" s="354"/>
      <c r="MNI2" s="354"/>
      <c r="MNJ2" s="354"/>
      <c r="MNK2" s="354"/>
      <c r="MNL2" s="354"/>
      <c r="MNM2" s="354"/>
      <c r="MNN2" s="354"/>
      <c r="MNO2" s="354"/>
      <c r="MNP2" s="354"/>
      <c r="MNQ2" s="354"/>
      <c r="MNR2" s="354"/>
      <c r="MNS2" s="354"/>
      <c r="MNT2" s="354"/>
      <c r="MNU2" s="354"/>
      <c r="MNV2" s="354"/>
      <c r="MNW2" s="354"/>
      <c r="MNX2" s="354"/>
      <c r="MNY2" s="354"/>
      <c r="MNZ2" s="354"/>
      <c r="MOA2" s="354"/>
      <c r="MOB2" s="354"/>
      <c r="MOC2" s="354"/>
      <c r="MOD2" s="354"/>
      <c r="MOE2" s="354"/>
      <c r="MOF2" s="354"/>
      <c r="MOG2" s="354"/>
      <c r="MOH2" s="354"/>
      <c r="MOI2" s="354"/>
      <c r="MOJ2" s="354"/>
      <c r="MOK2" s="354"/>
      <c r="MOL2" s="354"/>
      <c r="MOM2" s="354"/>
      <c r="MON2" s="354"/>
      <c r="MOO2" s="354"/>
      <c r="MOP2" s="354"/>
      <c r="MOQ2" s="354"/>
      <c r="MOR2" s="354"/>
      <c r="MOS2" s="354"/>
      <c r="MOT2" s="354"/>
      <c r="MOU2" s="354"/>
      <c r="MOV2" s="354"/>
      <c r="MOW2" s="354"/>
      <c r="MOX2" s="354"/>
      <c r="MOY2" s="354"/>
      <c r="MOZ2" s="354"/>
      <c r="MPA2" s="354"/>
      <c r="MPB2" s="354"/>
      <c r="MPC2" s="354"/>
      <c r="MPD2" s="354"/>
      <c r="MPE2" s="354"/>
      <c r="MPF2" s="354"/>
      <c r="MPG2" s="354"/>
      <c r="MPH2" s="354"/>
      <c r="MPI2" s="354"/>
      <c r="MPJ2" s="354"/>
      <c r="MPK2" s="354"/>
      <c r="MPL2" s="354"/>
      <c r="MPM2" s="354"/>
      <c r="MPN2" s="354"/>
      <c r="MPO2" s="354"/>
      <c r="MPP2" s="354"/>
      <c r="MPQ2" s="354"/>
      <c r="MPR2" s="354"/>
      <c r="MPS2" s="354"/>
      <c r="MPT2" s="354"/>
      <c r="MPU2" s="354"/>
      <c r="MPV2" s="354"/>
      <c r="MPW2" s="354"/>
      <c r="MPX2" s="354"/>
      <c r="MPY2" s="354"/>
      <c r="MPZ2" s="354"/>
      <c r="MQA2" s="354"/>
      <c r="MQB2" s="354"/>
      <c r="MQC2" s="354"/>
      <c r="MQD2" s="354"/>
      <c r="MQE2" s="354"/>
      <c r="MQF2" s="354"/>
      <c r="MQG2" s="354"/>
      <c r="MQH2" s="354"/>
      <c r="MQI2" s="354"/>
      <c r="MQJ2" s="354"/>
      <c r="MQK2" s="354"/>
      <c r="MQL2" s="354"/>
      <c r="MQM2" s="354"/>
      <c r="MQN2" s="354"/>
      <c r="MQO2" s="354"/>
      <c r="MQP2" s="354"/>
      <c r="MQQ2" s="354"/>
      <c r="MQR2" s="354"/>
      <c r="MQS2" s="354"/>
      <c r="MQT2" s="354"/>
      <c r="MQU2" s="354"/>
      <c r="MQV2" s="354"/>
      <c r="MQW2" s="354"/>
      <c r="MQX2" s="354"/>
      <c r="MQY2" s="354"/>
      <c r="MQZ2" s="354"/>
      <c r="MRA2" s="354"/>
      <c r="MRB2" s="354"/>
      <c r="MRC2" s="354"/>
      <c r="MRD2" s="354"/>
      <c r="MRE2" s="354"/>
      <c r="MRF2" s="354"/>
      <c r="MRG2" s="354"/>
      <c r="MRH2" s="354"/>
      <c r="MRI2" s="354"/>
      <c r="MRJ2" s="354"/>
      <c r="MRK2" s="354"/>
      <c r="MRL2" s="354"/>
      <c r="MRM2" s="354"/>
      <c r="MRN2" s="354"/>
      <c r="MRO2" s="354"/>
      <c r="MRP2" s="354"/>
      <c r="MRQ2" s="354"/>
      <c r="MRR2" s="354"/>
      <c r="MRS2" s="354"/>
      <c r="MRT2" s="354"/>
      <c r="MRU2" s="354"/>
      <c r="MRV2" s="354"/>
      <c r="MRW2" s="354"/>
      <c r="MRX2" s="354"/>
      <c r="MRY2" s="354"/>
      <c r="MRZ2" s="354"/>
      <c r="MSA2" s="354"/>
      <c r="MSB2" s="354"/>
      <c r="MSC2" s="354"/>
      <c r="MSD2" s="354"/>
      <c r="MSE2" s="354"/>
      <c r="MSF2" s="354"/>
      <c r="MSG2" s="354"/>
      <c r="MSH2" s="354"/>
      <c r="MSI2" s="354"/>
      <c r="MSJ2" s="354"/>
      <c r="MSK2" s="354"/>
      <c r="MSL2" s="354"/>
      <c r="MSM2" s="354"/>
      <c r="MSN2" s="354"/>
      <c r="MSO2" s="354"/>
      <c r="MSP2" s="354"/>
      <c r="MSQ2" s="354"/>
      <c r="MSR2" s="354"/>
      <c r="MSS2" s="354"/>
      <c r="MST2" s="354"/>
      <c r="MSU2" s="354"/>
      <c r="MSV2" s="354"/>
      <c r="MSW2" s="354"/>
      <c r="MSX2" s="354"/>
      <c r="MSY2" s="354"/>
      <c r="MSZ2" s="354"/>
      <c r="MTA2" s="354"/>
      <c r="MTB2" s="354"/>
      <c r="MTC2" s="354"/>
      <c r="MTD2" s="354"/>
      <c r="MTE2" s="354"/>
      <c r="MTF2" s="354"/>
      <c r="MTG2" s="354"/>
      <c r="MTH2" s="354"/>
      <c r="MTI2" s="354"/>
      <c r="MTJ2" s="354"/>
      <c r="MTK2" s="354"/>
      <c r="MTL2" s="354"/>
      <c r="MTM2" s="354"/>
      <c r="MTN2" s="354"/>
      <c r="MTO2" s="354"/>
      <c r="MTP2" s="354"/>
      <c r="MTQ2" s="354"/>
      <c r="MTR2" s="354"/>
      <c r="MTS2" s="354"/>
      <c r="MTT2" s="354"/>
      <c r="MTU2" s="354"/>
      <c r="MTV2" s="354"/>
      <c r="MTW2" s="354"/>
      <c r="MTX2" s="354"/>
      <c r="MTY2" s="354"/>
      <c r="MTZ2" s="354"/>
      <c r="MUA2" s="354"/>
      <c r="MUB2" s="354"/>
      <c r="MUC2" s="354"/>
      <c r="MUD2" s="354"/>
      <c r="MUE2" s="354"/>
      <c r="MUF2" s="354"/>
      <c r="MUG2" s="354"/>
      <c r="MUH2" s="354"/>
      <c r="MUI2" s="354"/>
      <c r="MUJ2" s="354"/>
      <c r="MUK2" s="354"/>
      <c r="MUL2" s="354"/>
      <c r="MUM2" s="354"/>
      <c r="MUN2" s="354"/>
      <c r="MUO2" s="354"/>
      <c r="MUP2" s="354"/>
      <c r="MUQ2" s="354"/>
      <c r="MUR2" s="354"/>
      <c r="MUS2" s="354"/>
      <c r="MUT2" s="354"/>
      <c r="MUU2" s="354"/>
      <c r="MUV2" s="354"/>
      <c r="MUW2" s="354"/>
      <c r="MUX2" s="354"/>
      <c r="MUY2" s="354"/>
      <c r="MUZ2" s="354"/>
      <c r="MVA2" s="354"/>
      <c r="MVB2" s="354"/>
      <c r="MVC2" s="354"/>
      <c r="MVD2" s="354"/>
      <c r="MVE2" s="354"/>
      <c r="MVF2" s="354"/>
      <c r="MVG2" s="354"/>
      <c r="MVH2" s="354"/>
      <c r="MVI2" s="354"/>
      <c r="MVJ2" s="354"/>
      <c r="MVK2" s="354"/>
      <c r="MVL2" s="354"/>
      <c r="MVM2" s="354"/>
      <c r="MVN2" s="354"/>
      <c r="MVO2" s="354"/>
      <c r="MVP2" s="354"/>
      <c r="MVQ2" s="354"/>
      <c r="MVR2" s="354"/>
      <c r="MVS2" s="354"/>
      <c r="MVT2" s="354"/>
      <c r="MVU2" s="354"/>
      <c r="MVV2" s="354"/>
      <c r="MVW2" s="354"/>
      <c r="MVX2" s="354"/>
      <c r="MVY2" s="354"/>
      <c r="MVZ2" s="354"/>
      <c r="MWA2" s="354"/>
      <c r="MWB2" s="354"/>
      <c r="MWC2" s="354"/>
      <c r="MWD2" s="354"/>
      <c r="MWE2" s="354"/>
      <c r="MWF2" s="354"/>
      <c r="MWG2" s="354"/>
      <c r="MWH2" s="354"/>
      <c r="MWI2" s="354"/>
      <c r="MWJ2" s="354"/>
      <c r="MWK2" s="354"/>
      <c r="MWL2" s="354"/>
      <c r="MWM2" s="354"/>
      <c r="MWN2" s="354"/>
      <c r="MWO2" s="354"/>
      <c r="MWP2" s="354"/>
      <c r="MWQ2" s="354"/>
      <c r="MWR2" s="354"/>
      <c r="MWS2" s="354"/>
      <c r="MWT2" s="354"/>
      <c r="MWU2" s="354"/>
      <c r="MWV2" s="354"/>
      <c r="MWW2" s="354"/>
      <c r="MWX2" s="354"/>
      <c r="MWY2" s="354"/>
      <c r="MWZ2" s="354"/>
      <c r="MXA2" s="354"/>
      <c r="MXB2" s="354"/>
      <c r="MXC2" s="354"/>
      <c r="MXD2" s="354"/>
      <c r="MXE2" s="354"/>
      <c r="MXF2" s="354"/>
      <c r="MXG2" s="354"/>
      <c r="MXH2" s="354"/>
      <c r="MXI2" s="354"/>
      <c r="MXJ2" s="354"/>
      <c r="MXK2" s="354"/>
      <c r="MXL2" s="354"/>
      <c r="MXM2" s="354"/>
      <c r="MXN2" s="354"/>
      <c r="MXO2" s="354"/>
      <c r="MXP2" s="354"/>
      <c r="MXQ2" s="354"/>
      <c r="MXR2" s="354"/>
      <c r="MXS2" s="354"/>
      <c r="MXT2" s="354"/>
      <c r="MXU2" s="354"/>
      <c r="MXV2" s="354"/>
      <c r="MXW2" s="354"/>
      <c r="MXX2" s="354"/>
      <c r="MXY2" s="354"/>
      <c r="MXZ2" s="354"/>
      <c r="MYA2" s="354"/>
      <c r="MYB2" s="354"/>
      <c r="MYC2" s="354"/>
      <c r="MYD2" s="354"/>
      <c r="MYE2" s="354"/>
      <c r="MYF2" s="354"/>
      <c r="MYG2" s="354"/>
      <c r="MYH2" s="354"/>
      <c r="MYI2" s="354"/>
      <c r="MYJ2" s="354"/>
      <c r="MYK2" s="354"/>
      <c r="MYL2" s="354"/>
      <c r="MYM2" s="354"/>
      <c r="MYN2" s="354"/>
      <c r="MYO2" s="354"/>
      <c r="MYP2" s="354"/>
      <c r="MYQ2" s="354"/>
      <c r="MYR2" s="354"/>
      <c r="MYS2" s="354"/>
      <c r="MYT2" s="354"/>
      <c r="MYU2" s="354"/>
      <c r="MYV2" s="354"/>
      <c r="MYW2" s="354"/>
      <c r="MYX2" s="354"/>
      <c r="MYY2" s="354"/>
      <c r="MYZ2" s="354"/>
      <c r="MZA2" s="354"/>
      <c r="MZB2" s="354"/>
      <c r="MZC2" s="354"/>
      <c r="MZD2" s="354"/>
      <c r="MZE2" s="354"/>
      <c r="MZF2" s="354"/>
      <c r="MZG2" s="354"/>
      <c r="MZH2" s="354"/>
      <c r="MZI2" s="354"/>
      <c r="MZJ2" s="354"/>
      <c r="MZK2" s="354"/>
      <c r="MZL2" s="354"/>
      <c r="MZM2" s="354"/>
      <c r="MZN2" s="354"/>
      <c r="MZO2" s="354"/>
      <c r="MZP2" s="354"/>
      <c r="MZQ2" s="354"/>
      <c r="MZR2" s="354"/>
      <c r="MZS2" s="354"/>
      <c r="MZT2" s="354"/>
      <c r="MZU2" s="354"/>
      <c r="MZV2" s="354"/>
      <c r="MZW2" s="354"/>
      <c r="MZX2" s="354"/>
      <c r="MZY2" s="354"/>
      <c r="MZZ2" s="354"/>
      <c r="NAA2" s="354"/>
      <c r="NAB2" s="354"/>
      <c r="NAC2" s="354"/>
      <c r="NAD2" s="354"/>
      <c r="NAE2" s="354"/>
      <c r="NAF2" s="354"/>
      <c r="NAG2" s="354"/>
      <c r="NAH2" s="354"/>
      <c r="NAI2" s="354"/>
      <c r="NAJ2" s="354"/>
      <c r="NAK2" s="354"/>
      <c r="NAL2" s="354"/>
      <c r="NAM2" s="354"/>
      <c r="NAN2" s="354"/>
      <c r="NAO2" s="354"/>
      <c r="NAP2" s="354"/>
      <c r="NAQ2" s="354"/>
      <c r="NAR2" s="354"/>
      <c r="NAS2" s="354"/>
      <c r="NAT2" s="354"/>
      <c r="NAU2" s="354"/>
      <c r="NAV2" s="354"/>
      <c r="NAW2" s="354"/>
      <c r="NAX2" s="354"/>
      <c r="NAY2" s="354"/>
      <c r="NAZ2" s="354"/>
      <c r="NBA2" s="354"/>
      <c r="NBB2" s="354"/>
      <c r="NBC2" s="354"/>
      <c r="NBD2" s="354"/>
      <c r="NBE2" s="354"/>
      <c r="NBF2" s="354"/>
      <c r="NBG2" s="354"/>
      <c r="NBH2" s="354"/>
      <c r="NBI2" s="354"/>
      <c r="NBJ2" s="354"/>
      <c r="NBK2" s="354"/>
      <c r="NBL2" s="354"/>
      <c r="NBM2" s="354"/>
      <c r="NBN2" s="354"/>
      <c r="NBO2" s="354"/>
      <c r="NBP2" s="354"/>
      <c r="NBQ2" s="354"/>
      <c r="NBR2" s="354"/>
      <c r="NBS2" s="354"/>
      <c r="NBT2" s="354"/>
      <c r="NBU2" s="354"/>
      <c r="NBV2" s="354"/>
      <c r="NBW2" s="354"/>
      <c r="NBX2" s="354"/>
      <c r="NBY2" s="354"/>
      <c r="NBZ2" s="354"/>
      <c r="NCA2" s="354"/>
      <c r="NCB2" s="354"/>
      <c r="NCC2" s="354"/>
      <c r="NCD2" s="354"/>
      <c r="NCE2" s="354"/>
      <c r="NCF2" s="354"/>
      <c r="NCG2" s="354"/>
      <c r="NCH2" s="354"/>
      <c r="NCI2" s="354"/>
      <c r="NCJ2" s="354"/>
      <c r="NCK2" s="354"/>
      <c r="NCL2" s="354"/>
      <c r="NCM2" s="354"/>
      <c r="NCN2" s="354"/>
      <c r="NCO2" s="354"/>
      <c r="NCP2" s="354"/>
      <c r="NCQ2" s="354"/>
      <c r="NCR2" s="354"/>
      <c r="NCS2" s="354"/>
      <c r="NCT2" s="354"/>
      <c r="NCU2" s="354"/>
      <c r="NCV2" s="354"/>
      <c r="NCW2" s="354"/>
      <c r="NCX2" s="354"/>
      <c r="NCY2" s="354"/>
      <c r="NCZ2" s="354"/>
      <c r="NDA2" s="354"/>
      <c r="NDB2" s="354"/>
      <c r="NDC2" s="354"/>
      <c r="NDD2" s="354"/>
      <c r="NDE2" s="354"/>
      <c r="NDF2" s="354"/>
      <c r="NDG2" s="354"/>
      <c r="NDH2" s="354"/>
      <c r="NDI2" s="354"/>
      <c r="NDJ2" s="354"/>
      <c r="NDK2" s="354"/>
      <c r="NDL2" s="354"/>
      <c r="NDM2" s="354"/>
      <c r="NDN2" s="354"/>
      <c r="NDO2" s="354"/>
      <c r="NDP2" s="354"/>
      <c r="NDQ2" s="354"/>
      <c r="NDR2" s="354"/>
      <c r="NDS2" s="354"/>
      <c r="NDT2" s="354"/>
      <c r="NDU2" s="354"/>
      <c r="NDV2" s="354"/>
      <c r="NDW2" s="354"/>
      <c r="NDX2" s="354"/>
      <c r="NDY2" s="354"/>
      <c r="NDZ2" s="354"/>
      <c r="NEA2" s="354"/>
      <c r="NEB2" s="354"/>
      <c r="NEC2" s="354"/>
      <c r="NED2" s="354"/>
      <c r="NEE2" s="354"/>
      <c r="NEF2" s="354"/>
      <c r="NEG2" s="354"/>
      <c r="NEH2" s="354"/>
      <c r="NEI2" s="354"/>
      <c r="NEJ2" s="354"/>
      <c r="NEK2" s="354"/>
      <c r="NEL2" s="354"/>
      <c r="NEM2" s="354"/>
      <c r="NEN2" s="354"/>
      <c r="NEO2" s="354"/>
      <c r="NEP2" s="354"/>
      <c r="NEQ2" s="354"/>
      <c r="NER2" s="354"/>
      <c r="NES2" s="354"/>
      <c r="NET2" s="354"/>
      <c r="NEU2" s="354"/>
      <c r="NEV2" s="354"/>
      <c r="NEW2" s="354"/>
      <c r="NEX2" s="354"/>
      <c r="NEY2" s="354"/>
      <c r="NEZ2" s="354"/>
      <c r="NFA2" s="354"/>
      <c r="NFB2" s="354"/>
      <c r="NFC2" s="354"/>
      <c r="NFD2" s="354"/>
      <c r="NFE2" s="354"/>
      <c r="NFF2" s="354"/>
      <c r="NFG2" s="354"/>
      <c r="NFH2" s="354"/>
      <c r="NFI2" s="354"/>
      <c r="NFJ2" s="354"/>
      <c r="NFK2" s="354"/>
      <c r="NFL2" s="354"/>
      <c r="NFM2" s="354"/>
      <c r="NFN2" s="354"/>
      <c r="NFO2" s="354"/>
      <c r="NFP2" s="354"/>
      <c r="NFQ2" s="354"/>
      <c r="NFR2" s="354"/>
      <c r="NFS2" s="354"/>
      <c r="NFT2" s="354"/>
      <c r="NFU2" s="354"/>
      <c r="NFV2" s="354"/>
      <c r="NFW2" s="354"/>
      <c r="NFX2" s="354"/>
      <c r="NFY2" s="354"/>
      <c r="NFZ2" s="354"/>
      <c r="NGA2" s="354"/>
      <c r="NGB2" s="354"/>
      <c r="NGC2" s="354"/>
      <c r="NGD2" s="354"/>
      <c r="NGE2" s="354"/>
      <c r="NGF2" s="354"/>
      <c r="NGG2" s="354"/>
      <c r="NGH2" s="354"/>
      <c r="NGI2" s="354"/>
      <c r="NGJ2" s="354"/>
      <c r="NGK2" s="354"/>
      <c r="NGL2" s="354"/>
      <c r="NGM2" s="354"/>
      <c r="NGN2" s="354"/>
      <c r="NGO2" s="354"/>
      <c r="NGP2" s="354"/>
      <c r="NGQ2" s="354"/>
      <c r="NGR2" s="354"/>
      <c r="NGS2" s="354"/>
      <c r="NGT2" s="354"/>
      <c r="NGU2" s="354"/>
      <c r="NGV2" s="354"/>
      <c r="NGW2" s="354"/>
      <c r="NGX2" s="354"/>
      <c r="NGY2" s="354"/>
      <c r="NGZ2" s="354"/>
      <c r="NHA2" s="354"/>
      <c r="NHB2" s="354"/>
      <c r="NHC2" s="354"/>
      <c r="NHD2" s="354"/>
      <c r="NHE2" s="354"/>
      <c r="NHF2" s="354"/>
      <c r="NHG2" s="354"/>
      <c r="NHH2" s="354"/>
      <c r="NHI2" s="354"/>
      <c r="NHJ2" s="354"/>
      <c r="NHK2" s="354"/>
      <c r="NHL2" s="354"/>
      <c r="NHM2" s="354"/>
      <c r="NHN2" s="354"/>
      <c r="NHO2" s="354"/>
      <c r="NHP2" s="354"/>
      <c r="NHQ2" s="354"/>
      <c r="NHR2" s="354"/>
      <c r="NHS2" s="354"/>
      <c r="NHT2" s="354"/>
      <c r="NHU2" s="354"/>
      <c r="NHV2" s="354"/>
      <c r="NHW2" s="354"/>
      <c r="NHX2" s="354"/>
      <c r="NHY2" s="354"/>
      <c r="NHZ2" s="354"/>
      <c r="NIA2" s="354"/>
      <c r="NIB2" s="354"/>
      <c r="NIC2" s="354"/>
      <c r="NID2" s="354"/>
      <c r="NIE2" s="354"/>
      <c r="NIF2" s="354"/>
      <c r="NIG2" s="354"/>
      <c r="NIH2" s="354"/>
      <c r="NII2" s="354"/>
      <c r="NIJ2" s="354"/>
      <c r="NIK2" s="354"/>
      <c r="NIL2" s="354"/>
      <c r="NIM2" s="354"/>
      <c r="NIN2" s="354"/>
      <c r="NIO2" s="354"/>
      <c r="NIP2" s="354"/>
      <c r="NIQ2" s="354"/>
      <c r="NIR2" s="354"/>
      <c r="NIS2" s="354"/>
      <c r="NIT2" s="354"/>
      <c r="NIU2" s="354"/>
      <c r="NIV2" s="354"/>
      <c r="NIW2" s="354"/>
      <c r="NIX2" s="354"/>
      <c r="NIY2" s="354"/>
      <c r="NIZ2" s="354"/>
      <c r="NJA2" s="354"/>
      <c r="NJB2" s="354"/>
      <c r="NJC2" s="354"/>
      <c r="NJD2" s="354"/>
      <c r="NJE2" s="354"/>
      <c r="NJF2" s="354"/>
      <c r="NJG2" s="354"/>
      <c r="NJH2" s="354"/>
      <c r="NJI2" s="354"/>
      <c r="NJJ2" s="354"/>
      <c r="NJK2" s="354"/>
      <c r="NJL2" s="354"/>
      <c r="NJM2" s="354"/>
      <c r="NJN2" s="354"/>
      <c r="NJO2" s="354"/>
      <c r="NJP2" s="354"/>
      <c r="NJQ2" s="354"/>
      <c r="NJR2" s="354"/>
      <c r="NJS2" s="354"/>
      <c r="NJT2" s="354"/>
      <c r="NJU2" s="354"/>
      <c r="NJV2" s="354"/>
      <c r="NJW2" s="354"/>
      <c r="NJX2" s="354"/>
      <c r="NJY2" s="354"/>
      <c r="NJZ2" s="354"/>
      <c r="NKA2" s="354"/>
      <c r="NKB2" s="354"/>
      <c r="NKC2" s="354"/>
      <c r="NKD2" s="354"/>
      <c r="NKE2" s="354"/>
      <c r="NKF2" s="354"/>
      <c r="NKG2" s="354"/>
      <c r="NKH2" s="354"/>
      <c r="NKI2" s="354"/>
      <c r="NKJ2" s="354"/>
      <c r="NKK2" s="354"/>
      <c r="NKL2" s="354"/>
      <c r="NKM2" s="354"/>
      <c r="NKN2" s="354"/>
      <c r="NKO2" s="354"/>
      <c r="NKP2" s="354"/>
      <c r="NKQ2" s="354"/>
      <c r="NKR2" s="354"/>
      <c r="NKS2" s="354"/>
      <c r="NKT2" s="354"/>
      <c r="NKU2" s="354"/>
      <c r="NKV2" s="354"/>
      <c r="NKW2" s="354"/>
      <c r="NKX2" s="354"/>
      <c r="NKY2" s="354"/>
      <c r="NKZ2" s="354"/>
      <c r="NLA2" s="354"/>
      <c r="NLB2" s="354"/>
      <c r="NLC2" s="354"/>
      <c r="NLD2" s="354"/>
      <c r="NLE2" s="354"/>
      <c r="NLF2" s="354"/>
      <c r="NLG2" s="354"/>
      <c r="NLH2" s="354"/>
      <c r="NLI2" s="354"/>
      <c r="NLJ2" s="354"/>
      <c r="NLK2" s="354"/>
      <c r="NLL2" s="354"/>
      <c r="NLM2" s="354"/>
      <c r="NLN2" s="354"/>
      <c r="NLO2" s="354"/>
      <c r="NLP2" s="354"/>
      <c r="NLQ2" s="354"/>
      <c r="NLR2" s="354"/>
      <c r="NLS2" s="354"/>
      <c r="NLT2" s="354"/>
      <c r="NLU2" s="354"/>
      <c r="NLV2" s="354"/>
      <c r="NLW2" s="354"/>
      <c r="NLX2" s="354"/>
      <c r="NLY2" s="354"/>
      <c r="NLZ2" s="354"/>
      <c r="NMA2" s="354"/>
      <c r="NMB2" s="354"/>
      <c r="NMC2" s="354"/>
      <c r="NMD2" s="354"/>
      <c r="NME2" s="354"/>
      <c r="NMF2" s="354"/>
      <c r="NMG2" s="354"/>
      <c r="NMH2" s="354"/>
      <c r="NMI2" s="354"/>
      <c r="NMJ2" s="354"/>
      <c r="NMK2" s="354"/>
      <c r="NML2" s="354"/>
      <c r="NMM2" s="354"/>
      <c r="NMN2" s="354"/>
      <c r="NMO2" s="354"/>
      <c r="NMP2" s="354"/>
      <c r="NMQ2" s="354"/>
      <c r="NMR2" s="354"/>
      <c r="NMS2" s="354"/>
      <c r="NMT2" s="354"/>
      <c r="NMU2" s="354"/>
      <c r="NMV2" s="354"/>
      <c r="NMW2" s="354"/>
      <c r="NMX2" s="354"/>
      <c r="NMY2" s="354"/>
      <c r="NMZ2" s="354"/>
      <c r="NNA2" s="354"/>
      <c r="NNB2" s="354"/>
      <c r="NNC2" s="354"/>
      <c r="NND2" s="354"/>
      <c r="NNE2" s="354"/>
      <c r="NNF2" s="354"/>
      <c r="NNG2" s="354"/>
      <c r="NNH2" s="354"/>
      <c r="NNI2" s="354"/>
      <c r="NNJ2" s="354"/>
      <c r="NNK2" s="354"/>
      <c r="NNL2" s="354"/>
      <c r="NNM2" s="354"/>
      <c r="NNN2" s="354"/>
      <c r="NNO2" s="354"/>
      <c r="NNP2" s="354"/>
      <c r="NNQ2" s="354"/>
      <c r="NNR2" s="354"/>
      <c r="NNS2" s="354"/>
      <c r="NNT2" s="354"/>
      <c r="NNU2" s="354"/>
      <c r="NNV2" s="354"/>
      <c r="NNW2" s="354"/>
      <c r="NNX2" s="354"/>
      <c r="NNY2" s="354"/>
      <c r="NNZ2" s="354"/>
      <c r="NOA2" s="354"/>
      <c r="NOB2" s="354"/>
      <c r="NOC2" s="354"/>
      <c r="NOD2" s="354"/>
      <c r="NOE2" s="354"/>
      <c r="NOF2" s="354"/>
      <c r="NOG2" s="354"/>
      <c r="NOH2" s="354"/>
      <c r="NOI2" s="354"/>
      <c r="NOJ2" s="354"/>
      <c r="NOK2" s="354"/>
      <c r="NOL2" s="354"/>
      <c r="NOM2" s="354"/>
      <c r="NON2" s="354"/>
      <c r="NOO2" s="354"/>
      <c r="NOP2" s="354"/>
      <c r="NOQ2" s="354"/>
      <c r="NOR2" s="354"/>
      <c r="NOS2" s="354"/>
      <c r="NOT2" s="354"/>
      <c r="NOU2" s="354"/>
      <c r="NOV2" s="354"/>
      <c r="NOW2" s="354"/>
      <c r="NOX2" s="354"/>
      <c r="NOY2" s="354"/>
      <c r="NOZ2" s="354"/>
      <c r="NPA2" s="354"/>
      <c r="NPB2" s="354"/>
      <c r="NPC2" s="354"/>
      <c r="NPD2" s="354"/>
      <c r="NPE2" s="354"/>
      <c r="NPF2" s="354"/>
      <c r="NPG2" s="354"/>
      <c r="NPH2" s="354"/>
      <c r="NPI2" s="354"/>
      <c r="NPJ2" s="354"/>
      <c r="NPK2" s="354"/>
      <c r="NPL2" s="354"/>
      <c r="NPM2" s="354"/>
      <c r="NPN2" s="354"/>
      <c r="NPO2" s="354"/>
      <c r="NPP2" s="354"/>
      <c r="NPQ2" s="354"/>
      <c r="NPR2" s="354"/>
      <c r="NPS2" s="354"/>
      <c r="NPT2" s="354"/>
      <c r="NPU2" s="354"/>
      <c r="NPV2" s="354"/>
      <c r="NPW2" s="354"/>
      <c r="NPX2" s="354"/>
      <c r="NPY2" s="354"/>
      <c r="NPZ2" s="354"/>
      <c r="NQA2" s="354"/>
      <c r="NQB2" s="354"/>
      <c r="NQC2" s="354"/>
      <c r="NQD2" s="354"/>
      <c r="NQE2" s="354"/>
      <c r="NQF2" s="354"/>
      <c r="NQG2" s="354"/>
      <c r="NQH2" s="354"/>
      <c r="NQI2" s="354"/>
      <c r="NQJ2" s="354"/>
      <c r="NQK2" s="354"/>
      <c r="NQL2" s="354"/>
      <c r="NQM2" s="354"/>
      <c r="NQN2" s="354"/>
      <c r="NQO2" s="354"/>
      <c r="NQP2" s="354"/>
      <c r="NQQ2" s="354"/>
      <c r="NQR2" s="354"/>
      <c r="NQS2" s="354"/>
      <c r="NQT2" s="354"/>
      <c r="NQU2" s="354"/>
      <c r="NQV2" s="354"/>
      <c r="NQW2" s="354"/>
      <c r="NQX2" s="354"/>
      <c r="NQY2" s="354"/>
      <c r="NQZ2" s="354"/>
      <c r="NRA2" s="354"/>
      <c r="NRB2" s="354"/>
      <c r="NRC2" s="354"/>
      <c r="NRD2" s="354"/>
      <c r="NRE2" s="354"/>
      <c r="NRF2" s="354"/>
      <c r="NRG2" s="354"/>
      <c r="NRH2" s="354"/>
      <c r="NRI2" s="354"/>
      <c r="NRJ2" s="354"/>
      <c r="NRK2" s="354"/>
      <c r="NRL2" s="354"/>
      <c r="NRM2" s="354"/>
      <c r="NRN2" s="354"/>
      <c r="NRO2" s="354"/>
      <c r="NRP2" s="354"/>
      <c r="NRQ2" s="354"/>
      <c r="NRR2" s="354"/>
      <c r="NRS2" s="354"/>
      <c r="NRT2" s="354"/>
      <c r="NRU2" s="354"/>
      <c r="NRV2" s="354"/>
      <c r="NRW2" s="354"/>
      <c r="NRX2" s="354"/>
      <c r="NRY2" s="354"/>
      <c r="NRZ2" s="354"/>
      <c r="NSA2" s="354"/>
      <c r="NSB2" s="354"/>
      <c r="NSC2" s="354"/>
      <c r="NSD2" s="354"/>
      <c r="NSE2" s="354"/>
      <c r="NSF2" s="354"/>
      <c r="NSG2" s="354"/>
      <c r="NSH2" s="354"/>
      <c r="NSI2" s="354"/>
      <c r="NSJ2" s="354"/>
      <c r="NSK2" s="354"/>
      <c r="NSL2" s="354"/>
      <c r="NSM2" s="354"/>
      <c r="NSN2" s="354"/>
      <c r="NSO2" s="354"/>
      <c r="NSP2" s="354"/>
      <c r="NSQ2" s="354"/>
      <c r="NSR2" s="354"/>
      <c r="NSS2" s="354"/>
      <c r="NST2" s="354"/>
      <c r="NSU2" s="354"/>
      <c r="NSV2" s="354"/>
      <c r="NSW2" s="354"/>
      <c r="NSX2" s="354"/>
      <c r="NSY2" s="354"/>
      <c r="NSZ2" s="354"/>
      <c r="NTA2" s="354"/>
      <c r="NTB2" s="354"/>
      <c r="NTC2" s="354"/>
      <c r="NTD2" s="354"/>
      <c r="NTE2" s="354"/>
      <c r="NTF2" s="354"/>
      <c r="NTG2" s="354"/>
      <c r="NTH2" s="354"/>
      <c r="NTI2" s="354"/>
      <c r="NTJ2" s="354"/>
      <c r="NTK2" s="354"/>
      <c r="NTL2" s="354"/>
      <c r="NTM2" s="354"/>
      <c r="NTN2" s="354"/>
      <c r="NTO2" s="354"/>
      <c r="NTP2" s="354"/>
      <c r="NTQ2" s="354"/>
      <c r="NTR2" s="354"/>
      <c r="NTS2" s="354"/>
      <c r="NTT2" s="354"/>
      <c r="NTU2" s="354"/>
      <c r="NTV2" s="354"/>
      <c r="NTW2" s="354"/>
      <c r="NTX2" s="354"/>
      <c r="NTY2" s="354"/>
      <c r="NTZ2" s="354"/>
      <c r="NUA2" s="354"/>
      <c r="NUB2" s="354"/>
      <c r="NUC2" s="354"/>
      <c r="NUD2" s="354"/>
      <c r="NUE2" s="354"/>
      <c r="NUF2" s="354"/>
      <c r="NUG2" s="354"/>
      <c r="NUH2" s="354"/>
      <c r="NUI2" s="354"/>
      <c r="NUJ2" s="354"/>
      <c r="NUK2" s="354"/>
      <c r="NUL2" s="354"/>
      <c r="NUM2" s="354"/>
      <c r="NUN2" s="354"/>
      <c r="NUO2" s="354"/>
      <c r="NUP2" s="354"/>
      <c r="NUQ2" s="354"/>
      <c r="NUR2" s="354"/>
      <c r="NUS2" s="354"/>
      <c r="NUT2" s="354"/>
      <c r="NUU2" s="354"/>
      <c r="NUV2" s="354"/>
      <c r="NUW2" s="354"/>
      <c r="NUX2" s="354"/>
      <c r="NUY2" s="354"/>
      <c r="NUZ2" s="354"/>
      <c r="NVA2" s="354"/>
      <c r="NVB2" s="354"/>
      <c r="NVC2" s="354"/>
      <c r="NVD2" s="354"/>
      <c r="NVE2" s="354"/>
      <c r="NVF2" s="354"/>
      <c r="NVG2" s="354"/>
      <c r="NVH2" s="354"/>
      <c r="NVI2" s="354"/>
      <c r="NVJ2" s="354"/>
      <c r="NVK2" s="354"/>
      <c r="NVL2" s="354"/>
      <c r="NVM2" s="354"/>
      <c r="NVN2" s="354"/>
      <c r="NVO2" s="354"/>
      <c r="NVP2" s="354"/>
      <c r="NVQ2" s="354"/>
      <c r="NVR2" s="354"/>
      <c r="NVS2" s="354"/>
      <c r="NVT2" s="354"/>
      <c r="NVU2" s="354"/>
      <c r="NVV2" s="354"/>
      <c r="NVW2" s="354"/>
      <c r="NVX2" s="354"/>
      <c r="NVY2" s="354"/>
      <c r="NVZ2" s="354"/>
      <c r="NWA2" s="354"/>
      <c r="NWB2" s="354"/>
      <c r="NWC2" s="354"/>
      <c r="NWD2" s="354"/>
      <c r="NWE2" s="354"/>
      <c r="NWF2" s="354"/>
      <c r="NWG2" s="354"/>
      <c r="NWH2" s="354"/>
      <c r="NWI2" s="354"/>
      <c r="NWJ2" s="354"/>
      <c r="NWK2" s="354"/>
      <c r="NWL2" s="354"/>
      <c r="NWM2" s="354"/>
      <c r="NWN2" s="354"/>
      <c r="NWO2" s="354"/>
      <c r="NWP2" s="354"/>
      <c r="NWQ2" s="354"/>
      <c r="NWR2" s="354"/>
      <c r="NWS2" s="354"/>
      <c r="NWT2" s="354"/>
      <c r="NWU2" s="354"/>
      <c r="NWV2" s="354"/>
      <c r="NWW2" s="354"/>
      <c r="NWX2" s="354"/>
      <c r="NWY2" s="354"/>
      <c r="NWZ2" s="354"/>
      <c r="NXA2" s="354"/>
      <c r="NXB2" s="354"/>
      <c r="NXC2" s="354"/>
      <c r="NXD2" s="354"/>
      <c r="NXE2" s="354"/>
      <c r="NXF2" s="354"/>
      <c r="NXG2" s="354"/>
      <c r="NXH2" s="354"/>
      <c r="NXI2" s="354"/>
      <c r="NXJ2" s="354"/>
      <c r="NXK2" s="354"/>
      <c r="NXL2" s="354"/>
      <c r="NXM2" s="354"/>
      <c r="NXN2" s="354"/>
      <c r="NXO2" s="354"/>
      <c r="NXP2" s="354"/>
      <c r="NXQ2" s="354"/>
      <c r="NXR2" s="354"/>
      <c r="NXS2" s="354"/>
      <c r="NXT2" s="354"/>
      <c r="NXU2" s="354"/>
      <c r="NXV2" s="354"/>
      <c r="NXW2" s="354"/>
      <c r="NXX2" s="354"/>
      <c r="NXY2" s="354"/>
      <c r="NXZ2" s="354"/>
      <c r="NYA2" s="354"/>
      <c r="NYB2" s="354"/>
      <c r="NYC2" s="354"/>
      <c r="NYD2" s="354"/>
      <c r="NYE2" s="354"/>
      <c r="NYF2" s="354"/>
      <c r="NYG2" s="354"/>
      <c r="NYH2" s="354"/>
      <c r="NYI2" s="354"/>
      <c r="NYJ2" s="354"/>
      <c r="NYK2" s="354"/>
      <c r="NYL2" s="354"/>
      <c r="NYM2" s="354"/>
      <c r="NYN2" s="354"/>
      <c r="NYO2" s="354"/>
      <c r="NYP2" s="354"/>
      <c r="NYQ2" s="354"/>
      <c r="NYR2" s="354"/>
      <c r="NYS2" s="354"/>
      <c r="NYT2" s="354"/>
      <c r="NYU2" s="354"/>
      <c r="NYV2" s="354"/>
      <c r="NYW2" s="354"/>
      <c r="NYX2" s="354"/>
      <c r="NYY2" s="354"/>
      <c r="NYZ2" s="354"/>
      <c r="NZA2" s="354"/>
      <c r="NZB2" s="354"/>
      <c r="NZC2" s="354"/>
      <c r="NZD2" s="354"/>
      <c r="NZE2" s="354"/>
      <c r="NZF2" s="354"/>
      <c r="NZG2" s="354"/>
      <c r="NZH2" s="354"/>
      <c r="NZI2" s="354"/>
      <c r="NZJ2" s="354"/>
      <c r="NZK2" s="354"/>
      <c r="NZL2" s="354"/>
      <c r="NZM2" s="354"/>
      <c r="NZN2" s="354"/>
      <c r="NZO2" s="354"/>
      <c r="NZP2" s="354"/>
      <c r="NZQ2" s="354"/>
      <c r="NZR2" s="354"/>
      <c r="NZS2" s="354"/>
      <c r="NZT2" s="354"/>
      <c r="NZU2" s="354"/>
      <c r="NZV2" s="354"/>
      <c r="NZW2" s="354"/>
      <c r="NZX2" s="354"/>
      <c r="NZY2" s="354"/>
      <c r="NZZ2" s="354"/>
      <c r="OAA2" s="354"/>
      <c r="OAB2" s="354"/>
      <c r="OAC2" s="354"/>
      <c r="OAD2" s="354"/>
      <c r="OAE2" s="354"/>
      <c r="OAF2" s="354"/>
      <c r="OAG2" s="354"/>
      <c r="OAH2" s="354"/>
      <c r="OAI2" s="354"/>
      <c r="OAJ2" s="354"/>
      <c r="OAK2" s="354"/>
      <c r="OAL2" s="354"/>
      <c r="OAM2" s="354"/>
      <c r="OAN2" s="354"/>
      <c r="OAO2" s="354"/>
      <c r="OAP2" s="354"/>
      <c r="OAQ2" s="354"/>
      <c r="OAR2" s="354"/>
      <c r="OAS2" s="354"/>
      <c r="OAT2" s="354"/>
      <c r="OAU2" s="354"/>
      <c r="OAV2" s="354"/>
      <c r="OAW2" s="354"/>
      <c r="OAX2" s="354"/>
      <c r="OAY2" s="354"/>
      <c r="OAZ2" s="354"/>
      <c r="OBA2" s="354"/>
      <c r="OBB2" s="354"/>
      <c r="OBC2" s="354"/>
      <c r="OBD2" s="354"/>
      <c r="OBE2" s="354"/>
      <c r="OBF2" s="354"/>
      <c r="OBG2" s="354"/>
      <c r="OBH2" s="354"/>
      <c r="OBI2" s="354"/>
      <c r="OBJ2" s="354"/>
      <c r="OBK2" s="354"/>
      <c r="OBL2" s="354"/>
      <c r="OBM2" s="354"/>
      <c r="OBN2" s="354"/>
      <c r="OBO2" s="354"/>
      <c r="OBP2" s="354"/>
      <c r="OBQ2" s="354"/>
      <c r="OBR2" s="354"/>
      <c r="OBS2" s="354"/>
      <c r="OBT2" s="354"/>
      <c r="OBU2" s="354"/>
      <c r="OBV2" s="354"/>
      <c r="OBW2" s="354"/>
      <c r="OBX2" s="354"/>
      <c r="OBY2" s="354"/>
      <c r="OBZ2" s="354"/>
      <c r="OCA2" s="354"/>
      <c r="OCB2" s="354"/>
      <c r="OCC2" s="354"/>
      <c r="OCD2" s="354"/>
      <c r="OCE2" s="354"/>
      <c r="OCF2" s="354"/>
      <c r="OCG2" s="354"/>
      <c r="OCH2" s="354"/>
      <c r="OCI2" s="354"/>
      <c r="OCJ2" s="354"/>
      <c r="OCK2" s="354"/>
      <c r="OCL2" s="354"/>
      <c r="OCM2" s="354"/>
      <c r="OCN2" s="354"/>
      <c r="OCO2" s="354"/>
      <c r="OCP2" s="354"/>
      <c r="OCQ2" s="354"/>
      <c r="OCR2" s="354"/>
      <c r="OCS2" s="354"/>
      <c r="OCT2" s="354"/>
      <c r="OCU2" s="354"/>
      <c r="OCV2" s="354"/>
      <c r="OCW2" s="354"/>
      <c r="OCX2" s="354"/>
      <c r="OCY2" s="354"/>
      <c r="OCZ2" s="354"/>
      <c r="ODA2" s="354"/>
      <c r="ODB2" s="354"/>
      <c r="ODC2" s="354"/>
      <c r="ODD2" s="354"/>
      <c r="ODE2" s="354"/>
      <c r="ODF2" s="354"/>
      <c r="ODG2" s="354"/>
      <c r="ODH2" s="354"/>
      <c r="ODI2" s="354"/>
      <c r="ODJ2" s="354"/>
      <c r="ODK2" s="354"/>
      <c r="ODL2" s="354"/>
      <c r="ODM2" s="354"/>
      <c r="ODN2" s="354"/>
      <c r="ODO2" s="354"/>
      <c r="ODP2" s="354"/>
      <c r="ODQ2" s="354"/>
      <c r="ODR2" s="354"/>
      <c r="ODS2" s="354"/>
      <c r="ODT2" s="354"/>
      <c r="ODU2" s="354"/>
      <c r="ODV2" s="354"/>
      <c r="ODW2" s="354"/>
      <c r="ODX2" s="354"/>
      <c r="ODY2" s="354"/>
      <c r="ODZ2" s="354"/>
      <c r="OEA2" s="354"/>
      <c r="OEB2" s="354"/>
      <c r="OEC2" s="354"/>
      <c r="OED2" s="354"/>
      <c r="OEE2" s="354"/>
      <c r="OEF2" s="354"/>
      <c r="OEG2" s="354"/>
      <c r="OEH2" s="354"/>
      <c r="OEI2" s="354"/>
      <c r="OEJ2" s="354"/>
      <c r="OEK2" s="354"/>
      <c r="OEL2" s="354"/>
      <c r="OEM2" s="354"/>
      <c r="OEN2" s="354"/>
      <c r="OEO2" s="354"/>
      <c r="OEP2" s="354"/>
      <c r="OEQ2" s="354"/>
      <c r="OER2" s="354"/>
      <c r="OES2" s="354"/>
      <c r="OET2" s="354"/>
      <c r="OEU2" s="354"/>
      <c r="OEV2" s="354"/>
      <c r="OEW2" s="354"/>
      <c r="OEX2" s="354"/>
      <c r="OEY2" s="354"/>
      <c r="OEZ2" s="354"/>
      <c r="OFA2" s="354"/>
      <c r="OFB2" s="354"/>
      <c r="OFC2" s="354"/>
      <c r="OFD2" s="354"/>
      <c r="OFE2" s="354"/>
      <c r="OFF2" s="354"/>
      <c r="OFG2" s="354"/>
      <c r="OFH2" s="354"/>
      <c r="OFI2" s="354"/>
      <c r="OFJ2" s="354"/>
      <c r="OFK2" s="354"/>
      <c r="OFL2" s="354"/>
      <c r="OFM2" s="354"/>
      <c r="OFN2" s="354"/>
      <c r="OFO2" s="354"/>
      <c r="OFP2" s="354"/>
      <c r="OFQ2" s="354"/>
      <c r="OFR2" s="354"/>
      <c r="OFS2" s="354"/>
      <c r="OFT2" s="354"/>
      <c r="OFU2" s="354"/>
      <c r="OFV2" s="354"/>
      <c r="OFW2" s="354"/>
      <c r="OFX2" s="354"/>
      <c r="OFY2" s="354"/>
      <c r="OFZ2" s="354"/>
      <c r="OGA2" s="354"/>
      <c r="OGB2" s="354"/>
      <c r="OGC2" s="354"/>
      <c r="OGD2" s="354"/>
      <c r="OGE2" s="354"/>
      <c r="OGF2" s="354"/>
      <c r="OGG2" s="354"/>
      <c r="OGH2" s="354"/>
      <c r="OGI2" s="354"/>
      <c r="OGJ2" s="354"/>
      <c r="OGK2" s="354"/>
      <c r="OGL2" s="354"/>
      <c r="OGM2" s="354"/>
      <c r="OGN2" s="354"/>
      <c r="OGO2" s="354"/>
      <c r="OGP2" s="354"/>
      <c r="OGQ2" s="354"/>
      <c r="OGR2" s="354"/>
      <c r="OGS2" s="354"/>
      <c r="OGT2" s="354"/>
      <c r="OGU2" s="354"/>
      <c r="OGV2" s="354"/>
      <c r="OGW2" s="354"/>
      <c r="OGX2" s="354"/>
      <c r="OGY2" s="354"/>
      <c r="OGZ2" s="354"/>
      <c r="OHA2" s="354"/>
      <c r="OHB2" s="354"/>
      <c r="OHC2" s="354"/>
      <c r="OHD2" s="354"/>
      <c r="OHE2" s="354"/>
      <c r="OHF2" s="354"/>
      <c r="OHG2" s="354"/>
      <c r="OHH2" s="354"/>
      <c r="OHI2" s="354"/>
      <c r="OHJ2" s="354"/>
      <c r="OHK2" s="354"/>
      <c r="OHL2" s="354"/>
      <c r="OHM2" s="354"/>
      <c r="OHN2" s="354"/>
      <c r="OHO2" s="354"/>
      <c r="OHP2" s="354"/>
      <c r="OHQ2" s="354"/>
      <c r="OHR2" s="354"/>
      <c r="OHS2" s="354"/>
      <c r="OHT2" s="354"/>
      <c r="OHU2" s="354"/>
      <c r="OHV2" s="354"/>
      <c r="OHW2" s="354"/>
      <c r="OHX2" s="354"/>
      <c r="OHY2" s="354"/>
      <c r="OHZ2" s="354"/>
      <c r="OIA2" s="354"/>
      <c r="OIB2" s="354"/>
      <c r="OIC2" s="354"/>
      <c r="OID2" s="354"/>
      <c r="OIE2" s="354"/>
      <c r="OIF2" s="354"/>
      <c r="OIG2" s="354"/>
      <c r="OIH2" s="354"/>
      <c r="OII2" s="354"/>
      <c r="OIJ2" s="354"/>
      <c r="OIK2" s="354"/>
      <c r="OIL2" s="354"/>
      <c r="OIM2" s="354"/>
      <c r="OIN2" s="354"/>
      <c r="OIO2" s="354"/>
      <c r="OIP2" s="354"/>
      <c r="OIQ2" s="354"/>
      <c r="OIR2" s="354"/>
      <c r="OIS2" s="354"/>
      <c r="OIT2" s="354"/>
      <c r="OIU2" s="354"/>
      <c r="OIV2" s="354"/>
      <c r="OIW2" s="354"/>
      <c r="OIX2" s="354"/>
      <c r="OIY2" s="354"/>
      <c r="OIZ2" s="354"/>
      <c r="OJA2" s="354"/>
      <c r="OJB2" s="354"/>
      <c r="OJC2" s="354"/>
      <c r="OJD2" s="354"/>
      <c r="OJE2" s="354"/>
      <c r="OJF2" s="354"/>
      <c r="OJG2" s="354"/>
      <c r="OJH2" s="354"/>
      <c r="OJI2" s="354"/>
      <c r="OJJ2" s="354"/>
      <c r="OJK2" s="354"/>
      <c r="OJL2" s="354"/>
      <c r="OJM2" s="354"/>
      <c r="OJN2" s="354"/>
      <c r="OJO2" s="354"/>
      <c r="OJP2" s="354"/>
      <c r="OJQ2" s="354"/>
      <c r="OJR2" s="354"/>
      <c r="OJS2" s="354"/>
      <c r="OJT2" s="354"/>
      <c r="OJU2" s="354"/>
      <c r="OJV2" s="354"/>
      <c r="OJW2" s="354"/>
      <c r="OJX2" s="354"/>
      <c r="OJY2" s="354"/>
      <c r="OJZ2" s="354"/>
      <c r="OKA2" s="354"/>
      <c r="OKB2" s="354"/>
      <c r="OKC2" s="354"/>
      <c r="OKD2" s="354"/>
      <c r="OKE2" s="354"/>
      <c r="OKF2" s="354"/>
      <c r="OKG2" s="354"/>
      <c r="OKH2" s="354"/>
      <c r="OKI2" s="354"/>
      <c r="OKJ2" s="354"/>
      <c r="OKK2" s="354"/>
      <c r="OKL2" s="354"/>
      <c r="OKM2" s="354"/>
      <c r="OKN2" s="354"/>
      <c r="OKO2" s="354"/>
      <c r="OKP2" s="354"/>
      <c r="OKQ2" s="354"/>
      <c r="OKR2" s="354"/>
      <c r="OKS2" s="354"/>
      <c r="OKT2" s="354"/>
      <c r="OKU2" s="354"/>
      <c r="OKV2" s="354"/>
      <c r="OKW2" s="354"/>
      <c r="OKX2" s="354"/>
      <c r="OKY2" s="354"/>
      <c r="OKZ2" s="354"/>
      <c r="OLA2" s="354"/>
      <c r="OLB2" s="354"/>
      <c r="OLC2" s="354"/>
      <c r="OLD2" s="354"/>
      <c r="OLE2" s="354"/>
      <c r="OLF2" s="354"/>
      <c r="OLG2" s="354"/>
      <c r="OLH2" s="354"/>
      <c r="OLI2" s="354"/>
      <c r="OLJ2" s="354"/>
      <c r="OLK2" s="354"/>
      <c r="OLL2" s="354"/>
      <c r="OLM2" s="354"/>
      <c r="OLN2" s="354"/>
      <c r="OLO2" s="354"/>
      <c r="OLP2" s="354"/>
      <c r="OLQ2" s="354"/>
      <c r="OLR2" s="354"/>
      <c r="OLS2" s="354"/>
      <c r="OLT2" s="354"/>
      <c r="OLU2" s="354"/>
      <c r="OLV2" s="354"/>
      <c r="OLW2" s="354"/>
      <c r="OLX2" s="354"/>
      <c r="OLY2" s="354"/>
      <c r="OLZ2" s="354"/>
      <c r="OMA2" s="354"/>
      <c r="OMB2" s="354"/>
      <c r="OMC2" s="354"/>
      <c r="OMD2" s="354"/>
      <c r="OME2" s="354"/>
      <c r="OMF2" s="354"/>
      <c r="OMG2" s="354"/>
      <c r="OMH2" s="354"/>
      <c r="OMI2" s="354"/>
      <c r="OMJ2" s="354"/>
      <c r="OMK2" s="354"/>
      <c r="OML2" s="354"/>
      <c r="OMM2" s="354"/>
      <c r="OMN2" s="354"/>
      <c r="OMO2" s="354"/>
      <c r="OMP2" s="354"/>
      <c r="OMQ2" s="354"/>
      <c r="OMR2" s="354"/>
      <c r="OMS2" s="354"/>
      <c r="OMT2" s="354"/>
      <c r="OMU2" s="354"/>
      <c r="OMV2" s="354"/>
      <c r="OMW2" s="354"/>
      <c r="OMX2" s="354"/>
      <c r="OMY2" s="354"/>
      <c r="OMZ2" s="354"/>
      <c r="ONA2" s="354"/>
      <c r="ONB2" s="354"/>
      <c r="ONC2" s="354"/>
      <c r="OND2" s="354"/>
      <c r="ONE2" s="354"/>
      <c r="ONF2" s="354"/>
      <c r="ONG2" s="354"/>
      <c r="ONH2" s="354"/>
      <c r="ONI2" s="354"/>
      <c r="ONJ2" s="354"/>
      <c r="ONK2" s="354"/>
      <c r="ONL2" s="354"/>
      <c r="ONM2" s="354"/>
      <c r="ONN2" s="354"/>
      <c r="ONO2" s="354"/>
      <c r="ONP2" s="354"/>
      <c r="ONQ2" s="354"/>
      <c r="ONR2" s="354"/>
      <c r="ONS2" s="354"/>
      <c r="ONT2" s="354"/>
      <c r="ONU2" s="354"/>
      <c r="ONV2" s="354"/>
      <c r="ONW2" s="354"/>
      <c r="ONX2" s="354"/>
      <c r="ONY2" s="354"/>
      <c r="ONZ2" s="354"/>
      <c r="OOA2" s="354"/>
      <c r="OOB2" s="354"/>
      <c r="OOC2" s="354"/>
      <c r="OOD2" s="354"/>
      <c r="OOE2" s="354"/>
      <c r="OOF2" s="354"/>
      <c r="OOG2" s="354"/>
      <c r="OOH2" s="354"/>
      <c r="OOI2" s="354"/>
      <c r="OOJ2" s="354"/>
      <c r="OOK2" s="354"/>
      <c r="OOL2" s="354"/>
      <c r="OOM2" s="354"/>
      <c r="OON2" s="354"/>
      <c r="OOO2" s="354"/>
      <c r="OOP2" s="354"/>
      <c r="OOQ2" s="354"/>
      <c r="OOR2" s="354"/>
      <c r="OOS2" s="354"/>
      <c r="OOT2" s="354"/>
      <c r="OOU2" s="354"/>
      <c r="OOV2" s="354"/>
      <c r="OOW2" s="354"/>
      <c r="OOX2" s="354"/>
      <c r="OOY2" s="354"/>
      <c r="OOZ2" s="354"/>
      <c r="OPA2" s="354"/>
      <c r="OPB2" s="354"/>
      <c r="OPC2" s="354"/>
      <c r="OPD2" s="354"/>
      <c r="OPE2" s="354"/>
      <c r="OPF2" s="354"/>
      <c r="OPG2" s="354"/>
      <c r="OPH2" s="354"/>
      <c r="OPI2" s="354"/>
      <c r="OPJ2" s="354"/>
      <c r="OPK2" s="354"/>
      <c r="OPL2" s="354"/>
      <c r="OPM2" s="354"/>
      <c r="OPN2" s="354"/>
      <c r="OPO2" s="354"/>
      <c r="OPP2" s="354"/>
      <c r="OPQ2" s="354"/>
      <c r="OPR2" s="354"/>
      <c r="OPS2" s="354"/>
      <c r="OPT2" s="354"/>
      <c r="OPU2" s="354"/>
      <c r="OPV2" s="354"/>
      <c r="OPW2" s="354"/>
      <c r="OPX2" s="354"/>
      <c r="OPY2" s="354"/>
      <c r="OPZ2" s="354"/>
      <c r="OQA2" s="354"/>
      <c r="OQB2" s="354"/>
      <c r="OQC2" s="354"/>
      <c r="OQD2" s="354"/>
      <c r="OQE2" s="354"/>
      <c r="OQF2" s="354"/>
      <c r="OQG2" s="354"/>
      <c r="OQH2" s="354"/>
      <c r="OQI2" s="354"/>
      <c r="OQJ2" s="354"/>
      <c r="OQK2" s="354"/>
      <c r="OQL2" s="354"/>
      <c r="OQM2" s="354"/>
      <c r="OQN2" s="354"/>
      <c r="OQO2" s="354"/>
      <c r="OQP2" s="354"/>
      <c r="OQQ2" s="354"/>
      <c r="OQR2" s="354"/>
      <c r="OQS2" s="354"/>
      <c r="OQT2" s="354"/>
      <c r="OQU2" s="354"/>
      <c r="OQV2" s="354"/>
      <c r="OQW2" s="354"/>
      <c r="OQX2" s="354"/>
      <c r="OQY2" s="354"/>
      <c r="OQZ2" s="354"/>
      <c r="ORA2" s="354"/>
      <c r="ORB2" s="354"/>
      <c r="ORC2" s="354"/>
      <c r="ORD2" s="354"/>
      <c r="ORE2" s="354"/>
      <c r="ORF2" s="354"/>
      <c r="ORG2" s="354"/>
      <c r="ORH2" s="354"/>
      <c r="ORI2" s="354"/>
      <c r="ORJ2" s="354"/>
      <c r="ORK2" s="354"/>
      <c r="ORL2" s="354"/>
      <c r="ORM2" s="354"/>
      <c r="ORN2" s="354"/>
      <c r="ORO2" s="354"/>
      <c r="ORP2" s="354"/>
      <c r="ORQ2" s="354"/>
      <c r="ORR2" s="354"/>
      <c r="ORS2" s="354"/>
      <c r="ORT2" s="354"/>
      <c r="ORU2" s="354"/>
      <c r="ORV2" s="354"/>
      <c r="ORW2" s="354"/>
      <c r="ORX2" s="354"/>
      <c r="ORY2" s="354"/>
      <c r="ORZ2" s="354"/>
      <c r="OSA2" s="354"/>
      <c r="OSB2" s="354"/>
      <c r="OSC2" s="354"/>
      <c r="OSD2" s="354"/>
      <c r="OSE2" s="354"/>
      <c r="OSF2" s="354"/>
      <c r="OSG2" s="354"/>
      <c r="OSH2" s="354"/>
      <c r="OSI2" s="354"/>
      <c r="OSJ2" s="354"/>
      <c r="OSK2" s="354"/>
      <c r="OSL2" s="354"/>
      <c r="OSM2" s="354"/>
      <c r="OSN2" s="354"/>
      <c r="OSO2" s="354"/>
      <c r="OSP2" s="354"/>
      <c r="OSQ2" s="354"/>
      <c r="OSR2" s="354"/>
      <c r="OSS2" s="354"/>
      <c r="OST2" s="354"/>
      <c r="OSU2" s="354"/>
      <c r="OSV2" s="354"/>
      <c r="OSW2" s="354"/>
      <c r="OSX2" s="354"/>
      <c r="OSY2" s="354"/>
      <c r="OSZ2" s="354"/>
      <c r="OTA2" s="354"/>
      <c r="OTB2" s="354"/>
      <c r="OTC2" s="354"/>
      <c r="OTD2" s="354"/>
      <c r="OTE2" s="354"/>
      <c r="OTF2" s="354"/>
      <c r="OTG2" s="354"/>
      <c r="OTH2" s="354"/>
      <c r="OTI2" s="354"/>
      <c r="OTJ2" s="354"/>
      <c r="OTK2" s="354"/>
      <c r="OTL2" s="354"/>
      <c r="OTM2" s="354"/>
      <c r="OTN2" s="354"/>
      <c r="OTO2" s="354"/>
      <c r="OTP2" s="354"/>
      <c r="OTQ2" s="354"/>
      <c r="OTR2" s="354"/>
      <c r="OTS2" s="354"/>
      <c r="OTT2" s="354"/>
      <c r="OTU2" s="354"/>
      <c r="OTV2" s="354"/>
      <c r="OTW2" s="354"/>
      <c r="OTX2" s="354"/>
      <c r="OTY2" s="354"/>
      <c r="OTZ2" s="354"/>
      <c r="OUA2" s="354"/>
      <c r="OUB2" s="354"/>
      <c r="OUC2" s="354"/>
      <c r="OUD2" s="354"/>
      <c r="OUE2" s="354"/>
      <c r="OUF2" s="354"/>
      <c r="OUG2" s="354"/>
      <c r="OUH2" s="354"/>
      <c r="OUI2" s="354"/>
      <c r="OUJ2" s="354"/>
      <c r="OUK2" s="354"/>
      <c r="OUL2" s="354"/>
      <c r="OUM2" s="354"/>
      <c r="OUN2" s="354"/>
      <c r="OUO2" s="354"/>
      <c r="OUP2" s="354"/>
      <c r="OUQ2" s="354"/>
      <c r="OUR2" s="354"/>
      <c r="OUS2" s="354"/>
      <c r="OUT2" s="354"/>
      <c r="OUU2" s="354"/>
      <c r="OUV2" s="354"/>
      <c r="OUW2" s="354"/>
      <c r="OUX2" s="354"/>
      <c r="OUY2" s="354"/>
      <c r="OUZ2" s="354"/>
      <c r="OVA2" s="354"/>
      <c r="OVB2" s="354"/>
      <c r="OVC2" s="354"/>
      <c r="OVD2" s="354"/>
      <c r="OVE2" s="354"/>
      <c r="OVF2" s="354"/>
      <c r="OVG2" s="354"/>
      <c r="OVH2" s="354"/>
      <c r="OVI2" s="354"/>
      <c r="OVJ2" s="354"/>
      <c r="OVK2" s="354"/>
      <c r="OVL2" s="354"/>
      <c r="OVM2" s="354"/>
      <c r="OVN2" s="354"/>
      <c r="OVO2" s="354"/>
      <c r="OVP2" s="354"/>
      <c r="OVQ2" s="354"/>
      <c r="OVR2" s="354"/>
      <c r="OVS2" s="354"/>
      <c r="OVT2" s="354"/>
      <c r="OVU2" s="354"/>
      <c r="OVV2" s="354"/>
      <c r="OVW2" s="354"/>
      <c r="OVX2" s="354"/>
      <c r="OVY2" s="354"/>
      <c r="OVZ2" s="354"/>
      <c r="OWA2" s="354"/>
      <c r="OWB2" s="354"/>
      <c r="OWC2" s="354"/>
      <c r="OWD2" s="354"/>
      <c r="OWE2" s="354"/>
      <c r="OWF2" s="354"/>
      <c r="OWG2" s="354"/>
      <c r="OWH2" s="354"/>
      <c r="OWI2" s="354"/>
      <c r="OWJ2" s="354"/>
      <c r="OWK2" s="354"/>
      <c r="OWL2" s="354"/>
      <c r="OWM2" s="354"/>
      <c r="OWN2" s="354"/>
      <c r="OWO2" s="354"/>
      <c r="OWP2" s="354"/>
      <c r="OWQ2" s="354"/>
      <c r="OWR2" s="354"/>
      <c r="OWS2" s="354"/>
      <c r="OWT2" s="354"/>
      <c r="OWU2" s="354"/>
      <c r="OWV2" s="354"/>
      <c r="OWW2" s="354"/>
      <c r="OWX2" s="354"/>
      <c r="OWY2" s="354"/>
      <c r="OWZ2" s="354"/>
      <c r="OXA2" s="354"/>
      <c r="OXB2" s="354"/>
      <c r="OXC2" s="354"/>
      <c r="OXD2" s="354"/>
      <c r="OXE2" s="354"/>
      <c r="OXF2" s="354"/>
      <c r="OXG2" s="354"/>
      <c r="OXH2" s="354"/>
      <c r="OXI2" s="354"/>
      <c r="OXJ2" s="354"/>
      <c r="OXK2" s="354"/>
      <c r="OXL2" s="354"/>
      <c r="OXM2" s="354"/>
      <c r="OXN2" s="354"/>
      <c r="OXO2" s="354"/>
      <c r="OXP2" s="354"/>
      <c r="OXQ2" s="354"/>
      <c r="OXR2" s="354"/>
      <c r="OXS2" s="354"/>
      <c r="OXT2" s="354"/>
      <c r="OXU2" s="354"/>
      <c r="OXV2" s="354"/>
      <c r="OXW2" s="354"/>
      <c r="OXX2" s="354"/>
      <c r="OXY2" s="354"/>
      <c r="OXZ2" s="354"/>
      <c r="OYA2" s="354"/>
      <c r="OYB2" s="354"/>
      <c r="OYC2" s="354"/>
      <c r="OYD2" s="354"/>
      <c r="OYE2" s="354"/>
      <c r="OYF2" s="354"/>
      <c r="OYG2" s="354"/>
      <c r="OYH2" s="354"/>
      <c r="OYI2" s="354"/>
      <c r="OYJ2" s="354"/>
      <c r="OYK2" s="354"/>
      <c r="OYL2" s="354"/>
      <c r="OYM2" s="354"/>
      <c r="OYN2" s="354"/>
      <c r="OYO2" s="354"/>
      <c r="OYP2" s="354"/>
      <c r="OYQ2" s="354"/>
      <c r="OYR2" s="354"/>
      <c r="OYS2" s="354"/>
      <c r="OYT2" s="354"/>
      <c r="OYU2" s="354"/>
      <c r="OYV2" s="354"/>
      <c r="OYW2" s="354"/>
      <c r="OYX2" s="354"/>
      <c r="OYY2" s="354"/>
      <c r="OYZ2" s="354"/>
      <c r="OZA2" s="354"/>
      <c r="OZB2" s="354"/>
      <c r="OZC2" s="354"/>
      <c r="OZD2" s="354"/>
      <c r="OZE2" s="354"/>
      <c r="OZF2" s="354"/>
      <c r="OZG2" s="354"/>
      <c r="OZH2" s="354"/>
      <c r="OZI2" s="354"/>
      <c r="OZJ2" s="354"/>
      <c r="OZK2" s="354"/>
      <c r="OZL2" s="354"/>
      <c r="OZM2" s="354"/>
      <c r="OZN2" s="354"/>
      <c r="OZO2" s="354"/>
      <c r="OZP2" s="354"/>
      <c r="OZQ2" s="354"/>
      <c r="OZR2" s="354"/>
      <c r="OZS2" s="354"/>
      <c r="OZT2" s="354"/>
      <c r="OZU2" s="354"/>
      <c r="OZV2" s="354"/>
      <c r="OZW2" s="354"/>
      <c r="OZX2" s="354"/>
      <c r="OZY2" s="354"/>
      <c r="OZZ2" s="354"/>
      <c r="PAA2" s="354"/>
      <c r="PAB2" s="354"/>
      <c r="PAC2" s="354"/>
      <c r="PAD2" s="354"/>
      <c r="PAE2" s="354"/>
      <c r="PAF2" s="354"/>
      <c r="PAG2" s="354"/>
      <c r="PAH2" s="354"/>
      <c r="PAI2" s="354"/>
      <c r="PAJ2" s="354"/>
      <c r="PAK2" s="354"/>
      <c r="PAL2" s="354"/>
      <c r="PAM2" s="354"/>
      <c r="PAN2" s="354"/>
      <c r="PAO2" s="354"/>
      <c r="PAP2" s="354"/>
      <c r="PAQ2" s="354"/>
      <c r="PAR2" s="354"/>
      <c r="PAS2" s="354"/>
      <c r="PAT2" s="354"/>
      <c r="PAU2" s="354"/>
      <c r="PAV2" s="354"/>
      <c r="PAW2" s="354"/>
      <c r="PAX2" s="354"/>
      <c r="PAY2" s="354"/>
      <c r="PAZ2" s="354"/>
      <c r="PBA2" s="354"/>
      <c r="PBB2" s="354"/>
      <c r="PBC2" s="354"/>
      <c r="PBD2" s="354"/>
      <c r="PBE2" s="354"/>
      <c r="PBF2" s="354"/>
      <c r="PBG2" s="354"/>
      <c r="PBH2" s="354"/>
      <c r="PBI2" s="354"/>
      <c r="PBJ2" s="354"/>
      <c r="PBK2" s="354"/>
      <c r="PBL2" s="354"/>
      <c r="PBM2" s="354"/>
      <c r="PBN2" s="354"/>
      <c r="PBO2" s="354"/>
      <c r="PBP2" s="354"/>
      <c r="PBQ2" s="354"/>
      <c r="PBR2" s="354"/>
      <c r="PBS2" s="354"/>
      <c r="PBT2" s="354"/>
      <c r="PBU2" s="354"/>
      <c r="PBV2" s="354"/>
      <c r="PBW2" s="354"/>
      <c r="PBX2" s="354"/>
      <c r="PBY2" s="354"/>
      <c r="PBZ2" s="354"/>
      <c r="PCA2" s="354"/>
      <c r="PCB2" s="354"/>
      <c r="PCC2" s="354"/>
      <c r="PCD2" s="354"/>
      <c r="PCE2" s="354"/>
      <c r="PCF2" s="354"/>
      <c r="PCG2" s="354"/>
      <c r="PCH2" s="354"/>
      <c r="PCI2" s="354"/>
      <c r="PCJ2" s="354"/>
      <c r="PCK2" s="354"/>
      <c r="PCL2" s="354"/>
      <c r="PCM2" s="354"/>
      <c r="PCN2" s="354"/>
      <c r="PCO2" s="354"/>
      <c r="PCP2" s="354"/>
      <c r="PCQ2" s="354"/>
      <c r="PCR2" s="354"/>
      <c r="PCS2" s="354"/>
      <c r="PCT2" s="354"/>
      <c r="PCU2" s="354"/>
      <c r="PCV2" s="354"/>
      <c r="PCW2" s="354"/>
      <c r="PCX2" s="354"/>
      <c r="PCY2" s="354"/>
      <c r="PCZ2" s="354"/>
      <c r="PDA2" s="354"/>
      <c r="PDB2" s="354"/>
      <c r="PDC2" s="354"/>
      <c r="PDD2" s="354"/>
      <c r="PDE2" s="354"/>
      <c r="PDF2" s="354"/>
      <c r="PDG2" s="354"/>
      <c r="PDH2" s="354"/>
      <c r="PDI2" s="354"/>
      <c r="PDJ2" s="354"/>
      <c r="PDK2" s="354"/>
      <c r="PDL2" s="354"/>
      <c r="PDM2" s="354"/>
      <c r="PDN2" s="354"/>
      <c r="PDO2" s="354"/>
      <c r="PDP2" s="354"/>
      <c r="PDQ2" s="354"/>
      <c r="PDR2" s="354"/>
      <c r="PDS2" s="354"/>
      <c r="PDT2" s="354"/>
      <c r="PDU2" s="354"/>
      <c r="PDV2" s="354"/>
      <c r="PDW2" s="354"/>
      <c r="PDX2" s="354"/>
      <c r="PDY2" s="354"/>
      <c r="PDZ2" s="354"/>
      <c r="PEA2" s="354"/>
      <c r="PEB2" s="354"/>
      <c r="PEC2" s="354"/>
      <c r="PED2" s="354"/>
      <c r="PEE2" s="354"/>
      <c r="PEF2" s="354"/>
      <c r="PEG2" s="354"/>
      <c r="PEH2" s="354"/>
      <c r="PEI2" s="354"/>
      <c r="PEJ2" s="354"/>
      <c r="PEK2" s="354"/>
      <c r="PEL2" s="354"/>
      <c r="PEM2" s="354"/>
      <c r="PEN2" s="354"/>
      <c r="PEO2" s="354"/>
      <c r="PEP2" s="354"/>
      <c r="PEQ2" s="354"/>
      <c r="PER2" s="354"/>
      <c r="PES2" s="354"/>
      <c r="PET2" s="354"/>
      <c r="PEU2" s="354"/>
      <c r="PEV2" s="354"/>
      <c r="PEW2" s="354"/>
      <c r="PEX2" s="354"/>
      <c r="PEY2" s="354"/>
      <c r="PEZ2" s="354"/>
      <c r="PFA2" s="354"/>
      <c r="PFB2" s="354"/>
      <c r="PFC2" s="354"/>
      <c r="PFD2" s="354"/>
      <c r="PFE2" s="354"/>
      <c r="PFF2" s="354"/>
      <c r="PFG2" s="354"/>
      <c r="PFH2" s="354"/>
      <c r="PFI2" s="354"/>
      <c r="PFJ2" s="354"/>
      <c r="PFK2" s="354"/>
      <c r="PFL2" s="354"/>
      <c r="PFM2" s="354"/>
      <c r="PFN2" s="354"/>
      <c r="PFO2" s="354"/>
      <c r="PFP2" s="354"/>
      <c r="PFQ2" s="354"/>
      <c r="PFR2" s="354"/>
      <c r="PFS2" s="354"/>
      <c r="PFT2" s="354"/>
      <c r="PFU2" s="354"/>
      <c r="PFV2" s="354"/>
      <c r="PFW2" s="354"/>
      <c r="PFX2" s="354"/>
      <c r="PFY2" s="354"/>
      <c r="PFZ2" s="354"/>
      <c r="PGA2" s="354"/>
      <c r="PGB2" s="354"/>
      <c r="PGC2" s="354"/>
      <c r="PGD2" s="354"/>
      <c r="PGE2" s="354"/>
      <c r="PGF2" s="354"/>
      <c r="PGG2" s="354"/>
      <c r="PGH2" s="354"/>
      <c r="PGI2" s="354"/>
      <c r="PGJ2" s="354"/>
      <c r="PGK2" s="354"/>
      <c r="PGL2" s="354"/>
      <c r="PGM2" s="354"/>
      <c r="PGN2" s="354"/>
      <c r="PGO2" s="354"/>
      <c r="PGP2" s="354"/>
      <c r="PGQ2" s="354"/>
      <c r="PGR2" s="354"/>
      <c r="PGS2" s="354"/>
      <c r="PGT2" s="354"/>
      <c r="PGU2" s="354"/>
      <c r="PGV2" s="354"/>
      <c r="PGW2" s="354"/>
      <c r="PGX2" s="354"/>
      <c r="PGY2" s="354"/>
      <c r="PGZ2" s="354"/>
      <c r="PHA2" s="354"/>
      <c r="PHB2" s="354"/>
      <c r="PHC2" s="354"/>
      <c r="PHD2" s="354"/>
      <c r="PHE2" s="354"/>
      <c r="PHF2" s="354"/>
      <c r="PHG2" s="354"/>
      <c r="PHH2" s="354"/>
      <c r="PHI2" s="354"/>
      <c r="PHJ2" s="354"/>
      <c r="PHK2" s="354"/>
      <c r="PHL2" s="354"/>
      <c r="PHM2" s="354"/>
      <c r="PHN2" s="354"/>
      <c r="PHO2" s="354"/>
      <c r="PHP2" s="354"/>
      <c r="PHQ2" s="354"/>
      <c r="PHR2" s="354"/>
      <c r="PHS2" s="354"/>
      <c r="PHT2" s="354"/>
      <c r="PHU2" s="354"/>
      <c r="PHV2" s="354"/>
      <c r="PHW2" s="354"/>
      <c r="PHX2" s="354"/>
      <c r="PHY2" s="354"/>
      <c r="PHZ2" s="354"/>
      <c r="PIA2" s="354"/>
      <c r="PIB2" s="354"/>
      <c r="PIC2" s="354"/>
      <c r="PID2" s="354"/>
      <c r="PIE2" s="354"/>
      <c r="PIF2" s="354"/>
      <c r="PIG2" s="354"/>
      <c r="PIH2" s="354"/>
      <c r="PII2" s="354"/>
      <c r="PIJ2" s="354"/>
      <c r="PIK2" s="354"/>
      <c r="PIL2" s="354"/>
      <c r="PIM2" s="354"/>
      <c r="PIN2" s="354"/>
      <c r="PIO2" s="354"/>
      <c r="PIP2" s="354"/>
      <c r="PIQ2" s="354"/>
      <c r="PIR2" s="354"/>
      <c r="PIS2" s="354"/>
      <c r="PIT2" s="354"/>
      <c r="PIU2" s="354"/>
      <c r="PIV2" s="354"/>
      <c r="PIW2" s="354"/>
      <c r="PIX2" s="354"/>
      <c r="PIY2" s="354"/>
      <c r="PIZ2" s="354"/>
      <c r="PJA2" s="354"/>
      <c r="PJB2" s="354"/>
      <c r="PJC2" s="354"/>
      <c r="PJD2" s="354"/>
      <c r="PJE2" s="354"/>
      <c r="PJF2" s="354"/>
      <c r="PJG2" s="354"/>
      <c r="PJH2" s="354"/>
      <c r="PJI2" s="354"/>
      <c r="PJJ2" s="354"/>
      <c r="PJK2" s="354"/>
      <c r="PJL2" s="354"/>
      <c r="PJM2" s="354"/>
      <c r="PJN2" s="354"/>
      <c r="PJO2" s="354"/>
      <c r="PJP2" s="354"/>
      <c r="PJQ2" s="354"/>
      <c r="PJR2" s="354"/>
      <c r="PJS2" s="354"/>
      <c r="PJT2" s="354"/>
      <c r="PJU2" s="354"/>
      <c r="PJV2" s="354"/>
      <c r="PJW2" s="354"/>
      <c r="PJX2" s="354"/>
      <c r="PJY2" s="354"/>
      <c r="PJZ2" s="354"/>
      <c r="PKA2" s="354"/>
      <c r="PKB2" s="354"/>
      <c r="PKC2" s="354"/>
      <c r="PKD2" s="354"/>
      <c r="PKE2" s="354"/>
      <c r="PKF2" s="354"/>
      <c r="PKG2" s="354"/>
      <c r="PKH2" s="354"/>
      <c r="PKI2" s="354"/>
      <c r="PKJ2" s="354"/>
      <c r="PKK2" s="354"/>
      <c r="PKL2" s="354"/>
      <c r="PKM2" s="354"/>
      <c r="PKN2" s="354"/>
      <c r="PKO2" s="354"/>
      <c r="PKP2" s="354"/>
      <c r="PKQ2" s="354"/>
      <c r="PKR2" s="354"/>
      <c r="PKS2" s="354"/>
      <c r="PKT2" s="354"/>
      <c r="PKU2" s="354"/>
      <c r="PKV2" s="354"/>
      <c r="PKW2" s="354"/>
      <c r="PKX2" s="354"/>
      <c r="PKY2" s="354"/>
      <c r="PKZ2" s="354"/>
      <c r="PLA2" s="354"/>
      <c r="PLB2" s="354"/>
      <c r="PLC2" s="354"/>
      <c r="PLD2" s="354"/>
      <c r="PLE2" s="354"/>
      <c r="PLF2" s="354"/>
      <c r="PLG2" s="354"/>
      <c r="PLH2" s="354"/>
      <c r="PLI2" s="354"/>
      <c r="PLJ2" s="354"/>
      <c r="PLK2" s="354"/>
      <c r="PLL2" s="354"/>
      <c r="PLM2" s="354"/>
      <c r="PLN2" s="354"/>
      <c r="PLO2" s="354"/>
      <c r="PLP2" s="354"/>
      <c r="PLQ2" s="354"/>
      <c r="PLR2" s="354"/>
      <c r="PLS2" s="354"/>
      <c r="PLT2" s="354"/>
      <c r="PLU2" s="354"/>
      <c r="PLV2" s="354"/>
      <c r="PLW2" s="354"/>
      <c r="PLX2" s="354"/>
      <c r="PLY2" s="354"/>
      <c r="PLZ2" s="354"/>
      <c r="PMA2" s="354"/>
      <c r="PMB2" s="354"/>
      <c r="PMC2" s="354"/>
      <c r="PMD2" s="354"/>
      <c r="PME2" s="354"/>
      <c r="PMF2" s="354"/>
      <c r="PMG2" s="354"/>
      <c r="PMH2" s="354"/>
      <c r="PMI2" s="354"/>
      <c r="PMJ2" s="354"/>
      <c r="PMK2" s="354"/>
      <c r="PML2" s="354"/>
      <c r="PMM2" s="354"/>
      <c r="PMN2" s="354"/>
      <c r="PMO2" s="354"/>
      <c r="PMP2" s="354"/>
      <c r="PMQ2" s="354"/>
      <c r="PMR2" s="354"/>
      <c r="PMS2" s="354"/>
      <c r="PMT2" s="354"/>
      <c r="PMU2" s="354"/>
      <c r="PMV2" s="354"/>
      <c r="PMW2" s="354"/>
      <c r="PMX2" s="354"/>
      <c r="PMY2" s="354"/>
      <c r="PMZ2" s="354"/>
      <c r="PNA2" s="354"/>
      <c r="PNB2" s="354"/>
      <c r="PNC2" s="354"/>
      <c r="PND2" s="354"/>
      <c r="PNE2" s="354"/>
      <c r="PNF2" s="354"/>
      <c r="PNG2" s="354"/>
      <c r="PNH2" s="354"/>
      <c r="PNI2" s="354"/>
      <c r="PNJ2" s="354"/>
      <c r="PNK2" s="354"/>
      <c r="PNL2" s="354"/>
      <c r="PNM2" s="354"/>
      <c r="PNN2" s="354"/>
      <c r="PNO2" s="354"/>
      <c r="PNP2" s="354"/>
      <c r="PNQ2" s="354"/>
      <c r="PNR2" s="354"/>
      <c r="PNS2" s="354"/>
      <c r="PNT2" s="354"/>
      <c r="PNU2" s="354"/>
      <c r="PNV2" s="354"/>
      <c r="PNW2" s="354"/>
      <c r="PNX2" s="354"/>
      <c r="PNY2" s="354"/>
      <c r="PNZ2" s="354"/>
      <c r="POA2" s="354"/>
      <c r="POB2" s="354"/>
      <c r="POC2" s="354"/>
      <c r="POD2" s="354"/>
      <c r="POE2" s="354"/>
      <c r="POF2" s="354"/>
      <c r="POG2" s="354"/>
      <c r="POH2" s="354"/>
      <c r="POI2" s="354"/>
      <c r="POJ2" s="354"/>
      <c r="POK2" s="354"/>
      <c r="POL2" s="354"/>
      <c r="POM2" s="354"/>
      <c r="PON2" s="354"/>
      <c r="POO2" s="354"/>
      <c r="POP2" s="354"/>
      <c r="POQ2" s="354"/>
      <c r="POR2" s="354"/>
      <c r="POS2" s="354"/>
      <c r="POT2" s="354"/>
      <c r="POU2" s="354"/>
      <c r="POV2" s="354"/>
      <c r="POW2" s="354"/>
      <c r="POX2" s="354"/>
      <c r="POY2" s="354"/>
      <c r="POZ2" s="354"/>
      <c r="PPA2" s="354"/>
      <c r="PPB2" s="354"/>
      <c r="PPC2" s="354"/>
      <c r="PPD2" s="354"/>
      <c r="PPE2" s="354"/>
      <c r="PPF2" s="354"/>
      <c r="PPG2" s="354"/>
      <c r="PPH2" s="354"/>
      <c r="PPI2" s="354"/>
      <c r="PPJ2" s="354"/>
      <c r="PPK2" s="354"/>
      <c r="PPL2" s="354"/>
      <c r="PPM2" s="354"/>
      <c r="PPN2" s="354"/>
      <c r="PPO2" s="354"/>
      <c r="PPP2" s="354"/>
      <c r="PPQ2" s="354"/>
      <c r="PPR2" s="354"/>
      <c r="PPS2" s="354"/>
      <c r="PPT2" s="354"/>
      <c r="PPU2" s="354"/>
      <c r="PPV2" s="354"/>
      <c r="PPW2" s="354"/>
      <c r="PPX2" s="354"/>
      <c r="PPY2" s="354"/>
      <c r="PPZ2" s="354"/>
      <c r="PQA2" s="354"/>
      <c r="PQB2" s="354"/>
      <c r="PQC2" s="354"/>
      <c r="PQD2" s="354"/>
      <c r="PQE2" s="354"/>
      <c r="PQF2" s="354"/>
      <c r="PQG2" s="354"/>
      <c r="PQH2" s="354"/>
      <c r="PQI2" s="354"/>
      <c r="PQJ2" s="354"/>
      <c r="PQK2" s="354"/>
      <c r="PQL2" s="354"/>
      <c r="PQM2" s="354"/>
      <c r="PQN2" s="354"/>
      <c r="PQO2" s="354"/>
      <c r="PQP2" s="354"/>
      <c r="PQQ2" s="354"/>
      <c r="PQR2" s="354"/>
      <c r="PQS2" s="354"/>
      <c r="PQT2" s="354"/>
      <c r="PQU2" s="354"/>
      <c r="PQV2" s="354"/>
      <c r="PQW2" s="354"/>
      <c r="PQX2" s="354"/>
      <c r="PQY2" s="354"/>
      <c r="PQZ2" s="354"/>
      <c r="PRA2" s="354"/>
      <c r="PRB2" s="354"/>
      <c r="PRC2" s="354"/>
      <c r="PRD2" s="354"/>
      <c r="PRE2" s="354"/>
      <c r="PRF2" s="354"/>
      <c r="PRG2" s="354"/>
      <c r="PRH2" s="354"/>
      <c r="PRI2" s="354"/>
      <c r="PRJ2" s="354"/>
      <c r="PRK2" s="354"/>
      <c r="PRL2" s="354"/>
      <c r="PRM2" s="354"/>
      <c r="PRN2" s="354"/>
      <c r="PRO2" s="354"/>
      <c r="PRP2" s="354"/>
      <c r="PRQ2" s="354"/>
      <c r="PRR2" s="354"/>
      <c r="PRS2" s="354"/>
      <c r="PRT2" s="354"/>
      <c r="PRU2" s="354"/>
      <c r="PRV2" s="354"/>
      <c r="PRW2" s="354"/>
      <c r="PRX2" s="354"/>
      <c r="PRY2" s="354"/>
      <c r="PRZ2" s="354"/>
      <c r="PSA2" s="354"/>
      <c r="PSB2" s="354"/>
      <c r="PSC2" s="354"/>
      <c r="PSD2" s="354"/>
      <c r="PSE2" s="354"/>
      <c r="PSF2" s="354"/>
      <c r="PSG2" s="354"/>
      <c r="PSH2" s="354"/>
      <c r="PSI2" s="354"/>
      <c r="PSJ2" s="354"/>
      <c r="PSK2" s="354"/>
      <c r="PSL2" s="354"/>
      <c r="PSM2" s="354"/>
      <c r="PSN2" s="354"/>
      <c r="PSO2" s="354"/>
      <c r="PSP2" s="354"/>
      <c r="PSQ2" s="354"/>
      <c r="PSR2" s="354"/>
      <c r="PSS2" s="354"/>
      <c r="PST2" s="354"/>
      <c r="PSU2" s="354"/>
      <c r="PSV2" s="354"/>
      <c r="PSW2" s="354"/>
      <c r="PSX2" s="354"/>
      <c r="PSY2" s="354"/>
      <c r="PSZ2" s="354"/>
      <c r="PTA2" s="354"/>
      <c r="PTB2" s="354"/>
      <c r="PTC2" s="354"/>
      <c r="PTD2" s="354"/>
      <c r="PTE2" s="354"/>
      <c r="PTF2" s="354"/>
      <c r="PTG2" s="354"/>
      <c r="PTH2" s="354"/>
      <c r="PTI2" s="354"/>
      <c r="PTJ2" s="354"/>
      <c r="PTK2" s="354"/>
      <c r="PTL2" s="354"/>
      <c r="PTM2" s="354"/>
      <c r="PTN2" s="354"/>
      <c r="PTO2" s="354"/>
      <c r="PTP2" s="354"/>
      <c r="PTQ2" s="354"/>
      <c r="PTR2" s="354"/>
      <c r="PTS2" s="354"/>
      <c r="PTT2" s="354"/>
      <c r="PTU2" s="354"/>
      <c r="PTV2" s="354"/>
      <c r="PTW2" s="354"/>
      <c r="PTX2" s="354"/>
      <c r="PTY2" s="354"/>
      <c r="PTZ2" s="354"/>
      <c r="PUA2" s="354"/>
      <c r="PUB2" s="354"/>
      <c r="PUC2" s="354"/>
      <c r="PUD2" s="354"/>
      <c r="PUE2" s="354"/>
      <c r="PUF2" s="354"/>
      <c r="PUG2" s="354"/>
      <c r="PUH2" s="354"/>
      <c r="PUI2" s="354"/>
      <c r="PUJ2" s="354"/>
      <c r="PUK2" s="354"/>
      <c r="PUL2" s="354"/>
      <c r="PUM2" s="354"/>
      <c r="PUN2" s="354"/>
      <c r="PUO2" s="354"/>
      <c r="PUP2" s="354"/>
      <c r="PUQ2" s="354"/>
      <c r="PUR2" s="354"/>
      <c r="PUS2" s="354"/>
      <c r="PUT2" s="354"/>
      <c r="PUU2" s="354"/>
      <c r="PUV2" s="354"/>
      <c r="PUW2" s="354"/>
      <c r="PUX2" s="354"/>
      <c r="PUY2" s="354"/>
      <c r="PUZ2" s="354"/>
      <c r="PVA2" s="354"/>
      <c r="PVB2" s="354"/>
      <c r="PVC2" s="354"/>
      <c r="PVD2" s="354"/>
      <c r="PVE2" s="354"/>
      <c r="PVF2" s="354"/>
      <c r="PVG2" s="354"/>
      <c r="PVH2" s="354"/>
      <c r="PVI2" s="354"/>
      <c r="PVJ2" s="354"/>
      <c r="PVK2" s="354"/>
      <c r="PVL2" s="354"/>
      <c r="PVM2" s="354"/>
      <c r="PVN2" s="354"/>
      <c r="PVO2" s="354"/>
      <c r="PVP2" s="354"/>
      <c r="PVQ2" s="354"/>
      <c r="PVR2" s="354"/>
      <c r="PVS2" s="354"/>
      <c r="PVT2" s="354"/>
      <c r="PVU2" s="354"/>
      <c r="PVV2" s="354"/>
      <c r="PVW2" s="354"/>
      <c r="PVX2" s="354"/>
      <c r="PVY2" s="354"/>
      <c r="PVZ2" s="354"/>
      <c r="PWA2" s="354"/>
      <c r="PWB2" s="354"/>
      <c r="PWC2" s="354"/>
      <c r="PWD2" s="354"/>
      <c r="PWE2" s="354"/>
      <c r="PWF2" s="354"/>
      <c r="PWG2" s="354"/>
      <c r="PWH2" s="354"/>
      <c r="PWI2" s="354"/>
      <c r="PWJ2" s="354"/>
      <c r="PWK2" s="354"/>
      <c r="PWL2" s="354"/>
      <c r="PWM2" s="354"/>
      <c r="PWN2" s="354"/>
      <c r="PWO2" s="354"/>
      <c r="PWP2" s="354"/>
      <c r="PWQ2" s="354"/>
      <c r="PWR2" s="354"/>
      <c r="PWS2" s="354"/>
      <c r="PWT2" s="354"/>
      <c r="PWU2" s="354"/>
      <c r="PWV2" s="354"/>
      <c r="PWW2" s="354"/>
      <c r="PWX2" s="354"/>
      <c r="PWY2" s="354"/>
      <c r="PWZ2" s="354"/>
      <c r="PXA2" s="354"/>
      <c r="PXB2" s="354"/>
      <c r="PXC2" s="354"/>
      <c r="PXD2" s="354"/>
      <c r="PXE2" s="354"/>
      <c r="PXF2" s="354"/>
      <c r="PXG2" s="354"/>
      <c r="PXH2" s="354"/>
      <c r="PXI2" s="354"/>
      <c r="PXJ2" s="354"/>
      <c r="PXK2" s="354"/>
      <c r="PXL2" s="354"/>
      <c r="PXM2" s="354"/>
      <c r="PXN2" s="354"/>
      <c r="PXO2" s="354"/>
      <c r="PXP2" s="354"/>
      <c r="PXQ2" s="354"/>
      <c r="PXR2" s="354"/>
      <c r="PXS2" s="354"/>
      <c r="PXT2" s="354"/>
      <c r="PXU2" s="354"/>
      <c r="PXV2" s="354"/>
      <c r="PXW2" s="354"/>
      <c r="PXX2" s="354"/>
      <c r="PXY2" s="354"/>
      <c r="PXZ2" s="354"/>
      <c r="PYA2" s="354"/>
      <c r="PYB2" s="354"/>
      <c r="PYC2" s="354"/>
      <c r="PYD2" s="354"/>
      <c r="PYE2" s="354"/>
      <c r="PYF2" s="354"/>
      <c r="PYG2" s="354"/>
      <c r="PYH2" s="354"/>
      <c r="PYI2" s="354"/>
      <c r="PYJ2" s="354"/>
      <c r="PYK2" s="354"/>
      <c r="PYL2" s="354"/>
      <c r="PYM2" s="354"/>
      <c r="PYN2" s="354"/>
      <c r="PYO2" s="354"/>
      <c r="PYP2" s="354"/>
      <c r="PYQ2" s="354"/>
      <c r="PYR2" s="354"/>
      <c r="PYS2" s="354"/>
      <c r="PYT2" s="354"/>
      <c r="PYU2" s="354"/>
      <c r="PYV2" s="354"/>
      <c r="PYW2" s="354"/>
      <c r="PYX2" s="354"/>
      <c r="PYY2" s="354"/>
      <c r="PYZ2" s="354"/>
      <c r="PZA2" s="354"/>
      <c r="PZB2" s="354"/>
      <c r="PZC2" s="354"/>
      <c r="PZD2" s="354"/>
      <c r="PZE2" s="354"/>
      <c r="PZF2" s="354"/>
      <c r="PZG2" s="354"/>
      <c r="PZH2" s="354"/>
      <c r="PZI2" s="354"/>
      <c r="PZJ2" s="354"/>
      <c r="PZK2" s="354"/>
      <c r="PZL2" s="354"/>
      <c r="PZM2" s="354"/>
      <c r="PZN2" s="354"/>
      <c r="PZO2" s="354"/>
      <c r="PZP2" s="354"/>
      <c r="PZQ2" s="354"/>
      <c r="PZR2" s="354"/>
      <c r="PZS2" s="354"/>
      <c r="PZT2" s="354"/>
      <c r="PZU2" s="354"/>
      <c r="PZV2" s="354"/>
      <c r="PZW2" s="354"/>
      <c r="PZX2" s="354"/>
      <c r="PZY2" s="354"/>
      <c r="PZZ2" s="354"/>
      <c r="QAA2" s="354"/>
      <c r="QAB2" s="354"/>
      <c r="QAC2" s="354"/>
      <c r="QAD2" s="354"/>
      <c r="QAE2" s="354"/>
      <c r="QAF2" s="354"/>
      <c r="QAG2" s="354"/>
      <c r="QAH2" s="354"/>
      <c r="QAI2" s="354"/>
      <c r="QAJ2" s="354"/>
      <c r="QAK2" s="354"/>
      <c r="QAL2" s="354"/>
      <c r="QAM2" s="354"/>
      <c r="QAN2" s="354"/>
      <c r="QAO2" s="354"/>
      <c r="QAP2" s="354"/>
      <c r="QAQ2" s="354"/>
      <c r="QAR2" s="354"/>
      <c r="QAS2" s="354"/>
      <c r="QAT2" s="354"/>
      <c r="QAU2" s="354"/>
      <c r="QAV2" s="354"/>
      <c r="QAW2" s="354"/>
      <c r="QAX2" s="354"/>
      <c r="QAY2" s="354"/>
      <c r="QAZ2" s="354"/>
      <c r="QBA2" s="354"/>
      <c r="QBB2" s="354"/>
      <c r="QBC2" s="354"/>
      <c r="QBD2" s="354"/>
      <c r="QBE2" s="354"/>
      <c r="QBF2" s="354"/>
      <c r="QBG2" s="354"/>
      <c r="QBH2" s="354"/>
      <c r="QBI2" s="354"/>
      <c r="QBJ2" s="354"/>
      <c r="QBK2" s="354"/>
      <c r="QBL2" s="354"/>
      <c r="QBM2" s="354"/>
      <c r="QBN2" s="354"/>
      <c r="QBO2" s="354"/>
      <c r="QBP2" s="354"/>
      <c r="QBQ2" s="354"/>
      <c r="QBR2" s="354"/>
      <c r="QBS2" s="354"/>
      <c r="QBT2" s="354"/>
      <c r="QBU2" s="354"/>
      <c r="QBV2" s="354"/>
      <c r="QBW2" s="354"/>
      <c r="QBX2" s="354"/>
      <c r="QBY2" s="354"/>
      <c r="QBZ2" s="354"/>
      <c r="QCA2" s="354"/>
      <c r="QCB2" s="354"/>
      <c r="QCC2" s="354"/>
      <c r="QCD2" s="354"/>
      <c r="QCE2" s="354"/>
      <c r="QCF2" s="354"/>
      <c r="QCG2" s="354"/>
      <c r="QCH2" s="354"/>
      <c r="QCI2" s="354"/>
      <c r="QCJ2" s="354"/>
      <c r="QCK2" s="354"/>
      <c r="QCL2" s="354"/>
      <c r="QCM2" s="354"/>
      <c r="QCN2" s="354"/>
      <c r="QCO2" s="354"/>
      <c r="QCP2" s="354"/>
      <c r="QCQ2" s="354"/>
      <c r="QCR2" s="354"/>
      <c r="QCS2" s="354"/>
      <c r="QCT2" s="354"/>
      <c r="QCU2" s="354"/>
      <c r="QCV2" s="354"/>
      <c r="QCW2" s="354"/>
      <c r="QCX2" s="354"/>
      <c r="QCY2" s="354"/>
      <c r="QCZ2" s="354"/>
      <c r="QDA2" s="354"/>
      <c r="QDB2" s="354"/>
      <c r="QDC2" s="354"/>
      <c r="QDD2" s="354"/>
      <c r="QDE2" s="354"/>
      <c r="QDF2" s="354"/>
      <c r="QDG2" s="354"/>
      <c r="QDH2" s="354"/>
      <c r="QDI2" s="354"/>
      <c r="QDJ2" s="354"/>
      <c r="QDK2" s="354"/>
      <c r="QDL2" s="354"/>
      <c r="QDM2" s="354"/>
      <c r="QDN2" s="354"/>
      <c r="QDO2" s="354"/>
      <c r="QDP2" s="354"/>
      <c r="QDQ2" s="354"/>
      <c r="QDR2" s="354"/>
      <c r="QDS2" s="354"/>
      <c r="QDT2" s="354"/>
      <c r="QDU2" s="354"/>
      <c r="QDV2" s="354"/>
      <c r="QDW2" s="354"/>
      <c r="QDX2" s="354"/>
      <c r="QDY2" s="354"/>
      <c r="QDZ2" s="354"/>
      <c r="QEA2" s="354"/>
      <c r="QEB2" s="354"/>
      <c r="QEC2" s="354"/>
      <c r="QED2" s="354"/>
      <c r="QEE2" s="354"/>
      <c r="QEF2" s="354"/>
      <c r="QEG2" s="354"/>
      <c r="QEH2" s="354"/>
      <c r="QEI2" s="354"/>
      <c r="QEJ2" s="354"/>
      <c r="QEK2" s="354"/>
      <c r="QEL2" s="354"/>
      <c r="QEM2" s="354"/>
      <c r="QEN2" s="354"/>
      <c r="QEO2" s="354"/>
      <c r="QEP2" s="354"/>
      <c r="QEQ2" s="354"/>
      <c r="QER2" s="354"/>
      <c r="QES2" s="354"/>
      <c r="QET2" s="354"/>
      <c r="QEU2" s="354"/>
      <c r="QEV2" s="354"/>
      <c r="QEW2" s="354"/>
      <c r="QEX2" s="354"/>
      <c r="QEY2" s="354"/>
      <c r="QEZ2" s="354"/>
      <c r="QFA2" s="354"/>
      <c r="QFB2" s="354"/>
      <c r="QFC2" s="354"/>
      <c r="QFD2" s="354"/>
      <c r="QFE2" s="354"/>
      <c r="QFF2" s="354"/>
      <c r="QFG2" s="354"/>
      <c r="QFH2" s="354"/>
      <c r="QFI2" s="354"/>
      <c r="QFJ2" s="354"/>
      <c r="QFK2" s="354"/>
      <c r="QFL2" s="354"/>
      <c r="QFM2" s="354"/>
      <c r="QFN2" s="354"/>
      <c r="QFO2" s="354"/>
      <c r="QFP2" s="354"/>
      <c r="QFQ2" s="354"/>
      <c r="QFR2" s="354"/>
      <c r="QFS2" s="354"/>
      <c r="QFT2" s="354"/>
      <c r="QFU2" s="354"/>
      <c r="QFV2" s="354"/>
      <c r="QFW2" s="354"/>
      <c r="QFX2" s="354"/>
      <c r="QFY2" s="354"/>
      <c r="QFZ2" s="354"/>
      <c r="QGA2" s="354"/>
      <c r="QGB2" s="354"/>
      <c r="QGC2" s="354"/>
      <c r="QGD2" s="354"/>
      <c r="QGE2" s="354"/>
      <c r="QGF2" s="354"/>
      <c r="QGG2" s="354"/>
      <c r="QGH2" s="354"/>
      <c r="QGI2" s="354"/>
      <c r="QGJ2" s="354"/>
      <c r="QGK2" s="354"/>
      <c r="QGL2" s="354"/>
      <c r="QGM2" s="354"/>
      <c r="QGN2" s="354"/>
      <c r="QGO2" s="354"/>
      <c r="QGP2" s="354"/>
      <c r="QGQ2" s="354"/>
      <c r="QGR2" s="354"/>
      <c r="QGS2" s="354"/>
      <c r="QGT2" s="354"/>
      <c r="QGU2" s="354"/>
      <c r="QGV2" s="354"/>
      <c r="QGW2" s="354"/>
      <c r="QGX2" s="354"/>
      <c r="QGY2" s="354"/>
      <c r="QGZ2" s="354"/>
      <c r="QHA2" s="354"/>
      <c r="QHB2" s="354"/>
      <c r="QHC2" s="354"/>
      <c r="QHD2" s="354"/>
      <c r="QHE2" s="354"/>
      <c r="QHF2" s="354"/>
      <c r="QHG2" s="354"/>
      <c r="QHH2" s="354"/>
      <c r="QHI2" s="354"/>
      <c r="QHJ2" s="354"/>
      <c r="QHK2" s="354"/>
      <c r="QHL2" s="354"/>
      <c r="QHM2" s="354"/>
      <c r="QHN2" s="354"/>
      <c r="QHO2" s="354"/>
      <c r="QHP2" s="354"/>
      <c r="QHQ2" s="354"/>
      <c r="QHR2" s="354"/>
      <c r="QHS2" s="354"/>
      <c r="QHT2" s="354"/>
      <c r="QHU2" s="354"/>
      <c r="QHV2" s="354"/>
      <c r="QHW2" s="354"/>
      <c r="QHX2" s="354"/>
      <c r="QHY2" s="354"/>
      <c r="QHZ2" s="354"/>
      <c r="QIA2" s="354"/>
      <c r="QIB2" s="354"/>
      <c r="QIC2" s="354"/>
      <c r="QID2" s="354"/>
      <c r="QIE2" s="354"/>
      <c r="QIF2" s="354"/>
      <c r="QIG2" s="354"/>
      <c r="QIH2" s="354"/>
      <c r="QII2" s="354"/>
      <c r="QIJ2" s="354"/>
      <c r="QIK2" s="354"/>
      <c r="QIL2" s="354"/>
      <c r="QIM2" s="354"/>
      <c r="QIN2" s="354"/>
      <c r="QIO2" s="354"/>
      <c r="QIP2" s="354"/>
      <c r="QIQ2" s="354"/>
      <c r="QIR2" s="354"/>
      <c r="QIS2" s="354"/>
      <c r="QIT2" s="354"/>
      <c r="QIU2" s="354"/>
      <c r="QIV2" s="354"/>
      <c r="QIW2" s="354"/>
      <c r="QIX2" s="354"/>
      <c r="QIY2" s="354"/>
      <c r="QIZ2" s="354"/>
      <c r="QJA2" s="354"/>
      <c r="QJB2" s="354"/>
      <c r="QJC2" s="354"/>
      <c r="QJD2" s="354"/>
      <c r="QJE2" s="354"/>
      <c r="QJF2" s="354"/>
      <c r="QJG2" s="354"/>
      <c r="QJH2" s="354"/>
      <c r="QJI2" s="354"/>
      <c r="QJJ2" s="354"/>
      <c r="QJK2" s="354"/>
      <c r="QJL2" s="354"/>
      <c r="QJM2" s="354"/>
      <c r="QJN2" s="354"/>
      <c r="QJO2" s="354"/>
      <c r="QJP2" s="354"/>
      <c r="QJQ2" s="354"/>
      <c r="QJR2" s="354"/>
      <c r="QJS2" s="354"/>
      <c r="QJT2" s="354"/>
      <c r="QJU2" s="354"/>
      <c r="QJV2" s="354"/>
      <c r="QJW2" s="354"/>
      <c r="QJX2" s="354"/>
      <c r="QJY2" s="354"/>
      <c r="QJZ2" s="354"/>
      <c r="QKA2" s="354"/>
      <c r="QKB2" s="354"/>
      <c r="QKC2" s="354"/>
      <c r="QKD2" s="354"/>
      <c r="QKE2" s="354"/>
      <c r="QKF2" s="354"/>
      <c r="QKG2" s="354"/>
      <c r="QKH2" s="354"/>
      <c r="QKI2" s="354"/>
      <c r="QKJ2" s="354"/>
      <c r="QKK2" s="354"/>
      <c r="QKL2" s="354"/>
      <c r="QKM2" s="354"/>
      <c r="QKN2" s="354"/>
      <c r="QKO2" s="354"/>
      <c r="QKP2" s="354"/>
      <c r="QKQ2" s="354"/>
      <c r="QKR2" s="354"/>
      <c r="QKS2" s="354"/>
      <c r="QKT2" s="354"/>
      <c r="QKU2" s="354"/>
      <c r="QKV2" s="354"/>
      <c r="QKW2" s="354"/>
      <c r="QKX2" s="354"/>
      <c r="QKY2" s="354"/>
      <c r="QKZ2" s="354"/>
      <c r="QLA2" s="354"/>
      <c r="QLB2" s="354"/>
      <c r="QLC2" s="354"/>
      <c r="QLD2" s="354"/>
      <c r="QLE2" s="354"/>
      <c r="QLF2" s="354"/>
      <c r="QLG2" s="354"/>
      <c r="QLH2" s="354"/>
      <c r="QLI2" s="354"/>
      <c r="QLJ2" s="354"/>
      <c r="QLK2" s="354"/>
      <c r="QLL2" s="354"/>
      <c r="QLM2" s="354"/>
      <c r="QLN2" s="354"/>
      <c r="QLO2" s="354"/>
      <c r="QLP2" s="354"/>
      <c r="QLQ2" s="354"/>
      <c r="QLR2" s="354"/>
      <c r="QLS2" s="354"/>
      <c r="QLT2" s="354"/>
      <c r="QLU2" s="354"/>
      <c r="QLV2" s="354"/>
      <c r="QLW2" s="354"/>
      <c r="QLX2" s="354"/>
      <c r="QLY2" s="354"/>
      <c r="QLZ2" s="354"/>
      <c r="QMA2" s="354"/>
      <c r="QMB2" s="354"/>
      <c r="QMC2" s="354"/>
      <c r="QMD2" s="354"/>
      <c r="QME2" s="354"/>
      <c r="QMF2" s="354"/>
      <c r="QMG2" s="354"/>
      <c r="QMH2" s="354"/>
      <c r="QMI2" s="354"/>
      <c r="QMJ2" s="354"/>
      <c r="QMK2" s="354"/>
      <c r="QML2" s="354"/>
      <c r="QMM2" s="354"/>
      <c r="QMN2" s="354"/>
      <c r="QMO2" s="354"/>
      <c r="QMP2" s="354"/>
      <c r="QMQ2" s="354"/>
      <c r="QMR2" s="354"/>
      <c r="QMS2" s="354"/>
      <c r="QMT2" s="354"/>
      <c r="QMU2" s="354"/>
      <c r="QMV2" s="354"/>
      <c r="QMW2" s="354"/>
      <c r="QMX2" s="354"/>
      <c r="QMY2" s="354"/>
      <c r="QMZ2" s="354"/>
      <c r="QNA2" s="354"/>
      <c r="QNB2" s="354"/>
      <c r="QNC2" s="354"/>
      <c r="QND2" s="354"/>
      <c r="QNE2" s="354"/>
      <c r="QNF2" s="354"/>
      <c r="QNG2" s="354"/>
      <c r="QNH2" s="354"/>
      <c r="QNI2" s="354"/>
      <c r="QNJ2" s="354"/>
      <c r="QNK2" s="354"/>
      <c r="QNL2" s="354"/>
      <c r="QNM2" s="354"/>
      <c r="QNN2" s="354"/>
      <c r="QNO2" s="354"/>
      <c r="QNP2" s="354"/>
      <c r="QNQ2" s="354"/>
      <c r="QNR2" s="354"/>
      <c r="QNS2" s="354"/>
      <c r="QNT2" s="354"/>
      <c r="QNU2" s="354"/>
      <c r="QNV2" s="354"/>
      <c r="QNW2" s="354"/>
      <c r="QNX2" s="354"/>
      <c r="QNY2" s="354"/>
      <c r="QNZ2" s="354"/>
      <c r="QOA2" s="354"/>
      <c r="QOB2" s="354"/>
      <c r="QOC2" s="354"/>
      <c r="QOD2" s="354"/>
      <c r="QOE2" s="354"/>
      <c r="QOF2" s="354"/>
      <c r="QOG2" s="354"/>
      <c r="QOH2" s="354"/>
      <c r="QOI2" s="354"/>
      <c r="QOJ2" s="354"/>
      <c r="QOK2" s="354"/>
      <c r="QOL2" s="354"/>
      <c r="QOM2" s="354"/>
      <c r="QON2" s="354"/>
      <c r="QOO2" s="354"/>
      <c r="QOP2" s="354"/>
      <c r="QOQ2" s="354"/>
      <c r="QOR2" s="354"/>
      <c r="QOS2" s="354"/>
      <c r="QOT2" s="354"/>
      <c r="QOU2" s="354"/>
      <c r="QOV2" s="354"/>
      <c r="QOW2" s="354"/>
      <c r="QOX2" s="354"/>
      <c r="QOY2" s="354"/>
      <c r="QOZ2" s="354"/>
      <c r="QPA2" s="354"/>
      <c r="QPB2" s="354"/>
      <c r="QPC2" s="354"/>
      <c r="QPD2" s="354"/>
      <c r="QPE2" s="354"/>
      <c r="QPF2" s="354"/>
      <c r="QPG2" s="354"/>
      <c r="QPH2" s="354"/>
      <c r="QPI2" s="354"/>
      <c r="QPJ2" s="354"/>
      <c r="QPK2" s="354"/>
      <c r="QPL2" s="354"/>
      <c r="QPM2" s="354"/>
      <c r="QPN2" s="354"/>
      <c r="QPO2" s="354"/>
      <c r="QPP2" s="354"/>
      <c r="QPQ2" s="354"/>
      <c r="QPR2" s="354"/>
      <c r="QPS2" s="354"/>
      <c r="QPT2" s="354"/>
      <c r="QPU2" s="354"/>
      <c r="QPV2" s="354"/>
      <c r="QPW2" s="354"/>
      <c r="QPX2" s="354"/>
      <c r="QPY2" s="354"/>
      <c r="QPZ2" s="354"/>
      <c r="QQA2" s="354"/>
      <c r="QQB2" s="354"/>
      <c r="QQC2" s="354"/>
      <c r="QQD2" s="354"/>
      <c r="QQE2" s="354"/>
      <c r="QQF2" s="354"/>
      <c r="QQG2" s="354"/>
      <c r="QQH2" s="354"/>
      <c r="QQI2" s="354"/>
      <c r="QQJ2" s="354"/>
      <c r="QQK2" s="354"/>
      <c r="QQL2" s="354"/>
      <c r="QQM2" s="354"/>
      <c r="QQN2" s="354"/>
      <c r="QQO2" s="354"/>
      <c r="QQP2" s="354"/>
      <c r="QQQ2" s="354"/>
      <c r="QQR2" s="354"/>
      <c r="QQS2" s="354"/>
      <c r="QQT2" s="354"/>
      <c r="QQU2" s="354"/>
      <c r="QQV2" s="354"/>
      <c r="QQW2" s="354"/>
      <c r="QQX2" s="354"/>
      <c r="QQY2" s="354"/>
      <c r="QQZ2" s="354"/>
      <c r="QRA2" s="354"/>
      <c r="QRB2" s="354"/>
      <c r="QRC2" s="354"/>
      <c r="QRD2" s="354"/>
      <c r="QRE2" s="354"/>
      <c r="QRF2" s="354"/>
      <c r="QRG2" s="354"/>
      <c r="QRH2" s="354"/>
      <c r="QRI2" s="354"/>
      <c r="QRJ2" s="354"/>
      <c r="QRK2" s="354"/>
      <c r="QRL2" s="354"/>
      <c r="QRM2" s="354"/>
      <c r="QRN2" s="354"/>
      <c r="QRO2" s="354"/>
      <c r="QRP2" s="354"/>
      <c r="QRQ2" s="354"/>
      <c r="QRR2" s="354"/>
      <c r="QRS2" s="354"/>
      <c r="QRT2" s="354"/>
      <c r="QRU2" s="354"/>
      <c r="QRV2" s="354"/>
      <c r="QRW2" s="354"/>
      <c r="QRX2" s="354"/>
      <c r="QRY2" s="354"/>
      <c r="QRZ2" s="354"/>
      <c r="QSA2" s="354"/>
      <c r="QSB2" s="354"/>
      <c r="QSC2" s="354"/>
      <c r="QSD2" s="354"/>
      <c r="QSE2" s="354"/>
      <c r="QSF2" s="354"/>
      <c r="QSG2" s="354"/>
      <c r="QSH2" s="354"/>
      <c r="QSI2" s="354"/>
      <c r="QSJ2" s="354"/>
      <c r="QSK2" s="354"/>
      <c r="QSL2" s="354"/>
      <c r="QSM2" s="354"/>
      <c r="QSN2" s="354"/>
      <c r="QSO2" s="354"/>
      <c r="QSP2" s="354"/>
      <c r="QSQ2" s="354"/>
      <c r="QSR2" s="354"/>
      <c r="QSS2" s="354"/>
      <c r="QST2" s="354"/>
      <c r="QSU2" s="354"/>
      <c r="QSV2" s="354"/>
      <c r="QSW2" s="354"/>
      <c r="QSX2" s="354"/>
      <c r="QSY2" s="354"/>
      <c r="QSZ2" s="354"/>
      <c r="QTA2" s="354"/>
      <c r="QTB2" s="354"/>
      <c r="QTC2" s="354"/>
      <c r="QTD2" s="354"/>
      <c r="QTE2" s="354"/>
      <c r="QTF2" s="354"/>
      <c r="QTG2" s="354"/>
      <c r="QTH2" s="354"/>
      <c r="QTI2" s="354"/>
      <c r="QTJ2" s="354"/>
      <c r="QTK2" s="354"/>
      <c r="QTL2" s="354"/>
      <c r="QTM2" s="354"/>
      <c r="QTN2" s="354"/>
      <c r="QTO2" s="354"/>
      <c r="QTP2" s="354"/>
      <c r="QTQ2" s="354"/>
      <c r="QTR2" s="354"/>
      <c r="QTS2" s="354"/>
      <c r="QTT2" s="354"/>
      <c r="QTU2" s="354"/>
      <c r="QTV2" s="354"/>
      <c r="QTW2" s="354"/>
      <c r="QTX2" s="354"/>
      <c r="QTY2" s="354"/>
      <c r="QTZ2" s="354"/>
      <c r="QUA2" s="354"/>
      <c r="QUB2" s="354"/>
      <c r="QUC2" s="354"/>
      <c r="QUD2" s="354"/>
      <c r="QUE2" s="354"/>
      <c r="QUF2" s="354"/>
      <c r="QUG2" s="354"/>
      <c r="QUH2" s="354"/>
      <c r="QUI2" s="354"/>
      <c r="QUJ2" s="354"/>
      <c r="QUK2" s="354"/>
      <c r="QUL2" s="354"/>
      <c r="QUM2" s="354"/>
      <c r="QUN2" s="354"/>
      <c r="QUO2" s="354"/>
      <c r="QUP2" s="354"/>
      <c r="QUQ2" s="354"/>
      <c r="QUR2" s="354"/>
      <c r="QUS2" s="354"/>
      <c r="QUT2" s="354"/>
      <c r="QUU2" s="354"/>
      <c r="QUV2" s="354"/>
      <c r="QUW2" s="354"/>
      <c r="QUX2" s="354"/>
      <c r="QUY2" s="354"/>
      <c r="QUZ2" s="354"/>
      <c r="QVA2" s="354"/>
      <c r="QVB2" s="354"/>
      <c r="QVC2" s="354"/>
      <c r="QVD2" s="354"/>
      <c r="QVE2" s="354"/>
      <c r="QVF2" s="354"/>
      <c r="QVG2" s="354"/>
      <c r="QVH2" s="354"/>
      <c r="QVI2" s="354"/>
      <c r="QVJ2" s="354"/>
      <c r="QVK2" s="354"/>
      <c r="QVL2" s="354"/>
      <c r="QVM2" s="354"/>
      <c r="QVN2" s="354"/>
      <c r="QVO2" s="354"/>
      <c r="QVP2" s="354"/>
      <c r="QVQ2" s="354"/>
      <c r="QVR2" s="354"/>
      <c r="QVS2" s="354"/>
      <c r="QVT2" s="354"/>
      <c r="QVU2" s="354"/>
      <c r="QVV2" s="354"/>
      <c r="QVW2" s="354"/>
      <c r="QVX2" s="354"/>
      <c r="QVY2" s="354"/>
      <c r="QVZ2" s="354"/>
      <c r="QWA2" s="354"/>
      <c r="QWB2" s="354"/>
      <c r="QWC2" s="354"/>
      <c r="QWD2" s="354"/>
      <c r="QWE2" s="354"/>
      <c r="QWF2" s="354"/>
      <c r="QWG2" s="354"/>
      <c r="QWH2" s="354"/>
      <c r="QWI2" s="354"/>
      <c r="QWJ2" s="354"/>
      <c r="QWK2" s="354"/>
      <c r="QWL2" s="354"/>
      <c r="QWM2" s="354"/>
      <c r="QWN2" s="354"/>
      <c r="QWO2" s="354"/>
      <c r="QWP2" s="354"/>
      <c r="QWQ2" s="354"/>
      <c r="QWR2" s="354"/>
      <c r="QWS2" s="354"/>
      <c r="QWT2" s="354"/>
      <c r="QWU2" s="354"/>
      <c r="QWV2" s="354"/>
      <c r="QWW2" s="354"/>
      <c r="QWX2" s="354"/>
      <c r="QWY2" s="354"/>
      <c r="QWZ2" s="354"/>
      <c r="QXA2" s="354"/>
      <c r="QXB2" s="354"/>
      <c r="QXC2" s="354"/>
      <c r="QXD2" s="354"/>
      <c r="QXE2" s="354"/>
      <c r="QXF2" s="354"/>
      <c r="QXG2" s="354"/>
      <c r="QXH2" s="354"/>
      <c r="QXI2" s="354"/>
      <c r="QXJ2" s="354"/>
      <c r="QXK2" s="354"/>
      <c r="QXL2" s="354"/>
      <c r="QXM2" s="354"/>
      <c r="QXN2" s="354"/>
      <c r="QXO2" s="354"/>
      <c r="QXP2" s="354"/>
      <c r="QXQ2" s="354"/>
      <c r="QXR2" s="354"/>
      <c r="QXS2" s="354"/>
      <c r="QXT2" s="354"/>
      <c r="QXU2" s="354"/>
      <c r="QXV2" s="354"/>
      <c r="QXW2" s="354"/>
      <c r="QXX2" s="354"/>
      <c r="QXY2" s="354"/>
      <c r="QXZ2" s="354"/>
      <c r="QYA2" s="354"/>
      <c r="QYB2" s="354"/>
      <c r="QYC2" s="354"/>
      <c r="QYD2" s="354"/>
      <c r="QYE2" s="354"/>
      <c r="QYF2" s="354"/>
      <c r="QYG2" s="354"/>
      <c r="QYH2" s="354"/>
      <c r="QYI2" s="354"/>
      <c r="QYJ2" s="354"/>
      <c r="QYK2" s="354"/>
      <c r="QYL2" s="354"/>
      <c r="QYM2" s="354"/>
      <c r="QYN2" s="354"/>
      <c r="QYO2" s="354"/>
      <c r="QYP2" s="354"/>
      <c r="QYQ2" s="354"/>
      <c r="QYR2" s="354"/>
      <c r="QYS2" s="354"/>
      <c r="QYT2" s="354"/>
      <c r="QYU2" s="354"/>
      <c r="QYV2" s="354"/>
      <c r="QYW2" s="354"/>
      <c r="QYX2" s="354"/>
      <c r="QYY2" s="354"/>
      <c r="QYZ2" s="354"/>
      <c r="QZA2" s="354"/>
      <c r="QZB2" s="354"/>
      <c r="QZC2" s="354"/>
      <c r="QZD2" s="354"/>
      <c r="QZE2" s="354"/>
      <c r="QZF2" s="354"/>
      <c r="QZG2" s="354"/>
      <c r="QZH2" s="354"/>
      <c r="QZI2" s="354"/>
      <c r="QZJ2" s="354"/>
      <c r="QZK2" s="354"/>
      <c r="QZL2" s="354"/>
      <c r="QZM2" s="354"/>
      <c r="QZN2" s="354"/>
      <c r="QZO2" s="354"/>
      <c r="QZP2" s="354"/>
      <c r="QZQ2" s="354"/>
      <c r="QZR2" s="354"/>
      <c r="QZS2" s="354"/>
      <c r="QZT2" s="354"/>
      <c r="QZU2" s="354"/>
      <c r="QZV2" s="354"/>
      <c r="QZW2" s="354"/>
      <c r="QZX2" s="354"/>
      <c r="QZY2" s="354"/>
      <c r="QZZ2" s="354"/>
      <c r="RAA2" s="354"/>
      <c r="RAB2" s="354"/>
      <c r="RAC2" s="354"/>
      <c r="RAD2" s="354"/>
      <c r="RAE2" s="354"/>
      <c r="RAF2" s="354"/>
      <c r="RAG2" s="354"/>
      <c r="RAH2" s="354"/>
      <c r="RAI2" s="354"/>
      <c r="RAJ2" s="354"/>
      <c r="RAK2" s="354"/>
      <c r="RAL2" s="354"/>
      <c r="RAM2" s="354"/>
      <c r="RAN2" s="354"/>
      <c r="RAO2" s="354"/>
      <c r="RAP2" s="354"/>
      <c r="RAQ2" s="354"/>
      <c r="RAR2" s="354"/>
      <c r="RAS2" s="354"/>
      <c r="RAT2" s="354"/>
      <c r="RAU2" s="354"/>
      <c r="RAV2" s="354"/>
      <c r="RAW2" s="354"/>
      <c r="RAX2" s="354"/>
      <c r="RAY2" s="354"/>
      <c r="RAZ2" s="354"/>
      <c r="RBA2" s="354"/>
      <c r="RBB2" s="354"/>
      <c r="RBC2" s="354"/>
      <c r="RBD2" s="354"/>
      <c r="RBE2" s="354"/>
      <c r="RBF2" s="354"/>
      <c r="RBG2" s="354"/>
      <c r="RBH2" s="354"/>
      <c r="RBI2" s="354"/>
      <c r="RBJ2" s="354"/>
      <c r="RBK2" s="354"/>
      <c r="RBL2" s="354"/>
      <c r="RBM2" s="354"/>
      <c r="RBN2" s="354"/>
      <c r="RBO2" s="354"/>
      <c r="RBP2" s="354"/>
      <c r="RBQ2" s="354"/>
      <c r="RBR2" s="354"/>
      <c r="RBS2" s="354"/>
      <c r="RBT2" s="354"/>
      <c r="RBU2" s="354"/>
      <c r="RBV2" s="354"/>
      <c r="RBW2" s="354"/>
      <c r="RBX2" s="354"/>
      <c r="RBY2" s="354"/>
      <c r="RBZ2" s="354"/>
      <c r="RCA2" s="354"/>
      <c r="RCB2" s="354"/>
      <c r="RCC2" s="354"/>
      <c r="RCD2" s="354"/>
      <c r="RCE2" s="354"/>
      <c r="RCF2" s="354"/>
      <c r="RCG2" s="354"/>
      <c r="RCH2" s="354"/>
      <c r="RCI2" s="354"/>
      <c r="RCJ2" s="354"/>
      <c r="RCK2" s="354"/>
      <c r="RCL2" s="354"/>
      <c r="RCM2" s="354"/>
      <c r="RCN2" s="354"/>
      <c r="RCO2" s="354"/>
      <c r="RCP2" s="354"/>
      <c r="RCQ2" s="354"/>
      <c r="RCR2" s="354"/>
      <c r="RCS2" s="354"/>
      <c r="RCT2" s="354"/>
      <c r="RCU2" s="354"/>
      <c r="RCV2" s="354"/>
      <c r="RCW2" s="354"/>
      <c r="RCX2" s="354"/>
      <c r="RCY2" s="354"/>
      <c r="RCZ2" s="354"/>
      <c r="RDA2" s="354"/>
      <c r="RDB2" s="354"/>
      <c r="RDC2" s="354"/>
      <c r="RDD2" s="354"/>
      <c r="RDE2" s="354"/>
      <c r="RDF2" s="354"/>
      <c r="RDG2" s="354"/>
      <c r="RDH2" s="354"/>
      <c r="RDI2" s="354"/>
      <c r="RDJ2" s="354"/>
      <c r="RDK2" s="354"/>
      <c r="RDL2" s="354"/>
      <c r="RDM2" s="354"/>
      <c r="RDN2" s="354"/>
      <c r="RDO2" s="354"/>
      <c r="RDP2" s="354"/>
      <c r="RDQ2" s="354"/>
      <c r="RDR2" s="354"/>
      <c r="RDS2" s="354"/>
      <c r="RDT2" s="354"/>
      <c r="RDU2" s="354"/>
      <c r="RDV2" s="354"/>
      <c r="RDW2" s="354"/>
      <c r="RDX2" s="354"/>
      <c r="RDY2" s="354"/>
      <c r="RDZ2" s="354"/>
      <c r="REA2" s="354"/>
      <c r="REB2" s="354"/>
      <c r="REC2" s="354"/>
      <c r="RED2" s="354"/>
      <c r="REE2" s="354"/>
      <c r="REF2" s="354"/>
      <c r="REG2" s="354"/>
      <c r="REH2" s="354"/>
      <c r="REI2" s="354"/>
      <c r="REJ2" s="354"/>
      <c r="REK2" s="354"/>
      <c r="REL2" s="354"/>
      <c r="REM2" s="354"/>
      <c r="REN2" s="354"/>
      <c r="REO2" s="354"/>
      <c r="REP2" s="354"/>
      <c r="REQ2" s="354"/>
      <c r="RER2" s="354"/>
      <c r="RES2" s="354"/>
      <c r="RET2" s="354"/>
      <c r="REU2" s="354"/>
      <c r="REV2" s="354"/>
      <c r="REW2" s="354"/>
      <c r="REX2" s="354"/>
      <c r="REY2" s="354"/>
      <c r="REZ2" s="354"/>
      <c r="RFA2" s="354"/>
      <c r="RFB2" s="354"/>
      <c r="RFC2" s="354"/>
      <c r="RFD2" s="354"/>
      <c r="RFE2" s="354"/>
      <c r="RFF2" s="354"/>
      <c r="RFG2" s="354"/>
      <c r="RFH2" s="354"/>
      <c r="RFI2" s="354"/>
      <c r="RFJ2" s="354"/>
      <c r="RFK2" s="354"/>
      <c r="RFL2" s="354"/>
      <c r="RFM2" s="354"/>
      <c r="RFN2" s="354"/>
      <c r="RFO2" s="354"/>
      <c r="RFP2" s="354"/>
      <c r="RFQ2" s="354"/>
      <c r="RFR2" s="354"/>
      <c r="RFS2" s="354"/>
      <c r="RFT2" s="354"/>
      <c r="RFU2" s="354"/>
      <c r="RFV2" s="354"/>
      <c r="RFW2" s="354"/>
      <c r="RFX2" s="354"/>
      <c r="RFY2" s="354"/>
      <c r="RFZ2" s="354"/>
      <c r="RGA2" s="354"/>
      <c r="RGB2" s="354"/>
      <c r="RGC2" s="354"/>
      <c r="RGD2" s="354"/>
      <c r="RGE2" s="354"/>
      <c r="RGF2" s="354"/>
      <c r="RGG2" s="354"/>
      <c r="RGH2" s="354"/>
      <c r="RGI2" s="354"/>
      <c r="RGJ2" s="354"/>
      <c r="RGK2" s="354"/>
      <c r="RGL2" s="354"/>
      <c r="RGM2" s="354"/>
      <c r="RGN2" s="354"/>
      <c r="RGO2" s="354"/>
      <c r="RGP2" s="354"/>
      <c r="RGQ2" s="354"/>
      <c r="RGR2" s="354"/>
      <c r="RGS2" s="354"/>
      <c r="RGT2" s="354"/>
      <c r="RGU2" s="354"/>
      <c r="RGV2" s="354"/>
      <c r="RGW2" s="354"/>
      <c r="RGX2" s="354"/>
      <c r="RGY2" s="354"/>
      <c r="RGZ2" s="354"/>
      <c r="RHA2" s="354"/>
      <c r="RHB2" s="354"/>
      <c r="RHC2" s="354"/>
      <c r="RHD2" s="354"/>
      <c r="RHE2" s="354"/>
      <c r="RHF2" s="354"/>
      <c r="RHG2" s="354"/>
      <c r="RHH2" s="354"/>
      <c r="RHI2" s="354"/>
      <c r="RHJ2" s="354"/>
      <c r="RHK2" s="354"/>
      <c r="RHL2" s="354"/>
      <c r="RHM2" s="354"/>
      <c r="RHN2" s="354"/>
      <c r="RHO2" s="354"/>
      <c r="RHP2" s="354"/>
      <c r="RHQ2" s="354"/>
      <c r="RHR2" s="354"/>
      <c r="RHS2" s="354"/>
      <c r="RHT2" s="354"/>
      <c r="RHU2" s="354"/>
      <c r="RHV2" s="354"/>
      <c r="RHW2" s="354"/>
      <c r="RHX2" s="354"/>
      <c r="RHY2" s="354"/>
      <c r="RHZ2" s="354"/>
      <c r="RIA2" s="354"/>
      <c r="RIB2" s="354"/>
      <c r="RIC2" s="354"/>
      <c r="RID2" s="354"/>
      <c r="RIE2" s="354"/>
      <c r="RIF2" s="354"/>
      <c r="RIG2" s="354"/>
      <c r="RIH2" s="354"/>
      <c r="RII2" s="354"/>
      <c r="RIJ2" s="354"/>
      <c r="RIK2" s="354"/>
      <c r="RIL2" s="354"/>
      <c r="RIM2" s="354"/>
      <c r="RIN2" s="354"/>
      <c r="RIO2" s="354"/>
      <c r="RIP2" s="354"/>
      <c r="RIQ2" s="354"/>
      <c r="RIR2" s="354"/>
      <c r="RIS2" s="354"/>
      <c r="RIT2" s="354"/>
      <c r="RIU2" s="354"/>
      <c r="RIV2" s="354"/>
      <c r="RIW2" s="354"/>
      <c r="RIX2" s="354"/>
      <c r="RIY2" s="354"/>
      <c r="RIZ2" s="354"/>
      <c r="RJA2" s="354"/>
      <c r="RJB2" s="354"/>
      <c r="RJC2" s="354"/>
      <c r="RJD2" s="354"/>
      <c r="RJE2" s="354"/>
      <c r="RJF2" s="354"/>
      <c r="RJG2" s="354"/>
      <c r="RJH2" s="354"/>
      <c r="RJI2" s="354"/>
      <c r="RJJ2" s="354"/>
      <c r="RJK2" s="354"/>
      <c r="RJL2" s="354"/>
      <c r="RJM2" s="354"/>
      <c r="RJN2" s="354"/>
      <c r="RJO2" s="354"/>
      <c r="RJP2" s="354"/>
      <c r="RJQ2" s="354"/>
      <c r="RJR2" s="354"/>
      <c r="RJS2" s="354"/>
      <c r="RJT2" s="354"/>
      <c r="RJU2" s="354"/>
      <c r="RJV2" s="354"/>
      <c r="RJW2" s="354"/>
      <c r="RJX2" s="354"/>
      <c r="RJY2" s="354"/>
      <c r="RJZ2" s="354"/>
      <c r="RKA2" s="354"/>
      <c r="RKB2" s="354"/>
      <c r="RKC2" s="354"/>
      <c r="RKD2" s="354"/>
      <c r="RKE2" s="354"/>
      <c r="RKF2" s="354"/>
      <c r="RKG2" s="354"/>
      <c r="RKH2" s="354"/>
      <c r="RKI2" s="354"/>
      <c r="RKJ2" s="354"/>
      <c r="RKK2" s="354"/>
      <c r="RKL2" s="354"/>
      <c r="RKM2" s="354"/>
      <c r="RKN2" s="354"/>
      <c r="RKO2" s="354"/>
      <c r="RKP2" s="354"/>
      <c r="RKQ2" s="354"/>
      <c r="RKR2" s="354"/>
      <c r="RKS2" s="354"/>
      <c r="RKT2" s="354"/>
      <c r="RKU2" s="354"/>
      <c r="RKV2" s="354"/>
      <c r="RKW2" s="354"/>
      <c r="RKX2" s="354"/>
      <c r="RKY2" s="354"/>
      <c r="RKZ2" s="354"/>
      <c r="RLA2" s="354"/>
      <c r="RLB2" s="354"/>
      <c r="RLC2" s="354"/>
      <c r="RLD2" s="354"/>
      <c r="RLE2" s="354"/>
      <c r="RLF2" s="354"/>
      <c r="RLG2" s="354"/>
      <c r="RLH2" s="354"/>
      <c r="RLI2" s="354"/>
      <c r="RLJ2" s="354"/>
      <c r="RLK2" s="354"/>
      <c r="RLL2" s="354"/>
      <c r="RLM2" s="354"/>
      <c r="RLN2" s="354"/>
      <c r="RLO2" s="354"/>
      <c r="RLP2" s="354"/>
      <c r="RLQ2" s="354"/>
      <c r="RLR2" s="354"/>
      <c r="RLS2" s="354"/>
      <c r="RLT2" s="354"/>
      <c r="RLU2" s="354"/>
      <c r="RLV2" s="354"/>
      <c r="RLW2" s="354"/>
      <c r="RLX2" s="354"/>
      <c r="RLY2" s="354"/>
      <c r="RLZ2" s="354"/>
      <c r="RMA2" s="354"/>
      <c r="RMB2" s="354"/>
      <c r="RMC2" s="354"/>
      <c r="RMD2" s="354"/>
      <c r="RME2" s="354"/>
      <c r="RMF2" s="354"/>
      <c r="RMG2" s="354"/>
      <c r="RMH2" s="354"/>
      <c r="RMI2" s="354"/>
      <c r="RMJ2" s="354"/>
      <c r="RMK2" s="354"/>
      <c r="RML2" s="354"/>
      <c r="RMM2" s="354"/>
      <c r="RMN2" s="354"/>
      <c r="RMO2" s="354"/>
      <c r="RMP2" s="354"/>
      <c r="RMQ2" s="354"/>
      <c r="RMR2" s="354"/>
      <c r="RMS2" s="354"/>
      <c r="RMT2" s="354"/>
      <c r="RMU2" s="354"/>
      <c r="RMV2" s="354"/>
      <c r="RMW2" s="354"/>
      <c r="RMX2" s="354"/>
      <c r="RMY2" s="354"/>
      <c r="RMZ2" s="354"/>
      <c r="RNA2" s="354"/>
      <c r="RNB2" s="354"/>
      <c r="RNC2" s="354"/>
      <c r="RND2" s="354"/>
      <c r="RNE2" s="354"/>
      <c r="RNF2" s="354"/>
      <c r="RNG2" s="354"/>
      <c r="RNH2" s="354"/>
      <c r="RNI2" s="354"/>
      <c r="RNJ2" s="354"/>
      <c r="RNK2" s="354"/>
      <c r="RNL2" s="354"/>
      <c r="RNM2" s="354"/>
      <c r="RNN2" s="354"/>
      <c r="RNO2" s="354"/>
      <c r="RNP2" s="354"/>
      <c r="RNQ2" s="354"/>
      <c r="RNR2" s="354"/>
      <c r="RNS2" s="354"/>
      <c r="RNT2" s="354"/>
      <c r="RNU2" s="354"/>
      <c r="RNV2" s="354"/>
      <c r="RNW2" s="354"/>
      <c r="RNX2" s="354"/>
      <c r="RNY2" s="354"/>
      <c r="RNZ2" s="354"/>
      <c r="ROA2" s="354"/>
      <c r="ROB2" s="354"/>
      <c r="ROC2" s="354"/>
      <c r="ROD2" s="354"/>
      <c r="ROE2" s="354"/>
      <c r="ROF2" s="354"/>
      <c r="ROG2" s="354"/>
      <c r="ROH2" s="354"/>
      <c r="ROI2" s="354"/>
      <c r="ROJ2" s="354"/>
      <c r="ROK2" s="354"/>
      <c r="ROL2" s="354"/>
      <c r="ROM2" s="354"/>
      <c r="RON2" s="354"/>
      <c r="ROO2" s="354"/>
      <c r="ROP2" s="354"/>
      <c r="ROQ2" s="354"/>
      <c r="ROR2" s="354"/>
      <c r="ROS2" s="354"/>
      <c r="ROT2" s="354"/>
      <c r="ROU2" s="354"/>
      <c r="ROV2" s="354"/>
      <c r="ROW2" s="354"/>
      <c r="ROX2" s="354"/>
      <c r="ROY2" s="354"/>
      <c r="ROZ2" s="354"/>
      <c r="RPA2" s="354"/>
      <c r="RPB2" s="354"/>
      <c r="RPC2" s="354"/>
      <c r="RPD2" s="354"/>
      <c r="RPE2" s="354"/>
      <c r="RPF2" s="354"/>
      <c r="RPG2" s="354"/>
      <c r="RPH2" s="354"/>
      <c r="RPI2" s="354"/>
      <c r="RPJ2" s="354"/>
      <c r="RPK2" s="354"/>
      <c r="RPL2" s="354"/>
      <c r="RPM2" s="354"/>
      <c r="RPN2" s="354"/>
      <c r="RPO2" s="354"/>
      <c r="RPP2" s="354"/>
      <c r="RPQ2" s="354"/>
      <c r="RPR2" s="354"/>
      <c r="RPS2" s="354"/>
      <c r="RPT2" s="354"/>
      <c r="RPU2" s="354"/>
      <c r="RPV2" s="354"/>
      <c r="RPW2" s="354"/>
      <c r="RPX2" s="354"/>
      <c r="RPY2" s="354"/>
      <c r="RPZ2" s="354"/>
      <c r="RQA2" s="354"/>
      <c r="RQB2" s="354"/>
      <c r="RQC2" s="354"/>
      <c r="RQD2" s="354"/>
      <c r="RQE2" s="354"/>
      <c r="RQF2" s="354"/>
      <c r="RQG2" s="354"/>
      <c r="RQH2" s="354"/>
      <c r="RQI2" s="354"/>
      <c r="RQJ2" s="354"/>
      <c r="RQK2" s="354"/>
      <c r="RQL2" s="354"/>
      <c r="RQM2" s="354"/>
      <c r="RQN2" s="354"/>
      <c r="RQO2" s="354"/>
      <c r="RQP2" s="354"/>
      <c r="RQQ2" s="354"/>
      <c r="RQR2" s="354"/>
      <c r="RQS2" s="354"/>
      <c r="RQT2" s="354"/>
      <c r="RQU2" s="354"/>
      <c r="RQV2" s="354"/>
      <c r="RQW2" s="354"/>
      <c r="RQX2" s="354"/>
      <c r="RQY2" s="354"/>
      <c r="RQZ2" s="354"/>
      <c r="RRA2" s="354"/>
      <c r="RRB2" s="354"/>
      <c r="RRC2" s="354"/>
      <c r="RRD2" s="354"/>
      <c r="RRE2" s="354"/>
      <c r="RRF2" s="354"/>
      <c r="RRG2" s="354"/>
      <c r="RRH2" s="354"/>
      <c r="RRI2" s="354"/>
      <c r="RRJ2" s="354"/>
      <c r="RRK2" s="354"/>
      <c r="RRL2" s="354"/>
      <c r="RRM2" s="354"/>
      <c r="RRN2" s="354"/>
      <c r="RRO2" s="354"/>
      <c r="RRP2" s="354"/>
      <c r="RRQ2" s="354"/>
      <c r="RRR2" s="354"/>
      <c r="RRS2" s="354"/>
      <c r="RRT2" s="354"/>
      <c r="RRU2" s="354"/>
      <c r="RRV2" s="354"/>
      <c r="RRW2" s="354"/>
      <c r="RRX2" s="354"/>
      <c r="RRY2" s="354"/>
      <c r="RRZ2" s="354"/>
      <c r="RSA2" s="354"/>
      <c r="RSB2" s="354"/>
      <c r="RSC2" s="354"/>
      <c r="RSD2" s="354"/>
      <c r="RSE2" s="354"/>
      <c r="RSF2" s="354"/>
      <c r="RSG2" s="354"/>
      <c r="RSH2" s="354"/>
      <c r="RSI2" s="354"/>
      <c r="RSJ2" s="354"/>
      <c r="RSK2" s="354"/>
      <c r="RSL2" s="354"/>
      <c r="RSM2" s="354"/>
      <c r="RSN2" s="354"/>
      <c r="RSO2" s="354"/>
      <c r="RSP2" s="354"/>
      <c r="RSQ2" s="354"/>
      <c r="RSR2" s="354"/>
      <c r="RSS2" s="354"/>
      <c r="RST2" s="354"/>
      <c r="RSU2" s="354"/>
      <c r="RSV2" s="354"/>
      <c r="RSW2" s="354"/>
      <c r="RSX2" s="354"/>
      <c r="RSY2" s="354"/>
      <c r="RSZ2" s="354"/>
      <c r="RTA2" s="354"/>
      <c r="RTB2" s="354"/>
      <c r="RTC2" s="354"/>
      <c r="RTD2" s="354"/>
      <c r="RTE2" s="354"/>
      <c r="RTF2" s="354"/>
      <c r="RTG2" s="354"/>
      <c r="RTH2" s="354"/>
      <c r="RTI2" s="354"/>
      <c r="RTJ2" s="354"/>
      <c r="RTK2" s="354"/>
      <c r="RTL2" s="354"/>
      <c r="RTM2" s="354"/>
      <c r="RTN2" s="354"/>
      <c r="RTO2" s="354"/>
      <c r="RTP2" s="354"/>
      <c r="RTQ2" s="354"/>
      <c r="RTR2" s="354"/>
      <c r="RTS2" s="354"/>
      <c r="RTT2" s="354"/>
      <c r="RTU2" s="354"/>
      <c r="RTV2" s="354"/>
      <c r="RTW2" s="354"/>
      <c r="RTX2" s="354"/>
      <c r="RTY2" s="354"/>
      <c r="RTZ2" s="354"/>
      <c r="RUA2" s="354"/>
      <c r="RUB2" s="354"/>
      <c r="RUC2" s="354"/>
      <c r="RUD2" s="354"/>
      <c r="RUE2" s="354"/>
      <c r="RUF2" s="354"/>
      <c r="RUG2" s="354"/>
      <c r="RUH2" s="354"/>
      <c r="RUI2" s="354"/>
      <c r="RUJ2" s="354"/>
      <c r="RUK2" s="354"/>
      <c r="RUL2" s="354"/>
      <c r="RUM2" s="354"/>
      <c r="RUN2" s="354"/>
      <c r="RUO2" s="354"/>
      <c r="RUP2" s="354"/>
      <c r="RUQ2" s="354"/>
      <c r="RUR2" s="354"/>
      <c r="RUS2" s="354"/>
      <c r="RUT2" s="354"/>
      <c r="RUU2" s="354"/>
      <c r="RUV2" s="354"/>
      <c r="RUW2" s="354"/>
      <c r="RUX2" s="354"/>
      <c r="RUY2" s="354"/>
      <c r="RUZ2" s="354"/>
      <c r="RVA2" s="354"/>
      <c r="RVB2" s="354"/>
      <c r="RVC2" s="354"/>
      <c r="RVD2" s="354"/>
      <c r="RVE2" s="354"/>
      <c r="RVF2" s="354"/>
      <c r="RVG2" s="354"/>
      <c r="RVH2" s="354"/>
      <c r="RVI2" s="354"/>
      <c r="RVJ2" s="354"/>
      <c r="RVK2" s="354"/>
      <c r="RVL2" s="354"/>
      <c r="RVM2" s="354"/>
      <c r="RVN2" s="354"/>
      <c r="RVO2" s="354"/>
      <c r="RVP2" s="354"/>
      <c r="RVQ2" s="354"/>
      <c r="RVR2" s="354"/>
      <c r="RVS2" s="354"/>
      <c r="RVT2" s="354"/>
      <c r="RVU2" s="354"/>
      <c r="RVV2" s="354"/>
      <c r="RVW2" s="354"/>
      <c r="RVX2" s="354"/>
      <c r="RVY2" s="354"/>
      <c r="RVZ2" s="354"/>
      <c r="RWA2" s="354"/>
      <c r="RWB2" s="354"/>
      <c r="RWC2" s="354"/>
      <c r="RWD2" s="354"/>
      <c r="RWE2" s="354"/>
      <c r="RWF2" s="354"/>
      <c r="RWG2" s="354"/>
      <c r="RWH2" s="354"/>
      <c r="RWI2" s="354"/>
      <c r="RWJ2" s="354"/>
      <c r="RWK2" s="354"/>
      <c r="RWL2" s="354"/>
      <c r="RWM2" s="354"/>
      <c r="RWN2" s="354"/>
      <c r="RWO2" s="354"/>
      <c r="RWP2" s="354"/>
      <c r="RWQ2" s="354"/>
      <c r="RWR2" s="354"/>
      <c r="RWS2" s="354"/>
      <c r="RWT2" s="354"/>
      <c r="RWU2" s="354"/>
      <c r="RWV2" s="354"/>
      <c r="RWW2" s="354"/>
      <c r="RWX2" s="354"/>
      <c r="RWY2" s="354"/>
      <c r="RWZ2" s="354"/>
      <c r="RXA2" s="354"/>
      <c r="RXB2" s="354"/>
      <c r="RXC2" s="354"/>
      <c r="RXD2" s="354"/>
      <c r="RXE2" s="354"/>
      <c r="RXF2" s="354"/>
      <c r="RXG2" s="354"/>
      <c r="RXH2" s="354"/>
      <c r="RXI2" s="354"/>
      <c r="RXJ2" s="354"/>
      <c r="RXK2" s="354"/>
      <c r="RXL2" s="354"/>
      <c r="RXM2" s="354"/>
      <c r="RXN2" s="354"/>
      <c r="RXO2" s="354"/>
      <c r="RXP2" s="354"/>
      <c r="RXQ2" s="354"/>
      <c r="RXR2" s="354"/>
      <c r="RXS2" s="354"/>
      <c r="RXT2" s="354"/>
      <c r="RXU2" s="354"/>
      <c r="RXV2" s="354"/>
      <c r="RXW2" s="354"/>
      <c r="RXX2" s="354"/>
      <c r="RXY2" s="354"/>
      <c r="RXZ2" s="354"/>
      <c r="RYA2" s="354"/>
      <c r="RYB2" s="354"/>
      <c r="RYC2" s="354"/>
      <c r="RYD2" s="354"/>
      <c r="RYE2" s="354"/>
      <c r="RYF2" s="354"/>
      <c r="RYG2" s="354"/>
      <c r="RYH2" s="354"/>
      <c r="RYI2" s="354"/>
      <c r="RYJ2" s="354"/>
      <c r="RYK2" s="354"/>
      <c r="RYL2" s="354"/>
      <c r="RYM2" s="354"/>
      <c r="RYN2" s="354"/>
      <c r="RYO2" s="354"/>
      <c r="RYP2" s="354"/>
      <c r="RYQ2" s="354"/>
      <c r="RYR2" s="354"/>
      <c r="RYS2" s="354"/>
      <c r="RYT2" s="354"/>
      <c r="RYU2" s="354"/>
      <c r="RYV2" s="354"/>
      <c r="RYW2" s="354"/>
      <c r="RYX2" s="354"/>
      <c r="RYY2" s="354"/>
      <c r="RYZ2" s="354"/>
      <c r="RZA2" s="354"/>
      <c r="RZB2" s="354"/>
      <c r="RZC2" s="354"/>
      <c r="RZD2" s="354"/>
      <c r="RZE2" s="354"/>
      <c r="RZF2" s="354"/>
      <c r="RZG2" s="354"/>
      <c r="RZH2" s="354"/>
      <c r="RZI2" s="354"/>
      <c r="RZJ2" s="354"/>
      <c r="RZK2" s="354"/>
      <c r="RZL2" s="354"/>
      <c r="RZM2" s="354"/>
      <c r="RZN2" s="354"/>
      <c r="RZO2" s="354"/>
      <c r="RZP2" s="354"/>
      <c r="RZQ2" s="354"/>
      <c r="RZR2" s="354"/>
      <c r="RZS2" s="354"/>
      <c r="RZT2" s="354"/>
      <c r="RZU2" s="354"/>
      <c r="RZV2" s="354"/>
      <c r="RZW2" s="354"/>
      <c r="RZX2" s="354"/>
      <c r="RZY2" s="354"/>
      <c r="RZZ2" s="354"/>
      <c r="SAA2" s="354"/>
      <c r="SAB2" s="354"/>
      <c r="SAC2" s="354"/>
      <c r="SAD2" s="354"/>
      <c r="SAE2" s="354"/>
      <c r="SAF2" s="354"/>
      <c r="SAG2" s="354"/>
      <c r="SAH2" s="354"/>
      <c r="SAI2" s="354"/>
      <c r="SAJ2" s="354"/>
      <c r="SAK2" s="354"/>
      <c r="SAL2" s="354"/>
      <c r="SAM2" s="354"/>
      <c r="SAN2" s="354"/>
      <c r="SAO2" s="354"/>
      <c r="SAP2" s="354"/>
      <c r="SAQ2" s="354"/>
      <c r="SAR2" s="354"/>
      <c r="SAS2" s="354"/>
      <c r="SAT2" s="354"/>
      <c r="SAU2" s="354"/>
      <c r="SAV2" s="354"/>
      <c r="SAW2" s="354"/>
      <c r="SAX2" s="354"/>
      <c r="SAY2" s="354"/>
      <c r="SAZ2" s="354"/>
      <c r="SBA2" s="354"/>
      <c r="SBB2" s="354"/>
      <c r="SBC2" s="354"/>
      <c r="SBD2" s="354"/>
      <c r="SBE2" s="354"/>
      <c r="SBF2" s="354"/>
      <c r="SBG2" s="354"/>
      <c r="SBH2" s="354"/>
      <c r="SBI2" s="354"/>
      <c r="SBJ2" s="354"/>
      <c r="SBK2" s="354"/>
      <c r="SBL2" s="354"/>
      <c r="SBM2" s="354"/>
      <c r="SBN2" s="354"/>
      <c r="SBO2" s="354"/>
      <c r="SBP2" s="354"/>
      <c r="SBQ2" s="354"/>
      <c r="SBR2" s="354"/>
      <c r="SBS2" s="354"/>
      <c r="SBT2" s="354"/>
      <c r="SBU2" s="354"/>
      <c r="SBV2" s="354"/>
      <c r="SBW2" s="354"/>
      <c r="SBX2" s="354"/>
      <c r="SBY2" s="354"/>
      <c r="SBZ2" s="354"/>
      <c r="SCA2" s="354"/>
      <c r="SCB2" s="354"/>
      <c r="SCC2" s="354"/>
      <c r="SCD2" s="354"/>
      <c r="SCE2" s="354"/>
      <c r="SCF2" s="354"/>
      <c r="SCG2" s="354"/>
      <c r="SCH2" s="354"/>
      <c r="SCI2" s="354"/>
      <c r="SCJ2" s="354"/>
      <c r="SCK2" s="354"/>
      <c r="SCL2" s="354"/>
      <c r="SCM2" s="354"/>
      <c r="SCN2" s="354"/>
      <c r="SCO2" s="354"/>
      <c r="SCP2" s="354"/>
      <c r="SCQ2" s="354"/>
      <c r="SCR2" s="354"/>
      <c r="SCS2" s="354"/>
      <c r="SCT2" s="354"/>
      <c r="SCU2" s="354"/>
      <c r="SCV2" s="354"/>
      <c r="SCW2" s="354"/>
      <c r="SCX2" s="354"/>
      <c r="SCY2" s="354"/>
      <c r="SCZ2" s="354"/>
      <c r="SDA2" s="354"/>
      <c r="SDB2" s="354"/>
      <c r="SDC2" s="354"/>
      <c r="SDD2" s="354"/>
      <c r="SDE2" s="354"/>
      <c r="SDF2" s="354"/>
      <c r="SDG2" s="354"/>
      <c r="SDH2" s="354"/>
      <c r="SDI2" s="354"/>
      <c r="SDJ2" s="354"/>
      <c r="SDK2" s="354"/>
      <c r="SDL2" s="354"/>
      <c r="SDM2" s="354"/>
      <c r="SDN2" s="354"/>
      <c r="SDO2" s="354"/>
      <c r="SDP2" s="354"/>
      <c r="SDQ2" s="354"/>
      <c r="SDR2" s="354"/>
      <c r="SDS2" s="354"/>
      <c r="SDT2" s="354"/>
      <c r="SDU2" s="354"/>
      <c r="SDV2" s="354"/>
      <c r="SDW2" s="354"/>
      <c r="SDX2" s="354"/>
      <c r="SDY2" s="354"/>
      <c r="SDZ2" s="354"/>
      <c r="SEA2" s="354"/>
      <c r="SEB2" s="354"/>
      <c r="SEC2" s="354"/>
      <c r="SED2" s="354"/>
      <c r="SEE2" s="354"/>
      <c r="SEF2" s="354"/>
      <c r="SEG2" s="354"/>
      <c r="SEH2" s="354"/>
      <c r="SEI2" s="354"/>
      <c r="SEJ2" s="354"/>
      <c r="SEK2" s="354"/>
      <c r="SEL2" s="354"/>
      <c r="SEM2" s="354"/>
      <c r="SEN2" s="354"/>
      <c r="SEO2" s="354"/>
      <c r="SEP2" s="354"/>
      <c r="SEQ2" s="354"/>
      <c r="SER2" s="354"/>
      <c r="SES2" s="354"/>
      <c r="SET2" s="354"/>
      <c r="SEU2" s="354"/>
      <c r="SEV2" s="354"/>
      <c r="SEW2" s="354"/>
      <c r="SEX2" s="354"/>
      <c r="SEY2" s="354"/>
      <c r="SEZ2" s="354"/>
      <c r="SFA2" s="354"/>
      <c r="SFB2" s="354"/>
      <c r="SFC2" s="354"/>
      <c r="SFD2" s="354"/>
      <c r="SFE2" s="354"/>
      <c r="SFF2" s="354"/>
      <c r="SFG2" s="354"/>
      <c r="SFH2" s="354"/>
      <c r="SFI2" s="354"/>
      <c r="SFJ2" s="354"/>
      <c r="SFK2" s="354"/>
      <c r="SFL2" s="354"/>
      <c r="SFM2" s="354"/>
      <c r="SFN2" s="354"/>
      <c r="SFO2" s="354"/>
      <c r="SFP2" s="354"/>
      <c r="SFQ2" s="354"/>
      <c r="SFR2" s="354"/>
      <c r="SFS2" s="354"/>
      <c r="SFT2" s="354"/>
      <c r="SFU2" s="354"/>
      <c r="SFV2" s="354"/>
      <c r="SFW2" s="354"/>
      <c r="SFX2" s="354"/>
      <c r="SFY2" s="354"/>
      <c r="SFZ2" s="354"/>
      <c r="SGA2" s="354"/>
      <c r="SGB2" s="354"/>
      <c r="SGC2" s="354"/>
      <c r="SGD2" s="354"/>
      <c r="SGE2" s="354"/>
      <c r="SGF2" s="354"/>
      <c r="SGG2" s="354"/>
      <c r="SGH2" s="354"/>
      <c r="SGI2" s="354"/>
      <c r="SGJ2" s="354"/>
      <c r="SGK2" s="354"/>
      <c r="SGL2" s="354"/>
      <c r="SGM2" s="354"/>
      <c r="SGN2" s="354"/>
      <c r="SGO2" s="354"/>
      <c r="SGP2" s="354"/>
      <c r="SGQ2" s="354"/>
      <c r="SGR2" s="354"/>
      <c r="SGS2" s="354"/>
      <c r="SGT2" s="354"/>
      <c r="SGU2" s="354"/>
      <c r="SGV2" s="354"/>
      <c r="SGW2" s="354"/>
      <c r="SGX2" s="354"/>
      <c r="SGY2" s="354"/>
      <c r="SGZ2" s="354"/>
      <c r="SHA2" s="354"/>
      <c r="SHB2" s="354"/>
      <c r="SHC2" s="354"/>
      <c r="SHD2" s="354"/>
      <c r="SHE2" s="354"/>
      <c r="SHF2" s="354"/>
      <c r="SHG2" s="354"/>
      <c r="SHH2" s="354"/>
      <c r="SHI2" s="354"/>
      <c r="SHJ2" s="354"/>
      <c r="SHK2" s="354"/>
      <c r="SHL2" s="354"/>
      <c r="SHM2" s="354"/>
      <c r="SHN2" s="354"/>
      <c r="SHO2" s="354"/>
      <c r="SHP2" s="354"/>
      <c r="SHQ2" s="354"/>
      <c r="SHR2" s="354"/>
      <c r="SHS2" s="354"/>
      <c r="SHT2" s="354"/>
      <c r="SHU2" s="354"/>
      <c r="SHV2" s="354"/>
      <c r="SHW2" s="354"/>
      <c r="SHX2" s="354"/>
      <c r="SHY2" s="354"/>
      <c r="SHZ2" s="354"/>
      <c r="SIA2" s="354"/>
      <c r="SIB2" s="354"/>
      <c r="SIC2" s="354"/>
      <c r="SID2" s="354"/>
      <c r="SIE2" s="354"/>
      <c r="SIF2" s="354"/>
      <c r="SIG2" s="354"/>
      <c r="SIH2" s="354"/>
      <c r="SII2" s="354"/>
      <c r="SIJ2" s="354"/>
      <c r="SIK2" s="354"/>
      <c r="SIL2" s="354"/>
      <c r="SIM2" s="354"/>
      <c r="SIN2" s="354"/>
      <c r="SIO2" s="354"/>
      <c r="SIP2" s="354"/>
      <c r="SIQ2" s="354"/>
      <c r="SIR2" s="354"/>
      <c r="SIS2" s="354"/>
      <c r="SIT2" s="354"/>
      <c r="SIU2" s="354"/>
      <c r="SIV2" s="354"/>
      <c r="SIW2" s="354"/>
      <c r="SIX2" s="354"/>
      <c r="SIY2" s="354"/>
      <c r="SIZ2" s="354"/>
      <c r="SJA2" s="354"/>
      <c r="SJB2" s="354"/>
      <c r="SJC2" s="354"/>
      <c r="SJD2" s="354"/>
      <c r="SJE2" s="354"/>
      <c r="SJF2" s="354"/>
      <c r="SJG2" s="354"/>
      <c r="SJH2" s="354"/>
      <c r="SJI2" s="354"/>
      <c r="SJJ2" s="354"/>
      <c r="SJK2" s="354"/>
      <c r="SJL2" s="354"/>
      <c r="SJM2" s="354"/>
      <c r="SJN2" s="354"/>
      <c r="SJO2" s="354"/>
      <c r="SJP2" s="354"/>
      <c r="SJQ2" s="354"/>
      <c r="SJR2" s="354"/>
      <c r="SJS2" s="354"/>
      <c r="SJT2" s="354"/>
      <c r="SJU2" s="354"/>
      <c r="SJV2" s="354"/>
      <c r="SJW2" s="354"/>
      <c r="SJX2" s="354"/>
      <c r="SJY2" s="354"/>
      <c r="SJZ2" s="354"/>
      <c r="SKA2" s="354"/>
      <c r="SKB2" s="354"/>
      <c r="SKC2" s="354"/>
      <c r="SKD2" s="354"/>
      <c r="SKE2" s="354"/>
      <c r="SKF2" s="354"/>
      <c r="SKG2" s="354"/>
      <c r="SKH2" s="354"/>
      <c r="SKI2" s="354"/>
      <c r="SKJ2" s="354"/>
      <c r="SKK2" s="354"/>
      <c r="SKL2" s="354"/>
      <c r="SKM2" s="354"/>
      <c r="SKN2" s="354"/>
      <c r="SKO2" s="354"/>
      <c r="SKP2" s="354"/>
      <c r="SKQ2" s="354"/>
      <c r="SKR2" s="354"/>
      <c r="SKS2" s="354"/>
      <c r="SKT2" s="354"/>
      <c r="SKU2" s="354"/>
      <c r="SKV2" s="354"/>
      <c r="SKW2" s="354"/>
      <c r="SKX2" s="354"/>
      <c r="SKY2" s="354"/>
      <c r="SKZ2" s="354"/>
      <c r="SLA2" s="354"/>
      <c r="SLB2" s="354"/>
      <c r="SLC2" s="354"/>
      <c r="SLD2" s="354"/>
      <c r="SLE2" s="354"/>
      <c r="SLF2" s="354"/>
      <c r="SLG2" s="354"/>
      <c r="SLH2" s="354"/>
      <c r="SLI2" s="354"/>
      <c r="SLJ2" s="354"/>
      <c r="SLK2" s="354"/>
      <c r="SLL2" s="354"/>
      <c r="SLM2" s="354"/>
      <c r="SLN2" s="354"/>
      <c r="SLO2" s="354"/>
      <c r="SLP2" s="354"/>
      <c r="SLQ2" s="354"/>
      <c r="SLR2" s="354"/>
      <c r="SLS2" s="354"/>
      <c r="SLT2" s="354"/>
      <c r="SLU2" s="354"/>
      <c r="SLV2" s="354"/>
      <c r="SLW2" s="354"/>
      <c r="SLX2" s="354"/>
      <c r="SLY2" s="354"/>
      <c r="SLZ2" s="354"/>
      <c r="SMA2" s="354"/>
      <c r="SMB2" s="354"/>
      <c r="SMC2" s="354"/>
      <c r="SMD2" s="354"/>
      <c r="SME2" s="354"/>
      <c r="SMF2" s="354"/>
      <c r="SMG2" s="354"/>
      <c r="SMH2" s="354"/>
      <c r="SMI2" s="354"/>
      <c r="SMJ2" s="354"/>
      <c r="SMK2" s="354"/>
      <c r="SML2" s="354"/>
      <c r="SMM2" s="354"/>
      <c r="SMN2" s="354"/>
      <c r="SMO2" s="354"/>
      <c r="SMP2" s="354"/>
      <c r="SMQ2" s="354"/>
      <c r="SMR2" s="354"/>
      <c r="SMS2" s="354"/>
      <c r="SMT2" s="354"/>
      <c r="SMU2" s="354"/>
      <c r="SMV2" s="354"/>
      <c r="SMW2" s="354"/>
      <c r="SMX2" s="354"/>
      <c r="SMY2" s="354"/>
      <c r="SMZ2" s="354"/>
      <c r="SNA2" s="354"/>
      <c r="SNB2" s="354"/>
      <c r="SNC2" s="354"/>
      <c r="SND2" s="354"/>
      <c r="SNE2" s="354"/>
      <c r="SNF2" s="354"/>
      <c r="SNG2" s="354"/>
      <c r="SNH2" s="354"/>
      <c r="SNI2" s="354"/>
      <c r="SNJ2" s="354"/>
      <c r="SNK2" s="354"/>
      <c r="SNL2" s="354"/>
      <c r="SNM2" s="354"/>
      <c r="SNN2" s="354"/>
      <c r="SNO2" s="354"/>
      <c r="SNP2" s="354"/>
      <c r="SNQ2" s="354"/>
      <c r="SNR2" s="354"/>
      <c r="SNS2" s="354"/>
      <c r="SNT2" s="354"/>
      <c r="SNU2" s="354"/>
      <c r="SNV2" s="354"/>
      <c r="SNW2" s="354"/>
      <c r="SNX2" s="354"/>
      <c r="SNY2" s="354"/>
      <c r="SNZ2" s="354"/>
      <c r="SOA2" s="354"/>
      <c r="SOB2" s="354"/>
      <c r="SOC2" s="354"/>
      <c r="SOD2" s="354"/>
      <c r="SOE2" s="354"/>
      <c r="SOF2" s="354"/>
      <c r="SOG2" s="354"/>
      <c r="SOH2" s="354"/>
      <c r="SOI2" s="354"/>
      <c r="SOJ2" s="354"/>
      <c r="SOK2" s="354"/>
      <c r="SOL2" s="354"/>
      <c r="SOM2" s="354"/>
      <c r="SON2" s="354"/>
      <c r="SOO2" s="354"/>
      <c r="SOP2" s="354"/>
      <c r="SOQ2" s="354"/>
      <c r="SOR2" s="354"/>
      <c r="SOS2" s="354"/>
      <c r="SOT2" s="354"/>
      <c r="SOU2" s="354"/>
      <c r="SOV2" s="354"/>
      <c r="SOW2" s="354"/>
      <c r="SOX2" s="354"/>
      <c r="SOY2" s="354"/>
      <c r="SOZ2" s="354"/>
      <c r="SPA2" s="354"/>
      <c r="SPB2" s="354"/>
      <c r="SPC2" s="354"/>
      <c r="SPD2" s="354"/>
      <c r="SPE2" s="354"/>
      <c r="SPF2" s="354"/>
      <c r="SPG2" s="354"/>
      <c r="SPH2" s="354"/>
      <c r="SPI2" s="354"/>
      <c r="SPJ2" s="354"/>
      <c r="SPK2" s="354"/>
      <c r="SPL2" s="354"/>
      <c r="SPM2" s="354"/>
      <c r="SPN2" s="354"/>
      <c r="SPO2" s="354"/>
      <c r="SPP2" s="354"/>
      <c r="SPQ2" s="354"/>
      <c r="SPR2" s="354"/>
      <c r="SPS2" s="354"/>
      <c r="SPT2" s="354"/>
      <c r="SPU2" s="354"/>
      <c r="SPV2" s="354"/>
      <c r="SPW2" s="354"/>
      <c r="SPX2" s="354"/>
      <c r="SPY2" s="354"/>
      <c r="SPZ2" s="354"/>
      <c r="SQA2" s="354"/>
      <c r="SQB2" s="354"/>
      <c r="SQC2" s="354"/>
      <c r="SQD2" s="354"/>
      <c r="SQE2" s="354"/>
      <c r="SQF2" s="354"/>
      <c r="SQG2" s="354"/>
      <c r="SQH2" s="354"/>
      <c r="SQI2" s="354"/>
      <c r="SQJ2" s="354"/>
      <c r="SQK2" s="354"/>
      <c r="SQL2" s="354"/>
      <c r="SQM2" s="354"/>
      <c r="SQN2" s="354"/>
      <c r="SQO2" s="354"/>
      <c r="SQP2" s="354"/>
      <c r="SQQ2" s="354"/>
      <c r="SQR2" s="354"/>
      <c r="SQS2" s="354"/>
      <c r="SQT2" s="354"/>
      <c r="SQU2" s="354"/>
      <c r="SQV2" s="354"/>
      <c r="SQW2" s="354"/>
      <c r="SQX2" s="354"/>
      <c r="SQY2" s="354"/>
      <c r="SQZ2" s="354"/>
      <c r="SRA2" s="354"/>
      <c r="SRB2" s="354"/>
      <c r="SRC2" s="354"/>
      <c r="SRD2" s="354"/>
      <c r="SRE2" s="354"/>
      <c r="SRF2" s="354"/>
      <c r="SRG2" s="354"/>
      <c r="SRH2" s="354"/>
      <c r="SRI2" s="354"/>
      <c r="SRJ2" s="354"/>
      <c r="SRK2" s="354"/>
      <c r="SRL2" s="354"/>
      <c r="SRM2" s="354"/>
      <c r="SRN2" s="354"/>
      <c r="SRO2" s="354"/>
      <c r="SRP2" s="354"/>
      <c r="SRQ2" s="354"/>
      <c r="SRR2" s="354"/>
      <c r="SRS2" s="354"/>
      <c r="SRT2" s="354"/>
      <c r="SRU2" s="354"/>
      <c r="SRV2" s="354"/>
      <c r="SRW2" s="354"/>
      <c r="SRX2" s="354"/>
      <c r="SRY2" s="354"/>
      <c r="SRZ2" s="354"/>
      <c r="SSA2" s="354"/>
      <c r="SSB2" s="354"/>
      <c r="SSC2" s="354"/>
      <c r="SSD2" s="354"/>
      <c r="SSE2" s="354"/>
      <c r="SSF2" s="354"/>
      <c r="SSG2" s="354"/>
      <c r="SSH2" s="354"/>
      <c r="SSI2" s="354"/>
      <c r="SSJ2" s="354"/>
      <c r="SSK2" s="354"/>
      <c r="SSL2" s="354"/>
      <c r="SSM2" s="354"/>
      <c r="SSN2" s="354"/>
      <c r="SSO2" s="354"/>
      <c r="SSP2" s="354"/>
      <c r="SSQ2" s="354"/>
      <c r="SSR2" s="354"/>
      <c r="SSS2" s="354"/>
      <c r="SST2" s="354"/>
      <c r="SSU2" s="354"/>
      <c r="SSV2" s="354"/>
      <c r="SSW2" s="354"/>
      <c r="SSX2" s="354"/>
      <c r="SSY2" s="354"/>
      <c r="SSZ2" s="354"/>
      <c r="STA2" s="354"/>
      <c r="STB2" s="354"/>
      <c r="STC2" s="354"/>
      <c r="STD2" s="354"/>
      <c r="STE2" s="354"/>
      <c r="STF2" s="354"/>
      <c r="STG2" s="354"/>
      <c r="STH2" s="354"/>
      <c r="STI2" s="354"/>
      <c r="STJ2" s="354"/>
      <c r="STK2" s="354"/>
      <c r="STL2" s="354"/>
      <c r="STM2" s="354"/>
      <c r="STN2" s="354"/>
      <c r="STO2" s="354"/>
      <c r="STP2" s="354"/>
      <c r="STQ2" s="354"/>
      <c r="STR2" s="354"/>
      <c r="STS2" s="354"/>
      <c r="STT2" s="354"/>
      <c r="STU2" s="354"/>
      <c r="STV2" s="354"/>
      <c r="STW2" s="354"/>
      <c r="STX2" s="354"/>
      <c r="STY2" s="354"/>
      <c r="STZ2" s="354"/>
      <c r="SUA2" s="354"/>
      <c r="SUB2" s="354"/>
      <c r="SUC2" s="354"/>
      <c r="SUD2" s="354"/>
      <c r="SUE2" s="354"/>
      <c r="SUF2" s="354"/>
      <c r="SUG2" s="354"/>
      <c r="SUH2" s="354"/>
      <c r="SUI2" s="354"/>
      <c r="SUJ2" s="354"/>
      <c r="SUK2" s="354"/>
      <c r="SUL2" s="354"/>
      <c r="SUM2" s="354"/>
      <c r="SUN2" s="354"/>
      <c r="SUO2" s="354"/>
      <c r="SUP2" s="354"/>
      <c r="SUQ2" s="354"/>
      <c r="SUR2" s="354"/>
      <c r="SUS2" s="354"/>
      <c r="SUT2" s="354"/>
      <c r="SUU2" s="354"/>
      <c r="SUV2" s="354"/>
      <c r="SUW2" s="354"/>
      <c r="SUX2" s="354"/>
      <c r="SUY2" s="354"/>
      <c r="SUZ2" s="354"/>
      <c r="SVA2" s="354"/>
      <c r="SVB2" s="354"/>
      <c r="SVC2" s="354"/>
      <c r="SVD2" s="354"/>
      <c r="SVE2" s="354"/>
      <c r="SVF2" s="354"/>
      <c r="SVG2" s="354"/>
      <c r="SVH2" s="354"/>
      <c r="SVI2" s="354"/>
      <c r="SVJ2" s="354"/>
      <c r="SVK2" s="354"/>
      <c r="SVL2" s="354"/>
      <c r="SVM2" s="354"/>
      <c r="SVN2" s="354"/>
      <c r="SVO2" s="354"/>
      <c r="SVP2" s="354"/>
      <c r="SVQ2" s="354"/>
      <c r="SVR2" s="354"/>
      <c r="SVS2" s="354"/>
      <c r="SVT2" s="354"/>
      <c r="SVU2" s="354"/>
      <c r="SVV2" s="354"/>
      <c r="SVW2" s="354"/>
      <c r="SVX2" s="354"/>
      <c r="SVY2" s="354"/>
      <c r="SVZ2" s="354"/>
      <c r="SWA2" s="354"/>
      <c r="SWB2" s="354"/>
      <c r="SWC2" s="354"/>
      <c r="SWD2" s="354"/>
      <c r="SWE2" s="354"/>
      <c r="SWF2" s="354"/>
      <c r="SWG2" s="354"/>
      <c r="SWH2" s="354"/>
      <c r="SWI2" s="354"/>
      <c r="SWJ2" s="354"/>
      <c r="SWK2" s="354"/>
      <c r="SWL2" s="354"/>
      <c r="SWM2" s="354"/>
      <c r="SWN2" s="354"/>
      <c r="SWO2" s="354"/>
      <c r="SWP2" s="354"/>
      <c r="SWQ2" s="354"/>
      <c r="SWR2" s="354"/>
      <c r="SWS2" s="354"/>
      <c r="SWT2" s="354"/>
      <c r="SWU2" s="354"/>
      <c r="SWV2" s="354"/>
      <c r="SWW2" s="354"/>
      <c r="SWX2" s="354"/>
      <c r="SWY2" s="354"/>
      <c r="SWZ2" s="354"/>
      <c r="SXA2" s="354"/>
      <c r="SXB2" s="354"/>
      <c r="SXC2" s="354"/>
      <c r="SXD2" s="354"/>
      <c r="SXE2" s="354"/>
      <c r="SXF2" s="354"/>
      <c r="SXG2" s="354"/>
      <c r="SXH2" s="354"/>
      <c r="SXI2" s="354"/>
      <c r="SXJ2" s="354"/>
      <c r="SXK2" s="354"/>
      <c r="SXL2" s="354"/>
      <c r="SXM2" s="354"/>
      <c r="SXN2" s="354"/>
      <c r="SXO2" s="354"/>
      <c r="SXP2" s="354"/>
      <c r="SXQ2" s="354"/>
      <c r="SXR2" s="354"/>
      <c r="SXS2" s="354"/>
      <c r="SXT2" s="354"/>
      <c r="SXU2" s="354"/>
      <c r="SXV2" s="354"/>
      <c r="SXW2" s="354"/>
      <c r="SXX2" s="354"/>
      <c r="SXY2" s="354"/>
      <c r="SXZ2" s="354"/>
      <c r="SYA2" s="354"/>
      <c r="SYB2" s="354"/>
      <c r="SYC2" s="354"/>
      <c r="SYD2" s="354"/>
      <c r="SYE2" s="354"/>
      <c r="SYF2" s="354"/>
      <c r="SYG2" s="354"/>
      <c r="SYH2" s="354"/>
      <c r="SYI2" s="354"/>
      <c r="SYJ2" s="354"/>
      <c r="SYK2" s="354"/>
      <c r="SYL2" s="354"/>
      <c r="SYM2" s="354"/>
      <c r="SYN2" s="354"/>
      <c r="SYO2" s="354"/>
      <c r="SYP2" s="354"/>
      <c r="SYQ2" s="354"/>
      <c r="SYR2" s="354"/>
      <c r="SYS2" s="354"/>
      <c r="SYT2" s="354"/>
      <c r="SYU2" s="354"/>
      <c r="SYV2" s="354"/>
      <c r="SYW2" s="354"/>
      <c r="SYX2" s="354"/>
      <c r="SYY2" s="354"/>
      <c r="SYZ2" s="354"/>
      <c r="SZA2" s="354"/>
      <c r="SZB2" s="354"/>
      <c r="SZC2" s="354"/>
      <c r="SZD2" s="354"/>
      <c r="SZE2" s="354"/>
      <c r="SZF2" s="354"/>
      <c r="SZG2" s="354"/>
      <c r="SZH2" s="354"/>
      <c r="SZI2" s="354"/>
      <c r="SZJ2" s="354"/>
      <c r="SZK2" s="354"/>
      <c r="SZL2" s="354"/>
      <c r="SZM2" s="354"/>
      <c r="SZN2" s="354"/>
      <c r="SZO2" s="354"/>
      <c r="SZP2" s="354"/>
      <c r="SZQ2" s="354"/>
      <c r="SZR2" s="354"/>
      <c r="SZS2" s="354"/>
      <c r="SZT2" s="354"/>
      <c r="SZU2" s="354"/>
      <c r="SZV2" s="354"/>
      <c r="SZW2" s="354"/>
      <c r="SZX2" s="354"/>
      <c r="SZY2" s="354"/>
      <c r="SZZ2" s="354"/>
      <c r="TAA2" s="354"/>
      <c r="TAB2" s="354"/>
      <c r="TAC2" s="354"/>
      <c r="TAD2" s="354"/>
      <c r="TAE2" s="354"/>
      <c r="TAF2" s="354"/>
      <c r="TAG2" s="354"/>
      <c r="TAH2" s="354"/>
      <c r="TAI2" s="354"/>
      <c r="TAJ2" s="354"/>
      <c r="TAK2" s="354"/>
      <c r="TAL2" s="354"/>
      <c r="TAM2" s="354"/>
      <c r="TAN2" s="354"/>
      <c r="TAO2" s="354"/>
      <c r="TAP2" s="354"/>
      <c r="TAQ2" s="354"/>
      <c r="TAR2" s="354"/>
      <c r="TAS2" s="354"/>
      <c r="TAT2" s="354"/>
      <c r="TAU2" s="354"/>
      <c r="TAV2" s="354"/>
      <c r="TAW2" s="354"/>
      <c r="TAX2" s="354"/>
      <c r="TAY2" s="354"/>
      <c r="TAZ2" s="354"/>
      <c r="TBA2" s="354"/>
      <c r="TBB2" s="354"/>
      <c r="TBC2" s="354"/>
      <c r="TBD2" s="354"/>
      <c r="TBE2" s="354"/>
      <c r="TBF2" s="354"/>
      <c r="TBG2" s="354"/>
      <c r="TBH2" s="354"/>
      <c r="TBI2" s="354"/>
      <c r="TBJ2" s="354"/>
      <c r="TBK2" s="354"/>
      <c r="TBL2" s="354"/>
      <c r="TBM2" s="354"/>
      <c r="TBN2" s="354"/>
      <c r="TBO2" s="354"/>
      <c r="TBP2" s="354"/>
      <c r="TBQ2" s="354"/>
      <c r="TBR2" s="354"/>
      <c r="TBS2" s="354"/>
      <c r="TBT2" s="354"/>
      <c r="TBU2" s="354"/>
      <c r="TBV2" s="354"/>
      <c r="TBW2" s="354"/>
      <c r="TBX2" s="354"/>
      <c r="TBY2" s="354"/>
      <c r="TBZ2" s="354"/>
      <c r="TCA2" s="354"/>
      <c r="TCB2" s="354"/>
      <c r="TCC2" s="354"/>
      <c r="TCD2" s="354"/>
      <c r="TCE2" s="354"/>
      <c r="TCF2" s="354"/>
      <c r="TCG2" s="354"/>
      <c r="TCH2" s="354"/>
      <c r="TCI2" s="354"/>
      <c r="TCJ2" s="354"/>
      <c r="TCK2" s="354"/>
      <c r="TCL2" s="354"/>
      <c r="TCM2" s="354"/>
      <c r="TCN2" s="354"/>
      <c r="TCO2" s="354"/>
      <c r="TCP2" s="354"/>
      <c r="TCQ2" s="354"/>
      <c r="TCR2" s="354"/>
      <c r="TCS2" s="354"/>
      <c r="TCT2" s="354"/>
      <c r="TCU2" s="354"/>
      <c r="TCV2" s="354"/>
      <c r="TCW2" s="354"/>
      <c r="TCX2" s="354"/>
      <c r="TCY2" s="354"/>
      <c r="TCZ2" s="354"/>
      <c r="TDA2" s="354"/>
      <c r="TDB2" s="354"/>
      <c r="TDC2" s="354"/>
      <c r="TDD2" s="354"/>
      <c r="TDE2" s="354"/>
      <c r="TDF2" s="354"/>
      <c r="TDG2" s="354"/>
      <c r="TDH2" s="354"/>
      <c r="TDI2" s="354"/>
      <c r="TDJ2" s="354"/>
      <c r="TDK2" s="354"/>
      <c r="TDL2" s="354"/>
      <c r="TDM2" s="354"/>
      <c r="TDN2" s="354"/>
      <c r="TDO2" s="354"/>
      <c r="TDP2" s="354"/>
      <c r="TDQ2" s="354"/>
      <c r="TDR2" s="354"/>
      <c r="TDS2" s="354"/>
      <c r="TDT2" s="354"/>
      <c r="TDU2" s="354"/>
      <c r="TDV2" s="354"/>
      <c r="TDW2" s="354"/>
      <c r="TDX2" s="354"/>
      <c r="TDY2" s="354"/>
      <c r="TDZ2" s="354"/>
      <c r="TEA2" s="354"/>
      <c r="TEB2" s="354"/>
      <c r="TEC2" s="354"/>
      <c r="TED2" s="354"/>
      <c r="TEE2" s="354"/>
      <c r="TEF2" s="354"/>
      <c r="TEG2" s="354"/>
      <c r="TEH2" s="354"/>
      <c r="TEI2" s="354"/>
      <c r="TEJ2" s="354"/>
      <c r="TEK2" s="354"/>
      <c r="TEL2" s="354"/>
      <c r="TEM2" s="354"/>
      <c r="TEN2" s="354"/>
      <c r="TEO2" s="354"/>
      <c r="TEP2" s="354"/>
      <c r="TEQ2" s="354"/>
      <c r="TER2" s="354"/>
      <c r="TES2" s="354"/>
      <c r="TET2" s="354"/>
      <c r="TEU2" s="354"/>
      <c r="TEV2" s="354"/>
      <c r="TEW2" s="354"/>
      <c r="TEX2" s="354"/>
      <c r="TEY2" s="354"/>
      <c r="TEZ2" s="354"/>
      <c r="TFA2" s="354"/>
      <c r="TFB2" s="354"/>
      <c r="TFC2" s="354"/>
      <c r="TFD2" s="354"/>
      <c r="TFE2" s="354"/>
      <c r="TFF2" s="354"/>
      <c r="TFG2" s="354"/>
      <c r="TFH2" s="354"/>
      <c r="TFI2" s="354"/>
      <c r="TFJ2" s="354"/>
      <c r="TFK2" s="354"/>
      <c r="TFL2" s="354"/>
      <c r="TFM2" s="354"/>
      <c r="TFN2" s="354"/>
      <c r="TFO2" s="354"/>
      <c r="TFP2" s="354"/>
      <c r="TFQ2" s="354"/>
      <c r="TFR2" s="354"/>
      <c r="TFS2" s="354"/>
      <c r="TFT2" s="354"/>
      <c r="TFU2" s="354"/>
      <c r="TFV2" s="354"/>
      <c r="TFW2" s="354"/>
      <c r="TFX2" s="354"/>
      <c r="TFY2" s="354"/>
      <c r="TFZ2" s="354"/>
      <c r="TGA2" s="354"/>
      <c r="TGB2" s="354"/>
      <c r="TGC2" s="354"/>
      <c r="TGD2" s="354"/>
      <c r="TGE2" s="354"/>
      <c r="TGF2" s="354"/>
      <c r="TGG2" s="354"/>
      <c r="TGH2" s="354"/>
      <c r="TGI2" s="354"/>
      <c r="TGJ2" s="354"/>
      <c r="TGK2" s="354"/>
      <c r="TGL2" s="354"/>
      <c r="TGM2" s="354"/>
      <c r="TGN2" s="354"/>
      <c r="TGO2" s="354"/>
      <c r="TGP2" s="354"/>
      <c r="TGQ2" s="354"/>
      <c r="TGR2" s="354"/>
      <c r="TGS2" s="354"/>
      <c r="TGT2" s="354"/>
      <c r="TGU2" s="354"/>
      <c r="TGV2" s="354"/>
      <c r="TGW2" s="354"/>
      <c r="TGX2" s="354"/>
      <c r="TGY2" s="354"/>
      <c r="TGZ2" s="354"/>
      <c r="THA2" s="354"/>
      <c r="THB2" s="354"/>
      <c r="THC2" s="354"/>
      <c r="THD2" s="354"/>
      <c r="THE2" s="354"/>
      <c r="THF2" s="354"/>
      <c r="THG2" s="354"/>
      <c r="THH2" s="354"/>
      <c r="THI2" s="354"/>
      <c r="THJ2" s="354"/>
      <c r="THK2" s="354"/>
      <c r="THL2" s="354"/>
      <c r="THM2" s="354"/>
      <c r="THN2" s="354"/>
      <c r="THO2" s="354"/>
      <c r="THP2" s="354"/>
      <c r="THQ2" s="354"/>
      <c r="THR2" s="354"/>
      <c r="THS2" s="354"/>
      <c r="THT2" s="354"/>
      <c r="THU2" s="354"/>
      <c r="THV2" s="354"/>
      <c r="THW2" s="354"/>
      <c r="THX2" s="354"/>
      <c r="THY2" s="354"/>
      <c r="THZ2" s="354"/>
      <c r="TIA2" s="354"/>
      <c r="TIB2" s="354"/>
      <c r="TIC2" s="354"/>
      <c r="TID2" s="354"/>
      <c r="TIE2" s="354"/>
      <c r="TIF2" s="354"/>
      <c r="TIG2" s="354"/>
      <c r="TIH2" s="354"/>
      <c r="TII2" s="354"/>
      <c r="TIJ2" s="354"/>
      <c r="TIK2" s="354"/>
      <c r="TIL2" s="354"/>
      <c r="TIM2" s="354"/>
      <c r="TIN2" s="354"/>
      <c r="TIO2" s="354"/>
      <c r="TIP2" s="354"/>
      <c r="TIQ2" s="354"/>
      <c r="TIR2" s="354"/>
      <c r="TIS2" s="354"/>
      <c r="TIT2" s="354"/>
      <c r="TIU2" s="354"/>
      <c r="TIV2" s="354"/>
      <c r="TIW2" s="354"/>
      <c r="TIX2" s="354"/>
      <c r="TIY2" s="354"/>
      <c r="TIZ2" s="354"/>
      <c r="TJA2" s="354"/>
      <c r="TJB2" s="354"/>
      <c r="TJC2" s="354"/>
      <c r="TJD2" s="354"/>
      <c r="TJE2" s="354"/>
      <c r="TJF2" s="354"/>
      <c r="TJG2" s="354"/>
      <c r="TJH2" s="354"/>
      <c r="TJI2" s="354"/>
      <c r="TJJ2" s="354"/>
      <c r="TJK2" s="354"/>
      <c r="TJL2" s="354"/>
      <c r="TJM2" s="354"/>
      <c r="TJN2" s="354"/>
      <c r="TJO2" s="354"/>
      <c r="TJP2" s="354"/>
      <c r="TJQ2" s="354"/>
      <c r="TJR2" s="354"/>
      <c r="TJS2" s="354"/>
      <c r="TJT2" s="354"/>
      <c r="TJU2" s="354"/>
      <c r="TJV2" s="354"/>
      <c r="TJW2" s="354"/>
      <c r="TJX2" s="354"/>
      <c r="TJY2" s="354"/>
      <c r="TJZ2" s="354"/>
      <c r="TKA2" s="354"/>
      <c r="TKB2" s="354"/>
      <c r="TKC2" s="354"/>
      <c r="TKD2" s="354"/>
      <c r="TKE2" s="354"/>
      <c r="TKF2" s="354"/>
      <c r="TKG2" s="354"/>
      <c r="TKH2" s="354"/>
      <c r="TKI2" s="354"/>
      <c r="TKJ2" s="354"/>
      <c r="TKK2" s="354"/>
      <c r="TKL2" s="354"/>
      <c r="TKM2" s="354"/>
      <c r="TKN2" s="354"/>
      <c r="TKO2" s="354"/>
      <c r="TKP2" s="354"/>
      <c r="TKQ2" s="354"/>
      <c r="TKR2" s="354"/>
      <c r="TKS2" s="354"/>
      <c r="TKT2" s="354"/>
      <c r="TKU2" s="354"/>
      <c r="TKV2" s="354"/>
      <c r="TKW2" s="354"/>
      <c r="TKX2" s="354"/>
      <c r="TKY2" s="354"/>
      <c r="TKZ2" s="354"/>
      <c r="TLA2" s="354"/>
      <c r="TLB2" s="354"/>
      <c r="TLC2" s="354"/>
      <c r="TLD2" s="354"/>
      <c r="TLE2" s="354"/>
      <c r="TLF2" s="354"/>
      <c r="TLG2" s="354"/>
      <c r="TLH2" s="354"/>
      <c r="TLI2" s="354"/>
      <c r="TLJ2" s="354"/>
      <c r="TLK2" s="354"/>
      <c r="TLL2" s="354"/>
      <c r="TLM2" s="354"/>
      <c r="TLN2" s="354"/>
      <c r="TLO2" s="354"/>
      <c r="TLP2" s="354"/>
      <c r="TLQ2" s="354"/>
      <c r="TLR2" s="354"/>
      <c r="TLS2" s="354"/>
      <c r="TLT2" s="354"/>
      <c r="TLU2" s="354"/>
      <c r="TLV2" s="354"/>
      <c r="TLW2" s="354"/>
      <c r="TLX2" s="354"/>
      <c r="TLY2" s="354"/>
      <c r="TLZ2" s="354"/>
      <c r="TMA2" s="354"/>
      <c r="TMB2" s="354"/>
      <c r="TMC2" s="354"/>
      <c r="TMD2" s="354"/>
      <c r="TME2" s="354"/>
      <c r="TMF2" s="354"/>
      <c r="TMG2" s="354"/>
      <c r="TMH2" s="354"/>
      <c r="TMI2" s="354"/>
      <c r="TMJ2" s="354"/>
      <c r="TMK2" s="354"/>
      <c r="TML2" s="354"/>
      <c r="TMM2" s="354"/>
      <c r="TMN2" s="354"/>
      <c r="TMO2" s="354"/>
      <c r="TMP2" s="354"/>
      <c r="TMQ2" s="354"/>
      <c r="TMR2" s="354"/>
      <c r="TMS2" s="354"/>
      <c r="TMT2" s="354"/>
      <c r="TMU2" s="354"/>
      <c r="TMV2" s="354"/>
      <c r="TMW2" s="354"/>
      <c r="TMX2" s="354"/>
      <c r="TMY2" s="354"/>
      <c r="TMZ2" s="354"/>
      <c r="TNA2" s="354"/>
      <c r="TNB2" s="354"/>
      <c r="TNC2" s="354"/>
      <c r="TND2" s="354"/>
      <c r="TNE2" s="354"/>
      <c r="TNF2" s="354"/>
      <c r="TNG2" s="354"/>
      <c r="TNH2" s="354"/>
      <c r="TNI2" s="354"/>
      <c r="TNJ2" s="354"/>
      <c r="TNK2" s="354"/>
      <c r="TNL2" s="354"/>
      <c r="TNM2" s="354"/>
      <c r="TNN2" s="354"/>
      <c r="TNO2" s="354"/>
      <c r="TNP2" s="354"/>
      <c r="TNQ2" s="354"/>
      <c r="TNR2" s="354"/>
      <c r="TNS2" s="354"/>
      <c r="TNT2" s="354"/>
      <c r="TNU2" s="354"/>
      <c r="TNV2" s="354"/>
      <c r="TNW2" s="354"/>
      <c r="TNX2" s="354"/>
      <c r="TNY2" s="354"/>
      <c r="TNZ2" s="354"/>
      <c r="TOA2" s="354"/>
      <c r="TOB2" s="354"/>
      <c r="TOC2" s="354"/>
      <c r="TOD2" s="354"/>
      <c r="TOE2" s="354"/>
      <c r="TOF2" s="354"/>
      <c r="TOG2" s="354"/>
      <c r="TOH2" s="354"/>
      <c r="TOI2" s="354"/>
      <c r="TOJ2" s="354"/>
      <c r="TOK2" s="354"/>
      <c r="TOL2" s="354"/>
      <c r="TOM2" s="354"/>
      <c r="TON2" s="354"/>
      <c r="TOO2" s="354"/>
      <c r="TOP2" s="354"/>
      <c r="TOQ2" s="354"/>
      <c r="TOR2" s="354"/>
      <c r="TOS2" s="354"/>
      <c r="TOT2" s="354"/>
      <c r="TOU2" s="354"/>
      <c r="TOV2" s="354"/>
      <c r="TOW2" s="354"/>
      <c r="TOX2" s="354"/>
      <c r="TOY2" s="354"/>
      <c r="TOZ2" s="354"/>
      <c r="TPA2" s="354"/>
      <c r="TPB2" s="354"/>
      <c r="TPC2" s="354"/>
      <c r="TPD2" s="354"/>
      <c r="TPE2" s="354"/>
      <c r="TPF2" s="354"/>
      <c r="TPG2" s="354"/>
      <c r="TPH2" s="354"/>
      <c r="TPI2" s="354"/>
      <c r="TPJ2" s="354"/>
      <c r="TPK2" s="354"/>
      <c r="TPL2" s="354"/>
      <c r="TPM2" s="354"/>
      <c r="TPN2" s="354"/>
      <c r="TPO2" s="354"/>
      <c r="TPP2" s="354"/>
      <c r="TPQ2" s="354"/>
      <c r="TPR2" s="354"/>
      <c r="TPS2" s="354"/>
      <c r="TPT2" s="354"/>
      <c r="TPU2" s="354"/>
      <c r="TPV2" s="354"/>
      <c r="TPW2" s="354"/>
      <c r="TPX2" s="354"/>
      <c r="TPY2" s="354"/>
      <c r="TPZ2" s="354"/>
      <c r="TQA2" s="354"/>
      <c r="TQB2" s="354"/>
      <c r="TQC2" s="354"/>
      <c r="TQD2" s="354"/>
      <c r="TQE2" s="354"/>
      <c r="TQF2" s="354"/>
      <c r="TQG2" s="354"/>
      <c r="TQH2" s="354"/>
      <c r="TQI2" s="354"/>
      <c r="TQJ2" s="354"/>
      <c r="TQK2" s="354"/>
      <c r="TQL2" s="354"/>
      <c r="TQM2" s="354"/>
      <c r="TQN2" s="354"/>
      <c r="TQO2" s="354"/>
      <c r="TQP2" s="354"/>
      <c r="TQQ2" s="354"/>
      <c r="TQR2" s="354"/>
      <c r="TQS2" s="354"/>
      <c r="TQT2" s="354"/>
      <c r="TQU2" s="354"/>
      <c r="TQV2" s="354"/>
      <c r="TQW2" s="354"/>
      <c r="TQX2" s="354"/>
      <c r="TQY2" s="354"/>
      <c r="TQZ2" s="354"/>
      <c r="TRA2" s="354"/>
      <c r="TRB2" s="354"/>
      <c r="TRC2" s="354"/>
      <c r="TRD2" s="354"/>
      <c r="TRE2" s="354"/>
      <c r="TRF2" s="354"/>
      <c r="TRG2" s="354"/>
      <c r="TRH2" s="354"/>
      <c r="TRI2" s="354"/>
      <c r="TRJ2" s="354"/>
      <c r="TRK2" s="354"/>
      <c r="TRL2" s="354"/>
      <c r="TRM2" s="354"/>
      <c r="TRN2" s="354"/>
      <c r="TRO2" s="354"/>
      <c r="TRP2" s="354"/>
      <c r="TRQ2" s="354"/>
      <c r="TRR2" s="354"/>
      <c r="TRS2" s="354"/>
      <c r="TRT2" s="354"/>
      <c r="TRU2" s="354"/>
      <c r="TRV2" s="354"/>
      <c r="TRW2" s="354"/>
      <c r="TRX2" s="354"/>
      <c r="TRY2" s="354"/>
      <c r="TRZ2" s="354"/>
      <c r="TSA2" s="354"/>
      <c r="TSB2" s="354"/>
      <c r="TSC2" s="354"/>
      <c r="TSD2" s="354"/>
      <c r="TSE2" s="354"/>
      <c r="TSF2" s="354"/>
      <c r="TSG2" s="354"/>
      <c r="TSH2" s="354"/>
      <c r="TSI2" s="354"/>
      <c r="TSJ2" s="354"/>
      <c r="TSK2" s="354"/>
      <c r="TSL2" s="354"/>
      <c r="TSM2" s="354"/>
      <c r="TSN2" s="354"/>
      <c r="TSO2" s="354"/>
      <c r="TSP2" s="354"/>
      <c r="TSQ2" s="354"/>
      <c r="TSR2" s="354"/>
      <c r="TSS2" s="354"/>
      <c r="TST2" s="354"/>
      <c r="TSU2" s="354"/>
      <c r="TSV2" s="354"/>
      <c r="TSW2" s="354"/>
      <c r="TSX2" s="354"/>
      <c r="TSY2" s="354"/>
      <c r="TSZ2" s="354"/>
      <c r="TTA2" s="354"/>
      <c r="TTB2" s="354"/>
      <c r="TTC2" s="354"/>
      <c r="TTD2" s="354"/>
      <c r="TTE2" s="354"/>
      <c r="TTF2" s="354"/>
      <c r="TTG2" s="354"/>
      <c r="TTH2" s="354"/>
      <c r="TTI2" s="354"/>
      <c r="TTJ2" s="354"/>
      <c r="TTK2" s="354"/>
      <c r="TTL2" s="354"/>
      <c r="TTM2" s="354"/>
      <c r="TTN2" s="354"/>
      <c r="TTO2" s="354"/>
      <c r="TTP2" s="354"/>
      <c r="TTQ2" s="354"/>
      <c r="TTR2" s="354"/>
      <c r="TTS2" s="354"/>
      <c r="TTT2" s="354"/>
      <c r="TTU2" s="354"/>
      <c r="TTV2" s="354"/>
      <c r="TTW2" s="354"/>
      <c r="TTX2" s="354"/>
      <c r="TTY2" s="354"/>
      <c r="TTZ2" s="354"/>
      <c r="TUA2" s="354"/>
      <c r="TUB2" s="354"/>
      <c r="TUC2" s="354"/>
      <c r="TUD2" s="354"/>
      <c r="TUE2" s="354"/>
      <c r="TUF2" s="354"/>
      <c r="TUG2" s="354"/>
      <c r="TUH2" s="354"/>
      <c r="TUI2" s="354"/>
      <c r="TUJ2" s="354"/>
      <c r="TUK2" s="354"/>
      <c r="TUL2" s="354"/>
      <c r="TUM2" s="354"/>
      <c r="TUN2" s="354"/>
      <c r="TUO2" s="354"/>
      <c r="TUP2" s="354"/>
      <c r="TUQ2" s="354"/>
      <c r="TUR2" s="354"/>
      <c r="TUS2" s="354"/>
      <c r="TUT2" s="354"/>
      <c r="TUU2" s="354"/>
      <c r="TUV2" s="354"/>
      <c r="TUW2" s="354"/>
      <c r="TUX2" s="354"/>
      <c r="TUY2" s="354"/>
      <c r="TUZ2" s="354"/>
      <c r="TVA2" s="354"/>
      <c r="TVB2" s="354"/>
      <c r="TVC2" s="354"/>
      <c r="TVD2" s="354"/>
      <c r="TVE2" s="354"/>
      <c r="TVF2" s="354"/>
      <c r="TVG2" s="354"/>
      <c r="TVH2" s="354"/>
      <c r="TVI2" s="354"/>
      <c r="TVJ2" s="354"/>
      <c r="TVK2" s="354"/>
      <c r="TVL2" s="354"/>
      <c r="TVM2" s="354"/>
      <c r="TVN2" s="354"/>
      <c r="TVO2" s="354"/>
      <c r="TVP2" s="354"/>
      <c r="TVQ2" s="354"/>
      <c r="TVR2" s="354"/>
      <c r="TVS2" s="354"/>
      <c r="TVT2" s="354"/>
      <c r="TVU2" s="354"/>
      <c r="TVV2" s="354"/>
      <c r="TVW2" s="354"/>
      <c r="TVX2" s="354"/>
      <c r="TVY2" s="354"/>
      <c r="TVZ2" s="354"/>
      <c r="TWA2" s="354"/>
      <c r="TWB2" s="354"/>
      <c r="TWC2" s="354"/>
      <c r="TWD2" s="354"/>
      <c r="TWE2" s="354"/>
      <c r="TWF2" s="354"/>
      <c r="TWG2" s="354"/>
      <c r="TWH2" s="354"/>
      <c r="TWI2" s="354"/>
      <c r="TWJ2" s="354"/>
      <c r="TWK2" s="354"/>
      <c r="TWL2" s="354"/>
      <c r="TWM2" s="354"/>
      <c r="TWN2" s="354"/>
      <c r="TWO2" s="354"/>
      <c r="TWP2" s="354"/>
      <c r="TWQ2" s="354"/>
      <c r="TWR2" s="354"/>
      <c r="TWS2" s="354"/>
      <c r="TWT2" s="354"/>
      <c r="TWU2" s="354"/>
      <c r="TWV2" s="354"/>
      <c r="TWW2" s="354"/>
      <c r="TWX2" s="354"/>
      <c r="TWY2" s="354"/>
      <c r="TWZ2" s="354"/>
      <c r="TXA2" s="354"/>
      <c r="TXB2" s="354"/>
      <c r="TXC2" s="354"/>
      <c r="TXD2" s="354"/>
      <c r="TXE2" s="354"/>
      <c r="TXF2" s="354"/>
      <c r="TXG2" s="354"/>
      <c r="TXH2" s="354"/>
      <c r="TXI2" s="354"/>
      <c r="TXJ2" s="354"/>
      <c r="TXK2" s="354"/>
      <c r="TXL2" s="354"/>
      <c r="TXM2" s="354"/>
      <c r="TXN2" s="354"/>
      <c r="TXO2" s="354"/>
      <c r="TXP2" s="354"/>
      <c r="TXQ2" s="354"/>
      <c r="TXR2" s="354"/>
      <c r="TXS2" s="354"/>
      <c r="TXT2" s="354"/>
      <c r="TXU2" s="354"/>
      <c r="TXV2" s="354"/>
      <c r="TXW2" s="354"/>
      <c r="TXX2" s="354"/>
      <c r="TXY2" s="354"/>
      <c r="TXZ2" s="354"/>
      <c r="TYA2" s="354"/>
      <c r="TYB2" s="354"/>
      <c r="TYC2" s="354"/>
      <c r="TYD2" s="354"/>
      <c r="TYE2" s="354"/>
      <c r="TYF2" s="354"/>
      <c r="TYG2" s="354"/>
      <c r="TYH2" s="354"/>
      <c r="TYI2" s="354"/>
      <c r="TYJ2" s="354"/>
      <c r="TYK2" s="354"/>
      <c r="TYL2" s="354"/>
      <c r="TYM2" s="354"/>
      <c r="TYN2" s="354"/>
      <c r="TYO2" s="354"/>
      <c r="TYP2" s="354"/>
      <c r="TYQ2" s="354"/>
      <c r="TYR2" s="354"/>
      <c r="TYS2" s="354"/>
      <c r="TYT2" s="354"/>
      <c r="TYU2" s="354"/>
      <c r="TYV2" s="354"/>
      <c r="TYW2" s="354"/>
      <c r="TYX2" s="354"/>
      <c r="TYY2" s="354"/>
      <c r="TYZ2" s="354"/>
      <c r="TZA2" s="354"/>
      <c r="TZB2" s="354"/>
      <c r="TZC2" s="354"/>
      <c r="TZD2" s="354"/>
      <c r="TZE2" s="354"/>
      <c r="TZF2" s="354"/>
      <c r="TZG2" s="354"/>
      <c r="TZH2" s="354"/>
      <c r="TZI2" s="354"/>
      <c r="TZJ2" s="354"/>
      <c r="TZK2" s="354"/>
      <c r="TZL2" s="354"/>
      <c r="TZM2" s="354"/>
      <c r="TZN2" s="354"/>
      <c r="TZO2" s="354"/>
      <c r="TZP2" s="354"/>
      <c r="TZQ2" s="354"/>
      <c r="TZR2" s="354"/>
      <c r="TZS2" s="354"/>
      <c r="TZT2" s="354"/>
      <c r="TZU2" s="354"/>
      <c r="TZV2" s="354"/>
      <c r="TZW2" s="354"/>
      <c r="TZX2" s="354"/>
      <c r="TZY2" s="354"/>
      <c r="TZZ2" s="354"/>
      <c r="UAA2" s="354"/>
      <c r="UAB2" s="354"/>
      <c r="UAC2" s="354"/>
      <c r="UAD2" s="354"/>
      <c r="UAE2" s="354"/>
      <c r="UAF2" s="354"/>
      <c r="UAG2" s="354"/>
      <c r="UAH2" s="354"/>
      <c r="UAI2" s="354"/>
      <c r="UAJ2" s="354"/>
      <c r="UAK2" s="354"/>
      <c r="UAL2" s="354"/>
      <c r="UAM2" s="354"/>
      <c r="UAN2" s="354"/>
      <c r="UAO2" s="354"/>
      <c r="UAP2" s="354"/>
      <c r="UAQ2" s="354"/>
      <c r="UAR2" s="354"/>
      <c r="UAS2" s="354"/>
      <c r="UAT2" s="354"/>
      <c r="UAU2" s="354"/>
      <c r="UAV2" s="354"/>
      <c r="UAW2" s="354"/>
      <c r="UAX2" s="354"/>
      <c r="UAY2" s="354"/>
      <c r="UAZ2" s="354"/>
      <c r="UBA2" s="354"/>
      <c r="UBB2" s="354"/>
      <c r="UBC2" s="354"/>
      <c r="UBD2" s="354"/>
      <c r="UBE2" s="354"/>
      <c r="UBF2" s="354"/>
      <c r="UBG2" s="354"/>
      <c r="UBH2" s="354"/>
      <c r="UBI2" s="354"/>
      <c r="UBJ2" s="354"/>
      <c r="UBK2" s="354"/>
      <c r="UBL2" s="354"/>
      <c r="UBM2" s="354"/>
      <c r="UBN2" s="354"/>
      <c r="UBO2" s="354"/>
      <c r="UBP2" s="354"/>
      <c r="UBQ2" s="354"/>
      <c r="UBR2" s="354"/>
      <c r="UBS2" s="354"/>
      <c r="UBT2" s="354"/>
      <c r="UBU2" s="354"/>
      <c r="UBV2" s="354"/>
      <c r="UBW2" s="354"/>
      <c r="UBX2" s="354"/>
      <c r="UBY2" s="354"/>
      <c r="UBZ2" s="354"/>
      <c r="UCA2" s="354"/>
      <c r="UCB2" s="354"/>
      <c r="UCC2" s="354"/>
      <c r="UCD2" s="354"/>
      <c r="UCE2" s="354"/>
      <c r="UCF2" s="354"/>
      <c r="UCG2" s="354"/>
      <c r="UCH2" s="354"/>
      <c r="UCI2" s="354"/>
      <c r="UCJ2" s="354"/>
      <c r="UCK2" s="354"/>
      <c r="UCL2" s="354"/>
      <c r="UCM2" s="354"/>
      <c r="UCN2" s="354"/>
      <c r="UCO2" s="354"/>
      <c r="UCP2" s="354"/>
      <c r="UCQ2" s="354"/>
      <c r="UCR2" s="354"/>
      <c r="UCS2" s="354"/>
      <c r="UCT2" s="354"/>
      <c r="UCU2" s="354"/>
      <c r="UCV2" s="354"/>
      <c r="UCW2" s="354"/>
      <c r="UCX2" s="354"/>
      <c r="UCY2" s="354"/>
      <c r="UCZ2" s="354"/>
      <c r="UDA2" s="354"/>
      <c r="UDB2" s="354"/>
      <c r="UDC2" s="354"/>
      <c r="UDD2" s="354"/>
      <c r="UDE2" s="354"/>
      <c r="UDF2" s="354"/>
      <c r="UDG2" s="354"/>
      <c r="UDH2" s="354"/>
      <c r="UDI2" s="354"/>
      <c r="UDJ2" s="354"/>
      <c r="UDK2" s="354"/>
      <c r="UDL2" s="354"/>
      <c r="UDM2" s="354"/>
      <c r="UDN2" s="354"/>
      <c r="UDO2" s="354"/>
      <c r="UDP2" s="354"/>
      <c r="UDQ2" s="354"/>
      <c r="UDR2" s="354"/>
      <c r="UDS2" s="354"/>
      <c r="UDT2" s="354"/>
      <c r="UDU2" s="354"/>
      <c r="UDV2" s="354"/>
      <c r="UDW2" s="354"/>
      <c r="UDX2" s="354"/>
      <c r="UDY2" s="354"/>
      <c r="UDZ2" s="354"/>
      <c r="UEA2" s="354"/>
      <c r="UEB2" s="354"/>
      <c r="UEC2" s="354"/>
      <c r="UED2" s="354"/>
      <c r="UEE2" s="354"/>
      <c r="UEF2" s="354"/>
      <c r="UEG2" s="354"/>
      <c r="UEH2" s="354"/>
      <c r="UEI2" s="354"/>
      <c r="UEJ2" s="354"/>
      <c r="UEK2" s="354"/>
      <c r="UEL2" s="354"/>
      <c r="UEM2" s="354"/>
      <c r="UEN2" s="354"/>
      <c r="UEO2" s="354"/>
      <c r="UEP2" s="354"/>
      <c r="UEQ2" s="354"/>
      <c r="UER2" s="354"/>
      <c r="UES2" s="354"/>
      <c r="UET2" s="354"/>
      <c r="UEU2" s="354"/>
      <c r="UEV2" s="354"/>
      <c r="UEW2" s="354"/>
      <c r="UEX2" s="354"/>
      <c r="UEY2" s="354"/>
      <c r="UEZ2" s="354"/>
      <c r="UFA2" s="354"/>
      <c r="UFB2" s="354"/>
      <c r="UFC2" s="354"/>
      <c r="UFD2" s="354"/>
      <c r="UFE2" s="354"/>
      <c r="UFF2" s="354"/>
      <c r="UFG2" s="354"/>
      <c r="UFH2" s="354"/>
      <c r="UFI2" s="354"/>
      <c r="UFJ2" s="354"/>
      <c r="UFK2" s="354"/>
      <c r="UFL2" s="354"/>
      <c r="UFM2" s="354"/>
      <c r="UFN2" s="354"/>
      <c r="UFO2" s="354"/>
      <c r="UFP2" s="354"/>
      <c r="UFQ2" s="354"/>
      <c r="UFR2" s="354"/>
      <c r="UFS2" s="354"/>
      <c r="UFT2" s="354"/>
      <c r="UFU2" s="354"/>
      <c r="UFV2" s="354"/>
      <c r="UFW2" s="354"/>
      <c r="UFX2" s="354"/>
      <c r="UFY2" s="354"/>
      <c r="UFZ2" s="354"/>
      <c r="UGA2" s="354"/>
      <c r="UGB2" s="354"/>
      <c r="UGC2" s="354"/>
      <c r="UGD2" s="354"/>
      <c r="UGE2" s="354"/>
      <c r="UGF2" s="354"/>
      <c r="UGG2" s="354"/>
      <c r="UGH2" s="354"/>
      <c r="UGI2" s="354"/>
      <c r="UGJ2" s="354"/>
      <c r="UGK2" s="354"/>
      <c r="UGL2" s="354"/>
      <c r="UGM2" s="354"/>
      <c r="UGN2" s="354"/>
      <c r="UGO2" s="354"/>
      <c r="UGP2" s="354"/>
      <c r="UGQ2" s="354"/>
      <c r="UGR2" s="354"/>
      <c r="UGS2" s="354"/>
      <c r="UGT2" s="354"/>
      <c r="UGU2" s="354"/>
      <c r="UGV2" s="354"/>
      <c r="UGW2" s="354"/>
      <c r="UGX2" s="354"/>
      <c r="UGY2" s="354"/>
      <c r="UGZ2" s="354"/>
      <c r="UHA2" s="354"/>
      <c r="UHB2" s="354"/>
      <c r="UHC2" s="354"/>
      <c r="UHD2" s="354"/>
      <c r="UHE2" s="354"/>
      <c r="UHF2" s="354"/>
      <c r="UHG2" s="354"/>
      <c r="UHH2" s="354"/>
      <c r="UHI2" s="354"/>
      <c r="UHJ2" s="354"/>
      <c r="UHK2" s="354"/>
      <c r="UHL2" s="354"/>
      <c r="UHM2" s="354"/>
      <c r="UHN2" s="354"/>
      <c r="UHO2" s="354"/>
      <c r="UHP2" s="354"/>
      <c r="UHQ2" s="354"/>
      <c r="UHR2" s="354"/>
      <c r="UHS2" s="354"/>
      <c r="UHT2" s="354"/>
      <c r="UHU2" s="354"/>
      <c r="UHV2" s="354"/>
      <c r="UHW2" s="354"/>
      <c r="UHX2" s="354"/>
      <c r="UHY2" s="354"/>
      <c r="UHZ2" s="354"/>
      <c r="UIA2" s="354"/>
      <c r="UIB2" s="354"/>
      <c r="UIC2" s="354"/>
      <c r="UID2" s="354"/>
      <c r="UIE2" s="354"/>
      <c r="UIF2" s="354"/>
      <c r="UIG2" s="354"/>
      <c r="UIH2" s="354"/>
      <c r="UII2" s="354"/>
      <c r="UIJ2" s="354"/>
      <c r="UIK2" s="354"/>
      <c r="UIL2" s="354"/>
      <c r="UIM2" s="354"/>
      <c r="UIN2" s="354"/>
      <c r="UIO2" s="354"/>
      <c r="UIP2" s="354"/>
      <c r="UIQ2" s="354"/>
      <c r="UIR2" s="354"/>
      <c r="UIS2" s="354"/>
      <c r="UIT2" s="354"/>
      <c r="UIU2" s="354"/>
      <c r="UIV2" s="354"/>
      <c r="UIW2" s="354"/>
      <c r="UIX2" s="354"/>
      <c r="UIY2" s="354"/>
      <c r="UIZ2" s="354"/>
      <c r="UJA2" s="354"/>
      <c r="UJB2" s="354"/>
      <c r="UJC2" s="354"/>
      <c r="UJD2" s="354"/>
      <c r="UJE2" s="354"/>
      <c r="UJF2" s="354"/>
      <c r="UJG2" s="354"/>
      <c r="UJH2" s="354"/>
      <c r="UJI2" s="354"/>
      <c r="UJJ2" s="354"/>
      <c r="UJK2" s="354"/>
      <c r="UJL2" s="354"/>
      <c r="UJM2" s="354"/>
      <c r="UJN2" s="354"/>
      <c r="UJO2" s="354"/>
      <c r="UJP2" s="354"/>
      <c r="UJQ2" s="354"/>
      <c r="UJR2" s="354"/>
      <c r="UJS2" s="354"/>
      <c r="UJT2" s="354"/>
      <c r="UJU2" s="354"/>
      <c r="UJV2" s="354"/>
      <c r="UJW2" s="354"/>
      <c r="UJX2" s="354"/>
      <c r="UJY2" s="354"/>
      <c r="UJZ2" s="354"/>
      <c r="UKA2" s="354"/>
      <c r="UKB2" s="354"/>
      <c r="UKC2" s="354"/>
      <c r="UKD2" s="354"/>
      <c r="UKE2" s="354"/>
      <c r="UKF2" s="354"/>
      <c r="UKG2" s="354"/>
      <c r="UKH2" s="354"/>
      <c r="UKI2" s="354"/>
      <c r="UKJ2" s="354"/>
      <c r="UKK2" s="354"/>
      <c r="UKL2" s="354"/>
      <c r="UKM2" s="354"/>
      <c r="UKN2" s="354"/>
      <c r="UKO2" s="354"/>
      <c r="UKP2" s="354"/>
      <c r="UKQ2" s="354"/>
      <c r="UKR2" s="354"/>
      <c r="UKS2" s="354"/>
      <c r="UKT2" s="354"/>
      <c r="UKU2" s="354"/>
      <c r="UKV2" s="354"/>
      <c r="UKW2" s="354"/>
      <c r="UKX2" s="354"/>
      <c r="UKY2" s="354"/>
      <c r="UKZ2" s="354"/>
      <c r="ULA2" s="354"/>
      <c r="ULB2" s="354"/>
      <c r="ULC2" s="354"/>
      <c r="ULD2" s="354"/>
      <c r="ULE2" s="354"/>
      <c r="ULF2" s="354"/>
      <c r="ULG2" s="354"/>
      <c r="ULH2" s="354"/>
      <c r="ULI2" s="354"/>
      <c r="ULJ2" s="354"/>
      <c r="ULK2" s="354"/>
      <c r="ULL2" s="354"/>
      <c r="ULM2" s="354"/>
      <c r="ULN2" s="354"/>
      <c r="ULO2" s="354"/>
      <c r="ULP2" s="354"/>
      <c r="ULQ2" s="354"/>
      <c r="ULR2" s="354"/>
      <c r="ULS2" s="354"/>
      <c r="ULT2" s="354"/>
      <c r="ULU2" s="354"/>
      <c r="ULV2" s="354"/>
      <c r="ULW2" s="354"/>
      <c r="ULX2" s="354"/>
      <c r="ULY2" s="354"/>
      <c r="ULZ2" s="354"/>
      <c r="UMA2" s="354"/>
      <c r="UMB2" s="354"/>
      <c r="UMC2" s="354"/>
      <c r="UMD2" s="354"/>
      <c r="UME2" s="354"/>
      <c r="UMF2" s="354"/>
      <c r="UMG2" s="354"/>
      <c r="UMH2" s="354"/>
      <c r="UMI2" s="354"/>
      <c r="UMJ2" s="354"/>
      <c r="UMK2" s="354"/>
      <c r="UML2" s="354"/>
      <c r="UMM2" s="354"/>
      <c r="UMN2" s="354"/>
      <c r="UMO2" s="354"/>
      <c r="UMP2" s="354"/>
      <c r="UMQ2" s="354"/>
      <c r="UMR2" s="354"/>
      <c r="UMS2" s="354"/>
      <c r="UMT2" s="354"/>
      <c r="UMU2" s="354"/>
      <c r="UMV2" s="354"/>
      <c r="UMW2" s="354"/>
      <c r="UMX2" s="354"/>
      <c r="UMY2" s="354"/>
      <c r="UMZ2" s="354"/>
      <c r="UNA2" s="354"/>
      <c r="UNB2" s="354"/>
      <c r="UNC2" s="354"/>
      <c r="UND2" s="354"/>
      <c r="UNE2" s="354"/>
      <c r="UNF2" s="354"/>
      <c r="UNG2" s="354"/>
      <c r="UNH2" s="354"/>
      <c r="UNI2" s="354"/>
      <c r="UNJ2" s="354"/>
      <c r="UNK2" s="354"/>
      <c r="UNL2" s="354"/>
      <c r="UNM2" s="354"/>
      <c r="UNN2" s="354"/>
      <c r="UNO2" s="354"/>
      <c r="UNP2" s="354"/>
      <c r="UNQ2" s="354"/>
      <c r="UNR2" s="354"/>
      <c r="UNS2" s="354"/>
      <c r="UNT2" s="354"/>
      <c r="UNU2" s="354"/>
      <c r="UNV2" s="354"/>
      <c r="UNW2" s="354"/>
      <c r="UNX2" s="354"/>
      <c r="UNY2" s="354"/>
      <c r="UNZ2" s="354"/>
      <c r="UOA2" s="354"/>
      <c r="UOB2" s="354"/>
      <c r="UOC2" s="354"/>
      <c r="UOD2" s="354"/>
      <c r="UOE2" s="354"/>
      <c r="UOF2" s="354"/>
      <c r="UOG2" s="354"/>
      <c r="UOH2" s="354"/>
      <c r="UOI2" s="354"/>
      <c r="UOJ2" s="354"/>
      <c r="UOK2" s="354"/>
      <c r="UOL2" s="354"/>
      <c r="UOM2" s="354"/>
      <c r="UON2" s="354"/>
      <c r="UOO2" s="354"/>
      <c r="UOP2" s="354"/>
      <c r="UOQ2" s="354"/>
      <c r="UOR2" s="354"/>
      <c r="UOS2" s="354"/>
      <c r="UOT2" s="354"/>
      <c r="UOU2" s="354"/>
      <c r="UOV2" s="354"/>
      <c r="UOW2" s="354"/>
      <c r="UOX2" s="354"/>
      <c r="UOY2" s="354"/>
      <c r="UOZ2" s="354"/>
      <c r="UPA2" s="354"/>
      <c r="UPB2" s="354"/>
      <c r="UPC2" s="354"/>
      <c r="UPD2" s="354"/>
      <c r="UPE2" s="354"/>
      <c r="UPF2" s="354"/>
      <c r="UPG2" s="354"/>
      <c r="UPH2" s="354"/>
      <c r="UPI2" s="354"/>
      <c r="UPJ2" s="354"/>
      <c r="UPK2" s="354"/>
      <c r="UPL2" s="354"/>
      <c r="UPM2" s="354"/>
      <c r="UPN2" s="354"/>
      <c r="UPO2" s="354"/>
      <c r="UPP2" s="354"/>
      <c r="UPQ2" s="354"/>
      <c r="UPR2" s="354"/>
      <c r="UPS2" s="354"/>
      <c r="UPT2" s="354"/>
      <c r="UPU2" s="354"/>
      <c r="UPV2" s="354"/>
      <c r="UPW2" s="354"/>
      <c r="UPX2" s="354"/>
      <c r="UPY2" s="354"/>
      <c r="UPZ2" s="354"/>
      <c r="UQA2" s="354"/>
      <c r="UQB2" s="354"/>
      <c r="UQC2" s="354"/>
      <c r="UQD2" s="354"/>
      <c r="UQE2" s="354"/>
      <c r="UQF2" s="354"/>
      <c r="UQG2" s="354"/>
      <c r="UQH2" s="354"/>
      <c r="UQI2" s="354"/>
      <c r="UQJ2" s="354"/>
      <c r="UQK2" s="354"/>
      <c r="UQL2" s="354"/>
      <c r="UQM2" s="354"/>
      <c r="UQN2" s="354"/>
      <c r="UQO2" s="354"/>
      <c r="UQP2" s="354"/>
      <c r="UQQ2" s="354"/>
      <c r="UQR2" s="354"/>
      <c r="UQS2" s="354"/>
      <c r="UQT2" s="354"/>
      <c r="UQU2" s="354"/>
      <c r="UQV2" s="354"/>
      <c r="UQW2" s="354"/>
      <c r="UQX2" s="354"/>
      <c r="UQY2" s="354"/>
      <c r="UQZ2" s="354"/>
      <c r="URA2" s="354"/>
      <c r="URB2" s="354"/>
      <c r="URC2" s="354"/>
      <c r="URD2" s="354"/>
      <c r="URE2" s="354"/>
      <c r="URF2" s="354"/>
      <c r="URG2" s="354"/>
      <c r="URH2" s="354"/>
      <c r="URI2" s="354"/>
      <c r="URJ2" s="354"/>
      <c r="URK2" s="354"/>
      <c r="URL2" s="354"/>
      <c r="URM2" s="354"/>
      <c r="URN2" s="354"/>
      <c r="URO2" s="354"/>
      <c r="URP2" s="354"/>
      <c r="URQ2" s="354"/>
      <c r="URR2" s="354"/>
      <c r="URS2" s="354"/>
      <c r="URT2" s="354"/>
      <c r="URU2" s="354"/>
      <c r="URV2" s="354"/>
      <c r="URW2" s="354"/>
      <c r="URX2" s="354"/>
      <c r="URY2" s="354"/>
      <c r="URZ2" s="354"/>
      <c r="USA2" s="354"/>
      <c r="USB2" s="354"/>
      <c r="USC2" s="354"/>
      <c r="USD2" s="354"/>
      <c r="USE2" s="354"/>
      <c r="USF2" s="354"/>
      <c r="USG2" s="354"/>
      <c r="USH2" s="354"/>
      <c r="USI2" s="354"/>
      <c r="USJ2" s="354"/>
      <c r="USK2" s="354"/>
      <c r="USL2" s="354"/>
      <c r="USM2" s="354"/>
      <c r="USN2" s="354"/>
      <c r="USO2" s="354"/>
      <c r="USP2" s="354"/>
      <c r="USQ2" s="354"/>
      <c r="USR2" s="354"/>
      <c r="USS2" s="354"/>
      <c r="UST2" s="354"/>
      <c r="USU2" s="354"/>
      <c r="USV2" s="354"/>
      <c r="USW2" s="354"/>
      <c r="USX2" s="354"/>
      <c r="USY2" s="354"/>
      <c r="USZ2" s="354"/>
      <c r="UTA2" s="354"/>
      <c r="UTB2" s="354"/>
      <c r="UTC2" s="354"/>
      <c r="UTD2" s="354"/>
      <c r="UTE2" s="354"/>
      <c r="UTF2" s="354"/>
      <c r="UTG2" s="354"/>
      <c r="UTH2" s="354"/>
      <c r="UTI2" s="354"/>
      <c r="UTJ2" s="354"/>
      <c r="UTK2" s="354"/>
      <c r="UTL2" s="354"/>
      <c r="UTM2" s="354"/>
      <c r="UTN2" s="354"/>
      <c r="UTO2" s="354"/>
      <c r="UTP2" s="354"/>
      <c r="UTQ2" s="354"/>
      <c r="UTR2" s="354"/>
      <c r="UTS2" s="354"/>
      <c r="UTT2" s="354"/>
      <c r="UTU2" s="354"/>
      <c r="UTV2" s="354"/>
      <c r="UTW2" s="354"/>
      <c r="UTX2" s="354"/>
      <c r="UTY2" s="354"/>
      <c r="UTZ2" s="354"/>
      <c r="UUA2" s="354"/>
      <c r="UUB2" s="354"/>
      <c r="UUC2" s="354"/>
      <c r="UUD2" s="354"/>
      <c r="UUE2" s="354"/>
      <c r="UUF2" s="354"/>
      <c r="UUG2" s="354"/>
      <c r="UUH2" s="354"/>
      <c r="UUI2" s="354"/>
      <c r="UUJ2" s="354"/>
      <c r="UUK2" s="354"/>
      <c r="UUL2" s="354"/>
      <c r="UUM2" s="354"/>
      <c r="UUN2" s="354"/>
      <c r="UUO2" s="354"/>
      <c r="UUP2" s="354"/>
      <c r="UUQ2" s="354"/>
      <c r="UUR2" s="354"/>
      <c r="UUS2" s="354"/>
      <c r="UUT2" s="354"/>
      <c r="UUU2" s="354"/>
      <c r="UUV2" s="354"/>
      <c r="UUW2" s="354"/>
      <c r="UUX2" s="354"/>
      <c r="UUY2" s="354"/>
      <c r="UUZ2" s="354"/>
      <c r="UVA2" s="354"/>
      <c r="UVB2" s="354"/>
      <c r="UVC2" s="354"/>
      <c r="UVD2" s="354"/>
      <c r="UVE2" s="354"/>
      <c r="UVF2" s="354"/>
      <c r="UVG2" s="354"/>
      <c r="UVH2" s="354"/>
      <c r="UVI2" s="354"/>
      <c r="UVJ2" s="354"/>
      <c r="UVK2" s="354"/>
      <c r="UVL2" s="354"/>
      <c r="UVM2" s="354"/>
      <c r="UVN2" s="354"/>
      <c r="UVO2" s="354"/>
      <c r="UVP2" s="354"/>
      <c r="UVQ2" s="354"/>
      <c r="UVR2" s="354"/>
      <c r="UVS2" s="354"/>
      <c r="UVT2" s="354"/>
      <c r="UVU2" s="354"/>
      <c r="UVV2" s="354"/>
      <c r="UVW2" s="354"/>
      <c r="UVX2" s="354"/>
      <c r="UVY2" s="354"/>
      <c r="UVZ2" s="354"/>
      <c r="UWA2" s="354"/>
      <c r="UWB2" s="354"/>
      <c r="UWC2" s="354"/>
      <c r="UWD2" s="354"/>
      <c r="UWE2" s="354"/>
      <c r="UWF2" s="354"/>
      <c r="UWG2" s="354"/>
      <c r="UWH2" s="354"/>
      <c r="UWI2" s="354"/>
      <c r="UWJ2" s="354"/>
      <c r="UWK2" s="354"/>
      <c r="UWL2" s="354"/>
      <c r="UWM2" s="354"/>
      <c r="UWN2" s="354"/>
      <c r="UWO2" s="354"/>
      <c r="UWP2" s="354"/>
      <c r="UWQ2" s="354"/>
      <c r="UWR2" s="354"/>
      <c r="UWS2" s="354"/>
      <c r="UWT2" s="354"/>
      <c r="UWU2" s="354"/>
      <c r="UWV2" s="354"/>
      <c r="UWW2" s="354"/>
      <c r="UWX2" s="354"/>
      <c r="UWY2" s="354"/>
      <c r="UWZ2" s="354"/>
      <c r="UXA2" s="354"/>
      <c r="UXB2" s="354"/>
      <c r="UXC2" s="354"/>
      <c r="UXD2" s="354"/>
      <c r="UXE2" s="354"/>
      <c r="UXF2" s="354"/>
      <c r="UXG2" s="354"/>
      <c r="UXH2" s="354"/>
      <c r="UXI2" s="354"/>
      <c r="UXJ2" s="354"/>
      <c r="UXK2" s="354"/>
      <c r="UXL2" s="354"/>
      <c r="UXM2" s="354"/>
      <c r="UXN2" s="354"/>
      <c r="UXO2" s="354"/>
      <c r="UXP2" s="354"/>
      <c r="UXQ2" s="354"/>
      <c r="UXR2" s="354"/>
      <c r="UXS2" s="354"/>
      <c r="UXT2" s="354"/>
      <c r="UXU2" s="354"/>
      <c r="UXV2" s="354"/>
      <c r="UXW2" s="354"/>
      <c r="UXX2" s="354"/>
      <c r="UXY2" s="354"/>
      <c r="UXZ2" s="354"/>
      <c r="UYA2" s="354"/>
      <c r="UYB2" s="354"/>
      <c r="UYC2" s="354"/>
      <c r="UYD2" s="354"/>
      <c r="UYE2" s="354"/>
      <c r="UYF2" s="354"/>
      <c r="UYG2" s="354"/>
      <c r="UYH2" s="354"/>
      <c r="UYI2" s="354"/>
      <c r="UYJ2" s="354"/>
      <c r="UYK2" s="354"/>
      <c r="UYL2" s="354"/>
      <c r="UYM2" s="354"/>
      <c r="UYN2" s="354"/>
      <c r="UYO2" s="354"/>
      <c r="UYP2" s="354"/>
      <c r="UYQ2" s="354"/>
      <c r="UYR2" s="354"/>
      <c r="UYS2" s="354"/>
      <c r="UYT2" s="354"/>
      <c r="UYU2" s="354"/>
      <c r="UYV2" s="354"/>
      <c r="UYW2" s="354"/>
      <c r="UYX2" s="354"/>
      <c r="UYY2" s="354"/>
      <c r="UYZ2" s="354"/>
      <c r="UZA2" s="354"/>
      <c r="UZB2" s="354"/>
      <c r="UZC2" s="354"/>
      <c r="UZD2" s="354"/>
      <c r="UZE2" s="354"/>
      <c r="UZF2" s="354"/>
      <c r="UZG2" s="354"/>
      <c r="UZH2" s="354"/>
      <c r="UZI2" s="354"/>
      <c r="UZJ2" s="354"/>
      <c r="UZK2" s="354"/>
      <c r="UZL2" s="354"/>
      <c r="UZM2" s="354"/>
      <c r="UZN2" s="354"/>
      <c r="UZO2" s="354"/>
      <c r="UZP2" s="354"/>
      <c r="UZQ2" s="354"/>
      <c r="UZR2" s="354"/>
      <c r="UZS2" s="354"/>
      <c r="UZT2" s="354"/>
      <c r="UZU2" s="354"/>
      <c r="UZV2" s="354"/>
      <c r="UZW2" s="354"/>
      <c r="UZX2" s="354"/>
      <c r="UZY2" s="354"/>
      <c r="UZZ2" s="354"/>
      <c r="VAA2" s="354"/>
      <c r="VAB2" s="354"/>
      <c r="VAC2" s="354"/>
      <c r="VAD2" s="354"/>
      <c r="VAE2" s="354"/>
      <c r="VAF2" s="354"/>
      <c r="VAG2" s="354"/>
      <c r="VAH2" s="354"/>
      <c r="VAI2" s="354"/>
      <c r="VAJ2" s="354"/>
      <c r="VAK2" s="354"/>
      <c r="VAL2" s="354"/>
      <c r="VAM2" s="354"/>
      <c r="VAN2" s="354"/>
      <c r="VAO2" s="354"/>
      <c r="VAP2" s="354"/>
      <c r="VAQ2" s="354"/>
      <c r="VAR2" s="354"/>
      <c r="VAS2" s="354"/>
      <c r="VAT2" s="354"/>
      <c r="VAU2" s="354"/>
      <c r="VAV2" s="354"/>
      <c r="VAW2" s="354"/>
      <c r="VAX2" s="354"/>
      <c r="VAY2" s="354"/>
      <c r="VAZ2" s="354"/>
      <c r="VBA2" s="354"/>
      <c r="VBB2" s="354"/>
      <c r="VBC2" s="354"/>
      <c r="VBD2" s="354"/>
      <c r="VBE2" s="354"/>
      <c r="VBF2" s="354"/>
      <c r="VBG2" s="354"/>
      <c r="VBH2" s="354"/>
      <c r="VBI2" s="354"/>
      <c r="VBJ2" s="354"/>
      <c r="VBK2" s="354"/>
      <c r="VBL2" s="354"/>
      <c r="VBM2" s="354"/>
      <c r="VBN2" s="354"/>
      <c r="VBO2" s="354"/>
      <c r="VBP2" s="354"/>
      <c r="VBQ2" s="354"/>
      <c r="VBR2" s="354"/>
      <c r="VBS2" s="354"/>
      <c r="VBT2" s="354"/>
      <c r="VBU2" s="354"/>
      <c r="VBV2" s="354"/>
      <c r="VBW2" s="354"/>
      <c r="VBX2" s="354"/>
      <c r="VBY2" s="354"/>
      <c r="VBZ2" s="354"/>
      <c r="VCA2" s="354"/>
      <c r="VCB2" s="354"/>
      <c r="VCC2" s="354"/>
      <c r="VCD2" s="354"/>
      <c r="VCE2" s="354"/>
      <c r="VCF2" s="354"/>
      <c r="VCG2" s="354"/>
      <c r="VCH2" s="354"/>
      <c r="VCI2" s="354"/>
      <c r="VCJ2" s="354"/>
      <c r="VCK2" s="354"/>
      <c r="VCL2" s="354"/>
      <c r="VCM2" s="354"/>
      <c r="VCN2" s="354"/>
      <c r="VCO2" s="354"/>
      <c r="VCP2" s="354"/>
      <c r="VCQ2" s="354"/>
      <c r="VCR2" s="354"/>
      <c r="VCS2" s="354"/>
      <c r="VCT2" s="354"/>
      <c r="VCU2" s="354"/>
      <c r="VCV2" s="354"/>
      <c r="VCW2" s="354"/>
      <c r="VCX2" s="354"/>
      <c r="VCY2" s="354"/>
      <c r="VCZ2" s="354"/>
      <c r="VDA2" s="354"/>
      <c r="VDB2" s="354"/>
      <c r="VDC2" s="354"/>
      <c r="VDD2" s="354"/>
      <c r="VDE2" s="354"/>
      <c r="VDF2" s="354"/>
      <c r="VDG2" s="354"/>
      <c r="VDH2" s="354"/>
      <c r="VDI2" s="354"/>
      <c r="VDJ2" s="354"/>
      <c r="VDK2" s="354"/>
      <c r="VDL2" s="354"/>
      <c r="VDM2" s="354"/>
      <c r="VDN2" s="354"/>
      <c r="VDO2" s="354"/>
      <c r="VDP2" s="354"/>
      <c r="VDQ2" s="354"/>
      <c r="VDR2" s="354"/>
      <c r="VDS2" s="354"/>
      <c r="VDT2" s="354"/>
      <c r="VDU2" s="354"/>
      <c r="VDV2" s="354"/>
      <c r="VDW2" s="354"/>
      <c r="VDX2" s="354"/>
      <c r="VDY2" s="354"/>
      <c r="VDZ2" s="354"/>
      <c r="VEA2" s="354"/>
      <c r="VEB2" s="354"/>
      <c r="VEC2" s="354"/>
      <c r="VED2" s="354"/>
      <c r="VEE2" s="354"/>
      <c r="VEF2" s="354"/>
      <c r="VEG2" s="354"/>
      <c r="VEH2" s="354"/>
      <c r="VEI2" s="354"/>
      <c r="VEJ2" s="354"/>
      <c r="VEK2" s="354"/>
      <c r="VEL2" s="354"/>
      <c r="VEM2" s="354"/>
      <c r="VEN2" s="354"/>
      <c r="VEO2" s="354"/>
      <c r="VEP2" s="354"/>
      <c r="VEQ2" s="354"/>
      <c r="VER2" s="354"/>
      <c r="VES2" s="354"/>
      <c r="VET2" s="354"/>
      <c r="VEU2" s="354"/>
      <c r="VEV2" s="354"/>
      <c r="VEW2" s="354"/>
      <c r="VEX2" s="354"/>
      <c r="VEY2" s="354"/>
      <c r="VEZ2" s="354"/>
      <c r="VFA2" s="354"/>
      <c r="VFB2" s="354"/>
      <c r="VFC2" s="354"/>
      <c r="VFD2" s="354"/>
      <c r="VFE2" s="354"/>
      <c r="VFF2" s="354"/>
      <c r="VFG2" s="354"/>
      <c r="VFH2" s="354"/>
      <c r="VFI2" s="354"/>
      <c r="VFJ2" s="354"/>
      <c r="VFK2" s="354"/>
      <c r="VFL2" s="354"/>
      <c r="VFM2" s="354"/>
      <c r="VFN2" s="354"/>
      <c r="VFO2" s="354"/>
      <c r="VFP2" s="354"/>
      <c r="VFQ2" s="354"/>
      <c r="VFR2" s="354"/>
      <c r="VFS2" s="354"/>
      <c r="VFT2" s="354"/>
      <c r="VFU2" s="354"/>
      <c r="VFV2" s="354"/>
      <c r="VFW2" s="354"/>
      <c r="VFX2" s="354"/>
      <c r="VFY2" s="354"/>
      <c r="VFZ2" s="354"/>
      <c r="VGA2" s="354"/>
      <c r="VGB2" s="354"/>
      <c r="VGC2" s="354"/>
      <c r="VGD2" s="354"/>
      <c r="VGE2" s="354"/>
      <c r="VGF2" s="354"/>
      <c r="VGG2" s="354"/>
      <c r="VGH2" s="354"/>
      <c r="VGI2" s="354"/>
      <c r="VGJ2" s="354"/>
      <c r="VGK2" s="354"/>
      <c r="VGL2" s="354"/>
      <c r="VGM2" s="354"/>
      <c r="VGN2" s="354"/>
      <c r="VGO2" s="354"/>
      <c r="VGP2" s="354"/>
      <c r="VGQ2" s="354"/>
      <c r="VGR2" s="354"/>
      <c r="VGS2" s="354"/>
      <c r="VGT2" s="354"/>
      <c r="VGU2" s="354"/>
      <c r="VGV2" s="354"/>
      <c r="VGW2" s="354"/>
      <c r="VGX2" s="354"/>
      <c r="VGY2" s="354"/>
      <c r="VGZ2" s="354"/>
      <c r="VHA2" s="354"/>
      <c r="VHB2" s="354"/>
      <c r="VHC2" s="354"/>
      <c r="VHD2" s="354"/>
      <c r="VHE2" s="354"/>
      <c r="VHF2" s="354"/>
      <c r="VHG2" s="354"/>
      <c r="VHH2" s="354"/>
      <c r="VHI2" s="354"/>
      <c r="VHJ2" s="354"/>
      <c r="VHK2" s="354"/>
      <c r="VHL2" s="354"/>
      <c r="VHM2" s="354"/>
      <c r="VHN2" s="354"/>
      <c r="VHO2" s="354"/>
      <c r="VHP2" s="354"/>
      <c r="VHQ2" s="354"/>
      <c r="VHR2" s="354"/>
      <c r="VHS2" s="354"/>
      <c r="VHT2" s="354"/>
      <c r="VHU2" s="354"/>
      <c r="VHV2" s="354"/>
      <c r="VHW2" s="354"/>
      <c r="VHX2" s="354"/>
      <c r="VHY2" s="354"/>
      <c r="VHZ2" s="354"/>
      <c r="VIA2" s="354"/>
      <c r="VIB2" s="354"/>
      <c r="VIC2" s="354"/>
      <c r="VID2" s="354"/>
      <c r="VIE2" s="354"/>
      <c r="VIF2" s="354"/>
      <c r="VIG2" s="354"/>
      <c r="VIH2" s="354"/>
      <c r="VII2" s="354"/>
      <c r="VIJ2" s="354"/>
      <c r="VIK2" s="354"/>
      <c r="VIL2" s="354"/>
      <c r="VIM2" s="354"/>
      <c r="VIN2" s="354"/>
      <c r="VIO2" s="354"/>
      <c r="VIP2" s="354"/>
      <c r="VIQ2" s="354"/>
      <c r="VIR2" s="354"/>
      <c r="VIS2" s="354"/>
      <c r="VIT2" s="354"/>
      <c r="VIU2" s="354"/>
      <c r="VIV2" s="354"/>
      <c r="VIW2" s="354"/>
      <c r="VIX2" s="354"/>
      <c r="VIY2" s="354"/>
      <c r="VIZ2" s="354"/>
      <c r="VJA2" s="354"/>
      <c r="VJB2" s="354"/>
      <c r="VJC2" s="354"/>
      <c r="VJD2" s="354"/>
      <c r="VJE2" s="354"/>
      <c r="VJF2" s="354"/>
      <c r="VJG2" s="354"/>
      <c r="VJH2" s="354"/>
      <c r="VJI2" s="354"/>
      <c r="VJJ2" s="354"/>
      <c r="VJK2" s="354"/>
      <c r="VJL2" s="354"/>
      <c r="VJM2" s="354"/>
      <c r="VJN2" s="354"/>
      <c r="VJO2" s="354"/>
      <c r="VJP2" s="354"/>
      <c r="VJQ2" s="354"/>
      <c r="VJR2" s="354"/>
      <c r="VJS2" s="354"/>
      <c r="VJT2" s="354"/>
      <c r="VJU2" s="354"/>
      <c r="VJV2" s="354"/>
      <c r="VJW2" s="354"/>
      <c r="VJX2" s="354"/>
      <c r="VJY2" s="354"/>
      <c r="VJZ2" s="354"/>
      <c r="VKA2" s="354"/>
      <c r="VKB2" s="354"/>
      <c r="VKC2" s="354"/>
      <c r="VKD2" s="354"/>
      <c r="VKE2" s="354"/>
      <c r="VKF2" s="354"/>
      <c r="VKG2" s="354"/>
      <c r="VKH2" s="354"/>
      <c r="VKI2" s="354"/>
      <c r="VKJ2" s="354"/>
      <c r="VKK2" s="354"/>
      <c r="VKL2" s="354"/>
      <c r="VKM2" s="354"/>
      <c r="VKN2" s="354"/>
      <c r="VKO2" s="354"/>
      <c r="VKP2" s="354"/>
      <c r="VKQ2" s="354"/>
      <c r="VKR2" s="354"/>
      <c r="VKS2" s="354"/>
      <c r="VKT2" s="354"/>
      <c r="VKU2" s="354"/>
      <c r="VKV2" s="354"/>
      <c r="VKW2" s="354"/>
      <c r="VKX2" s="354"/>
      <c r="VKY2" s="354"/>
      <c r="VKZ2" s="354"/>
      <c r="VLA2" s="354"/>
      <c r="VLB2" s="354"/>
      <c r="VLC2" s="354"/>
      <c r="VLD2" s="354"/>
      <c r="VLE2" s="354"/>
      <c r="VLF2" s="354"/>
      <c r="VLG2" s="354"/>
      <c r="VLH2" s="354"/>
      <c r="VLI2" s="354"/>
      <c r="VLJ2" s="354"/>
      <c r="VLK2" s="354"/>
      <c r="VLL2" s="354"/>
      <c r="VLM2" s="354"/>
      <c r="VLN2" s="354"/>
      <c r="VLO2" s="354"/>
      <c r="VLP2" s="354"/>
      <c r="VLQ2" s="354"/>
      <c r="VLR2" s="354"/>
      <c r="VLS2" s="354"/>
      <c r="VLT2" s="354"/>
      <c r="VLU2" s="354"/>
      <c r="VLV2" s="354"/>
      <c r="VLW2" s="354"/>
      <c r="VLX2" s="354"/>
      <c r="VLY2" s="354"/>
      <c r="VLZ2" s="354"/>
      <c r="VMA2" s="354"/>
      <c r="VMB2" s="354"/>
      <c r="VMC2" s="354"/>
      <c r="VMD2" s="354"/>
      <c r="VME2" s="354"/>
      <c r="VMF2" s="354"/>
      <c r="VMG2" s="354"/>
      <c r="VMH2" s="354"/>
      <c r="VMI2" s="354"/>
      <c r="VMJ2" s="354"/>
      <c r="VMK2" s="354"/>
      <c r="VML2" s="354"/>
      <c r="VMM2" s="354"/>
      <c r="VMN2" s="354"/>
      <c r="VMO2" s="354"/>
      <c r="VMP2" s="354"/>
      <c r="VMQ2" s="354"/>
      <c r="VMR2" s="354"/>
      <c r="VMS2" s="354"/>
      <c r="VMT2" s="354"/>
      <c r="VMU2" s="354"/>
      <c r="VMV2" s="354"/>
      <c r="VMW2" s="354"/>
      <c r="VMX2" s="354"/>
      <c r="VMY2" s="354"/>
      <c r="VMZ2" s="354"/>
      <c r="VNA2" s="354"/>
      <c r="VNB2" s="354"/>
      <c r="VNC2" s="354"/>
      <c r="VND2" s="354"/>
      <c r="VNE2" s="354"/>
      <c r="VNF2" s="354"/>
      <c r="VNG2" s="354"/>
      <c r="VNH2" s="354"/>
      <c r="VNI2" s="354"/>
      <c r="VNJ2" s="354"/>
      <c r="VNK2" s="354"/>
      <c r="VNL2" s="354"/>
      <c r="VNM2" s="354"/>
      <c r="VNN2" s="354"/>
      <c r="VNO2" s="354"/>
      <c r="VNP2" s="354"/>
      <c r="VNQ2" s="354"/>
      <c r="VNR2" s="354"/>
      <c r="VNS2" s="354"/>
      <c r="VNT2" s="354"/>
      <c r="VNU2" s="354"/>
      <c r="VNV2" s="354"/>
      <c r="VNW2" s="354"/>
      <c r="VNX2" s="354"/>
      <c r="VNY2" s="354"/>
      <c r="VNZ2" s="354"/>
      <c r="VOA2" s="354"/>
      <c r="VOB2" s="354"/>
      <c r="VOC2" s="354"/>
      <c r="VOD2" s="354"/>
      <c r="VOE2" s="354"/>
      <c r="VOF2" s="354"/>
      <c r="VOG2" s="354"/>
      <c r="VOH2" s="354"/>
      <c r="VOI2" s="354"/>
      <c r="VOJ2" s="354"/>
      <c r="VOK2" s="354"/>
      <c r="VOL2" s="354"/>
      <c r="VOM2" s="354"/>
      <c r="VON2" s="354"/>
      <c r="VOO2" s="354"/>
      <c r="VOP2" s="354"/>
      <c r="VOQ2" s="354"/>
      <c r="VOR2" s="354"/>
      <c r="VOS2" s="354"/>
      <c r="VOT2" s="354"/>
      <c r="VOU2" s="354"/>
      <c r="VOV2" s="354"/>
      <c r="VOW2" s="354"/>
      <c r="VOX2" s="354"/>
      <c r="VOY2" s="354"/>
      <c r="VOZ2" s="354"/>
      <c r="VPA2" s="354"/>
      <c r="VPB2" s="354"/>
      <c r="VPC2" s="354"/>
      <c r="VPD2" s="354"/>
      <c r="VPE2" s="354"/>
      <c r="VPF2" s="354"/>
      <c r="VPG2" s="354"/>
      <c r="VPH2" s="354"/>
      <c r="VPI2" s="354"/>
      <c r="VPJ2" s="354"/>
      <c r="VPK2" s="354"/>
      <c r="VPL2" s="354"/>
      <c r="VPM2" s="354"/>
      <c r="VPN2" s="354"/>
      <c r="VPO2" s="354"/>
      <c r="VPP2" s="354"/>
      <c r="VPQ2" s="354"/>
      <c r="VPR2" s="354"/>
      <c r="VPS2" s="354"/>
      <c r="VPT2" s="354"/>
      <c r="VPU2" s="354"/>
      <c r="VPV2" s="354"/>
      <c r="VPW2" s="354"/>
      <c r="VPX2" s="354"/>
      <c r="VPY2" s="354"/>
      <c r="VPZ2" s="354"/>
      <c r="VQA2" s="354"/>
      <c r="VQB2" s="354"/>
      <c r="VQC2" s="354"/>
      <c r="VQD2" s="354"/>
      <c r="VQE2" s="354"/>
      <c r="VQF2" s="354"/>
      <c r="VQG2" s="354"/>
      <c r="VQH2" s="354"/>
      <c r="VQI2" s="354"/>
      <c r="VQJ2" s="354"/>
      <c r="VQK2" s="354"/>
      <c r="VQL2" s="354"/>
      <c r="VQM2" s="354"/>
      <c r="VQN2" s="354"/>
      <c r="VQO2" s="354"/>
      <c r="VQP2" s="354"/>
      <c r="VQQ2" s="354"/>
      <c r="VQR2" s="354"/>
      <c r="VQS2" s="354"/>
      <c r="VQT2" s="354"/>
      <c r="VQU2" s="354"/>
      <c r="VQV2" s="354"/>
      <c r="VQW2" s="354"/>
      <c r="VQX2" s="354"/>
      <c r="VQY2" s="354"/>
      <c r="VQZ2" s="354"/>
      <c r="VRA2" s="354"/>
      <c r="VRB2" s="354"/>
      <c r="VRC2" s="354"/>
      <c r="VRD2" s="354"/>
      <c r="VRE2" s="354"/>
      <c r="VRF2" s="354"/>
      <c r="VRG2" s="354"/>
      <c r="VRH2" s="354"/>
      <c r="VRI2" s="354"/>
      <c r="VRJ2" s="354"/>
      <c r="VRK2" s="354"/>
      <c r="VRL2" s="354"/>
      <c r="VRM2" s="354"/>
      <c r="VRN2" s="354"/>
      <c r="VRO2" s="354"/>
      <c r="VRP2" s="354"/>
      <c r="VRQ2" s="354"/>
      <c r="VRR2" s="354"/>
      <c r="VRS2" s="354"/>
      <c r="VRT2" s="354"/>
      <c r="VRU2" s="354"/>
      <c r="VRV2" s="354"/>
      <c r="VRW2" s="354"/>
      <c r="VRX2" s="354"/>
      <c r="VRY2" s="354"/>
      <c r="VRZ2" s="354"/>
      <c r="VSA2" s="354"/>
      <c r="VSB2" s="354"/>
      <c r="VSC2" s="354"/>
      <c r="VSD2" s="354"/>
      <c r="VSE2" s="354"/>
      <c r="VSF2" s="354"/>
      <c r="VSG2" s="354"/>
      <c r="VSH2" s="354"/>
      <c r="VSI2" s="354"/>
      <c r="VSJ2" s="354"/>
      <c r="VSK2" s="354"/>
      <c r="VSL2" s="354"/>
      <c r="VSM2" s="354"/>
      <c r="VSN2" s="354"/>
      <c r="VSO2" s="354"/>
      <c r="VSP2" s="354"/>
      <c r="VSQ2" s="354"/>
      <c r="VSR2" s="354"/>
      <c r="VSS2" s="354"/>
      <c r="VST2" s="354"/>
      <c r="VSU2" s="354"/>
      <c r="VSV2" s="354"/>
      <c r="VSW2" s="354"/>
      <c r="VSX2" s="354"/>
      <c r="VSY2" s="354"/>
      <c r="VSZ2" s="354"/>
      <c r="VTA2" s="354"/>
      <c r="VTB2" s="354"/>
      <c r="VTC2" s="354"/>
      <c r="VTD2" s="354"/>
      <c r="VTE2" s="354"/>
      <c r="VTF2" s="354"/>
      <c r="VTG2" s="354"/>
      <c r="VTH2" s="354"/>
      <c r="VTI2" s="354"/>
      <c r="VTJ2" s="354"/>
      <c r="VTK2" s="354"/>
      <c r="VTL2" s="354"/>
      <c r="VTM2" s="354"/>
      <c r="VTN2" s="354"/>
      <c r="VTO2" s="354"/>
      <c r="VTP2" s="354"/>
      <c r="VTQ2" s="354"/>
      <c r="VTR2" s="354"/>
      <c r="VTS2" s="354"/>
      <c r="VTT2" s="354"/>
      <c r="VTU2" s="354"/>
      <c r="VTV2" s="354"/>
      <c r="VTW2" s="354"/>
      <c r="VTX2" s="354"/>
      <c r="VTY2" s="354"/>
      <c r="VTZ2" s="354"/>
      <c r="VUA2" s="354"/>
      <c r="VUB2" s="354"/>
      <c r="VUC2" s="354"/>
      <c r="VUD2" s="354"/>
      <c r="VUE2" s="354"/>
      <c r="VUF2" s="354"/>
      <c r="VUG2" s="354"/>
      <c r="VUH2" s="354"/>
      <c r="VUI2" s="354"/>
      <c r="VUJ2" s="354"/>
      <c r="VUK2" s="354"/>
      <c r="VUL2" s="354"/>
      <c r="VUM2" s="354"/>
      <c r="VUN2" s="354"/>
      <c r="VUO2" s="354"/>
      <c r="VUP2" s="354"/>
      <c r="VUQ2" s="354"/>
      <c r="VUR2" s="354"/>
      <c r="VUS2" s="354"/>
      <c r="VUT2" s="354"/>
      <c r="VUU2" s="354"/>
      <c r="VUV2" s="354"/>
      <c r="VUW2" s="354"/>
      <c r="VUX2" s="354"/>
      <c r="VUY2" s="354"/>
      <c r="VUZ2" s="354"/>
      <c r="VVA2" s="354"/>
      <c r="VVB2" s="354"/>
      <c r="VVC2" s="354"/>
      <c r="VVD2" s="354"/>
      <c r="VVE2" s="354"/>
      <c r="VVF2" s="354"/>
      <c r="VVG2" s="354"/>
      <c r="VVH2" s="354"/>
      <c r="VVI2" s="354"/>
      <c r="VVJ2" s="354"/>
      <c r="VVK2" s="354"/>
      <c r="VVL2" s="354"/>
      <c r="VVM2" s="354"/>
      <c r="VVN2" s="354"/>
      <c r="VVO2" s="354"/>
      <c r="VVP2" s="354"/>
      <c r="VVQ2" s="354"/>
      <c r="VVR2" s="354"/>
      <c r="VVS2" s="354"/>
      <c r="VVT2" s="354"/>
      <c r="VVU2" s="354"/>
      <c r="VVV2" s="354"/>
      <c r="VVW2" s="354"/>
      <c r="VVX2" s="354"/>
      <c r="VVY2" s="354"/>
      <c r="VVZ2" s="354"/>
      <c r="VWA2" s="354"/>
      <c r="VWB2" s="354"/>
      <c r="VWC2" s="354"/>
      <c r="VWD2" s="354"/>
      <c r="VWE2" s="354"/>
      <c r="VWF2" s="354"/>
      <c r="VWG2" s="354"/>
      <c r="VWH2" s="354"/>
      <c r="VWI2" s="354"/>
      <c r="VWJ2" s="354"/>
      <c r="VWK2" s="354"/>
      <c r="VWL2" s="354"/>
      <c r="VWM2" s="354"/>
      <c r="VWN2" s="354"/>
      <c r="VWO2" s="354"/>
      <c r="VWP2" s="354"/>
      <c r="VWQ2" s="354"/>
      <c r="VWR2" s="354"/>
      <c r="VWS2" s="354"/>
      <c r="VWT2" s="354"/>
      <c r="VWU2" s="354"/>
      <c r="VWV2" s="354"/>
      <c r="VWW2" s="354"/>
      <c r="VWX2" s="354"/>
      <c r="VWY2" s="354"/>
      <c r="VWZ2" s="354"/>
      <c r="VXA2" s="354"/>
      <c r="VXB2" s="354"/>
      <c r="VXC2" s="354"/>
      <c r="VXD2" s="354"/>
      <c r="VXE2" s="354"/>
      <c r="VXF2" s="354"/>
      <c r="VXG2" s="354"/>
      <c r="VXH2" s="354"/>
      <c r="VXI2" s="354"/>
      <c r="VXJ2" s="354"/>
      <c r="VXK2" s="354"/>
      <c r="VXL2" s="354"/>
      <c r="VXM2" s="354"/>
      <c r="VXN2" s="354"/>
      <c r="VXO2" s="354"/>
      <c r="VXP2" s="354"/>
      <c r="VXQ2" s="354"/>
      <c r="VXR2" s="354"/>
      <c r="VXS2" s="354"/>
      <c r="VXT2" s="354"/>
      <c r="VXU2" s="354"/>
      <c r="VXV2" s="354"/>
      <c r="VXW2" s="354"/>
      <c r="VXX2" s="354"/>
      <c r="VXY2" s="354"/>
      <c r="VXZ2" s="354"/>
      <c r="VYA2" s="354"/>
      <c r="VYB2" s="354"/>
      <c r="VYC2" s="354"/>
      <c r="VYD2" s="354"/>
      <c r="VYE2" s="354"/>
      <c r="VYF2" s="354"/>
      <c r="VYG2" s="354"/>
      <c r="VYH2" s="354"/>
      <c r="VYI2" s="354"/>
      <c r="VYJ2" s="354"/>
      <c r="VYK2" s="354"/>
      <c r="VYL2" s="354"/>
      <c r="VYM2" s="354"/>
      <c r="VYN2" s="354"/>
      <c r="VYO2" s="354"/>
      <c r="VYP2" s="354"/>
      <c r="VYQ2" s="354"/>
      <c r="VYR2" s="354"/>
      <c r="VYS2" s="354"/>
      <c r="VYT2" s="354"/>
      <c r="VYU2" s="354"/>
      <c r="VYV2" s="354"/>
      <c r="VYW2" s="354"/>
      <c r="VYX2" s="354"/>
      <c r="VYY2" s="354"/>
      <c r="VYZ2" s="354"/>
      <c r="VZA2" s="354"/>
      <c r="VZB2" s="354"/>
      <c r="VZC2" s="354"/>
      <c r="VZD2" s="354"/>
      <c r="VZE2" s="354"/>
      <c r="VZF2" s="354"/>
      <c r="VZG2" s="354"/>
      <c r="VZH2" s="354"/>
      <c r="VZI2" s="354"/>
      <c r="VZJ2" s="354"/>
      <c r="VZK2" s="354"/>
      <c r="VZL2" s="354"/>
      <c r="VZM2" s="354"/>
      <c r="VZN2" s="354"/>
      <c r="VZO2" s="354"/>
      <c r="VZP2" s="354"/>
      <c r="VZQ2" s="354"/>
      <c r="VZR2" s="354"/>
      <c r="VZS2" s="354"/>
      <c r="VZT2" s="354"/>
      <c r="VZU2" s="354"/>
      <c r="VZV2" s="354"/>
      <c r="VZW2" s="354"/>
      <c r="VZX2" s="354"/>
      <c r="VZY2" s="354"/>
      <c r="VZZ2" s="354"/>
      <c r="WAA2" s="354"/>
      <c r="WAB2" s="354"/>
      <c r="WAC2" s="354"/>
      <c r="WAD2" s="354"/>
      <c r="WAE2" s="354"/>
      <c r="WAF2" s="354"/>
      <c r="WAG2" s="354"/>
      <c r="WAH2" s="354"/>
      <c r="WAI2" s="354"/>
      <c r="WAJ2" s="354"/>
      <c r="WAK2" s="354"/>
      <c r="WAL2" s="354"/>
      <c r="WAM2" s="354"/>
      <c r="WAN2" s="354"/>
      <c r="WAO2" s="354"/>
      <c r="WAP2" s="354"/>
      <c r="WAQ2" s="354"/>
      <c r="WAR2" s="354"/>
      <c r="WAS2" s="354"/>
      <c r="WAT2" s="354"/>
      <c r="WAU2" s="354"/>
      <c r="WAV2" s="354"/>
      <c r="WAW2" s="354"/>
      <c r="WAX2" s="354"/>
      <c r="WAY2" s="354"/>
      <c r="WAZ2" s="354"/>
      <c r="WBA2" s="354"/>
      <c r="WBB2" s="354"/>
      <c r="WBC2" s="354"/>
      <c r="WBD2" s="354"/>
      <c r="WBE2" s="354"/>
      <c r="WBF2" s="354"/>
      <c r="WBG2" s="354"/>
      <c r="WBH2" s="354"/>
      <c r="WBI2" s="354"/>
      <c r="WBJ2" s="354"/>
      <c r="WBK2" s="354"/>
      <c r="WBL2" s="354"/>
      <c r="WBM2" s="354"/>
      <c r="WBN2" s="354"/>
      <c r="WBO2" s="354"/>
      <c r="WBP2" s="354"/>
      <c r="WBQ2" s="354"/>
      <c r="WBR2" s="354"/>
      <c r="WBS2" s="354"/>
      <c r="WBT2" s="354"/>
      <c r="WBU2" s="354"/>
      <c r="WBV2" s="354"/>
      <c r="WBW2" s="354"/>
      <c r="WBX2" s="354"/>
      <c r="WBY2" s="354"/>
      <c r="WBZ2" s="354"/>
      <c r="WCA2" s="354"/>
      <c r="WCB2" s="354"/>
      <c r="WCC2" s="354"/>
      <c r="WCD2" s="354"/>
      <c r="WCE2" s="354"/>
      <c r="WCF2" s="354"/>
      <c r="WCG2" s="354"/>
      <c r="WCH2" s="354"/>
      <c r="WCI2" s="354"/>
      <c r="WCJ2" s="354"/>
      <c r="WCK2" s="354"/>
      <c r="WCL2" s="354"/>
      <c r="WCM2" s="354"/>
      <c r="WCN2" s="354"/>
      <c r="WCO2" s="354"/>
      <c r="WCP2" s="354"/>
      <c r="WCQ2" s="354"/>
      <c r="WCR2" s="354"/>
      <c r="WCS2" s="354"/>
      <c r="WCT2" s="354"/>
      <c r="WCU2" s="354"/>
      <c r="WCV2" s="354"/>
      <c r="WCW2" s="354"/>
      <c r="WCX2" s="354"/>
      <c r="WCY2" s="354"/>
      <c r="WCZ2" s="354"/>
      <c r="WDA2" s="354"/>
      <c r="WDB2" s="354"/>
      <c r="WDC2" s="354"/>
      <c r="WDD2" s="354"/>
      <c r="WDE2" s="354"/>
      <c r="WDF2" s="354"/>
      <c r="WDG2" s="354"/>
      <c r="WDH2" s="354"/>
      <c r="WDI2" s="354"/>
      <c r="WDJ2" s="354"/>
      <c r="WDK2" s="354"/>
      <c r="WDL2" s="354"/>
      <c r="WDM2" s="354"/>
      <c r="WDN2" s="354"/>
      <c r="WDO2" s="354"/>
      <c r="WDP2" s="354"/>
      <c r="WDQ2" s="354"/>
      <c r="WDR2" s="354"/>
      <c r="WDS2" s="354"/>
      <c r="WDT2" s="354"/>
      <c r="WDU2" s="354"/>
      <c r="WDV2" s="354"/>
      <c r="WDW2" s="354"/>
      <c r="WDX2" s="354"/>
      <c r="WDY2" s="354"/>
      <c r="WDZ2" s="354"/>
      <c r="WEA2" s="354"/>
      <c r="WEB2" s="354"/>
      <c r="WEC2" s="354"/>
      <c r="WED2" s="354"/>
      <c r="WEE2" s="354"/>
      <c r="WEF2" s="354"/>
      <c r="WEG2" s="354"/>
      <c r="WEH2" s="354"/>
      <c r="WEI2" s="354"/>
      <c r="WEJ2" s="354"/>
      <c r="WEK2" s="354"/>
      <c r="WEL2" s="354"/>
      <c r="WEM2" s="354"/>
      <c r="WEN2" s="354"/>
      <c r="WEO2" s="354"/>
      <c r="WEP2" s="354"/>
      <c r="WEQ2" s="354"/>
      <c r="WER2" s="354"/>
      <c r="WES2" s="354"/>
      <c r="WET2" s="354"/>
      <c r="WEU2" s="354"/>
      <c r="WEV2" s="354"/>
      <c r="WEW2" s="354"/>
      <c r="WEX2" s="354"/>
      <c r="WEY2" s="354"/>
      <c r="WEZ2" s="354"/>
      <c r="WFA2" s="354"/>
      <c r="WFB2" s="354"/>
      <c r="WFC2" s="354"/>
      <c r="WFD2" s="354"/>
      <c r="WFE2" s="354"/>
      <c r="WFF2" s="354"/>
      <c r="WFG2" s="354"/>
      <c r="WFH2" s="354"/>
      <c r="WFI2" s="354"/>
      <c r="WFJ2" s="354"/>
      <c r="WFK2" s="354"/>
      <c r="WFL2" s="354"/>
      <c r="WFM2" s="354"/>
      <c r="WFN2" s="354"/>
      <c r="WFO2" s="354"/>
      <c r="WFP2" s="354"/>
      <c r="WFQ2" s="354"/>
      <c r="WFR2" s="354"/>
      <c r="WFS2" s="354"/>
      <c r="WFT2" s="354"/>
      <c r="WFU2" s="354"/>
      <c r="WFV2" s="354"/>
      <c r="WFW2" s="354"/>
      <c r="WFX2" s="354"/>
      <c r="WFY2" s="354"/>
      <c r="WFZ2" s="354"/>
      <c r="WGA2" s="354"/>
      <c r="WGB2" s="354"/>
      <c r="WGC2" s="354"/>
      <c r="WGD2" s="354"/>
      <c r="WGE2" s="354"/>
      <c r="WGF2" s="354"/>
      <c r="WGG2" s="354"/>
      <c r="WGH2" s="354"/>
      <c r="WGI2" s="354"/>
      <c r="WGJ2" s="354"/>
      <c r="WGK2" s="354"/>
      <c r="WGL2" s="354"/>
      <c r="WGM2" s="354"/>
      <c r="WGN2" s="354"/>
      <c r="WGO2" s="354"/>
      <c r="WGP2" s="354"/>
      <c r="WGQ2" s="354"/>
      <c r="WGR2" s="354"/>
      <c r="WGS2" s="354"/>
      <c r="WGT2" s="354"/>
      <c r="WGU2" s="354"/>
      <c r="WGV2" s="354"/>
      <c r="WGW2" s="354"/>
      <c r="WGX2" s="354"/>
      <c r="WGY2" s="354"/>
      <c r="WGZ2" s="354"/>
      <c r="WHA2" s="354"/>
      <c r="WHB2" s="354"/>
      <c r="WHC2" s="354"/>
      <c r="WHD2" s="354"/>
      <c r="WHE2" s="354"/>
      <c r="WHF2" s="354"/>
      <c r="WHG2" s="354"/>
      <c r="WHH2" s="354"/>
      <c r="WHI2" s="354"/>
      <c r="WHJ2" s="354"/>
      <c r="WHK2" s="354"/>
      <c r="WHL2" s="354"/>
      <c r="WHM2" s="354"/>
      <c r="WHN2" s="354"/>
      <c r="WHO2" s="354"/>
      <c r="WHP2" s="354"/>
      <c r="WHQ2" s="354"/>
      <c r="WHR2" s="354"/>
      <c r="WHS2" s="354"/>
      <c r="WHT2" s="354"/>
      <c r="WHU2" s="354"/>
      <c r="WHV2" s="354"/>
      <c r="WHW2" s="354"/>
      <c r="WHX2" s="354"/>
      <c r="WHY2" s="354"/>
      <c r="WHZ2" s="354"/>
      <c r="WIA2" s="354"/>
      <c r="WIB2" s="354"/>
      <c r="WIC2" s="354"/>
      <c r="WID2" s="354"/>
      <c r="WIE2" s="354"/>
      <c r="WIF2" s="354"/>
      <c r="WIG2" s="354"/>
      <c r="WIH2" s="354"/>
      <c r="WII2" s="354"/>
      <c r="WIJ2" s="354"/>
      <c r="WIK2" s="354"/>
      <c r="WIL2" s="354"/>
      <c r="WIM2" s="354"/>
      <c r="WIN2" s="354"/>
      <c r="WIO2" s="354"/>
      <c r="WIP2" s="354"/>
      <c r="WIQ2" s="354"/>
      <c r="WIR2" s="354"/>
      <c r="WIS2" s="354"/>
      <c r="WIT2" s="354"/>
      <c r="WIU2" s="354"/>
      <c r="WIV2" s="354"/>
      <c r="WIW2" s="354"/>
      <c r="WIX2" s="354"/>
      <c r="WIY2" s="354"/>
      <c r="WIZ2" s="354"/>
      <c r="WJA2" s="354"/>
      <c r="WJB2" s="354"/>
      <c r="WJC2" s="354"/>
      <c r="WJD2" s="354"/>
      <c r="WJE2" s="354"/>
      <c r="WJF2" s="354"/>
      <c r="WJG2" s="354"/>
      <c r="WJH2" s="354"/>
      <c r="WJI2" s="354"/>
      <c r="WJJ2" s="354"/>
      <c r="WJK2" s="354"/>
      <c r="WJL2" s="354"/>
      <c r="WJM2" s="354"/>
      <c r="WJN2" s="354"/>
      <c r="WJO2" s="354"/>
      <c r="WJP2" s="354"/>
      <c r="WJQ2" s="354"/>
      <c r="WJR2" s="354"/>
      <c r="WJS2" s="354"/>
      <c r="WJT2" s="354"/>
      <c r="WJU2" s="354"/>
      <c r="WJV2" s="354"/>
      <c r="WJW2" s="354"/>
      <c r="WJX2" s="354"/>
      <c r="WJY2" s="354"/>
      <c r="WJZ2" s="354"/>
      <c r="WKA2" s="354"/>
      <c r="WKB2" s="354"/>
      <c r="WKC2" s="354"/>
      <c r="WKD2" s="354"/>
      <c r="WKE2" s="354"/>
      <c r="WKF2" s="354"/>
      <c r="WKG2" s="354"/>
      <c r="WKH2" s="354"/>
      <c r="WKI2" s="354"/>
      <c r="WKJ2" s="354"/>
      <c r="WKK2" s="354"/>
      <c r="WKL2" s="354"/>
      <c r="WKM2" s="354"/>
      <c r="WKN2" s="354"/>
      <c r="WKO2" s="354"/>
      <c r="WKP2" s="354"/>
      <c r="WKQ2" s="354"/>
      <c r="WKR2" s="354"/>
      <c r="WKS2" s="354"/>
      <c r="WKT2" s="354"/>
      <c r="WKU2" s="354"/>
      <c r="WKV2" s="354"/>
      <c r="WKW2" s="354"/>
      <c r="WKX2" s="354"/>
      <c r="WKY2" s="354"/>
      <c r="WKZ2" s="354"/>
      <c r="WLA2" s="354"/>
      <c r="WLB2" s="354"/>
      <c r="WLC2" s="354"/>
      <c r="WLD2" s="354"/>
      <c r="WLE2" s="354"/>
      <c r="WLF2" s="354"/>
      <c r="WLG2" s="354"/>
      <c r="WLH2" s="354"/>
      <c r="WLI2" s="354"/>
      <c r="WLJ2" s="354"/>
      <c r="WLK2" s="354"/>
      <c r="WLL2" s="354"/>
      <c r="WLM2" s="354"/>
      <c r="WLN2" s="354"/>
      <c r="WLO2" s="354"/>
      <c r="WLP2" s="354"/>
      <c r="WLQ2" s="354"/>
      <c r="WLR2" s="354"/>
      <c r="WLS2" s="354"/>
      <c r="WLT2" s="354"/>
      <c r="WLU2" s="354"/>
      <c r="WLV2" s="354"/>
      <c r="WLW2" s="354"/>
      <c r="WLX2" s="354"/>
      <c r="WLY2" s="354"/>
      <c r="WLZ2" s="354"/>
      <c r="WMA2" s="354"/>
      <c r="WMB2" s="354"/>
      <c r="WMC2" s="354"/>
      <c r="WMD2" s="354"/>
      <c r="WME2" s="354"/>
      <c r="WMF2" s="354"/>
      <c r="WMG2" s="354"/>
      <c r="WMH2" s="354"/>
      <c r="WMI2" s="354"/>
      <c r="WMJ2" s="354"/>
      <c r="WMK2" s="354"/>
      <c r="WML2" s="354"/>
      <c r="WMM2" s="354"/>
      <c r="WMN2" s="354"/>
      <c r="WMO2" s="354"/>
      <c r="WMP2" s="354"/>
      <c r="WMQ2" s="354"/>
      <c r="WMR2" s="354"/>
      <c r="WMS2" s="354"/>
      <c r="WMT2" s="354"/>
      <c r="WMU2" s="354"/>
      <c r="WMV2" s="354"/>
      <c r="WMW2" s="354"/>
      <c r="WMX2" s="354"/>
      <c r="WMY2" s="354"/>
      <c r="WMZ2" s="354"/>
      <c r="WNA2" s="354"/>
      <c r="WNB2" s="354"/>
      <c r="WNC2" s="354"/>
      <c r="WND2" s="354"/>
      <c r="WNE2" s="354"/>
      <c r="WNF2" s="354"/>
      <c r="WNG2" s="354"/>
      <c r="WNH2" s="354"/>
      <c r="WNI2" s="354"/>
      <c r="WNJ2" s="354"/>
      <c r="WNK2" s="354"/>
      <c r="WNL2" s="354"/>
      <c r="WNM2" s="354"/>
      <c r="WNN2" s="354"/>
      <c r="WNO2" s="354"/>
      <c r="WNP2" s="354"/>
      <c r="WNQ2" s="354"/>
      <c r="WNR2" s="354"/>
      <c r="WNS2" s="354"/>
      <c r="WNT2" s="354"/>
      <c r="WNU2" s="354"/>
      <c r="WNV2" s="354"/>
      <c r="WNW2" s="354"/>
      <c r="WNX2" s="354"/>
      <c r="WNY2" s="354"/>
      <c r="WNZ2" s="354"/>
      <c r="WOA2" s="354"/>
      <c r="WOB2" s="354"/>
      <c r="WOC2" s="354"/>
      <c r="WOD2" s="354"/>
      <c r="WOE2" s="354"/>
      <c r="WOF2" s="354"/>
      <c r="WOG2" s="354"/>
      <c r="WOH2" s="354"/>
      <c r="WOI2" s="354"/>
      <c r="WOJ2" s="354"/>
      <c r="WOK2" s="354"/>
      <c r="WOL2" s="354"/>
      <c r="WOM2" s="354"/>
      <c r="WON2" s="354"/>
      <c r="WOO2" s="354"/>
      <c r="WOP2" s="354"/>
      <c r="WOQ2" s="354"/>
      <c r="WOR2" s="354"/>
      <c r="WOS2" s="354"/>
      <c r="WOT2" s="354"/>
      <c r="WOU2" s="354"/>
      <c r="WOV2" s="354"/>
      <c r="WOW2" s="354"/>
      <c r="WOX2" s="354"/>
      <c r="WOY2" s="354"/>
      <c r="WOZ2" s="354"/>
      <c r="WPA2" s="354"/>
      <c r="WPB2" s="354"/>
      <c r="WPC2" s="354"/>
      <c r="WPD2" s="354"/>
      <c r="WPE2" s="354"/>
      <c r="WPF2" s="354"/>
      <c r="WPG2" s="354"/>
      <c r="WPH2" s="354"/>
      <c r="WPI2" s="354"/>
      <c r="WPJ2" s="354"/>
      <c r="WPK2" s="354"/>
      <c r="WPL2" s="354"/>
      <c r="WPM2" s="354"/>
      <c r="WPN2" s="354"/>
      <c r="WPO2" s="354"/>
      <c r="WPP2" s="354"/>
      <c r="WPQ2" s="354"/>
      <c r="WPR2" s="354"/>
      <c r="WPS2" s="354"/>
      <c r="WPT2" s="354"/>
      <c r="WPU2" s="354"/>
      <c r="WPV2" s="354"/>
      <c r="WPW2" s="354"/>
      <c r="WPX2" s="354"/>
      <c r="WPY2" s="354"/>
      <c r="WPZ2" s="354"/>
      <c r="WQA2" s="354"/>
      <c r="WQB2" s="354"/>
      <c r="WQC2" s="354"/>
      <c r="WQD2" s="354"/>
      <c r="WQE2" s="354"/>
      <c r="WQF2" s="354"/>
      <c r="WQG2" s="354"/>
      <c r="WQH2" s="354"/>
      <c r="WQI2" s="354"/>
      <c r="WQJ2" s="354"/>
      <c r="WQK2" s="354"/>
      <c r="WQL2" s="354"/>
      <c r="WQM2" s="354"/>
      <c r="WQN2" s="354"/>
      <c r="WQO2" s="354"/>
      <c r="WQP2" s="354"/>
      <c r="WQQ2" s="354"/>
      <c r="WQR2" s="354"/>
      <c r="WQS2" s="354"/>
      <c r="WQT2" s="354"/>
      <c r="WQU2" s="354"/>
      <c r="WQV2" s="354"/>
      <c r="WQW2" s="354"/>
      <c r="WQX2" s="354"/>
      <c r="WQY2" s="354"/>
      <c r="WQZ2" s="354"/>
      <c r="WRA2" s="354"/>
      <c r="WRB2" s="354"/>
      <c r="WRC2" s="354"/>
      <c r="WRD2" s="354"/>
      <c r="WRE2" s="354"/>
      <c r="WRF2" s="354"/>
      <c r="WRG2" s="354"/>
      <c r="WRH2" s="354"/>
      <c r="WRI2" s="354"/>
      <c r="WRJ2" s="354"/>
      <c r="WRK2" s="354"/>
      <c r="WRL2" s="354"/>
      <c r="WRM2" s="354"/>
      <c r="WRN2" s="354"/>
      <c r="WRO2" s="354"/>
      <c r="WRP2" s="354"/>
      <c r="WRQ2" s="354"/>
      <c r="WRR2" s="354"/>
      <c r="WRS2" s="354"/>
      <c r="WRT2" s="354"/>
      <c r="WRU2" s="354"/>
      <c r="WRV2" s="354"/>
      <c r="WRW2" s="354"/>
      <c r="WRX2" s="354"/>
      <c r="WRY2" s="354"/>
      <c r="WRZ2" s="354"/>
      <c r="WSA2" s="354"/>
      <c r="WSB2" s="354"/>
      <c r="WSC2" s="354"/>
      <c r="WSD2" s="354"/>
      <c r="WSE2" s="354"/>
      <c r="WSF2" s="354"/>
      <c r="WSG2" s="354"/>
      <c r="WSH2" s="354"/>
      <c r="WSI2" s="354"/>
      <c r="WSJ2" s="354"/>
      <c r="WSK2" s="354"/>
      <c r="WSL2" s="354"/>
      <c r="WSM2" s="354"/>
      <c r="WSN2" s="354"/>
      <c r="WSO2" s="354"/>
      <c r="WSP2" s="354"/>
      <c r="WSQ2" s="354"/>
      <c r="WSR2" s="354"/>
      <c r="WSS2" s="354"/>
      <c r="WST2" s="354"/>
      <c r="WSU2" s="354"/>
      <c r="WSV2" s="354"/>
      <c r="WSW2" s="354"/>
      <c r="WSX2" s="354"/>
      <c r="WSY2" s="354"/>
      <c r="WSZ2" s="354"/>
      <c r="WTA2" s="354"/>
      <c r="WTB2" s="354"/>
      <c r="WTC2" s="354"/>
      <c r="WTD2" s="354"/>
      <c r="WTE2" s="354"/>
      <c r="WTF2" s="354"/>
      <c r="WTG2" s="354"/>
      <c r="WTH2" s="354"/>
      <c r="WTI2" s="354"/>
      <c r="WTJ2" s="354"/>
      <c r="WTK2" s="354"/>
      <c r="WTL2" s="354"/>
      <c r="WTM2" s="354"/>
      <c r="WTN2" s="354"/>
      <c r="WTO2" s="354"/>
      <c r="WTP2" s="354"/>
      <c r="WTQ2" s="354"/>
      <c r="WTR2" s="354"/>
      <c r="WTS2" s="354"/>
      <c r="WTT2" s="354"/>
      <c r="WTU2" s="354"/>
      <c r="WTV2" s="354"/>
      <c r="WTW2" s="354"/>
      <c r="WTX2" s="354"/>
      <c r="WTY2" s="354"/>
      <c r="WTZ2" s="354"/>
      <c r="WUA2" s="354"/>
      <c r="WUB2" s="354"/>
      <c r="WUC2" s="354"/>
      <c r="WUD2" s="354"/>
      <c r="WUE2" s="354"/>
      <c r="WUF2" s="354"/>
      <c r="WUG2" s="354"/>
      <c r="WUH2" s="354"/>
      <c r="WUI2" s="354"/>
      <c r="WUJ2" s="354"/>
      <c r="WUK2" s="354"/>
      <c r="WUL2" s="354"/>
      <c r="WUM2" s="354"/>
      <c r="WUN2" s="354"/>
      <c r="WUO2" s="354"/>
      <c r="WUP2" s="354"/>
      <c r="WUQ2" s="354"/>
      <c r="WUR2" s="354"/>
      <c r="WUS2" s="354"/>
      <c r="WUT2" s="354"/>
      <c r="WUU2" s="354"/>
      <c r="WUV2" s="354"/>
      <c r="WUW2" s="354"/>
      <c r="WUX2" s="354"/>
      <c r="WUY2" s="354"/>
      <c r="WUZ2" s="354"/>
      <c r="WVA2" s="354"/>
      <c r="WVB2" s="354"/>
      <c r="WVC2" s="354"/>
      <c r="WVD2" s="354"/>
      <c r="WVE2" s="354"/>
      <c r="WVF2" s="354"/>
      <c r="WVG2" s="354"/>
      <c r="WVH2" s="354"/>
      <c r="WVI2" s="354"/>
      <c r="WVJ2" s="354"/>
      <c r="WVK2" s="354"/>
      <c r="WVL2" s="354"/>
      <c r="WVM2" s="354"/>
      <c r="WVN2" s="354"/>
      <c r="WVO2" s="354"/>
      <c r="WVP2" s="354"/>
      <c r="WVQ2" s="354"/>
      <c r="WVR2" s="354"/>
      <c r="WVS2" s="354"/>
      <c r="WVT2" s="354"/>
      <c r="WVU2" s="354"/>
      <c r="WVV2" s="354"/>
      <c r="WVW2" s="354"/>
      <c r="WVX2" s="354"/>
      <c r="WVY2" s="354"/>
      <c r="WVZ2" s="354"/>
      <c r="WWA2" s="354"/>
      <c r="WWB2" s="354"/>
      <c r="WWC2" s="354"/>
      <c r="WWD2" s="354"/>
      <c r="WWE2" s="354"/>
      <c r="WWF2" s="354"/>
      <c r="WWG2" s="354"/>
      <c r="WWH2" s="354"/>
      <c r="WWI2" s="354"/>
      <c r="WWJ2" s="354"/>
      <c r="WWK2" s="354"/>
      <c r="WWL2" s="354"/>
      <c r="WWM2" s="354"/>
      <c r="WWN2" s="354"/>
      <c r="WWO2" s="354"/>
      <c r="WWP2" s="354"/>
      <c r="WWQ2" s="354"/>
      <c r="WWR2" s="354"/>
      <c r="WWS2" s="354"/>
      <c r="WWT2" s="354"/>
      <c r="WWU2" s="354"/>
      <c r="WWV2" s="354"/>
      <c r="WWW2" s="354"/>
      <c r="WWX2" s="354"/>
      <c r="WWY2" s="354"/>
      <c r="WWZ2" s="354"/>
      <c r="WXA2" s="354"/>
      <c r="WXB2" s="354"/>
      <c r="WXC2" s="354"/>
      <c r="WXD2" s="354"/>
      <c r="WXE2" s="354"/>
      <c r="WXF2" s="354"/>
      <c r="WXG2" s="354"/>
      <c r="WXH2" s="354"/>
      <c r="WXI2" s="354"/>
      <c r="WXJ2" s="354"/>
      <c r="WXK2" s="354"/>
      <c r="WXL2" s="354"/>
      <c r="WXM2" s="354"/>
      <c r="WXN2" s="354"/>
      <c r="WXO2" s="354"/>
      <c r="WXP2" s="354"/>
      <c r="WXQ2" s="354"/>
      <c r="WXR2" s="354"/>
      <c r="WXS2" s="354"/>
      <c r="WXT2" s="354"/>
      <c r="WXU2" s="354"/>
      <c r="WXV2" s="354"/>
      <c r="WXW2" s="354"/>
      <c r="WXX2" s="354"/>
      <c r="WXY2" s="354"/>
      <c r="WXZ2" s="354"/>
      <c r="WYA2" s="354"/>
      <c r="WYB2" s="354"/>
      <c r="WYC2" s="354"/>
      <c r="WYD2" s="354"/>
      <c r="WYE2" s="354"/>
      <c r="WYF2" s="354"/>
      <c r="WYG2" s="354"/>
      <c r="WYH2" s="354"/>
      <c r="WYI2" s="354"/>
      <c r="WYJ2" s="354"/>
      <c r="WYK2" s="354"/>
      <c r="WYL2" s="354"/>
      <c r="WYM2" s="354"/>
      <c r="WYN2" s="354"/>
      <c r="WYO2" s="354"/>
      <c r="WYP2" s="354"/>
      <c r="WYQ2" s="354"/>
      <c r="WYR2" s="354"/>
      <c r="WYS2" s="354"/>
      <c r="WYT2" s="354"/>
      <c r="WYU2" s="354"/>
      <c r="WYV2" s="354"/>
      <c r="WYW2" s="354"/>
      <c r="WYX2" s="354"/>
      <c r="WYY2" s="354"/>
      <c r="WYZ2" s="354"/>
      <c r="WZA2" s="354"/>
      <c r="WZB2" s="354"/>
      <c r="WZC2" s="354"/>
      <c r="WZD2" s="354"/>
      <c r="WZE2" s="354"/>
      <c r="WZF2" s="354"/>
      <c r="WZG2" s="354"/>
      <c r="WZH2" s="354"/>
      <c r="WZI2" s="354"/>
      <c r="WZJ2" s="354"/>
      <c r="WZK2" s="354"/>
      <c r="WZL2" s="354"/>
      <c r="WZM2" s="354"/>
      <c r="WZN2" s="354"/>
      <c r="WZO2" s="354"/>
      <c r="WZP2" s="354"/>
      <c r="WZQ2" s="354"/>
      <c r="WZR2" s="354"/>
      <c r="WZS2" s="354"/>
      <c r="WZT2" s="354"/>
      <c r="WZU2" s="354"/>
      <c r="WZV2" s="354"/>
      <c r="WZW2" s="354"/>
      <c r="WZX2" s="354"/>
      <c r="WZY2" s="354"/>
      <c r="WZZ2" s="354"/>
      <c r="XAA2" s="354"/>
      <c r="XAB2" s="354"/>
      <c r="XAC2" s="354"/>
      <c r="XAD2" s="354"/>
      <c r="XAE2" s="354"/>
      <c r="XAF2" s="354"/>
      <c r="XAG2" s="354"/>
      <c r="XAH2" s="354"/>
      <c r="XAI2" s="354"/>
      <c r="XAJ2" s="354"/>
      <c r="XAK2" s="354"/>
      <c r="XAL2" s="354"/>
      <c r="XAM2" s="354"/>
      <c r="XAN2" s="354"/>
      <c r="XAO2" s="354"/>
      <c r="XAP2" s="354"/>
      <c r="XAQ2" s="354"/>
      <c r="XAR2" s="354"/>
      <c r="XAS2" s="354"/>
      <c r="XAT2" s="354"/>
      <c r="XAU2" s="354"/>
      <c r="XAV2" s="354"/>
      <c r="XAW2" s="354"/>
      <c r="XAX2" s="354"/>
      <c r="XAY2" s="354"/>
      <c r="XAZ2" s="354"/>
      <c r="XBA2" s="354"/>
      <c r="XBB2" s="354"/>
      <c r="XBC2" s="354"/>
      <c r="XBD2" s="354"/>
      <c r="XBE2" s="354"/>
      <c r="XBF2" s="354"/>
      <c r="XBG2" s="354"/>
      <c r="XBH2" s="354"/>
      <c r="XBI2" s="354"/>
      <c r="XBJ2" s="354"/>
      <c r="XBK2" s="354"/>
      <c r="XBL2" s="354"/>
      <c r="XBM2" s="354"/>
      <c r="XBN2" s="354"/>
      <c r="XBO2" s="354"/>
      <c r="XBP2" s="354"/>
      <c r="XBQ2" s="354"/>
      <c r="XBR2" s="354"/>
      <c r="XBS2" s="354"/>
      <c r="XBT2" s="354"/>
      <c r="XBU2" s="354"/>
      <c r="XBV2" s="354"/>
      <c r="XBW2" s="354"/>
      <c r="XBX2" s="354"/>
      <c r="XBY2" s="354"/>
      <c r="XBZ2" s="354"/>
      <c r="XCA2" s="354"/>
      <c r="XCB2" s="354"/>
      <c r="XCC2" s="354"/>
      <c r="XCD2" s="354"/>
      <c r="XCE2" s="354"/>
      <c r="XCF2" s="354"/>
      <c r="XCG2" s="354"/>
      <c r="XCH2" s="354"/>
      <c r="XCI2" s="354"/>
      <c r="XCJ2" s="354"/>
      <c r="XCK2" s="354"/>
      <c r="XCL2" s="354"/>
      <c r="XCM2" s="354"/>
      <c r="XCN2" s="354"/>
      <c r="XCO2" s="354"/>
      <c r="XCP2" s="354"/>
      <c r="XCQ2" s="354"/>
      <c r="XCR2" s="354"/>
      <c r="XCS2" s="354"/>
      <c r="XCT2" s="354"/>
      <c r="XCU2" s="354"/>
      <c r="XCV2" s="354"/>
      <c r="XCW2" s="354"/>
      <c r="XCX2" s="354"/>
      <c r="XCY2" s="354"/>
      <c r="XCZ2" s="354"/>
      <c r="XDA2" s="354"/>
      <c r="XDB2" s="354"/>
      <c r="XDC2" s="354"/>
      <c r="XDD2" s="354"/>
      <c r="XDE2" s="354"/>
      <c r="XDF2" s="354"/>
      <c r="XDG2" s="354"/>
      <c r="XDH2" s="354"/>
      <c r="XDI2" s="354"/>
      <c r="XDJ2" s="354"/>
      <c r="XDK2" s="354"/>
      <c r="XDL2" s="354"/>
      <c r="XDM2" s="354"/>
      <c r="XDN2" s="354"/>
      <c r="XDO2" s="354"/>
      <c r="XDP2" s="354"/>
      <c r="XDQ2" s="354"/>
      <c r="XDR2" s="354"/>
      <c r="XDS2" s="354"/>
      <c r="XDT2" s="354"/>
      <c r="XDU2" s="354"/>
      <c r="XDV2" s="354"/>
      <c r="XDW2" s="354"/>
      <c r="XDX2" s="354"/>
      <c r="XDY2" s="354"/>
      <c r="XDZ2" s="354"/>
      <c r="XEA2" s="354"/>
      <c r="XEB2" s="354"/>
      <c r="XEC2" s="354"/>
      <c r="XED2" s="354"/>
      <c r="XEE2" s="354"/>
      <c r="XEF2" s="354"/>
      <c r="XEG2" s="354"/>
      <c r="XEH2" s="354"/>
      <c r="XEI2" s="354"/>
      <c r="XEJ2" s="354"/>
      <c r="XEK2" s="354"/>
      <c r="XEL2" s="354"/>
      <c r="XEM2" s="354"/>
      <c r="XEN2" s="354"/>
      <c r="XEO2" s="354"/>
      <c r="XEP2" s="354"/>
      <c r="XEQ2" s="354"/>
      <c r="XER2" s="354"/>
      <c r="XES2" s="354"/>
      <c r="XET2" s="354"/>
      <c r="XEU2" s="354"/>
    </row>
    <row r="3" spans="1:16375" ht="15" customHeight="1" x14ac:dyDescent="0.3">
      <c r="A3" s="21"/>
      <c r="B3" s="9"/>
      <c r="C3" s="9"/>
      <c r="D3" s="9"/>
      <c r="E3" s="9"/>
      <c r="F3" s="9"/>
      <c r="G3" s="9"/>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4"/>
      <c r="CJ3" s="354"/>
      <c r="CK3" s="354"/>
      <c r="CL3" s="354"/>
      <c r="CM3" s="354"/>
      <c r="CN3" s="354"/>
      <c r="CO3" s="354"/>
      <c r="CP3" s="354"/>
      <c r="CQ3" s="354"/>
      <c r="CR3" s="354"/>
      <c r="CS3" s="354"/>
      <c r="CT3" s="354"/>
      <c r="CU3" s="354"/>
      <c r="CV3" s="354"/>
      <c r="CW3" s="354"/>
      <c r="CX3" s="354"/>
      <c r="CY3" s="354"/>
      <c r="CZ3" s="354"/>
      <c r="DA3" s="354"/>
      <c r="DB3" s="354"/>
      <c r="DC3" s="354"/>
      <c r="DD3" s="354"/>
      <c r="DE3" s="354"/>
      <c r="DF3" s="354"/>
      <c r="DG3" s="354"/>
      <c r="DH3" s="354"/>
      <c r="DI3" s="354"/>
      <c r="DJ3" s="354"/>
      <c r="DK3" s="354"/>
      <c r="DL3" s="354"/>
      <c r="DM3" s="354"/>
      <c r="DN3" s="354"/>
      <c r="DO3" s="354"/>
      <c r="DP3" s="354"/>
      <c r="DQ3" s="354"/>
      <c r="DR3" s="354"/>
      <c r="DS3" s="354"/>
      <c r="DT3" s="354"/>
      <c r="DU3" s="354"/>
      <c r="DV3" s="354"/>
      <c r="DW3" s="354"/>
      <c r="DX3" s="354"/>
      <c r="DY3" s="354"/>
      <c r="DZ3" s="354"/>
      <c r="EA3" s="354"/>
      <c r="EB3" s="354"/>
      <c r="EC3" s="354"/>
      <c r="ED3" s="354"/>
      <c r="EE3" s="354"/>
      <c r="EF3" s="354"/>
      <c r="EG3" s="354"/>
      <c r="EH3" s="354"/>
      <c r="EI3" s="354"/>
      <c r="EJ3" s="354"/>
      <c r="EK3" s="354"/>
      <c r="EL3" s="354"/>
      <c r="EM3" s="354"/>
      <c r="EN3" s="354"/>
      <c r="EO3" s="354"/>
      <c r="EP3" s="354"/>
      <c r="EQ3" s="354"/>
      <c r="ER3" s="354"/>
      <c r="ES3" s="354"/>
      <c r="ET3" s="354"/>
      <c r="EU3" s="354"/>
      <c r="EV3" s="354"/>
      <c r="EW3" s="354"/>
      <c r="EX3" s="354"/>
      <c r="EY3" s="354"/>
      <c r="EZ3" s="354"/>
      <c r="FA3" s="354"/>
      <c r="FB3" s="354"/>
      <c r="FC3" s="354"/>
      <c r="FD3" s="354"/>
      <c r="FE3" s="354"/>
      <c r="FF3" s="354"/>
      <c r="FG3" s="354"/>
      <c r="FH3" s="354"/>
      <c r="FI3" s="354"/>
      <c r="FJ3" s="354"/>
      <c r="FK3" s="354"/>
      <c r="FL3" s="354"/>
      <c r="FM3" s="354"/>
      <c r="FN3" s="354"/>
      <c r="FO3" s="354"/>
      <c r="FP3" s="354"/>
      <c r="FQ3" s="354"/>
      <c r="FR3" s="354"/>
      <c r="FS3" s="354"/>
      <c r="FT3" s="354"/>
      <c r="FU3" s="354"/>
      <c r="FV3" s="354"/>
      <c r="FW3" s="354"/>
      <c r="FX3" s="354"/>
      <c r="FY3" s="354"/>
      <c r="FZ3" s="354"/>
      <c r="GA3" s="354"/>
      <c r="GB3" s="354"/>
      <c r="GC3" s="354"/>
      <c r="GD3" s="354"/>
      <c r="GE3" s="354"/>
      <c r="GF3" s="354"/>
      <c r="GG3" s="354"/>
      <c r="GH3" s="354"/>
      <c r="GI3" s="354"/>
      <c r="GJ3" s="354"/>
      <c r="GK3" s="354"/>
      <c r="GL3" s="354"/>
      <c r="GM3" s="354"/>
      <c r="GN3" s="354"/>
      <c r="GO3" s="354"/>
      <c r="GP3" s="354"/>
      <c r="GQ3" s="354"/>
      <c r="GR3" s="354"/>
      <c r="GS3" s="354"/>
      <c r="GT3" s="354"/>
      <c r="GU3" s="354"/>
      <c r="GV3" s="354"/>
      <c r="GW3" s="354"/>
      <c r="GX3" s="354"/>
      <c r="GY3" s="354"/>
      <c r="GZ3" s="354"/>
      <c r="HA3" s="354"/>
      <c r="HB3" s="354"/>
      <c r="HC3" s="354"/>
      <c r="HD3" s="354"/>
      <c r="HE3" s="354"/>
      <c r="HF3" s="354"/>
      <c r="HG3" s="354"/>
      <c r="HH3" s="354"/>
      <c r="HI3" s="354"/>
      <c r="HJ3" s="354"/>
      <c r="HK3" s="354"/>
      <c r="HL3" s="354"/>
      <c r="HM3" s="354"/>
      <c r="HN3" s="354"/>
      <c r="HO3" s="354"/>
      <c r="HP3" s="354"/>
      <c r="HQ3" s="354"/>
      <c r="HR3" s="354"/>
      <c r="HS3" s="354"/>
      <c r="HT3" s="354"/>
      <c r="HU3" s="354"/>
      <c r="HV3" s="354"/>
      <c r="HW3" s="354"/>
      <c r="HX3" s="354"/>
      <c r="HY3" s="354"/>
      <c r="HZ3" s="354"/>
      <c r="IA3" s="354"/>
      <c r="IB3" s="354"/>
      <c r="IC3" s="354"/>
      <c r="ID3" s="354"/>
      <c r="IE3" s="354"/>
      <c r="IF3" s="354"/>
      <c r="IG3" s="354"/>
      <c r="IH3" s="354"/>
      <c r="II3" s="354"/>
      <c r="IJ3" s="354"/>
      <c r="IK3" s="354"/>
      <c r="IL3" s="354"/>
      <c r="IM3" s="354"/>
      <c r="IN3" s="354"/>
      <c r="IO3" s="354"/>
      <c r="IP3" s="354"/>
      <c r="IQ3" s="354"/>
      <c r="IR3" s="354"/>
      <c r="IS3" s="354"/>
      <c r="IT3" s="354"/>
      <c r="IU3" s="354"/>
      <c r="IV3" s="354"/>
      <c r="IW3" s="354"/>
      <c r="IX3" s="354"/>
      <c r="IY3" s="354"/>
      <c r="IZ3" s="354"/>
      <c r="JA3" s="354"/>
      <c r="JB3" s="354"/>
      <c r="JC3" s="354"/>
      <c r="JD3" s="354"/>
      <c r="JE3" s="354"/>
      <c r="JF3" s="354"/>
      <c r="JG3" s="354"/>
      <c r="JH3" s="354"/>
      <c r="JI3" s="354"/>
      <c r="JJ3" s="354"/>
      <c r="JK3" s="354"/>
      <c r="JL3" s="354"/>
      <c r="JM3" s="354"/>
      <c r="JN3" s="354"/>
      <c r="JO3" s="354"/>
      <c r="JP3" s="354"/>
      <c r="JQ3" s="354"/>
      <c r="JR3" s="354"/>
      <c r="JS3" s="354"/>
      <c r="JT3" s="354"/>
      <c r="JU3" s="354"/>
      <c r="JV3" s="354"/>
      <c r="JW3" s="354"/>
      <c r="JX3" s="354"/>
      <c r="JY3" s="354"/>
      <c r="JZ3" s="354"/>
      <c r="KA3" s="354"/>
      <c r="KB3" s="354"/>
      <c r="KC3" s="354"/>
      <c r="KD3" s="354"/>
      <c r="KE3" s="354"/>
      <c r="KF3" s="354"/>
      <c r="KG3" s="354"/>
      <c r="KH3" s="354"/>
      <c r="KI3" s="354"/>
      <c r="KJ3" s="354"/>
      <c r="KK3" s="354"/>
      <c r="KL3" s="354"/>
      <c r="KM3" s="354"/>
      <c r="KN3" s="354"/>
      <c r="KO3" s="354"/>
      <c r="KP3" s="354"/>
      <c r="KQ3" s="354"/>
      <c r="KR3" s="354"/>
      <c r="KS3" s="354"/>
      <c r="KT3" s="354"/>
      <c r="KU3" s="354"/>
      <c r="KV3" s="354"/>
      <c r="KW3" s="354"/>
      <c r="KX3" s="354"/>
      <c r="KY3" s="354"/>
      <c r="KZ3" s="354"/>
      <c r="LA3" s="354"/>
      <c r="LB3" s="354"/>
      <c r="LC3" s="354"/>
      <c r="LD3" s="354"/>
      <c r="LE3" s="354"/>
      <c r="LF3" s="354"/>
      <c r="LG3" s="354"/>
      <c r="LH3" s="354"/>
      <c r="LI3" s="354"/>
      <c r="LJ3" s="354"/>
      <c r="LK3" s="354"/>
      <c r="LL3" s="354"/>
      <c r="LM3" s="354"/>
      <c r="LN3" s="354"/>
      <c r="LO3" s="354"/>
      <c r="LP3" s="354"/>
      <c r="LQ3" s="354"/>
      <c r="LR3" s="354"/>
      <c r="LS3" s="354"/>
      <c r="LT3" s="354"/>
      <c r="LU3" s="354"/>
      <c r="LV3" s="354"/>
      <c r="LW3" s="354"/>
      <c r="LX3" s="354"/>
      <c r="LY3" s="354"/>
      <c r="LZ3" s="354"/>
      <c r="MA3" s="354"/>
      <c r="MB3" s="354"/>
      <c r="MC3" s="354"/>
      <c r="MD3" s="354"/>
      <c r="ME3" s="354"/>
      <c r="MF3" s="354"/>
      <c r="MG3" s="354"/>
      <c r="MH3" s="354"/>
      <c r="MI3" s="354"/>
      <c r="MJ3" s="354"/>
      <c r="MK3" s="354"/>
      <c r="ML3" s="354"/>
      <c r="MM3" s="354"/>
      <c r="MN3" s="354"/>
      <c r="MO3" s="354"/>
      <c r="MP3" s="354"/>
      <c r="MQ3" s="354"/>
      <c r="MR3" s="354"/>
      <c r="MS3" s="354"/>
      <c r="MT3" s="354"/>
      <c r="MU3" s="354"/>
      <c r="MV3" s="354"/>
      <c r="MW3" s="354"/>
      <c r="MX3" s="354"/>
      <c r="MY3" s="354"/>
      <c r="MZ3" s="354"/>
      <c r="NA3" s="354"/>
      <c r="NB3" s="354"/>
      <c r="NC3" s="354"/>
      <c r="ND3" s="354"/>
      <c r="NE3" s="354"/>
      <c r="NF3" s="354"/>
      <c r="NG3" s="354"/>
      <c r="NH3" s="354"/>
      <c r="NI3" s="354"/>
      <c r="NJ3" s="354"/>
      <c r="NK3" s="354"/>
      <c r="NL3" s="354"/>
      <c r="NM3" s="354"/>
      <c r="NN3" s="354"/>
      <c r="NO3" s="354"/>
      <c r="NP3" s="354"/>
      <c r="NQ3" s="354"/>
      <c r="NR3" s="354"/>
      <c r="NS3" s="354"/>
      <c r="NT3" s="354"/>
      <c r="NU3" s="354"/>
      <c r="NV3" s="354"/>
      <c r="NW3" s="354"/>
      <c r="NX3" s="354"/>
      <c r="NY3" s="354"/>
      <c r="NZ3" s="354"/>
      <c r="OA3" s="354"/>
      <c r="OB3" s="354"/>
      <c r="OC3" s="354"/>
      <c r="OD3" s="354"/>
      <c r="OE3" s="354"/>
      <c r="OF3" s="354"/>
      <c r="OG3" s="354"/>
      <c r="OH3" s="354"/>
      <c r="OI3" s="354"/>
      <c r="OJ3" s="354"/>
      <c r="OK3" s="354"/>
      <c r="OL3" s="354"/>
      <c r="OM3" s="354"/>
      <c r="ON3" s="354"/>
      <c r="OO3" s="354"/>
      <c r="OP3" s="354"/>
      <c r="OQ3" s="354"/>
      <c r="OR3" s="354"/>
      <c r="OS3" s="354"/>
      <c r="OT3" s="354"/>
      <c r="OU3" s="354"/>
      <c r="OV3" s="354"/>
      <c r="OW3" s="354"/>
      <c r="OX3" s="354"/>
      <c r="OY3" s="354"/>
      <c r="OZ3" s="354"/>
      <c r="PA3" s="354"/>
      <c r="PB3" s="354"/>
      <c r="PC3" s="354"/>
      <c r="PD3" s="354"/>
      <c r="PE3" s="354"/>
      <c r="PF3" s="354"/>
      <c r="PG3" s="354"/>
      <c r="PH3" s="354"/>
      <c r="PI3" s="354"/>
      <c r="PJ3" s="354"/>
      <c r="PK3" s="354"/>
      <c r="PL3" s="354"/>
      <c r="PM3" s="354"/>
      <c r="PN3" s="354"/>
      <c r="PO3" s="354"/>
      <c r="PP3" s="354"/>
      <c r="PQ3" s="354"/>
      <c r="PR3" s="354"/>
      <c r="PS3" s="354"/>
      <c r="PT3" s="354"/>
      <c r="PU3" s="354"/>
      <c r="PV3" s="354"/>
      <c r="PW3" s="354"/>
      <c r="PX3" s="354"/>
      <c r="PY3" s="354"/>
      <c r="PZ3" s="354"/>
      <c r="QA3" s="354"/>
      <c r="QB3" s="354"/>
      <c r="QC3" s="354"/>
      <c r="QD3" s="354"/>
      <c r="QE3" s="354"/>
      <c r="QF3" s="354"/>
      <c r="QG3" s="354"/>
      <c r="QH3" s="354"/>
      <c r="QI3" s="354"/>
      <c r="QJ3" s="354"/>
      <c r="QK3" s="354"/>
      <c r="QL3" s="354"/>
      <c r="QM3" s="354"/>
      <c r="QN3" s="354"/>
      <c r="QO3" s="354"/>
      <c r="QP3" s="354"/>
      <c r="QQ3" s="354"/>
      <c r="QR3" s="354"/>
      <c r="QS3" s="354"/>
      <c r="QT3" s="354"/>
      <c r="QU3" s="354"/>
      <c r="QV3" s="354"/>
      <c r="QW3" s="354"/>
      <c r="QX3" s="354"/>
      <c r="QY3" s="354"/>
      <c r="QZ3" s="354"/>
      <c r="RA3" s="354"/>
      <c r="RB3" s="354"/>
      <c r="RC3" s="354"/>
      <c r="RD3" s="354"/>
      <c r="RE3" s="354"/>
      <c r="RF3" s="354"/>
      <c r="RG3" s="354"/>
      <c r="RH3" s="354"/>
      <c r="RI3" s="354"/>
      <c r="RJ3" s="354"/>
      <c r="RK3" s="354"/>
      <c r="RL3" s="354"/>
      <c r="RM3" s="354"/>
      <c r="RN3" s="354"/>
      <c r="RO3" s="354"/>
      <c r="RP3" s="354"/>
      <c r="RQ3" s="354"/>
      <c r="RR3" s="354"/>
      <c r="RS3" s="354"/>
      <c r="RT3" s="354"/>
      <c r="RU3" s="354"/>
      <c r="RV3" s="354"/>
      <c r="RW3" s="354"/>
      <c r="RX3" s="354"/>
      <c r="RY3" s="354"/>
      <c r="RZ3" s="354"/>
      <c r="SA3" s="354"/>
      <c r="SB3" s="354"/>
      <c r="SC3" s="354"/>
      <c r="SD3" s="354"/>
      <c r="SE3" s="354"/>
      <c r="SF3" s="354"/>
      <c r="SG3" s="354"/>
      <c r="SH3" s="354"/>
      <c r="SI3" s="354"/>
      <c r="SJ3" s="354"/>
      <c r="SK3" s="354"/>
      <c r="SL3" s="354"/>
      <c r="SM3" s="354"/>
      <c r="SN3" s="354"/>
      <c r="SO3" s="354"/>
      <c r="SP3" s="354"/>
      <c r="SQ3" s="354"/>
      <c r="SR3" s="354"/>
      <c r="SS3" s="354"/>
      <c r="ST3" s="354"/>
      <c r="SU3" s="354"/>
      <c r="SV3" s="354"/>
      <c r="SW3" s="354"/>
      <c r="SX3" s="354"/>
      <c r="SY3" s="354"/>
      <c r="SZ3" s="354"/>
      <c r="TA3" s="354"/>
      <c r="TB3" s="354"/>
      <c r="TC3" s="354"/>
      <c r="TD3" s="354"/>
      <c r="TE3" s="354"/>
      <c r="TF3" s="354"/>
      <c r="TG3" s="354"/>
      <c r="TH3" s="354"/>
      <c r="TI3" s="354"/>
      <c r="TJ3" s="354"/>
      <c r="TK3" s="354"/>
      <c r="TL3" s="354"/>
      <c r="TM3" s="354"/>
      <c r="TN3" s="354"/>
      <c r="TO3" s="354"/>
      <c r="TP3" s="354"/>
      <c r="TQ3" s="354"/>
      <c r="TR3" s="354"/>
      <c r="TS3" s="354"/>
      <c r="TT3" s="354"/>
      <c r="TU3" s="354"/>
      <c r="TV3" s="354"/>
      <c r="TW3" s="354"/>
      <c r="TX3" s="354"/>
      <c r="TY3" s="354"/>
      <c r="TZ3" s="354"/>
      <c r="UA3" s="354"/>
      <c r="UB3" s="354"/>
      <c r="UC3" s="354"/>
      <c r="UD3" s="354"/>
      <c r="UE3" s="354"/>
      <c r="UF3" s="354"/>
      <c r="UG3" s="354"/>
      <c r="UH3" s="354"/>
      <c r="UI3" s="354"/>
      <c r="UJ3" s="354"/>
      <c r="UK3" s="354"/>
      <c r="UL3" s="354"/>
      <c r="UM3" s="354"/>
      <c r="UN3" s="354"/>
      <c r="UO3" s="354"/>
      <c r="UP3" s="354"/>
      <c r="UQ3" s="354"/>
      <c r="UR3" s="354"/>
      <c r="US3" s="354"/>
      <c r="UT3" s="354"/>
      <c r="UU3" s="354"/>
      <c r="UV3" s="354"/>
      <c r="UW3" s="354"/>
      <c r="UX3" s="354"/>
      <c r="UY3" s="354"/>
      <c r="UZ3" s="354"/>
      <c r="VA3" s="354"/>
      <c r="VB3" s="354"/>
      <c r="VC3" s="354"/>
      <c r="VD3" s="354"/>
      <c r="VE3" s="354"/>
      <c r="VF3" s="354"/>
      <c r="VG3" s="354"/>
      <c r="VH3" s="354"/>
      <c r="VI3" s="354"/>
      <c r="VJ3" s="354"/>
      <c r="VK3" s="354"/>
      <c r="VL3" s="354"/>
      <c r="VM3" s="354"/>
      <c r="VN3" s="354"/>
      <c r="VO3" s="354"/>
      <c r="VP3" s="354"/>
      <c r="VQ3" s="354"/>
      <c r="VR3" s="354"/>
      <c r="VS3" s="354"/>
      <c r="VT3" s="354"/>
      <c r="VU3" s="354"/>
      <c r="VV3" s="354"/>
      <c r="VW3" s="354"/>
      <c r="VX3" s="354"/>
      <c r="VY3" s="354"/>
      <c r="VZ3" s="354"/>
      <c r="WA3" s="354"/>
      <c r="WB3" s="354"/>
      <c r="WC3" s="354"/>
      <c r="WD3" s="354"/>
      <c r="WE3" s="354"/>
      <c r="WF3" s="354"/>
      <c r="WG3" s="354"/>
      <c r="WH3" s="354"/>
      <c r="WI3" s="354"/>
      <c r="WJ3" s="354"/>
      <c r="WK3" s="354"/>
      <c r="WL3" s="354"/>
      <c r="WM3" s="354"/>
      <c r="WN3" s="354"/>
      <c r="WO3" s="354"/>
      <c r="WP3" s="354"/>
      <c r="WQ3" s="354"/>
      <c r="WR3" s="354"/>
      <c r="WS3" s="354"/>
      <c r="WT3" s="354"/>
      <c r="WU3" s="354"/>
      <c r="WV3" s="354"/>
      <c r="WW3" s="354"/>
      <c r="WX3" s="354"/>
      <c r="WY3" s="354"/>
      <c r="WZ3" s="354"/>
      <c r="XA3" s="354"/>
      <c r="XB3" s="354"/>
      <c r="XC3" s="354"/>
      <c r="XD3" s="354"/>
      <c r="XE3" s="354"/>
      <c r="XF3" s="354"/>
      <c r="XG3" s="354"/>
      <c r="XH3" s="354"/>
      <c r="XI3" s="354"/>
      <c r="XJ3" s="354"/>
      <c r="XK3" s="354"/>
      <c r="XL3" s="354"/>
      <c r="XM3" s="354"/>
      <c r="XN3" s="354"/>
      <c r="XO3" s="354"/>
      <c r="XP3" s="354"/>
      <c r="XQ3" s="354"/>
      <c r="XR3" s="354"/>
      <c r="XS3" s="354"/>
      <c r="XT3" s="354"/>
      <c r="XU3" s="354"/>
      <c r="XV3" s="354"/>
      <c r="XW3" s="354"/>
      <c r="XX3" s="354"/>
      <c r="XY3" s="354"/>
      <c r="XZ3" s="354"/>
      <c r="YA3" s="354"/>
      <c r="YB3" s="354"/>
      <c r="YC3" s="354"/>
      <c r="YD3" s="354"/>
      <c r="YE3" s="354"/>
      <c r="YF3" s="354"/>
      <c r="YG3" s="354"/>
      <c r="YH3" s="354"/>
      <c r="YI3" s="354"/>
      <c r="YJ3" s="354"/>
      <c r="YK3" s="354"/>
      <c r="YL3" s="354"/>
      <c r="YM3" s="354"/>
      <c r="YN3" s="354"/>
      <c r="YO3" s="354"/>
      <c r="YP3" s="354"/>
      <c r="YQ3" s="354"/>
      <c r="YR3" s="354"/>
      <c r="YS3" s="354"/>
      <c r="YT3" s="354"/>
      <c r="YU3" s="354"/>
      <c r="YV3" s="354"/>
      <c r="YW3" s="354"/>
      <c r="YX3" s="354"/>
      <c r="YY3" s="354"/>
      <c r="YZ3" s="354"/>
      <c r="ZA3" s="354"/>
      <c r="ZB3" s="354"/>
      <c r="ZC3" s="354"/>
      <c r="ZD3" s="354"/>
      <c r="ZE3" s="354"/>
      <c r="ZF3" s="354"/>
      <c r="ZG3" s="354"/>
      <c r="ZH3" s="354"/>
      <c r="ZI3" s="354"/>
      <c r="ZJ3" s="354"/>
      <c r="ZK3" s="354"/>
      <c r="ZL3" s="354"/>
      <c r="ZM3" s="354"/>
      <c r="ZN3" s="354"/>
      <c r="ZO3" s="354"/>
      <c r="ZP3" s="354"/>
      <c r="ZQ3" s="354"/>
      <c r="ZR3" s="354"/>
      <c r="ZS3" s="354"/>
      <c r="ZT3" s="354"/>
      <c r="ZU3" s="354"/>
      <c r="ZV3" s="354"/>
      <c r="ZW3" s="354"/>
      <c r="ZX3" s="354"/>
      <c r="ZY3" s="354"/>
      <c r="ZZ3" s="354"/>
      <c r="AAA3" s="354"/>
      <c r="AAB3" s="354"/>
      <c r="AAC3" s="354"/>
      <c r="AAD3" s="354"/>
      <c r="AAE3" s="354"/>
      <c r="AAF3" s="354"/>
      <c r="AAG3" s="354"/>
      <c r="AAH3" s="354"/>
      <c r="AAI3" s="354"/>
      <c r="AAJ3" s="354"/>
      <c r="AAK3" s="354"/>
      <c r="AAL3" s="354"/>
      <c r="AAM3" s="354"/>
      <c r="AAN3" s="354"/>
      <c r="AAO3" s="354"/>
      <c r="AAP3" s="354"/>
      <c r="AAQ3" s="354"/>
      <c r="AAR3" s="354"/>
      <c r="AAS3" s="354"/>
      <c r="AAT3" s="354"/>
      <c r="AAU3" s="354"/>
      <c r="AAV3" s="354"/>
      <c r="AAW3" s="354"/>
      <c r="AAX3" s="354"/>
      <c r="AAY3" s="354"/>
      <c r="AAZ3" s="354"/>
      <c r="ABA3" s="354"/>
      <c r="ABB3" s="354"/>
      <c r="ABC3" s="354"/>
      <c r="ABD3" s="354"/>
      <c r="ABE3" s="354"/>
      <c r="ABF3" s="354"/>
      <c r="ABG3" s="354"/>
      <c r="ABH3" s="354"/>
      <c r="ABI3" s="354"/>
      <c r="ABJ3" s="354"/>
      <c r="ABK3" s="354"/>
      <c r="ABL3" s="354"/>
      <c r="ABM3" s="354"/>
      <c r="ABN3" s="354"/>
      <c r="ABO3" s="354"/>
      <c r="ABP3" s="354"/>
      <c r="ABQ3" s="354"/>
      <c r="ABR3" s="354"/>
      <c r="ABS3" s="354"/>
      <c r="ABT3" s="354"/>
      <c r="ABU3" s="354"/>
      <c r="ABV3" s="354"/>
      <c r="ABW3" s="354"/>
      <c r="ABX3" s="354"/>
      <c r="ABY3" s="354"/>
      <c r="ABZ3" s="354"/>
      <c r="ACA3" s="354"/>
      <c r="ACB3" s="354"/>
      <c r="ACC3" s="354"/>
      <c r="ACD3" s="354"/>
      <c r="ACE3" s="354"/>
      <c r="ACF3" s="354"/>
      <c r="ACG3" s="354"/>
      <c r="ACH3" s="354"/>
      <c r="ACI3" s="354"/>
      <c r="ACJ3" s="354"/>
      <c r="ACK3" s="354"/>
      <c r="ACL3" s="354"/>
      <c r="ACM3" s="354"/>
      <c r="ACN3" s="354"/>
      <c r="ACO3" s="354"/>
      <c r="ACP3" s="354"/>
      <c r="ACQ3" s="354"/>
      <c r="ACR3" s="354"/>
      <c r="ACS3" s="354"/>
      <c r="ACT3" s="354"/>
      <c r="ACU3" s="354"/>
      <c r="ACV3" s="354"/>
      <c r="ACW3" s="354"/>
      <c r="ACX3" s="354"/>
      <c r="ACY3" s="354"/>
      <c r="ACZ3" s="354"/>
      <c r="ADA3" s="354"/>
      <c r="ADB3" s="354"/>
      <c r="ADC3" s="354"/>
      <c r="ADD3" s="354"/>
      <c r="ADE3" s="354"/>
      <c r="ADF3" s="354"/>
      <c r="ADG3" s="354"/>
      <c r="ADH3" s="354"/>
      <c r="ADI3" s="354"/>
      <c r="ADJ3" s="354"/>
      <c r="ADK3" s="354"/>
      <c r="ADL3" s="354"/>
      <c r="ADM3" s="354"/>
      <c r="ADN3" s="354"/>
      <c r="ADO3" s="354"/>
      <c r="ADP3" s="354"/>
      <c r="ADQ3" s="354"/>
      <c r="ADR3" s="354"/>
      <c r="ADS3" s="354"/>
      <c r="ADT3" s="354"/>
      <c r="ADU3" s="354"/>
      <c r="ADV3" s="354"/>
      <c r="ADW3" s="354"/>
      <c r="ADX3" s="354"/>
      <c r="ADY3" s="354"/>
      <c r="ADZ3" s="354"/>
      <c r="AEA3" s="354"/>
      <c r="AEB3" s="354"/>
      <c r="AEC3" s="354"/>
      <c r="AED3" s="354"/>
      <c r="AEE3" s="354"/>
      <c r="AEF3" s="354"/>
      <c r="AEG3" s="354"/>
      <c r="AEH3" s="354"/>
      <c r="AEI3" s="354"/>
      <c r="AEJ3" s="354"/>
      <c r="AEK3" s="354"/>
      <c r="AEL3" s="354"/>
      <c r="AEM3" s="354"/>
      <c r="AEN3" s="354"/>
      <c r="AEO3" s="354"/>
      <c r="AEP3" s="354"/>
      <c r="AEQ3" s="354"/>
      <c r="AER3" s="354"/>
      <c r="AES3" s="354"/>
      <c r="AET3" s="354"/>
      <c r="AEU3" s="354"/>
      <c r="AEV3" s="354"/>
      <c r="AEW3" s="354"/>
      <c r="AEX3" s="354"/>
      <c r="AEY3" s="354"/>
      <c r="AEZ3" s="354"/>
      <c r="AFA3" s="354"/>
      <c r="AFB3" s="354"/>
      <c r="AFC3" s="354"/>
      <c r="AFD3" s="354"/>
      <c r="AFE3" s="354"/>
      <c r="AFF3" s="354"/>
      <c r="AFG3" s="354"/>
      <c r="AFH3" s="354"/>
      <c r="AFI3" s="354"/>
      <c r="AFJ3" s="354"/>
      <c r="AFK3" s="354"/>
      <c r="AFL3" s="354"/>
      <c r="AFM3" s="354"/>
      <c r="AFN3" s="354"/>
      <c r="AFO3" s="354"/>
      <c r="AFP3" s="354"/>
      <c r="AFQ3" s="354"/>
      <c r="AFR3" s="354"/>
      <c r="AFS3" s="354"/>
      <c r="AFT3" s="354"/>
      <c r="AFU3" s="354"/>
      <c r="AFV3" s="354"/>
      <c r="AFW3" s="354"/>
      <c r="AFX3" s="354"/>
      <c r="AFY3" s="354"/>
      <c r="AFZ3" s="354"/>
      <c r="AGA3" s="354"/>
      <c r="AGB3" s="354"/>
      <c r="AGC3" s="354"/>
      <c r="AGD3" s="354"/>
      <c r="AGE3" s="354"/>
      <c r="AGF3" s="354"/>
      <c r="AGG3" s="354"/>
      <c r="AGH3" s="354"/>
      <c r="AGI3" s="354"/>
      <c r="AGJ3" s="354"/>
      <c r="AGK3" s="354"/>
      <c r="AGL3" s="354"/>
      <c r="AGM3" s="354"/>
      <c r="AGN3" s="354"/>
      <c r="AGO3" s="354"/>
      <c r="AGP3" s="354"/>
      <c r="AGQ3" s="354"/>
      <c r="AGR3" s="354"/>
      <c r="AGS3" s="354"/>
      <c r="AGT3" s="354"/>
      <c r="AGU3" s="354"/>
      <c r="AGV3" s="354"/>
      <c r="AGW3" s="354"/>
      <c r="AGX3" s="354"/>
      <c r="AGY3" s="354"/>
      <c r="AGZ3" s="354"/>
      <c r="AHA3" s="354"/>
      <c r="AHB3" s="354"/>
      <c r="AHC3" s="354"/>
      <c r="AHD3" s="354"/>
      <c r="AHE3" s="354"/>
      <c r="AHF3" s="354"/>
      <c r="AHG3" s="354"/>
      <c r="AHH3" s="354"/>
      <c r="AHI3" s="354"/>
      <c r="AHJ3" s="354"/>
      <c r="AHK3" s="354"/>
      <c r="AHL3" s="354"/>
      <c r="AHM3" s="354"/>
      <c r="AHN3" s="354"/>
      <c r="AHO3" s="354"/>
      <c r="AHP3" s="354"/>
      <c r="AHQ3" s="354"/>
      <c r="AHR3" s="354"/>
      <c r="AHS3" s="354"/>
      <c r="AHT3" s="354"/>
      <c r="AHU3" s="354"/>
      <c r="AHV3" s="354"/>
      <c r="AHW3" s="354"/>
      <c r="AHX3" s="354"/>
      <c r="AHY3" s="354"/>
      <c r="AHZ3" s="354"/>
      <c r="AIA3" s="354"/>
      <c r="AIB3" s="354"/>
      <c r="AIC3" s="354"/>
      <c r="AID3" s="354"/>
      <c r="AIE3" s="354"/>
      <c r="AIF3" s="354"/>
      <c r="AIG3" s="354"/>
      <c r="AIH3" s="354"/>
      <c r="AII3" s="354"/>
      <c r="AIJ3" s="354"/>
      <c r="AIK3" s="354"/>
      <c r="AIL3" s="354"/>
      <c r="AIM3" s="354"/>
      <c r="AIN3" s="354"/>
      <c r="AIO3" s="354"/>
      <c r="AIP3" s="354"/>
      <c r="AIQ3" s="354"/>
      <c r="AIR3" s="354"/>
      <c r="AIS3" s="354"/>
      <c r="AIT3" s="354"/>
      <c r="AIU3" s="354"/>
      <c r="AIV3" s="354"/>
      <c r="AIW3" s="354"/>
      <c r="AIX3" s="354"/>
      <c r="AIY3" s="354"/>
      <c r="AIZ3" s="354"/>
      <c r="AJA3" s="354"/>
      <c r="AJB3" s="354"/>
      <c r="AJC3" s="354"/>
      <c r="AJD3" s="354"/>
      <c r="AJE3" s="354"/>
      <c r="AJF3" s="354"/>
      <c r="AJG3" s="354"/>
      <c r="AJH3" s="354"/>
      <c r="AJI3" s="354"/>
      <c r="AJJ3" s="354"/>
      <c r="AJK3" s="354"/>
      <c r="AJL3" s="354"/>
      <c r="AJM3" s="354"/>
      <c r="AJN3" s="354"/>
      <c r="AJO3" s="354"/>
      <c r="AJP3" s="354"/>
      <c r="AJQ3" s="354"/>
      <c r="AJR3" s="354"/>
      <c r="AJS3" s="354"/>
      <c r="AJT3" s="354"/>
      <c r="AJU3" s="354"/>
      <c r="AJV3" s="354"/>
      <c r="AJW3" s="354"/>
      <c r="AJX3" s="354"/>
      <c r="AJY3" s="354"/>
      <c r="AJZ3" s="354"/>
      <c r="AKA3" s="354"/>
      <c r="AKB3" s="354"/>
      <c r="AKC3" s="354"/>
      <c r="AKD3" s="354"/>
      <c r="AKE3" s="354"/>
      <c r="AKF3" s="354"/>
      <c r="AKG3" s="354"/>
      <c r="AKH3" s="354"/>
      <c r="AKI3" s="354"/>
      <c r="AKJ3" s="354"/>
      <c r="AKK3" s="354"/>
      <c r="AKL3" s="354"/>
      <c r="AKM3" s="354"/>
      <c r="AKN3" s="354"/>
      <c r="AKO3" s="354"/>
      <c r="AKP3" s="354"/>
      <c r="AKQ3" s="354"/>
      <c r="AKR3" s="354"/>
      <c r="AKS3" s="354"/>
      <c r="AKT3" s="354"/>
      <c r="AKU3" s="354"/>
      <c r="AKV3" s="354"/>
      <c r="AKW3" s="354"/>
      <c r="AKX3" s="354"/>
      <c r="AKY3" s="354"/>
      <c r="AKZ3" s="354"/>
      <c r="ALA3" s="354"/>
      <c r="ALB3" s="354"/>
      <c r="ALC3" s="354"/>
      <c r="ALD3" s="354"/>
      <c r="ALE3" s="354"/>
      <c r="ALF3" s="354"/>
      <c r="ALG3" s="354"/>
      <c r="ALH3" s="354"/>
      <c r="ALI3" s="354"/>
      <c r="ALJ3" s="354"/>
      <c r="ALK3" s="354"/>
      <c r="ALL3" s="354"/>
      <c r="ALM3" s="354"/>
      <c r="ALN3" s="354"/>
      <c r="ALO3" s="354"/>
      <c r="ALP3" s="354"/>
      <c r="ALQ3" s="354"/>
      <c r="ALR3" s="354"/>
      <c r="ALS3" s="354"/>
      <c r="ALT3" s="354"/>
      <c r="ALU3" s="354"/>
      <c r="ALV3" s="354"/>
      <c r="ALW3" s="354"/>
      <c r="ALX3" s="354"/>
      <c r="ALY3" s="354"/>
      <c r="ALZ3" s="354"/>
      <c r="AMA3" s="354"/>
      <c r="AMB3" s="354"/>
      <c r="AMC3" s="354"/>
      <c r="AMD3" s="354"/>
      <c r="AME3" s="354"/>
      <c r="AMF3" s="354"/>
      <c r="AMG3" s="354"/>
      <c r="AMH3" s="354"/>
      <c r="AMI3" s="354"/>
      <c r="AMJ3" s="354"/>
      <c r="AMK3" s="354"/>
      <c r="AML3" s="354"/>
      <c r="AMM3" s="354"/>
      <c r="AMN3" s="354"/>
      <c r="AMO3" s="354"/>
      <c r="AMP3" s="354"/>
      <c r="AMQ3" s="354"/>
      <c r="AMR3" s="354"/>
      <c r="AMS3" s="354"/>
      <c r="AMT3" s="354"/>
      <c r="AMU3" s="354"/>
      <c r="AMV3" s="354"/>
      <c r="AMW3" s="354"/>
      <c r="AMX3" s="354"/>
      <c r="AMY3" s="354"/>
      <c r="AMZ3" s="354"/>
      <c r="ANA3" s="354"/>
      <c r="ANB3" s="354"/>
      <c r="ANC3" s="354"/>
      <c r="AND3" s="354"/>
      <c r="ANE3" s="354"/>
      <c r="ANF3" s="354"/>
      <c r="ANG3" s="354"/>
      <c r="ANH3" s="354"/>
      <c r="ANI3" s="354"/>
      <c r="ANJ3" s="354"/>
      <c r="ANK3" s="354"/>
      <c r="ANL3" s="354"/>
      <c r="ANM3" s="354"/>
      <c r="ANN3" s="354"/>
      <c r="ANO3" s="354"/>
      <c r="ANP3" s="354"/>
      <c r="ANQ3" s="354"/>
      <c r="ANR3" s="354"/>
      <c r="ANS3" s="354"/>
      <c r="ANT3" s="354"/>
      <c r="ANU3" s="354"/>
      <c r="ANV3" s="354"/>
      <c r="ANW3" s="354"/>
      <c r="ANX3" s="354"/>
      <c r="ANY3" s="354"/>
      <c r="ANZ3" s="354"/>
      <c r="AOA3" s="354"/>
      <c r="AOB3" s="354"/>
      <c r="AOC3" s="354"/>
      <c r="AOD3" s="354"/>
      <c r="AOE3" s="354"/>
      <c r="AOF3" s="354"/>
      <c r="AOG3" s="354"/>
      <c r="AOH3" s="354"/>
      <c r="AOI3" s="354"/>
      <c r="AOJ3" s="354"/>
      <c r="AOK3" s="354"/>
      <c r="AOL3" s="354"/>
      <c r="AOM3" s="354"/>
      <c r="AON3" s="354"/>
      <c r="AOO3" s="354"/>
      <c r="AOP3" s="354"/>
      <c r="AOQ3" s="354"/>
      <c r="AOR3" s="354"/>
      <c r="AOS3" s="354"/>
      <c r="AOT3" s="354"/>
      <c r="AOU3" s="354"/>
      <c r="AOV3" s="354"/>
      <c r="AOW3" s="354"/>
      <c r="AOX3" s="354"/>
      <c r="AOY3" s="354"/>
      <c r="AOZ3" s="354"/>
      <c r="APA3" s="354"/>
      <c r="APB3" s="354"/>
      <c r="APC3" s="354"/>
      <c r="APD3" s="354"/>
      <c r="APE3" s="354"/>
      <c r="APF3" s="354"/>
      <c r="APG3" s="354"/>
      <c r="APH3" s="354"/>
      <c r="API3" s="354"/>
      <c r="APJ3" s="354"/>
      <c r="APK3" s="354"/>
      <c r="APL3" s="354"/>
      <c r="APM3" s="354"/>
      <c r="APN3" s="354"/>
      <c r="APO3" s="354"/>
      <c r="APP3" s="354"/>
      <c r="APQ3" s="354"/>
      <c r="APR3" s="354"/>
      <c r="APS3" s="354"/>
      <c r="APT3" s="354"/>
      <c r="APU3" s="354"/>
      <c r="APV3" s="354"/>
      <c r="APW3" s="354"/>
      <c r="APX3" s="354"/>
      <c r="APY3" s="354"/>
      <c r="APZ3" s="354"/>
      <c r="AQA3" s="354"/>
      <c r="AQB3" s="354"/>
      <c r="AQC3" s="354"/>
      <c r="AQD3" s="354"/>
      <c r="AQE3" s="354"/>
      <c r="AQF3" s="354"/>
      <c r="AQG3" s="354"/>
      <c r="AQH3" s="354"/>
      <c r="AQI3" s="354"/>
      <c r="AQJ3" s="354"/>
      <c r="AQK3" s="354"/>
      <c r="AQL3" s="354"/>
      <c r="AQM3" s="354"/>
      <c r="AQN3" s="354"/>
      <c r="AQO3" s="354"/>
      <c r="AQP3" s="354"/>
      <c r="AQQ3" s="354"/>
      <c r="AQR3" s="354"/>
      <c r="AQS3" s="354"/>
      <c r="AQT3" s="354"/>
      <c r="AQU3" s="354"/>
      <c r="AQV3" s="354"/>
      <c r="AQW3" s="354"/>
      <c r="AQX3" s="354"/>
      <c r="AQY3" s="354"/>
      <c r="AQZ3" s="354"/>
      <c r="ARA3" s="354"/>
      <c r="ARB3" s="354"/>
      <c r="ARC3" s="354"/>
      <c r="ARD3" s="354"/>
      <c r="ARE3" s="354"/>
      <c r="ARF3" s="354"/>
      <c r="ARG3" s="354"/>
      <c r="ARH3" s="354"/>
      <c r="ARI3" s="354"/>
      <c r="ARJ3" s="354"/>
      <c r="ARK3" s="354"/>
      <c r="ARL3" s="354"/>
      <c r="ARM3" s="354"/>
      <c r="ARN3" s="354"/>
      <c r="ARO3" s="354"/>
      <c r="ARP3" s="354"/>
      <c r="ARQ3" s="354"/>
      <c r="ARR3" s="354"/>
      <c r="ARS3" s="354"/>
      <c r="ART3" s="354"/>
      <c r="ARU3" s="354"/>
      <c r="ARV3" s="354"/>
      <c r="ARW3" s="354"/>
      <c r="ARX3" s="354"/>
      <c r="ARY3" s="354"/>
      <c r="ARZ3" s="354"/>
      <c r="ASA3" s="354"/>
      <c r="ASB3" s="354"/>
      <c r="ASC3" s="354"/>
      <c r="ASD3" s="354"/>
      <c r="ASE3" s="354"/>
      <c r="ASF3" s="354"/>
      <c r="ASG3" s="354"/>
      <c r="ASH3" s="354"/>
      <c r="ASI3" s="354"/>
      <c r="ASJ3" s="354"/>
      <c r="ASK3" s="354"/>
      <c r="ASL3" s="354"/>
      <c r="ASM3" s="354"/>
      <c r="ASN3" s="354"/>
      <c r="ASO3" s="354"/>
      <c r="ASP3" s="354"/>
      <c r="ASQ3" s="354"/>
      <c r="ASR3" s="354"/>
      <c r="ASS3" s="354"/>
      <c r="AST3" s="354"/>
      <c r="ASU3" s="354"/>
      <c r="ASV3" s="354"/>
      <c r="ASW3" s="354"/>
      <c r="ASX3" s="354"/>
      <c r="ASY3" s="354"/>
      <c r="ASZ3" s="354"/>
      <c r="ATA3" s="354"/>
      <c r="ATB3" s="354"/>
      <c r="ATC3" s="354"/>
      <c r="ATD3" s="354"/>
      <c r="ATE3" s="354"/>
      <c r="ATF3" s="354"/>
      <c r="ATG3" s="354"/>
      <c r="ATH3" s="354"/>
      <c r="ATI3" s="354"/>
      <c r="ATJ3" s="354"/>
      <c r="ATK3" s="354"/>
      <c r="ATL3" s="354"/>
      <c r="ATM3" s="354"/>
      <c r="ATN3" s="354"/>
      <c r="ATO3" s="354"/>
      <c r="ATP3" s="354"/>
      <c r="ATQ3" s="354"/>
      <c r="ATR3" s="354"/>
      <c r="ATS3" s="354"/>
      <c r="ATT3" s="354"/>
      <c r="ATU3" s="354"/>
      <c r="ATV3" s="354"/>
      <c r="ATW3" s="354"/>
      <c r="ATX3" s="354"/>
      <c r="ATY3" s="354"/>
      <c r="ATZ3" s="354"/>
      <c r="AUA3" s="354"/>
      <c r="AUB3" s="354"/>
      <c r="AUC3" s="354"/>
      <c r="AUD3" s="354"/>
      <c r="AUE3" s="354"/>
      <c r="AUF3" s="354"/>
      <c r="AUG3" s="354"/>
      <c r="AUH3" s="354"/>
      <c r="AUI3" s="354"/>
      <c r="AUJ3" s="354"/>
      <c r="AUK3" s="354"/>
      <c r="AUL3" s="354"/>
      <c r="AUM3" s="354"/>
      <c r="AUN3" s="354"/>
      <c r="AUO3" s="354"/>
      <c r="AUP3" s="354"/>
      <c r="AUQ3" s="354"/>
      <c r="AUR3" s="354"/>
      <c r="AUS3" s="354"/>
      <c r="AUT3" s="354"/>
      <c r="AUU3" s="354"/>
      <c r="AUV3" s="354"/>
      <c r="AUW3" s="354"/>
      <c r="AUX3" s="354"/>
      <c r="AUY3" s="354"/>
      <c r="AUZ3" s="354"/>
      <c r="AVA3" s="354"/>
      <c r="AVB3" s="354"/>
      <c r="AVC3" s="354"/>
      <c r="AVD3" s="354"/>
      <c r="AVE3" s="354"/>
      <c r="AVF3" s="354"/>
      <c r="AVG3" s="354"/>
      <c r="AVH3" s="354"/>
      <c r="AVI3" s="354"/>
      <c r="AVJ3" s="354"/>
      <c r="AVK3" s="354"/>
      <c r="AVL3" s="354"/>
      <c r="AVM3" s="354"/>
      <c r="AVN3" s="354"/>
      <c r="AVO3" s="354"/>
      <c r="AVP3" s="354"/>
      <c r="AVQ3" s="354"/>
      <c r="AVR3" s="354"/>
      <c r="AVS3" s="354"/>
      <c r="AVT3" s="354"/>
      <c r="AVU3" s="354"/>
      <c r="AVV3" s="354"/>
      <c r="AVW3" s="354"/>
      <c r="AVX3" s="354"/>
      <c r="AVY3" s="354"/>
      <c r="AVZ3" s="354"/>
      <c r="AWA3" s="354"/>
      <c r="AWB3" s="354"/>
      <c r="AWC3" s="354"/>
      <c r="AWD3" s="354"/>
      <c r="AWE3" s="354"/>
      <c r="AWF3" s="354"/>
      <c r="AWG3" s="354"/>
      <c r="AWH3" s="354"/>
      <c r="AWI3" s="354"/>
      <c r="AWJ3" s="354"/>
      <c r="AWK3" s="354"/>
      <c r="AWL3" s="354"/>
      <c r="AWM3" s="354"/>
      <c r="AWN3" s="354"/>
      <c r="AWO3" s="354"/>
      <c r="AWP3" s="354"/>
      <c r="AWQ3" s="354"/>
      <c r="AWR3" s="354"/>
      <c r="AWS3" s="354"/>
      <c r="AWT3" s="354"/>
      <c r="AWU3" s="354"/>
      <c r="AWV3" s="354"/>
      <c r="AWW3" s="354"/>
      <c r="AWX3" s="354"/>
      <c r="AWY3" s="354"/>
      <c r="AWZ3" s="354"/>
      <c r="AXA3" s="354"/>
      <c r="AXB3" s="354"/>
      <c r="AXC3" s="354"/>
      <c r="AXD3" s="354"/>
      <c r="AXE3" s="354"/>
      <c r="AXF3" s="354"/>
      <c r="AXG3" s="354"/>
      <c r="AXH3" s="354"/>
      <c r="AXI3" s="354"/>
      <c r="AXJ3" s="354"/>
      <c r="AXK3" s="354"/>
      <c r="AXL3" s="354"/>
      <c r="AXM3" s="354"/>
      <c r="AXN3" s="354"/>
      <c r="AXO3" s="354"/>
      <c r="AXP3" s="354"/>
      <c r="AXQ3" s="354"/>
      <c r="AXR3" s="354"/>
      <c r="AXS3" s="354"/>
      <c r="AXT3" s="354"/>
      <c r="AXU3" s="354"/>
      <c r="AXV3" s="354"/>
      <c r="AXW3" s="354"/>
      <c r="AXX3" s="354"/>
      <c r="AXY3" s="354"/>
      <c r="AXZ3" s="354"/>
      <c r="AYA3" s="354"/>
      <c r="AYB3" s="354"/>
      <c r="AYC3" s="354"/>
      <c r="AYD3" s="354"/>
      <c r="AYE3" s="354"/>
      <c r="AYF3" s="354"/>
      <c r="AYG3" s="354"/>
      <c r="AYH3" s="354"/>
      <c r="AYI3" s="354"/>
      <c r="AYJ3" s="354"/>
      <c r="AYK3" s="354"/>
      <c r="AYL3" s="354"/>
      <c r="AYM3" s="354"/>
      <c r="AYN3" s="354"/>
      <c r="AYO3" s="354"/>
      <c r="AYP3" s="354"/>
      <c r="AYQ3" s="354"/>
      <c r="AYR3" s="354"/>
      <c r="AYS3" s="354"/>
      <c r="AYT3" s="354"/>
      <c r="AYU3" s="354"/>
      <c r="AYV3" s="354"/>
      <c r="AYW3" s="354"/>
      <c r="AYX3" s="354"/>
      <c r="AYY3" s="354"/>
      <c r="AYZ3" s="354"/>
      <c r="AZA3" s="354"/>
      <c r="AZB3" s="354"/>
      <c r="AZC3" s="354"/>
      <c r="AZD3" s="354"/>
      <c r="AZE3" s="354"/>
      <c r="AZF3" s="354"/>
      <c r="AZG3" s="354"/>
      <c r="AZH3" s="354"/>
      <c r="AZI3" s="354"/>
      <c r="AZJ3" s="354"/>
      <c r="AZK3" s="354"/>
      <c r="AZL3" s="354"/>
      <c r="AZM3" s="354"/>
      <c r="AZN3" s="354"/>
      <c r="AZO3" s="354"/>
      <c r="AZP3" s="354"/>
      <c r="AZQ3" s="354"/>
      <c r="AZR3" s="354"/>
      <c r="AZS3" s="354"/>
      <c r="AZT3" s="354"/>
      <c r="AZU3" s="354"/>
      <c r="AZV3" s="354"/>
      <c r="AZW3" s="354"/>
      <c r="AZX3" s="354"/>
      <c r="AZY3" s="354"/>
      <c r="AZZ3" s="354"/>
      <c r="BAA3" s="354"/>
      <c r="BAB3" s="354"/>
      <c r="BAC3" s="354"/>
      <c r="BAD3" s="354"/>
      <c r="BAE3" s="354"/>
      <c r="BAF3" s="354"/>
      <c r="BAG3" s="354"/>
      <c r="BAH3" s="354"/>
      <c r="BAI3" s="354"/>
      <c r="BAJ3" s="354"/>
      <c r="BAK3" s="354"/>
      <c r="BAL3" s="354"/>
      <c r="BAM3" s="354"/>
      <c r="BAN3" s="354"/>
      <c r="BAO3" s="354"/>
      <c r="BAP3" s="354"/>
      <c r="BAQ3" s="354"/>
      <c r="BAR3" s="354"/>
      <c r="BAS3" s="354"/>
      <c r="BAT3" s="354"/>
      <c r="BAU3" s="354"/>
      <c r="BAV3" s="354"/>
      <c r="BAW3" s="354"/>
      <c r="BAX3" s="354"/>
      <c r="BAY3" s="354"/>
      <c r="BAZ3" s="354"/>
      <c r="BBA3" s="354"/>
      <c r="BBB3" s="354"/>
      <c r="BBC3" s="354"/>
      <c r="BBD3" s="354"/>
      <c r="BBE3" s="354"/>
      <c r="BBF3" s="354"/>
      <c r="BBG3" s="354"/>
      <c r="BBH3" s="354"/>
      <c r="BBI3" s="354"/>
      <c r="BBJ3" s="354"/>
      <c r="BBK3" s="354"/>
      <c r="BBL3" s="354"/>
      <c r="BBM3" s="354"/>
      <c r="BBN3" s="354"/>
      <c r="BBO3" s="354"/>
      <c r="BBP3" s="354"/>
      <c r="BBQ3" s="354"/>
      <c r="BBR3" s="354"/>
      <c r="BBS3" s="354"/>
      <c r="BBT3" s="354"/>
      <c r="BBU3" s="354"/>
      <c r="BBV3" s="354"/>
      <c r="BBW3" s="354"/>
      <c r="BBX3" s="354"/>
      <c r="BBY3" s="354"/>
      <c r="BBZ3" s="354"/>
      <c r="BCA3" s="354"/>
      <c r="BCB3" s="354"/>
      <c r="BCC3" s="354"/>
      <c r="BCD3" s="354"/>
      <c r="BCE3" s="354"/>
      <c r="BCF3" s="354"/>
      <c r="BCG3" s="354"/>
      <c r="BCH3" s="354"/>
      <c r="BCI3" s="354"/>
      <c r="BCJ3" s="354"/>
      <c r="BCK3" s="354"/>
      <c r="BCL3" s="354"/>
      <c r="BCM3" s="354"/>
      <c r="BCN3" s="354"/>
      <c r="BCO3" s="354"/>
      <c r="BCP3" s="354"/>
      <c r="BCQ3" s="354"/>
      <c r="BCR3" s="354"/>
      <c r="BCS3" s="354"/>
      <c r="BCT3" s="354"/>
      <c r="BCU3" s="354"/>
      <c r="BCV3" s="354"/>
      <c r="BCW3" s="354"/>
      <c r="BCX3" s="354"/>
      <c r="BCY3" s="354"/>
      <c r="BCZ3" s="354"/>
      <c r="BDA3" s="354"/>
      <c r="BDB3" s="354"/>
      <c r="BDC3" s="354"/>
      <c r="BDD3" s="354"/>
      <c r="BDE3" s="354"/>
      <c r="BDF3" s="354"/>
      <c r="BDG3" s="354"/>
      <c r="BDH3" s="354"/>
      <c r="BDI3" s="354"/>
      <c r="BDJ3" s="354"/>
      <c r="BDK3" s="354"/>
      <c r="BDL3" s="354"/>
      <c r="BDM3" s="354"/>
      <c r="BDN3" s="354"/>
      <c r="BDO3" s="354"/>
      <c r="BDP3" s="354"/>
      <c r="BDQ3" s="354"/>
      <c r="BDR3" s="354"/>
      <c r="BDS3" s="354"/>
      <c r="BDT3" s="354"/>
      <c r="BDU3" s="354"/>
      <c r="BDV3" s="354"/>
      <c r="BDW3" s="354"/>
      <c r="BDX3" s="354"/>
      <c r="BDY3" s="354"/>
      <c r="BDZ3" s="354"/>
      <c r="BEA3" s="354"/>
      <c r="BEB3" s="354"/>
      <c r="BEC3" s="354"/>
      <c r="BED3" s="354"/>
      <c r="BEE3" s="354"/>
      <c r="BEF3" s="354"/>
      <c r="BEG3" s="354"/>
      <c r="BEH3" s="354"/>
      <c r="BEI3" s="354"/>
      <c r="BEJ3" s="354"/>
      <c r="BEK3" s="354"/>
      <c r="BEL3" s="354"/>
      <c r="BEM3" s="354"/>
      <c r="BEN3" s="354"/>
      <c r="BEO3" s="354"/>
      <c r="BEP3" s="354"/>
      <c r="BEQ3" s="354"/>
      <c r="BER3" s="354"/>
      <c r="BES3" s="354"/>
      <c r="BET3" s="354"/>
      <c r="BEU3" s="354"/>
      <c r="BEV3" s="354"/>
      <c r="BEW3" s="354"/>
      <c r="BEX3" s="354"/>
      <c r="BEY3" s="354"/>
      <c r="BEZ3" s="354"/>
      <c r="BFA3" s="354"/>
      <c r="BFB3" s="354"/>
      <c r="BFC3" s="354"/>
      <c r="BFD3" s="354"/>
      <c r="BFE3" s="354"/>
      <c r="BFF3" s="354"/>
      <c r="BFG3" s="354"/>
      <c r="BFH3" s="354"/>
      <c r="BFI3" s="354"/>
      <c r="BFJ3" s="354"/>
      <c r="BFK3" s="354"/>
      <c r="BFL3" s="354"/>
      <c r="BFM3" s="354"/>
      <c r="BFN3" s="354"/>
      <c r="BFO3" s="354"/>
      <c r="BFP3" s="354"/>
      <c r="BFQ3" s="354"/>
      <c r="BFR3" s="354"/>
      <c r="BFS3" s="354"/>
      <c r="BFT3" s="354"/>
      <c r="BFU3" s="354"/>
      <c r="BFV3" s="354"/>
      <c r="BFW3" s="354"/>
      <c r="BFX3" s="354"/>
      <c r="BFY3" s="354"/>
      <c r="BFZ3" s="354"/>
      <c r="BGA3" s="354"/>
      <c r="BGB3" s="354"/>
      <c r="BGC3" s="354"/>
      <c r="BGD3" s="354"/>
      <c r="BGE3" s="354"/>
      <c r="BGF3" s="354"/>
      <c r="BGG3" s="354"/>
      <c r="BGH3" s="354"/>
      <c r="BGI3" s="354"/>
      <c r="BGJ3" s="354"/>
      <c r="BGK3" s="354"/>
      <c r="BGL3" s="354"/>
      <c r="BGM3" s="354"/>
      <c r="BGN3" s="354"/>
      <c r="BGO3" s="354"/>
      <c r="BGP3" s="354"/>
      <c r="BGQ3" s="354"/>
      <c r="BGR3" s="354"/>
      <c r="BGS3" s="354"/>
      <c r="BGT3" s="354"/>
      <c r="BGU3" s="354"/>
      <c r="BGV3" s="354"/>
      <c r="BGW3" s="354"/>
      <c r="BGX3" s="354"/>
      <c r="BGY3" s="354"/>
      <c r="BGZ3" s="354"/>
      <c r="BHA3" s="354"/>
      <c r="BHB3" s="354"/>
      <c r="BHC3" s="354"/>
      <c r="BHD3" s="354"/>
      <c r="BHE3" s="354"/>
      <c r="BHF3" s="354"/>
      <c r="BHG3" s="354"/>
      <c r="BHH3" s="354"/>
      <c r="BHI3" s="354"/>
      <c r="BHJ3" s="354"/>
      <c r="BHK3" s="354"/>
      <c r="BHL3" s="354"/>
      <c r="BHM3" s="354"/>
      <c r="BHN3" s="354"/>
      <c r="BHO3" s="354"/>
      <c r="BHP3" s="354"/>
      <c r="BHQ3" s="354"/>
      <c r="BHR3" s="354"/>
      <c r="BHS3" s="354"/>
      <c r="BHT3" s="354"/>
      <c r="BHU3" s="354"/>
      <c r="BHV3" s="354"/>
      <c r="BHW3" s="354"/>
      <c r="BHX3" s="354"/>
      <c r="BHY3" s="354"/>
      <c r="BHZ3" s="354"/>
      <c r="BIA3" s="354"/>
      <c r="BIB3" s="354"/>
      <c r="BIC3" s="354"/>
      <c r="BID3" s="354"/>
      <c r="BIE3" s="354"/>
      <c r="BIF3" s="354"/>
      <c r="BIG3" s="354"/>
      <c r="BIH3" s="354"/>
      <c r="BII3" s="354"/>
      <c r="BIJ3" s="354"/>
      <c r="BIK3" s="354"/>
      <c r="BIL3" s="354"/>
      <c r="BIM3" s="354"/>
      <c r="BIN3" s="354"/>
      <c r="BIO3" s="354"/>
      <c r="BIP3" s="354"/>
      <c r="BIQ3" s="354"/>
      <c r="BIR3" s="354"/>
      <c r="BIS3" s="354"/>
      <c r="BIT3" s="354"/>
      <c r="BIU3" s="354"/>
      <c r="BIV3" s="354"/>
      <c r="BIW3" s="354"/>
      <c r="BIX3" s="354"/>
      <c r="BIY3" s="354"/>
      <c r="BIZ3" s="354"/>
      <c r="BJA3" s="354"/>
      <c r="BJB3" s="354"/>
      <c r="BJC3" s="354"/>
      <c r="BJD3" s="354"/>
      <c r="BJE3" s="354"/>
      <c r="BJF3" s="354"/>
      <c r="BJG3" s="354"/>
      <c r="BJH3" s="354"/>
      <c r="BJI3" s="354"/>
      <c r="BJJ3" s="354"/>
      <c r="BJK3" s="354"/>
      <c r="BJL3" s="354"/>
      <c r="BJM3" s="354"/>
      <c r="BJN3" s="354"/>
      <c r="BJO3" s="354"/>
      <c r="BJP3" s="354"/>
      <c r="BJQ3" s="354"/>
      <c r="BJR3" s="354"/>
      <c r="BJS3" s="354"/>
      <c r="BJT3" s="354"/>
      <c r="BJU3" s="354"/>
      <c r="BJV3" s="354"/>
      <c r="BJW3" s="354"/>
      <c r="BJX3" s="354"/>
      <c r="BJY3" s="354"/>
      <c r="BJZ3" s="354"/>
      <c r="BKA3" s="354"/>
      <c r="BKB3" s="354"/>
      <c r="BKC3" s="354"/>
      <c r="BKD3" s="354"/>
      <c r="BKE3" s="354"/>
      <c r="BKF3" s="354"/>
      <c r="BKG3" s="354"/>
      <c r="BKH3" s="354"/>
      <c r="BKI3" s="354"/>
      <c r="BKJ3" s="354"/>
      <c r="BKK3" s="354"/>
      <c r="BKL3" s="354"/>
      <c r="BKM3" s="354"/>
      <c r="BKN3" s="354"/>
      <c r="BKO3" s="354"/>
      <c r="BKP3" s="354"/>
      <c r="BKQ3" s="354"/>
      <c r="BKR3" s="354"/>
      <c r="BKS3" s="354"/>
      <c r="BKT3" s="354"/>
      <c r="BKU3" s="354"/>
      <c r="BKV3" s="354"/>
      <c r="BKW3" s="354"/>
      <c r="BKX3" s="354"/>
      <c r="BKY3" s="354"/>
      <c r="BKZ3" s="354"/>
      <c r="BLA3" s="354"/>
      <c r="BLB3" s="354"/>
      <c r="BLC3" s="354"/>
      <c r="BLD3" s="354"/>
      <c r="BLE3" s="354"/>
      <c r="BLF3" s="354"/>
      <c r="BLG3" s="354"/>
      <c r="BLH3" s="354"/>
      <c r="BLI3" s="354"/>
      <c r="BLJ3" s="354"/>
      <c r="BLK3" s="354"/>
      <c r="BLL3" s="354"/>
      <c r="BLM3" s="354"/>
      <c r="BLN3" s="354"/>
      <c r="BLO3" s="354"/>
      <c r="BLP3" s="354"/>
      <c r="BLQ3" s="354"/>
      <c r="BLR3" s="354"/>
      <c r="BLS3" s="354"/>
      <c r="BLT3" s="354"/>
      <c r="BLU3" s="354"/>
      <c r="BLV3" s="354"/>
      <c r="BLW3" s="354"/>
      <c r="BLX3" s="354"/>
      <c r="BLY3" s="354"/>
      <c r="BLZ3" s="354"/>
      <c r="BMA3" s="354"/>
      <c r="BMB3" s="354"/>
      <c r="BMC3" s="354"/>
      <c r="BMD3" s="354"/>
      <c r="BME3" s="354"/>
      <c r="BMF3" s="354"/>
      <c r="BMG3" s="354"/>
      <c r="BMH3" s="354"/>
      <c r="BMI3" s="354"/>
      <c r="BMJ3" s="354"/>
      <c r="BMK3" s="354"/>
      <c r="BML3" s="354"/>
      <c r="BMM3" s="354"/>
      <c r="BMN3" s="354"/>
      <c r="BMO3" s="354"/>
      <c r="BMP3" s="354"/>
      <c r="BMQ3" s="354"/>
      <c r="BMR3" s="354"/>
      <c r="BMS3" s="354"/>
      <c r="BMT3" s="354"/>
      <c r="BMU3" s="354"/>
      <c r="BMV3" s="354"/>
      <c r="BMW3" s="354"/>
      <c r="BMX3" s="354"/>
      <c r="BMY3" s="354"/>
      <c r="BMZ3" s="354"/>
      <c r="BNA3" s="354"/>
      <c r="BNB3" s="354"/>
      <c r="BNC3" s="354"/>
      <c r="BND3" s="354"/>
      <c r="BNE3" s="354"/>
      <c r="BNF3" s="354"/>
      <c r="BNG3" s="354"/>
      <c r="BNH3" s="354"/>
      <c r="BNI3" s="354"/>
      <c r="BNJ3" s="354"/>
      <c r="BNK3" s="354"/>
      <c r="BNL3" s="354"/>
      <c r="BNM3" s="354"/>
      <c r="BNN3" s="354"/>
      <c r="BNO3" s="354"/>
      <c r="BNP3" s="354"/>
      <c r="BNQ3" s="354"/>
      <c r="BNR3" s="354"/>
      <c r="BNS3" s="354"/>
      <c r="BNT3" s="354"/>
      <c r="BNU3" s="354"/>
      <c r="BNV3" s="354"/>
      <c r="BNW3" s="354"/>
      <c r="BNX3" s="354"/>
      <c r="BNY3" s="354"/>
      <c r="BNZ3" s="354"/>
      <c r="BOA3" s="354"/>
      <c r="BOB3" s="354"/>
      <c r="BOC3" s="354"/>
      <c r="BOD3" s="354"/>
      <c r="BOE3" s="354"/>
      <c r="BOF3" s="354"/>
      <c r="BOG3" s="354"/>
      <c r="BOH3" s="354"/>
      <c r="BOI3" s="354"/>
      <c r="BOJ3" s="354"/>
      <c r="BOK3" s="354"/>
      <c r="BOL3" s="354"/>
      <c r="BOM3" s="354"/>
      <c r="BON3" s="354"/>
      <c r="BOO3" s="354"/>
      <c r="BOP3" s="354"/>
      <c r="BOQ3" s="354"/>
      <c r="BOR3" s="354"/>
      <c r="BOS3" s="354"/>
      <c r="BOT3" s="354"/>
      <c r="BOU3" s="354"/>
      <c r="BOV3" s="354"/>
      <c r="BOW3" s="354"/>
      <c r="BOX3" s="354"/>
      <c r="BOY3" s="354"/>
      <c r="BOZ3" s="354"/>
      <c r="BPA3" s="354"/>
      <c r="BPB3" s="354"/>
      <c r="BPC3" s="354"/>
      <c r="BPD3" s="354"/>
      <c r="BPE3" s="354"/>
      <c r="BPF3" s="354"/>
      <c r="BPG3" s="354"/>
      <c r="BPH3" s="354"/>
      <c r="BPI3" s="354"/>
      <c r="BPJ3" s="354"/>
      <c r="BPK3" s="354"/>
      <c r="BPL3" s="354"/>
      <c r="BPM3" s="354"/>
      <c r="BPN3" s="354"/>
      <c r="BPO3" s="354"/>
      <c r="BPP3" s="354"/>
      <c r="BPQ3" s="354"/>
      <c r="BPR3" s="354"/>
      <c r="BPS3" s="354"/>
      <c r="BPT3" s="354"/>
      <c r="BPU3" s="354"/>
      <c r="BPV3" s="354"/>
      <c r="BPW3" s="354"/>
      <c r="BPX3" s="354"/>
      <c r="BPY3" s="354"/>
      <c r="BPZ3" s="354"/>
      <c r="BQA3" s="354"/>
      <c r="BQB3" s="354"/>
      <c r="BQC3" s="354"/>
      <c r="BQD3" s="354"/>
      <c r="BQE3" s="354"/>
      <c r="BQF3" s="354"/>
      <c r="BQG3" s="354"/>
      <c r="BQH3" s="354"/>
      <c r="BQI3" s="354"/>
      <c r="BQJ3" s="354"/>
      <c r="BQK3" s="354"/>
      <c r="BQL3" s="354"/>
      <c r="BQM3" s="354"/>
      <c r="BQN3" s="354"/>
      <c r="BQO3" s="354"/>
      <c r="BQP3" s="354"/>
      <c r="BQQ3" s="354"/>
      <c r="BQR3" s="354"/>
      <c r="BQS3" s="354"/>
      <c r="BQT3" s="354"/>
      <c r="BQU3" s="354"/>
      <c r="BQV3" s="354"/>
      <c r="BQW3" s="354"/>
      <c r="BQX3" s="354"/>
      <c r="BQY3" s="354"/>
      <c r="BQZ3" s="354"/>
      <c r="BRA3" s="354"/>
      <c r="BRB3" s="354"/>
      <c r="BRC3" s="354"/>
      <c r="BRD3" s="354"/>
      <c r="BRE3" s="354"/>
      <c r="BRF3" s="354"/>
      <c r="BRG3" s="354"/>
      <c r="BRH3" s="354"/>
      <c r="BRI3" s="354"/>
      <c r="BRJ3" s="354"/>
      <c r="BRK3" s="354"/>
      <c r="BRL3" s="354"/>
      <c r="BRM3" s="354"/>
      <c r="BRN3" s="354"/>
      <c r="BRO3" s="354"/>
      <c r="BRP3" s="354"/>
      <c r="BRQ3" s="354"/>
      <c r="BRR3" s="354"/>
      <c r="BRS3" s="354"/>
      <c r="BRT3" s="354"/>
      <c r="BRU3" s="354"/>
      <c r="BRV3" s="354"/>
      <c r="BRW3" s="354"/>
      <c r="BRX3" s="354"/>
      <c r="BRY3" s="354"/>
      <c r="BRZ3" s="354"/>
      <c r="BSA3" s="354"/>
      <c r="BSB3" s="354"/>
      <c r="BSC3" s="354"/>
      <c r="BSD3" s="354"/>
      <c r="BSE3" s="354"/>
      <c r="BSF3" s="354"/>
      <c r="BSG3" s="354"/>
      <c r="BSH3" s="354"/>
      <c r="BSI3" s="354"/>
      <c r="BSJ3" s="354"/>
      <c r="BSK3" s="354"/>
      <c r="BSL3" s="354"/>
      <c r="BSM3" s="354"/>
      <c r="BSN3" s="354"/>
      <c r="BSO3" s="354"/>
      <c r="BSP3" s="354"/>
      <c r="BSQ3" s="354"/>
      <c r="BSR3" s="354"/>
      <c r="BSS3" s="354"/>
      <c r="BST3" s="354"/>
      <c r="BSU3" s="354"/>
      <c r="BSV3" s="354"/>
      <c r="BSW3" s="354"/>
      <c r="BSX3" s="354"/>
      <c r="BSY3" s="354"/>
      <c r="BSZ3" s="354"/>
      <c r="BTA3" s="354"/>
      <c r="BTB3" s="354"/>
      <c r="BTC3" s="354"/>
      <c r="BTD3" s="354"/>
      <c r="BTE3" s="354"/>
      <c r="BTF3" s="354"/>
      <c r="BTG3" s="354"/>
      <c r="BTH3" s="354"/>
      <c r="BTI3" s="354"/>
      <c r="BTJ3" s="354"/>
      <c r="BTK3" s="354"/>
      <c r="BTL3" s="354"/>
      <c r="BTM3" s="354"/>
      <c r="BTN3" s="354"/>
      <c r="BTO3" s="354"/>
      <c r="BTP3" s="354"/>
      <c r="BTQ3" s="354"/>
      <c r="BTR3" s="354"/>
      <c r="BTS3" s="354"/>
      <c r="BTT3" s="354"/>
      <c r="BTU3" s="354"/>
      <c r="BTV3" s="354"/>
      <c r="BTW3" s="354"/>
      <c r="BTX3" s="354"/>
      <c r="BTY3" s="354"/>
      <c r="BTZ3" s="354"/>
      <c r="BUA3" s="354"/>
      <c r="BUB3" s="354"/>
      <c r="BUC3" s="354"/>
      <c r="BUD3" s="354"/>
      <c r="BUE3" s="354"/>
      <c r="BUF3" s="354"/>
      <c r="BUG3" s="354"/>
      <c r="BUH3" s="354"/>
      <c r="BUI3" s="354"/>
      <c r="BUJ3" s="354"/>
      <c r="BUK3" s="354"/>
      <c r="BUL3" s="354"/>
      <c r="BUM3" s="354"/>
      <c r="BUN3" s="354"/>
      <c r="BUO3" s="354"/>
      <c r="BUP3" s="354"/>
      <c r="BUQ3" s="354"/>
      <c r="BUR3" s="354"/>
      <c r="BUS3" s="354"/>
      <c r="BUT3" s="354"/>
      <c r="BUU3" s="354"/>
      <c r="BUV3" s="354"/>
      <c r="BUW3" s="354"/>
      <c r="BUX3" s="354"/>
      <c r="BUY3" s="354"/>
      <c r="BUZ3" s="354"/>
      <c r="BVA3" s="354"/>
      <c r="BVB3" s="354"/>
      <c r="BVC3" s="354"/>
      <c r="BVD3" s="354"/>
      <c r="BVE3" s="354"/>
      <c r="BVF3" s="354"/>
      <c r="BVG3" s="354"/>
      <c r="BVH3" s="354"/>
      <c r="BVI3" s="354"/>
      <c r="BVJ3" s="354"/>
      <c r="BVK3" s="354"/>
      <c r="BVL3" s="354"/>
      <c r="BVM3" s="354"/>
      <c r="BVN3" s="354"/>
      <c r="BVO3" s="354"/>
      <c r="BVP3" s="354"/>
      <c r="BVQ3" s="354"/>
      <c r="BVR3" s="354"/>
      <c r="BVS3" s="354"/>
      <c r="BVT3" s="354"/>
      <c r="BVU3" s="354"/>
      <c r="BVV3" s="354"/>
      <c r="BVW3" s="354"/>
      <c r="BVX3" s="354"/>
      <c r="BVY3" s="354"/>
      <c r="BVZ3" s="354"/>
      <c r="BWA3" s="354"/>
      <c r="BWB3" s="354"/>
      <c r="BWC3" s="354"/>
      <c r="BWD3" s="354"/>
      <c r="BWE3" s="354"/>
      <c r="BWF3" s="354"/>
      <c r="BWG3" s="354"/>
      <c r="BWH3" s="354"/>
      <c r="BWI3" s="354"/>
      <c r="BWJ3" s="354"/>
      <c r="BWK3" s="354"/>
      <c r="BWL3" s="354"/>
      <c r="BWM3" s="354"/>
      <c r="BWN3" s="354"/>
      <c r="BWO3" s="354"/>
      <c r="BWP3" s="354"/>
      <c r="BWQ3" s="354"/>
      <c r="BWR3" s="354"/>
      <c r="BWS3" s="354"/>
      <c r="BWT3" s="354"/>
      <c r="BWU3" s="354"/>
      <c r="BWV3" s="354"/>
      <c r="BWW3" s="354"/>
      <c r="BWX3" s="354"/>
      <c r="BWY3" s="354"/>
      <c r="BWZ3" s="354"/>
      <c r="BXA3" s="354"/>
      <c r="BXB3" s="354"/>
      <c r="BXC3" s="354"/>
      <c r="BXD3" s="354"/>
      <c r="BXE3" s="354"/>
      <c r="BXF3" s="354"/>
      <c r="BXG3" s="354"/>
      <c r="BXH3" s="354"/>
      <c r="BXI3" s="354"/>
      <c r="BXJ3" s="354"/>
      <c r="BXK3" s="354"/>
      <c r="BXL3" s="354"/>
      <c r="BXM3" s="354"/>
      <c r="BXN3" s="354"/>
      <c r="BXO3" s="354"/>
      <c r="BXP3" s="354"/>
      <c r="BXQ3" s="354"/>
      <c r="BXR3" s="354"/>
      <c r="BXS3" s="354"/>
      <c r="BXT3" s="354"/>
      <c r="BXU3" s="354"/>
      <c r="BXV3" s="354"/>
      <c r="BXW3" s="354"/>
      <c r="BXX3" s="354"/>
      <c r="BXY3" s="354"/>
      <c r="BXZ3" s="354"/>
      <c r="BYA3" s="354"/>
      <c r="BYB3" s="354"/>
      <c r="BYC3" s="354"/>
      <c r="BYD3" s="354"/>
      <c r="BYE3" s="354"/>
      <c r="BYF3" s="354"/>
      <c r="BYG3" s="354"/>
      <c r="BYH3" s="354"/>
      <c r="BYI3" s="354"/>
      <c r="BYJ3" s="354"/>
      <c r="BYK3" s="354"/>
      <c r="BYL3" s="354"/>
      <c r="BYM3" s="354"/>
      <c r="BYN3" s="354"/>
      <c r="BYO3" s="354"/>
      <c r="BYP3" s="354"/>
      <c r="BYQ3" s="354"/>
      <c r="BYR3" s="354"/>
      <c r="BYS3" s="354"/>
      <c r="BYT3" s="354"/>
      <c r="BYU3" s="354"/>
      <c r="BYV3" s="354"/>
      <c r="BYW3" s="354"/>
      <c r="BYX3" s="354"/>
      <c r="BYY3" s="354"/>
      <c r="BYZ3" s="354"/>
      <c r="BZA3" s="354"/>
      <c r="BZB3" s="354"/>
      <c r="BZC3" s="354"/>
      <c r="BZD3" s="354"/>
      <c r="BZE3" s="354"/>
      <c r="BZF3" s="354"/>
      <c r="BZG3" s="354"/>
      <c r="BZH3" s="354"/>
      <c r="BZI3" s="354"/>
      <c r="BZJ3" s="354"/>
      <c r="BZK3" s="354"/>
      <c r="BZL3" s="354"/>
      <c r="BZM3" s="354"/>
      <c r="BZN3" s="354"/>
      <c r="BZO3" s="354"/>
      <c r="BZP3" s="354"/>
      <c r="BZQ3" s="354"/>
      <c r="BZR3" s="354"/>
      <c r="BZS3" s="354"/>
      <c r="BZT3" s="354"/>
      <c r="BZU3" s="354"/>
      <c r="BZV3" s="354"/>
      <c r="BZW3" s="354"/>
      <c r="BZX3" s="354"/>
      <c r="BZY3" s="354"/>
      <c r="BZZ3" s="354"/>
      <c r="CAA3" s="354"/>
      <c r="CAB3" s="354"/>
      <c r="CAC3" s="354"/>
      <c r="CAD3" s="354"/>
      <c r="CAE3" s="354"/>
      <c r="CAF3" s="354"/>
      <c r="CAG3" s="354"/>
      <c r="CAH3" s="354"/>
      <c r="CAI3" s="354"/>
      <c r="CAJ3" s="354"/>
      <c r="CAK3" s="354"/>
      <c r="CAL3" s="354"/>
      <c r="CAM3" s="354"/>
      <c r="CAN3" s="354"/>
      <c r="CAO3" s="354"/>
      <c r="CAP3" s="354"/>
      <c r="CAQ3" s="354"/>
      <c r="CAR3" s="354"/>
      <c r="CAS3" s="354"/>
      <c r="CAT3" s="354"/>
      <c r="CAU3" s="354"/>
      <c r="CAV3" s="354"/>
      <c r="CAW3" s="354"/>
      <c r="CAX3" s="354"/>
      <c r="CAY3" s="354"/>
      <c r="CAZ3" s="354"/>
      <c r="CBA3" s="354"/>
      <c r="CBB3" s="354"/>
      <c r="CBC3" s="354"/>
      <c r="CBD3" s="354"/>
      <c r="CBE3" s="354"/>
      <c r="CBF3" s="354"/>
      <c r="CBG3" s="354"/>
      <c r="CBH3" s="354"/>
      <c r="CBI3" s="354"/>
      <c r="CBJ3" s="354"/>
      <c r="CBK3" s="354"/>
      <c r="CBL3" s="354"/>
      <c r="CBM3" s="354"/>
      <c r="CBN3" s="354"/>
      <c r="CBO3" s="354"/>
      <c r="CBP3" s="354"/>
      <c r="CBQ3" s="354"/>
      <c r="CBR3" s="354"/>
      <c r="CBS3" s="354"/>
      <c r="CBT3" s="354"/>
      <c r="CBU3" s="354"/>
      <c r="CBV3" s="354"/>
      <c r="CBW3" s="354"/>
      <c r="CBX3" s="354"/>
      <c r="CBY3" s="354"/>
      <c r="CBZ3" s="354"/>
      <c r="CCA3" s="354"/>
      <c r="CCB3" s="354"/>
      <c r="CCC3" s="354"/>
      <c r="CCD3" s="354"/>
      <c r="CCE3" s="354"/>
      <c r="CCF3" s="354"/>
      <c r="CCG3" s="354"/>
      <c r="CCH3" s="354"/>
      <c r="CCI3" s="354"/>
      <c r="CCJ3" s="354"/>
      <c r="CCK3" s="354"/>
      <c r="CCL3" s="354"/>
      <c r="CCM3" s="354"/>
      <c r="CCN3" s="354"/>
      <c r="CCO3" s="354"/>
      <c r="CCP3" s="354"/>
      <c r="CCQ3" s="354"/>
      <c r="CCR3" s="354"/>
      <c r="CCS3" s="354"/>
      <c r="CCT3" s="354"/>
      <c r="CCU3" s="354"/>
      <c r="CCV3" s="354"/>
      <c r="CCW3" s="354"/>
      <c r="CCX3" s="354"/>
      <c r="CCY3" s="354"/>
      <c r="CCZ3" s="354"/>
      <c r="CDA3" s="354"/>
      <c r="CDB3" s="354"/>
      <c r="CDC3" s="354"/>
      <c r="CDD3" s="354"/>
      <c r="CDE3" s="354"/>
      <c r="CDF3" s="354"/>
      <c r="CDG3" s="354"/>
      <c r="CDH3" s="354"/>
      <c r="CDI3" s="354"/>
      <c r="CDJ3" s="354"/>
      <c r="CDK3" s="354"/>
      <c r="CDL3" s="354"/>
      <c r="CDM3" s="354"/>
      <c r="CDN3" s="354"/>
      <c r="CDO3" s="354"/>
      <c r="CDP3" s="354"/>
      <c r="CDQ3" s="354"/>
      <c r="CDR3" s="354"/>
      <c r="CDS3" s="354"/>
      <c r="CDT3" s="354"/>
      <c r="CDU3" s="354"/>
      <c r="CDV3" s="354"/>
      <c r="CDW3" s="354"/>
      <c r="CDX3" s="354"/>
      <c r="CDY3" s="354"/>
      <c r="CDZ3" s="354"/>
      <c r="CEA3" s="354"/>
      <c r="CEB3" s="354"/>
      <c r="CEC3" s="354"/>
      <c r="CED3" s="354"/>
      <c r="CEE3" s="354"/>
      <c r="CEF3" s="354"/>
      <c r="CEG3" s="354"/>
      <c r="CEH3" s="354"/>
      <c r="CEI3" s="354"/>
      <c r="CEJ3" s="354"/>
      <c r="CEK3" s="354"/>
      <c r="CEL3" s="354"/>
      <c r="CEM3" s="354"/>
      <c r="CEN3" s="354"/>
      <c r="CEO3" s="354"/>
      <c r="CEP3" s="354"/>
      <c r="CEQ3" s="354"/>
      <c r="CER3" s="354"/>
      <c r="CES3" s="354"/>
      <c r="CET3" s="354"/>
      <c r="CEU3" s="354"/>
      <c r="CEV3" s="354"/>
      <c r="CEW3" s="354"/>
      <c r="CEX3" s="354"/>
      <c r="CEY3" s="354"/>
      <c r="CEZ3" s="354"/>
      <c r="CFA3" s="354"/>
      <c r="CFB3" s="354"/>
      <c r="CFC3" s="354"/>
      <c r="CFD3" s="354"/>
      <c r="CFE3" s="354"/>
      <c r="CFF3" s="354"/>
      <c r="CFG3" s="354"/>
      <c r="CFH3" s="354"/>
      <c r="CFI3" s="354"/>
      <c r="CFJ3" s="354"/>
      <c r="CFK3" s="354"/>
      <c r="CFL3" s="354"/>
      <c r="CFM3" s="354"/>
      <c r="CFN3" s="354"/>
      <c r="CFO3" s="354"/>
      <c r="CFP3" s="354"/>
      <c r="CFQ3" s="354"/>
      <c r="CFR3" s="354"/>
      <c r="CFS3" s="354"/>
      <c r="CFT3" s="354"/>
      <c r="CFU3" s="354"/>
      <c r="CFV3" s="354"/>
      <c r="CFW3" s="354"/>
      <c r="CFX3" s="354"/>
      <c r="CFY3" s="354"/>
      <c r="CFZ3" s="354"/>
      <c r="CGA3" s="354"/>
      <c r="CGB3" s="354"/>
      <c r="CGC3" s="354"/>
      <c r="CGD3" s="354"/>
      <c r="CGE3" s="354"/>
      <c r="CGF3" s="354"/>
      <c r="CGG3" s="354"/>
      <c r="CGH3" s="354"/>
      <c r="CGI3" s="354"/>
      <c r="CGJ3" s="354"/>
      <c r="CGK3" s="354"/>
      <c r="CGL3" s="354"/>
      <c r="CGM3" s="354"/>
      <c r="CGN3" s="354"/>
      <c r="CGO3" s="354"/>
      <c r="CGP3" s="354"/>
      <c r="CGQ3" s="354"/>
      <c r="CGR3" s="354"/>
      <c r="CGS3" s="354"/>
      <c r="CGT3" s="354"/>
      <c r="CGU3" s="354"/>
      <c r="CGV3" s="354"/>
      <c r="CGW3" s="354"/>
      <c r="CGX3" s="354"/>
      <c r="CGY3" s="354"/>
      <c r="CGZ3" s="354"/>
      <c r="CHA3" s="354"/>
      <c r="CHB3" s="354"/>
      <c r="CHC3" s="354"/>
      <c r="CHD3" s="354"/>
      <c r="CHE3" s="354"/>
      <c r="CHF3" s="354"/>
      <c r="CHG3" s="354"/>
      <c r="CHH3" s="354"/>
      <c r="CHI3" s="354"/>
      <c r="CHJ3" s="354"/>
      <c r="CHK3" s="354"/>
      <c r="CHL3" s="354"/>
      <c r="CHM3" s="354"/>
      <c r="CHN3" s="354"/>
      <c r="CHO3" s="354"/>
      <c r="CHP3" s="354"/>
      <c r="CHQ3" s="354"/>
      <c r="CHR3" s="354"/>
      <c r="CHS3" s="354"/>
      <c r="CHT3" s="354"/>
      <c r="CHU3" s="354"/>
      <c r="CHV3" s="354"/>
      <c r="CHW3" s="354"/>
      <c r="CHX3" s="354"/>
      <c r="CHY3" s="354"/>
      <c r="CHZ3" s="354"/>
      <c r="CIA3" s="354"/>
      <c r="CIB3" s="354"/>
      <c r="CIC3" s="354"/>
      <c r="CID3" s="354"/>
      <c r="CIE3" s="354"/>
      <c r="CIF3" s="354"/>
      <c r="CIG3" s="354"/>
      <c r="CIH3" s="354"/>
      <c r="CII3" s="354"/>
      <c r="CIJ3" s="354"/>
      <c r="CIK3" s="354"/>
      <c r="CIL3" s="354"/>
      <c r="CIM3" s="354"/>
      <c r="CIN3" s="354"/>
      <c r="CIO3" s="354"/>
      <c r="CIP3" s="354"/>
      <c r="CIQ3" s="354"/>
      <c r="CIR3" s="354"/>
      <c r="CIS3" s="354"/>
      <c r="CIT3" s="354"/>
      <c r="CIU3" s="354"/>
      <c r="CIV3" s="354"/>
      <c r="CIW3" s="354"/>
      <c r="CIX3" s="354"/>
      <c r="CIY3" s="354"/>
      <c r="CIZ3" s="354"/>
      <c r="CJA3" s="354"/>
      <c r="CJB3" s="354"/>
      <c r="CJC3" s="354"/>
      <c r="CJD3" s="354"/>
      <c r="CJE3" s="354"/>
      <c r="CJF3" s="354"/>
      <c r="CJG3" s="354"/>
      <c r="CJH3" s="354"/>
      <c r="CJI3" s="354"/>
      <c r="CJJ3" s="354"/>
      <c r="CJK3" s="354"/>
      <c r="CJL3" s="354"/>
      <c r="CJM3" s="354"/>
      <c r="CJN3" s="354"/>
      <c r="CJO3" s="354"/>
      <c r="CJP3" s="354"/>
      <c r="CJQ3" s="354"/>
      <c r="CJR3" s="354"/>
      <c r="CJS3" s="354"/>
      <c r="CJT3" s="354"/>
      <c r="CJU3" s="354"/>
      <c r="CJV3" s="354"/>
      <c r="CJW3" s="354"/>
      <c r="CJX3" s="354"/>
      <c r="CJY3" s="354"/>
      <c r="CJZ3" s="354"/>
      <c r="CKA3" s="354"/>
      <c r="CKB3" s="354"/>
      <c r="CKC3" s="354"/>
      <c r="CKD3" s="354"/>
      <c r="CKE3" s="354"/>
      <c r="CKF3" s="354"/>
      <c r="CKG3" s="354"/>
      <c r="CKH3" s="354"/>
      <c r="CKI3" s="354"/>
      <c r="CKJ3" s="354"/>
      <c r="CKK3" s="354"/>
      <c r="CKL3" s="354"/>
      <c r="CKM3" s="354"/>
      <c r="CKN3" s="354"/>
      <c r="CKO3" s="354"/>
      <c r="CKP3" s="354"/>
      <c r="CKQ3" s="354"/>
      <c r="CKR3" s="354"/>
      <c r="CKS3" s="354"/>
      <c r="CKT3" s="354"/>
      <c r="CKU3" s="354"/>
      <c r="CKV3" s="354"/>
      <c r="CKW3" s="354"/>
      <c r="CKX3" s="354"/>
      <c r="CKY3" s="354"/>
      <c r="CKZ3" s="354"/>
      <c r="CLA3" s="354"/>
      <c r="CLB3" s="354"/>
      <c r="CLC3" s="354"/>
      <c r="CLD3" s="354"/>
      <c r="CLE3" s="354"/>
      <c r="CLF3" s="354"/>
      <c r="CLG3" s="354"/>
      <c r="CLH3" s="354"/>
      <c r="CLI3" s="354"/>
      <c r="CLJ3" s="354"/>
      <c r="CLK3" s="354"/>
      <c r="CLL3" s="354"/>
      <c r="CLM3" s="354"/>
      <c r="CLN3" s="354"/>
      <c r="CLO3" s="354"/>
      <c r="CLP3" s="354"/>
      <c r="CLQ3" s="354"/>
      <c r="CLR3" s="354"/>
      <c r="CLS3" s="354"/>
      <c r="CLT3" s="354"/>
      <c r="CLU3" s="354"/>
      <c r="CLV3" s="354"/>
      <c r="CLW3" s="354"/>
      <c r="CLX3" s="354"/>
      <c r="CLY3" s="354"/>
      <c r="CLZ3" s="354"/>
      <c r="CMA3" s="354"/>
      <c r="CMB3" s="354"/>
      <c r="CMC3" s="354"/>
      <c r="CMD3" s="354"/>
      <c r="CME3" s="354"/>
      <c r="CMF3" s="354"/>
      <c r="CMG3" s="354"/>
      <c r="CMH3" s="354"/>
      <c r="CMI3" s="354"/>
      <c r="CMJ3" s="354"/>
      <c r="CMK3" s="354"/>
      <c r="CML3" s="354"/>
      <c r="CMM3" s="354"/>
      <c r="CMN3" s="354"/>
      <c r="CMO3" s="354"/>
      <c r="CMP3" s="354"/>
      <c r="CMQ3" s="354"/>
      <c r="CMR3" s="354"/>
      <c r="CMS3" s="354"/>
      <c r="CMT3" s="354"/>
      <c r="CMU3" s="354"/>
      <c r="CMV3" s="354"/>
      <c r="CMW3" s="354"/>
      <c r="CMX3" s="354"/>
      <c r="CMY3" s="354"/>
      <c r="CMZ3" s="354"/>
      <c r="CNA3" s="354"/>
      <c r="CNB3" s="354"/>
      <c r="CNC3" s="354"/>
      <c r="CND3" s="354"/>
      <c r="CNE3" s="354"/>
      <c r="CNF3" s="354"/>
      <c r="CNG3" s="354"/>
      <c r="CNH3" s="354"/>
      <c r="CNI3" s="354"/>
      <c r="CNJ3" s="354"/>
      <c r="CNK3" s="354"/>
      <c r="CNL3" s="354"/>
      <c r="CNM3" s="354"/>
      <c r="CNN3" s="354"/>
      <c r="CNO3" s="354"/>
      <c r="CNP3" s="354"/>
      <c r="CNQ3" s="354"/>
      <c r="CNR3" s="354"/>
      <c r="CNS3" s="354"/>
      <c r="CNT3" s="354"/>
      <c r="CNU3" s="354"/>
      <c r="CNV3" s="354"/>
      <c r="CNW3" s="354"/>
      <c r="CNX3" s="354"/>
      <c r="CNY3" s="354"/>
      <c r="CNZ3" s="354"/>
      <c r="COA3" s="354"/>
      <c r="COB3" s="354"/>
      <c r="COC3" s="354"/>
      <c r="COD3" s="354"/>
      <c r="COE3" s="354"/>
      <c r="COF3" s="354"/>
      <c r="COG3" s="354"/>
      <c r="COH3" s="354"/>
      <c r="COI3" s="354"/>
      <c r="COJ3" s="354"/>
      <c r="COK3" s="354"/>
      <c r="COL3" s="354"/>
      <c r="COM3" s="354"/>
      <c r="CON3" s="354"/>
      <c r="COO3" s="354"/>
      <c r="COP3" s="354"/>
      <c r="COQ3" s="354"/>
      <c r="COR3" s="354"/>
      <c r="COS3" s="354"/>
      <c r="COT3" s="354"/>
      <c r="COU3" s="354"/>
      <c r="COV3" s="354"/>
      <c r="COW3" s="354"/>
      <c r="COX3" s="354"/>
      <c r="COY3" s="354"/>
      <c r="COZ3" s="354"/>
      <c r="CPA3" s="354"/>
      <c r="CPB3" s="354"/>
      <c r="CPC3" s="354"/>
      <c r="CPD3" s="354"/>
      <c r="CPE3" s="354"/>
      <c r="CPF3" s="354"/>
      <c r="CPG3" s="354"/>
      <c r="CPH3" s="354"/>
      <c r="CPI3" s="354"/>
      <c r="CPJ3" s="354"/>
      <c r="CPK3" s="354"/>
      <c r="CPL3" s="354"/>
      <c r="CPM3" s="354"/>
      <c r="CPN3" s="354"/>
      <c r="CPO3" s="354"/>
      <c r="CPP3" s="354"/>
      <c r="CPQ3" s="354"/>
      <c r="CPR3" s="354"/>
      <c r="CPS3" s="354"/>
      <c r="CPT3" s="354"/>
      <c r="CPU3" s="354"/>
      <c r="CPV3" s="354"/>
      <c r="CPW3" s="354"/>
      <c r="CPX3" s="354"/>
      <c r="CPY3" s="354"/>
      <c r="CPZ3" s="354"/>
      <c r="CQA3" s="354"/>
      <c r="CQB3" s="354"/>
      <c r="CQC3" s="354"/>
      <c r="CQD3" s="354"/>
      <c r="CQE3" s="354"/>
      <c r="CQF3" s="354"/>
      <c r="CQG3" s="354"/>
      <c r="CQH3" s="354"/>
      <c r="CQI3" s="354"/>
      <c r="CQJ3" s="354"/>
      <c r="CQK3" s="354"/>
      <c r="CQL3" s="354"/>
      <c r="CQM3" s="354"/>
      <c r="CQN3" s="354"/>
      <c r="CQO3" s="354"/>
      <c r="CQP3" s="354"/>
      <c r="CQQ3" s="354"/>
      <c r="CQR3" s="354"/>
      <c r="CQS3" s="354"/>
      <c r="CQT3" s="354"/>
      <c r="CQU3" s="354"/>
      <c r="CQV3" s="354"/>
      <c r="CQW3" s="354"/>
      <c r="CQX3" s="354"/>
      <c r="CQY3" s="354"/>
      <c r="CQZ3" s="354"/>
      <c r="CRA3" s="354"/>
      <c r="CRB3" s="354"/>
      <c r="CRC3" s="354"/>
      <c r="CRD3" s="354"/>
      <c r="CRE3" s="354"/>
      <c r="CRF3" s="354"/>
      <c r="CRG3" s="354"/>
      <c r="CRH3" s="354"/>
      <c r="CRI3" s="354"/>
      <c r="CRJ3" s="354"/>
      <c r="CRK3" s="354"/>
      <c r="CRL3" s="354"/>
      <c r="CRM3" s="354"/>
      <c r="CRN3" s="354"/>
      <c r="CRO3" s="354"/>
      <c r="CRP3" s="354"/>
      <c r="CRQ3" s="354"/>
      <c r="CRR3" s="354"/>
      <c r="CRS3" s="354"/>
      <c r="CRT3" s="354"/>
      <c r="CRU3" s="354"/>
      <c r="CRV3" s="354"/>
      <c r="CRW3" s="354"/>
      <c r="CRX3" s="354"/>
      <c r="CRY3" s="354"/>
      <c r="CRZ3" s="354"/>
      <c r="CSA3" s="354"/>
      <c r="CSB3" s="354"/>
      <c r="CSC3" s="354"/>
      <c r="CSD3" s="354"/>
      <c r="CSE3" s="354"/>
      <c r="CSF3" s="354"/>
      <c r="CSG3" s="354"/>
      <c r="CSH3" s="354"/>
      <c r="CSI3" s="354"/>
      <c r="CSJ3" s="354"/>
      <c r="CSK3" s="354"/>
      <c r="CSL3" s="354"/>
      <c r="CSM3" s="354"/>
      <c r="CSN3" s="354"/>
      <c r="CSO3" s="354"/>
      <c r="CSP3" s="354"/>
      <c r="CSQ3" s="354"/>
      <c r="CSR3" s="354"/>
      <c r="CSS3" s="354"/>
      <c r="CST3" s="354"/>
      <c r="CSU3" s="354"/>
      <c r="CSV3" s="354"/>
      <c r="CSW3" s="354"/>
      <c r="CSX3" s="354"/>
      <c r="CSY3" s="354"/>
      <c r="CSZ3" s="354"/>
      <c r="CTA3" s="354"/>
      <c r="CTB3" s="354"/>
      <c r="CTC3" s="354"/>
      <c r="CTD3" s="354"/>
      <c r="CTE3" s="354"/>
      <c r="CTF3" s="354"/>
      <c r="CTG3" s="354"/>
      <c r="CTH3" s="354"/>
      <c r="CTI3" s="354"/>
      <c r="CTJ3" s="354"/>
      <c r="CTK3" s="354"/>
      <c r="CTL3" s="354"/>
      <c r="CTM3" s="354"/>
      <c r="CTN3" s="354"/>
      <c r="CTO3" s="354"/>
      <c r="CTP3" s="354"/>
      <c r="CTQ3" s="354"/>
      <c r="CTR3" s="354"/>
      <c r="CTS3" s="354"/>
      <c r="CTT3" s="354"/>
      <c r="CTU3" s="354"/>
      <c r="CTV3" s="354"/>
      <c r="CTW3" s="354"/>
      <c r="CTX3" s="354"/>
      <c r="CTY3" s="354"/>
      <c r="CTZ3" s="354"/>
      <c r="CUA3" s="354"/>
      <c r="CUB3" s="354"/>
      <c r="CUC3" s="354"/>
      <c r="CUD3" s="354"/>
      <c r="CUE3" s="354"/>
      <c r="CUF3" s="354"/>
      <c r="CUG3" s="354"/>
      <c r="CUH3" s="354"/>
      <c r="CUI3" s="354"/>
      <c r="CUJ3" s="354"/>
      <c r="CUK3" s="354"/>
      <c r="CUL3" s="354"/>
      <c r="CUM3" s="354"/>
      <c r="CUN3" s="354"/>
      <c r="CUO3" s="354"/>
      <c r="CUP3" s="354"/>
      <c r="CUQ3" s="354"/>
      <c r="CUR3" s="354"/>
      <c r="CUS3" s="354"/>
      <c r="CUT3" s="354"/>
      <c r="CUU3" s="354"/>
      <c r="CUV3" s="354"/>
      <c r="CUW3" s="354"/>
      <c r="CUX3" s="354"/>
      <c r="CUY3" s="354"/>
      <c r="CUZ3" s="354"/>
      <c r="CVA3" s="354"/>
      <c r="CVB3" s="354"/>
      <c r="CVC3" s="354"/>
      <c r="CVD3" s="354"/>
      <c r="CVE3" s="354"/>
      <c r="CVF3" s="354"/>
      <c r="CVG3" s="354"/>
      <c r="CVH3" s="354"/>
      <c r="CVI3" s="354"/>
      <c r="CVJ3" s="354"/>
      <c r="CVK3" s="354"/>
      <c r="CVL3" s="354"/>
      <c r="CVM3" s="354"/>
      <c r="CVN3" s="354"/>
      <c r="CVO3" s="354"/>
      <c r="CVP3" s="354"/>
      <c r="CVQ3" s="354"/>
      <c r="CVR3" s="354"/>
      <c r="CVS3" s="354"/>
      <c r="CVT3" s="354"/>
      <c r="CVU3" s="354"/>
      <c r="CVV3" s="354"/>
      <c r="CVW3" s="354"/>
      <c r="CVX3" s="354"/>
      <c r="CVY3" s="354"/>
      <c r="CVZ3" s="354"/>
      <c r="CWA3" s="354"/>
      <c r="CWB3" s="354"/>
      <c r="CWC3" s="354"/>
      <c r="CWD3" s="354"/>
      <c r="CWE3" s="354"/>
      <c r="CWF3" s="354"/>
      <c r="CWG3" s="354"/>
      <c r="CWH3" s="354"/>
      <c r="CWI3" s="354"/>
      <c r="CWJ3" s="354"/>
      <c r="CWK3" s="354"/>
      <c r="CWL3" s="354"/>
      <c r="CWM3" s="354"/>
      <c r="CWN3" s="354"/>
      <c r="CWO3" s="354"/>
      <c r="CWP3" s="354"/>
      <c r="CWQ3" s="354"/>
      <c r="CWR3" s="354"/>
      <c r="CWS3" s="354"/>
      <c r="CWT3" s="354"/>
      <c r="CWU3" s="354"/>
      <c r="CWV3" s="354"/>
      <c r="CWW3" s="354"/>
      <c r="CWX3" s="354"/>
      <c r="CWY3" s="354"/>
      <c r="CWZ3" s="354"/>
      <c r="CXA3" s="354"/>
      <c r="CXB3" s="354"/>
      <c r="CXC3" s="354"/>
      <c r="CXD3" s="354"/>
      <c r="CXE3" s="354"/>
      <c r="CXF3" s="354"/>
      <c r="CXG3" s="354"/>
      <c r="CXH3" s="354"/>
      <c r="CXI3" s="354"/>
      <c r="CXJ3" s="354"/>
      <c r="CXK3" s="354"/>
      <c r="CXL3" s="354"/>
      <c r="CXM3" s="354"/>
      <c r="CXN3" s="354"/>
      <c r="CXO3" s="354"/>
      <c r="CXP3" s="354"/>
      <c r="CXQ3" s="354"/>
      <c r="CXR3" s="354"/>
      <c r="CXS3" s="354"/>
      <c r="CXT3" s="354"/>
      <c r="CXU3" s="354"/>
      <c r="CXV3" s="354"/>
      <c r="CXW3" s="354"/>
      <c r="CXX3" s="354"/>
      <c r="CXY3" s="354"/>
      <c r="CXZ3" s="354"/>
      <c r="CYA3" s="354"/>
      <c r="CYB3" s="354"/>
      <c r="CYC3" s="354"/>
      <c r="CYD3" s="354"/>
      <c r="CYE3" s="354"/>
      <c r="CYF3" s="354"/>
      <c r="CYG3" s="354"/>
      <c r="CYH3" s="354"/>
      <c r="CYI3" s="354"/>
      <c r="CYJ3" s="354"/>
      <c r="CYK3" s="354"/>
      <c r="CYL3" s="354"/>
      <c r="CYM3" s="354"/>
      <c r="CYN3" s="354"/>
      <c r="CYO3" s="354"/>
      <c r="CYP3" s="354"/>
      <c r="CYQ3" s="354"/>
      <c r="CYR3" s="354"/>
      <c r="CYS3" s="354"/>
      <c r="CYT3" s="354"/>
      <c r="CYU3" s="354"/>
      <c r="CYV3" s="354"/>
      <c r="CYW3" s="354"/>
      <c r="CYX3" s="354"/>
      <c r="CYY3" s="354"/>
      <c r="CYZ3" s="354"/>
      <c r="CZA3" s="354"/>
      <c r="CZB3" s="354"/>
      <c r="CZC3" s="354"/>
      <c r="CZD3" s="354"/>
      <c r="CZE3" s="354"/>
      <c r="CZF3" s="354"/>
      <c r="CZG3" s="354"/>
      <c r="CZH3" s="354"/>
      <c r="CZI3" s="354"/>
      <c r="CZJ3" s="354"/>
      <c r="CZK3" s="354"/>
      <c r="CZL3" s="354"/>
      <c r="CZM3" s="354"/>
      <c r="CZN3" s="354"/>
      <c r="CZO3" s="354"/>
      <c r="CZP3" s="354"/>
      <c r="CZQ3" s="354"/>
      <c r="CZR3" s="354"/>
      <c r="CZS3" s="354"/>
      <c r="CZT3" s="354"/>
      <c r="CZU3" s="354"/>
      <c r="CZV3" s="354"/>
      <c r="CZW3" s="354"/>
      <c r="CZX3" s="354"/>
      <c r="CZY3" s="354"/>
      <c r="CZZ3" s="354"/>
      <c r="DAA3" s="354"/>
      <c r="DAB3" s="354"/>
      <c r="DAC3" s="354"/>
      <c r="DAD3" s="354"/>
      <c r="DAE3" s="354"/>
      <c r="DAF3" s="354"/>
      <c r="DAG3" s="354"/>
      <c r="DAH3" s="354"/>
      <c r="DAI3" s="354"/>
      <c r="DAJ3" s="354"/>
      <c r="DAK3" s="354"/>
      <c r="DAL3" s="354"/>
      <c r="DAM3" s="354"/>
      <c r="DAN3" s="354"/>
      <c r="DAO3" s="354"/>
      <c r="DAP3" s="354"/>
      <c r="DAQ3" s="354"/>
      <c r="DAR3" s="354"/>
      <c r="DAS3" s="354"/>
      <c r="DAT3" s="354"/>
      <c r="DAU3" s="354"/>
      <c r="DAV3" s="354"/>
      <c r="DAW3" s="354"/>
      <c r="DAX3" s="354"/>
      <c r="DAY3" s="354"/>
      <c r="DAZ3" s="354"/>
      <c r="DBA3" s="354"/>
      <c r="DBB3" s="354"/>
      <c r="DBC3" s="354"/>
      <c r="DBD3" s="354"/>
      <c r="DBE3" s="354"/>
      <c r="DBF3" s="354"/>
      <c r="DBG3" s="354"/>
      <c r="DBH3" s="354"/>
      <c r="DBI3" s="354"/>
      <c r="DBJ3" s="354"/>
      <c r="DBK3" s="354"/>
      <c r="DBL3" s="354"/>
      <c r="DBM3" s="354"/>
      <c r="DBN3" s="354"/>
      <c r="DBO3" s="354"/>
      <c r="DBP3" s="354"/>
      <c r="DBQ3" s="354"/>
      <c r="DBR3" s="354"/>
      <c r="DBS3" s="354"/>
      <c r="DBT3" s="354"/>
      <c r="DBU3" s="354"/>
      <c r="DBV3" s="354"/>
      <c r="DBW3" s="354"/>
      <c r="DBX3" s="354"/>
      <c r="DBY3" s="354"/>
      <c r="DBZ3" s="354"/>
      <c r="DCA3" s="354"/>
      <c r="DCB3" s="354"/>
      <c r="DCC3" s="354"/>
      <c r="DCD3" s="354"/>
      <c r="DCE3" s="354"/>
      <c r="DCF3" s="354"/>
      <c r="DCG3" s="354"/>
      <c r="DCH3" s="354"/>
      <c r="DCI3" s="354"/>
      <c r="DCJ3" s="354"/>
      <c r="DCK3" s="354"/>
      <c r="DCL3" s="354"/>
      <c r="DCM3" s="354"/>
      <c r="DCN3" s="354"/>
      <c r="DCO3" s="354"/>
      <c r="DCP3" s="354"/>
      <c r="DCQ3" s="354"/>
      <c r="DCR3" s="354"/>
      <c r="DCS3" s="354"/>
      <c r="DCT3" s="354"/>
      <c r="DCU3" s="354"/>
      <c r="DCV3" s="354"/>
      <c r="DCW3" s="354"/>
      <c r="DCX3" s="354"/>
      <c r="DCY3" s="354"/>
      <c r="DCZ3" s="354"/>
      <c r="DDA3" s="354"/>
      <c r="DDB3" s="354"/>
      <c r="DDC3" s="354"/>
      <c r="DDD3" s="354"/>
      <c r="DDE3" s="354"/>
      <c r="DDF3" s="354"/>
      <c r="DDG3" s="354"/>
      <c r="DDH3" s="354"/>
      <c r="DDI3" s="354"/>
      <c r="DDJ3" s="354"/>
      <c r="DDK3" s="354"/>
      <c r="DDL3" s="354"/>
      <c r="DDM3" s="354"/>
      <c r="DDN3" s="354"/>
      <c r="DDO3" s="354"/>
      <c r="DDP3" s="354"/>
      <c r="DDQ3" s="354"/>
      <c r="DDR3" s="354"/>
      <c r="DDS3" s="354"/>
      <c r="DDT3" s="354"/>
      <c r="DDU3" s="354"/>
      <c r="DDV3" s="354"/>
      <c r="DDW3" s="354"/>
      <c r="DDX3" s="354"/>
      <c r="DDY3" s="354"/>
      <c r="DDZ3" s="354"/>
      <c r="DEA3" s="354"/>
      <c r="DEB3" s="354"/>
      <c r="DEC3" s="354"/>
      <c r="DED3" s="354"/>
      <c r="DEE3" s="354"/>
      <c r="DEF3" s="354"/>
      <c r="DEG3" s="354"/>
      <c r="DEH3" s="354"/>
      <c r="DEI3" s="354"/>
      <c r="DEJ3" s="354"/>
      <c r="DEK3" s="354"/>
      <c r="DEL3" s="354"/>
      <c r="DEM3" s="354"/>
      <c r="DEN3" s="354"/>
      <c r="DEO3" s="354"/>
      <c r="DEP3" s="354"/>
      <c r="DEQ3" s="354"/>
      <c r="DER3" s="354"/>
      <c r="DES3" s="354"/>
      <c r="DET3" s="354"/>
      <c r="DEU3" s="354"/>
      <c r="DEV3" s="354"/>
      <c r="DEW3" s="354"/>
      <c r="DEX3" s="354"/>
      <c r="DEY3" s="354"/>
      <c r="DEZ3" s="354"/>
      <c r="DFA3" s="354"/>
      <c r="DFB3" s="354"/>
      <c r="DFC3" s="354"/>
      <c r="DFD3" s="354"/>
      <c r="DFE3" s="354"/>
      <c r="DFF3" s="354"/>
      <c r="DFG3" s="354"/>
      <c r="DFH3" s="354"/>
      <c r="DFI3" s="354"/>
      <c r="DFJ3" s="354"/>
      <c r="DFK3" s="354"/>
      <c r="DFL3" s="354"/>
      <c r="DFM3" s="354"/>
      <c r="DFN3" s="354"/>
      <c r="DFO3" s="354"/>
      <c r="DFP3" s="354"/>
      <c r="DFQ3" s="354"/>
      <c r="DFR3" s="354"/>
      <c r="DFS3" s="354"/>
      <c r="DFT3" s="354"/>
      <c r="DFU3" s="354"/>
      <c r="DFV3" s="354"/>
      <c r="DFW3" s="354"/>
      <c r="DFX3" s="354"/>
      <c r="DFY3" s="354"/>
      <c r="DFZ3" s="354"/>
      <c r="DGA3" s="354"/>
      <c r="DGB3" s="354"/>
      <c r="DGC3" s="354"/>
      <c r="DGD3" s="354"/>
      <c r="DGE3" s="354"/>
      <c r="DGF3" s="354"/>
      <c r="DGG3" s="354"/>
      <c r="DGH3" s="354"/>
      <c r="DGI3" s="354"/>
      <c r="DGJ3" s="354"/>
      <c r="DGK3" s="354"/>
      <c r="DGL3" s="354"/>
      <c r="DGM3" s="354"/>
      <c r="DGN3" s="354"/>
      <c r="DGO3" s="354"/>
      <c r="DGP3" s="354"/>
      <c r="DGQ3" s="354"/>
      <c r="DGR3" s="354"/>
      <c r="DGS3" s="354"/>
      <c r="DGT3" s="354"/>
      <c r="DGU3" s="354"/>
      <c r="DGV3" s="354"/>
      <c r="DGW3" s="354"/>
      <c r="DGX3" s="354"/>
      <c r="DGY3" s="354"/>
      <c r="DGZ3" s="354"/>
      <c r="DHA3" s="354"/>
      <c r="DHB3" s="354"/>
      <c r="DHC3" s="354"/>
      <c r="DHD3" s="354"/>
      <c r="DHE3" s="354"/>
      <c r="DHF3" s="354"/>
      <c r="DHG3" s="354"/>
      <c r="DHH3" s="354"/>
      <c r="DHI3" s="354"/>
      <c r="DHJ3" s="354"/>
      <c r="DHK3" s="354"/>
      <c r="DHL3" s="354"/>
      <c r="DHM3" s="354"/>
      <c r="DHN3" s="354"/>
      <c r="DHO3" s="354"/>
      <c r="DHP3" s="354"/>
      <c r="DHQ3" s="354"/>
      <c r="DHR3" s="354"/>
      <c r="DHS3" s="354"/>
      <c r="DHT3" s="354"/>
      <c r="DHU3" s="354"/>
      <c r="DHV3" s="354"/>
      <c r="DHW3" s="354"/>
      <c r="DHX3" s="354"/>
      <c r="DHY3" s="354"/>
      <c r="DHZ3" s="354"/>
      <c r="DIA3" s="354"/>
      <c r="DIB3" s="354"/>
      <c r="DIC3" s="354"/>
      <c r="DID3" s="354"/>
      <c r="DIE3" s="354"/>
      <c r="DIF3" s="354"/>
      <c r="DIG3" s="354"/>
      <c r="DIH3" s="354"/>
      <c r="DII3" s="354"/>
      <c r="DIJ3" s="354"/>
      <c r="DIK3" s="354"/>
      <c r="DIL3" s="354"/>
      <c r="DIM3" s="354"/>
      <c r="DIN3" s="354"/>
      <c r="DIO3" s="354"/>
      <c r="DIP3" s="354"/>
      <c r="DIQ3" s="354"/>
      <c r="DIR3" s="354"/>
      <c r="DIS3" s="354"/>
      <c r="DIT3" s="354"/>
      <c r="DIU3" s="354"/>
      <c r="DIV3" s="354"/>
      <c r="DIW3" s="354"/>
      <c r="DIX3" s="354"/>
      <c r="DIY3" s="354"/>
      <c r="DIZ3" s="354"/>
      <c r="DJA3" s="354"/>
      <c r="DJB3" s="354"/>
      <c r="DJC3" s="354"/>
      <c r="DJD3" s="354"/>
      <c r="DJE3" s="354"/>
      <c r="DJF3" s="354"/>
      <c r="DJG3" s="354"/>
      <c r="DJH3" s="354"/>
      <c r="DJI3" s="354"/>
      <c r="DJJ3" s="354"/>
      <c r="DJK3" s="354"/>
      <c r="DJL3" s="354"/>
      <c r="DJM3" s="354"/>
      <c r="DJN3" s="354"/>
      <c r="DJO3" s="354"/>
      <c r="DJP3" s="354"/>
      <c r="DJQ3" s="354"/>
      <c r="DJR3" s="354"/>
      <c r="DJS3" s="354"/>
      <c r="DJT3" s="354"/>
      <c r="DJU3" s="354"/>
      <c r="DJV3" s="354"/>
      <c r="DJW3" s="354"/>
      <c r="DJX3" s="354"/>
      <c r="DJY3" s="354"/>
      <c r="DJZ3" s="354"/>
      <c r="DKA3" s="354"/>
      <c r="DKB3" s="354"/>
      <c r="DKC3" s="354"/>
      <c r="DKD3" s="354"/>
      <c r="DKE3" s="354"/>
      <c r="DKF3" s="354"/>
      <c r="DKG3" s="354"/>
      <c r="DKH3" s="354"/>
      <c r="DKI3" s="354"/>
      <c r="DKJ3" s="354"/>
      <c r="DKK3" s="354"/>
      <c r="DKL3" s="354"/>
      <c r="DKM3" s="354"/>
      <c r="DKN3" s="354"/>
      <c r="DKO3" s="354"/>
      <c r="DKP3" s="354"/>
      <c r="DKQ3" s="354"/>
      <c r="DKR3" s="354"/>
      <c r="DKS3" s="354"/>
      <c r="DKT3" s="354"/>
      <c r="DKU3" s="354"/>
      <c r="DKV3" s="354"/>
      <c r="DKW3" s="354"/>
      <c r="DKX3" s="354"/>
      <c r="DKY3" s="354"/>
      <c r="DKZ3" s="354"/>
      <c r="DLA3" s="354"/>
      <c r="DLB3" s="354"/>
      <c r="DLC3" s="354"/>
      <c r="DLD3" s="354"/>
      <c r="DLE3" s="354"/>
      <c r="DLF3" s="354"/>
      <c r="DLG3" s="354"/>
      <c r="DLH3" s="354"/>
      <c r="DLI3" s="354"/>
      <c r="DLJ3" s="354"/>
      <c r="DLK3" s="354"/>
      <c r="DLL3" s="354"/>
      <c r="DLM3" s="354"/>
      <c r="DLN3" s="354"/>
      <c r="DLO3" s="354"/>
      <c r="DLP3" s="354"/>
      <c r="DLQ3" s="354"/>
      <c r="DLR3" s="354"/>
      <c r="DLS3" s="354"/>
      <c r="DLT3" s="354"/>
      <c r="DLU3" s="354"/>
      <c r="DLV3" s="354"/>
      <c r="DLW3" s="354"/>
      <c r="DLX3" s="354"/>
      <c r="DLY3" s="354"/>
      <c r="DLZ3" s="354"/>
      <c r="DMA3" s="354"/>
      <c r="DMB3" s="354"/>
      <c r="DMC3" s="354"/>
      <c r="DMD3" s="354"/>
      <c r="DME3" s="354"/>
      <c r="DMF3" s="354"/>
      <c r="DMG3" s="354"/>
      <c r="DMH3" s="354"/>
      <c r="DMI3" s="354"/>
      <c r="DMJ3" s="354"/>
      <c r="DMK3" s="354"/>
      <c r="DML3" s="354"/>
      <c r="DMM3" s="354"/>
      <c r="DMN3" s="354"/>
      <c r="DMO3" s="354"/>
      <c r="DMP3" s="354"/>
      <c r="DMQ3" s="354"/>
      <c r="DMR3" s="354"/>
      <c r="DMS3" s="354"/>
      <c r="DMT3" s="354"/>
      <c r="DMU3" s="354"/>
      <c r="DMV3" s="354"/>
      <c r="DMW3" s="354"/>
      <c r="DMX3" s="354"/>
      <c r="DMY3" s="354"/>
      <c r="DMZ3" s="354"/>
      <c r="DNA3" s="354"/>
      <c r="DNB3" s="354"/>
      <c r="DNC3" s="354"/>
      <c r="DND3" s="354"/>
      <c r="DNE3" s="354"/>
      <c r="DNF3" s="354"/>
      <c r="DNG3" s="354"/>
      <c r="DNH3" s="354"/>
      <c r="DNI3" s="354"/>
      <c r="DNJ3" s="354"/>
      <c r="DNK3" s="354"/>
      <c r="DNL3" s="354"/>
      <c r="DNM3" s="354"/>
      <c r="DNN3" s="354"/>
      <c r="DNO3" s="354"/>
      <c r="DNP3" s="354"/>
      <c r="DNQ3" s="354"/>
      <c r="DNR3" s="354"/>
      <c r="DNS3" s="354"/>
      <c r="DNT3" s="354"/>
      <c r="DNU3" s="354"/>
      <c r="DNV3" s="354"/>
      <c r="DNW3" s="354"/>
      <c r="DNX3" s="354"/>
      <c r="DNY3" s="354"/>
      <c r="DNZ3" s="354"/>
      <c r="DOA3" s="354"/>
      <c r="DOB3" s="354"/>
      <c r="DOC3" s="354"/>
      <c r="DOD3" s="354"/>
      <c r="DOE3" s="354"/>
      <c r="DOF3" s="354"/>
      <c r="DOG3" s="354"/>
      <c r="DOH3" s="354"/>
      <c r="DOI3" s="354"/>
      <c r="DOJ3" s="354"/>
      <c r="DOK3" s="354"/>
      <c r="DOL3" s="354"/>
      <c r="DOM3" s="354"/>
      <c r="DON3" s="354"/>
      <c r="DOO3" s="354"/>
      <c r="DOP3" s="354"/>
      <c r="DOQ3" s="354"/>
      <c r="DOR3" s="354"/>
      <c r="DOS3" s="354"/>
      <c r="DOT3" s="354"/>
      <c r="DOU3" s="354"/>
      <c r="DOV3" s="354"/>
      <c r="DOW3" s="354"/>
      <c r="DOX3" s="354"/>
      <c r="DOY3" s="354"/>
      <c r="DOZ3" s="354"/>
      <c r="DPA3" s="354"/>
      <c r="DPB3" s="354"/>
      <c r="DPC3" s="354"/>
      <c r="DPD3" s="354"/>
      <c r="DPE3" s="354"/>
      <c r="DPF3" s="354"/>
      <c r="DPG3" s="354"/>
      <c r="DPH3" s="354"/>
      <c r="DPI3" s="354"/>
      <c r="DPJ3" s="354"/>
      <c r="DPK3" s="354"/>
      <c r="DPL3" s="354"/>
      <c r="DPM3" s="354"/>
      <c r="DPN3" s="354"/>
      <c r="DPO3" s="354"/>
      <c r="DPP3" s="354"/>
      <c r="DPQ3" s="354"/>
      <c r="DPR3" s="354"/>
      <c r="DPS3" s="354"/>
      <c r="DPT3" s="354"/>
      <c r="DPU3" s="354"/>
      <c r="DPV3" s="354"/>
      <c r="DPW3" s="354"/>
      <c r="DPX3" s="354"/>
      <c r="DPY3" s="354"/>
      <c r="DPZ3" s="354"/>
      <c r="DQA3" s="354"/>
      <c r="DQB3" s="354"/>
      <c r="DQC3" s="354"/>
      <c r="DQD3" s="354"/>
      <c r="DQE3" s="354"/>
      <c r="DQF3" s="354"/>
      <c r="DQG3" s="354"/>
      <c r="DQH3" s="354"/>
      <c r="DQI3" s="354"/>
      <c r="DQJ3" s="354"/>
      <c r="DQK3" s="354"/>
      <c r="DQL3" s="354"/>
      <c r="DQM3" s="354"/>
      <c r="DQN3" s="354"/>
      <c r="DQO3" s="354"/>
      <c r="DQP3" s="354"/>
      <c r="DQQ3" s="354"/>
      <c r="DQR3" s="354"/>
      <c r="DQS3" s="354"/>
      <c r="DQT3" s="354"/>
      <c r="DQU3" s="354"/>
      <c r="DQV3" s="354"/>
      <c r="DQW3" s="354"/>
      <c r="DQX3" s="354"/>
      <c r="DQY3" s="354"/>
      <c r="DQZ3" s="354"/>
      <c r="DRA3" s="354"/>
      <c r="DRB3" s="354"/>
      <c r="DRC3" s="354"/>
      <c r="DRD3" s="354"/>
      <c r="DRE3" s="354"/>
      <c r="DRF3" s="354"/>
      <c r="DRG3" s="354"/>
      <c r="DRH3" s="354"/>
      <c r="DRI3" s="354"/>
      <c r="DRJ3" s="354"/>
      <c r="DRK3" s="354"/>
      <c r="DRL3" s="354"/>
      <c r="DRM3" s="354"/>
      <c r="DRN3" s="354"/>
      <c r="DRO3" s="354"/>
      <c r="DRP3" s="354"/>
      <c r="DRQ3" s="354"/>
      <c r="DRR3" s="354"/>
      <c r="DRS3" s="354"/>
      <c r="DRT3" s="354"/>
      <c r="DRU3" s="354"/>
      <c r="DRV3" s="354"/>
      <c r="DRW3" s="354"/>
      <c r="DRX3" s="354"/>
      <c r="DRY3" s="354"/>
      <c r="DRZ3" s="354"/>
      <c r="DSA3" s="354"/>
      <c r="DSB3" s="354"/>
      <c r="DSC3" s="354"/>
      <c r="DSD3" s="354"/>
      <c r="DSE3" s="354"/>
      <c r="DSF3" s="354"/>
      <c r="DSG3" s="354"/>
      <c r="DSH3" s="354"/>
      <c r="DSI3" s="354"/>
      <c r="DSJ3" s="354"/>
      <c r="DSK3" s="354"/>
      <c r="DSL3" s="354"/>
      <c r="DSM3" s="354"/>
      <c r="DSN3" s="354"/>
      <c r="DSO3" s="354"/>
      <c r="DSP3" s="354"/>
      <c r="DSQ3" s="354"/>
      <c r="DSR3" s="354"/>
      <c r="DSS3" s="354"/>
      <c r="DST3" s="354"/>
      <c r="DSU3" s="354"/>
      <c r="DSV3" s="354"/>
      <c r="DSW3" s="354"/>
      <c r="DSX3" s="354"/>
      <c r="DSY3" s="354"/>
      <c r="DSZ3" s="354"/>
      <c r="DTA3" s="354"/>
      <c r="DTB3" s="354"/>
      <c r="DTC3" s="354"/>
      <c r="DTD3" s="354"/>
      <c r="DTE3" s="354"/>
      <c r="DTF3" s="354"/>
      <c r="DTG3" s="354"/>
      <c r="DTH3" s="354"/>
      <c r="DTI3" s="354"/>
      <c r="DTJ3" s="354"/>
      <c r="DTK3" s="354"/>
      <c r="DTL3" s="354"/>
      <c r="DTM3" s="354"/>
      <c r="DTN3" s="354"/>
      <c r="DTO3" s="354"/>
      <c r="DTP3" s="354"/>
      <c r="DTQ3" s="354"/>
      <c r="DTR3" s="354"/>
      <c r="DTS3" s="354"/>
      <c r="DTT3" s="354"/>
      <c r="DTU3" s="354"/>
      <c r="DTV3" s="354"/>
      <c r="DTW3" s="354"/>
      <c r="DTX3" s="354"/>
      <c r="DTY3" s="354"/>
      <c r="DTZ3" s="354"/>
      <c r="DUA3" s="354"/>
      <c r="DUB3" s="354"/>
      <c r="DUC3" s="354"/>
      <c r="DUD3" s="354"/>
      <c r="DUE3" s="354"/>
      <c r="DUF3" s="354"/>
      <c r="DUG3" s="354"/>
      <c r="DUH3" s="354"/>
      <c r="DUI3" s="354"/>
      <c r="DUJ3" s="354"/>
      <c r="DUK3" s="354"/>
      <c r="DUL3" s="354"/>
      <c r="DUM3" s="354"/>
      <c r="DUN3" s="354"/>
      <c r="DUO3" s="354"/>
      <c r="DUP3" s="354"/>
      <c r="DUQ3" s="354"/>
      <c r="DUR3" s="354"/>
      <c r="DUS3" s="354"/>
      <c r="DUT3" s="354"/>
      <c r="DUU3" s="354"/>
      <c r="DUV3" s="354"/>
      <c r="DUW3" s="354"/>
      <c r="DUX3" s="354"/>
      <c r="DUY3" s="354"/>
      <c r="DUZ3" s="354"/>
      <c r="DVA3" s="354"/>
      <c r="DVB3" s="354"/>
      <c r="DVC3" s="354"/>
      <c r="DVD3" s="354"/>
      <c r="DVE3" s="354"/>
      <c r="DVF3" s="354"/>
      <c r="DVG3" s="354"/>
      <c r="DVH3" s="354"/>
      <c r="DVI3" s="354"/>
      <c r="DVJ3" s="354"/>
      <c r="DVK3" s="354"/>
      <c r="DVL3" s="354"/>
      <c r="DVM3" s="354"/>
      <c r="DVN3" s="354"/>
      <c r="DVO3" s="354"/>
      <c r="DVP3" s="354"/>
      <c r="DVQ3" s="354"/>
      <c r="DVR3" s="354"/>
      <c r="DVS3" s="354"/>
      <c r="DVT3" s="354"/>
      <c r="DVU3" s="354"/>
      <c r="DVV3" s="354"/>
      <c r="DVW3" s="354"/>
      <c r="DVX3" s="354"/>
      <c r="DVY3" s="354"/>
      <c r="DVZ3" s="354"/>
      <c r="DWA3" s="354"/>
      <c r="DWB3" s="354"/>
      <c r="DWC3" s="354"/>
      <c r="DWD3" s="354"/>
      <c r="DWE3" s="354"/>
      <c r="DWF3" s="354"/>
      <c r="DWG3" s="354"/>
      <c r="DWH3" s="354"/>
      <c r="DWI3" s="354"/>
      <c r="DWJ3" s="354"/>
      <c r="DWK3" s="354"/>
      <c r="DWL3" s="354"/>
      <c r="DWM3" s="354"/>
      <c r="DWN3" s="354"/>
      <c r="DWO3" s="354"/>
      <c r="DWP3" s="354"/>
      <c r="DWQ3" s="354"/>
      <c r="DWR3" s="354"/>
      <c r="DWS3" s="354"/>
      <c r="DWT3" s="354"/>
      <c r="DWU3" s="354"/>
      <c r="DWV3" s="354"/>
      <c r="DWW3" s="354"/>
      <c r="DWX3" s="354"/>
      <c r="DWY3" s="354"/>
      <c r="DWZ3" s="354"/>
      <c r="DXA3" s="354"/>
      <c r="DXB3" s="354"/>
      <c r="DXC3" s="354"/>
      <c r="DXD3" s="354"/>
      <c r="DXE3" s="354"/>
      <c r="DXF3" s="354"/>
      <c r="DXG3" s="354"/>
      <c r="DXH3" s="354"/>
      <c r="DXI3" s="354"/>
      <c r="DXJ3" s="354"/>
      <c r="DXK3" s="354"/>
      <c r="DXL3" s="354"/>
      <c r="DXM3" s="354"/>
      <c r="DXN3" s="354"/>
      <c r="DXO3" s="354"/>
      <c r="DXP3" s="354"/>
      <c r="DXQ3" s="354"/>
      <c r="DXR3" s="354"/>
      <c r="DXS3" s="354"/>
      <c r="DXT3" s="354"/>
      <c r="DXU3" s="354"/>
      <c r="DXV3" s="354"/>
      <c r="DXW3" s="354"/>
      <c r="DXX3" s="354"/>
      <c r="DXY3" s="354"/>
      <c r="DXZ3" s="354"/>
      <c r="DYA3" s="354"/>
      <c r="DYB3" s="354"/>
      <c r="DYC3" s="354"/>
      <c r="DYD3" s="354"/>
      <c r="DYE3" s="354"/>
      <c r="DYF3" s="354"/>
      <c r="DYG3" s="354"/>
      <c r="DYH3" s="354"/>
      <c r="DYI3" s="354"/>
      <c r="DYJ3" s="354"/>
      <c r="DYK3" s="354"/>
      <c r="DYL3" s="354"/>
      <c r="DYM3" s="354"/>
      <c r="DYN3" s="354"/>
      <c r="DYO3" s="354"/>
      <c r="DYP3" s="354"/>
      <c r="DYQ3" s="354"/>
      <c r="DYR3" s="354"/>
      <c r="DYS3" s="354"/>
      <c r="DYT3" s="354"/>
      <c r="DYU3" s="354"/>
      <c r="DYV3" s="354"/>
      <c r="DYW3" s="354"/>
      <c r="DYX3" s="354"/>
      <c r="DYY3" s="354"/>
      <c r="DYZ3" s="354"/>
      <c r="DZA3" s="354"/>
      <c r="DZB3" s="354"/>
      <c r="DZC3" s="354"/>
      <c r="DZD3" s="354"/>
      <c r="DZE3" s="354"/>
      <c r="DZF3" s="354"/>
      <c r="DZG3" s="354"/>
      <c r="DZH3" s="354"/>
      <c r="DZI3" s="354"/>
      <c r="DZJ3" s="354"/>
      <c r="DZK3" s="354"/>
      <c r="DZL3" s="354"/>
      <c r="DZM3" s="354"/>
      <c r="DZN3" s="354"/>
      <c r="DZO3" s="354"/>
      <c r="DZP3" s="354"/>
      <c r="DZQ3" s="354"/>
      <c r="DZR3" s="354"/>
      <c r="DZS3" s="354"/>
      <c r="DZT3" s="354"/>
      <c r="DZU3" s="354"/>
      <c r="DZV3" s="354"/>
      <c r="DZW3" s="354"/>
      <c r="DZX3" s="354"/>
      <c r="DZY3" s="354"/>
      <c r="DZZ3" s="354"/>
      <c r="EAA3" s="354"/>
      <c r="EAB3" s="354"/>
      <c r="EAC3" s="354"/>
      <c r="EAD3" s="354"/>
      <c r="EAE3" s="354"/>
      <c r="EAF3" s="354"/>
      <c r="EAG3" s="354"/>
      <c r="EAH3" s="354"/>
      <c r="EAI3" s="354"/>
      <c r="EAJ3" s="354"/>
      <c r="EAK3" s="354"/>
      <c r="EAL3" s="354"/>
      <c r="EAM3" s="354"/>
      <c r="EAN3" s="354"/>
      <c r="EAO3" s="354"/>
      <c r="EAP3" s="354"/>
      <c r="EAQ3" s="354"/>
      <c r="EAR3" s="354"/>
      <c r="EAS3" s="354"/>
      <c r="EAT3" s="354"/>
      <c r="EAU3" s="354"/>
      <c r="EAV3" s="354"/>
      <c r="EAW3" s="354"/>
      <c r="EAX3" s="354"/>
      <c r="EAY3" s="354"/>
      <c r="EAZ3" s="354"/>
      <c r="EBA3" s="354"/>
      <c r="EBB3" s="354"/>
      <c r="EBC3" s="354"/>
      <c r="EBD3" s="354"/>
      <c r="EBE3" s="354"/>
      <c r="EBF3" s="354"/>
      <c r="EBG3" s="354"/>
      <c r="EBH3" s="354"/>
      <c r="EBI3" s="354"/>
      <c r="EBJ3" s="354"/>
      <c r="EBK3" s="354"/>
      <c r="EBL3" s="354"/>
      <c r="EBM3" s="354"/>
      <c r="EBN3" s="354"/>
      <c r="EBO3" s="354"/>
      <c r="EBP3" s="354"/>
      <c r="EBQ3" s="354"/>
      <c r="EBR3" s="354"/>
      <c r="EBS3" s="354"/>
      <c r="EBT3" s="354"/>
      <c r="EBU3" s="354"/>
      <c r="EBV3" s="354"/>
      <c r="EBW3" s="354"/>
      <c r="EBX3" s="354"/>
      <c r="EBY3" s="354"/>
      <c r="EBZ3" s="354"/>
      <c r="ECA3" s="354"/>
      <c r="ECB3" s="354"/>
      <c r="ECC3" s="354"/>
      <c r="ECD3" s="354"/>
      <c r="ECE3" s="354"/>
      <c r="ECF3" s="354"/>
      <c r="ECG3" s="354"/>
      <c r="ECH3" s="354"/>
      <c r="ECI3" s="354"/>
      <c r="ECJ3" s="354"/>
      <c r="ECK3" s="354"/>
      <c r="ECL3" s="354"/>
      <c r="ECM3" s="354"/>
      <c r="ECN3" s="354"/>
      <c r="ECO3" s="354"/>
      <c r="ECP3" s="354"/>
      <c r="ECQ3" s="354"/>
      <c r="ECR3" s="354"/>
      <c r="ECS3" s="354"/>
      <c r="ECT3" s="354"/>
      <c r="ECU3" s="354"/>
      <c r="ECV3" s="354"/>
      <c r="ECW3" s="354"/>
      <c r="ECX3" s="354"/>
      <c r="ECY3" s="354"/>
      <c r="ECZ3" s="354"/>
      <c r="EDA3" s="354"/>
      <c r="EDB3" s="354"/>
      <c r="EDC3" s="354"/>
      <c r="EDD3" s="354"/>
      <c r="EDE3" s="354"/>
      <c r="EDF3" s="354"/>
      <c r="EDG3" s="354"/>
      <c r="EDH3" s="354"/>
      <c r="EDI3" s="354"/>
      <c r="EDJ3" s="354"/>
      <c r="EDK3" s="354"/>
      <c r="EDL3" s="354"/>
      <c r="EDM3" s="354"/>
      <c r="EDN3" s="354"/>
      <c r="EDO3" s="354"/>
      <c r="EDP3" s="354"/>
      <c r="EDQ3" s="354"/>
      <c r="EDR3" s="354"/>
      <c r="EDS3" s="354"/>
      <c r="EDT3" s="354"/>
      <c r="EDU3" s="354"/>
      <c r="EDV3" s="354"/>
      <c r="EDW3" s="354"/>
      <c r="EDX3" s="354"/>
      <c r="EDY3" s="354"/>
      <c r="EDZ3" s="354"/>
      <c r="EEA3" s="354"/>
      <c r="EEB3" s="354"/>
      <c r="EEC3" s="354"/>
      <c r="EED3" s="354"/>
      <c r="EEE3" s="354"/>
      <c r="EEF3" s="354"/>
      <c r="EEG3" s="354"/>
      <c r="EEH3" s="354"/>
      <c r="EEI3" s="354"/>
      <c r="EEJ3" s="354"/>
      <c r="EEK3" s="354"/>
      <c r="EEL3" s="354"/>
      <c r="EEM3" s="354"/>
      <c r="EEN3" s="354"/>
      <c r="EEO3" s="354"/>
      <c r="EEP3" s="354"/>
      <c r="EEQ3" s="354"/>
      <c r="EER3" s="354"/>
      <c r="EES3" s="354"/>
      <c r="EET3" s="354"/>
      <c r="EEU3" s="354"/>
      <c r="EEV3" s="354"/>
      <c r="EEW3" s="354"/>
      <c r="EEX3" s="354"/>
      <c r="EEY3" s="354"/>
      <c r="EEZ3" s="354"/>
      <c r="EFA3" s="354"/>
      <c r="EFB3" s="354"/>
      <c r="EFC3" s="354"/>
      <c r="EFD3" s="354"/>
      <c r="EFE3" s="354"/>
      <c r="EFF3" s="354"/>
      <c r="EFG3" s="354"/>
      <c r="EFH3" s="354"/>
      <c r="EFI3" s="354"/>
      <c r="EFJ3" s="354"/>
      <c r="EFK3" s="354"/>
      <c r="EFL3" s="354"/>
      <c r="EFM3" s="354"/>
      <c r="EFN3" s="354"/>
      <c r="EFO3" s="354"/>
      <c r="EFP3" s="354"/>
      <c r="EFQ3" s="354"/>
      <c r="EFR3" s="354"/>
      <c r="EFS3" s="354"/>
      <c r="EFT3" s="354"/>
      <c r="EFU3" s="354"/>
      <c r="EFV3" s="354"/>
      <c r="EFW3" s="354"/>
      <c r="EFX3" s="354"/>
      <c r="EFY3" s="354"/>
      <c r="EFZ3" s="354"/>
      <c r="EGA3" s="354"/>
      <c r="EGB3" s="354"/>
      <c r="EGC3" s="354"/>
      <c r="EGD3" s="354"/>
      <c r="EGE3" s="354"/>
      <c r="EGF3" s="354"/>
      <c r="EGG3" s="354"/>
      <c r="EGH3" s="354"/>
      <c r="EGI3" s="354"/>
      <c r="EGJ3" s="354"/>
      <c r="EGK3" s="354"/>
      <c r="EGL3" s="354"/>
      <c r="EGM3" s="354"/>
      <c r="EGN3" s="354"/>
      <c r="EGO3" s="354"/>
      <c r="EGP3" s="354"/>
      <c r="EGQ3" s="354"/>
      <c r="EGR3" s="354"/>
      <c r="EGS3" s="354"/>
      <c r="EGT3" s="354"/>
      <c r="EGU3" s="354"/>
      <c r="EGV3" s="354"/>
      <c r="EGW3" s="354"/>
      <c r="EGX3" s="354"/>
      <c r="EGY3" s="354"/>
      <c r="EGZ3" s="354"/>
      <c r="EHA3" s="354"/>
      <c r="EHB3" s="354"/>
      <c r="EHC3" s="354"/>
      <c r="EHD3" s="354"/>
      <c r="EHE3" s="354"/>
      <c r="EHF3" s="354"/>
      <c r="EHG3" s="354"/>
      <c r="EHH3" s="354"/>
      <c r="EHI3" s="354"/>
      <c r="EHJ3" s="354"/>
      <c r="EHK3" s="354"/>
      <c r="EHL3" s="354"/>
      <c r="EHM3" s="354"/>
      <c r="EHN3" s="354"/>
      <c r="EHO3" s="354"/>
      <c r="EHP3" s="354"/>
      <c r="EHQ3" s="354"/>
      <c r="EHR3" s="354"/>
      <c r="EHS3" s="354"/>
      <c r="EHT3" s="354"/>
      <c r="EHU3" s="354"/>
      <c r="EHV3" s="354"/>
      <c r="EHW3" s="354"/>
      <c r="EHX3" s="354"/>
      <c r="EHY3" s="354"/>
      <c r="EHZ3" s="354"/>
      <c r="EIA3" s="354"/>
      <c r="EIB3" s="354"/>
      <c r="EIC3" s="354"/>
      <c r="EID3" s="354"/>
      <c r="EIE3" s="354"/>
      <c r="EIF3" s="354"/>
      <c r="EIG3" s="354"/>
      <c r="EIH3" s="354"/>
      <c r="EII3" s="354"/>
      <c r="EIJ3" s="354"/>
      <c r="EIK3" s="354"/>
      <c r="EIL3" s="354"/>
      <c r="EIM3" s="354"/>
      <c r="EIN3" s="354"/>
      <c r="EIO3" s="354"/>
      <c r="EIP3" s="354"/>
      <c r="EIQ3" s="354"/>
      <c r="EIR3" s="354"/>
      <c r="EIS3" s="354"/>
      <c r="EIT3" s="354"/>
      <c r="EIU3" s="354"/>
      <c r="EIV3" s="354"/>
      <c r="EIW3" s="354"/>
      <c r="EIX3" s="354"/>
      <c r="EIY3" s="354"/>
      <c r="EIZ3" s="354"/>
      <c r="EJA3" s="354"/>
      <c r="EJB3" s="354"/>
      <c r="EJC3" s="354"/>
      <c r="EJD3" s="354"/>
      <c r="EJE3" s="354"/>
      <c r="EJF3" s="354"/>
      <c r="EJG3" s="354"/>
      <c r="EJH3" s="354"/>
      <c r="EJI3" s="354"/>
      <c r="EJJ3" s="354"/>
      <c r="EJK3" s="354"/>
      <c r="EJL3" s="354"/>
      <c r="EJM3" s="354"/>
      <c r="EJN3" s="354"/>
      <c r="EJO3" s="354"/>
      <c r="EJP3" s="354"/>
      <c r="EJQ3" s="354"/>
      <c r="EJR3" s="354"/>
      <c r="EJS3" s="354"/>
      <c r="EJT3" s="354"/>
      <c r="EJU3" s="354"/>
      <c r="EJV3" s="354"/>
      <c r="EJW3" s="354"/>
      <c r="EJX3" s="354"/>
      <c r="EJY3" s="354"/>
      <c r="EJZ3" s="354"/>
      <c r="EKA3" s="354"/>
      <c r="EKB3" s="354"/>
      <c r="EKC3" s="354"/>
      <c r="EKD3" s="354"/>
      <c r="EKE3" s="354"/>
      <c r="EKF3" s="354"/>
      <c r="EKG3" s="354"/>
      <c r="EKH3" s="354"/>
      <c r="EKI3" s="354"/>
      <c r="EKJ3" s="354"/>
      <c r="EKK3" s="354"/>
      <c r="EKL3" s="354"/>
      <c r="EKM3" s="354"/>
      <c r="EKN3" s="354"/>
      <c r="EKO3" s="354"/>
      <c r="EKP3" s="354"/>
      <c r="EKQ3" s="354"/>
      <c r="EKR3" s="354"/>
      <c r="EKS3" s="354"/>
      <c r="EKT3" s="354"/>
      <c r="EKU3" s="354"/>
      <c r="EKV3" s="354"/>
      <c r="EKW3" s="354"/>
      <c r="EKX3" s="354"/>
      <c r="EKY3" s="354"/>
      <c r="EKZ3" s="354"/>
      <c r="ELA3" s="354"/>
      <c r="ELB3" s="354"/>
      <c r="ELC3" s="354"/>
      <c r="ELD3" s="354"/>
      <c r="ELE3" s="354"/>
      <c r="ELF3" s="354"/>
      <c r="ELG3" s="354"/>
      <c r="ELH3" s="354"/>
      <c r="ELI3" s="354"/>
      <c r="ELJ3" s="354"/>
      <c r="ELK3" s="354"/>
      <c r="ELL3" s="354"/>
      <c r="ELM3" s="354"/>
      <c r="ELN3" s="354"/>
      <c r="ELO3" s="354"/>
      <c r="ELP3" s="354"/>
      <c r="ELQ3" s="354"/>
      <c r="ELR3" s="354"/>
      <c r="ELS3" s="354"/>
      <c r="ELT3" s="354"/>
      <c r="ELU3" s="354"/>
      <c r="ELV3" s="354"/>
      <c r="ELW3" s="354"/>
      <c r="ELX3" s="354"/>
      <c r="ELY3" s="354"/>
      <c r="ELZ3" s="354"/>
      <c r="EMA3" s="354"/>
      <c r="EMB3" s="354"/>
      <c r="EMC3" s="354"/>
      <c r="EMD3" s="354"/>
      <c r="EME3" s="354"/>
      <c r="EMF3" s="354"/>
      <c r="EMG3" s="354"/>
      <c r="EMH3" s="354"/>
      <c r="EMI3" s="354"/>
      <c r="EMJ3" s="354"/>
      <c r="EMK3" s="354"/>
      <c r="EML3" s="354"/>
      <c r="EMM3" s="354"/>
      <c r="EMN3" s="354"/>
      <c r="EMO3" s="354"/>
      <c r="EMP3" s="354"/>
      <c r="EMQ3" s="354"/>
      <c r="EMR3" s="354"/>
      <c r="EMS3" s="354"/>
      <c r="EMT3" s="354"/>
      <c r="EMU3" s="354"/>
      <c r="EMV3" s="354"/>
      <c r="EMW3" s="354"/>
      <c r="EMX3" s="354"/>
      <c r="EMY3" s="354"/>
      <c r="EMZ3" s="354"/>
      <c r="ENA3" s="354"/>
      <c r="ENB3" s="354"/>
      <c r="ENC3" s="354"/>
      <c r="END3" s="354"/>
      <c r="ENE3" s="354"/>
      <c r="ENF3" s="354"/>
      <c r="ENG3" s="354"/>
      <c r="ENH3" s="354"/>
      <c r="ENI3" s="354"/>
      <c r="ENJ3" s="354"/>
      <c r="ENK3" s="354"/>
      <c r="ENL3" s="354"/>
      <c r="ENM3" s="354"/>
      <c r="ENN3" s="354"/>
      <c r="ENO3" s="354"/>
      <c r="ENP3" s="354"/>
      <c r="ENQ3" s="354"/>
      <c r="ENR3" s="354"/>
      <c r="ENS3" s="354"/>
      <c r="ENT3" s="354"/>
      <c r="ENU3" s="354"/>
      <c r="ENV3" s="354"/>
      <c r="ENW3" s="354"/>
      <c r="ENX3" s="354"/>
      <c r="ENY3" s="354"/>
      <c r="ENZ3" s="354"/>
      <c r="EOA3" s="354"/>
      <c r="EOB3" s="354"/>
      <c r="EOC3" s="354"/>
      <c r="EOD3" s="354"/>
      <c r="EOE3" s="354"/>
      <c r="EOF3" s="354"/>
      <c r="EOG3" s="354"/>
      <c r="EOH3" s="354"/>
      <c r="EOI3" s="354"/>
      <c r="EOJ3" s="354"/>
      <c r="EOK3" s="354"/>
      <c r="EOL3" s="354"/>
      <c r="EOM3" s="354"/>
      <c r="EON3" s="354"/>
      <c r="EOO3" s="354"/>
      <c r="EOP3" s="354"/>
      <c r="EOQ3" s="354"/>
      <c r="EOR3" s="354"/>
      <c r="EOS3" s="354"/>
      <c r="EOT3" s="354"/>
      <c r="EOU3" s="354"/>
      <c r="EOV3" s="354"/>
      <c r="EOW3" s="354"/>
      <c r="EOX3" s="354"/>
      <c r="EOY3" s="354"/>
      <c r="EOZ3" s="354"/>
      <c r="EPA3" s="354"/>
      <c r="EPB3" s="354"/>
      <c r="EPC3" s="354"/>
      <c r="EPD3" s="354"/>
      <c r="EPE3" s="354"/>
      <c r="EPF3" s="354"/>
      <c r="EPG3" s="354"/>
      <c r="EPH3" s="354"/>
      <c r="EPI3" s="354"/>
      <c r="EPJ3" s="354"/>
      <c r="EPK3" s="354"/>
      <c r="EPL3" s="354"/>
      <c r="EPM3" s="354"/>
      <c r="EPN3" s="354"/>
      <c r="EPO3" s="354"/>
      <c r="EPP3" s="354"/>
      <c r="EPQ3" s="354"/>
      <c r="EPR3" s="354"/>
      <c r="EPS3" s="354"/>
      <c r="EPT3" s="354"/>
      <c r="EPU3" s="354"/>
      <c r="EPV3" s="354"/>
      <c r="EPW3" s="354"/>
      <c r="EPX3" s="354"/>
      <c r="EPY3" s="354"/>
      <c r="EPZ3" s="354"/>
      <c r="EQA3" s="354"/>
      <c r="EQB3" s="354"/>
      <c r="EQC3" s="354"/>
      <c r="EQD3" s="354"/>
      <c r="EQE3" s="354"/>
      <c r="EQF3" s="354"/>
      <c r="EQG3" s="354"/>
      <c r="EQH3" s="354"/>
      <c r="EQI3" s="354"/>
      <c r="EQJ3" s="354"/>
      <c r="EQK3" s="354"/>
      <c r="EQL3" s="354"/>
      <c r="EQM3" s="354"/>
      <c r="EQN3" s="354"/>
      <c r="EQO3" s="354"/>
      <c r="EQP3" s="354"/>
      <c r="EQQ3" s="354"/>
      <c r="EQR3" s="354"/>
      <c r="EQS3" s="354"/>
      <c r="EQT3" s="354"/>
      <c r="EQU3" s="354"/>
      <c r="EQV3" s="354"/>
      <c r="EQW3" s="354"/>
      <c r="EQX3" s="354"/>
      <c r="EQY3" s="354"/>
      <c r="EQZ3" s="354"/>
      <c r="ERA3" s="354"/>
      <c r="ERB3" s="354"/>
      <c r="ERC3" s="354"/>
      <c r="ERD3" s="354"/>
      <c r="ERE3" s="354"/>
      <c r="ERF3" s="354"/>
      <c r="ERG3" s="354"/>
      <c r="ERH3" s="354"/>
      <c r="ERI3" s="354"/>
      <c r="ERJ3" s="354"/>
      <c r="ERK3" s="354"/>
      <c r="ERL3" s="354"/>
      <c r="ERM3" s="354"/>
      <c r="ERN3" s="354"/>
      <c r="ERO3" s="354"/>
      <c r="ERP3" s="354"/>
      <c r="ERQ3" s="354"/>
      <c r="ERR3" s="354"/>
      <c r="ERS3" s="354"/>
      <c r="ERT3" s="354"/>
      <c r="ERU3" s="354"/>
      <c r="ERV3" s="354"/>
      <c r="ERW3" s="354"/>
      <c r="ERX3" s="354"/>
      <c r="ERY3" s="354"/>
      <c r="ERZ3" s="354"/>
      <c r="ESA3" s="354"/>
      <c r="ESB3" s="354"/>
      <c r="ESC3" s="354"/>
      <c r="ESD3" s="354"/>
      <c r="ESE3" s="354"/>
      <c r="ESF3" s="354"/>
      <c r="ESG3" s="354"/>
      <c r="ESH3" s="354"/>
      <c r="ESI3" s="354"/>
      <c r="ESJ3" s="354"/>
      <c r="ESK3" s="354"/>
      <c r="ESL3" s="354"/>
      <c r="ESM3" s="354"/>
      <c r="ESN3" s="354"/>
      <c r="ESO3" s="354"/>
      <c r="ESP3" s="354"/>
      <c r="ESQ3" s="354"/>
      <c r="ESR3" s="354"/>
      <c r="ESS3" s="354"/>
      <c r="EST3" s="354"/>
      <c r="ESU3" s="354"/>
      <c r="ESV3" s="354"/>
      <c r="ESW3" s="354"/>
      <c r="ESX3" s="354"/>
      <c r="ESY3" s="354"/>
      <c r="ESZ3" s="354"/>
      <c r="ETA3" s="354"/>
      <c r="ETB3" s="354"/>
      <c r="ETC3" s="354"/>
      <c r="ETD3" s="354"/>
      <c r="ETE3" s="354"/>
      <c r="ETF3" s="354"/>
      <c r="ETG3" s="354"/>
      <c r="ETH3" s="354"/>
      <c r="ETI3" s="354"/>
      <c r="ETJ3" s="354"/>
      <c r="ETK3" s="354"/>
      <c r="ETL3" s="354"/>
      <c r="ETM3" s="354"/>
      <c r="ETN3" s="354"/>
      <c r="ETO3" s="354"/>
      <c r="ETP3" s="354"/>
      <c r="ETQ3" s="354"/>
      <c r="ETR3" s="354"/>
      <c r="ETS3" s="354"/>
      <c r="ETT3" s="354"/>
      <c r="ETU3" s="354"/>
      <c r="ETV3" s="354"/>
      <c r="ETW3" s="354"/>
      <c r="ETX3" s="354"/>
      <c r="ETY3" s="354"/>
      <c r="ETZ3" s="354"/>
      <c r="EUA3" s="354"/>
      <c r="EUB3" s="354"/>
      <c r="EUC3" s="354"/>
      <c r="EUD3" s="354"/>
      <c r="EUE3" s="354"/>
      <c r="EUF3" s="354"/>
      <c r="EUG3" s="354"/>
      <c r="EUH3" s="354"/>
      <c r="EUI3" s="354"/>
      <c r="EUJ3" s="354"/>
      <c r="EUK3" s="354"/>
      <c r="EUL3" s="354"/>
      <c r="EUM3" s="354"/>
      <c r="EUN3" s="354"/>
      <c r="EUO3" s="354"/>
      <c r="EUP3" s="354"/>
      <c r="EUQ3" s="354"/>
      <c r="EUR3" s="354"/>
      <c r="EUS3" s="354"/>
      <c r="EUT3" s="354"/>
      <c r="EUU3" s="354"/>
      <c r="EUV3" s="354"/>
      <c r="EUW3" s="354"/>
      <c r="EUX3" s="354"/>
      <c r="EUY3" s="354"/>
      <c r="EUZ3" s="354"/>
      <c r="EVA3" s="354"/>
      <c r="EVB3" s="354"/>
      <c r="EVC3" s="354"/>
      <c r="EVD3" s="354"/>
      <c r="EVE3" s="354"/>
      <c r="EVF3" s="354"/>
      <c r="EVG3" s="354"/>
      <c r="EVH3" s="354"/>
      <c r="EVI3" s="354"/>
      <c r="EVJ3" s="354"/>
      <c r="EVK3" s="354"/>
      <c r="EVL3" s="354"/>
      <c r="EVM3" s="354"/>
      <c r="EVN3" s="354"/>
      <c r="EVO3" s="354"/>
      <c r="EVP3" s="354"/>
      <c r="EVQ3" s="354"/>
      <c r="EVR3" s="354"/>
      <c r="EVS3" s="354"/>
      <c r="EVT3" s="354"/>
      <c r="EVU3" s="354"/>
      <c r="EVV3" s="354"/>
      <c r="EVW3" s="354"/>
      <c r="EVX3" s="354"/>
      <c r="EVY3" s="354"/>
      <c r="EVZ3" s="354"/>
      <c r="EWA3" s="354"/>
      <c r="EWB3" s="354"/>
      <c r="EWC3" s="354"/>
      <c r="EWD3" s="354"/>
      <c r="EWE3" s="354"/>
      <c r="EWF3" s="354"/>
      <c r="EWG3" s="354"/>
      <c r="EWH3" s="354"/>
      <c r="EWI3" s="354"/>
      <c r="EWJ3" s="354"/>
      <c r="EWK3" s="354"/>
      <c r="EWL3" s="354"/>
      <c r="EWM3" s="354"/>
      <c r="EWN3" s="354"/>
      <c r="EWO3" s="354"/>
      <c r="EWP3" s="354"/>
      <c r="EWQ3" s="354"/>
      <c r="EWR3" s="354"/>
      <c r="EWS3" s="354"/>
      <c r="EWT3" s="354"/>
      <c r="EWU3" s="354"/>
      <c r="EWV3" s="354"/>
      <c r="EWW3" s="354"/>
      <c r="EWX3" s="354"/>
      <c r="EWY3" s="354"/>
      <c r="EWZ3" s="354"/>
      <c r="EXA3" s="354"/>
      <c r="EXB3" s="354"/>
      <c r="EXC3" s="354"/>
      <c r="EXD3" s="354"/>
      <c r="EXE3" s="354"/>
      <c r="EXF3" s="354"/>
      <c r="EXG3" s="354"/>
      <c r="EXH3" s="354"/>
      <c r="EXI3" s="354"/>
      <c r="EXJ3" s="354"/>
      <c r="EXK3" s="354"/>
      <c r="EXL3" s="354"/>
      <c r="EXM3" s="354"/>
      <c r="EXN3" s="354"/>
      <c r="EXO3" s="354"/>
      <c r="EXP3" s="354"/>
      <c r="EXQ3" s="354"/>
      <c r="EXR3" s="354"/>
      <c r="EXS3" s="354"/>
      <c r="EXT3" s="354"/>
      <c r="EXU3" s="354"/>
      <c r="EXV3" s="354"/>
      <c r="EXW3" s="354"/>
      <c r="EXX3" s="354"/>
      <c r="EXY3" s="354"/>
      <c r="EXZ3" s="354"/>
      <c r="EYA3" s="354"/>
      <c r="EYB3" s="354"/>
      <c r="EYC3" s="354"/>
      <c r="EYD3" s="354"/>
      <c r="EYE3" s="354"/>
      <c r="EYF3" s="354"/>
      <c r="EYG3" s="354"/>
      <c r="EYH3" s="354"/>
      <c r="EYI3" s="354"/>
      <c r="EYJ3" s="354"/>
      <c r="EYK3" s="354"/>
      <c r="EYL3" s="354"/>
      <c r="EYM3" s="354"/>
      <c r="EYN3" s="354"/>
      <c r="EYO3" s="354"/>
      <c r="EYP3" s="354"/>
      <c r="EYQ3" s="354"/>
      <c r="EYR3" s="354"/>
      <c r="EYS3" s="354"/>
      <c r="EYT3" s="354"/>
      <c r="EYU3" s="354"/>
      <c r="EYV3" s="354"/>
      <c r="EYW3" s="354"/>
      <c r="EYX3" s="354"/>
      <c r="EYY3" s="354"/>
      <c r="EYZ3" s="354"/>
      <c r="EZA3" s="354"/>
      <c r="EZB3" s="354"/>
      <c r="EZC3" s="354"/>
      <c r="EZD3" s="354"/>
      <c r="EZE3" s="354"/>
      <c r="EZF3" s="354"/>
      <c r="EZG3" s="354"/>
      <c r="EZH3" s="354"/>
      <c r="EZI3" s="354"/>
      <c r="EZJ3" s="354"/>
      <c r="EZK3" s="354"/>
      <c r="EZL3" s="354"/>
      <c r="EZM3" s="354"/>
      <c r="EZN3" s="354"/>
      <c r="EZO3" s="354"/>
      <c r="EZP3" s="354"/>
      <c r="EZQ3" s="354"/>
      <c r="EZR3" s="354"/>
      <c r="EZS3" s="354"/>
      <c r="EZT3" s="354"/>
      <c r="EZU3" s="354"/>
      <c r="EZV3" s="354"/>
      <c r="EZW3" s="354"/>
      <c r="EZX3" s="354"/>
      <c r="EZY3" s="354"/>
      <c r="EZZ3" s="354"/>
      <c r="FAA3" s="354"/>
      <c r="FAB3" s="354"/>
      <c r="FAC3" s="354"/>
      <c r="FAD3" s="354"/>
      <c r="FAE3" s="354"/>
      <c r="FAF3" s="354"/>
      <c r="FAG3" s="354"/>
      <c r="FAH3" s="354"/>
      <c r="FAI3" s="354"/>
      <c r="FAJ3" s="354"/>
      <c r="FAK3" s="354"/>
      <c r="FAL3" s="354"/>
      <c r="FAM3" s="354"/>
      <c r="FAN3" s="354"/>
      <c r="FAO3" s="354"/>
      <c r="FAP3" s="354"/>
      <c r="FAQ3" s="354"/>
      <c r="FAR3" s="354"/>
      <c r="FAS3" s="354"/>
      <c r="FAT3" s="354"/>
      <c r="FAU3" s="354"/>
      <c r="FAV3" s="354"/>
      <c r="FAW3" s="354"/>
      <c r="FAX3" s="354"/>
      <c r="FAY3" s="354"/>
      <c r="FAZ3" s="354"/>
      <c r="FBA3" s="354"/>
      <c r="FBB3" s="354"/>
      <c r="FBC3" s="354"/>
      <c r="FBD3" s="354"/>
      <c r="FBE3" s="354"/>
      <c r="FBF3" s="354"/>
      <c r="FBG3" s="354"/>
      <c r="FBH3" s="354"/>
      <c r="FBI3" s="354"/>
      <c r="FBJ3" s="354"/>
      <c r="FBK3" s="354"/>
      <c r="FBL3" s="354"/>
      <c r="FBM3" s="354"/>
      <c r="FBN3" s="354"/>
      <c r="FBO3" s="354"/>
      <c r="FBP3" s="354"/>
      <c r="FBQ3" s="354"/>
      <c r="FBR3" s="354"/>
      <c r="FBS3" s="354"/>
      <c r="FBT3" s="354"/>
      <c r="FBU3" s="354"/>
      <c r="FBV3" s="354"/>
      <c r="FBW3" s="354"/>
      <c r="FBX3" s="354"/>
      <c r="FBY3" s="354"/>
      <c r="FBZ3" s="354"/>
      <c r="FCA3" s="354"/>
      <c r="FCB3" s="354"/>
      <c r="FCC3" s="354"/>
      <c r="FCD3" s="354"/>
      <c r="FCE3" s="354"/>
      <c r="FCF3" s="354"/>
      <c r="FCG3" s="354"/>
      <c r="FCH3" s="354"/>
      <c r="FCI3" s="354"/>
      <c r="FCJ3" s="354"/>
      <c r="FCK3" s="354"/>
      <c r="FCL3" s="354"/>
      <c r="FCM3" s="354"/>
      <c r="FCN3" s="354"/>
      <c r="FCO3" s="354"/>
      <c r="FCP3" s="354"/>
      <c r="FCQ3" s="354"/>
      <c r="FCR3" s="354"/>
      <c r="FCS3" s="354"/>
      <c r="FCT3" s="354"/>
      <c r="FCU3" s="354"/>
      <c r="FCV3" s="354"/>
      <c r="FCW3" s="354"/>
      <c r="FCX3" s="354"/>
      <c r="FCY3" s="354"/>
      <c r="FCZ3" s="354"/>
      <c r="FDA3" s="354"/>
      <c r="FDB3" s="354"/>
      <c r="FDC3" s="354"/>
      <c r="FDD3" s="354"/>
      <c r="FDE3" s="354"/>
      <c r="FDF3" s="354"/>
      <c r="FDG3" s="354"/>
      <c r="FDH3" s="354"/>
      <c r="FDI3" s="354"/>
      <c r="FDJ3" s="354"/>
      <c r="FDK3" s="354"/>
      <c r="FDL3" s="354"/>
      <c r="FDM3" s="354"/>
      <c r="FDN3" s="354"/>
      <c r="FDO3" s="354"/>
      <c r="FDP3" s="354"/>
      <c r="FDQ3" s="354"/>
      <c r="FDR3" s="354"/>
      <c r="FDS3" s="354"/>
      <c r="FDT3" s="354"/>
      <c r="FDU3" s="354"/>
      <c r="FDV3" s="354"/>
      <c r="FDW3" s="354"/>
      <c r="FDX3" s="354"/>
      <c r="FDY3" s="354"/>
      <c r="FDZ3" s="354"/>
      <c r="FEA3" s="354"/>
      <c r="FEB3" s="354"/>
      <c r="FEC3" s="354"/>
      <c r="FED3" s="354"/>
      <c r="FEE3" s="354"/>
      <c r="FEF3" s="354"/>
      <c r="FEG3" s="354"/>
      <c r="FEH3" s="354"/>
      <c r="FEI3" s="354"/>
      <c r="FEJ3" s="354"/>
      <c r="FEK3" s="354"/>
      <c r="FEL3" s="354"/>
      <c r="FEM3" s="354"/>
      <c r="FEN3" s="354"/>
      <c r="FEO3" s="354"/>
      <c r="FEP3" s="354"/>
      <c r="FEQ3" s="354"/>
      <c r="FER3" s="354"/>
      <c r="FES3" s="354"/>
      <c r="FET3" s="354"/>
      <c r="FEU3" s="354"/>
      <c r="FEV3" s="354"/>
      <c r="FEW3" s="354"/>
      <c r="FEX3" s="354"/>
      <c r="FEY3" s="354"/>
      <c r="FEZ3" s="354"/>
      <c r="FFA3" s="354"/>
      <c r="FFB3" s="354"/>
      <c r="FFC3" s="354"/>
      <c r="FFD3" s="354"/>
      <c r="FFE3" s="354"/>
      <c r="FFF3" s="354"/>
      <c r="FFG3" s="354"/>
      <c r="FFH3" s="354"/>
      <c r="FFI3" s="354"/>
      <c r="FFJ3" s="354"/>
      <c r="FFK3" s="354"/>
      <c r="FFL3" s="354"/>
      <c r="FFM3" s="354"/>
      <c r="FFN3" s="354"/>
      <c r="FFO3" s="354"/>
      <c r="FFP3" s="354"/>
      <c r="FFQ3" s="354"/>
      <c r="FFR3" s="354"/>
      <c r="FFS3" s="354"/>
      <c r="FFT3" s="354"/>
      <c r="FFU3" s="354"/>
      <c r="FFV3" s="354"/>
      <c r="FFW3" s="354"/>
      <c r="FFX3" s="354"/>
      <c r="FFY3" s="354"/>
      <c r="FFZ3" s="354"/>
      <c r="FGA3" s="354"/>
      <c r="FGB3" s="354"/>
      <c r="FGC3" s="354"/>
      <c r="FGD3" s="354"/>
      <c r="FGE3" s="354"/>
      <c r="FGF3" s="354"/>
      <c r="FGG3" s="354"/>
      <c r="FGH3" s="354"/>
      <c r="FGI3" s="354"/>
      <c r="FGJ3" s="354"/>
      <c r="FGK3" s="354"/>
      <c r="FGL3" s="354"/>
      <c r="FGM3" s="354"/>
      <c r="FGN3" s="354"/>
      <c r="FGO3" s="354"/>
      <c r="FGP3" s="354"/>
      <c r="FGQ3" s="354"/>
      <c r="FGR3" s="354"/>
      <c r="FGS3" s="354"/>
      <c r="FGT3" s="354"/>
      <c r="FGU3" s="354"/>
      <c r="FGV3" s="354"/>
      <c r="FGW3" s="354"/>
      <c r="FGX3" s="354"/>
      <c r="FGY3" s="354"/>
      <c r="FGZ3" s="354"/>
      <c r="FHA3" s="354"/>
      <c r="FHB3" s="354"/>
      <c r="FHC3" s="354"/>
      <c r="FHD3" s="354"/>
      <c r="FHE3" s="354"/>
      <c r="FHF3" s="354"/>
      <c r="FHG3" s="354"/>
      <c r="FHH3" s="354"/>
      <c r="FHI3" s="354"/>
      <c r="FHJ3" s="354"/>
      <c r="FHK3" s="354"/>
      <c r="FHL3" s="354"/>
      <c r="FHM3" s="354"/>
      <c r="FHN3" s="354"/>
      <c r="FHO3" s="354"/>
      <c r="FHP3" s="354"/>
      <c r="FHQ3" s="354"/>
      <c r="FHR3" s="354"/>
      <c r="FHS3" s="354"/>
      <c r="FHT3" s="354"/>
      <c r="FHU3" s="354"/>
      <c r="FHV3" s="354"/>
      <c r="FHW3" s="354"/>
      <c r="FHX3" s="354"/>
      <c r="FHY3" s="354"/>
      <c r="FHZ3" s="354"/>
      <c r="FIA3" s="354"/>
      <c r="FIB3" s="354"/>
      <c r="FIC3" s="354"/>
      <c r="FID3" s="354"/>
      <c r="FIE3" s="354"/>
      <c r="FIF3" s="354"/>
      <c r="FIG3" s="354"/>
      <c r="FIH3" s="354"/>
      <c r="FII3" s="354"/>
      <c r="FIJ3" s="354"/>
      <c r="FIK3" s="354"/>
      <c r="FIL3" s="354"/>
      <c r="FIM3" s="354"/>
      <c r="FIN3" s="354"/>
      <c r="FIO3" s="354"/>
      <c r="FIP3" s="354"/>
      <c r="FIQ3" s="354"/>
      <c r="FIR3" s="354"/>
      <c r="FIS3" s="354"/>
      <c r="FIT3" s="354"/>
      <c r="FIU3" s="354"/>
      <c r="FIV3" s="354"/>
      <c r="FIW3" s="354"/>
      <c r="FIX3" s="354"/>
      <c r="FIY3" s="354"/>
      <c r="FIZ3" s="354"/>
      <c r="FJA3" s="354"/>
      <c r="FJB3" s="354"/>
      <c r="FJC3" s="354"/>
      <c r="FJD3" s="354"/>
      <c r="FJE3" s="354"/>
      <c r="FJF3" s="354"/>
      <c r="FJG3" s="354"/>
      <c r="FJH3" s="354"/>
      <c r="FJI3" s="354"/>
      <c r="FJJ3" s="354"/>
      <c r="FJK3" s="354"/>
      <c r="FJL3" s="354"/>
      <c r="FJM3" s="354"/>
      <c r="FJN3" s="354"/>
      <c r="FJO3" s="354"/>
      <c r="FJP3" s="354"/>
      <c r="FJQ3" s="354"/>
      <c r="FJR3" s="354"/>
      <c r="FJS3" s="354"/>
      <c r="FJT3" s="354"/>
      <c r="FJU3" s="354"/>
      <c r="FJV3" s="354"/>
      <c r="FJW3" s="354"/>
      <c r="FJX3" s="354"/>
      <c r="FJY3" s="354"/>
      <c r="FJZ3" s="354"/>
      <c r="FKA3" s="354"/>
      <c r="FKB3" s="354"/>
      <c r="FKC3" s="354"/>
      <c r="FKD3" s="354"/>
      <c r="FKE3" s="354"/>
      <c r="FKF3" s="354"/>
      <c r="FKG3" s="354"/>
      <c r="FKH3" s="354"/>
      <c r="FKI3" s="354"/>
      <c r="FKJ3" s="354"/>
      <c r="FKK3" s="354"/>
      <c r="FKL3" s="354"/>
      <c r="FKM3" s="354"/>
      <c r="FKN3" s="354"/>
      <c r="FKO3" s="354"/>
      <c r="FKP3" s="354"/>
      <c r="FKQ3" s="354"/>
      <c r="FKR3" s="354"/>
      <c r="FKS3" s="354"/>
      <c r="FKT3" s="354"/>
      <c r="FKU3" s="354"/>
      <c r="FKV3" s="354"/>
      <c r="FKW3" s="354"/>
      <c r="FKX3" s="354"/>
      <c r="FKY3" s="354"/>
      <c r="FKZ3" s="354"/>
      <c r="FLA3" s="354"/>
      <c r="FLB3" s="354"/>
      <c r="FLC3" s="354"/>
      <c r="FLD3" s="354"/>
      <c r="FLE3" s="354"/>
      <c r="FLF3" s="354"/>
      <c r="FLG3" s="354"/>
      <c r="FLH3" s="354"/>
      <c r="FLI3" s="354"/>
      <c r="FLJ3" s="354"/>
      <c r="FLK3" s="354"/>
      <c r="FLL3" s="354"/>
      <c r="FLM3" s="354"/>
      <c r="FLN3" s="354"/>
      <c r="FLO3" s="354"/>
      <c r="FLP3" s="354"/>
      <c r="FLQ3" s="354"/>
      <c r="FLR3" s="354"/>
      <c r="FLS3" s="354"/>
      <c r="FLT3" s="354"/>
      <c r="FLU3" s="354"/>
      <c r="FLV3" s="354"/>
      <c r="FLW3" s="354"/>
      <c r="FLX3" s="354"/>
      <c r="FLY3" s="354"/>
      <c r="FLZ3" s="354"/>
      <c r="FMA3" s="354"/>
      <c r="FMB3" s="354"/>
      <c r="FMC3" s="354"/>
      <c r="FMD3" s="354"/>
      <c r="FME3" s="354"/>
      <c r="FMF3" s="354"/>
      <c r="FMG3" s="354"/>
      <c r="FMH3" s="354"/>
      <c r="FMI3" s="354"/>
      <c r="FMJ3" s="354"/>
      <c r="FMK3" s="354"/>
      <c r="FML3" s="354"/>
      <c r="FMM3" s="354"/>
      <c r="FMN3" s="354"/>
      <c r="FMO3" s="354"/>
      <c r="FMP3" s="354"/>
      <c r="FMQ3" s="354"/>
      <c r="FMR3" s="354"/>
      <c r="FMS3" s="354"/>
      <c r="FMT3" s="354"/>
      <c r="FMU3" s="354"/>
      <c r="FMV3" s="354"/>
      <c r="FMW3" s="354"/>
      <c r="FMX3" s="354"/>
      <c r="FMY3" s="354"/>
      <c r="FMZ3" s="354"/>
      <c r="FNA3" s="354"/>
      <c r="FNB3" s="354"/>
      <c r="FNC3" s="354"/>
      <c r="FND3" s="354"/>
      <c r="FNE3" s="354"/>
      <c r="FNF3" s="354"/>
      <c r="FNG3" s="354"/>
      <c r="FNH3" s="354"/>
      <c r="FNI3" s="354"/>
      <c r="FNJ3" s="354"/>
      <c r="FNK3" s="354"/>
      <c r="FNL3" s="354"/>
      <c r="FNM3" s="354"/>
      <c r="FNN3" s="354"/>
      <c r="FNO3" s="354"/>
      <c r="FNP3" s="354"/>
      <c r="FNQ3" s="354"/>
      <c r="FNR3" s="354"/>
      <c r="FNS3" s="354"/>
      <c r="FNT3" s="354"/>
      <c r="FNU3" s="354"/>
      <c r="FNV3" s="354"/>
      <c r="FNW3" s="354"/>
      <c r="FNX3" s="354"/>
      <c r="FNY3" s="354"/>
      <c r="FNZ3" s="354"/>
      <c r="FOA3" s="354"/>
      <c r="FOB3" s="354"/>
      <c r="FOC3" s="354"/>
      <c r="FOD3" s="354"/>
      <c r="FOE3" s="354"/>
      <c r="FOF3" s="354"/>
      <c r="FOG3" s="354"/>
      <c r="FOH3" s="354"/>
      <c r="FOI3" s="354"/>
      <c r="FOJ3" s="354"/>
      <c r="FOK3" s="354"/>
      <c r="FOL3" s="354"/>
      <c r="FOM3" s="354"/>
      <c r="FON3" s="354"/>
      <c r="FOO3" s="354"/>
      <c r="FOP3" s="354"/>
      <c r="FOQ3" s="354"/>
      <c r="FOR3" s="354"/>
      <c r="FOS3" s="354"/>
      <c r="FOT3" s="354"/>
      <c r="FOU3" s="354"/>
      <c r="FOV3" s="354"/>
      <c r="FOW3" s="354"/>
      <c r="FOX3" s="354"/>
      <c r="FOY3" s="354"/>
      <c r="FOZ3" s="354"/>
      <c r="FPA3" s="354"/>
      <c r="FPB3" s="354"/>
      <c r="FPC3" s="354"/>
      <c r="FPD3" s="354"/>
      <c r="FPE3" s="354"/>
      <c r="FPF3" s="354"/>
      <c r="FPG3" s="354"/>
      <c r="FPH3" s="354"/>
      <c r="FPI3" s="354"/>
      <c r="FPJ3" s="354"/>
      <c r="FPK3" s="354"/>
      <c r="FPL3" s="354"/>
      <c r="FPM3" s="354"/>
      <c r="FPN3" s="354"/>
      <c r="FPO3" s="354"/>
      <c r="FPP3" s="354"/>
      <c r="FPQ3" s="354"/>
      <c r="FPR3" s="354"/>
      <c r="FPS3" s="354"/>
      <c r="FPT3" s="354"/>
      <c r="FPU3" s="354"/>
      <c r="FPV3" s="354"/>
      <c r="FPW3" s="354"/>
      <c r="FPX3" s="354"/>
      <c r="FPY3" s="354"/>
      <c r="FPZ3" s="354"/>
      <c r="FQA3" s="354"/>
      <c r="FQB3" s="354"/>
      <c r="FQC3" s="354"/>
      <c r="FQD3" s="354"/>
      <c r="FQE3" s="354"/>
      <c r="FQF3" s="354"/>
      <c r="FQG3" s="354"/>
      <c r="FQH3" s="354"/>
      <c r="FQI3" s="354"/>
      <c r="FQJ3" s="354"/>
      <c r="FQK3" s="354"/>
      <c r="FQL3" s="354"/>
      <c r="FQM3" s="354"/>
      <c r="FQN3" s="354"/>
      <c r="FQO3" s="354"/>
      <c r="FQP3" s="354"/>
      <c r="FQQ3" s="354"/>
      <c r="FQR3" s="354"/>
      <c r="FQS3" s="354"/>
      <c r="FQT3" s="354"/>
      <c r="FQU3" s="354"/>
      <c r="FQV3" s="354"/>
      <c r="FQW3" s="354"/>
      <c r="FQX3" s="354"/>
      <c r="FQY3" s="354"/>
      <c r="FQZ3" s="354"/>
      <c r="FRA3" s="354"/>
      <c r="FRB3" s="354"/>
      <c r="FRC3" s="354"/>
      <c r="FRD3" s="354"/>
      <c r="FRE3" s="354"/>
      <c r="FRF3" s="354"/>
      <c r="FRG3" s="354"/>
      <c r="FRH3" s="354"/>
      <c r="FRI3" s="354"/>
      <c r="FRJ3" s="354"/>
      <c r="FRK3" s="354"/>
      <c r="FRL3" s="354"/>
      <c r="FRM3" s="354"/>
      <c r="FRN3" s="354"/>
      <c r="FRO3" s="354"/>
      <c r="FRP3" s="354"/>
      <c r="FRQ3" s="354"/>
      <c r="FRR3" s="354"/>
      <c r="FRS3" s="354"/>
      <c r="FRT3" s="354"/>
      <c r="FRU3" s="354"/>
      <c r="FRV3" s="354"/>
      <c r="FRW3" s="354"/>
      <c r="FRX3" s="354"/>
      <c r="FRY3" s="354"/>
      <c r="FRZ3" s="354"/>
      <c r="FSA3" s="354"/>
      <c r="FSB3" s="354"/>
      <c r="FSC3" s="354"/>
      <c r="FSD3" s="354"/>
      <c r="FSE3" s="354"/>
      <c r="FSF3" s="354"/>
      <c r="FSG3" s="354"/>
      <c r="FSH3" s="354"/>
      <c r="FSI3" s="354"/>
      <c r="FSJ3" s="354"/>
      <c r="FSK3" s="354"/>
      <c r="FSL3" s="354"/>
      <c r="FSM3" s="354"/>
      <c r="FSN3" s="354"/>
      <c r="FSO3" s="354"/>
      <c r="FSP3" s="354"/>
      <c r="FSQ3" s="354"/>
      <c r="FSR3" s="354"/>
      <c r="FSS3" s="354"/>
      <c r="FST3" s="354"/>
      <c r="FSU3" s="354"/>
      <c r="FSV3" s="354"/>
      <c r="FSW3" s="354"/>
      <c r="FSX3" s="354"/>
      <c r="FSY3" s="354"/>
      <c r="FSZ3" s="354"/>
      <c r="FTA3" s="354"/>
      <c r="FTB3" s="354"/>
      <c r="FTC3" s="354"/>
      <c r="FTD3" s="354"/>
      <c r="FTE3" s="354"/>
      <c r="FTF3" s="354"/>
      <c r="FTG3" s="354"/>
      <c r="FTH3" s="354"/>
      <c r="FTI3" s="354"/>
      <c r="FTJ3" s="354"/>
      <c r="FTK3" s="354"/>
      <c r="FTL3" s="354"/>
      <c r="FTM3" s="354"/>
      <c r="FTN3" s="354"/>
      <c r="FTO3" s="354"/>
      <c r="FTP3" s="354"/>
      <c r="FTQ3" s="354"/>
      <c r="FTR3" s="354"/>
      <c r="FTS3" s="354"/>
      <c r="FTT3" s="354"/>
      <c r="FTU3" s="354"/>
      <c r="FTV3" s="354"/>
      <c r="FTW3" s="354"/>
      <c r="FTX3" s="354"/>
      <c r="FTY3" s="354"/>
      <c r="FTZ3" s="354"/>
      <c r="FUA3" s="354"/>
      <c r="FUB3" s="354"/>
      <c r="FUC3" s="354"/>
      <c r="FUD3" s="354"/>
      <c r="FUE3" s="354"/>
      <c r="FUF3" s="354"/>
      <c r="FUG3" s="354"/>
      <c r="FUH3" s="354"/>
      <c r="FUI3" s="354"/>
      <c r="FUJ3" s="354"/>
      <c r="FUK3" s="354"/>
      <c r="FUL3" s="354"/>
      <c r="FUM3" s="354"/>
      <c r="FUN3" s="354"/>
      <c r="FUO3" s="354"/>
      <c r="FUP3" s="354"/>
      <c r="FUQ3" s="354"/>
      <c r="FUR3" s="354"/>
      <c r="FUS3" s="354"/>
      <c r="FUT3" s="354"/>
      <c r="FUU3" s="354"/>
      <c r="FUV3" s="354"/>
      <c r="FUW3" s="354"/>
      <c r="FUX3" s="354"/>
      <c r="FUY3" s="354"/>
      <c r="FUZ3" s="354"/>
      <c r="FVA3" s="354"/>
      <c r="FVB3" s="354"/>
      <c r="FVC3" s="354"/>
      <c r="FVD3" s="354"/>
      <c r="FVE3" s="354"/>
      <c r="FVF3" s="354"/>
      <c r="FVG3" s="354"/>
      <c r="FVH3" s="354"/>
      <c r="FVI3" s="354"/>
      <c r="FVJ3" s="354"/>
      <c r="FVK3" s="354"/>
      <c r="FVL3" s="354"/>
      <c r="FVM3" s="354"/>
      <c r="FVN3" s="354"/>
      <c r="FVO3" s="354"/>
      <c r="FVP3" s="354"/>
      <c r="FVQ3" s="354"/>
      <c r="FVR3" s="354"/>
      <c r="FVS3" s="354"/>
      <c r="FVT3" s="354"/>
      <c r="FVU3" s="354"/>
      <c r="FVV3" s="354"/>
      <c r="FVW3" s="354"/>
      <c r="FVX3" s="354"/>
      <c r="FVY3" s="354"/>
      <c r="FVZ3" s="354"/>
      <c r="FWA3" s="354"/>
      <c r="FWB3" s="354"/>
      <c r="FWC3" s="354"/>
      <c r="FWD3" s="354"/>
      <c r="FWE3" s="354"/>
      <c r="FWF3" s="354"/>
      <c r="FWG3" s="354"/>
      <c r="FWH3" s="354"/>
      <c r="FWI3" s="354"/>
      <c r="FWJ3" s="354"/>
      <c r="FWK3" s="354"/>
      <c r="FWL3" s="354"/>
      <c r="FWM3" s="354"/>
      <c r="FWN3" s="354"/>
      <c r="FWO3" s="354"/>
      <c r="FWP3" s="354"/>
      <c r="FWQ3" s="354"/>
      <c r="FWR3" s="354"/>
      <c r="FWS3" s="354"/>
      <c r="FWT3" s="354"/>
      <c r="FWU3" s="354"/>
      <c r="FWV3" s="354"/>
      <c r="FWW3" s="354"/>
      <c r="FWX3" s="354"/>
      <c r="FWY3" s="354"/>
      <c r="FWZ3" s="354"/>
      <c r="FXA3" s="354"/>
      <c r="FXB3" s="354"/>
      <c r="FXC3" s="354"/>
      <c r="FXD3" s="354"/>
      <c r="FXE3" s="354"/>
      <c r="FXF3" s="354"/>
      <c r="FXG3" s="354"/>
      <c r="FXH3" s="354"/>
      <c r="FXI3" s="354"/>
      <c r="FXJ3" s="354"/>
      <c r="FXK3" s="354"/>
      <c r="FXL3" s="354"/>
      <c r="FXM3" s="354"/>
      <c r="FXN3" s="354"/>
      <c r="FXO3" s="354"/>
      <c r="FXP3" s="354"/>
      <c r="FXQ3" s="354"/>
      <c r="FXR3" s="354"/>
      <c r="FXS3" s="354"/>
      <c r="FXT3" s="354"/>
      <c r="FXU3" s="354"/>
      <c r="FXV3" s="354"/>
      <c r="FXW3" s="354"/>
      <c r="FXX3" s="354"/>
      <c r="FXY3" s="354"/>
      <c r="FXZ3" s="354"/>
      <c r="FYA3" s="354"/>
      <c r="FYB3" s="354"/>
      <c r="FYC3" s="354"/>
      <c r="FYD3" s="354"/>
      <c r="FYE3" s="354"/>
      <c r="FYF3" s="354"/>
      <c r="FYG3" s="354"/>
      <c r="FYH3" s="354"/>
      <c r="FYI3" s="354"/>
      <c r="FYJ3" s="354"/>
      <c r="FYK3" s="354"/>
      <c r="FYL3" s="354"/>
      <c r="FYM3" s="354"/>
      <c r="FYN3" s="354"/>
      <c r="FYO3" s="354"/>
      <c r="FYP3" s="354"/>
      <c r="FYQ3" s="354"/>
      <c r="FYR3" s="354"/>
      <c r="FYS3" s="354"/>
      <c r="FYT3" s="354"/>
      <c r="FYU3" s="354"/>
      <c r="FYV3" s="354"/>
      <c r="FYW3" s="354"/>
      <c r="FYX3" s="354"/>
      <c r="FYY3" s="354"/>
      <c r="FYZ3" s="354"/>
      <c r="FZA3" s="354"/>
      <c r="FZB3" s="354"/>
      <c r="FZC3" s="354"/>
      <c r="FZD3" s="354"/>
      <c r="FZE3" s="354"/>
      <c r="FZF3" s="354"/>
      <c r="FZG3" s="354"/>
      <c r="FZH3" s="354"/>
      <c r="FZI3" s="354"/>
      <c r="FZJ3" s="354"/>
      <c r="FZK3" s="354"/>
      <c r="FZL3" s="354"/>
      <c r="FZM3" s="354"/>
      <c r="FZN3" s="354"/>
      <c r="FZO3" s="354"/>
      <c r="FZP3" s="354"/>
      <c r="FZQ3" s="354"/>
      <c r="FZR3" s="354"/>
      <c r="FZS3" s="354"/>
      <c r="FZT3" s="354"/>
      <c r="FZU3" s="354"/>
      <c r="FZV3" s="354"/>
      <c r="FZW3" s="354"/>
      <c r="FZX3" s="354"/>
      <c r="FZY3" s="354"/>
      <c r="FZZ3" s="354"/>
      <c r="GAA3" s="354"/>
      <c r="GAB3" s="354"/>
      <c r="GAC3" s="354"/>
      <c r="GAD3" s="354"/>
      <c r="GAE3" s="354"/>
      <c r="GAF3" s="354"/>
      <c r="GAG3" s="354"/>
      <c r="GAH3" s="354"/>
      <c r="GAI3" s="354"/>
      <c r="GAJ3" s="354"/>
      <c r="GAK3" s="354"/>
      <c r="GAL3" s="354"/>
      <c r="GAM3" s="354"/>
      <c r="GAN3" s="354"/>
      <c r="GAO3" s="354"/>
      <c r="GAP3" s="354"/>
      <c r="GAQ3" s="354"/>
      <c r="GAR3" s="354"/>
      <c r="GAS3" s="354"/>
      <c r="GAT3" s="354"/>
      <c r="GAU3" s="354"/>
      <c r="GAV3" s="354"/>
      <c r="GAW3" s="354"/>
      <c r="GAX3" s="354"/>
      <c r="GAY3" s="354"/>
      <c r="GAZ3" s="354"/>
      <c r="GBA3" s="354"/>
      <c r="GBB3" s="354"/>
      <c r="GBC3" s="354"/>
      <c r="GBD3" s="354"/>
      <c r="GBE3" s="354"/>
      <c r="GBF3" s="354"/>
      <c r="GBG3" s="354"/>
      <c r="GBH3" s="354"/>
      <c r="GBI3" s="354"/>
      <c r="GBJ3" s="354"/>
      <c r="GBK3" s="354"/>
      <c r="GBL3" s="354"/>
      <c r="GBM3" s="354"/>
      <c r="GBN3" s="354"/>
      <c r="GBO3" s="354"/>
      <c r="GBP3" s="354"/>
      <c r="GBQ3" s="354"/>
      <c r="GBR3" s="354"/>
      <c r="GBS3" s="354"/>
      <c r="GBT3" s="354"/>
      <c r="GBU3" s="354"/>
      <c r="GBV3" s="354"/>
      <c r="GBW3" s="354"/>
      <c r="GBX3" s="354"/>
      <c r="GBY3" s="354"/>
      <c r="GBZ3" s="354"/>
      <c r="GCA3" s="354"/>
      <c r="GCB3" s="354"/>
      <c r="GCC3" s="354"/>
      <c r="GCD3" s="354"/>
      <c r="GCE3" s="354"/>
      <c r="GCF3" s="354"/>
      <c r="GCG3" s="354"/>
      <c r="GCH3" s="354"/>
      <c r="GCI3" s="354"/>
      <c r="GCJ3" s="354"/>
      <c r="GCK3" s="354"/>
      <c r="GCL3" s="354"/>
      <c r="GCM3" s="354"/>
      <c r="GCN3" s="354"/>
      <c r="GCO3" s="354"/>
      <c r="GCP3" s="354"/>
      <c r="GCQ3" s="354"/>
      <c r="GCR3" s="354"/>
      <c r="GCS3" s="354"/>
      <c r="GCT3" s="354"/>
      <c r="GCU3" s="354"/>
      <c r="GCV3" s="354"/>
      <c r="GCW3" s="354"/>
      <c r="GCX3" s="354"/>
      <c r="GCY3" s="354"/>
      <c r="GCZ3" s="354"/>
      <c r="GDA3" s="354"/>
      <c r="GDB3" s="354"/>
      <c r="GDC3" s="354"/>
      <c r="GDD3" s="354"/>
      <c r="GDE3" s="354"/>
      <c r="GDF3" s="354"/>
      <c r="GDG3" s="354"/>
      <c r="GDH3" s="354"/>
      <c r="GDI3" s="354"/>
      <c r="GDJ3" s="354"/>
      <c r="GDK3" s="354"/>
      <c r="GDL3" s="354"/>
      <c r="GDM3" s="354"/>
      <c r="GDN3" s="354"/>
      <c r="GDO3" s="354"/>
      <c r="GDP3" s="354"/>
      <c r="GDQ3" s="354"/>
      <c r="GDR3" s="354"/>
      <c r="GDS3" s="354"/>
      <c r="GDT3" s="354"/>
      <c r="GDU3" s="354"/>
      <c r="GDV3" s="354"/>
      <c r="GDW3" s="354"/>
      <c r="GDX3" s="354"/>
      <c r="GDY3" s="354"/>
      <c r="GDZ3" s="354"/>
      <c r="GEA3" s="354"/>
      <c r="GEB3" s="354"/>
      <c r="GEC3" s="354"/>
      <c r="GED3" s="354"/>
      <c r="GEE3" s="354"/>
      <c r="GEF3" s="354"/>
      <c r="GEG3" s="354"/>
      <c r="GEH3" s="354"/>
      <c r="GEI3" s="354"/>
      <c r="GEJ3" s="354"/>
      <c r="GEK3" s="354"/>
      <c r="GEL3" s="354"/>
      <c r="GEM3" s="354"/>
      <c r="GEN3" s="354"/>
      <c r="GEO3" s="354"/>
      <c r="GEP3" s="354"/>
      <c r="GEQ3" s="354"/>
      <c r="GER3" s="354"/>
      <c r="GES3" s="354"/>
      <c r="GET3" s="354"/>
      <c r="GEU3" s="354"/>
      <c r="GEV3" s="354"/>
      <c r="GEW3" s="354"/>
      <c r="GEX3" s="354"/>
      <c r="GEY3" s="354"/>
      <c r="GEZ3" s="354"/>
      <c r="GFA3" s="354"/>
      <c r="GFB3" s="354"/>
      <c r="GFC3" s="354"/>
      <c r="GFD3" s="354"/>
      <c r="GFE3" s="354"/>
      <c r="GFF3" s="354"/>
      <c r="GFG3" s="354"/>
      <c r="GFH3" s="354"/>
      <c r="GFI3" s="354"/>
      <c r="GFJ3" s="354"/>
      <c r="GFK3" s="354"/>
      <c r="GFL3" s="354"/>
      <c r="GFM3" s="354"/>
      <c r="GFN3" s="354"/>
      <c r="GFO3" s="354"/>
      <c r="GFP3" s="354"/>
      <c r="GFQ3" s="354"/>
      <c r="GFR3" s="354"/>
      <c r="GFS3" s="354"/>
      <c r="GFT3" s="354"/>
      <c r="GFU3" s="354"/>
      <c r="GFV3" s="354"/>
      <c r="GFW3" s="354"/>
      <c r="GFX3" s="354"/>
      <c r="GFY3" s="354"/>
      <c r="GFZ3" s="354"/>
      <c r="GGA3" s="354"/>
      <c r="GGB3" s="354"/>
      <c r="GGC3" s="354"/>
      <c r="GGD3" s="354"/>
      <c r="GGE3" s="354"/>
      <c r="GGF3" s="354"/>
      <c r="GGG3" s="354"/>
      <c r="GGH3" s="354"/>
      <c r="GGI3" s="354"/>
      <c r="GGJ3" s="354"/>
      <c r="GGK3" s="354"/>
      <c r="GGL3" s="354"/>
      <c r="GGM3" s="354"/>
      <c r="GGN3" s="354"/>
      <c r="GGO3" s="354"/>
      <c r="GGP3" s="354"/>
      <c r="GGQ3" s="354"/>
      <c r="GGR3" s="354"/>
      <c r="GGS3" s="354"/>
      <c r="GGT3" s="354"/>
      <c r="GGU3" s="354"/>
      <c r="GGV3" s="354"/>
      <c r="GGW3" s="354"/>
      <c r="GGX3" s="354"/>
      <c r="GGY3" s="354"/>
      <c r="GGZ3" s="354"/>
      <c r="GHA3" s="354"/>
      <c r="GHB3" s="354"/>
      <c r="GHC3" s="354"/>
      <c r="GHD3" s="354"/>
      <c r="GHE3" s="354"/>
      <c r="GHF3" s="354"/>
      <c r="GHG3" s="354"/>
      <c r="GHH3" s="354"/>
      <c r="GHI3" s="354"/>
      <c r="GHJ3" s="354"/>
      <c r="GHK3" s="354"/>
      <c r="GHL3" s="354"/>
      <c r="GHM3" s="354"/>
      <c r="GHN3" s="354"/>
      <c r="GHO3" s="354"/>
      <c r="GHP3" s="354"/>
      <c r="GHQ3" s="354"/>
      <c r="GHR3" s="354"/>
      <c r="GHS3" s="354"/>
      <c r="GHT3" s="354"/>
      <c r="GHU3" s="354"/>
      <c r="GHV3" s="354"/>
      <c r="GHW3" s="354"/>
      <c r="GHX3" s="354"/>
      <c r="GHY3" s="354"/>
      <c r="GHZ3" s="354"/>
      <c r="GIA3" s="354"/>
      <c r="GIB3" s="354"/>
      <c r="GIC3" s="354"/>
      <c r="GID3" s="354"/>
      <c r="GIE3" s="354"/>
      <c r="GIF3" s="354"/>
      <c r="GIG3" s="354"/>
      <c r="GIH3" s="354"/>
      <c r="GII3" s="354"/>
      <c r="GIJ3" s="354"/>
      <c r="GIK3" s="354"/>
      <c r="GIL3" s="354"/>
      <c r="GIM3" s="354"/>
      <c r="GIN3" s="354"/>
      <c r="GIO3" s="354"/>
      <c r="GIP3" s="354"/>
      <c r="GIQ3" s="354"/>
      <c r="GIR3" s="354"/>
      <c r="GIS3" s="354"/>
      <c r="GIT3" s="354"/>
      <c r="GIU3" s="354"/>
      <c r="GIV3" s="354"/>
      <c r="GIW3" s="354"/>
      <c r="GIX3" s="354"/>
      <c r="GIY3" s="354"/>
      <c r="GIZ3" s="354"/>
      <c r="GJA3" s="354"/>
      <c r="GJB3" s="354"/>
      <c r="GJC3" s="354"/>
      <c r="GJD3" s="354"/>
      <c r="GJE3" s="354"/>
      <c r="GJF3" s="354"/>
      <c r="GJG3" s="354"/>
      <c r="GJH3" s="354"/>
      <c r="GJI3" s="354"/>
      <c r="GJJ3" s="354"/>
      <c r="GJK3" s="354"/>
      <c r="GJL3" s="354"/>
      <c r="GJM3" s="354"/>
      <c r="GJN3" s="354"/>
      <c r="GJO3" s="354"/>
      <c r="GJP3" s="354"/>
      <c r="GJQ3" s="354"/>
      <c r="GJR3" s="354"/>
      <c r="GJS3" s="354"/>
      <c r="GJT3" s="354"/>
      <c r="GJU3" s="354"/>
      <c r="GJV3" s="354"/>
      <c r="GJW3" s="354"/>
      <c r="GJX3" s="354"/>
      <c r="GJY3" s="354"/>
      <c r="GJZ3" s="354"/>
      <c r="GKA3" s="354"/>
      <c r="GKB3" s="354"/>
      <c r="GKC3" s="354"/>
      <c r="GKD3" s="354"/>
      <c r="GKE3" s="354"/>
      <c r="GKF3" s="354"/>
      <c r="GKG3" s="354"/>
      <c r="GKH3" s="354"/>
      <c r="GKI3" s="354"/>
      <c r="GKJ3" s="354"/>
      <c r="GKK3" s="354"/>
      <c r="GKL3" s="354"/>
      <c r="GKM3" s="354"/>
      <c r="GKN3" s="354"/>
      <c r="GKO3" s="354"/>
      <c r="GKP3" s="354"/>
      <c r="GKQ3" s="354"/>
      <c r="GKR3" s="354"/>
      <c r="GKS3" s="354"/>
      <c r="GKT3" s="354"/>
      <c r="GKU3" s="354"/>
      <c r="GKV3" s="354"/>
      <c r="GKW3" s="354"/>
      <c r="GKX3" s="354"/>
      <c r="GKY3" s="354"/>
      <c r="GKZ3" s="354"/>
      <c r="GLA3" s="354"/>
      <c r="GLB3" s="354"/>
      <c r="GLC3" s="354"/>
      <c r="GLD3" s="354"/>
      <c r="GLE3" s="354"/>
      <c r="GLF3" s="354"/>
      <c r="GLG3" s="354"/>
      <c r="GLH3" s="354"/>
      <c r="GLI3" s="354"/>
      <c r="GLJ3" s="354"/>
      <c r="GLK3" s="354"/>
      <c r="GLL3" s="354"/>
      <c r="GLM3" s="354"/>
      <c r="GLN3" s="354"/>
      <c r="GLO3" s="354"/>
      <c r="GLP3" s="354"/>
      <c r="GLQ3" s="354"/>
      <c r="GLR3" s="354"/>
      <c r="GLS3" s="354"/>
      <c r="GLT3" s="354"/>
      <c r="GLU3" s="354"/>
      <c r="GLV3" s="354"/>
      <c r="GLW3" s="354"/>
      <c r="GLX3" s="354"/>
      <c r="GLY3" s="354"/>
      <c r="GLZ3" s="354"/>
      <c r="GMA3" s="354"/>
      <c r="GMB3" s="354"/>
      <c r="GMC3" s="354"/>
      <c r="GMD3" s="354"/>
      <c r="GME3" s="354"/>
      <c r="GMF3" s="354"/>
      <c r="GMG3" s="354"/>
      <c r="GMH3" s="354"/>
      <c r="GMI3" s="354"/>
      <c r="GMJ3" s="354"/>
      <c r="GMK3" s="354"/>
      <c r="GML3" s="354"/>
      <c r="GMM3" s="354"/>
      <c r="GMN3" s="354"/>
      <c r="GMO3" s="354"/>
      <c r="GMP3" s="354"/>
      <c r="GMQ3" s="354"/>
      <c r="GMR3" s="354"/>
      <c r="GMS3" s="354"/>
      <c r="GMT3" s="354"/>
      <c r="GMU3" s="354"/>
      <c r="GMV3" s="354"/>
      <c r="GMW3" s="354"/>
      <c r="GMX3" s="354"/>
      <c r="GMY3" s="354"/>
      <c r="GMZ3" s="354"/>
      <c r="GNA3" s="354"/>
      <c r="GNB3" s="354"/>
      <c r="GNC3" s="354"/>
      <c r="GND3" s="354"/>
      <c r="GNE3" s="354"/>
      <c r="GNF3" s="354"/>
      <c r="GNG3" s="354"/>
      <c r="GNH3" s="354"/>
      <c r="GNI3" s="354"/>
      <c r="GNJ3" s="354"/>
      <c r="GNK3" s="354"/>
      <c r="GNL3" s="354"/>
      <c r="GNM3" s="354"/>
      <c r="GNN3" s="354"/>
      <c r="GNO3" s="354"/>
      <c r="GNP3" s="354"/>
      <c r="GNQ3" s="354"/>
      <c r="GNR3" s="354"/>
      <c r="GNS3" s="354"/>
      <c r="GNT3" s="354"/>
      <c r="GNU3" s="354"/>
      <c r="GNV3" s="354"/>
      <c r="GNW3" s="354"/>
      <c r="GNX3" s="354"/>
      <c r="GNY3" s="354"/>
      <c r="GNZ3" s="354"/>
      <c r="GOA3" s="354"/>
      <c r="GOB3" s="354"/>
      <c r="GOC3" s="354"/>
      <c r="GOD3" s="354"/>
      <c r="GOE3" s="354"/>
      <c r="GOF3" s="354"/>
      <c r="GOG3" s="354"/>
      <c r="GOH3" s="354"/>
      <c r="GOI3" s="354"/>
      <c r="GOJ3" s="354"/>
      <c r="GOK3" s="354"/>
      <c r="GOL3" s="354"/>
      <c r="GOM3" s="354"/>
      <c r="GON3" s="354"/>
      <c r="GOO3" s="354"/>
      <c r="GOP3" s="354"/>
      <c r="GOQ3" s="354"/>
      <c r="GOR3" s="354"/>
      <c r="GOS3" s="354"/>
      <c r="GOT3" s="354"/>
      <c r="GOU3" s="354"/>
      <c r="GOV3" s="354"/>
      <c r="GOW3" s="354"/>
      <c r="GOX3" s="354"/>
      <c r="GOY3" s="354"/>
      <c r="GOZ3" s="354"/>
      <c r="GPA3" s="354"/>
      <c r="GPB3" s="354"/>
      <c r="GPC3" s="354"/>
      <c r="GPD3" s="354"/>
      <c r="GPE3" s="354"/>
      <c r="GPF3" s="354"/>
      <c r="GPG3" s="354"/>
      <c r="GPH3" s="354"/>
      <c r="GPI3" s="354"/>
      <c r="GPJ3" s="354"/>
      <c r="GPK3" s="354"/>
      <c r="GPL3" s="354"/>
      <c r="GPM3" s="354"/>
      <c r="GPN3" s="354"/>
      <c r="GPO3" s="354"/>
      <c r="GPP3" s="354"/>
      <c r="GPQ3" s="354"/>
      <c r="GPR3" s="354"/>
      <c r="GPS3" s="354"/>
      <c r="GPT3" s="354"/>
      <c r="GPU3" s="354"/>
      <c r="GPV3" s="354"/>
      <c r="GPW3" s="354"/>
      <c r="GPX3" s="354"/>
      <c r="GPY3" s="354"/>
      <c r="GPZ3" s="354"/>
      <c r="GQA3" s="354"/>
      <c r="GQB3" s="354"/>
      <c r="GQC3" s="354"/>
      <c r="GQD3" s="354"/>
      <c r="GQE3" s="354"/>
      <c r="GQF3" s="354"/>
      <c r="GQG3" s="354"/>
      <c r="GQH3" s="354"/>
      <c r="GQI3" s="354"/>
      <c r="GQJ3" s="354"/>
      <c r="GQK3" s="354"/>
      <c r="GQL3" s="354"/>
      <c r="GQM3" s="354"/>
      <c r="GQN3" s="354"/>
      <c r="GQO3" s="354"/>
      <c r="GQP3" s="354"/>
      <c r="GQQ3" s="354"/>
      <c r="GQR3" s="354"/>
      <c r="GQS3" s="354"/>
      <c r="GQT3" s="354"/>
      <c r="GQU3" s="354"/>
      <c r="GQV3" s="354"/>
      <c r="GQW3" s="354"/>
      <c r="GQX3" s="354"/>
      <c r="GQY3" s="354"/>
      <c r="GQZ3" s="354"/>
      <c r="GRA3" s="354"/>
      <c r="GRB3" s="354"/>
      <c r="GRC3" s="354"/>
      <c r="GRD3" s="354"/>
      <c r="GRE3" s="354"/>
      <c r="GRF3" s="354"/>
      <c r="GRG3" s="354"/>
      <c r="GRH3" s="354"/>
      <c r="GRI3" s="354"/>
      <c r="GRJ3" s="354"/>
      <c r="GRK3" s="354"/>
      <c r="GRL3" s="354"/>
      <c r="GRM3" s="354"/>
      <c r="GRN3" s="354"/>
      <c r="GRO3" s="354"/>
      <c r="GRP3" s="354"/>
      <c r="GRQ3" s="354"/>
      <c r="GRR3" s="354"/>
      <c r="GRS3" s="354"/>
      <c r="GRT3" s="354"/>
      <c r="GRU3" s="354"/>
      <c r="GRV3" s="354"/>
      <c r="GRW3" s="354"/>
      <c r="GRX3" s="354"/>
      <c r="GRY3" s="354"/>
      <c r="GRZ3" s="354"/>
      <c r="GSA3" s="354"/>
      <c r="GSB3" s="354"/>
      <c r="GSC3" s="354"/>
      <c r="GSD3" s="354"/>
      <c r="GSE3" s="354"/>
      <c r="GSF3" s="354"/>
      <c r="GSG3" s="354"/>
      <c r="GSH3" s="354"/>
      <c r="GSI3" s="354"/>
      <c r="GSJ3" s="354"/>
      <c r="GSK3" s="354"/>
      <c r="GSL3" s="354"/>
      <c r="GSM3" s="354"/>
      <c r="GSN3" s="354"/>
      <c r="GSO3" s="354"/>
      <c r="GSP3" s="354"/>
      <c r="GSQ3" s="354"/>
      <c r="GSR3" s="354"/>
      <c r="GSS3" s="354"/>
      <c r="GST3" s="354"/>
      <c r="GSU3" s="354"/>
      <c r="GSV3" s="354"/>
      <c r="GSW3" s="354"/>
      <c r="GSX3" s="354"/>
      <c r="GSY3" s="354"/>
      <c r="GSZ3" s="354"/>
      <c r="GTA3" s="354"/>
      <c r="GTB3" s="354"/>
      <c r="GTC3" s="354"/>
      <c r="GTD3" s="354"/>
      <c r="GTE3" s="354"/>
      <c r="GTF3" s="354"/>
      <c r="GTG3" s="354"/>
      <c r="GTH3" s="354"/>
      <c r="GTI3" s="354"/>
      <c r="GTJ3" s="354"/>
      <c r="GTK3" s="354"/>
      <c r="GTL3" s="354"/>
      <c r="GTM3" s="354"/>
      <c r="GTN3" s="354"/>
      <c r="GTO3" s="354"/>
      <c r="GTP3" s="354"/>
      <c r="GTQ3" s="354"/>
      <c r="GTR3" s="354"/>
      <c r="GTS3" s="354"/>
      <c r="GTT3" s="354"/>
      <c r="GTU3" s="354"/>
      <c r="GTV3" s="354"/>
      <c r="GTW3" s="354"/>
      <c r="GTX3" s="354"/>
      <c r="GTY3" s="354"/>
      <c r="GTZ3" s="354"/>
      <c r="GUA3" s="354"/>
      <c r="GUB3" s="354"/>
      <c r="GUC3" s="354"/>
      <c r="GUD3" s="354"/>
      <c r="GUE3" s="354"/>
      <c r="GUF3" s="354"/>
      <c r="GUG3" s="354"/>
      <c r="GUH3" s="354"/>
      <c r="GUI3" s="354"/>
      <c r="GUJ3" s="354"/>
      <c r="GUK3" s="354"/>
      <c r="GUL3" s="354"/>
      <c r="GUM3" s="354"/>
      <c r="GUN3" s="354"/>
      <c r="GUO3" s="354"/>
      <c r="GUP3" s="354"/>
      <c r="GUQ3" s="354"/>
      <c r="GUR3" s="354"/>
      <c r="GUS3" s="354"/>
      <c r="GUT3" s="354"/>
      <c r="GUU3" s="354"/>
      <c r="GUV3" s="354"/>
      <c r="GUW3" s="354"/>
      <c r="GUX3" s="354"/>
      <c r="GUY3" s="354"/>
      <c r="GUZ3" s="354"/>
      <c r="GVA3" s="354"/>
      <c r="GVB3" s="354"/>
      <c r="GVC3" s="354"/>
      <c r="GVD3" s="354"/>
      <c r="GVE3" s="354"/>
      <c r="GVF3" s="354"/>
      <c r="GVG3" s="354"/>
      <c r="GVH3" s="354"/>
      <c r="GVI3" s="354"/>
      <c r="GVJ3" s="354"/>
      <c r="GVK3" s="354"/>
      <c r="GVL3" s="354"/>
      <c r="GVM3" s="354"/>
      <c r="GVN3" s="354"/>
      <c r="GVO3" s="354"/>
      <c r="GVP3" s="354"/>
      <c r="GVQ3" s="354"/>
      <c r="GVR3" s="354"/>
      <c r="GVS3" s="354"/>
      <c r="GVT3" s="354"/>
      <c r="GVU3" s="354"/>
      <c r="GVV3" s="354"/>
      <c r="GVW3" s="354"/>
      <c r="GVX3" s="354"/>
      <c r="GVY3" s="354"/>
      <c r="GVZ3" s="354"/>
      <c r="GWA3" s="354"/>
      <c r="GWB3" s="354"/>
      <c r="GWC3" s="354"/>
      <c r="GWD3" s="354"/>
      <c r="GWE3" s="354"/>
      <c r="GWF3" s="354"/>
      <c r="GWG3" s="354"/>
      <c r="GWH3" s="354"/>
      <c r="GWI3" s="354"/>
      <c r="GWJ3" s="354"/>
      <c r="GWK3" s="354"/>
      <c r="GWL3" s="354"/>
      <c r="GWM3" s="354"/>
      <c r="GWN3" s="354"/>
      <c r="GWO3" s="354"/>
      <c r="GWP3" s="354"/>
      <c r="GWQ3" s="354"/>
      <c r="GWR3" s="354"/>
      <c r="GWS3" s="354"/>
      <c r="GWT3" s="354"/>
      <c r="GWU3" s="354"/>
      <c r="GWV3" s="354"/>
      <c r="GWW3" s="354"/>
      <c r="GWX3" s="354"/>
      <c r="GWY3" s="354"/>
      <c r="GWZ3" s="354"/>
      <c r="GXA3" s="354"/>
      <c r="GXB3" s="354"/>
      <c r="GXC3" s="354"/>
      <c r="GXD3" s="354"/>
      <c r="GXE3" s="354"/>
      <c r="GXF3" s="354"/>
      <c r="GXG3" s="354"/>
      <c r="GXH3" s="354"/>
      <c r="GXI3" s="354"/>
      <c r="GXJ3" s="354"/>
      <c r="GXK3" s="354"/>
      <c r="GXL3" s="354"/>
      <c r="GXM3" s="354"/>
      <c r="GXN3" s="354"/>
      <c r="GXO3" s="354"/>
      <c r="GXP3" s="354"/>
      <c r="GXQ3" s="354"/>
      <c r="GXR3" s="354"/>
      <c r="GXS3" s="354"/>
      <c r="GXT3" s="354"/>
      <c r="GXU3" s="354"/>
      <c r="GXV3" s="354"/>
      <c r="GXW3" s="354"/>
      <c r="GXX3" s="354"/>
      <c r="GXY3" s="354"/>
      <c r="GXZ3" s="354"/>
      <c r="GYA3" s="354"/>
      <c r="GYB3" s="354"/>
      <c r="GYC3" s="354"/>
      <c r="GYD3" s="354"/>
      <c r="GYE3" s="354"/>
      <c r="GYF3" s="354"/>
      <c r="GYG3" s="354"/>
      <c r="GYH3" s="354"/>
      <c r="GYI3" s="354"/>
      <c r="GYJ3" s="354"/>
      <c r="GYK3" s="354"/>
      <c r="GYL3" s="354"/>
      <c r="GYM3" s="354"/>
      <c r="GYN3" s="354"/>
      <c r="GYO3" s="354"/>
      <c r="GYP3" s="354"/>
      <c r="GYQ3" s="354"/>
      <c r="GYR3" s="354"/>
      <c r="GYS3" s="354"/>
      <c r="GYT3" s="354"/>
      <c r="GYU3" s="354"/>
      <c r="GYV3" s="354"/>
      <c r="GYW3" s="354"/>
      <c r="GYX3" s="354"/>
      <c r="GYY3" s="354"/>
      <c r="GYZ3" s="354"/>
      <c r="GZA3" s="354"/>
      <c r="GZB3" s="354"/>
      <c r="GZC3" s="354"/>
      <c r="GZD3" s="354"/>
      <c r="GZE3" s="354"/>
      <c r="GZF3" s="354"/>
      <c r="GZG3" s="354"/>
      <c r="GZH3" s="354"/>
      <c r="GZI3" s="354"/>
      <c r="GZJ3" s="354"/>
      <c r="GZK3" s="354"/>
      <c r="GZL3" s="354"/>
      <c r="GZM3" s="354"/>
      <c r="GZN3" s="354"/>
      <c r="GZO3" s="354"/>
      <c r="GZP3" s="354"/>
      <c r="GZQ3" s="354"/>
      <c r="GZR3" s="354"/>
      <c r="GZS3" s="354"/>
      <c r="GZT3" s="354"/>
      <c r="GZU3" s="354"/>
      <c r="GZV3" s="354"/>
      <c r="GZW3" s="354"/>
      <c r="GZX3" s="354"/>
      <c r="GZY3" s="354"/>
      <c r="GZZ3" s="354"/>
      <c r="HAA3" s="354"/>
      <c r="HAB3" s="354"/>
      <c r="HAC3" s="354"/>
      <c r="HAD3" s="354"/>
      <c r="HAE3" s="354"/>
      <c r="HAF3" s="354"/>
      <c r="HAG3" s="354"/>
      <c r="HAH3" s="354"/>
      <c r="HAI3" s="354"/>
      <c r="HAJ3" s="354"/>
      <c r="HAK3" s="354"/>
      <c r="HAL3" s="354"/>
      <c r="HAM3" s="354"/>
      <c r="HAN3" s="354"/>
      <c r="HAO3" s="354"/>
      <c r="HAP3" s="354"/>
      <c r="HAQ3" s="354"/>
      <c r="HAR3" s="354"/>
      <c r="HAS3" s="354"/>
      <c r="HAT3" s="354"/>
      <c r="HAU3" s="354"/>
      <c r="HAV3" s="354"/>
      <c r="HAW3" s="354"/>
      <c r="HAX3" s="354"/>
      <c r="HAY3" s="354"/>
      <c r="HAZ3" s="354"/>
      <c r="HBA3" s="354"/>
      <c r="HBB3" s="354"/>
      <c r="HBC3" s="354"/>
      <c r="HBD3" s="354"/>
      <c r="HBE3" s="354"/>
      <c r="HBF3" s="354"/>
      <c r="HBG3" s="354"/>
      <c r="HBH3" s="354"/>
      <c r="HBI3" s="354"/>
      <c r="HBJ3" s="354"/>
      <c r="HBK3" s="354"/>
      <c r="HBL3" s="354"/>
      <c r="HBM3" s="354"/>
      <c r="HBN3" s="354"/>
      <c r="HBO3" s="354"/>
      <c r="HBP3" s="354"/>
      <c r="HBQ3" s="354"/>
      <c r="HBR3" s="354"/>
      <c r="HBS3" s="354"/>
      <c r="HBT3" s="354"/>
      <c r="HBU3" s="354"/>
      <c r="HBV3" s="354"/>
      <c r="HBW3" s="354"/>
      <c r="HBX3" s="354"/>
      <c r="HBY3" s="354"/>
      <c r="HBZ3" s="354"/>
      <c r="HCA3" s="354"/>
      <c r="HCB3" s="354"/>
      <c r="HCC3" s="354"/>
      <c r="HCD3" s="354"/>
      <c r="HCE3" s="354"/>
      <c r="HCF3" s="354"/>
      <c r="HCG3" s="354"/>
      <c r="HCH3" s="354"/>
      <c r="HCI3" s="354"/>
      <c r="HCJ3" s="354"/>
      <c r="HCK3" s="354"/>
      <c r="HCL3" s="354"/>
      <c r="HCM3" s="354"/>
      <c r="HCN3" s="354"/>
      <c r="HCO3" s="354"/>
      <c r="HCP3" s="354"/>
      <c r="HCQ3" s="354"/>
      <c r="HCR3" s="354"/>
      <c r="HCS3" s="354"/>
      <c r="HCT3" s="354"/>
      <c r="HCU3" s="354"/>
      <c r="HCV3" s="354"/>
      <c r="HCW3" s="354"/>
      <c r="HCX3" s="354"/>
      <c r="HCY3" s="354"/>
      <c r="HCZ3" s="354"/>
      <c r="HDA3" s="354"/>
      <c r="HDB3" s="354"/>
      <c r="HDC3" s="354"/>
      <c r="HDD3" s="354"/>
      <c r="HDE3" s="354"/>
      <c r="HDF3" s="354"/>
      <c r="HDG3" s="354"/>
      <c r="HDH3" s="354"/>
      <c r="HDI3" s="354"/>
      <c r="HDJ3" s="354"/>
      <c r="HDK3" s="354"/>
      <c r="HDL3" s="354"/>
      <c r="HDM3" s="354"/>
      <c r="HDN3" s="354"/>
      <c r="HDO3" s="354"/>
      <c r="HDP3" s="354"/>
      <c r="HDQ3" s="354"/>
      <c r="HDR3" s="354"/>
      <c r="HDS3" s="354"/>
      <c r="HDT3" s="354"/>
      <c r="HDU3" s="354"/>
      <c r="HDV3" s="354"/>
      <c r="HDW3" s="354"/>
      <c r="HDX3" s="354"/>
      <c r="HDY3" s="354"/>
      <c r="HDZ3" s="354"/>
      <c r="HEA3" s="354"/>
      <c r="HEB3" s="354"/>
      <c r="HEC3" s="354"/>
      <c r="HED3" s="354"/>
      <c r="HEE3" s="354"/>
      <c r="HEF3" s="354"/>
      <c r="HEG3" s="354"/>
      <c r="HEH3" s="354"/>
      <c r="HEI3" s="354"/>
      <c r="HEJ3" s="354"/>
      <c r="HEK3" s="354"/>
      <c r="HEL3" s="354"/>
      <c r="HEM3" s="354"/>
      <c r="HEN3" s="354"/>
      <c r="HEO3" s="354"/>
      <c r="HEP3" s="354"/>
      <c r="HEQ3" s="354"/>
      <c r="HER3" s="354"/>
      <c r="HES3" s="354"/>
      <c r="HET3" s="354"/>
      <c r="HEU3" s="354"/>
      <c r="HEV3" s="354"/>
      <c r="HEW3" s="354"/>
      <c r="HEX3" s="354"/>
      <c r="HEY3" s="354"/>
      <c r="HEZ3" s="354"/>
      <c r="HFA3" s="354"/>
      <c r="HFB3" s="354"/>
      <c r="HFC3" s="354"/>
      <c r="HFD3" s="354"/>
      <c r="HFE3" s="354"/>
      <c r="HFF3" s="354"/>
      <c r="HFG3" s="354"/>
      <c r="HFH3" s="354"/>
      <c r="HFI3" s="354"/>
      <c r="HFJ3" s="354"/>
      <c r="HFK3" s="354"/>
      <c r="HFL3" s="354"/>
      <c r="HFM3" s="354"/>
      <c r="HFN3" s="354"/>
      <c r="HFO3" s="354"/>
      <c r="HFP3" s="354"/>
      <c r="HFQ3" s="354"/>
      <c r="HFR3" s="354"/>
      <c r="HFS3" s="354"/>
      <c r="HFT3" s="354"/>
      <c r="HFU3" s="354"/>
      <c r="HFV3" s="354"/>
      <c r="HFW3" s="354"/>
      <c r="HFX3" s="354"/>
      <c r="HFY3" s="354"/>
      <c r="HFZ3" s="354"/>
      <c r="HGA3" s="354"/>
      <c r="HGB3" s="354"/>
      <c r="HGC3" s="354"/>
      <c r="HGD3" s="354"/>
      <c r="HGE3" s="354"/>
      <c r="HGF3" s="354"/>
      <c r="HGG3" s="354"/>
      <c r="HGH3" s="354"/>
      <c r="HGI3" s="354"/>
      <c r="HGJ3" s="354"/>
      <c r="HGK3" s="354"/>
      <c r="HGL3" s="354"/>
      <c r="HGM3" s="354"/>
      <c r="HGN3" s="354"/>
      <c r="HGO3" s="354"/>
      <c r="HGP3" s="354"/>
      <c r="HGQ3" s="354"/>
      <c r="HGR3" s="354"/>
      <c r="HGS3" s="354"/>
      <c r="HGT3" s="354"/>
      <c r="HGU3" s="354"/>
      <c r="HGV3" s="354"/>
      <c r="HGW3" s="354"/>
      <c r="HGX3" s="354"/>
      <c r="HGY3" s="354"/>
      <c r="HGZ3" s="354"/>
      <c r="HHA3" s="354"/>
      <c r="HHB3" s="354"/>
      <c r="HHC3" s="354"/>
      <c r="HHD3" s="354"/>
      <c r="HHE3" s="354"/>
      <c r="HHF3" s="354"/>
      <c r="HHG3" s="354"/>
      <c r="HHH3" s="354"/>
      <c r="HHI3" s="354"/>
      <c r="HHJ3" s="354"/>
      <c r="HHK3" s="354"/>
      <c r="HHL3" s="354"/>
      <c r="HHM3" s="354"/>
      <c r="HHN3" s="354"/>
      <c r="HHO3" s="354"/>
      <c r="HHP3" s="354"/>
      <c r="HHQ3" s="354"/>
      <c r="HHR3" s="354"/>
      <c r="HHS3" s="354"/>
      <c r="HHT3" s="354"/>
      <c r="HHU3" s="354"/>
      <c r="HHV3" s="354"/>
      <c r="HHW3" s="354"/>
      <c r="HHX3" s="354"/>
      <c r="HHY3" s="354"/>
      <c r="HHZ3" s="354"/>
      <c r="HIA3" s="354"/>
      <c r="HIB3" s="354"/>
      <c r="HIC3" s="354"/>
      <c r="HID3" s="354"/>
      <c r="HIE3" s="354"/>
      <c r="HIF3" s="354"/>
      <c r="HIG3" s="354"/>
      <c r="HIH3" s="354"/>
      <c r="HII3" s="354"/>
      <c r="HIJ3" s="354"/>
      <c r="HIK3" s="354"/>
      <c r="HIL3" s="354"/>
      <c r="HIM3" s="354"/>
      <c r="HIN3" s="354"/>
      <c r="HIO3" s="354"/>
      <c r="HIP3" s="354"/>
      <c r="HIQ3" s="354"/>
      <c r="HIR3" s="354"/>
      <c r="HIS3" s="354"/>
      <c r="HIT3" s="354"/>
      <c r="HIU3" s="354"/>
      <c r="HIV3" s="354"/>
      <c r="HIW3" s="354"/>
      <c r="HIX3" s="354"/>
      <c r="HIY3" s="354"/>
      <c r="HIZ3" s="354"/>
      <c r="HJA3" s="354"/>
      <c r="HJB3" s="354"/>
      <c r="HJC3" s="354"/>
      <c r="HJD3" s="354"/>
      <c r="HJE3" s="354"/>
      <c r="HJF3" s="354"/>
      <c r="HJG3" s="354"/>
      <c r="HJH3" s="354"/>
      <c r="HJI3" s="354"/>
      <c r="HJJ3" s="354"/>
      <c r="HJK3" s="354"/>
      <c r="HJL3" s="354"/>
      <c r="HJM3" s="354"/>
      <c r="HJN3" s="354"/>
      <c r="HJO3" s="354"/>
      <c r="HJP3" s="354"/>
      <c r="HJQ3" s="354"/>
      <c r="HJR3" s="354"/>
      <c r="HJS3" s="354"/>
      <c r="HJT3" s="354"/>
      <c r="HJU3" s="354"/>
      <c r="HJV3" s="354"/>
      <c r="HJW3" s="354"/>
      <c r="HJX3" s="354"/>
      <c r="HJY3" s="354"/>
      <c r="HJZ3" s="354"/>
      <c r="HKA3" s="354"/>
      <c r="HKB3" s="354"/>
      <c r="HKC3" s="354"/>
      <c r="HKD3" s="354"/>
      <c r="HKE3" s="354"/>
      <c r="HKF3" s="354"/>
      <c r="HKG3" s="354"/>
      <c r="HKH3" s="354"/>
      <c r="HKI3" s="354"/>
      <c r="HKJ3" s="354"/>
      <c r="HKK3" s="354"/>
      <c r="HKL3" s="354"/>
      <c r="HKM3" s="354"/>
      <c r="HKN3" s="354"/>
      <c r="HKO3" s="354"/>
      <c r="HKP3" s="354"/>
      <c r="HKQ3" s="354"/>
      <c r="HKR3" s="354"/>
      <c r="HKS3" s="354"/>
      <c r="HKT3" s="354"/>
      <c r="HKU3" s="354"/>
      <c r="HKV3" s="354"/>
      <c r="HKW3" s="354"/>
      <c r="HKX3" s="354"/>
      <c r="HKY3" s="354"/>
      <c r="HKZ3" s="354"/>
      <c r="HLA3" s="354"/>
      <c r="HLB3" s="354"/>
      <c r="HLC3" s="354"/>
      <c r="HLD3" s="354"/>
      <c r="HLE3" s="354"/>
      <c r="HLF3" s="354"/>
      <c r="HLG3" s="354"/>
      <c r="HLH3" s="354"/>
      <c r="HLI3" s="354"/>
      <c r="HLJ3" s="354"/>
      <c r="HLK3" s="354"/>
      <c r="HLL3" s="354"/>
      <c r="HLM3" s="354"/>
      <c r="HLN3" s="354"/>
      <c r="HLO3" s="354"/>
      <c r="HLP3" s="354"/>
      <c r="HLQ3" s="354"/>
      <c r="HLR3" s="354"/>
      <c r="HLS3" s="354"/>
      <c r="HLT3" s="354"/>
      <c r="HLU3" s="354"/>
      <c r="HLV3" s="354"/>
      <c r="HLW3" s="354"/>
      <c r="HLX3" s="354"/>
      <c r="HLY3" s="354"/>
      <c r="HLZ3" s="354"/>
      <c r="HMA3" s="354"/>
      <c r="HMB3" s="354"/>
      <c r="HMC3" s="354"/>
      <c r="HMD3" s="354"/>
      <c r="HME3" s="354"/>
      <c r="HMF3" s="354"/>
      <c r="HMG3" s="354"/>
      <c r="HMH3" s="354"/>
      <c r="HMI3" s="354"/>
      <c r="HMJ3" s="354"/>
      <c r="HMK3" s="354"/>
      <c r="HML3" s="354"/>
      <c r="HMM3" s="354"/>
      <c r="HMN3" s="354"/>
      <c r="HMO3" s="354"/>
      <c r="HMP3" s="354"/>
      <c r="HMQ3" s="354"/>
      <c r="HMR3" s="354"/>
      <c r="HMS3" s="354"/>
      <c r="HMT3" s="354"/>
      <c r="HMU3" s="354"/>
      <c r="HMV3" s="354"/>
      <c r="HMW3" s="354"/>
      <c r="HMX3" s="354"/>
      <c r="HMY3" s="354"/>
      <c r="HMZ3" s="354"/>
      <c r="HNA3" s="354"/>
      <c r="HNB3" s="354"/>
      <c r="HNC3" s="354"/>
      <c r="HND3" s="354"/>
      <c r="HNE3" s="354"/>
      <c r="HNF3" s="354"/>
      <c r="HNG3" s="354"/>
      <c r="HNH3" s="354"/>
      <c r="HNI3" s="354"/>
      <c r="HNJ3" s="354"/>
      <c r="HNK3" s="354"/>
      <c r="HNL3" s="354"/>
      <c r="HNM3" s="354"/>
      <c r="HNN3" s="354"/>
      <c r="HNO3" s="354"/>
      <c r="HNP3" s="354"/>
      <c r="HNQ3" s="354"/>
      <c r="HNR3" s="354"/>
      <c r="HNS3" s="354"/>
      <c r="HNT3" s="354"/>
      <c r="HNU3" s="354"/>
      <c r="HNV3" s="354"/>
      <c r="HNW3" s="354"/>
      <c r="HNX3" s="354"/>
      <c r="HNY3" s="354"/>
      <c r="HNZ3" s="354"/>
      <c r="HOA3" s="354"/>
      <c r="HOB3" s="354"/>
      <c r="HOC3" s="354"/>
      <c r="HOD3" s="354"/>
      <c r="HOE3" s="354"/>
      <c r="HOF3" s="354"/>
      <c r="HOG3" s="354"/>
      <c r="HOH3" s="354"/>
      <c r="HOI3" s="354"/>
      <c r="HOJ3" s="354"/>
      <c r="HOK3" s="354"/>
      <c r="HOL3" s="354"/>
      <c r="HOM3" s="354"/>
      <c r="HON3" s="354"/>
      <c r="HOO3" s="354"/>
      <c r="HOP3" s="354"/>
      <c r="HOQ3" s="354"/>
      <c r="HOR3" s="354"/>
      <c r="HOS3" s="354"/>
      <c r="HOT3" s="354"/>
      <c r="HOU3" s="354"/>
      <c r="HOV3" s="354"/>
      <c r="HOW3" s="354"/>
      <c r="HOX3" s="354"/>
      <c r="HOY3" s="354"/>
      <c r="HOZ3" s="354"/>
      <c r="HPA3" s="354"/>
      <c r="HPB3" s="354"/>
      <c r="HPC3" s="354"/>
      <c r="HPD3" s="354"/>
      <c r="HPE3" s="354"/>
      <c r="HPF3" s="354"/>
      <c r="HPG3" s="354"/>
      <c r="HPH3" s="354"/>
      <c r="HPI3" s="354"/>
      <c r="HPJ3" s="354"/>
      <c r="HPK3" s="354"/>
      <c r="HPL3" s="354"/>
      <c r="HPM3" s="354"/>
      <c r="HPN3" s="354"/>
      <c r="HPO3" s="354"/>
      <c r="HPP3" s="354"/>
      <c r="HPQ3" s="354"/>
      <c r="HPR3" s="354"/>
      <c r="HPS3" s="354"/>
      <c r="HPT3" s="354"/>
      <c r="HPU3" s="354"/>
      <c r="HPV3" s="354"/>
      <c r="HPW3" s="354"/>
      <c r="HPX3" s="354"/>
      <c r="HPY3" s="354"/>
      <c r="HPZ3" s="354"/>
      <c r="HQA3" s="354"/>
      <c r="HQB3" s="354"/>
      <c r="HQC3" s="354"/>
      <c r="HQD3" s="354"/>
      <c r="HQE3" s="354"/>
      <c r="HQF3" s="354"/>
      <c r="HQG3" s="354"/>
      <c r="HQH3" s="354"/>
      <c r="HQI3" s="354"/>
      <c r="HQJ3" s="354"/>
      <c r="HQK3" s="354"/>
      <c r="HQL3" s="354"/>
      <c r="HQM3" s="354"/>
      <c r="HQN3" s="354"/>
      <c r="HQO3" s="354"/>
      <c r="HQP3" s="354"/>
      <c r="HQQ3" s="354"/>
      <c r="HQR3" s="354"/>
      <c r="HQS3" s="354"/>
      <c r="HQT3" s="354"/>
      <c r="HQU3" s="354"/>
      <c r="HQV3" s="354"/>
      <c r="HQW3" s="354"/>
      <c r="HQX3" s="354"/>
      <c r="HQY3" s="354"/>
      <c r="HQZ3" s="354"/>
      <c r="HRA3" s="354"/>
      <c r="HRB3" s="354"/>
      <c r="HRC3" s="354"/>
      <c r="HRD3" s="354"/>
      <c r="HRE3" s="354"/>
      <c r="HRF3" s="354"/>
      <c r="HRG3" s="354"/>
      <c r="HRH3" s="354"/>
      <c r="HRI3" s="354"/>
      <c r="HRJ3" s="354"/>
      <c r="HRK3" s="354"/>
      <c r="HRL3" s="354"/>
      <c r="HRM3" s="354"/>
      <c r="HRN3" s="354"/>
      <c r="HRO3" s="354"/>
      <c r="HRP3" s="354"/>
      <c r="HRQ3" s="354"/>
      <c r="HRR3" s="354"/>
      <c r="HRS3" s="354"/>
      <c r="HRT3" s="354"/>
      <c r="HRU3" s="354"/>
      <c r="HRV3" s="354"/>
      <c r="HRW3" s="354"/>
      <c r="HRX3" s="354"/>
      <c r="HRY3" s="354"/>
      <c r="HRZ3" s="354"/>
      <c r="HSA3" s="354"/>
      <c r="HSB3" s="354"/>
      <c r="HSC3" s="354"/>
      <c r="HSD3" s="354"/>
      <c r="HSE3" s="354"/>
      <c r="HSF3" s="354"/>
      <c r="HSG3" s="354"/>
      <c r="HSH3" s="354"/>
      <c r="HSI3" s="354"/>
      <c r="HSJ3" s="354"/>
      <c r="HSK3" s="354"/>
      <c r="HSL3" s="354"/>
      <c r="HSM3" s="354"/>
      <c r="HSN3" s="354"/>
      <c r="HSO3" s="354"/>
      <c r="HSP3" s="354"/>
      <c r="HSQ3" s="354"/>
      <c r="HSR3" s="354"/>
      <c r="HSS3" s="354"/>
      <c r="HST3" s="354"/>
      <c r="HSU3" s="354"/>
      <c r="HSV3" s="354"/>
      <c r="HSW3" s="354"/>
      <c r="HSX3" s="354"/>
      <c r="HSY3" s="354"/>
      <c r="HSZ3" s="354"/>
      <c r="HTA3" s="354"/>
      <c r="HTB3" s="354"/>
      <c r="HTC3" s="354"/>
      <c r="HTD3" s="354"/>
      <c r="HTE3" s="354"/>
      <c r="HTF3" s="354"/>
      <c r="HTG3" s="354"/>
      <c r="HTH3" s="354"/>
      <c r="HTI3" s="354"/>
      <c r="HTJ3" s="354"/>
      <c r="HTK3" s="354"/>
      <c r="HTL3" s="354"/>
      <c r="HTM3" s="354"/>
      <c r="HTN3" s="354"/>
      <c r="HTO3" s="354"/>
      <c r="HTP3" s="354"/>
      <c r="HTQ3" s="354"/>
      <c r="HTR3" s="354"/>
      <c r="HTS3" s="354"/>
      <c r="HTT3" s="354"/>
      <c r="HTU3" s="354"/>
      <c r="HTV3" s="354"/>
      <c r="HTW3" s="354"/>
      <c r="HTX3" s="354"/>
      <c r="HTY3" s="354"/>
      <c r="HTZ3" s="354"/>
      <c r="HUA3" s="354"/>
      <c r="HUB3" s="354"/>
      <c r="HUC3" s="354"/>
      <c r="HUD3" s="354"/>
      <c r="HUE3" s="354"/>
      <c r="HUF3" s="354"/>
      <c r="HUG3" s="354"/>
      <c r="HUH3" s="354"/>
      <c r="HUI3" s="354"/>
      <c r="HUJ3" s="354"/>
      <c r="HUK3" s="354"/>
      <c r="HUL3" s="354"/>
      <c r="HUM3" s="354"/>
      <c r="HUN3" s="354"/>
      <c r="HUO3" s="354"/>
      <c r="HUP3" s="354"/>
      <c r="HUQ3" s="354"/>
      <c r="HUR3" s="354"/>
      <c r="HUS3" s="354"/>
      <c r="HUT3" s="354"/>
      <c r="HUU3" s="354"/>
      <c r="HUV3" s="354"/>
      <c r="HUW3" s="354"/>
      <c r="HUX3" s="354"/>
      <c r="HUY3" s="354"/>
      <c r="HUZ3" s="354"/>
      <c r="HVA3" s="354"/>
      <c r="HVB3" s="354"/>
      <c r="HVC3" s="354"/>
      <c r="HVD3" s="354"/>
      <c r="HVE3" s="354"/>
      <c r="HVF3" s="354"/>
      <c r="HVG3" s="354"/>
      <c r="HVH3" s="354"/>
      <c r="HVI3" s="354"/>
      <c r="HVJ3" s="354"/>
      <c r="HVK3" s="354"/>
      <c r="HVL3" s="354"/>
      <c r="HVM3" s="354"/>
      <c r="HVN3" s="354"/>
      <c r="HVO3" s="354"/>
      <c r="HVP3" s="354"/>
      <c r="HVQ3" s="354"/>
      <c r="HVR3" s="354"/>
      <c r="HVS3" s="354"/>
      <c r="HVT3" s="354"/>
      <c r="HVU3" s="354"/>
      <c r="HVV3" s="354"/>
      <c r="HVW3" s="354"/>
      <c r="HVX3" s="354"/>
      <c r="HVY3" s="354"/>
      <c r="HVZ3" s="354"/>
      <c r="HWA3" s="354"/>
      <c r="HWB3" s="354"/>
      <c r="HWC3" s="354"/>
      <c r="HWD3" s="354"/>
      <c r="HWE3" s="354"/>
      <c r="HWF3" s="354"/>
      <c r="HWG3" s="354"/>
      <c r="HWH3" s="354"/>
      <c r="HWI3" s="354"/>
      <c r="HWJ3" s="354"/>
      <c r="HWK3" s="354"/>
      <c r="HWL3" s="354"/>
      <c r="HWM3" s="354"/>
      <c r="HWN3" s="354"/>
      <c r="HWO3" s="354"/>
      <c r="HWP3" s="354"/>
      <c r="HWQ3" s="354"/>
      <c r="HWR3" s="354"/>
      <c r="HWS3" s="354"/>
      <c r="HWT3" s="354"/>
      <c r="HWU3" s="354"/>
      <c r="HWV3" s="354"/>
      <c r="HWW3" s="354"/>
      <c r="HWX3" s="354"/>
      <c r="HWY3" s="354"/>
      <c r="HWZ3" s="354"/>
      <c r="HXA3" s="354"/>
      <c r="HXB3" s="354"/>
      <c r="HXC3" s="354"/>
      <c r="HXD3" s="354"/>
      <c r="HXE3" s="354"/>
      <c r="HXF3" s="354"/>
      <c r="HXG3" s="354"/>
      <c r="HXH3" s="354"/>
      <c r="HXI3" s="354"/>
      <c r="HXJ3" s="354"/>
      <c r="HXK3" s="354"/>
      <c r="HXL3" s="354"/>
      <c r="HXM3" s="354"/>
      <c r="HXN3" s="354"/>
      <c r="HXO3" s="354"/>
      <c r="HXP3" s="354"/>
      <c r="HXQ3" s="354"/>
      <c r="HXR3" s="354"/>
      <c r="HXS3" s="354"/>
      <c r="HXT3" s="354"/>
      <c r="HXU3" s="354"/>
      <c r="HXV3" s="354"/>
      <c r="HXW3" s="354"/>
      <c r="HXX3" s="354"/>
      <c r="HXY3" s="354"/>
      <c r="HXZ3" s="354"/>
      <c r="HYA3" s="354"/>
      <c r="HYB3" s="354"/>
      <c r="HYC3" s="354"/>
      <c r="HYD3" s="354"/>
      <c r="HYE3" s="354"/>
      <c r="HYF3" s="354"/>
      <c r="HYG3" s="354"/>
      <c r="HYH3" s="354"/>
      <c r="HYI3" s="354"/>
      <c r="HYJ3" s="354"/>
      <c r="HYK3" s="354"/>
      <c r="HYL3" s="354"/>
      <c r="HYM3" s="354"/>
      <c r="HYN3" s="354"/>
      <c r="HYO3" s="354"/>
      <c r="HYP3" s="354"/>
      <c r="HYQ3" s="354"/>
      <c r="HYR3" s="354"/>
      <c r="HYS3" s="354"/>
      <c r="HYT3" s="354"/>
      <c r="HYU3" s="354"/>
      <c r="HYV3" s="354"/>
      <c r="HYW3" s="354"/>
      <c r="HYX3" s="354"/>
      <c r="HYY3" s="354"/>
      <c r="HYZ3" s="354"/>
      <c r="HZA3" s="354"/>
      <c r="HZB3" s="354"/>
      <c r="HZC3" s="354"/>
      <c r="HZD3" s="354"/>
      <c r="HZE3" s="354"/>
      <c r="HZF3" s="354"/>
      <c r="HZG3" s="354"/>
      <c r="HZH3" s="354"/>
      <c r="HZI3" s="354"/>
      <c r="HZJ3" s="354"/>
      <c r="HZK3" s="354"/>
      <c r="HZL3" s="354"/>
      <c r="HZM3" s="354"/>
      <c r="HZN3" s="354"/>
      <c r="HZO3" s="354"/>
      <c r="HZP3" s="354"/>
      <c r="HZQ3" s="354"/>
      <c r="HZR3" s="354"/>
      <c r="HZS3" s="354"/>
      <c r="HZT3" s="354"/>
      <c r="HZU3" s="354"/>
      <c r="HZV3" s="354"/>
      <c r="HZW3" s="354"/>
      <c r="HZX3" s="354"/>
      <c r="HZY3" s="354"/>
      <c r="HZZ3" s="354"/>
      <c r="IAA3" s="354"/>
      <c r="IAB3" s="354"/>
      <c r="IAC3" s="354"/>
      <c r="IAD3" s="354"/>
      <c r="IAE3" s="354"/>
      <c r="IAF3" s="354"/>
      <c r="IAG3" s="354"/>
      <c r="IAH3" s="354"/>
      <c r="IAI3" s="354"/>
      <c r="IAJ3" s="354"/>
      <c r="IAK3" s="354"/>
      <c r="IAL3" s="354"/>
      <c r="IAM3" s="354"/>
      <c r="IAN3" s="354"/>
      <c r="IAO3" s="354"/>
      <c r="IAP3" s="354"/>
      <c r="IAQ3" s="354"/>
      <c r="IAR3" s="354"/>
      <c r="IAS3" s="354"/>
      <c r="IAT3" s="354"/>
      <c r="IAU3" s="354"/>
      <c r="IAV3" s="354"/>
      <c r="IAW3" s="354"/>
      <c r="IAX3" s="354"/>
      <c r="IAY3" s="354"/>
      <c r="IAZ3" s="354"/>
      <c r="IBA3" s="354"/>
      <c r="IBB3" s="354"/>
      <c r="IBC3" s="354"/>
      <c r="IBD3" s="354"/>
      <c r="IBE3" s="354"/>
      <c r="IBF3" s="354"/>
      <c r="IBG3" s="354"/>
      <c r="IBH3" s="354"/>
      <c r="IBI3" s="354"/>
      <c r="IBJ3" s="354"/>
      <c r="IBK3" s="354"/>
      <c r="IBL3" s="354"/>
      <c r="IBM3" s="354"/>
      <c r="IBN3" s="354"/>
      <c r="IBO3" s="354"/>
      <c r="IBP3" s="354"/>
      <c r="IBQ3" s="354"/>
      <c r="IBR3" s="354"/>
      <c r="IBS3" s="354"/>
      <c r="IBT3" s="354"/>
      <c r="IBU3" s="354"/>
      <c r="IBV3" s="354"/>
      <c r="IBW3" s="354"/>
      <c r="IBX3" s="354"/>
      <c r="IBY3" s="354"/>
      <c r="IBZ3" s="354"/>
      <c r="ICA3" s="354"/>
      <c r="ICB3" s="354"/>
      <c r="ICC3" s="354"/>
      <c r="ICD3" s="354"/>
      <c r="ICE3" s="354"/>
      <c r="ICF3" s="354"/>
      <c r="ICG3" s="354"/>
      <c r="ICH3" s="354"/>
      <c r="ICI3" s="354"/>
      <c r="ICJ3" s="354"/>
      <c r="ICK3" s="354"/>
      <c r="ICL3" s="354"/>
      <c r="ICM3" s="354"/>
      <c r="ICN3" s="354"/>
      <c r="ICO3" s="354"/>
      <c r="ICP3" s="354"/>
      <c r="ICQ3" s="354"/>
      <c r="ICR3" s="354"/>
      <c r="ICS3" s="354"/>
      <c r="ICT3" s="354"/>
      <c r="ICU3" s="354"/>
      <c r="ICV3" s="354"/>
      <c r="ICW3" s="354"/>
      <c r="ICX3" s="354"/>
      <c r="ICY3" s="354"/>
      <c r="ICZ3" s="354"/>
      <c r="IDA3" s="354"/>
      <c r="IDB3" s="354"/>
      <c r="IDC3" s="354"/>
      <c r="IDD3" s="354"/>
      <c r="IDE3" s="354"/>
      <c r="IDF3" s="354"/>
      <c r="IDG3" s="354"/>
      <c r="IDH3" s="354"/>
      <c r="IDI3" s="354"/>
      <c r="IDJ3" s="354"/>
      <c r="IDK3" s="354"/>
      <c r="IDL3" s="354"/>
      <c r="IDM3" s="354"/>
      <c r="IDN3" s="354"/>
      <c r="IDO3" s="354"/>
      <c r="IDP3" s="354"/>
      <c r="IDQ3" s="354"/>
      <c r="IDR3" s="354"/>
      <c r="IDS3" s="354"/>
      <c r="IDT3" s="354"/>
      <c r="IDU3" s="354"/>
      <c r="IDV3" s="354"/>
      <c r="IDW3" s="354"/>
      <c r="IDX3" s="354"/>
      <c r="IDY3" s="354"/>
      <c r="IDZ3" s="354"/>
      <c r="IEA3" s="354"/>
      <c r="IEB3" s="354"/>
      <c r="IEC3" s="354"/>
      <c r="IED3" s="354"/>
      <c r="IEE3" s="354"/>
      <c r="IEF3" s="354"/>
      <c r="IEG3" s="354"/>
      <c r="IEH3" s="354"/>
      <c r="IEI3" s="354"/>
      <c r="IEJ3" s="354"/>
      <c r="IEK3" s="354"/>
      <c r="IEL3" s="354"/>
      <c r="IEM3" s="354"/>
      <c r="IEN3" s="354"/>
      <c r="IEO3" s="354"/>
      <c r="IEP3" s="354"/>
      <c r="IEQ3" s="354"/>
      <c r="IER3" s="354"/>
      <c r="IES3" s="354"/>
      <c r="IET3" s="354"/>
      <c r="IEU3" s="354"/>
      <c r="IEV3" s="354"/>
      <c r="IEW3" s="354"/>
      <c r="IEX3" s="354"/>
      <c r="IEY3" s="354"/>
      <c r="IEZ3" s="354"/>
      <c r="IFA3" s="354"/>
      <c r="IFB3" s="354"/>
      <c r="IFC3" s="354"/>
      <c r="IFD3" s="354"/>
      <c r="IFE3" s="354"/>
      <c r="IFF3" s="354"/>
      <c r="IFG3" s="354"/>
      <c r="IFH3" s="354"/>
      <c r="IFI3" s="354"/>
      <c r="IFJ3" s="354"/>
      <c r="IFK3" s="354"/>
      <c r="IFL3" s="354"/>
      <c r="IFM3" s="354"/>
      <c r="IFN3" s="354"/>
      <c r="IFO3" s="354"/>
      <c r="IFP3" s="354"/>
      <c r="IFQ3" s="354"/>
      <c r="IFR3" s="354"/>
      <c r="IFS3" s="354"/>
      <c r="IFT3" s="354"/>
      <c r="IFU3" s="354"/>
      <c r="IFV3" s="354"/>
      <c r="IFW3" s="354"/>
      <c r="IFX3" s="354"/>
      <c r="IFY3" s="354"/>
      <c r="IFZ3" s="354"/>
      <c r="IGA3" s="354"/>
      <c r="IGB3" s="354"/>
      <c r="IGC3" s="354"/>
      <c r="IGD3" s="354"/>
      <c r="IGE3" s="354"/>
      <c r="IGF3" s="354"/>
      <c r="IGG3" s="354"/>
      <c r="IGH3" s="354"/>
      <c r="IGI3" s="354"/>
      <c r="IGJ3" s="354"/>
      <c r="IGK3" s="354"/>
      <c r="IGL3" s="354"/>
      <c r="IGM3" s="354"/>
      <c r="IGN3" s="354"/>
      <c r="IGO3" s="354"/>
      <c r="IGP3" s="354"/>
      <c r="IGQ3" s="354"/>
      <c r="IGR3" s="354"/>
      <c r="IGS3" s="354"/>
      <c r="IGT3" s="354"/>
      <c r="IGU3" s="354"/>
      <c r="IGV3" s="354"/>
      <c r="IGW3" s="354"/>
      <c r="IGX3" s="354"/>
      <c r="IGY3" s="354"/>
      <c r="IGZ3" s="354"/>
      <c r="IHA3" s="354"/>
      <c r="IHB3" s="354"/>
      <c r="IHC3" s="354"/>
      <c r="IHD3" s="354"/>
      <c r="IHE3" s="354"/>
      <c r="IHF3" s="354"/>
      <c r="IHG3" s="354"/>
      <c r="IHH3" s="354"/>
      <c r="IHI3" s="354"/>
      <c r="IHJ3" s="354"/>
      <c r="IHK3" s="354"/>
      <c r="IHL3" s="354"/>
      <c r="IHM3" s="354"/>
      <c r="IHN3" s="354"/>
      <c r="IHO3" s="354"/>
      <c r="IHP3" s="354"/>
      <c r="IHQ3" s="354"/>
      <c r="IHR3" s="354"/>
      <c r="IHS3" s="354"/>
      <c r="IHT3" s="354"/>
      <c r="IHU3" s="354"/>
      <c r="IHV3" s="354"/>
      <c r="IHW3" s="354"/>
      <c r="IHX3" s="354"/>
      <c r="IHY3" s="354"/>
      <c r="IHZ3" s="354"/>
      <c r="IIA3" s="354"/>
      <c r="IIB3" s="354"/>
      <c r="IIC3" s="354"/>
      <c r="IID3" s="354"/>
      <c r="IIE3" s="354"/>
      <c r="IIF3" s="354"/>
      <c r="IIG3" s="354"/>
      <c r="IIH3" s="354"/>
      <c r="III3" s="354"/>
      <c r="IIJ3" s="354"/>
      <c r="IIK3" s="354"/>
      <c r="IIL3" s="354"/>
      <c r="IIM3" s="354"/>
      <c r="IIN3" s="354"/>
      <c r="IIO3" s="354"/>
      <c r="IIP3" s="354"/>
      <c r="IIQ3" s="354"/>
      <c r="IIR3" s="354"/>
      <c r="IIS3" s="354"/>
      <c r="IIT3" s="354"/>
      <c r="IIU3" s="354"/>
      <c r="IIV3" s="354"/>
      <c r="IIW3" s="354"/>
      <c r="IIX3" s="354"/>
      <c r="IIY3" s="354"/>
      <c r="IIZ3" s="354"/>
      <c r="IJA3" s="354"/>
      <c r="IJB3" s="354"/>
      <c r="IJC3" s="354"/>
      <c r="IJD3" s="354"/>
      <c r="IJE3" s="354"/>
      <c r="IJF3" s="354"/>
      <c r="IJG3" s="354"/>
      <c r="IJH3" s="354"/>
      <c r="IJI3" s="354"/>
      <c r="IJJ3" s="354"/>
      <c r="IJK3" s="354"/>
      <c r="IJL3" s="354"/>
      <c r="IJM3" s="354"/>
      <c r="IJN3" s="354"/>
      <c r="IJO3" s="354"/>
      <c r="IJP3" s="354"/>
      <c r="IJQ3" s="354"/>
      <c r="IJR3" s="354"/>
      <c r="IJS3" s="354"/>
      <c r="IJT3" s="354"/>
      <c r="IJU3" s="354"/>
      <c r="IJV3" s="354"/>
      <c r="IJW3" s="354"/>
      <c r="IJX3" s="354"/>
      <c r="IJY3" s="354"/>
      <c r="IJZ3" s="354"/>
      <c r="IKA3" s="354"/>
      <c r="IKB3" s="354"/>
      <c r="IKC3" s="354"/>
      <c r="IKD3" s="354"/>
      <c r="IKE3" s="354"/>
      <c r="IKF3" s="354"/>
      <c r="IKG3" s="354"/>
      <c r="IKH3" s="354"/>
      <c r="IKI3" s="354"/>
      <c r="IKJ3" s="354"/>
      <c r="IKK3" s="354"/>
      <c r="IKL3" s="354"/>
      <c r="IKM3" s="354"/>
      <c r="IKN3" s="354"/>
      <c r="IKO3" s="354"/>
      <c r="IKP3" s="354"/>
      <c r="IKQ3" s="354"/>
      <c r="IKR3" s="354"/>
      <c r="IKS3" s="354"/>
      <c r="IKT3" s="354"/>
      <c r="IKU3" s="354"/>
      <c r="IKV3" s="354"/>
      <c r="IKW3" s="354"/>
      <c r="IKX3" s="354"/>
      <c r="IKY3" s="354"/>
      <c r="IKZ3" s="354"/>
      <c r="ILA3" s="354"/>
      <c r="ILB3" s="354"/>
      <c r="ILC3" s="354"/>
      <c r="ILD3" s="354"/>
      <c r="ILE3" s="354"/>
      <c r="ILF3" s="354"/>
      <c r="ILG3" s="354"/>
      <c r="ILH3" s="354"/>
      <c r="ILI3" s="354"/>
      <c r="ILJ3" s="354"/>
      <c r="ILK3" s="354"/>
      <c r="ILL3" s="354"/>
      <c r="ILM3" s="354"/>
      <c r="ILN3" s="354"/>
      <c r="ILO3" s="354"/>
      <c r="ILP3" s="354"/>
      <c r="ILQ3" s="354"/>
      <c r="ILR3" s="354"/>
      <c r="ILS3" s="354"/>
      <c r="ILT3" s="354"/>
      <c r="ILU3" s="354"/>
      <c r="ILV3" s="354"/>
      <c r="ILW3" s="354"/>
      <c r="ILX3" s="354"/>
      <c r="ILY3" s="354"/>
      <c r="ILZ3" s="354"/>
      <c r="IMA3" s="354"/>
      <c r="IMB3" s="354"/>
      <c r="IMC3" s="354"/>
      <c r="IMD3" s="354"/>
      <c r="IME3" s="354"/>
      <c r="IMF3" s="354"/>
      <c r="IMG3" s="354"/>
      <c r="IMH3" s="354"/>
      <c r="IMI3" s="354"/>
      <c r="IMJ3" s="354"/>
      <c r="IMK3" s="354"/>
      <c r="IML3" s="354"/>
      <c r="IMM3" s="354"/>
      <c r="IMN3" s="354"/>
      <c r="IMO3" s="354"/>
      <c r="IMP3" s="354"/>
      <c r="IMQ3" s="354"/>
      <c r="IMR3" s="354"/>
      <c r="IMS3" s="354"/>
      <c r="IMT3" s="354"/>
      <c r="IMU3" s="354"/>
      <c r="IMV3" s="354"/>
      <c r="IMW3" s="354"/>
      <c r="IMX3" s="354"/>
      <c r="IMY3" s="354"/>
      <c r="IMZ3" s="354"/>
      <c r="INA3" s="354"/>
      <c r="INB3" s="354"/>
      <c r="INC3" s="354"/>
      <c r="IND3" s="354"/>
      <c r="INE3" s="354"/>
      <c r="INF3" s="354"/>
      <c r="ING3" s="354"/>
      <c r="INH3" s="354"/>
      <c r="INI3" s="354"/>
      <c r="INJ3" s="354"/>
      <c r="INK3" s="354"/>
      <c r="INL3" s="354"/>
      <c r="INM3" s="354"/>
      <c r="INN3" s="354"/>
      <c r="INO3" s="354"/>
      <c r="INP3" s="354"/>
      <c r="INQ3" s="354"/>
      <c r="INR3" s="354"/>
      <c r="INS3" s="354"/>
      <c r="INT3" s="354"/>
      <c r="INU3" s="354"/>
      <c r="INV3" s="354"/>
      <c r="INW3" s="354"/>
      <c r="INX3" s="354"/>
      <c r="INY3" s="354"/>
      <c r="INZ3" s="354"/>
      <c r="IOA3" s="354"/>
      <c r="IOB3" s="354"/>
      <c r="IOC3" s="354"/>
      <c r="IOD3" s="354"/>
      <c r="IOE3" s="354"/>
      <c r="IOF3" s="354"/>
      <c r="IOG3" s="354"/>
      <c r="IOH3" s="354"/>
      <c r="IOI3" s="354"/>
      <c r="IOJ3" s="354"/>
      <c r="IOK3" s="354"/>
      <c r="IOL3" s="354"/>
      <c r="IOM3" s="354"/>
      <c r="ION3" s="354"/>
      <c r="IOO3" s="354"/>
      <c r="IOP3" s="354"/>
      <c r="IOQ3" s="354"/>
      <c r="IOR3" s="354"/>
      <c r="IOS3" s="354"/>
      <c r="IOT3" s="354"/>
      <c r="IOU3" s="354"/>
      <c r="IOV3" s="354"/>
      <c r="IOW3" s="354"/>
      <c r="IOX3" s="354"/>
      <c r="IOY3" s="354"/>
      <c r="IOZ3" s="354"/>
      <c r="IPA3" s="354"/>
      <c r="IPB3" s="354"/>
      <c r="IPC3" s="354"/>
      <c r="IPD3" s="354"/>
      <c r="IPE3" s="354"/>
      <c r="IPF3" s="354"/>
      <c r="IPG3" s="354"/>
      <c r="IPH3" s="354"/>
      <c r="IPI3" s="354"/>
      <c r="IPJ3" s="354"/>
      <c r="IPK3" s="354"/>
      <c r="IPL3" s="354"/>
      <c r="IPM3" s="354"/>
      <c r="IPN3" s="354"/>
      <c r="IPO3" s="354"/>
      <c r="IPP3" s="354"/>
      <c r="IPQ3" s="354"/>
      <c r="IPR3" s="354"/>
      <c r="IPS3" s="354"/>
      <c r="IPT3" s="354"/>
      <c r="IPU3" s="354"/>
      <c r="IPV3" s="354"/>
      <c r="IPW3" s="354"/>
      <c r="IPX3" s="354"/>
      <c r="IPY3" s="354"/>
      <c r="IPZ3" s="354"/>
      <c r="IQA3" s="354"/>
      <c r="IQB3" s="354"/>
      <c r="IQC3" s="354"/>
      <c r="IQD3" s="354"/>
      <c r="IQE3" s="354"/>
      <c r="IQF3" s="354"/>
      <c r="IQG3" s="354"/>
      <c r="IQH3" s="354"/>
      <c r="IQI3" s="354"/>
      <c r="IQJ3" s="354"/>
      <c r="IQK3" s="354"/>
      <c r="IQL3" s="354"/>
      <c r="IQM3" s="354"/>
      <c r="IQN3" s="354"/>
      <c r="IQO3" s="354"/>
      <c r="IQP3" s="354"/>
      <c r="IQQ3" s="354"/>
      <c r="IQR3" s="354"/>
      <c r="IQS3" s="354"/>
      <c r="IQT3" s="354"/>
      <c r="IQU3" s="354"/>
      <c r="IQV3" s="354"/>
      <c r="IQW3" s="354"/>
      <c r="IQX3" s="354"/>
      <c r="IQY3" s="354"/>
      <c r="IQZ3" s="354"/>
      <c r="IRA3" s="354"/>
      <c r="IRB3" s="354"/>
      <c r="IRC3" s="354"/>
      <c r="IRD3" s="354"/>
      <c r="IRE3" s="354"/>
      <c r="IRF3" s="354"/>
      <c r="IRG3" s="354"/>
      <c r="IRH3" s="354"/>
      <c r="IRI3" s="354"/>
      <c r="IRJ3" s="354"/>
      <c r="IRK3" s="354"/>
      <c r="IRL3" s="354"/>
      <c r="IRM3" s="354"/>
      <c r="IRN3" s="354"/>
      <c r="IRO3" s="354"/>
      <c r="IRP3" s="354"/>
      <c r="IRQ3" s="354"/>
      <c r="IRR3" s="354"/>
      <c r="IRS3" s="354"/>
      <c r="IRT3" s="354"/>
      <c r="IRU3" s="354"/>
      <c r="IRV3" s="354"/>
      <c r="IRW3" s="354"/>
      <c r="IRX3" s="354"/>
      <c r="IRY3" s="354"/>
      <c r="IRZ3" s="354"/>
      <c r="ISA3" s="354"/>
      <c r="ISB3" s="354"/>
      <c r="ISC3" s="354"/>
      <c r="ISD3" s="354"/>
      <c r="ISE3" s="354"/>
      <c r="ISF3" s="354"/>
      <c r="ISG3" s="354"/>
      <c r="ISH3" s="354"/>
      <c r="ISI3" s="354"/>
      <c r="ISJ3" s="354"/>
      <c r="ISK3" s="354"/>
      <c r="ISL3" s="354"/>
      <c r="ISM3" s="354"/>
      <c r="ISN3" s="354"/>
      <c r="ISO3" s="354"/>
      <c r="ISP3" s="354"/>
      <c r="ISQ3" s="354"/>
      <c r="ISR3" s="354"/>
      <c r="ISS3" s="354"/>
      <c r="IST3" s="354"/>
      <c r="ISU3" s="354"/>
      <c r="ISV3" s="354"/>
      <c r="ISW3" s="354"/>
      <c r="ISX3" s="354"/>
      <c r="ISY3" s="354"/>
      <c r="ISZ3" s="354"/>
      <c r="ITA3" s="354"/>
      <c r="ITB3" s="354"/>
      <c r="ITC3" s="354"/>
      <c r="ITD3" s="354"/>
      <c r="ITE3" s="354"/>
      <c r="ITF3" s="354"/>
      <c r="ITG3" s="354"/>
      <c r="ITH3" s="354"/>
      <c r="ITI3" s="354"/>
      <c r="ITJ3" s="354"/>
      <c r="ITK3" s="354"/>
      <c r="ITL3" s="354"/>
      <c r="ITM3" s="354"/>
      <c r="ITN3" s="354"/>
      <c r="ITO3" s="354"/>
      <c r="ITP3" s="354"/>
      <c r="ITQ3" s="354"/>
      <c r="ITR3" s="354"/>
      <c r="ITS3" s="354"/>
      <c r="ITT3" s="354"/>
      <c r="ITU3" s="354"/>
      <c r="ITV3" s="354"/>
      <c r="ITW3" s="354"/>
      <c r="ITX3" s="354"/>
      <c r="ITY3" s="354"/>
      <c r="ITZ3" s="354"/>
      <c r="IUA3" s="354"/>
      <c r="IUB3" s="354"/>
      <c r="IUC3" s="354"/>
      <c r="IUD3" s="354"/>
      <c r="IUE3" s="354"/>
      <c r="IUF3" s="354"/>
      <c r="IUG3" s="354"/>
      <c r="IUH3" s="354"/>
      <c r="IUI3" s="354"/>
      <c r="IUJ3" s="354"/>
      <c r="IUK3" s="354"/>
      <c r="IUL3" s="354"/>
      <c r="IUM3" s="354"/>
      <c r="IUN3" s="354"/>
      <c r="IUO3" s="354"/>
      <c r="IUP3" s="354"/>
      <c r="IUQ3" s="354"/>
      <c r="IUR3" s="354"/>
      <c r="IUS3" s="354"/>
      <c r="IUT3" s="354"/>
      <c r="IUU3" s="354"/>
      <c r="IUV3" s="354"/>
      <c r="IUW3" s="354"/>
      <c r="IUX3" s="354"/>
      <c r="IUY3" s="354"/>
      <c r="IUZ3" s="354"/>
      <c r="IVA3" s="354"/>
      <c r="IVB3" s="354"/>
      <c r="IVC3" s="354"/>
      <c r="IVD3" s="354"/>
      <c r="IVE3" s="354"/>
      <c r="IVF3" s="354"/>
      <c r="IVG3" s="354"/>
      <c r="IVH3" s="354"/>
      <c r="IVI3" s="354"/>
      <c r="IVJ3" s="354"/>
      <c r="IVK3" s="354"/>
      <c r="IVL3" s="354"/>
      <c r="IVM3" s="354"/>
      <c r="IVN3" s="354"/>
      <c r="IVO3" s="354"/>
      <c r="IVP3" s="354"/>
      <c r="IVQ3" s="354"/>
      <c r="IVR3" s="354"/>
      <c r="IVS3" s="354"/>
      <c r="IVT3" s="354"/>
      <c r="IVU3" s="354"/>
      <c r="IVV3" s="354"/>
      <c r="IVW3" s="354"/>
      <c r="IVX3" s="354"/>
      <c r="IVY3" s="354"/>
      <c r="IVZ3" s="354"/>
      <c r="IWA3" s="354"/>
      <c r="IWB3" s="354"/>
      <c r="IWC3" s="354"/>
      <c r="IWD3" s="354"/>
      <c r="IWE3" s="354"/>
      <c r="IWF3" s="354"/>
      <c r="IWG3" s="354"/>
      <c r="IWH3" s="354"/>
      <c r="IWI3" s="354"/>
      <c r="IWJ3" s="354"/>
      <c r="IWK3" s="354"/>
      <c r="IWL3" s="354"/>
      <c r="IWM3" s="354"/>
      <c r="IWN3" s="354"/>
      <c r="IWO3" s="354"/>
      <c r="IWP3" s="354"/>
      <c r="IWQ3" s="354"/>
      <c r="IWR3" s="354"/>
      <c r="IWS3" s="354"/>
      <c r="IWT3" s="354"/>
      <c r="IWU3" s="354"/>
      <c r="IWV3" s="354"/>
      <c r="IWW3" s="354"/>
      <c r="IWX3" s="354"/>
      <c r="IWY3" s="354"/>
      <c r="IWZ3" s="354"/>
      <c r="IXA3" s="354"/>
      <c r="IXB3" s="354"/>
      <c r="IXC3" s="354"/>
      <c r="IXD3" s="354"/>
      <c r="IXE3" s="354"/>
      <c r="IXF3" s="354"/>
      <c r="IXG3" s="354"/>
      <c r="IXH3" s="354"/>
      <c r="IXI3" s="354"/>
      <c r="IXJ3" s="354"/>
      <c r="IXK3" s="354"/>
      <c r="IXL3" s="354"/>
      <c r="IXM3" s="354"/>
      <c r="IXN3" s="354"/>
      <c r="IXO3" s="354"/>
      <c r="IXP3" s="354"/>
      <c r="IXQ3" s="354"/>
      <c r="IXR3" s="354"/>
      <c r="IXS3" s="354"/>
      <c r="IXT3" s="354"/>
      <c r="IXU3" s="354"/>
      <c r="IXV3" s="354"/>
      <c r="IXW3" s="354"/>
      <c r="IXX3" s="354"/>
      <c r="IXY3" s="354"/>
      <c r="IXZ3" s="354"/>
      <c r="IYA3" s="354"/>
      <c r="IYB3" s="354"/>
      <c r="IYC3" s="354"/>
      <c r="IYD3" s="354"/>
      <c r="IYE3" s="354"/>
      <c r="IYF3" s="354"/>
      <c r="IYG3" s="354"/>
      <c r="IYH3" s="354"/>
      <c r="IYI3" s="354"/>
      <c r="IYJ3" s="354"/>
      <c r="IYK3" s="354"/>
      <c r="IYL3" s="354"/>
      <c r="IYM3" s="354"/>
      <c r="IYN3" s="354"/>
      <c r="IYO3" s="354"/>
      <c r="IYP3" s="354"/>
      <c r="IYQ3" s="354"/>
      <c r="IYR3" s="354"/>
      <c r="IYS3" s="354"/>
      <c r="IYT3" s="354"/>
      <c r="IYU3" s="354"/>
      <c r="IYV3" s="354"/>
      <c r="IYW3" s="354"/>
      <c r="IYX3" s="354"/>
      <c r="IYY3" s="354"/>
      <c r="IYZ3" s="354"/>
      <c r="IZA3" s="354"/>
      <c r="IZB3" s="354"/>
      <c r="IZC3" s="354"/>
      <c r="IZD3" s="354"/>
      <c r="IZE3" s="354"/>
      <c r="IZF3" s="354"/>
      <c r="IZG3" s="354"/>
      <c r="IZH3" s="354"/>
      <c r="IZI3" s="354"/>
      <c r="IZJ3" s="354"/>
      <c r="IZK3" s="354"/>
      <c r="IZL3" s="354"/>
      <c r="IZM3" s="354"/>
      <c r="IZN3" s="354"/>
      <c r="IZO3" s="354"/>
      <c r="IZP3" s="354"/>
      <c r="IZQ3" s="354"/>
      <c r="IZR3" s="354"/>
      <c r="IZS3" s="354"/>
      <c r="IZT3" s="354"/>
      <c r="IZU3" s="354"/>
      <c r="IZV3" s="354"/>
      <c r="IZW3" s="354"/>
      <c r="IZX3" s="354"/>
      <c r="IZY3" s="354"/>
      <c r="IZZ3" s="354"/>
      <c r="JAA3" s="354"/>
      <c r="JAB3" s="354"/>
      <c r="JAC3" s="354"/>
      <c r="JAD3" s="354"/>
      <c r="JAE3" s="354"/>
      <c r="JAF3" s="354"/>
      <c r="JAG3" s="354"/>
      <c r="JAH3" s="354"/>
      <c r="JAI3" s="354"/>
      <c r="JAJ3" s="354"/>
      <c r="JAK3" s="354"/>
      <c r="JAL3" s="354"/>
      <c r="JAM3" s="354"/>
      <c r="JAN3" s="354"/>
      <c r="JAO3" s="354"/>
      <c r="JAP3" s="354"/>
      <c r="JAQ3" s="354"/>
      <c r="JAR3" s="354"/>
      <c r="JAS3" s="354"/>
      <c r="JAT3" s="354"/>
      <c r="JAU3" s="354"/>
      <c r="JAV3" s="354"/>
      <c r="JAW3" s="354"/>
      <c r="JAX3" s="354"/>
      <c r="JAY3" s="354"/>
      <c r="JAZ3" s="354"/>
      <c r="JBA3" s="354"/>
      <c r="JBB3" s="354"/>
      <c r="JBC3" s="354"/>
      <c r="JBD3" s="354"/>
      <c r="JBE3" s="354"/>
      <c r="JBF3" s="354"/>
      <c r="JBG3" s="354"/>
      <c r="JBH3" s="354"/>
      <c r="JBI3" s="354"/>
      <c r="JBJ3" s="354"/>
      <c r="JBK3" s="354"/>
      <c r="JBL3" s="354"/>
      <c r="JBM3" s="354"/>
      <c r="JBN3" s="354"/>
      <c r="JBO3" s="354"/>
      <c r="JBP3" s="354"/>
      <c r="JBQ3" s="354"/>
      <c r="JBR3" s="354"/>
      <c r="JBS3" s="354"/>
      <c r="JBT3" s="354"/>
      <c r="JBU3" s="354"/>
      <c r="JBV3" s="354"/>
      <c r="JBW3" s="354"/>
      <c r="JBX3" s="354"/>
      <c r="JBY3" s="354"/>
      <c r="JBZ3" s="354"/>
      <c r="JCA3" s="354"/>
      <c r="JCB3" s="354"/>
      <c r="JCC3" s="354"/>
      <c r="JCD3" s="354"/>
      <c r="JCE3" s="354"/>
      <c r="JCF3" s="354"/>
      <c r="JCG3" s="354"/>
      <c r="JCH3" s="354"/>
      <c r="JCI3" s="354"/>
      <c r="JCJ3" s="354"/>
      <c r="JCK3" s="354"/>
      <c r="JCL3" s="354"/>
      <c r="JCM3" s="354"/>
      <c r="JCN3" s="354"/>
      <c r="JCO3" s="354"/>
      <c r="JCP3" s="354"/>
      <c r="JCQ3" s="354"/>
      <c r="JCR3" s="354"/>
      <c r="JCS3" s="354"/>
      <c r="JCT3" s="354"/>
      <c r="JCU3" s="354"/>
      <c r="JCV3" s="354"/>
      <c r="JCW3" s="354"/>
      <c r="JCX3" s="354"/>
      <c r="JCY3" s="354"/>
      <c r="JCZ3" s="354"/>
      <c r="JDA3" s="354"/>
      <c r="JDB3" s="354"/>
      <c r="JDC3" s="354"/>
      <c r="JDD3" s="354"/>
      <c r="JDE3" s="354"/>
      <c r="JDF3" s="354"/>
      <c r="JDG3" s="354"/>
      <c r="JDH3" s="354"/>
      <c r="JDI3" s="354"/>
      <c r="JDJ3" s="354"/>
      <c r="JDK3" s="354"/>
      <c r="JDL3" s="354"/>
      <c r="JDM3" s="354"/>
      <c r="JDN3" s="354"/>
      <c r="JDO3" s="354"/>
      <c r="JDP3" s="354"/>
      <c r="JDQ3" s="354"/>
      <c r="JDR3" s="354"/>
      <c r="JDS3" s="354"/>
      <c r="JDT3" s="354"/>
      <c r="JDU3" s="354"/>
      <c r="JDV3" s="354"/>
      <c r="JDW3" s="354"/>
      <c r="JDX3" s="354"/>
      <c r="JDY3" s="354"/>
      <c r="JDZ3" s="354"/>
      <c r="JEA3" s="354"/>
      <c r="JEB3" s="354"/>
      <c r="JEC3" s="354"/>
      <c r="JED3" s="354"/>
      <c r="JEE3" s="354"/>
      <c r="JEF3" s="354"/>
      <c r="JEG3" s="354"/>
      <c r="JEH3" s="354"/>
      <c r="JEI3" s="354"/>
      <c r="JEJ3" s="354"/>
      <c r="JEK3" s="354"/>
      <c r="JEL3" s="354"/>
      <c r="JEM3" s="354"/>
      <c r="JEN3" s="354"/>
      <c r="JEO3" s="354"/>
      <c r="JEP3" s="354"/>
      <c r="JEQ3" s="354"/>
      <c r="JER3" s="354"/>
      <c r="JES3" s="354"/>
      <c r="JET3" s="354"/>
      <c r="JEU3" s="354"/>
      <c r="JEV3" s="354"/>
      <c r="JEW3" s="354"/>
      <c r="JEX3" s="354"/>
      <c r="JEY3" s="354"/>
      <c r="JEZ3" s="354"/>
      <c r="JFA3" s="354"/>
      <c r="JFB3" s="354"/>
      <c r="JFC3" s="354"/>
      <c r="JFD3" s="354"/>
      <c r="JFE3" s="354"/>
      <c r="JFF3" s="354"/>
      <c r="JFG3" s="354"/>
      <c r="JFH3" s="354"/>
      <c r="JFI3" s="354"/>
      <c r="JFJ3" s="354"/>
      <c r="JFK3" s="354"/>
      <c r="JFL3" s="354"/>
      <c r="JFM3" s="354"/>
      <c r="JFN3" s="354"/>
      <c r="JFO3" s="354"/>
      <c r="JFP3" s="354"/>
      <c r="JFQ3" s="354"/>
      <c r="JFR3" s="354"/>
      <c r="JFS3" s="354"/>
      <c r="JFT3" s="354"/>
      <c r="JFU3" s="354"/>
      <c r="JFV3" s="354"/>
      <c r="JFW3" s="354"/>
      <c r="JFX3" s="354"/>
      <c r="JFY3" s="354"/>
      <c r="JFZ3" s="354"/>
      <c r="JGA3" s="354"/>
      <c r="JGB3" s="354"/>
      <c r="JGC3" s="354"/>
      <c r="JGD3" s="354"/>
      <c r="JGE3" s="354"/>
      <c r="JGF3" s="354"/>
      <c r="JGG3" s="354"/>
      <c r="JGH3" s="354"/>
      <c r="JGI3" s="354"/>
      <c r="JGJ3" s="354"/>
      <c r="JGK3" s="354"/>
      <c r="JGL3" s="354"/>
      <c r="JGM3" s="354"/>
      <c r="JGN3" s="354"/>
      <c r="JGO3" s="354"/>
      <c r="JGP3" s="354"/>
      <c r="JGQ3" s="354"/>
      <c r="JGR3" s="354"/>
      <c r="JGS3" s="354"/>
      <c r="JGT3" s="354"/>
      <c r="JGU3" s="354"/>
      <c r="JGV3" s="354"/>
      <c r="JGW3" s="354"/>
      <c r="JGX3" s="354"/>
      <c r="JGY3" s="354"/>
      <c r="JGZ3" s="354"/>
      <c r="JHA3" s="354"/>
      <c r="JHB3" s="354"/>
      <c r="JHC3" s="354"/>
      <c r="JHD3" s="354"/>
      <c r="JHE3" s="354"/>
      <c r="JHF3" s="354"/>
      <c r="JHG3" s="354"/>
      <c r="JHH3" s="354"/>
      <c r="JHI3" s="354"/>
      <c r="JHJ3" s="354"/>
      <c r="JHK3" s="354"/>
      <c r="JHL3" s="354"/>
      <c r="JHM3" s="354"/>
      <c r="JHN3" s="354"/>
      <c r="JHO3" s="354"/>
      <c r="JHP3" s="354"/>
      <c r="JHQ3" s="354"/>
      <c r="JHR3" s="354"/>
      <c r="JHS3" s="354"/>
      <c r="JHT3" s="354"/>
      <c r="JHU3" s="354"/>
      <c r="JHV3" s="354"/>
      <c r="JHW3" s="354"/>
      <c r="JHX3" s="354"/>
      <c r="JHY3" s="354"/>
      <c r="JHZ3" s="354"/>
      <c r="JIA3" s="354"/>
      <c r="JIB3" s="354"/>
      <c r="JIC3" s="354"/>
      <c r="JID3" s="354"/>
      <c r="JIE3" s="354"/>
      <c r="JIF3" s="354"/>
      <c r="JIG3" s="354"/>
      <c r="JIH3" s="354"/>
      <c r="JII3" s="354"/>
      <c r="JIJ3" s="354"/>
      <c r="JIK3" s="354"/>
      <c r="JIL3" s="354"/>
      <c r="JIM3" s="354"/>
      <c r="JIN3" s="354"/>
      <c r="JIO3" s="354"/>
      <c r="JIP3" s="354"/>
      <c r="JIQ3" s="354"/>
      <c r="JIR3" s="354"/>
      <c r="JIS3" s="354"/>
      <c r="JIT3" s="354"/>
      <c r="JIU3" s="354"/>
      <c r="JIV3" s="354"/>
      <c r="JIW3" s="354"/>
      <c r="JIX3" s="354"/>
      <c r="JIY3" s="354"/>
      <c r="JIZ3" s="354"/>
      <c r="JJA3" s="354"/>
      <c r="JJB3" s="354"/>
      <c r="JJC3" s="354"/>
      <c r="JJD3" s="354"/>
      <c r="JJE3" s="354"/>
      <c r="JJF3" s="354"/>
      <c r="JJG3" s="354"/>
      <c r="JJH3" s="354"/>
      <c r="JJI3" s="354"/>
      <c r="JJJ3" s="354"/>
      <c r="JJK3" s="354"/>
      <c r="JJL3" s="354"/>
      <c r="JJM3" s="354"/>
      <c r="JJN3" s="354"/>
      <c r="JJO3" s="354"/>
      <c r="JJP3" s="354"/>
      <c r="JJQ3" s="354"/>
      <c r="JJR3" s="354"/>
      <c r="JJS3" s="354"/>
      <c r="JJT3" s="354"/>
      <c r="JJU3" s="354"/>
      <c r="JJV3" s="354"/>
      <c r="JJW3" s="354"/>
      <c r="JJX3" s="354"/>
      <c r="JJY3" s="354"/>
      <c r="JJZ3" s="354"/>
      <c r="JKA3" s="354"/>
      <c r="JKB3" s="354"/>
      <c r="JKC3" s="354"/>
      <c r="JKD3" s="354"/>
      <c r="JKE3" s="354"/>
      <c r="JKF3" s="354"/>
      <c r="JKG3" s="354"/>
      <c r="JKH3" s="354"/>
      <c r="JKI3" s="354"/>
      <c r="JKJ3" s="354"/>
      <c r="JKK3" s="354"/>
      <c r="JKL3" s="354"/>
      <c r="JKM3" s="354"/>
      <c r="JKN3" s="354"/>
      <c r="JKO3" s="354"/>
      <c r="JKP3" s="354"/>
      <c r="JKQ3" s="354"/>
      <c r="JKR3" s="354"/>
      <c r="JKS3" s="354"/>
      <c r="JKT3" s="354"/>
      <c r="JKU3" s="354"/>
      <c r="JKV3" s="354"/>
      <c r="JKW3" s="354"/>
      <c r="JKX3" s="354"/>
      <c r="JKY3" s="354"/>
      <c r="JKZ3" s="354"/>
      <c r="JLA3" s="354"/>
      <c r="JLB3" s="354"/>
      <c r="JLC3" s="354"/>
      <c r="JLD3" s="354"/>
      <c r="JLE3" s="354"/>
      <c r="JLF3" s="354"/>
      <c r="JLG3" s="354"/>
      <c r="JLH3" s="354"/>
      <c r="JLI3" s="354"/>
      <c r="JLJ3" s="354"/>
      <c r="JLK3" s="354"/>
      <c r="JLL3" s="354"/>
      <c r="JLM3" s="354"/>
      <c r="JLN3" s="354"/>
      <c r="JLO3" s="354"/>
      <c r="JLP3" s="354"/>
      <c r="JLQ3" s="354"/>
      <c r="JLR3" s="354"/>
      <c r="JLS3" s="354"/>
      <c r="JLT3" s="354"/>
      <c r="JLU3" s="354"/>
      <c r="JLV3" s="354"/>
      <c r="JLW3" s="354"/>
      <c r="JLX3" s="354"/>
      <c r="JLY3" s="354"/>
      <c r="JLZ3" s="354"/>
      <c r="JMA3" s="354"/>
      <c r="JMB3" s="354"/>
      <c r="JMC3" s="354"/>
      <c r="JMD3" s="354"/>
      <c r="JME3" s="354"/>
      <c r="JMF3" s="354"/>
      <c r="JMG3" s="354"/>
      <c r="JMH3" s="354"/>
      <c r="JMI3" s="354"/>
      <c r="JMJ3" s="354"/>
      <c r="JMK3" s="354"/>
      <c r="JML3" s="354"/>
      <c r="JMM3" s="354"/>
      <c r="JMN3" s="354"/>
      <c r="JMO3" s="354"/>
      <c r="JMP3" s="354"/>
      <c r="JMQ3" s="354"/>
      <c r="JMR3" s="354"/>
      <c r="JMS3" s="354"/>
      <c r="JMT3" s="354"/>
      <c r="JMU3" s="354"/>
      <c r="JMV3" s="354"/>
      <c r="JMW3" s="354"/>
      <c r="JMX3" s="354"/>
      <c r="JMY3" s="354"/>
      <c r="JMZ3" s="354"/>
      <c r="JNA3" s="354"/>
      <c r="JNB3" s="354"/>
      <c r="JNC3" s="354"/>
      <c r="JND3" s="354"/>
      <c r="JNE3" s="354"/>
      <c r="JNF3" s="354"/>
      <c r="JNG3" s="354"/>
      <c r="JNH3" s="354"/>
      <c r="JNI3" s="354"/>
      <c r="JNJ3" s="354"/>
      <c r="JNK3" s="354"/>
      <c r="JNL3" s="354"/>
      <c r="JNM3" s="354"/>
      <c r="JNN3" s="354"/>
      <c r="JNO3" s="354"/>
      <c r="JNP3" s="354"/>
      <c r="JNQ3" s="354"/>
      <c r="JNR3" s="354"/>
      <c r="JNS3" s="354"/>
      <c r="JNT3" s="354"/>
      <c r="JNU3" s="354"/>
      <c r="JNV3" s="354"/>
      <c r="JNW3" s="354"/>
      <c r="JNX3" s="354"/>
      <c r="JNY3" s="354"/>
      <c r="JNZ3" s="354"/>
      <c r="JOA3" s="354"/>
      <c r="JOB3" s="354"/>
      <c r="JOC3" s="354"/>
      <c r="JOD3" s="354"/>
      <c r="JOE3" s="354"/>
      <c r="JOF3" s="354"/>
      <c r="JOG3" s="354"/>
      <c r="JOH3" s="354"/>
      <c r="JOI3" s="354"/>
      <c r="JOJ3" s="354"/>
      <c r="JOK3" s="354"/>
      <c r="JOL3" s="354"/>
      <c r="JOM3" s="354"/>
      <c r="JON3" s="354"/>
      <c r="JOO3" s="354"/>
      <c r="JOP3" s="354"/>
      <c r="JOQ3" s="354"/>
      <c r="JOR3" s="354"/>
      <c r="JOS3" s="354"/>
      <c r="JOT3" s="354"/>
      <c r="JOU3" s="354"/>
      <c r="JOV3" s="354"/>
      <c r="JOW3" s="354"/>
      <c r="JOX3" s="354"/>
      <c r="JOY3" s="354"/>
      <c r="JOZ3" s="354"/>
      <c r="JPA3" s="354"/>
      <c r="JPB3" s="354"/>
      <c r="JPC3" s="354"/>
      <c r="JPD3" s="354"/>
      <c r="JPE3" s="354"/>
      <c r="JPF3" s="354"/>
      <c r="JPG3" s="354"/>
      <c r="JPH3" s="354"/>
      <c r="JPI3" s="354"/>
      <c r="JPJ3" s="354"/>
      <c r="JPK3" s="354"/>
      <c r="JPL3" s="354"/>
      <c r="JPM3" s="354"/>
      <c r="JPN3" s="354"/>
      <c r="JPO3" s="354"/>
      <c r="JPP3" s="354"/>
      <c r="JPQ3" s="354"/>
      <c r="JPR3" s="354"/>
      <c r="JPS3" s="354"/>
      <c r="JPT3" s="354"/>
      <c r="JPU3" s="354"/>
      <c r="JPV3" s="354"/>
      <c r="JPW3" s="354"/>
      <c r="JPX3" s="354"/>
      <c r="JPY3" s="354"/>
      <c r="JPZ3" s="354"/>
      <c r="JQA3" s="354"/>
      <c r="JQB3" s="354"/>
      <c r="JQC3" s="354"/>
      <c r="JQD3" s="354"/>
      <c r="JQE3" s="354"/>
      <c r="JQF3" s="354"/>
      <c r="JQG3" s="354"/>
      <c r="JQH3" s="354"/>
      <c r="JQI3" s="354"/>
      <c r="JQJ3" s="354"/>
      <c r="JQK3" s="354"/>
      <c r="JQL3" s="354"/>
      <c r="JQM3" s="354"/>
      <c r="JQN3" s="354"/>
      <c r="JQO3" s="354"/>
      <c r="JQP3" s="354"/>
      <c r="JQQ3" s="354"/>
      <c r="JQR3" s="354"/>
      <c r="JQS3" s="354"/>
      <c r="JQT3" s="354"/>
      <c r="JQU3" s="354"/>
      <c r="JQV3" s="354"/>
      <c r="JQW3" s="354"/>
      <c r="JQX3" s="354"/>
      <c r="JQY3" s="354"/>
      <c r="JQZ3" s="354"/>
      <c r="JRA3" s="354"/>
      <c r="JRB3" s="354"/>
      <c r="JRC3" s="354"/>
      <c r="JRD3" s="354"/>
      <c r="JRE3" s="354"/>
      <c r="JRF3" s="354"/>
      <c r="JRG3" s="354"/>
      <c r="JRH3" s="354"/>
      <c r="JRI3" s="354"/>
      <c r="JRJ3" s="354"/>
      <c r="JRK3" s="354"/>
      <c r="JRL3" s="354"/>
      <c r="JRM3" s="354"/>
      <c r="JRN3" s="354"/>
      <c r="JRO3" s="354"/>
      <c r="JRP3" s="354"/>
      <c r="JRQ3" s="354"/>
      <c r="JRR3" s="354"/>
      <c r="JRS3" s="354"/>
      <c r="JRT3" s="354"/>
      <c r="JRU3" s="354"/>
      <c r="JRV3" s="354"/>
      <c r="JRW3" s="354"/>
      <c r="JRX3" s="354"/>
      <c r="JRY3" s="354"/>
      <c r="JRZ3" s="354"/>
      <c r="JSA3" s="354"/>
      <c r="JSB3" s="354"/>
      <c r="JSC3" s="354"/>
      <c r="JSD3" s="354"/>
      <c r="JSE3" s="354"/>
      <c r="JSF3" s="354"/>
      <c r="JSG3" s="354"/>
      <c r="JSH3" s="354"/>
      <c r="JSI3" s="354"/>
      <c r="JSJ3" s="354"/>
      <c r="JSK3" s="354"/>
      <c r="JSL3" s="354"/>
      <c r="JSM3" s="354"/>
      <c r="JSN3" s="354"/>
      <c r="JSO3" s="354"/>
      <c r="JSP3" s="354"/>
      <c r="JSQ3" s="354"/>
      <c r="JSR3" s="354"/>
      <c r="JSS3" s="354"/>
      <c r="JST3" s="354"/>
      <c r="JSU3" s="354"/>
      <c r="JSV3" s="354"/>
      <c r="JSW3" s="354"/>
      <c r="JSX3" s="354"/>
      <c r="JSY3" s="354"/>
      <c r="JSZ3" s="354"/>
      <c r="JTA3" s="354"/>
      <c r="JTB3" s="354"/>
      <c r="JTC3" s="354"/>
      <c r="JTD3" s="354"/>
      <c r="JTE3" s="354"/>
      <c r="JTF3" s="354"/>
      <c r="JTG3" s="354"/>
      <c r="JTH3" s="354"/>
      <c r="JTI3" s="354"/>
      <c r="JTJ3" s="354"/>
      <c r="JTK3" s="354"/>
      <c r="JTL3" s="354"/>
      <c r="JTM3" s="354"/>
      <c r="JTN3" s="354"/>
      <c r="JTO3" s="354"/>
      <c r="JTP3" s="354"/>
      <c r="JTQ3" s="354"/>
      <c r="JTR3" s="354"/>
      <c r="JTS3" s="354"/>
      <c r="JTT3" s="354"/>
      <c r="JTU3" s="354"/>
      <c r="JTV3" s="354"/>
      <c r="JTW3" s="354"/>
      <c r="JTX3" s="354"/>
      <c r="JTY3" s="354"/>
      <c r="JTZ3" s="354"/>
      <c r="JUA3" s="354"/>
      <c r="JUB3" s="354"/>
      <c r="JUC3" s="354"/>
      <c r="JUD3" s="354"/>
      <c r="JUE3" s="354"/>
      <c r="JUF3" s="354"/>
      <c r="JUG3" s="354"/>
      <c r="JUH3" s="354"/>
      <c r="JUI3" s="354"/>
      <c r="JUJ3" s="354"/>
      <c r="JUK3" s="354"/>
      <c r="JUL3" s="354"/>
      <c r="JUM3" s="354"/>
      <c r="JUN3" s="354"/>
      <c r="JUO3" s="354"/>
      <c r="JUP3" s="354"/>
      <c r="JUQ3" s="354"/>
      <c r="JUR3" s="354"/>
      <c r="JUS3" s="354"/>
      <c r="JUT3" s="354"/>
      <c r="JUU3" s="354"/>
      <c r="JUV3" s="354"/>
      <c r="JUW3" s="354"/>
      <c r="JUX3" s="354"/>
      <c r="JUY3" s="354"/>
      <c r="JUZ3" s="354"/>
      <c r="JVA3" s="354"/>
      <c r="JVB3" s="354"/>
      <c r="JVC3" s="354"/>
      <c r="JVD3" s="354"/>
      <c r="JVE3" s="354"/>
      <c r="JVF3" s="354"/>
      <c r="JVG3" s="354"/>
      <c r="JVH3" s="354"/>
      <c r="JVI3" s="354"/>
      <c r="JVJ3" s="354"/>
      <c r="JVK3" s="354"/>
      <c r="JVL3" s="354"/>
      <c r="JVM3" s="354"/>
      <c r="JVN3" s="354"/>
      <c r="JVO3" s="354"/>
      <c r="JVP3" s="354"/>
      <c r="JVQ3" s="354"/>
      <c r="JVR3" s="354"/>
      <c r="JVS3" s="354"/>
      <c r="JVT3" s="354"/>
      <c r="JVU3" s="354"/>
      <c r="JVV3" s="354"/>
      <c r="JVW3" s="354"/>
      <c r="JVX3" s="354"/>
      <c r="JVY3" s="354"/>
      <c r="JVZ3" s="354"/>
      <c r="JWA3" s="354"/>
      <c r="JWB3" s="354"/>
      <c r="JWC3" s="354"/>
      <c r="JWD3" s="354"/>
      <c r="JWE3" s="354"/>
      <c r="JWF3" s="354"/>
      <c r="JWG3" s="354"/>
      <c r="JWH3" s="354"/>
      <c r="JWI3" s="354"/>
      <c r="JWJ3" s="354"/>
      <c r="JWK3" s="354"/>
      <c r="JWL3" s="354"/>
      <c r="JWM3" s="354"/>
      <c r="JWN3" s="354"/>
      <c r="JWO3" s="354"/>
      <c r="JWP3" s="354"/>
      <c r="JWQ3" s="354"/>
      <c r="JWR3" s="354"/>
      <c r="JWS3" s="354"/>
      <c r="JWT3" s="354"/>
      <c r="JWU3" s="354"/>
      <c r="JWV3" s="354"/>
      <c r="JWW3" s="354"/>
      <c r="JWX3" s="354"/>
      <c r="JWY3" s="354"/>
      <c r="JWZ3" s="354"/>
      <c r="JXA3" s="354"/>
      <c r="JXB3" s="354"/>
      <c r="JXC3" s="354"/>
      <c r="JXD3" s="354"/>
      <c r="JXE3" s="354"/>
      <c r="JXF3" s="354"/>
      <c r="JXG3" s="354"/>
      <c r="JXH3" s="354"/>
      <c r="JXI3" s="354"/>
      <c r="JXJ3" s="354"/>
      <c r="JXK3" s="354"/>
      <c r="JXL3" s="354"/>
      <c r="JXM3" s="354"/>
      <c r="JXN3" s="354"/>
      <c r="JXO3" s="354"/>
      <c r="JXP3" s="354"/>
      <c r="JXQ3" s="354"/>
      <c r="JXR3" s="354"/>
      <c r="JXS3" s="354"/>
      <c r="JXT3" s="354"/>
      <c r="JXU3" s="354"/>
      <c r="JXV3" s="354"/>
      <c r="JXW3" s="354"/>
      <c r="JXX3" s="354"/>
      <c r="JXY3" s="354"/>
      <c r="JXZ3" s="354"/>
      <c r="JYA3" s="354"/>
      <c r="JYB3" s="354"/>
      <c r="JYC3" s="354"/>
      <c r="JYD3" s="354"/>
      <c r="JYE3" s="354"/>
      <c r="JYF3" s="354"/>
      <c r="JYG3" s="354"/>
      <c r="JYH3" s="354"/>
      <c r="JYI3" s="354"/>
      <c r="JYJ3" s="354"/>
      <c r="JYK3" s="354"/>
      <c r="JYL3" s="354"/>
      <c r="JYM3" s="354"/>
      <c r="JYN3" s="354"/>
      <c r="JYO3" s="354"/>
      <c r="JYP3" s="354"/>
      <c r="JYQ3" s="354"/>
      <c r="JYR3" s="354"/>
      <c r="JYS3" s="354"/>
      <c r="JYT3" s="354"/>
      <c r="JYU3" s="354"/>
      <c r="JYV3" s="354"/>
      <c r="JYW3" s="354"/>
      <c r="JYX3" s="354"/>
      <c r="JYY3" s="354"/>
      <c r="JYZ3" s="354"/>
      <c r="JZA3" s="354"/>
      <c r="JZB3" s="354"/>
      <c r="JZC3" s="354"/>
      <c r="JZD3" s="354"/>
      <c r="JZE3" s="354"/>
      <c r="JZF3" s="354"/>
      <c r="JZG3" s="354"/>
      <c r="JZH3" s="354"/>
      <c r="JZI3" s="354"/>
      <c r="JZJ3" s="354"/>
      <c r="JZK3" s="354"/>
      <c r="JZL3" s="354"/>
      <c r="JZM3" s="354"/>
      <c r="JZN3" s="354"/>
      <c r="JZO3" s="354"/>
      <c r="JZP3" s="354"/>
      <c r="JZQ3" s="354"/>
      <c r="JZR3" s="354"/>
      <c r="JZS3" s="354"/>
      <c r="JZT3" s="354"/>
      <c r="JZU3" s="354"/>
      <c r="JZV3" s="354"/>
      <c r="JZW3" s="354"/>
      <c r="JZX3" s="354"/>
      <c r="JZY3" s="354"/>
      <c r="JZZ3" s="354"/>
      <c r="KAA3" s="354"/>
      <c r="KAB3" s="354"/>
      <c r="KAC3" s="354"/>
      <c r="KAD3" s="354"/>
      <c r="KAE3" s="354"/>
      <c r="KAF3" s="354"/>
      <c r="KAG3" s="354"/>
      <c r="KAH3" s="354"/>
      <c r="KAI3" s="354"/>
      <c r="KAJ3" s="354"/>
      <c r="KAK3" s="354"/>
      <c r="KAL3" s="354"/>
      <c r="KAM3" s="354"/>
      <c r="KAN3" s="354"/>
      <c r="KAO3" s="354"/>
      <c r="KAP3" s="354"/>
      <c r="KAQ3" s="354"/>
      <c r="KAR3" s="354"/>
      <c r="KAS3" s="354"/>
      <c r="KAT3" s="354"/>
      <c r="KAU3" s="354"/>
      <c r="KAV3" s="354"/>
      <c r="KAW3" s="354"/>
      <c r="KAX3" s="354"/>
      <c r="KAY3" s="354"/>
      <c r="KAZ3" s="354"/>
      <c r="KBA3" s="354"/>
      <c r="KBB3" s="354"/>
      <c r="KBC3" s="354"/>
      <c r="KBD3" s="354"/>
      <c r="KBE3" s="354"/>
      <c r="KBF3" s="354"/>
      <c r="KBG3" s="354"/>
      <c r="KBH3" s="354"/>
      <c r="KBI3" s="354"/>
      <c r="KBJ3" s="354"/>
      <c r="KBK3" s="354"/>
      <c r="KBL3" s="354"/>
      <c r="KBM3" s="354"/>
      <c r="KBN3" s="354"/>
      <c r="KBO3" s="354"/>
      <c r="KBP3" s="354"/>
      <c r="KBQ3" s="354"/>
      <c r="KBR3" s="354"/>
      <c r="KBS3" s="354"/>
      <c r="KBT3" s="354"/>
      <c r="KBU3" s="354"/>
      <c r="KBV3" s="354"/>
      <c r="KBW3" s="354"/>
      <c r="KBX3" s="354"/>
      <c r="KBY3" s="354"/>
      <c r="KBZ3" s="354"/>
      <c r="KCA3" s="354"/>
      <c r="KCB3" s="354"/>
      <c r="KCC3" s="354"/>
      <c r="KCD3" s="354"/>
      <c r="KCE3" s="354"/>
      <c r="KCF3" s="354"/>
      <c r="KCG3" s="354"/>
      <c r="KCH3" s="354"/>
      <c r="KCI3" s="354"/>
      <c r="KCJ3" s="354"/>
      <c r="KCK3" s="354"/>
      <c r="KCL3" s="354"/>
      <c r="KCM3" s="354"/>
      <c r="KCN3" s="354"/>
      <c r="KCO3" s="354"/>
      <c r="KCP3" s="354"/>
      <c r="KCQ3" s="354"/>
      <c r="KCR3" s="354"/>
      <c r="KCS3" s="354"/>
      <c r="KCT3" s="354"/>
      <c r="KCU3" s="354"/>
      <c r="KCV3" s="354"/>
      <c r="KCW3" s="354"/>
      <c r="KCX3" s="354"/>
      <c r="KCY3" s="354"/>
      <c r="KCZ3" s="354"/>
      <c r="KDA3" s="354"/>
      <c r="KDB3" s="354"/>
      <c r="KDC3" s="354"/>
      <c r="KDD3" s="354"/>
      <c r="KDE3" s="354"/>
      <c r="KDF3" s="354"/>
      <c r="KDG3" s="354"/>
      <c r="KDH3" s="354"/>
      <c r="KDI3" s="354"/>
      <c r="KDJ3" s="354"/>
      <c r="KDK3" s="354"/>
      <c r="KDL3" s="354"/>
      <c r="KDM3" s="354"/>
      <c r="KDN3" s="354"/>
      <c r="KDO3" s="354"/>
      <c r="KDP3" s="354"/>
      <c r="KDQ3" s="354"/>
      <c r="KDR3" s="354"/>
      <c r="KDS3" s="354"/>
      <c r="KDT3" s="354"/>
      <c r="KDU3" s="354"/>
      <c r="KDV3" s="354"/>
      <c r="KDW3" s="354"/>
      <c r="KDX3" s="354"/>
      <c r="KDY3" s="354"/>
      <c r="KDZ3" s="354"/>
      <c r="KEA3" s="354"/>
      <c r="KEB3" s="354"/>
      <c r="KEC3" s="354"/>
      <c r="KED3" s="354"/>
      <c r="KEE3" s="354"/>
      <c r="KEF3" s="354"/>
      <c r="KEG3" s="354"/>
      <c r="KEH3" s="354"/>
      <c r="KEI3" s="354"/>
      <c r="KEJ3" s="354"/>
      <c r="KEK3" s="354"/>
      <c r="KEL3" s="354"/>
      <c r="KEM3" s="354"/>
      <c r="KEN3" s="354"/>
      <c r="KEO3" s="354"/>
      <c r="KEP3" s="354"/>
      <c r="KEQ3" s="354"/>
      <c r="KER3" s="354"/>
      <c r="KES3" s="354"/>
      <c r="KET3" s="354"/>
      <c r="KEU3" s="354"/>
      <c r="KEV3" s="354"/>
      <c r="KEW3" s="354"/>
      <c r="KEX3" s="354"/>
      <c r="KEY3" s="354"/>
      <c r="KEZ3" s="354"/>
      <c r="KFA3" s="354"/>
      <c r="KFB3" s="354"/>
      <c r="KFC3" s="354"/>
      <c r="KFD3" s="354"/>
      <c r="KFE3" s="354"/>
      <c r="KFF3" s="354"/>
      <c r="KFG3" s="354"/>
      <c r="KFH3" s="354"/>
      <c r="KFI3" s="354"/>
      <c r="KFJ3" s="354"/>
      <c r="KFK3" s="354"/>
      <c r="KFL3" s="354"/>
      <c r="KFM3" s="354"/>
      <c r="KFN3" s="354"/>
      <c r="KFO3" s="354"/>
      <c r="KFP3" s="354"/>
      <c r="KFQ3" s="354"/>
      <c r="KFR3" s="354"/>
      <c r="KFS3" s="354"/>
      <c r="KFT3" s="354"/>
      <c r="KFU3" s="354"/>
      <c r="KFV3" s="354"/>
      <c r="KFW3" s="354"/>
      <c r="KFX3" s="354"/>
      <c r="KFY3" s="354"/>
      <c r="KFZ3" s="354"/>
      <c r="KGA3" s="354"/>
      <c r="KGB3" s="354"/>
      <c r="KGC3" s="354"/>
      <c r="KGD3" s="354"/>
      <c r="KGE3" s="354"/>
      <c r="KGF3" s="354"/>
      <c r="KGG3" s="354"/>
      <c r="KGH3" s="354"/>
      <c r="KGI3" s="354"/>
      <c r="KGJ3" s="354"/>
      <c r="KGK3" s="354"/>
      <c r="KGL3" s="354"/>
      <c r="KGM3" s="354"/>
      <c r="KGN3" s="354"/>
      <c r="KGO3" s="354"/>
      <c r="KGP3" s="354"/>
      <c r="KGQ3" s="354"/>
      <c r="KGR3" s="354"/>
      <c r="KGS3" s="354"/>
      <c r="KGT3" s="354"/>
      <c r="KGU3" s="354"/>
      <c r="KGV3" s="354"/>
      <c r="KGW3" s="354"/>
      <c r="KGX3" s="354"/>
      <c r="KGY3" s="354"/>
      <c r="KGZ3" s="354"/>
      <c r="KHA3" s="354"/>
      <c r="KHB3" s="354"/>
      <c r="KHC3" s="354"/>
      <c r="KHD3" s="354"/>
      <c r="KHE3" s="354"/>
      <c r="KHF3" s="354"/>
      <c r="KHG3" s="354"/>
      <c r="KHH3" s="354"/>
      <c r="KHI3" s="354"/>
      <c r="KHJ3" s="354"/>
      <c r="KHK3" s="354"/>
      <c r="KHL3" s="354"/>
      <c r="KHM3" s="354"/>
      <c r="KHN3" s="354"/>
      <c r="KHO3" s="354"/>
      <c r="KHP3" s="354"/>
      <c r="KHQ3" s="354"/>
      <c r="KHR3" s="354"/>
      <c r="KHS3" s="354"/>
      <c r="KHT3" s="354"/>
      <c r="KHU3" s="354"/>
      <c r="KHV3" s="354"/>
      <c r="KHW3" s="354"/>
      <c r="KHX3" s="354"/>
      <c r="KHY3" s="354"/>
      <c r="KHZ3" s="354"/>
      <c r="KIA3" s="354"/>
      <c r="KIB3" s="354"/>
      <c r="KIC3" s="354"/>
      <c r="KID3" s="354"/>
      <c r="KIE3" s="354"/>
      <c r="KIF3" s="354"/>
      <c r="KIG3" s="354"/>
      <c r="KIH3" s="354"/>
      <c r="KII3" s="354"/>
      <c r="KIJ3" s="354"/>
      <c r="KIK3" s="354"/>
      <c r="KIL3" s="354"/>
      <c r="KIM3" s="354"/>
      <c r="KIN3" s="354"/>
      <c r="KIO3" s="354"/>
      <c r="KIP3" s="354"/>
      <c r="KIQ3" s="354"/>
      <c r="KIR3" s="354"/>
      <c r="KIS3" s="354"/>
      <c r="KIT3" s="354"/>
      <c r="KIU3" s="354"/>
      <c r="KIV3" s="354"/>
      <c r="KIW3" s="354"/>
      <c r="KIX3" s="354"/>
      <c r="KIY3" s="354"/>
      <c r="KIZ3" s="354"/>
      <c r="KJA3" s="354"/>
      <c r="KJB3" s="354"/>
      <c r="KJC3" s="354"/>
      <c r="KJD3" s="354"/>
      <c r="KJE3" s="354"/>
      <c r="KJF3" s="354"/>
      <c r="KJG3" s="354"/>
      <c r="KJH3" s="354"/>
      <c r="KJI3" s="354"/>
      <c r="KJJ3" s="354"/>
      <c r="KJK3" s="354"/>
      <c r="KJL3" s="354"/>
      <c r="KJM3" s="354"/>
      <c r="KJN3" s="354"/>
      <c r="KJO3" s="354"/>
      <c r="KJP3" s="354"/>
      <c r="KJQ3" s="354"/>
      <c r="KJR3" s="354"/>
      <c r="KJS3" s="354"/>
      <c r="KJT3" s="354"/>
      <c r="KJU3" s="354"/>
      <c r="KJV3" s="354"/>
      <c r="KJW3" s="354"/>
      <c r="KJX3" s="354"/>
      <c r="KJY3" s="354"/>
      <c r="KJZ3" s="354"/>
      <c r="KKA3" s="354"/>
      <c r="KKB3" s="354"/>
      <c r="KKC3" s="354"/>
      <c r="KKD3" s="354"/>
      <c r="KKE3" s="354"/>
      <c r="KKF3" s="354"/>
      <c r="KKG3" s="354"/>
      <c r="KKH3" s="354"/>
      <c r="KKI3" s="354"/>
      <c r="KKJ3" s="354"/>
      <c r="KKK3" s="354"/>
      <c r="KKL3" s="354"/>
      <c r="KKM3" s="354"/>
      <c r="KKN3" s="354"/>
      <c r="KKO3" s="354"/>
      <c r="KKP3" s="354"/>
      <c r="KKQ3" s="354"/>
      <c r="KKR3" s="354"/>
      <c r="KKS3" s="354"/>
      <c r="KKT3" s="354"/>
      <c r="KKU3" s="354"/>
      <c r="KKV3" s="354"/>
      <c r="KKW3" s="354"/>
      <c r="KKX3" s="354"/>
      <c r="KKY3" s="354"/>
      <c r="KKZ3" s="354"/>
      <c r="KLA3" s="354"/>
      <c r="KLB3" s="354"/>
      <c r="KLC3" s="354"/>
      <c r="KLD3" s="354"/>
      <c r="KLE3" s="354"/>
      <c r="KLF3" s="354"/>
      <c r="KLG3" s="354"/>
      <c r="KLH3" s="354"/>
      <c r="KLI3" s="354"/>
      <c r="KLJ3" s="354"/>
      <c r="KLK3" s="354"/>
      <c r="KLL3" s="354"/>
      <c r="KLM3" s="354"/>
      <c r="KLN3" s="354"/>
      <c r="KLO3" s="354"/>
      <c r="KLP3" s="354"/>
      <c r="KLQ3" s="354"/>
      <c r="KLR3" s="354"/>
      <c r="KLS3" s="354"/>
      <c r="KLT3" s="354"/>
      <c r="KLU3" s="354"/>
      <c r="KLV3" s="354"/>
      <c r="KLW3" s="354"/>
      <c r="KLX3" s="354"/>
      <c r="KLY3" s="354"/>
      <c r="KLZ3" s="354"/>
      <c r="KMA3" s="354"/>
      <c r="KMB3" s="354"/>
      <c r="KMC3" s="354"/>
      <c r="KMD3" s="354"/>
      <c r="KME3" s="354"/>
      <c r="KMF3" s="354"/>
      <c r="KMG3" s="354"/>
      <c r="KMH3" s="354"/>
      <c r="KMI3" s="354"/>
      <c r="KMJ3" s="354"/>
      <c r="KMK3" s="354"/>
      <c r="KML3" s="354"/>
      <c r="KMM3" s="354"/>
      <c r="KMN3" s="354"/>
      <c r="KMO3" s="354"/>
      <c r="KMP3" s="354"/>
      <c r="KMQ3" s="354"/>
      <c r="KMR3" s="354"/>
      <c r="KMS3" s="354"/>
      <c r="KMT3" s="354"/>
      <c r="KMU3" s="354"/>
      <c r="KMV3" s="354"/>
      <c r="KMW3" s="354"/>
      <c r="KMX3" s="354"/>
      <c r="KMY3" s="354"/>
      <c r="KMZ3" s="354"/>
      <c r="KNA3" s="354"/>
      <c r="KNB3" s="354"/>
      <c r="KNC3" s="354"/>
      <c r="KND3" s="354"/>
      <c r="KNE3" s="354"/>
      <c r="KNF3" s="354"/>
      <c r="KNG3" s="354"/>
      <c r="KNH3" s="354"/>
      <c r="KNI3" s="354"/>
      <c r="KNJ3" s="354"/>
      <c r="KNK3" s="354"/>
      <c r="KNL3" s="354"/>
      <c r="KNM3" s="354"/>
      <c r="KNN3" s="354"/>
      <c r="KNO3" s="354"/>
      <c r="KNP3" s="354"/>
      <c r="KNQ3" s="354"/>
      <c r="KNR3" s="354"/>
      <c r="KNS3" s="354"/>
      <c r="KNT3" s="354"/>
      <c r="KNU3" s="354"/>
      <c r="KNV3" s="354"/>
      <c r="KNW3" s="354"/>
      <c r="KNX3" s="354"/>
      <c r="KNY3" s="354"/>
      <c r="KNZ3" s="354"/>
      <c r="KOA3" s="354"/>
      <c r="KOB3" s="354"/>
      <c r="KOC3" s="354"/>
      <c r="KOD3" s="354"/>
      <c r="KOE3" s="354"/>
      <c r="KOF3" s="354"/>
      <c r="KOG3" s="354"/>
      <c r="KOH3" s="354"/>
      <c r="KOI3" s="354"/>
      <c r="KOJ3" s="354"/>
      <c r="KOK3" s="354"/>
      <c r="KOL3" s="354"/>
      <c r="KOM3" s="354"/>
      <c r="KON3" s="354"/>
      <c r="KOO3" s="354"/>
      <c r="KOP3" s="354"/>
      <c r="KOQ3" s="354"/>
      <c r="KOR3" s="354"/>
      <c r="KOS3" s="354"/>
      <c r="KOT3" s="354"/>
      <c r="KOU3" s="354"/>
      <c r="KOV3" s="354"/>
      <c r="KOW3" s="354"/>
      <c r="KOX3" s="354"/>
      <c r="KOY3" s="354"/>
      <c r="KOZ3" s="354"/>
      <c r="KPA3" s="354"/>
      <c r="KPB3" s="354"/>
      <c r="KPC3" s="354"/>
      <c r="KPD3" s="354"/>
      <c r="KPE3" s="354"/>
      <c r="KPF3" s="354"/>
      <c r="KPG3" s="354"/>
      <c r="KPH3" s="354"/>
      <c r="KPI3" s="354"/>
      <c r="KPJ3" s="354"/>
      <c r="KPK3" s="354"/>
      <c r="KPL3" s="354"/>
      <c r="KPM3" s="354"/>
      <c r="KPN3" s="354"/>
      <c r="KPO3" s="354"/>
      <c r="KPP3" s="354"/>
      <c r="KPQ3" s="354"/>
      <c r="KPR3" s="354"/>
      <c r="KPS3" s="354"/>
      <c r="KPT3" s="354"/>
      <c r="KPU3" s="354"/>
      <c r="KPV3" s="354"/>
      <c r="KPW3" s="354"/>
      <c r="KPX3" s="354"/>
      <c r="KPY3" s="354"/>
      <c r="KPZ3" s="354"/>
      <c r="KQA3" s="354"/>
      <c r="KQB3" s="354"/>
      <c r="KQC3" s="354"/>
      <c r="KQD3" s="354"/>
      <c r="KQE3" s="354"/>
      <c r="KQF3" s="354"/>
      <c r="KQG3" s="354"/>
      <c r="KQH3" s="354"/>
      <c r="KQI3" s="354"/>
      <c r="KQJ3" s="354"/>
      <c r="KQK3" s="354"/>
      <c r="KQL3" s="354"/>
      <c r="KQM3" s="354"/>
      <c r="KQN3" s="354"/>
      <c r="KQO3" s="354"/>
      <c r="KQP3" s="354"/>
      <c r="KQQ3" s="354"/>
      <c r="KQR3" s="354"/>
      <c r="KQS3" s="354"/>
      <c r="KQT3" s="354"/>
      <c r="KQU3" s="354"/>
      <c r="KQV3" s="354"/>
      <c r="KQW3" s="354"/>
      <c r="KQX3" s="354"/>
      <c r="KQY3" s="354"/>
      <c r="KQZ3" s="354"/>
      <c r="KRA3" s="354"/>
      <c r="KRB3" s="354"/>
      <c r="KRC3" s="354"/>
      <c r="KRD3" s="354"/>
      <c r="KRE3" s="354"/>
      <c r="KRF3" s="354"/>
      <c r="KRG3" s="354"/>
      <c r="KRH3" s="354"/>
      <c r="KRI3" s="354"/>
      <c r="KRJ3" s="354"/>
      <c r="KRK3" s="354"/>
      <c r="KRL3" s="354"/>
      <c r="KRM3" s="354"/>
      <c r="KRN3" s="354"/>
      <c r="KRO3" s="354"/>
      <c r="KRP3" s="354"/>
      <c r="KRQ3" s="354"/>
      <c r="KRR3" s="354"/>
      <c r="KRS3" s="354"/>
      <c r="KRT3" s="354"/>
      <c r="KRU3" s="354"/>
      <c r="KRV3" s="354"/>
      <c r="KRW3" s="354"/>
      <c r="KRX3" s="354"/>
      <c r="KRY3" s="354"/>
      <c r="KRZ3" s="354"/>
      <c r="KSA3" s="354"/>
      <c r="KSB3" s="354"/>
      <c r="KSC3" s="354"/>
      <c r="KSD3" s="354"/>
      <c r="KSE3" s="354"/>
      <c r="KSF3" s="354"/>
      <c r="KSG3" s="354"/>
      <c r="KSH3" s="354"/>
      <c r="KSI3" s="354"/>
      <c r="KSJ3" s="354"/>
      <c r="KSK3" s="354"/>
      <c r="KSL3" s="354"/>
      <c r="KSM3" s="354"/>
      <c r="KSN3" s="354"/>
      <c r="KSO3" s="354"/>
      <c r="KSP3" s="354"/>
      <c r="KSQ3" s="354"/>
      <c r="KSR3" s="354"/>
      <c r="KSS3" s="354"/>
      <c r="KST3" s="354"/>
      <c r="KSU3" s="354"/>
      <c r="KSV3" s="354"/>
      <c r="KSW3" s="354"/>
      <c r="KSX3" s="354"/>
      <c r="KSY3" s="354"/>
      <c r="KSZ3" s="354"/>
      <c r="KTA3" s="354"/>
      <c r="KTB3" s="354"/>
      <c r="KTC3" s="354"/>
      <c r="KTD3" s="354"/>
      <c r="KTE3" s="354"/>
      <c r="KTF3" s="354"/>
      <c r="KTG3" s="354"/>
      <c r="KTH3" s="354"/>
      <c r="KTI3" s="354"/>
      <c r="KTJ3" s="354"/>
      <c r="KTK3" s="354"/>
      <c r="KTL3" s="354"/>
      <c r="KTM3" s="354"/>
      <c r="KTN3" s="354"/>
      <c r="KTO3" s="354"/>
      <c r="KTP3" s="354"/>
      <c r="KTQ3" s="354"/>
      <c r="KTR3" s="354"/>
      <c r="KTS3" s="354"/>
      <c r="KTT3" s="354"/>
      <c r="KTU3" s="354"/>
      <c r="KTV3" s="354"/>
      <c r="KTW3" s="354"/>
      <c r="KTX3" s="354"/>
      <c r="KTY3" s="354"/>
      <c r="KTZ3" s="354"/>
      <c r="KUA3" s="354"/>
      <c r="KUB3" s="354"/>
      <c r="KUC3" s="354"/>
      <c r="KUD3" s="354"/>
      <c r="KUE3" s="354"/>
      <c r="KUF3" s="354"/>
      <c r="KUG3" s="354"/>
      <c r="KUH3" s="354"/>
      <c r="KUI3" s="354"/>
      <c r="KUJ3" s="354"/>
      <c r="KUK3" s="354"/>
      <c r="KUL3" s="354"/>
      <c r="KUM3" s="354"/>
      <c r="KUN3" s="354"/>
      <c r="KUO3" s="354"/>
      <c r="KUP3" s="354"/>
      <c r="KUQ3" s="354"/>
      <c r="KUR3" s="354"/>
      <c r="KUS3" s="354"/>
      <c r="KUT3" s="354"/>
      <c r="KUU3" s="354"/>
      <c r="KUV3" s="354"/>
      <c r="KUW3" s="354"/>
      <c r="KUX3" s="354"/>
      <c r="KUY3" s="354"/>
      <c r="KUZ3" s="354"/>
      <c r="KVA3" s="354"/>
      <c r="KVB3" s="354"/>
      <c r="KVC3" s="354"/>
      <c r="KVD3" s="354"/>
      <c r="KVE3" s="354"/>
      <c r="KVF3" s="354"/>
      <c r="KVG3" s="354"/>
      <c r="KVH3" s="354"/>
      <c r="KVI3" s="354"/>
      <c r="KVJ3" s="354"/>
      <c r="KVK3" s="354"/>
      <c r="KVL3" s="354"/>
      <c r="KVM3" s="354"/>
      <c r="KVN3" s="354"/>
      <c r="KVO3" s="354"/>
      <c r="KVP3" s="354"/>
      <c r="KVQ3" s="354"/>
      <c r="KVR3" s="354"/>
      <c r="KVS3" s="354"/>
      <c r="KVT3" s="354"/>
      <c r="KVU3" s="354"/>
      <c r="KVV3" s="354"/>
      <c r="KVW3" s="354"/>
      <c r="KVX3" s="354"/>
      <c r="KVY3" s="354"/>
      <c r="KVZ3" s="354"/>
      <c r="KWA3" s="354"/>
      <c r="KWB3" s="354"/>
      <c r="KWC3" s="354"/>
      <c r="KWD3" s="354"/>
      <c r="KWE3" s="354"/>
      <c r="KWF3" s="354"/>
      <c r="KWG3" s="354"/>
      <c r="KWH3" s="354"/>
      <c r="KWI3" s="354"/>
      <c r="KWJ3" s="354"/>
      <c r="KWK3" s="354"/>
      <c r="KWL3" s="354"/>
      <c r="KWM3" s="354"/>
      <c r="KWN3" s="354"/>
      <c r="KWO3" s="354"/>
      <c r="KWP3" s="354"/>
      <c r="KWQ3" s="354"/>
      <c r="KWR3" s="354"/>
      <c r="KWS3" s="354"/>
      <c r="KWT3" s="354"/>
      <c r="KWU3" s="354"/>
      <c r="KWV3" s="354"/>
      <c r="KWW3" s="354"/>
      <c r="KWX3" s="354"/>
      <c r="KWY3" s="354"/>
      <c r="KWZ3" s="354"/>
      <c r="KXA3" s="354"/>
      <c r="KXB3" s="354"/>
      <c r="KXC3" s="354"/>
      <c r="KXD3" s="354"/>
      <c r="KXE3" s="354"/>
      <c r="KXF3" s="354"/>
      <c r="KXG3" s="354"/>
      <c r="KXH3" s="354"/>
      <c r="KXI3" s="354"/>
      <c r="KXJ3" s="354"/>
      <c r="KXK3" s="354"/>
      <c r="KXL3" s="354"/>
      <c r="KXM3" s="354"/>
      <c r="KXN3" s="354"/>
      <c r="KXO3" s="354"/>
      <c r="KXP3" s="354"/>
      <c r="KXQ3" s="354"/>
      <c r="KXR3" s="354"/>
      <c r="KXS3" s="354"/>
      <c r="KXT3" s="354"/>
      <c r="KXU3" s="354"/>
      <c r="KXV3" s="354"/>
      <c r="KXW3" s="354"/>
      <c r="KXX3" s="354"/>
      <c r="KXY3" s="354"/>
      <c r="KXZ3" s="354"/>
      <c r="KYA3" s="354"/>
      <c r="KYB3" s="354"/>
      <c r="KYC3" s="354"/>
      <c r="KYD3" s="354"/>
      <c r="KYE3" s="354"/>
      <c r="KYF3" s="354"/>
      <c r="KYG3" s="354"/>
      <c r="KYH3" s="354"/>
      <c r="KYI3" s="354"/>
      <c r="KYJ3" s="354"/>
      <c r="KYK3" s="354"/>
      <c r="KYL3" s="354"/>
      <c r="KYM3" s="354"/>
      <c r="KYN3" s="354"/>
      <c r="KYO3" s="354"/>
      <c r="KYP3" s="354"/>
      <c r="KYQ3" s="354"/>
      <c r="KYR3" s="354"/>
      <c r="KYS3" s="354"/>
      <c r="KYT3" s="354"/>
      <c r="KYU3" s="354"/>
      <c r="KYV3" s="354"/>
      <c r="KYW3" s="354"/>
      <c r="KYX3" s="354"/>
      <c r="KYY3" s="354"/>
      <c r="KYZ3" s="354"/>
      <c r="KZA3" s="354"/>
      <c r="KZB3" s="354"/>
      <c r="KZC3" s="354"/>
      <c r="KZD3" s="354"/>
      <c r="KZE3" s="354"/>
      <c r="KZF3" s="354"/>
      <c r="KZG3" s="354"/>
      <c r="KZH3" s="354"/>
      <c r="KZI3" s="354"/>
      <c r="KZJ3" s="354"/>
      <c r="KZK3" s="354"/>
      <c r="KZL3" s="354"/>
      <c r="KZM3" s="354"/>
      <c r="KZN3" s="354"/>
      <c r="KZO3" s="354"/>
      <c r="KZP3" s="354"/>
      <c r="KZQ3" s="354"/>
      <c r="KZR3" s="354"/>
      <c r="KZS3" s="354"/>
      <c r="KZT3" s="354"/>
      <c r="KZU3" s="354"/>
      <c r="KZV3" s="354"/>
      <c r="KZW3" s="354"/>
      <c r="KZX3" s="354"/>
      <c r="KZY3" s="354"/>
      <c r="KZZ3" s="354"/>
      <c r="LAA3" s="354"/>
      <c r="LAB3" s="354"/>
      <c r="LAC3" s="354"/>
      <c r="LAD3" s="354"/>
      <c r="LAE3" s="354"/>
      <c r="LAF3" s="354"/>
      <c r="LAG3" s="354"/>
      <c r="LAH3" s="354"/>
      <c r="LAI3" s="354"/>
      <c r="LAJ3" s="354"/>
      <c r="LAK3" s="354"/>
      <c r="LAL3" s="354"/>
      <c r="LAM3" s="354"/>
      <c r="LAN3" s="354"/>
      <c r="LAO3" s="354"/>
      <c r="LAP3" s="354"/>
      <c r="LAQ3" s="354"/>
      <c r="LAR3" s="354"/>
      <c r="LAS3" s="354"/>
      <c r="LAT3" s="354"/>
      <c r="LAU3" s="354"/>
      <c r="LAV3" s="354"/>
      <c r="LAW3" s="354"/>
      <c r="LAX3" s="354"/>
      <c r="LAY3" s="354"/>
      <c r="LAZ3" s="354"/>
      <c r="LBA3" s="354"/>
      <c r="LBB3" s="354"/>
      <c r="LBC3" s="354"/>
      <c r="LBD3" s="354"/>
      <c r="LBE3" s="354"/>
      <c r="LBF3" s="354"/>
      <c r="LBG3" s="354"/>
      <c r="LBH3" s="354"/>
      <c r="LBI3" s="354"/>
      <c r="LBJ3" s="354"/>
      <c r="LBK3" s="354"/>
      <c r="LBL3" s="354"/>
      <c r="LBM3" s="354"/>
      <c r="LBN3" s="354"/>
      <c r="LBO3" s="354"/>
      <c r="LBP3" s="354"/>
      <c r="LBQ3" s="354"/>
      <c r="LBR3" s="354"/>
      <c r="LBS3" s="354"/>
      <c r="LBT3" s="354"/>
      <c r="LBU3" s="354"/>
      <c r="LBV3" s="354"/>
      <c r="LBW3" s="354"/>
      <c r="LBX3" s="354"/>
      <c r="LBY3" s="354"/>
      <c r="LBZ3" s="354"/>
      <c r="LCA3" s="354"/>
      <c r="LCB3" s="354"/>
      <c r="LCC3" s="354"/>
      <c r="LCD3" s="354"/>
      <c r="LCE3" s="354"/>
      <c r="LCF3" s="354"/>
      <c r="LCG3" s="354"/>
      <c r="LCH3" s="354"/>
      <c r="LCI3" s="354"/>
      <c r="LCJ3" s="354"/>
      <c r="LCK3" s="354"/>
      <c r="LCL3" s="354"/>
      <c r="LCM3" s="354"/>
      <c r="LCN3" s="354"/>
      <c r="LCO3" s="354"/>
      <c r="LCP3" s="354"/>
      <c r="LCQ3" s="354"/>
      <c r="LCR3" s="354"/>
      <c r="LCS3" s="354"/>
      <c r="LCT3" s="354"/>
      <c r="LCU3" s="354"/>
      <c r="LCV3" s="354"/>
      <c r="LCW3" s="354"/>
      <c r="LCX3" s="354"/>
      <c r="LCY3" s="354"/>
      <c r="LCZ3" s="354"/>
      <c r="LDA3" s="354"/>
      <c r="LDB3" s="354"/>
      <c r="LDC3" s="354"/>
      <c r="LDD3" s="354"/>
      <c r="LDE3" s="354"/>
      <c r="LDF3" s="354"/>
      <c r="LDG3" s="354"/>
      <c r="LDH3" s="354"/>
      <c r="LDI3" s="354"/>
      <c r="LDJ3" s="354"/>
      <c r="LDK3" s="354"/>
      <c r="LDL3" s="354"/>
      <c r="LDM3" s="354"/>
      <c r="LDN3" s="354"/>
      <c r="LDO3" s="354"/>
      <c r="LDP3" s="354"/>
      <c r="LDQ3" s="354"/>
      <c r="LDR3" s="354"/>
      <c r="LDS3" s="354"/>
      <c r="LDT3" s="354"/>
      <c r="LDU3" s="354"/>
      <c r="LDV3" s="354"/>
      <c r="LDW3" s="354"/>
      <c r="LDX3" s="354"/>
      <c r="LDY3" s="354"/>
      <c r="LDZ3" s="354"/>
      <c r="LEA3" s="354"/>
      <c r="LEB3" s="354"/>
      <c r="LEC3" s="354"/>
      <c r="LED3" s="354"/>
      <c r="LEE3" s="354"/>
      <c r="LEF3" s="354"/>
      <c r="LEG3" s="354"/>
      <c r="LEH3" s="354"/>
      <c r="LEI3" s="354"/>
      <c r="LEJ3" s="354"/>
      <c r="LEK3" s="354"/>
      <c r="LEL3" s="354"/>
      <c r="LEM3" s="354"/>
      <c r="LEN3" s="354"/>
      <c r="LEO3" s="354"/>
      <c r="LEP3" s="354"/>
      <c r="LEQ3" s="354"/>
      <c r="LER3" s="354"/>
      <c r="LES3" s="354"/>
      <c r="LET3" s="354"/>
      <c r="LEU3" s="354"/>
      <c r="LEV3" s="354"/>
      <c r="LEW3" s="354"/>
      <c r="LEX3" s="354"/>
      <c r="LEY3" s="354"/>
      <c r="LEZ3" s="354"/>
      <c r="LFA3" s="354"/>
      <c r="LFB3" s="354"/>
      <c r="LFC3" s="354"/>
      <c r="LFD3" s="354"/>
      <c r="LFE3" s="354"/>
      <c r="LFF3" s="354"/>
      <c r="LFG3" s="354"/>
      <c r="LFH3" s="354"/>
      <c r="LFI3" s="354"/>
      <c r="LFJ3" s="354"/>
      <c r="LFK3" s="354"/>
      <c r="LFL3" s="354"/>
      <c r="LFM3" s="354"/>
      <c r="LFN3" s="354"/>
      <c r="LFO3" s="354"/>
      <c r="LFP3" s="354"/>
      <c r="LFQ3" s="354"/>
      <c r="LFR3" s="354"/>
      <c r="LFS3" s="354"/>
      <c r="LFT3" s="354"/>
      <c r="LFU3" s="354"/>
      <c r="LFV3" s="354"/>
      <c r="LFW3" s="354"/>
      <c r="LFX3" s="354"/>
      <c r="LFY3" s="354"/>
      <c r="LFZ3" s="354"/>
      <c r="LGA3" s="354"/>
      <c r="LGB3" s="354"/>
      <c r="LGC3" s="354"/>
      <c r="LGD3" s="354"/>
      <c r="LGE3" s="354"/>
      <c r="LGF3" s="354"/>
      <c r="LGG3" s="354"/>
      <c r="LGH3" s="354"/>
      <c r="LGI3" s="354"/>
      <c r="LGJ3" s="354"/>
      <c r="LGK3" s="354"/>
      <c r="LGL3" s="354"/>
      <c r="LGM3" s="354"/>
      <c r="LGN3" s="354"/>
      <c r="LGO3" s="354"/>
      <c r="LGP3" s="354"/>
      <c r="LGQ3" s="354"/>
      <c r="LGR3" s="354"/>
      <c r="LGS3" s="354"/>
      <c r="LGT3" s="354"/>
      <c r="LGU3" s="354"/>
      <c r="LGV3" s="354"/>
      <c r="LGW3" s="354"/>
      <c r="LGX3" s="354"/>
      <c r="LGY3" s="354"/>
      <c r="LGZ3" s="354"/>
      <c r="LHA3" s="354"/>
      <c r="LHB3" s="354"/>
      <c r="LHC3" s="354"/>
      <c r="LHD3" s="354"/>
      <c r="LHE3" s="354"/>
      <c r="LHF3" s="354"/>
      <c r="LHG3" s="354"/>
      <c r="LHH3" s="354"/>
      <c r="LHI3" s="354"/>
      <c r="LHJ3" s="354"/>
      <c r="LHK3" s="354"/>
      <c r="LHL3" s="354"/>
      <c r="LHM3" s="354"/>
      <c r="LHN3" s="354"/>
      <c r="LHO3" s="354"/>
      <c r="LHP3" s="354"/>
      <c r="LHQ3" s="354"/>
      <c r="LHR3" s="354"/>
      <c r="LHS3" s="354"/>
      <c r="LHT3" s="354"/>
      <c r="LHU3" s="354"/>
      <c r="LHV3" s="354"/>
      <c r="LHW3" s="354"/>
      <c r="LHX3" s="354"/>
      <c r="LHY3" s="354"/>
      <c r="LHZ3" s="354"/>
      <c r="LIA3" s="354"/>
      <c r="LIB3" s="354"/>
      <c r="LIC3" s="354"/>
      <c r="LID3" s="354"/>
      <c r="LIE3" s="354"/>
      <c r="LIF3" s="354"/>
      <c r="LIG3" s="354"/>
      <c r="LIH3" s="354"/>
      <c r="LII3" s="354"/>
      <c r="LIJ3" s="354"/>
      <c r="LIK3" s="354"/>
      <c r="LIL3" s="354"/>
      <c r="LIM3" s="354"/>
      <c r="LIN3" s="354"/>
      <c r="LIO3" s="354"/>
      <c r="LIP3" s="354"/>
      <c r="LIQ3" s="354"/>
      <c r="LIR3" s="354"/>
      <c r="LIS3" s="354"/>
      <c r="LIT3" s="354"/>
      <c r="LIU3" s="354"/>
      <c r="LIV3" s="354"/>
      <c r="LIW3" s="354"/>
      <c r="LIX3" s="354"/>
      <c r="LIY3" s="354"/>
      <c r="LIZ3" s="354"/>
      <c r="LJA3" s="354"/>
      <c r="LJB3" s="354"/>
      <c r="LJC3" s="354"/>
      <c r="LJD3" s="354"/>
      <c r="LJE3" s="354"/>
      <c r="LJF3" s="354"/>
      <c r="LJG3" s="354"/>
      <c r="LJH3" s="354"/>
      <c r="LJI3" s="354"/>
      <c r="LJJ3" s="354"/>
      <c r="LJK3" s="354"/>
      <c r="LJL3" s="354"/>
      <c r="LJM3" s="354"/>
      <c r="LJN3" s="354"/>
      <c r="LJO3" s="354"/>
      <c r="LJP3" s="354"/>
      <c r="LJQ3" s="354"/>
      <c r="LJR3" s="354"/>
      <c r="LJS3" s="354"/>
      <c r="LJT3" s="354"/>
      <c r="LJU3" s="354"/>
      <c r="LJV3" s="354"/>
      <c r="LJW3" s="354"/>
      <c r="LJX3" s="354"/>
      <c r="LJY3" s="354"/>
      <c r="LJZ3" s="354"/>
      <c r="LKA3" s="354"/>
      <c r="LKB3" s="354"/>
      <c r="LKC3" s="354"/>
      <c r="LKD3" s="354"/>
      <c r="LKE3" s="354"/>
      <c r="LKF3" s="354"/>
      <c r="LKG3" s="354"/>
      <c r="LKH3" s="354"/>
      <c r="LKI3" s="354"/>
      <c r="LKJ3" s="354"/>
      <c r="LKK3" s="354"/>
      <c r="LKL3" s="354"/>
      <c r="LKM3" s="354"/>
      <c r="LKN3" s="354"/>
      <c r="LKO3" s="354"/>
      <c r="LKP3" s="354"/>
      <c r="LKQ3" s="354"/>
      <c r="LKR3" s="354"/>
      <c r="LKS3" s="354"/>
      <c r="LKT3" s="354"/>
      <c r="LKU3" s="354"/>
      <c r="LKV3" s="354"/>
      <c r="LKW3" s="354"/>
      <c r="LKX3" s="354"/>
      <c r="LKY3" s="354"/>
      <c r="LKZ3" s="354"/>
      <c r="LLA3" s="354"/>
      <c r="LLB3" s="354"/>
      <c r="LLC3" s="354"/>
      <c r="LLD3" s="354"/>
      <c r="LLE3" s="354"/>
      <c r="LLF3" s="354"/>
      <c r="LLG3" s="354"/>
      <c r="LLH3" s="354"/>
      <c r="LLI3" s="354"/>
      <c r="LLJ3" s="354"/>
      <c r="LLK3" s="354"/>
      <c r="LLL3" s="354"/>
      <c r="LLM3" s="354"/>
      <c r="LLN3" s="354"/>
      <c r="LLO3" s="354"/>
      <c r="LLP3" s="354"/>
      <c r="LLQ3" s="354"/>
      <c r="LLR3" s="354"/>
      <c r="LLS3" s="354"/>
      <c r="LLT3" s="354"/>
      <c r="LLU3" s="354"/>
      <c r="LLV3" s="354"/>
      <c r="LLW3" s="354"/>
      <c r="LLX3" s="354"/>
      <c r="LLY3" s="354"/>
      <c r="LLZ3" s="354"/>
      <c r="LMA3" s="354"/>
      <c r="LMB3" s="354"/>
      <c r="LMC3" s="354"/>
      <c r="LMD3" s="354"/>
      <c r="LME3" s="354"/>
      <c r="LMF3" s="354"/>
      <c r="LMG3" s="354"/>
      <c r="LMH3" s="354"/>
      <c r="LMI3" s="354"/>
      <c r="LMJ3" s="354"/>
      <c r="LMK3" s="354"/>
      <c r="LML3" s="354"/>
      <c r="LMM3" s="354"/>
      <c r="LMN3" s="354"/>
      <c r="LMO3" s="354"/>
      <c r="LMP3" s="354"/>
      <c r="LMQ3" s="354"/>
      <c r="LMR3" s="354"/>
      <c r="LMS3" s="354"/>
      <c r="LMT3" s="354"/>
      <c r="LMU3" s="354"/>
      <c r="LMV3" s="354"/>
      <c r="LMW3" s="354"/>
      <c r="LMX3" s="354"/>
      <c r="LMY3" s="354"/>
      <c r="LMZ3" s="354"/>
      <c r="LNA3" s="354"/>
      <c r="LNB3" s="354"/>
      <c r="LNC3" s="354"/>
      <c r="LND3" s="354"/>
      <c r="LNE3" s="354"/>
      <c r="LNF3" s="354"/>
      <c r="LNG3" s="354"/>
      <c r="LNH3" s="354"/>
      <c r="LNI3" s="354"/>
      <c r="LNJ3" s="354"/>
      <c r="LNK3" s="354"/>
      <c r="LNL3" s="354"/>
      <c r="LNM3" s="354"/>
      <c r="LNN3" s="354"/>
      <c r="LNO3" s="354"/>
      <c r="LNP3" s="354"/>
      <c r="LNQ3" s="354"/>
      <c r="LNR3" s="354"/>
      <c r="LNS3" s="354"/>
      <c r="LNT3" s="354"/>
      <c r="LNU3" s="354"/>
      <c r="LNV3" s="354"/>
      <c r="LNW3" s="354"/>
      <c r="LNX3" s="354"/>
      <c r="LNY3" s="354"/>
      <c r="LNZ3" s="354"/>
      <c r="LOA3" s="354"/>
      <c r="LOB3" s="354"/>
      <c r="LOC3" s="354"/>
      <c r="LOD3" s="354"/>
      <c r="LOE3" s="354"/>
      <c r="LOF3" s="354"/>
      <c r="LOG3" s="354"/>
      <c r="LOH3" s="354"/>
      <c r="LOI3" s="354"/>
      <c r="LOJ3" s="354"/>
      <c r="LOK3" s="354"/>
      <c r="LOL3" s="354"/>
      <c r="LOM3" s="354"/>
      <c r="LON3" s="354"/>
      <c r="LOO3" s="354"/>
      <c r="LOP3" s="354"/>
      <c r="LOQ3" s="354"/>
      <c r="LOR3" s="354"/>
      <c r="LOS3" s="354"/>
      <c r="LOT3" s="354"/>
      <c r="LOU3" s="354"/>
      <c r="LOV3" s="354"/>
      <c r="LOW3" s="354"/>
      <c r="LOX3" s="354"/>
      <c r="LOY3" s="354"/>
      <c r="LOZ3" s="354"/>
      <c r="LPA3" s="354"/>
      <c r="LPB3" s="354"/>
      <c r="LPC3" s="354"/>
      <c r="LPD3" s="354"/>
      <c r="LPE3" s="354"/>
      <c r="LPF3" s="354"/>
      <c r="LPG3" s="354"/>
      <c r="LPH3" s="354"/>
      <c r="LPI3" s="354"/>
      <c r="LPJ3" s="354"/>
      <c r="LPK3" s="354"/>
      <c r="LPL3" s="354"/>
      <c r="LPM3" s="354"/>
      <c r="LPN3" s="354"/>
      <c r="LPO3" s="354"/>
      <c r="LPP3" s="354"/>
      <c r="LPQ3" s="354"/>
      <c r="LPR3" s="354"/>
      <c r="LPS3" s="354"/>
      <c r="LPT3" s="354"/>
      <c r="LPU3" s="354"/>
      <c r="LPV3" s="354"/>
      <c r="LPW3" s="354"/>
      <c r="LPX3" s="354"/>
      <c r="LPY3" s="354"/>
      <c r="LPZ3" s="354"/>
      <c r="LQA3" s="354"/>
      <c r="LQB3" s="354"/>
      <c r="LQC3" s="354"/>
      <c r="LQD3" s="354"/>
      <c r="LQE3" s="354"/>
      <c r="LQF3" s="354"/>
      <c r="LQG3" s="354"/>
      <c r="LQH3" s="354"/>
      <c r="LQI3" s="354"/>
      <c r="LQJ3" s="354"/>
      <c r="LQK3" s="354"/>
      <c r="LQL3" s="354"/>
      <c r="LQM3" s="354"/>
      <c r="LQN3" s="354"/>
      <c r="LQO3" s="354"/>
      <c r="LQP3" s="354"/>
      <c r="LQQ3" s="354"/>
      <c r="LQR3" s="354"/>
      <c r="LQS3" s="354"/>
      <c r="LQT3" s="354"/>
      <c r="LQU3" s="354"/>
      <c r="LQV3" s="354"/>
      <c r="LQW3" s="354"/>
      <c r="LQX3" s="354"/>
      <c r="LQY3" s="354"/>
      <c r="LQZ3" s="354"/>
      <c r="LRA3" s="354"/>
      <c r="LRB3" s="354"/>
      <c r="LRC3" s="354"/>
      <c r="LRD3" s="354"/>
      <c r="LRE3" s="354"/>
      <c r="LRF3" s="354"/>
      <c r="LRG3" s="354"/>
      <c r="LRH3" s="354"/>
      <c r="LRI3" s="354"/>
      <c r="LRJ3" s="354"/>
      <c r="LRK3" s="354"/>
      <c r="LRL3" s="354"/>
      <c r="LRM3" s="354"/>
      <c r="LRN3" s="354"/>
      <c r="LRO3" s="354"/>
      <c r="LRP3" s="354"/>
      <c r="LRQ3" s="354"/>
      <c r="LRR3" s="354"/>
      <c r="LRS3" s="354"/>
      <c r="LRT3" s="354"/>
      <c r="LRU3" s="354"/>
      <c r="LRV3" s="354"/>
      <c r="LRW3" s="354"/>
      <c r="LRX3" s="354"/>
      <c r="LRY3" s="354"/>
      <c r="LRZ3" s="354"/>
      <c r="LSA3" s="354"/>
      <c r="LSB3" s="354"/>
      <c r="LSC3" s="354"/>
      <c r="LSD3" s="354"/>
      <c r="LSE3" s="354"/>
      <c r="LSF3" s="354"/>
      <c r="LSG3" s="354"/>
      <c r="LSH3" s="354"/>
      <c r="LSI3" s="354"/>
      <c r="LSJ3" s="354"/>
      <c r="LSK3" s="354"/>
      <c r="LSL3" s="354"/>
      <c r="LSM3" s="354"/>
      <c r="LSN3" s="354"/>
      <c r="LSO3" s="354"/>
      <c r="LSP3" s="354"/>
      <c r="LSQ3" s="354"/>
      <c r="LSR3" s="354"/>
      <c r="LSS3" s="354"/>
      <c r="LST3" s="354"/>
      <c r="LSU3" s="354"/>
      <c r="LSV3" s="354"/>
      <c r="LSW3" s="354"/>
      <c r="LSX3" s="354"/>
      <c r="LSY3" s="354"/>
      <c r="LSZ3" s="354"/>
      <c r="LTA3" s="354"/>
      <c r="LTB3" s="354"/>
      <c r="LTC3" s="354"/>
      <c r="LTD3" s="354"/>
      <c r="LTE3" s="354"/>
      <c r="LTF3" s="354"/>
      <c r="LTG3" s="354"/>
      <c r="LTH3" s="354"/>
      <c r="LTI3" s="354"/>
      <c r="LTJ3" s="354"/>
      <c r="LTK3" s="354"/>
      <c r="LTL3" s="354"/>
      <c r="LTM3" s="354"/>
      <c r="LTN3" s="354"/>
      <c r="LTO3" s="354"/>
      <c r="LTP3" s="354"/>
      <c r="LTQ3" s="354"/>
      <c r="LTR3" s="354"/>
      <c r="LTS3" s="354"/>
      <c r="LTT3" s="354"/>
      <c r="LTU3" s="354"/>
      <c r="LTV3" s="354"/>
      <c r="LTW3" s="354"/>
      <c r="LTX3" s="354"/>
      <c r="LTY3" s="354"/>
      <c r="LTZ3" s="354"/>
      <c r="LUA3" s="354"/>
      <c r="LUB3" s="354"/>
      <c r="LUC3" s="354"/>
      <c r="LUD3" s="354"/>
      <c r="LUE3" s="354"/>
      <c r="LUF3" s="354"/>
      <c r="LUG3" s="354"/>
      <c r="LUH3" s="354"/>
      <c r="LUI3" s="354"/>
      <c r="LUJ3" s="354"/>
      <c r="LUK3" s="354"/>
      <c r="LUL3" s="354"/>
      <c r="LUM3" s="354"/>
      <c r="LUN3" s="354"/>
      <c r="LUO3" s="354"/>
      <c r="LUP3" s="354"/>
      <c r="LUQ3" s="354"/>
      <c r="LUR3" s="354"/>
      <c r="LUS3" s="354"/>
      <c r="LUT3" s="354"/>
      <c r="LUU3" s="354"/>
      <c r="LUV3" s="354"/>
      <c r="LUW3" s="354"/>
      <c r="LUX3" s="354"/>
      <c r="LUY3" s="354"/>
      <c r="LUZ3" s="354"/>
      <c r="LVA3" s="354"/>
      <c r="LVB3" s="354"/>
      <c r="LVC3" s="354"/>
      <c r="LVD3" s="354"/>
      <c r="LVE3" s="354"/>
      <c r="LVF3" s="354"/>
      <c r="LVG3" s="354"/>
      <c r="LVH3" s="354"/>
      <c r="LVI3" s="354"/>
      <c r="LVJ3" s="354"/>
      <c r="LVK3" s="354"/>
      <c r="LVL3" s="354"/>
      <c r="LVM3" s="354"/>
      <c r="LVN3" s="354"/>
      <c r="LVO3" s="354"/>
      <c r="LVP3" s="354"/>
      <c r="LVQ3" s="354"/>
      <c r="LVR3" s="354"/>
      <c r="LVS3" s="354"/>
      <c r="LVT3" s="354"/>
      <c r="LVU3" s="354"/>
      <c r="LVV3" s="354"/>
      <c r="LVW3" s="354"/>
      <c r="LVX3" s="354"/>
      <c r="LVY3" s="354"/>
      <c r="LVZ3" s="354"/>
      <c r="LWA3" s="354"/>
      <c r="LWB3" s="354"/>
      <c r="LWC3" s="354"/>
      <c r="LWD3" s="354"/>
      <c r="LWE3" s="354"/>
      <c r="LWF3" s="354"/>
      <c r="LWG3" s="354"/>
      <c r="LWH3" s="354"/>
      <c r="LWI3" s="354"/>
      <c r="LWJ3" s="354"/>
      <c r="LWK3" s="354"/>
      <c r="LWL3" s="354"/>
      <c r="LWM3" s="354"/>
      <c r="LWN3" s="354"/>
      <c r="LWO3" s="354"/>
      <c r="LWP3" s="354"/>
      <c r="LWQ3" s="354"/>
      <c r="LWR3" s="354"/>
      <c r="LWS3" s="354"/>
      <c r="LWT3" s="354"/>
      <c r="LWU3" s="354"/>
      <c r="LWV3" s="354"/>
      <c r="LWW3" s="354"/>
      <c r="LWX3" s="354"/>
      <c r="LWY3" s="354"/>
      <c r="LWZ3" s="354"/>
      <c r="LXA3" s="354"/>
      <c r="LXB3" s="354"/>
      <c r="LXC3" s="354"/>
      <c r="LXD3" s="354"/>
      <c r="LXE3" s="354"/>
      <c r="LXF3" s="354"/>
      <c r="LXG3" s="354"/>
      <c r="LXH3" s="354"/>
      <c r="LXI3" s="354"/>
      <c r="LXJ3" s="354"/>
      <c r="LXK3" s="354"/>
      <c r="LXL3" s="354"/>
      <c r="LXM3" s="354"/>
      <c r="LXN3" s="354"/>
      <c r="LXO3" s="354"/>
      <c r="LXP3" s="354"/>
      <c r="LXQ3" s="354"/>
      <c r="LXR3" s="354"/>
      <c r="LXS3" s="354"/>
      <c r="LXT3" s="354"/>
      <c r="LXU3" s="354"/>
      <c r="LXV3" s="354"/>
      <c r="LXW3" s="354"/>
      <c r="LXX3" s="354"/>
      <c r="LXY3" s="354"/>
      <c r="LXZ3" s="354"/>
      <c r="LYA3" s="354"/>
      <c r="LYB3" s="354"/>
      <c r="LYC3" s="354"/>
      <c r="LYD3" s="354"/>
      <c r="LYE3" s="354"/>
      <c r="LYF3" s="354"/>
      <c r="LYG3" s="354"/>
      <c r="LYH3" s="354"/>
      <c r="LYI3" s="354"/>
      <c r="LYJ3" s="354"/>
      <c r="LYK3" s="354"/>
      <c r="LYL3" s="354"/>
      <c r="LYM3" s="354"/>
      <c r="LYN3" s="354"/>
      <c r="LYO3" s="354"/>
      <c r="LYP3" s="354"/>
      <c r="LYQ3" s="354"/>
      <c r="LYR3" s="354"/>
      <c r="LYS3" s="354"/>
      <c r="LYT3" s="354"/>
      <c r="LYU3" s="354"/>
      <c r="LYV3" s="354"/>
      <c r="LYW3" s="354"/>
      <c r="LYX3" s="354"/>
      <c r="LYY3" s="354"/>
      <c r="LYZ3" s="354"/>
      <c r="LZA3" s="354"/>
      <c r="LZB3" s="354"/>
      <c r="LZC3" s="354"/>
      <c r="LZD3" s="354"/>
      <c r="LZE3" s="354"/>
      <c r="LZF3" s="354"/>
      <c r="LZG3" s="354"/>
      <c r="LZH3" s="354"/>
      <c r="LZI3" s="354"/>
      <c r="LZJ3" s="354"/>
      <c r="LZK3" s="354"/>
      <c r="LZL3" s="354"/>
      <c r="LZM3" s="354"/>
      <c r="LZN3" s="354"/>
      <c r="LZO3" s="354"/>
      <c r="LZP3" s="354"/>
      <c r="LZQ3" s="354"/>
      <c r="LZR3" s="354"/>
      <c r="LZS3" s="354"/>
      <c r="LZT3" s="354"/>
      <c r="LZU3" s="354"/>
      <c r="LZV3" s="354"/>
      <c r="LZW3" s="354"/>
      <c r="LZX3" s="354"/>
      <c r="LZY3" s="354"/>
      <c r="LZZ3" s="354"/>
      <c r="MAA3" s="354"/>
      <c r="MAB3" s="354"/>
      <c r="MAC3" s="354"/>
      <c r="MAD3" s="354"/>
      <c r="MAE3" s="354"/>
      <c r="MAF3" s="354"/>
      <c r="MAG3" s="354"/>
      <c r="MAH3" s="354"/>
      <c r="MAI3" s="354"/>
      <c r="MAJ3" s="354"/>
      <c r="MAK3" s="354"/>
      <c r="MAL3" s="354"/>
      <c r="MAM3" s="354"/>
      <c r="MAN3" s="354"/>
      <c r="MAO3" s="354"/>
      <c r="MAP3" s="354"/>
      <c r="MAQ3" s="354"/>
      <c r="MAR3" s="354"/>
      <c r="MAS3" s="354"/>
      <c r="MAT3" s="354"/>
      <c r="MAU3" s="354"/>
      <c r="MAV3" s="354"/>
      <c r="MAW3" s="354"/>
      <c r="MAX3" s="354"/>
      <c r="MAY3" s="354"/>
      <c r="MAZ3" s="354"/>
      <c r="MBA3" s="354"/>
      <c r="MBB3" s="354"/>
      <c r="MBC3" s="354"/>
      <c r="MBD3" s="354"/>
      <c r="MBE3" s="354"/>
      <c r="MBF3" s="354"/>
      <c r="MBG3" s="354"/>
      <c r="MBH3" s="354"/>
      <c r="MBI3" s="354"/>
      <c r="MBJ3" s="354"/>
      <c r="MBK3" s="354"/>
      <c r="MBL3" s="354"/>
      <c r="MBM3" s="354"/>
      <c r="MBN3" s="354"/>
      <c r="MBO3" s="354"/>
      <c r="MBP3" s="354"/>
      <c r="MBQ3" s="354"/>
      <c r="MBR3" s="354"/>
      <c r="MBS3" s="354"/>
      <c r="MBT3" s="354"/>
      <c r="MBU3" s="354"/>
      <c r="MBV3" s="354"/>
      <c r="MBW3" s="354"/>
      <c r="MBX3" s="354"/>
      <c r="MBY3" s="354"/>
      <c r="MBZ3" s="354"/>
      <c r="MCA3" s="354"/>
      <c r="MCB3" s="354"/>
      <c r="MCC3" s="354"/>
      <c r="MCD3" s="354"/>
      <c r="MCE3" s="354"/>
      <c r="MCF3" s="354"/>
      <c r="MCG3" s="354"/>
      <c r="MCH3" s="354"/>
      <c r="MCI3" s="354"/>
      <c r="MCJ3" s="354"/>
      <c r="MCK3" s="354"/>
      <c r="MCL3" s="354"/>
      <c r="MCM3" s="354"/>
      <c r="MCN3" s="354"/>
      <c r="MCO3" s="354"/>
      <c r="MCP3" s="354"/>
      <c r="MCQ3" s="354"/>
      <c r="MCR3" s="354"/>
      <c r="MCS3" s="354"/>
      <c r="MCT3" s="354"/>
      <c r="MCU3" s="354"/>
      <c r="MCV3" s="354"/>
      <c r="MCW3" s="354"/>
      <c r="MCX3" s="354"/>
      <c r="MCY3" s="354"/>
      <c r="MCZ3" s="354"/>
      <c r="MDA3" s="354"/>
      <c r="MDB3" s="354"/>
      <c r="MDC3" s="354"/>
      <c r="MDD3" s="354"/>
      <c r="MDE3" s="354"/>
      <c r="MDF3" s="354"/>
      <c r="MDG3" s="354"/>
      <c r="MDH3" s="354"/>
      <c r="MDI3" s="354"/>
      <c r="MDJ3" s="354"/>
      <c r="MDK3" s="354"/>
      <c r="MDL3" s="354"/>
      <c r="MDM3" s="354"/>
      <c r="MDN3" s="354"/>
      <c r="MDO3" s="354"/>
      <c r="MDP3" s="354"/>
      <c r="MDQ3" s="354"/>
      <c r="MDR3" s="354"/>
      <c r="MDS3" s="354"/>
      <c r="MDT3" s="354"/>
      <c r="MDU3" s="354"/>
      <c r="MDV3" s="354"/>
      <c r="MDW3" s="354"/>
      <c r="MDX3" s="354"/>
      <c r="MDY3" s="354"/>
      <c r="MDZ3" s="354"/>
      <c r="MEA3" s="354"/>
      <c r="MEB3" s="354"/>
      <c r="MEC3" s="354"/>
      <c r="MED3" s="354"/>
      <c r="MEE3" s="354"/>
      <c r="MEF3" s="354"/>
      <c r="MEG3" s="354"/>
      <c r="MEH3" s="354"/>
      <c r="MEI3" s="354"/>
      <c r="MEJ3" s="354"/>
      <c r="MEK3" s="354"/>
      <c r="MEL3" s="354"/>
      <c r="MEM3" s="354"/>
      <c r="MEN3" s="354"/>
      <c r="MEO3" s="354"/>
      <c r="MEP3" s="354"/>
      <c r="MEQ3" s="354"/>
      <c r="MER3" s="354"/>
      <c r="MES3" s="354"/>
      <c r="MET3" s="354"/>
      <c r="MEU3" s="354"/>
      <c r="MEV3" s="354"/>
      <c r="MEW3" s="354"/>
      <c r="MEX3" s="354"/>
      <c r="MEY3" s="354"/>
      <c r="MEZ3" s="354"/>
      <c r="MFA3" s="354"/>
      <c r="MFB3" s="354"/>
      <c r="MFC3" s="354"/>
      <c r="MFD3" s="354"/>
      <c r="MFE3" s="354"/>
      <c r="MFF3" s="354"/>
      <c r="MFG3" s="354"/>
      <c r="MFH3" s="354"/>
      <c r="MFI3" s="354"/>
      <c r="MFJ3" s="354"/>
      <c r="MFK3" s="354"/>
      <c r="MFL3" s="354"/>
      <c r="MFM3" s="354"/>
      <c r="MFN3" s="354"/>
      <c r="MFO3" s="354"/>
      <c r="MFP3" s="354"/>
      <c r="MFQ3" s="354"/>
      <c r="MFR3" s="354"/>
      <c r="MFS3" s="354"/>
      <c r="MFT3" s="354"/>
      <c r="MFU3" s="354"/>
      <c r="MFV3" s="354"/>
      <c r="MFW3" s="354"/>
      <c r="MFX3" s="354"/>
      <c r="MFY3" s="354"/>
      <c r="MFZ3" s="354"/>
      <c r="MGA3" s="354"/>
      <c r="MGB3" s="354"/>
      <c r="MGC3" s="354"/>
      <c r="MGD3" s="354"/>
      <c r="MGE3" s="354"/>
      <c r="MGF3" s="354"/>
      <c r="MGG3" s="354"/>
      <c r="MGH3" s="354"/>
      <c r="MGI3" s="354"/>
      <c r="MGJ3" s="354"/>
      <c r="MGK3" s="354"/>
      <c r="MGL3" s="354"/>
      <c r="MGM3" s="354"/>
      <c r="MGN3" s="354"/>
      <c r="MGO3" s="354"/>
      <c r="MGP3" s="354"/>
      <c r="MGQ3" s="354"/>
      <c r="MGR3" s="354"/>
      <c r="MGS3" s="354"/>
      <c r="MGT3" s="354"/>
      <c r="MGU3" s="354"/>
      <c r="MGV3" s="354"/>
      <c r="MGW3" s="354"/>
      <c r="MGX3" s="354"/>
      <c r="MGY3" s="354"/>
      <c r="MGZ3" s="354"/>
      <c r="MHA3" s="354"/>
      <c r="MHB3" s="354"/>
      <c r="MHC3" s="354"/>
      <c r="MHD3" s="354"/>
      <c r="MHE3" s="354"/>
      <c r="MHF3" s="354"/>
      <c r="MHG3" s="354"/>
      <c r="MHH3" s="354"/>
      <c r="MHI3" s="354"/>
      <c r="MHJ3" s="354"/>
      <c r="MHK3" s="354"/>
      <c r="MHL3" s="354"/>
      <c r="MHM3" s="354"/>
      <c r="MHN3" s="354"/>
      <c r="MHO3" s="354"/>
      <c r="MHP3" s="354"/>
      <c r="MHQ3" s="354"/>
      <c r="MHR3" s="354"/>
      <c r="MHS3" s="354"/>
      <c r="MHT3" s="354"/>
      <c r="MHU3" s="354"/>
      <c r="MHV3" s="354"/>
      <c r="MHW3" s="354"/>
      <c r="MHX3" s="354"/>
      <c r="MHY3" s="354"/>
      <c r="MHZ3" s="354"/>
      <c r="MIA3" s="354"/>
      <c r="MIB3" s="354"/>
      <c r="MIC3" s="354"/>
      <c r="MID3" s="354"/>
      <c r="MIE3" s="354"/>
      <c r="MIF3" s="354"/>
      <c r="MIG3" s="354"/>
      <c r="MIH3" s="354"/>
      <c r="MII3" s="354"/>
      <c r="MIJ3" s="354"/>
      <c r="MIK3" s="354"/>
      <c r="MIL3" s="354"/>
      <c r="MIM3" s="354"/>
      <c r="MIN3" s="354"/>
      <c r="MIO3" s="354"/>
      <c r="MIP3" s="354"/>
      <c r="MIQ3" s="354"/>
      <c r="MIR3" s="354"/>
      <c r="MIS3" s="354"/>
      <c r="MIT3" s="354"/>
      <c r="MIU3" s="354"/>
      <c r="MIV3" s="354"/>
      <c r="MIW3" s="354"/>
      <c r="MIX3" s="354"/>
      <c r="MIY3" s="354"/>
      <c r="MIZ3" s="354"/>
      <c r="MJA3" s="354"/>
      <c r="MJB3" s="354"/>
      <c r="MJC3" s="354"/>
      <c r="MJD3" s="354"/>
      <c r="MJE3" s="354"/>
      <c r="MJF3" s="354"/>
      <c r="MJG3" s="354"/>
      <c r="MJH3" s="354"/>
      <c r="MJI3" s="354"/>
      <c r="MJJ3" s="354"/>
      <c r="MJK3" s="354"/>
      <c r="MJL3" s="354"/>
      <c r="MJM3" s="354"/>
      <c r="MJN3" s="354"/>
      <c r="MJO3" s="354"/>
      <c r="MJP3" s="354"/>
      <c r="MJQ3" s="354"/>
      <c r="MJR3" s="354"/>
      <c r="MJS3" s="354"/>
      <c r="MJT3" s="354"/>
      <c r="MJU3" s="354"/>
      <c r="MJV3" s="354"/>
      <c r="MJW3" s="354"/>
      <c r="MJX3" s="354"/>
      <c r="MJY3" s="354"/>
      <c r="MJZ3" s="354"/>
      <c r="MKA3" s="354"/>
      <c r="MKB3" s="354"/>
      <c r="MKC3" s="354"/>
      <c r="MKD3" s="354"/>
      <c r="MKE3" s="354"/>
      <c r="MKF3" s="354"/>
      <c r="MKG3" s="354"/>
      <c r="MKH3" s="354"/>
      <c r="MKI3" s="354"/>
      <c r="MKJ3" s="354"/>
      <c r="MKK3" s="354"/>
      <c r="MKL3" s="354"/>
      <c r="MKM3" s="354"/>
      <c r="MKN3" s="354"/>
      <c r="MKO3" s="354"/>
      <c r="MKP3" s="354"/>
      <c r="MKQ3" s="354"/>
      <c r="MKR3" s="354"/>
      <c r="MKS3" s="354"/>
      <c r="MKT3" s="354"/>
      <c r="MKU3" s="354"/>
      <c r="MKV3" s="354"/>
      <c r="MKW3" s="354"/>
      <c r="MKX3" s="354"/>
      <c r="MKY3" s="354"/>
      <c r="MKZ3" s="354"/>
      <c r="MLA3" s="354"/>
      <c r="MLB3" s="354"/>
      <c r="MLC3" s="354"/>
      <c r="MLD3" s="354"/>
      <c r="MLE3" s="354"/>
      <c r="MLF3" s="354"/>
      <c r="MLG3" s="354"/>
      <c r="MLH3" s="354"/>
      <c r="MLI3" s="354"/>
      <c r="MLJ3" s="354"/>
      <c r="MLK3" s="354"/>
      <c r="MLL3" s="354"/>
      <c r="MLM3" s="354"/>
      <c r="MLN3" s="354"/>
      <c r="MLO3" s="354"/>
      <c r="MLP3" s="354"/>
      <c r="MLQ3" s="354"/>
      <c r="MLR3" s="354"/>
      <c r="MLS3" s="354"/>
      <c r="MLT3" s="354"/>
      <c r="MLU3" s="354"/>
      <c r="MLV3" s="354"/>
      <c r="MLW3" s="354"/>
      <c r="MLX3" s="354"/>
      <c r="MLY3" s="354"/>
      <c r="MLZ3" s="354"/>
      <c r="MMA3" s="354"/>
      <c r="MMB3" s="354"/>
      <c r="MMC3" s="354"/>
      <c r="MMD3" s="354"/>
      <c r="MME3" s="354"/>
      <c r="MMF3" s="354"/>
      <c r="MMG3" s="354"/>
      <c r="MMH3" s="354"/>
      <c r="MMI3" s="354"/>
      <c r="MMJ3" s="354"/>
      <c r="MMK3" s="354"/>
      <c r="MML3" s="354"/>
      <c r="MMM3" s="354"/>
      <c r="MMN3" s="354"/>
      <c r="MMO3" s="354"/>
      <c r="MMP3" s="354"/>
      <c r="MMQ3" s="354"/>
      <c r="MMR3" s="354"/>
      <c r="MMS3" s="354"/>
      <c r="MMT3" s="354"/>
      <c r="MMU3" s="354"/>
      <c r="MMV3" s="354"/>
      <c r="MMW3" s="354"/>
      <c r="MMX3" s="354"/>
      <c r="MMY3" s="354"/>
      <c r="MMZ3" s="354"/>
      <c r="MNA3" s="354"/>
      <c r="MNB3" s="354"/>
      <c r="MNC3" s="354"/>
      <c r="MND3" s="354"/>
      <c r="MNE3" s="354"/>
      <c r="MNF3" s="354"/>
      <c r="MNG3" s="354"/>
      <c r="MNH3" s="354"/>
      <c r="MNI3" s="354"/>
      <c r="MNJ3" s="354"/>
      <c r="MNK3" s="354"/>
      <c r="MNL3" s="354"/>
      <c r="MNM3" s="354"/>
      <c r="MNN3" s="354"/>
      <c r="MNO3" s="354"/>
      <c r="MNP3" s="354"/>
      <c r="MNQ3" s="354"/>
      <c r="MNR3" s="354"/>
      <c r="MNS3" s="354"/>
      <c r="MNT3" s="354"/>
      <c r="MNU3" s="354"/>
      <c r="MNV3" s="354"/>
      <c r="MNW3" s="354"/>
      <c r="MNX3" s="354"/>
      <c r="MNY3" s="354"/>
      <c r="MNZ3" s="354"/>
      <c r="MOA3" s="354"/>
      <c r="MOB3" s="354"/>
      <c r="MOC3" s="354"/>
      <c r="MOD3" s="354"/>
      <c r="MOE3" s="354"/>
      <c r="MOF3" s="354"/>
      <c r="MOG3" s="354"/>
      <c r="MOH3" s="354"/>
      <c r="MOI3" s="354"/>
      <c r="MOJ3" s="354"/>
      <c r="MOK3" s="354"/>
      <c r="MOL3" s="354"/>
      <c r="MOM3" s="354"/>
      <c r="MON3" s="354"/>
      <c r="MOO3" s="354"/>
      <c r="MOP3" s="354"/>
      <c r="MOQ3" s="354"/>
      <c r="MOR3" s="354"/>
      <c r="MOS3" s="354"/>
      <c r="MOT3" s="354"/>
      <c r="MOU3" s="354"/>
      <c r="MOV3" s="354"/>
      <c r="MOW3" s="354"/>
      <c r="MOX3" s="354"/>
      <c r="MOY3" s="354"/>
      <c r="MOZ3" s="354"/>
      <c r="MPA3" s="354"/>
      <c r="MPB3" s="354"/>
      <c r="MPC3" s="354"/>
      <c r="MPD3" s="354"/>
      <c r="MPE3" s="354"/>
      <c r="MPF3" s="354"/>
      <c r="MPG3" s="354"/>
      <c r="MPH3" s="354"/>
      <c r="MPI3" s="354"/>
      <c r="MPJ3" s="354"/>
      <c r="MPK3" s="354"/>
      <c r="MPL3" s="354"/>
      <c r="MPM3" s="354"/>
      <c r="MPN3" s="354"/>
      <c r="MPO3" s="354"/>
      <c r="MPP3" s="354"/>
      <c r="MPQ3" s="354"/>
      <c r="MPR3" s="354"/>
      <c r="MPS3" s="354"/>
      <c r="MPT3" s="354"/>
      <c r="MPU3" s="354"/>
      <c r="MPV3" s="354"/>
      <c r="MPW3" s="354"/>
      <c r="MPX3" s="354"/>
      <c r="MPY3" s="354"/>
      <c r="MPZ3" s="354"/>
      <c r="MQA3" s="354"/>
      <c r="MQB3" s="354"/>
      <c r="MQC3" s="354"/>
      <c r="MQD3" s="354"/>
      <c r="MQE3" s="354"/>
      <c r="MQF3" s="354"/>
      <c r="MQG3" s="354"/>
      <c r="MQH3" s="354"/>
      <c r="MQI3" s="354"/>
      <c r="MQJ3" s="354"/>
      <c r="MQK3" s="354"/>
      <c r="MQL3" s="354"/>
      <c r="MQM3" s="354"/>
      <c r="MQN3" s="354"/>
      <c r="MQO3" s="354"/>
      <c r="MQP3" s="354"/>
      <c r="MQQ3" s="354"/>
      <c r="MQR3" s="354"/>
      <c r="MQS3" s="354"/>
      <c r="MQT3" s="354"/>
      <c r="MQU3" s="354"/>
      <c r="MQV3" s="354"/>
      <c r="MQW3" s="354"/>
      <c r="MQX3" s="354"/>
      <c r="MQY3" s="354"/>
      <c r="MQZ3" s="354"/>
      <c r="MRA3" s="354"/>
      <c r="MRB3" s="354"/>
      <c r="MRC3" s="354"/>
      <c r="MRD3" s="354"/>
      <c r="MRE3" s="354"/>
      <c r="MRF3" s="354"/>
      <c r="MRG3" s="354"/>
      <c r="MRH3" s="354"/>
      <c r="MRI3" s="354"/>
      <c r="MRJ3" s="354"/>
      <c r="MRK3" s="354"/>
      <c r="MRL3" s="354"/>
      <c r="MRM3" s="354"/>
      <c r="MRN3" s="354"/>
      <c r="MRO3" s="354"/>
      <c r="MRP3" s="354"/>
      <c r="MRQ3" s="354"/>
      <c r="MRR3" s="354"/>
      <c r="MRS3" s="354"/>
      <c r="MRT3" s="354"/>
      <c r="MRU3" s="354"/>
      <c r="MRV3" s="354"/>
      <c r="MRW3" s="354"/>
      <c r="MRX3" s="354"/>
      <c r="MRY3" s="354"/>
      <c r="MRZ3" s="354"/>
      <c r="MSA3" s="354"/>
      <c r="MSB3" s="354"/>
      <c r="MSC3" s="354"/>
      <c r="MSD3" s="354"/>
      <c r="MSE3" s="354"/>
      <c r="MSF3" s="354"/>
      <c r="MSG3" s="354"/>
      <c r="MSH3" s="354"/>
      <c r="MSI3" s="354"/>
      <c r="MSJ3" s="354"/>
      <c r="MSK3" s="354"/>
      <c r="MSL3" s="354"/>
      <c r="MSM3" s="354"/>
      <c r="MSN3" s="354"/>
      <c r="MSO3" s="354"/>
      <c r="MSP3" s="354"/>
      <c r="MSQ3" s="354"/>
      <c r="MSR3" s="354"/>
      <c r="MSS3" s="354"/>
      <c r="MST3" s="354"/>
      <c r="MSU3" s="354"/>
      <c r="MSV3" s="354"/>
      <c r="MSW3" s="354"/>
      <c r="MSX3" s="354"/>
      <c r="MSY3" s="354"/>
      <c r="MSZ3" s="354"/>
      <c r="MTA3" s="354"/>
      <c r="MTB3" s="354"/>
      <c r="MTC3" s="354"/>
      <c r="MTD3" s="354"/>
      <c r="MTE3" s="354"/>
      <c r="MTF3" s="354"/>
      <c r="MTG3" s="354"/>
      <c r="MTH3" s="354"/>
      <c r="MTI3" s="354"/>
      <c r="MTJ3" s="354"/>
      <c r="MTK3" s="354"/>
      <c r="MTL3" s="354"/>
      <c r="MTM3" s="354"/>
      <c r="MTN3" s="354"/>
      <c r="MTO3" s="354"/>
      <c r="MTP3" s="354"/>
      <c r="MTQ3" s="354"/>
      <c r="MTR3" s="354"/>
      <c r="MTS3" s="354"/>
      <c r="MTT3" s="354"/>
      <c r="MTU3" s="354"/>
      <c r="MTV3" s="354"/>
      <c r="MTW3" s="354"/>
      <c r="MTX3" s="354"/>
      <c r="MTY3" s="354"/>
      <c r="MTZ3" s="354"/>
      <c r="MUA3" s="354"/>
      <c r="MUB3" s="354"/>
      <c r="MUC3" s="354"/>
      <c r="MUD3" s="354"/>
      <c r="MUE3" s="354"/>
      <c r="MUF3" s="354"/>
      <c r="MUG3" s="354"/>
      <c r="MUH3" s="354"/>
      <c r="MUI3" s="354"/>
      <c r="MUJ3" s="354"/>
      <c r="MUK3" s="354"/>
      <c r="MUL3" s="354"/>
      <c r="MUM3" s="354"/>
      <c r="MUN3" s="354"/>
      <c r="MUO3" s="354"/>
      <c r="MUP3" s="354"/>
      <c r="MUQ3" s="354"/>
      <c r="MUR3" s="354"/>
      <c r="MUS3" s="354"/>
      <c r="MUT3" s="354"/>
      <c r="MUU3" s="354"/>
      <c r="MUV3" s="354"/>
      <c r="MUW3" s="354"/>
      <c r="MUX3" s="354"/>
      <c r="MUY3" s="354"/>
      <c r="MUZ3" s="354"/>
      <c r="MVA3" s="354"/>
      <c r="MVB3" s="354"/>
      <c r="MVC3" s="354"/>
      <c r="MVD3" s="354"/>
      <c r="MVE3" s="354"/>
      <c r="MVF3" s="354"/>
      <c r="MVG3" s="354"/>
      <c r="MVH3" s="354"/>
      <c r="MVI3" s="354"/>
      <c r="MVJ3" s="354"/>
      <c r="MVK3" s="354"/>
      <c r="MVL3" s="354"/>
      <c r="MVM3" s="354"/>
      <c r="MVN3" s="354"/>
      <c r="MVO3" s="354"/>
      <c r="MVP3" s="354"/>
      <c r="MVQ3" s="354"/>
      <c r="MVR3" s="354"/>
      <c r="MVS3" s="354"/>
      <c r="MVT3" s="354"/>
      <c r="MVU3" s="354"/>
      <c r="MVV3" s="354"/>
      <c r="MVW3" s="354"/>
      <c r="MVX3" s="354"/>
      <c r="MVY3" s="354"/>
      <c r="MVZ3" s="354"/>
      <c r="MWA3" s="354"/>
      <c r="MWB3" s="354"/>
      <c r="MWC3" s="354"/>
      <c r="MWD3" s="354"/>
      <c r="MWE3" s="354"/>
      <c r="MWF3" s="354"/>
      <c r="MWG3" s="354"/>
      <c r="MWH3" s="354"/>
      <c r="MWI3" s="354"/>
      <c r="MWJ3" s="354"/>
      <c r="MWK3" s="354"/>
      <c r="MWL3" s="354"/>
      <c r="MWM3" s="354"/>
      <c r="MWN3" s="354"/>
      <c r="MWO3" s="354"/>
      <c r="MWP3" s="354"/>
      <c r="MWQ3" s="354"/>
      <c r="MWR3" s="354"/>
      <c r="MWS3" s="354"/>
      <c r="MWT3" s="354"/>
      <c r="MWU3" s="354"/>
      <c r="MWV3" s="354"/>
      <c r="MWW3" s="354"/>
      <c r="MWX3" s="354"/>
      <c r="MWY3" s="354"/>
      <c r="MWZ3" s="354"/>
      <c r="MXA3" s="354"/>
      <c r="MXB3" s="354"/>
      <c r="MXC3" s="354"/>
      <c r="MXD3" s="354"/>
      <c r="MXE3" s="354"/>
      <c r="MXF3" s="354"/>
      <c r="MXG3" s="354"/>
      <c r="MXH3" s="354"/>
      <c r="MXI3" s="354"/>
      <c r="MXJ3" s="354"/>
      <c r="MXK3" s="354"/>
      <c r="MXL3" s="354"/>
      <c r="MXM3" s="354"/>
      <c r="MXN3" s="354"/>
      <c r="MXO3" s="354"/>
      <c r="MXP3" s="354"/>
      <c r="MXQ3" s="354"/>
      <c r="MXR3" s="354"/>
      <c r="MXS3" s="354"/>
      <c r="MXT3" s="354"/>
      <c r="MXU3" s="354"/>
      <c r="MXV3" s="354"/>
      <c r="MXW3" s="354"/>
      <c r="MXX3" s="354"/>
      <c r="MXY3" s="354"/>
      <c r="MXZ3" s="354"/>
      <c r="MYA3" s="354"/>
      <c r="MYB3" s="354"/>
      <c r="MYC3" s="354"/>
      <c r="MYD3" s="354"/>
      <c r="MYE3" s="354"/>
      <c r="MYF3" s="354"/>
      <c r="MYG3" s="354"/>
      <c r="MYH3" s="354"/>
      <c r="MYI3" s="354"/>
      <c r="MYJ3" s="354"/>
      <c r="MYK3" s="354"/>
      <c r="MYL3" s="354"/>
      <c r="MYM3" s="354"/>
      <c r="MYN3" s="354"/>
      <c r="MYO3" s="354"/>
      <c r="MYP3" s="354"/>
      <c r="MYQ3" s="354"/>
      <c r="MYR3" s="354"/>
      <c r="MYS3" s="354"/>
      <c r="MYT3" s="354"/>
      <c r="MYU3" s="354"/>
      <c r="MYV3" s="354"/>
      <c r="MYW3" s="354"/>
      <c r="MYX3" s="354"/>
      <c r="MYY3" s="354"/>
      <c r="MYZ3" s="354"/>
      <c r="MZA3" s="354"/>
      <c r="MZB3" s="354"/>
      <c r="MZC3" s="354"/>
      <c r="MZD3" s="354"/>
      <c r="MZE3" s="354"/>
      <c r="MZF3" s="354"/>
      <c r="MZG3" s="354"/>
      <c r="MZH3" s="354"/>
      <c r="MZI3" s="354"/>
      <c r="MZJ3" s="354"/>
      <c r="MZK3" s="354"/>
      <c r="MZL3" s="354"/>
      <c r="MZM3" s="354"/>
      <c r="MZN3" s="354"/>
      <c r="MZO3" s="354"/>
      <c r="MZP3" s="354"/>
      <c r="MZQ3" s="354"/>
      <c r="MZR3" s="354"/>
      <c r="MZS3" s="354"/>
      <c r="MZT3" s="354"/>
      <c r="MZU3" s="354"/>
      <c r="MZV3" s="354"/>
      <c r="MZW3" s="354"/>
      <c r="MZX3" s="354"/>
      <c r="MZY3" s="354"/>
      <c r="MZZ3" s="354"/>
      <c r="NAA3" s="354"/>
      <c r="NAB3" s="354"/>
      <c r="NAC3" s="354"/>
      <c r="NAD3" s="354"/>
      <c r="NAE3" s="354"/>
      <c r="NAF3" s="354"/>
      <c r="NAG3" s="354"/>
      <c r="NAH3" s="354"/>
      <c r="NAI3" s="354"/>
      <c r="NAJ3" s="354"/>
      <c r="NAK3" s="354"/>
      <c r="NAL3" s="354"/>
      <c r="NAM3" s="354"/>
      <c r="NAN3" s="354"/>
      <c r="NAO3" s="354"/>
      <c r="NAP3" s="354"/>
      <c r="NAQ3" s="354"/>
      <c r="NAR3" s="354"/>
      <c r="NAS3" s="354"/>
      <c r="NAT3" s="354"/>
      <c r="NAU3" s="354"/>
      <c r="NAV3" s="354"/>
      <c r="NAW3" s="354"/>
      <c r="NAX3" s="354"/>
      <c r="NAY3" s="354"/>
      <c r="NAZ3" s="354"/>
      <c r="NBA3" s="354"/>
      <c r="NBB3" s="354"/>
      <c r="NBC3" s="354"/>
      <c r="NBD3" s="354"/>
      <c r="NBE3" s="354"/>
      <c r="NBF3" s="354"/>
      <c r="NBG3" s="354"/>
      <c r="NBH3" s="354"/>
      <c r="NBI3" s="354"/>
      <c r="NBJ3" s="354"/>
      <c r="NBK3" s="354"/>
      <c r="NBL3" s="354"/>
      <c r="NBM3" s="354"/>
      <c r="NBN3" s="354"/>
      <c r="NBO3" s="354"/>
      <c r="NBP3" s="354"/>
      <c r="NBQ3" s="354"/>
      <c r="NBR3" s="354"/>
      <c r="NBS3" s="354"/>
      <c r="NBT3" s="354"/>
      <c r="NBU3" s="354"/>
      <c r="NBV3" s="354"/>
      <c r="NBW3" s="354"/>
      <c r="NBX3" s="354"/>
      <c r="NBY3" s="354"/>
      <c r="NBZ3" s="354"/>
      <c r="NCA3" s="354"/>
      <c r="NCB3" s="354"/>
      <c r="NCC3" s="354"/>
      <c r="NCD3" s="354"/>
      <c r="NCE3" s="354"/>
      <c r="NCF3" s="354"/>
      <c r="NCG3" s="354"/>
      <c r="NCH3" s="354"/>
      <c r="NCI3" s="354"/>
      <c r="NCJ3" s="354"/>
      <c r="NCK3" s="354"/>
      <c r="NCL3" s="354"/>
      <c r="NCM3" s="354"/>
      <c r="NCN3" s="354"/>
      <c r="NCO3" s="354"/>
      <c r="NCP3" s="354"/>
      <c r="NCQ3" s="354"/>
      <c r="NCR3" s="354"/>
      <c r="NCS3" s="354"/>
      <c r="NCT3" s="354"/>
      <c r="NCU3" s="354"/>
      <c r="NCV3" s="354"/>
      <c r="NCW3" s="354"/>
      <c r="NCX3" s="354"/>
      <c r="NCY3" s="354"/>
      <c r="NCZ3" s="354"/>
      <c r="NDA3" s="354"/>
      <c r="NDB3" s="354"/>
      <c r="NDC3" s="354"/>
      <c r="NDD3" s="354"/>
      <c r="NDE3" s="354"/>
      <c r="NDF3" s="354"/>
      <c r="NDG3" s="354"/>
      <c r="NDH3" s="354"/>
      <c r="NDI3" s="354"/>
      <c r="NDJ3" s="354"/>
      <c r="NDK3" s="354"/>
      <c r="NDL3" s="354"/>
      <c r="NDM3" s="354"/>
      <c r="NDN3" s="354"/>
      <c r="NDO3" s="354"/>
      <c r="NDP3" s="354"/>
      <c r="NDQ3" s="354"/>
      <c r="NDR3" s="354"/>
      <c r="NDS3" s="354"/>
      <c r="NDT3" s="354"/>
      <c r="NDU3" s="354"/>
      <c r="NDV3" s="354"/>
      <c r="NDW3" s="354"/>
      <c r="NDX3" s="354"/>
      <c r="NDY3" s="354"/>
      <c r="NDZ3" s="354"/>
      <c r="NEA3" s="354"/>
      <c r="NEB3" s="354"/>
      <c r="NEC3" s="354"/>
      <c r="NED3" s="354"/>
      <c r="NEE3" s="354"/>
      <c r="NEF3" s="354"/>
      <c r="NEG3" s="354"/>
      <c r="NEH3" s="354"/>
      <c r="NEI3" s="354"/>
      <c r="NEJ3" s="354"/>
      <c r="NEK3" s="354"/>
      <c r="NEL3" s="354"/>
      <c r="NEM3" s="354"/>
      <c r="NEN3" s="354"/>
      <c r="NEO3" s="354"/>
      <c r="NEP3" s="354"/>
      <c r="NEQ3" s="354"/>
      <c r="NER3" s="354"/>
      <c r="NES3" s="354"/>
      <c r="NET3" s="354"/>
      <c r="NEU3" s="354"/>
      <c r="NEV3" s="354"/>
      <c r="NEW3" s="354"/>
      <c r="NEX3" s="354"/>
      <c r="NEY3" s="354"/>
      <c r="NEZ3" s="354"/>
      <c r="NFA3" s="354"/>
      <c r="NFB3" s="354"/>
      <c r="NFC3" s="354"/>
      <c r="NFD3" s="354"/>
      <c r="NFE3" s="354"/>
      <c r="NFF3" s="354"/>
      <c r="NFG3" s="354"/>
      <c r="NFH3" s="354"/>
      <c r="NFI3" s="354"/>
      <c r="NFJ3" s="354"/>
      <c r="NFK3" s="354"/>
      <c r="NFL3" s="354"/>
      <c r="NFM3" s="354"/>
      <c r="NFN3" s="354"/>
      <c r="NFO3" s="354"/>
      <c r="NFP3" s="354"/>
      <c r="NFQ3" s="354"/>
      <c r="NFR3" s="354"/>
      <c r="NFS3" s="354"/>
      <c r="NFT3" s="354"/>
      <c r="NFU3" s="354"/>
      <c r="NFV3" s="354"/>
      <c r="NFW3" s="354"/>
      <c r="NFX3" s="354"/>
      <c r="NFY3" s="354"/>
      <c r="NFZ3" s="354"/>
      <c r="NGA3" s="354"/>
      <c r="NGB3" s="354"/>
      <c r="NGC3" s="354"/>
      <c r="NGD3" s="354"/>
      <c r="NGE3" s="354"/>
      <c r="NGF3" s="354"/>
      <c r="NGG3" s="354"/>
      <c r="NGH3" s="354"/>
      <c r="NGI3" s="354"/>
      <c r="NGJ3" s="354"/>
      <c r="NGK3" s="354"/>
      <c r="NGL3" s="354"/>
      <c r="NGM3" s="354"/>
      <c r="NGN3" s="354"/>
      <c r="NGO3" s="354"/>
      <c r="NGP3" s="354"/>
      <c r="NGQ3" s="354"/>
      <c r="NGR3" s="354"/>
      <c r="NGS3" s="354"/>
      <c r="NGT3" s="354"/>
      <c r="NGU3" s="354"/>
      <c r="NGV3" s="354"/>
      <c r="NGW3" s="354"/>
      <c r="NGX3" s="354"/>
      <c r="NGY3" s="354"/>
      <c r="NGZ3" s="354"/>
      <c r="NHA3" s="354"/>
      <c r="NHB3" s="354"/>
      <c r="NHC3" s="354"/>
      <c r="NHD3" s="354"/>
      <c r="NHE3" s="354"/>
      <c r="NHF3" s="354"/>
      <c r="NHG3" s="354"/>
      <c r="NHH3" s="354"/>
      <c r="NHI3" s="354"/>
      <c r="NHJ3" s="354"/>
      <c r="NHK3" s="354"/>
      <c r="NHL3" s="354"/>
      <c r="NHM3" s="354"/>
      <c r="NHN3" s="354"/>
      <c r="NHO3" s="354"/>
      <c r="NHP3" s="354"/>
      <c r="NHQ3" s="354"/>
      <c r="NHR3" s="354"/>
      <c r="NHS3" s="354"/>
      <c r="NHT3" s="354"/>
      <c r="NHU3" s="354"/>
      <c r="NHV3" s="354"/>
      <c r="NHW3" s="354"/>
      <c r="NHX3" s="354"/>
      <c r="NHY3" s="354"/>
      <c r="NHZ3" s="354"/>
      <c r="NIA3" s="354"/>
      <c r="NIB3" s="354"/>
      <c r="NIC3" s="354"/>
      <c r="NID3" s="354"/>
      <c r="NIE3" s="354"/>
      <c r="NIF3" s="354"/>
      <c r="NIG3" s="354"/>
      <c r="NIH3" s="354"/>
      <c r="NII3" s="354"/>
      <c r="NIJ3" s="354"/>
      <c r="NIK3" s="354"/>
      <c r="NIL3" s="354"/>
      <c r="NIM3" s="354"/>
      <c r="NIN3" s="354"/>
      <c r="NIO3" s="354"/>
      <c r="NIP3" s="354"/>
      <c r="NIQ3" s="354"/>
      <c r="NIR3" s="354"/>
      <c r="NIS3" s="354"/>
      <c r="NIT3" s="354"/>
      <c r="NIU3" s="354"/>
      <c r="NIV3" s="354"/>
      <c r="NIW3" s="354"/>
      <c r="NIX3" s="354"/>
      <c r="NIY3" s="354"/>
      <c r="NIZ3" s="354"/>
      <c r="NJA3" s="354"/>
      <c r="NJB3" s="354"/>
      <c r="NJC3" s="354"/>
      <c r="NJD3" s="354"/>
      <c r="NJE3" s="354"/>
      <c r="NJF3" s="354"/>
      <c r="NJG3" s="354"/>
      <c r="NJH3" s="354"/>
      <c r="NJI3" s="354"/>
      <c r="NJJ3" s="354"/>
      <c r="NJK3" s="354"/>
      <c r="NJL3" s="354"/>
      <c r="NJM3" s="354"/>
      <c r="NJN3" s="354"/>
      <c r="NJO3" s="354"/>
      <c r="NJP3" s="354"/>
      <c r="NJQ3" s="354"/>
      <c r="NJR3" s="354"/>
      <c r="NJS3" s="354"/>
      <c r="NJT3" s="354"/>
      <c r="NJU3" s="354"/>
      <c r="NJV3" s="354"/>
      <c r="NJW3" s="354"/>
      <c r="NJX3" s="354"/>
      <c r="NJY3" s="354"/>
      <c r="NJZ3" s="354"/>
      <c r="NKA3" s="354"/>
      <c r="NKB3" s="354"/>
      <c r="NKC3" s="354"/>
      <c r="NKD3" s="354"/>
      <c r="NKE3" s="354"/>
      <c r="NKF3" s="354"/>
      <c r="NKG3" s="354"/>
      <c r="NKH3" s="354"/>
      <c r="NKI3" s="354"/>
      <c r="NKJ3" s="354"/>
      <c r="NKK3" s="354"/>
      <c r="NKL3" s="354"/>
      <c r="NKM3" s="354"/>
      <c r="NKN3" s="354"/>
      <c r="NKO3" s="354"/>
      <c r="NKP3" s="354"/>
      <c r="NKQ3" s="354"/>
      <c r="NKR3" s="354"/>
      <c r="NKS3" s="354"/>
      <c r="NKT3" s="354"/>
      <c r="NKU3" s="354"/>
      <c r="NKV3" s="354"/>
      <c r="NKW3" s="354"/>
      <c r="NKX3" s="354"/>
      <c r="NKY3" s="354"/>
      <c r="NKZ3" s="354"/>
      <c r="NLA3" s="354"/>
      <c r="NLB3" s="354"/>
      <c r="NLC3" s="354"/>
      <c r="NLD3" s="354"/>
      <c r="NLE3" s="354"/>
      <c r="NLF3" s="354"/>
      <c r="NLG3" s="354"/>
      <c r="NLH3" s="354"/>
      <c r="NLI3" s="354"/>
      <c r="NLJ3" s="354"/>
      <c r="NLK3" s="354"/>
      <c r="NLL3" s="354"/>
      <c r="NLM3" s="354"/>
      <c r="NLN3" s="354"/>
      <c r="NLO3" s="354"/>
      <c r="NLP3" s="354"/>
      <c r="NLQ3" s="354"/>
      <c r="NLR3" s="354"/>
      <c r="NLS3" s="354"/>
      <c r="NLT3" s="354"/>
      <c r="NLU3" s="354"/>
      <c r="NLV3" s="354"/>
      <c r="NLW3" s="354"/>
      <c r="NLX3" s="354"/>
      <c r="NLY3" s="354"/>
      <c r="NLZ3" s="354"/>
      <c r="NMA3" s="354"/>
      <c r="NMB3" s="354"/>
      <c r="NMC3" s="354"/>
      <c r="NMD3" s="354"/>
      <c r="NME3" s="354"/>
      <c r="NMF3" s="354"/>
      <c r="NMG3" s="354"/>
      <c r="NMH3" s="354"/>
      <c r="NMI3" s="354"/>
      <c r="NMJ3" s="354"/>
      <c r="NMK3" s="354"/>
      <c r="NML3" s="354"/>
      <c r="NMM3" s="354"/>
      <c r="NMN3" s="354"/>
      <c r="NMO3" s="354"/>
      <c r="NMP3" s="354"/>
      <c r="NMQ3" s="354"/>
      <c r="NMR3" s="354"/>
      <c r="NMS3" s="354"/>
      <c r="NMT3" s="354"/>
      <c r="NMU3" s="354"/>
      <c r="NMV3" s="354"/>
      <c r="NMW3" s="354"/>
      <c r="NMX3" s="354"/>
      <c r="NMY3" s="354"/>
      <c r="NMZ3" s="354"/>
      <c r="NNA3" s="354"/>
      <c r="NNB3" s="354"/>
      <c r="NNC3" s="354"/>
      <c r="NND3" s="354"/>
      <c r="NNE3" s="354"/>
      <c r="NNF3" s="354"/>
      <c r="NNG3" s="354"/>
      <c r="NNH3" s="354"/>
      <c r="NNI3" s="354"/>
      <c r="NNJ3" s="354"/>
      <c r="NNK3" s="354"/>
      <c r="NNL3" s="354"/>
      <c r="NNM3" s="354"/>
      <c r="NNN3" s="354"/>
      <c r="NNO3" s="354"/>
      <c r="NNP3" s="354"/>
      <c r="NNQ3" s="354"/>
      <c r="NNR3" s="354"/>
      <c r="NNS3" s="354"/>
      <c r="NNT3" s="354"/>
      <c r="NNU3" s="354"/>
      <c r="NNV3" s="354"/>
      <c r="NNW3" s="354"/>
      <c r="NNX3" s="354"/>
      <c r="NNY3" s="354"/>
      <c r="NNZ3" s="354"/>
      <c r="NOA3" s="354"/>
      <c r="NOB3" s="354"/>
      <c r="NOC3" s="354"/>
      <c r="NOD3" s="354"/>
      <c r="NOE3" s="354"/>
      <c r="NOF3" s="354"/>
      <c r="NOG3" s="354"/>
      <c r="NOH3" s="354"/>
      <c r="NOI3" s="354"/>
      <c r="NOJ3" s="354"/>
      <c r="NOK3" s="354"/>
      <c r="NOL3" s="354"/>
      <c r="NOM3" s="354"/>
      <c r="NON3" s="354"/>
      <c r="NOO3" s="354"/>
      <c r="NOP3" s="354"/>
      <c r="NOQ3" s="354"/>
      <c r="NOR3" s="354"/>
      <c r="NOS3" s="354"/>
      <c r="NOT3" s="354"/>
      <c r="NOU3" s="354"/>
      <c r="NOV3" s="354"/>
      <c r="NOW3" s="354"/>
      <c r="NOX3" s="354"/>
      <c r="NOY3" s="354"/>
      <c r="NOZ3" s="354"/>
      <c r="NPA3" s="354"/>
      <c r="NPB3" s="354"/>
      <c r="NPC3" s="354"/>
      <c r="NPD3" s="354"/>
      <c r="NPE3" s="354"/>
      <c r="NPF3" s="354"/>
      <c r="NPG3" s="354"/>
      <c r="NPH3" s="354"/>
      <c r="NPI3" s="354"/>
      <c r="NPJ3" s="354"/>
      <c r="NPK3" s="354"/>
      <c r="NPL3" s="354"/>
      <c r="NPM3" s="354"/>
      <c r="NPN3" s="354"/>
      <c r="NPO3" s="354"/>
      <c r="NPP3" s="354"/>
      <c r="NPQ3" s="354"/>
      <c r="NPR3" s="354"/>
      <c r="NPS3" s="354"/>
      <c r="NPT3" s="354"/>
      <c r="NPU3" s="354"/>
      <c r="NPV3" s="354"/>
      <c r="NPW3" s="354"/>
      <c r="NPX3" s="354"/>
      <c r="NPY3" s="354"/>
      <c r="NPZ3" s="354"/>
      <c r="NQA3" s="354"/>
      <c r="NQB3" s="354"/>
      <c r="NQC3" s="354"/>
      <c r="NQD3" s="354"/>
      <c r="NQE3" s="354"/>
      <c r="NQF3" s="354"/>
      <c r="NQG3" s="354"/>
      <c r="NQH3" s="354"/>
      <c r="NQI3" s="354"/>
      <c r="NQJ3" s="354"/>
      <c r="NQK3" s="354"/>
      <c r="NQL3" s="354"/>
      <c r="NQM3" s="354"/>
      <c r="NQN3" s="354"/>
      <c r="NQO3" s="354"/>
      <c r="NQP3" s="354"/>
      <c r="NQQ3" s="354"/>
      <c r="NQR3" s="354"/>
      <c r="NQS3" s="354"/>
      <c r="NQT3" s="354"/>
      <c r="NQU3" s="354"/>
      <c r="NQV3" s="354"/>
      <c r="NQW3" s="354"/>
      <c r="NQX3" s="354"/>
      <c r="NQY3" s="354"/>
      <c r="NQZ3" s="354"/>
      <c r="NRA3" s="354"/>
      <c r="NRB3" s="354"/>
      <c r="NRC3" s="354"/>
      <c r="NRD3" s="354"/>
      <c r="NRE3" s="354"/>
      <c r="NRF3" s="354"/>
      <c r="NRG3" s="354"/>
      <c r="NRH3" s="354"/>
      <c r="NRI3" s="354"/>
      <c r="NRJ3" s="354"/>
      <c r="NRK3" s="354"/>
      <c r="NRL3" s="354"/>
      <c r="NRM3" s="354"/>
      <c r="NRN3" s="354"/>
      <c r="NRO3" s="354"/>
      <c r="NRP3" s="354"/>
      <c r="NRQ3" s="354"/>
      <c r="NRR3" s="354"/>
      <c r="NRS3" s="354"/>
      <c r="NRT3" s="354"/>
      <c r="NRU3" s="354"/>
      <c r="NRV3" s="354"/>
      <c r="NRW3" s="354"/>
      <c r="NRX3" s="354"/>
      <c r="NRY3" s="354"/>
      <c r="NRZ3" s="354"/>
      <c r="NSA3" s="354"/>
      <c r="NSB3" s="354"/>
      <c r="NSC3" s="354"/>
      <c r="NSD3" s="354"/>
      <c r="NSE3" s="354"/>
      <c r="NSF3" s="354"/>
      <c r="NSG3" s="354"/>
      <c r="NSH3" s="354"/>
      <c r="NSI3" s="354"/>
      <c r="NSJ3" s="354"/>
      <c r="NSK3" s="354"/>
      <c r="NSL3" s="354"/>
      <c r="NSM3" s="354"/>
      <c r="NSN3" s="354"/>
      <c r="NSO3" s="354"/>
      <c r="NSP3" s="354"/>
      <c r="NSQ3" s="354"/>
      <c r="NSR3" s="354"/>
      <c r="NSS3" s="354"/>
      <c r="NST3" s="354"/>
      <c r="NSU3" s="354"/>
      <c r="NSV3" s="354"/>
      <c r="NSW3" s="354"/>
      <c r="NSX3" s="354"/>
      <c r="NSY3" s="354"/>
      <c r="NSZ3" s="354"/>
      <c r="NTA3" s="354"/>
      <c r="NTB3" s="354"/>
      <c r="NTC3" s="354"/>
      <c r="NTD3" s="354"/>
      <c r="NTE3" s="354"/>
      <c r="NTF3" s="354"/>
      <c r="NTG3" s="354"/>
      <c r="NTH3" s="354"/>
      <c r="NTI3" s="354"/>
      <c r="NTJ3" s="354"/>
      <c r="NTK3" s="354"/>
      <c r="NTL3" s="354"/>
      <c r="NTM3" s="354"/>
      <c r="NTN3" s="354"/>
      <c r="NTO3" s="354"/>
      <c r="NTP3" s="354"/>
      <c r="NTQ3" s="354"/>
      <c r="NTR3" s="354"/>
      <c r="NTS3" s="354"/>
      <c r="NTT3" s="354"/>
      <c r="NTU3" s="354"/>
      <c r="NTV3" s="354"/>
      <c r="NTW3" s="354"/>
      <c r="NTX3" s="354"/>
      <c r="NTY3" s="354"/>
      <c r="NTZ3" s="354"/>
      <c r="NUA3" s="354"/>
      <c r="NUB3" s="354"/>
      <c r="NUC3" s="354"/>
      <c r="NUD3" s="354"/>
      <c r="NUE3" s="354"/>
      <c r="NUF3" s="354"/>
      <c r="NUG3" s="354"/>
      <c r="NUH3" s="354"/>
      <c r="NUI3" s="354"/>
      <c r="NUJ3" s="354"/>
      <c r="NUK3" s="354"/>
      <c r="NUL3" s="354"/>
      <c r="NUM3" s="354"/>
      <c r="NUN3" s="354"/>
      <c r="NUO3" s="354"/>
      <c r="NUP3" s="354"/>
      <c r="NUQ3" s="354"/>
      <c r="NUR3" s="354"/>
      <c r="NUS3" s="354"/>
      <c r="NUT3" s="354"/>
      <c r="NUU3" s="354"/>
      <c r="NUV3" s="354"/>
      <c r="NUW3" s="354"/>
      <c r="NUX3" s="354"/>
      <c r="NUY3" s="354"/>
      <c r="NUZ3" s="354"/>
      <c r="NVA3" s="354"/>
      <c r="NVB3" s="354"/>
      <c r="NVC3" s="354"/>
      <c r="NVD3" s="354"/>
      <c r="NVE3" s="354"/>
      <c r="NVF3" s="354"/>
      <c r="NVG3" s="354"/>
      <c r="NVH3" s="354"/>
      <c r="NVI3" s="354"/>
      <c r="NVJ3" s="354"/>
      <c r="NVK3" s="354"/>
      <c r="NVL3" s="354"/>
      <c r="NVM3" s="354"/>
      <c r="NVN3" s="354"/>
      <c r="NVO3" s="354"/>
      <c r="NVP3" s="354"/>
      <c r="NVQ3" s="354"/>
      <c r="NVR3" s="354"/>
      <c r="NVS3" s="354"/>
      <c r="NVT3" s="354"/>
      <c r="NVU3" s="354"/>
      <c r="NVV3" s="354"/>
      <c r="NVW3" s="354"/>
      <c r="NVX3" s="354"/>
      <c r="NVY3" s="354"/>
      <c r="NVZ3" s="354"/>
      <c r="NWA3" s="354"/>
      <c r="NWB3" s="354"/>
      <c r="NWC3" s="354"/>
      <c r="NWD3" s="354"/>
      <c r="NWE3" s="354"/>
      <c r="NWF3" s="354"/>
      <c r="NWG3" s="354"/>
      <c r="NWH3" s="354"/>
      <c r="NWI3" s="354"/>
      <c r="NWJ3" s="354"/>
      <c r="NWK3" s="354"/>
      <c r="NWL3" s="354"/>
      <c r="NWM3" s="354"/>
      <c r="NWN3" s="354"/>
      <c r="NWO3" s="354"/>
      <c r="NWP3" s="354"/>
      <c r="NWQ3" s="354"/>
      <c r="NWR3" s="354"/>
      <c r="NWS3" s="354"/>
      <c r="NWT3" s="354"/>
      <c r="NWU3" s="354"/>
      <c r="NWV3" s="354"/>
      <c r="NWW3" s="354"/>
      <c r="NWX3" s="354"/>
      <c r="NWY3" s="354"/>
      <c r="NWZ3" s="354"/>
      <c r="NXA3" s="354"/>
      <c r="NXB3" s="354"/>
      <c r="NXC3" s="354"/>
      <c r="NXD3" s="354"/>
      <c r="NXE3" s="354"/>
      <c r="NXF3" s="354"/>
      <c r="NXG3" s="354"/>
      <c r="NXH3" s="354"/>
      <c r="NXI3" s="354"/>
      <c r="NXJ3" s="354"/>
      <c r="NXK3" s="354"/>
      <c r="NXL3" s="354"/>
      <c r="NXM3" s="354"/>
      <c r="NXN3" s="354"/>
      <c r="NXO3" s="354"/>
      <c r="NXP3" s="354"/>
      <c r="NXQ3" s="354"/>
      <c r="NXR3" s="354"/>
      <c r="NXS3" s="354"/>
      <c r="NXT3" s="354"/>
      <c r="NXU3" s="354"/>
      <c r="NXV3" s="354"/>
      <c r="NXW3" s="354"/>
      <c r="NXX3" s="354"/>
      <c r="NXY3" s="354"/>
      <c r="NXZ3" s="354"/>
      <c r="NYA3" s="354"/>
      <c r="NYB3" s="354"/>
      <c r="NYC3" s="354"/>
      <c r="NYD3" s="354"/>
      <c r="NYE3" s="354"/>
      <c r="NYF3" s="354"/>
      <c r="NYG3" s="354"/>
      <c r="NYH3" s="354"/>
      <c r="NYI3" s="354"/>
      <c r="NYJ3" s="354"/>
      <c r="NYK3" s="354"/>
      <c r="NYL3" s="354"/>
      <c r="NYM3" s="354"/>
      <c r="NYN3" s="354"/>
      <c r="NYO3" s="354"/>
      <c r="NYP3" s="354"/>
      <c r="NYQ3" s="354"/>
      <c r="NYR3" s="354"/>
      <c r="NYS3" s="354"/>
      <c r="NYT3" s="354"/>
      <c r="NYU3" s="354"/>
      <c r="NYV3" s="354"/>
      <c r="NYW3" s="354"/>
      <c r="NYX3" s="354"/>
      <c r="NYY3" s="354"/>
      <c r="NYZ3" s="354"/>
      <c r="NZA3" s="354"/>
      <c r="NZB3" s="354"/>
      <c r="NZC3" s="354"/>
      <c r="NZD3" s="354"/>
      <c r="NZE3" s="354"/>
      <c r="NZF3" s="354"/>
      <c r="NZG3" s="354"/>
      <c r="NZH3" s="354"/>
      <c r="NZI3" s="354"/>
      <c r="NZJ3" s="354"/>
      <c r="NZK3" s="354"/>
      <c r="NZL3" s="354"/>
      <c r="NZM3" s="354"/>
      <c r="NZN3" s="354"/>
      <c r="NZO3" s="354"/>
      <c r="NZP3" s="354"/>
      <c r="NZQ3" s="354"/>
      <c r="NZR3" s="354"/>
      <c r="NZS3" s="354"/>
      <c r="NZT3" s="354"/>
      <c r="NZU3" s="354"/>
      <c r="NZV3" s="354"/>
      <c r="NZW3" s="354"/>
      <c r="NZX3" s="354"/>
      <c r="NZY3" s="354"/>
      <c r="NZZ3" s="354"/>
      <c r="OAA3" s="354"/>
      <c r="OAB3" s="354"/>
      <c r="OAC3" s="354"/>
      <c r="OAD3" s="354"/>
      <c r="OAE3" s="354"/>
      <c r="OAF3" s="354"/>
      <c r="OAG3" s="354"/>
      <c r="OAH3" s="354"/>
      <c r="OAI3" s="354"/>
      <c r="OAJ3" s="354"/>
      <c r="OAK3" s="354"/>
      <c r="OAL3" s="354"/>
      <c r="OAM3" s="354"/>
      <c r="OAN3" s="354"/>
      <c r="OAO3" s="354"/>
      <c r="OAP3" s="354"/>
      <c r="OAQ3" s="354"/>
      <c r="OAR3" s="354"/>
      <c r="OAS3" s="354"/>
      <c r="OAT3" s="354"/>
      <c r="OAU3" s="354"/>
      <c r="OAV3" s="354"/>
      <c r="OAW3" s="354"/>
      <c r="OAX3" s="354"/>
      <c r="OAY3" s="354"/>
      <c r="OAZ3" s="354"/>
      <c r="OBA3" s="354"/>
      <c r="OBB3" s="354"/>
      <c r="OBC3" s="354"/>
      <c r="OBD3" s="354"/>
      <c r="OBE3" s="354"/>
      <c r="OBF3" s="354"/>
      <c r="OBG3" s="354"/>
      <c r="OBH3" s="354"/>
      <c r="OBI3" s="354"/>
      <c r="OBJ3" s="354"/>
      <c r="OBK3" s="354"/>
      <c r="OBL3" s="354"/>
      <c r="OBM3" s="354"/>
      <c r="OBN3" s="354"/>
      <c r="OBO3" s="354"/>
      <c r="OBP3" s="354"/>
      <c r="OBQ3" s="354"/>
      <c r="OBR3" s="354"/>
      <c r="OBS3" s="354"/>
      <c r="OBT3" s="354"/>
      <c r="OBU3" s="354"/>
      <c r="OBV3" s="354"/>
      <c r="OBW3" s="354"/>
      <c r="OBX3" s="354"/>
      <c r="OBY3" s="354"/>
      <c r="OBZ3" s="354"/>
      <c r="OCA3" s="354"/>
      <c r="OCB3" s="354"/>
      <c r="OCC3" s="354"/>
      <c r="OCD3" s="354"/>
      <c r="OCE3" s="354"/>
      <c r="OCF3" s="354"/>
      <c r="OCG3" s="354"/>
      <c r="OCH3" s="354"/>
      <c r="OCI3" s="354"/>
      <c r="OCJ3" s="354"/>
      <c r="OCK3" s="354"/>
      <c r="OCL3" s="354"/>
      <c r="OCM3" s="354"/>
      <c r="OCN3" s="354"/>
      <c r="OCO3" s="354"/>
      <c r="OCP3" s="354"/>
      <c r="OCQ3" s="354"/>
      <c r="OCR3" s="354"/>
      <c r="OCS3" s="354"/>
      <c r="OCT3" s="354"/>
      <c r="OCU3" s="354"/>
      <c r="OCV3" s="354"/>
      <c r="OCW3" s="354"/>
      <c r="OCX3" s="354"/>
      <c r="OCY3" s="354"/>
      <c r="OCZ3" s="354"/>
      <c r="ODA3" s="354"/>
      <c r="ODB3" s="354"/>
      <c r="ODC3" s="354"/>
      <c r="ODD3" s="354"/>
      <c r="ODE3" s="354"/>
      <c r="ODF3" s="354"/>
      <c r="ODG3" s="354"/>
      <c r="ODH3" s="354"/>
      <c r="ODI3" s="354"/>
      <c r="ODJ3" s="354"/>
      <c r="ODK3" s="354"/>
      <c r="ODL3" s="354"/>
      <c r="ODM3" s="354"/>
      <c r="ODN3" s="354"/>
      <c r="ODO3" s="354"/>
      <c r="ODP3" s="354"/>
      <c r="ODQ3" s="354"/>
      <c r="ODR3" s="354"/>
      <c r="ODS3" s="354"/>
      <c r="ODT3" s="354"/>
      <c r="ODU3" s="354"/>
      <c r="ODV3" s="354"/>
      <c r="ODW3" s="354"/>
      <c r="ODX3" s="354"/>
      <c r="ODY3" s="354"/>
      <c r="ODZ3" s="354"/>
      <c r="OEA3" s="354"/>
      <c r="OEB3" s="354"/>
      <c r="OEC3" s="354"/>
      <c r="OED3" s="354"/>
      <c r="OEE3" s="354"/>
      <c r="OEF3" s="354"/>
      <c r="OEG3" s="354"/>
      <c r="OEH3" s="354"/>
      <c r="OEI3" s="354"/>
      <c r="OEJ3" s="354"/>
      <c r="OEK3" s="354"/>
      <c r="OEL3" s="354"/>
      <c r="OEM3" s="354"/>
      <c r="OEN3" s="354"/>
      <c r="OEO3" s="354"/>
      <c r="OEP3" s="354"/>
      <c r="OEQ3" s="354"/>
      <c r="OER3" s="354"/>
      <c r="OES3" s="354"/>
      <c r="OET3" s="354"/>
      <c r="OEU3" s="354"/>
      <c r="OEV3" s="354"/>
      <c r="OEW3" s="354"/>
      <c r="OEX3" s="354"/>
      <c r="OEY3" s="354"/>
      <c r="OEZ3" s="354"/>
      <c r="OFA3" s="354"/>
      <c r="OFB3" s="354"/>
      <c r="OFC3" s="354"/>
      <c r="OFD3" s="354"/>
      <c r="OFE3" s="354"/>
      <c r="OFF3" s="354"/>
      <c r="OFG3" s="354"/>
      <c r="OFH3" s="354"/>
      <c r="OFI3" s="354"/>
      <c r="OFJ3" s="354"/>
      <c r="OFK3" s="354"/>
      <c r="OFL3" s="354"/>
      <c r="OFM3" s="354"/>
      <c r="OFN3" s="354"/>
      <c r="OFO3" s="354"/>
      <c r="OFP3" s="354"/>
      <c r="OFQ3" s="354"/>
      <c r="OFR3" s="354"/>
      <c r="OFS3" s="354"/>
      <c r="OFT3" s="354"/>
      <c r="OFU3" s="354"/>
      <c r="OFV3" s="354"/>
      <c r="OFW3" s="354"/>
      <c r="OFX3" s="354"/>
      <c r="OFY3" s="354"/>
      <c r="OFZ3" s="354"/>
      <c r="OGA3" s="354"/>
      <c r="OGB3" s="354"/>
      <c r="OGC3" s="354"/>
      <c r="OGD3" s="354"/>
      <c r="OGE3" s="354"/>
      <c r="OGF3" s="354"/>
      <c r="OGG3" s="354"/>
      <c r="OGH3" s="354"/>
      <c r="OGI3" s="354"/>
      <c r="OGJ3" s="354"/>
      <c r="OGK3" s="354"/>
      <c r="OGL3" s="354"/>
      <c r="OGM3" s="354"/>
      <c r="OGN3" s="354"/>
      <c r="OGO3" s="354"/>
      <c r="OGP3" s="354"/>
      <c r="OGQ3" s="354"/>
      <c r="OGR3" s="354"/>
      <c r="OGS3" s="354"/>
      <c r="OGT3" s="354"/>
      <c r="OGU3" s="354"/>
      <c r="OGV3" s="354"/>
      <c r="OGW3" s="354"/>
      <c r="OGX3" s="354"/>
      <c r="OGY3" s="354"/>
      <c r="OGZ3" s="354"/>
      <c r="OHA3" s="354"/>
      <c r="OHB3" s="354"/>
      <c r="OHC3" s="354"/>
      <c r="OHD3" s="354"/>
      <c r="OHE3" s="354"/>
      <c r="OHF3" s="354"/>
      <c r="OHG3" s="354"/>
      <c r="OHH3" s="354"/>
      <c r="OHI3" s="354"/>
      <c r="OHJ3" s="354"/>
      <c r="OHK3" s="354"/>
      <c r="OHL3" s="354"/>
      <c r="OHM3" s="354"/>
      <c r="OHN3" s="354"/>
      <c r="OHO3" s="354"/>
      <c r="OHP3" s="354"/>
      <c r="OHQ3" s="354"/>
      <c r="OHR3" s="354"/>
      <c r="OHS3" s="354"/>
      <c r="OHT3" s="354"/>
      <c r="OHU3" s="354"/>
      <c r="OHV3" s="354"/>
      <c r="OHW3" s="354"/>
      <c r="OHX3" s="354"/>
      <c r="OHY3" s="354"/>
      <c r="OHZ3" s="354"/>
      <c r="OIA3" s="354"/>
      <c r="OIB3" s="354"/>
      <c r="OIC3" s="354"/>
      <c r="OID3" s="354"/>
      <c r="OIE3" s="354"/>
      <c r="OIF3" s="354"/>
      <c r="OIG3" s="354"/>
      <c r="OIH3" s="354"/>
      <c r="OII3" s="354"/>
      <c r="OIJ3" s="354"/>
      <c r="OIK3" s="354"/>
      <c r="OIL3" s="354"/>
      <c r="OIM3" s="354"/>
      <c r="OIN3" s="354"/>
      <c r="OIO3" s="354"/>
      <c r="OIP3" s="354"/>
      <c r="OIQ3" s="354"/>
      <c r="OIR3" s="354"/>
      <c r="OIS3" s="354"/>
      <c r="OIT3" s="354"/>
      <c r="OIU3" s="354"/>
      <c r="OIV3" s="354"/>
      <c r="OIW3" s="354"/>
      <c r="OIX3" s="354"/>
      <c r="OIY3" s="354"/>
      <c r="OIZ3" s="354"/>
      <c r="OJA3" s="354"/>
      <c r="OJB3" s="354"/>
      <c r="OJC3" s="354"/>
      <c r="OJD3" s="354"/>
      <c r="OJE3" s="354"/>
      <c r="OJF3" s="354"/>
      <c r="OJG3" s="354"/>
      <c r="OJH3" s="354"/>
      <c r="OJI3" s="354"/>
      <c r="OJJ3" s="354"/>
      <c r="OJK3" s="354"/>
      <c r="OJL3" s="354"/>
      <c r="OJM3" s="354"/>
      <c r="OJN3" s="354"/>
      <c r="OJO3" s="354"/>
      <c r="OJP3" s="354"/>
      <c r="OJQ3" s="354"/>
      <c r="OJR3" s="354"/>
      <c r="OJS3" s="354"/>
      <c r="OJT3" s="354"/>
      <c r="OJU3" s="354"/>
      <c r="OJV3" s="354"/>
      <c r="OJW3" s="354"/>
      <c r="OJX3" s="354"/>
      <c r="OJY3" s="354"/>
      <c r="OJZ3" s="354"/>
      <c r="OKA3" s="354"/>
      <c r="OKB3" s="354"/>
      <c r="OKC3" s="354"/>
      <c r="OKD3" s="354"/>
      <c r="OKE3" s="354"/>
      <c r="OKF3" s="354"/>
      <c r="OKG3" s="354"/>
      <c r="OKH3" s="354"/>
      <c r="OKI3" s="354"/>
      <c r="OKJ3" s="354"/>
      <c r="OKK3" s="354"/>
      <c r="OKL3" s="354"/>
      <c r="OKM3" s="354"/>
      <c r="OKN3" s="354"/>
      <c r="OKO3" s="354"/>
      <c r="OKP3" s="354"/>
      <c r="OKQ3" s="354"/>
      <c r="OKR3" s="354"/>
      <c r="OKS3" s="354"/>
      <c r="OKT3" s="354"/>
      <c r="OKU3" s="354"/>
      <c r="OKV3" s="354"/>
      <c r="OKW3" s="354"/>
      <c r="OKX3" s="354"/>
      <c r="OKY3" s="354"/>
      <c r="OKZ3" s="354"/>
      <c r="OLA3" s="354"/>
      <c r="OLB3" s="354"/>
      <c r="OLC3" s="354"/>
      <c r="OLD3" s="354"/>
      <c r="OLE3" s="354"/>
      <c r="OLF3" s="354"/>
      <c r="OLG3" s="354"/>
      <c r="OLH3" s="354"/>
      <c r="OLI3" s="354"/>
      <c r="OLJ3" s="354"/>
      <c r="OLK3" s="354"/>
      <c r="OLL3" s="354"/>
      <c r="OLM3" s="354"/>
      <c r="OLN3" s="354"/>
      <c r="OLO3" s="354"/>
      <c r="OLP3" s="354"/>
      <c r="OLQ3" s="354"/>
      <c r="OLR3" s="354"/>
      <c r="OLS3" s="354"/>
      <c r="OLT3" s="354"/>
      <c r="OLU3" s="354"/>
      <c r="OLV3" s="354"/>
      <c r="OLW3" s="354"/>
      <c r="OLX3" s="354"/>
      <c r="OLY3" s="354"/>
      <c r="OLZ3" s="354"/>
      <c r="OMA3" s="354"/>
      <c r="OMB3" s="354"/>
      <c r="OMC3" s="354"/>
      <c r="OMD3" s="354"/>
      <c r="OME3" s="354"/>
      <c r="OMF3" s="354"/>
      <c r="OMG3" s="354"/>
      <c r="OMH3" s="354"/>
      <c r="OMI3" s="354"/>
      <c r="OMJ3" s="354"/>
      <c r="OMK3" s="354"/>
      <c r="OML3" s="354"/>
      <c r="OMM3" s="354"/>
      <c r="OMN3" s="354"/>
      <c r="OMO3" s="354"/>
      <c r="OMP3" s="354"/>
      <c r="OMQ3" s="354"/>
      <c r="OMR3" s="354"/>
      <c r="OMS3" s="354"/>
      <c r="OMT3" s="354"/>
      <c r="OMU3" s="354"/>
      <c r="OMV3" s="354"/>
      <c r="OMW3" s="354"/>
      <c r="OMX3" s="354"/>
      <c r="OMY3" s="354"/>
      <c r="OMZ3" s="354"/>
      <c r="ONA3" s="354"/>
      <c r="ONB3" s="354"/>
      <c r="ONC3" s="354"/>
      <c r="OND3" s="354"/>
      <c r="ONE3" s="354"/>
      <c r="ONF3" s="354"/>
      <c r="ONG3" s="354"/>
      <c r="ONH3" s="354"/>
      <c r="ONI3" s="354"/>
      <c r="ONJ3" s="354"/>
      <c r="ONK3" s="354"/>
      <c r="ONL3" s="354"/>
      <c r="ONM3" s="354"/>
      <c r="ONN3" s="354"/>
      <c r="ONO3" s="354"/>
      <c r="ONP3" s="354"/>
      <c r="ONQ3" s="354"/>
      <c r="ONR3" s="354"/>
      <c r="ONS3" s="354"/>
      <c r="ONT3" s="354"/>
      <c r="ONU3" s="354"/>
      <c r="ONV3" s="354"/>
      <c r="ONW3" s="354"/>
      <c r="ONX3" s="354"/>
      <c r="ONY3" s="354"/>
      <c r="ONZ3" s="354"/>
      <c r="OOA3" s="354"/>
      <c r="OOB3" s="354"/>
      <c r="OOC3" s="354"/>
      <c r="OOD3" s="354"/>
      <c r="OOE3" s="354"/>
      <c r="OOF3" s="354"/>
      <c r="OOG3" s="354"/>
      <c r="OOH3" s="354"/>
      <c r="OOI3" s="354"/>
      <c r="OOJ3" s="354"/>
      <c r="OOK3" s="354"/>
      <c r="OOL3" s="354"/>
      <c r="OOM3" s="354"/>
      <c r="OON3" s="354"/>
      <c r="OOO3" s="354"/>
      <c r="OOP3" s="354"/>
      <c r="OOQ3" s="354"/>
      <c r="OOR3" s="354"/>
      <c r="OOS3" s="354"/>
      <c r="OOT3" s="354"/>
      <c r="OOU3" s="354"/>
      <c r="OOV3" s="354"/>
      <c r="OOW3" s="354"/>
      <c r="OOX3" s="354"/>
      <c r="OOY3" s="354"/>
      <c r="OOZ3" s="354"/>
      <c r="OPA3" s="354"/>
      <c r="OPB3" s="354"/>
      <c r="OPC3" s="354"/>
      <c r="OPD3" s="354"/>
      <c r="OPE3" s="354"/>
      <c r="OPF3" s="354"/>
      <c r="OPG3" s="354"/>
      <c r="OPH3" s="354"/>
      <c r="OPI3" s="354"/>
      <c r="OPJ3" s="354"/>
      <c r="OPK3" s="354"/>
      <c r="OPL3" s="354"/>
      <c r="OPM3" s="354"/>
      <c r="OPN3" s="354"/>
      <c r="OPO3" s="354"/>
      <c r="OPP3" s="354"/>
      <c r="OPQ3" s="354"/>
      <c r="OPR3" s="354"/>
      <c r="OPS3" s="354"/>
      <c r="OPT3" s="354"/>
      <c r="OPU3" s="354"/>
      <c r="OPV3" s="354"/>
      <c r="OPW3" s="354"/>
      <c r="OPX3" s="354"/>
      <c r="OPY3" s="354"/>
      <c r="OPZ3" s="354"/>
      <c r="OQA3" s="354"/>
      <c r="OQB3" s="354"/>
      <c r="OQC3" s="354"/>
      <c r="OQD3" s="354"/>
      <c r="OQE3" s="354"/>
      <c r="OQF3" s="354"/>
      <c r="OQG3" s="354"/>
      <c r="OQH3" s="354"/>
      <c r="OQI3" s="354"/>
      <c r="OQJ3" s="354"/>
      <c r="OQK3" s="354"/>
      <c r="OQL3" s="354"/>
      <c r="OQM3" s="354"/>
      <c r="OQN3" s="354"/>
      <c r="OQO3" s="354"/>
      <c r="OQP3" s="354"/>
      <c r="OQQ3" s="354"/>
      <c r="OQR3" s="354"/>
      <c r="OQS3" s="354"/>
      <c r="OQT3" s="354"/>
      <c r="OQU3" s="354"/>
      <c r="OQV3" s="354"/>
      <c r="OQW3" s="354"/>
      <c r="OQX3" s="354"/>
      <c r="OQY3" s="354"/>
      <c r="OQZ3" s="354"/>
      <c r="ORA3" s="354"/>
      <c r="ORB3" s="354"/>
      <c r="ORC3" s="354"/>
      <c r="ORD3" s="354"/>
      <c r="ORE3" s="354"/>
      <c r="ORF3" s="354"/>
      <c r="ORG3" s="354"/>
      <c r="ORH3" s="354"/>
      <c r="ORI3" s="354"/>
      <c r="ORJ3" s="354"/>
      <c r="ORK3" s="354"/>
      <c r="ORL3" s="354"/>
      <c r="ORM3" s="354"/>
      <c r="ORN3" s="354"/>
      <c r="ORO3" s="354"/>
      <c r="ORP3" s="354"/>
      <c r="ORQ3" s="354"/>
      <c r="ORR3" s="354"/>
      <c r="ORS3" s="354"/>
      <c r="ORT3" s="354"/>
      <c r="ORU3" s="354"/>
      <c r="ORV3" s="354"/>
      <c r="ORW3" s="354"/>
      <c r="ORX3" s="354"/>
      <c r="ORY3" s="354"/>
      <c r="ORZ3" s="354"/>
      <c r="OSA3" s="354"/>
      <c r="OSB3" s="354"/>
      <c r="OSC3" s="354"/>
      <c r="OSD3" s="354"/>
      <c r="OSE3" s="354"/>
      <c r="OSF3" s="354"/>
      <c r="OSG3" s="354"/>
      <c r="OSH3" s="354"/>
      <c r="OSI3" s="354"/>
      <c r="OSJ3" s="354"/>
      <c r="OSK3" s="354"/>
      <c r="OSL3" s="354"/>
      <c r="OSM3" s="354"/>
      <c r="OSN3" s="354"/>
      <c r="OSO3" s="354"/>
      <c r="OSP3" s="354"/>
      <c r="OSQ3" s="354"/>
      <c r="OSR3" s="354"/>
      <c r="OSS3" s="354"/>
      <c r="OST3" s="354"/>
      <c r="OSU3" s="354"/>
      <c r="OSV3" s="354"/>
      <c r="OSW3" s="354"/>
      <c r="OSX3" s="354"/>
      <c r="OSY3" s="354"/>
      <c r="OSZ3" s="354"/>
      <c r="OTA3" s="354"/>
      <c r="OTB3" s="354"/>
      <c r="OTC3" s="354"/>
      <c r="OTD3" s="354"/>
      <c r="OTE3" s="354"/>
      <c r="OTF3" s="354"/>
      <c r="OTG3" s="354"/>
      <c r="OTH3" s="354"/>
      <c r="OTI3" s="354"/>
      <c r="OTJ3" s="354"/>
      <c r="OTK3" s="354"/>
      <c r="OTL3" s="354"/>
      <c r="OTM3" s="354"/>
      <c r="OTN3" s="354"/>
      <c r="OTO3" s="354"/>
      <c r="OTP3" s="354"/>
      <c r="OTQ3" s="354"/>
      <c r="OTR3" s="354"/>
      <c r="OTS3" s="354"/>
      <c r="OTT3" s="354"/>
      <c r="OTU3" s="354"/>
      <c r="OTV3" s="354"/>
      <c r="OTW3" s="354"/>
      <c r="OTX3" s="354"/>
      <c r="OTY3" s="354"/>
      <c r="OTZ3" s="354"/>
      <c r="OUA3" s="354"/>
      <c r="OUB3" s="354"/>
      <c r="OUC3" s="354"/>
      <c r="OUD3" s="354"/>
      <c r="OUE3" s="354"/>
      <c r="OUF3" s="354"/>
      <c r="OUG3" s="354"/>
      <c r="OUH3" s="354"/>
      <c r="OUI3" s="354"/>
      <c r="OUJ3" s="354"/>
      <c r="OUK3" s="354"/>
      <c r="OUL3" s="354"/>
      <c r="OUM3" s="354"/>
      <c r="OUN3" s="354"/>
      <c r="OUO3" s="354"/>
      <c r="OUP3" s="354"/>
      <c r="OUQ3" s="354"/>
      <c r="OUR3" s="354"/>
      <c r="OUS3" s="354"/>
      <c r="OUT3" s="354"/>
      <c r="OUU3" s="354"/>
      <c r="OUV3" s="354"/>
      <c r="OUW3" s="354"/>
      <c r="OUX3" s="354"/>
      <c r="OUY3" s="354"/>
      <c r="OUZ3" s="354"/>
      <c r="OVA3" s="354"/>
      <c r="OVB3" s="354"/>
      <c r="OVC3" s="354"/>
      <c r="OVD3" s="354"/>
      <c r="OVE3" s="354"/>
      <c r="OVF3" s="354"/>
      <c r="OVG3" s="354"/>
      <c r="OVH3" s="354"/>
      <c r="OVI3" s="354"/>
      <c r="OVJ3" s="354"/>
      <c r="OVK3" s="354"/>
      <c r="OVL3" s="354"/>
      <c r="OVM3" s="354"/>
      <c r="OVN3" s="354"/>
      <c r="OVO3" s="354"/>
      <c r="OVP3" s="354"/>
      <c r="OVQ3" s="354"/>
      <c r="OVR3" s="354"/>
      <c r="OVS3" s="354"/>
      <c r="OVT3" s="354"/>
      <c r="OVU3" s="354"/>
      <c r="OVV3" s="354"/>
      <c r="OVW3" s="354"/>
      <c r="OVX3" s="354"/>
      <c r="OVY3" s="354"/>
      <c r="OVZ3" s="354"/>
      <c r="OWA3" s="354"/>
      <c r="OWB3" s="354"/>
      <c r="OWC3" s="354"/>
      <c r="OWD3" s="354"/>
      <c r="OWE3" s="354"/>
      <c r="OWF3" s="354"/>
      <c r="OWG3" s="354"/>
      <c r="OWH3" s="354"/>
      <c r="OWI3" s="354"/>
      <c r="OWJ3" s="354"/>
      <c r="OWK3" s="354"/>
      <c r="OWL3" s="354"/>
      <c r="OWM3" s="354"/>
      <c r="OWN3" s="354"/>
      <c r="OWO3" s="354"/>
      <c r="OWP3" s="354"/>
      <c r="OWQ3" s="354"/>
      <c r="OWR3" s="354"/>
      <c r="OWS3" s="354"/>
      <c r="OWT3" s="354"/>
      <c r="OWU3" s="354"/>
      <c r="OWV3" s="354"/>
      <c r="OWW3" s="354"/>
      <c r="OWX3" s="354"/>
      <c r="OWY3" s="354"/>
      <c r="OWZ3" s="354"/>
      <c r="OXA3" s="354"/>
      <c r="OXB3" s="354"/>
      <c r="OXC3" s="354"/>
      <c r="OXD3" s="354"/>
      <c r="OXE3" s="354"/>
      <c r="OXF3" s="354"/>
      <c r="OXG3" s="354"/>
      <c r="OXH3" s="354"/>
      <c r="OXI3" s="354"/>
      <c r="OXJ3" s="354"/>
      <c r="OXK3" s="354"/>
      <c r="OXL3" s="354"/>
      <c r="OXM3" s="354"/>
      <c r="OXN3" s="354"/>
      <c r="OXO3" s="354"/>
      <c r="OXP3" s="354"/>
      <c r="OXQ3" s="354"/>
      <c r="OXR3" s="354"/>
      <c r="OXS3" s="354"/>
      <c r="OXT3" s="354"/>
      <c r="OXU3" s="354"/>
      <c r="OXV3" s="354"/>
      <c r="OXW3" s="354"/>
      <c r="OXX3" s="354"/>
      <c r="OXY3" s="354"/>
      <c r="OXZ3" s="354"/>
      <c r="OYA3" s="354"/>
      <c r="OYB3" s="354"/>
      <c r="OYC3" s="354"/>
      <c r="OYD3" s="354"/>
      <c r="OYE3" s="354"/>
      <c r="OYF3" s="354"/>
      <c r="OYG3" s="354"/>
      <c r="OYH3" s="354"/>
      <c r="OYI3" s="354"/>
      <c r="OYJ3" s="354"/>
      <c r="OYK3" s="354"/>
      <c r="OYL3" s="354"/>
      <c r="OYM3" s="354"/>
      <c r="OYN3" s="354"/>
      <c r="OYO3" s="354"/>
      <c r="OYP3" s="354"/>
      <c r="OYQ3" s="354"/>
      <c r="OYR3" s="354"/>
      <c r="OYS3" s="354"/>
      <c r="OYT3" s="354"/>
      <c r="OYU3" s="354"/>
      <c r="OYV3" s="354"/>
      <c r="OYW3" s="354"/>
      <c r="OYX3" s="354"/>
      <c r="OYY3" s="354"/>
      <c r="OYZ3" s="354"/>
      <c r="OZA3" s="354"/>
      <c r="OZB3" s="354"/>
      <c r="OZC3" s="354"/>
      <c r="OZD3" s="354"/>
      <c r="OZE3" s="354"/>
      <c r="OZF3" s="354"/>
      <c r="OZG3" s="354"/>
      <c r="OZH3" s="354"/>
      <c r="OZI3" s="354"/>
      <c r="OZJ3" s="354"/>
      <c r="OZK3" s="354"/>
      <c r="OZL3" s="354"/>
      <c r="OZM3" s="354"/>
      <c r="OZN3" s="354"/>
      <c r="OZO3" s="354"/>
      <c r="OZP3" s="354"/>
      <c r="OZQ3" s="354"/>
      <c r="OZR3" s="354"/>
      <c r="OZS3" s="354"/>
      <c r="OZT3" s="354"/>
      <c r="OZU3" s="354"/>
      <c r="OZV3" s="354"/>
      <c r="OZW3" s="354"/>
      <c r="OZX3" s="354"/>
      <c r="OZY3" s="354"/>
      <c r="OZZ3" s="354"/>
      <c r="PAA3" s="354"/>
      <c r="PAB3" s="354"/>
      <c r="PAC3" s="354"/>
      <c r="PAD3" s="354"/>
      <c r="PAE3" s="354"/>
      <c r="PAF3" s="354"/>
      <c r="PAG3" s="354"/>
      <c r="PAH3" s="354"/>
      <c r="PAI3" s="354"/>
      <c r="PAJ3" s="354"/>
      <c r="PAK3" s="354"/>
      <c r="PAL3" s="354"/>
      <c r="PAM3" s="354"/>
      <c r="PAN3" s="354"/>
      <c r="PAO3" s="354"/>
      <c r="PAP3" s="354"/>
      <c r="PAQ3" s="354"/>
      <c r="PAR3" s="354"/>
      <c r="PAS3" s="354"/>
      <c r="PAT3" s="354"/>
      <c r="PAU3" s="354"/>
      <c r="PAV3" s="354"/>
      <c r="PAW3" s="354"/>
      <c r="PAX3" s="354"/>
      <c r="PAY3" s="354"/>
      <c r="PAZ3" s="354"/>
      <c r="PBA3" s="354"/>
      <c r="PBB3" s="354"/>
      <c r="PBC3" s="354"/>
      <c r="PBD3" s="354"/>
      <c r="PBE3" s="354"/>
      <c r="PBF3" s="354"/>
      <c r="PBG3" s="354"/>
      <c r="PBH3" s="354"/>
      <c r="PBI3" s="354"/>
      <c r="PBJ3" s="354"/>
      <c r="PBK3" s="354"/>
      <c r="PBL3" s="354"/>
      <c r="PBM3" s="354"/>
      <c r="PBN3" s="354"/>
      <c r="PBO3" s="354"/>
      <c r="PBP3" s="354"/>
      <c r="PBQ3" s="354"/>
      <c r="PBR3" s="354"/>
      <c r="PBS3" s="354"/>
      <c r="PBT3" s="354"/>
      <c r="PBU3" s="354"/>
      <c r="PBV3" s="354"/>
      <c r="PBW3" s="354"/>
      <c r="PBX3" s="354"/>
      <c r="PBY3" s="354"/>
      <c r="PBZ3" s="354"/>
      <c r="PCA3" s="354"/>
      <c r="PCB3" s="354"/>
      <c r="PCC3" s="354"/>
      <c r="PCD3" s="354"/>
      <c r="PCE3" s="354"/>
      <c r="PCF3" s="354"/>
      <c r="PCG3" s="354"/>
      <c r="PCH3" s="354"/>
      <c r="PCI3" s="354"/>
      <c r="PCJ3" s="354"/>
      <c r="PCK3" s="354"/>
      <c r="PCL3" s="354"/>
      <c r="PCM3" s="354"/>
      <c r="PCN3" s="354"/>
      <c r="PCO3" s="354"/>
      <c r="PCP3" s="354"/>
      <c r="PCQ3" s="354"/>
      <c r="PCR3" s="354"/>
      <c r="PCS3" s="354"/>
      <c r="PCT3" s="354"/>
      <c r="PCU3" s="354"/>
      <c r="PCV3" s="354"/>
      <c r="PCW3" s="354"/>
      <c r="PCX3" s="354"/>
      <c r="PCY3" s="354"/>
      <c r="PCZ3" s="354"/>
      <c r="PDA3" s="354"/>
      <c r="PDB3" s="354"/>
      <c r="PDC3" s="354"/>
      <c r="PDD3" s="354"/>
      <c r="PDE3" s="354"/>
      <c r="PDF3" s="354"/>
      <c r="PDG3" s="354"/>
      <c r="PDH3" s="354"/>
      <c r="PDI3" s="354"/>
      <c r="PDJ3" s="354"/>
      <c r="PDK3" s="354"/>
      <c r="PDL3" s="354"/>
      <c r="PDM3" s="354"/>
      <c r="PDN3" s="354"/>
      <c r="PDO3" s="354"/>
      <c r="PDP3" s="354"/>
      <c r="PDQ3" s="354"/>
      <c r="PDR3" s="354"/>
      <c r="PDS3" s="354"/>
      <c r="PDT3" s="354"/>
      <c r="PDU3" s="354"/>
      <c r="PDV3" s="354"/>
      <c r="PDW3" s="354"/>
      <c r="PDX3" s="354"/>
      <c r="PDY3" s="354"/>
      <c r="PDZ3" s="354"/>
      <c r="PEA3" s="354"/>
      <c r="PEB3" s="354"/>
      <c r="PEC3" s="354"/>
      <c r="PED3" s="354"/>
      <c r="PEE3" s="354"/>
      <c r="PEF3" s="354"/>
      <c r="PEG3" s="354"/>
      <c r="PEH3" s="354"/>
      <c r="PEI3" s="354"/>
      <c r="PEJ3" s="354"/>
      <c r="PEK3" s="354"/>
      <c r="PEL3" s="354"/>
      <c r="PEM3" s="354"/>
      <c r="PEN3" s="354"/>
      <c r="PEO3" s="354"/>
      <c r="PEP3" s="354"/>
      <c r="PEQ3" s="354"/>
      <c r="PER3" s="354"/>
      <c r="PES3" s="354"/>
      <c r="PET3" s="354"/>
      <c r="PEU3" s="354"/>
      <c r="PEV3" s="354"/>
      <c r="PEW3" s="354"/>
      <c r="PEX3" s="354"/>
      <c r="PEY3" s="354"/>
      <c r="PEZ3" s="354"/>
      <c r="PFA3" s="354"/>
      <c r="PFB3" s="354"/>
      <c r="PFC3" s="354"/>
      <c r="PFD3" s="354"/>
      <c r="PFE3" s="354"/>
      <c r="PFF3" s="354"/>
      <c r="PFG3" s="354"/>
      <c r="PFH3" s="354"/>
      <c r="PFI3" s="354"/>
      <c r="PFJ3" s="354"/>
      <c r="PFK3" s="354"/>
      <c r="PFL3" s="354"/>
      <c r="PFM3" s="354"/>
      <c r="PFN3" s="354"/>
      <c r="PFO3" s="354"/>
      <c r="PFP3" s="354"/>
      <c r="PFQ3" s="354"/>
      <c r="PFR3" s="354"/>
      <c r="PFS3" s="354"/>
      <c r="PFT3" s="354"/>
      <c r="PFU3" s="354"/>
      <c r="PFV3" s="354"/>
      <c r="PFW3" s="354"/>
      <c r="PFX3" s="354"/>
      <c r="PFY3" s="354"/>
      <c r="PFZ3" s="354"/>
      <c r="PGA3" s="354"/>
      <c r="PGB3" s="354"/>
      <c r="PGC3" s="354"/>
      <c r="PGD3" s="354"/>
      <c r="PGE3" s="354"/>
      <c r="PGF3" s="354"/>
      <c r="PGG3" s="354"/>
      <c r="PGH3" s="354"/>
      <c r="PGI3" s="354"/>
      <c r="PGJ3" s="354"/>
      <c r="PGK3" s="354"/>
      <c r="PGL3" s="354"/>
      <c r="PGM3" s="354"/>
      <c r="PGN3" s="354"/>
      <c r="PGO3" s="354"/>
      <c r="PGP3" s="354"/>
      <c r="PGQ3" s="354"/>
      <c r="PGR3" s="354"/>
      <c r="PGS3" s="354"/>
      <c r="PGT3" s="354"/>
      <c r="PGU3" s="354"/>
      <c r="PGV3" s="354"/>
      <c r="PGW3" s="354"/>
      <c r="PGX3" s="354"/>
      <c r="PGY3" s="354"/>
      <c r="PGZ3" s="354"/>
      <c r="PHA3" s="354"/>
      <c r="PHB3" s="354"/>
      <c r="PHC3" s="354"/>
      <c r="PHD3" s="354"/>
      <c r="PHE3" s="354"/>
      <c r="PHF3" s="354"/>
      <c r="PHG3" s="354"/>
      <c r="PHH3" s="354"/>
      <c r="PHI3" s="354"/>
      <c r="PHJ3" s="354"/>
      <c r="PHK3" s="354"/>
      <c r="PHL3" s="354"/>
      <c r="PHM3" s="354"/>
      <c r="PHN3" s="354"/>
      <c r="PHO3" s="354"/>
      <c r="PHP3" s="354"/>
      <c r="PHQ3" s="354"/>
      <c r="PHR3" s="354"/>
      <c r="PHS3" s="354"/>
      <c r="PHT3" s="354"/>
      <c r="PHU3" s="354"/>
      <c r="PHV3" s="354"/>
      <c r="PHW3" s="354"/>
      <c r="PHX3" s="354"/>
      <c r="PHY3" s="354"/>
      <c r="PHZ3" s="354"/>
      <c r="PIA3" s="354"/>
      <c r="PIB3" s="354"/>
      <c r="PIC3" s="354"/>
      <c r="PID3" s="354"/>
      <c r="PIE3" s="354"/>
      <c r="PIF3" s="354"/>
      <c r="PIG3" s="354"/>
      <c r="PIH3" s="354"/>
      <c r="PII3" s="354"/>
      <c r="PIJ3" s="354"/>
      <c r="PIK3" s="354"/>
      <c r="PIL3" s="354"/>
      <c r="PIM3" s="354"/>
      <c r="PIN3" s="354"/>
      <c r="PIO3" s="354"/>
      <c r="PIP3" s="354"/>
      <c r="PIQ3" s="354"/>
      <c r="PIR3" s="354"/>
      <c r="PIS3" s="354"/>
      <c r="PIT3" s="354"/>
      <c r="PIU3" s="354"/>
      <c r="PIV3" s="354"/>
      <c r="PIW3" s="354"/>
      <c r="PIX3" s="354"/>
      <c r="PIY3" s="354"/>
      <c r="PIZ3" s="354"/>
      <c r="PJA3" s="354"/>
      <c r="PJB3" s="354"/>
      <c r="PJC3" s="354"/>
      <c r="PJD3" s="354"/>
      <c r="PJE3" s="354"/>
      <c r="PJF3" s="354"/>
      <c r="PJG3" s="354"/>
      <c r="PJH3" s="354"/>
      <c r="PJI3" s="354"/>
      <c r="PJJ3" s="354"/>
      <c r="PJK3" s="354"/>
      <c r="PJL3" s="354"/>
      <c r="PJM3" s="354"/>
      <c r="PJN3" s="354"/>
      <c r="PJO3" s="354"/>
      <c r="PJP3" s="354"/>
      <c r="PJQ3" s="354"/>
      <c r="PJR3" s="354"/>
      <c r="PJS3" s="354"/>
      <c r="PJT3" s="354"/>
      <c r="PJU3" s="354"/>
      <c r="PJV3" s="354"/>
      <c r="PJW3" s="354"/>
      <c r="PJX3" s="354"/>
      <c r="PJY3" s="354"/>
      <c r="PJZ3" s="354"/>
      <c r="PKA3" s="354"/>
      <c r="PKB3" s="354"/>
      <c r="PKC3" s="354"/>
      <c r="PKD3" s="354"/>
      <c r="PKE3" s="354"/>
      <c r="PKF3" s="354"/>
      <c r="PKG3" s="354"/>
      <c r="PKH3" s="354"/>
      <c r="PKI3" s="354"/>
      <c r="PKJ3" s="354"/>
      <c r="PKK3" s="354"/>
      <c r="PKL3" s="354"/>
      <c r="PKM3" s="354"/>
      <c r="PKN3" s="354"/>
      <c r="PKO3" s="354"/>
      <c r="PKP3" s="354"/>
      <c r="PKQ3" s="354"/>
      <c r="PKR3" s="354"/>
      <c r="PKS3" s="354"/>
      <c r="PKT3" s="354"/>
      <c r="PKU3" s="354"/>
      <c r="PKV3" s="354"/>
      <c r="PKW3" s="354"/>
      <c r="PKX3" s="354"/>
      <c r="PKY3" s="354"/>
      <c r="PKZ3" s="354"/>
      <c r="PLA3" s="354"/>
      <c r="PLB3" s="354"/>
      <c r="PLC3" s="354"/>
      <c r="PLD3" s="354"/>
      <c r="PLE3" s="354"/>
      <c r="PLF3" s="354"/>
      <c r="PLG3" s="354"/>
      <c r="PLH3" s="354"/>
      <c r="PLI3" s="354"/>
      <c r="PLJ3" s="354"/>
      <c r="PLK3" s="354"/>
      <c r="PLL3" s="354"/>
      <c r="PLM3" s="354"/>
      <c r="PLN3" s="354"/>
      <c r="PLO3" s="354"/>
      <c r="PLP3" s="354"/>
      <c r="PLQ3" s="354"/>
      <c r="PLR3" s="354"/>
      <c r="PLS3" s="354"/>
      <c r="PLT3" s="354"/>
      <c r="PLU3" s="354"/>
      <c r="PLV3" s="354"/>
      <c r="PLW3" s="354"/>
      <c r="PLX3" s="354"/>
      <c r="PLY3" s="354"/>
      <c r="PLZ3" s="354"/>
      <c r="PMA3" s="354"/>
      <c r="PMB3" s="354"/>
      <c r="PMC3" s="354"/>
      <c r="PMD3" s="354"/>
      <c r="PME3" s="354"/>
      <c r="PMF3" s="354"/>
      <c r="PMG3" s="354"/>
      <c r="PMH3" s="354"/>
      <c r="PMI3" s="354"/>
      <c r="PMJ3" s="354"/>
      <c r="PMK3" s="354"/>
      <c r="PML3" s="354"/>
      <c r="PMM3" s="354"/>
      <c r="PMN3" s="354"/>
      <c r="PMO3" s="354"/>
      <c r="PMP3" s="354"/>
      <c r="PMQ3" s="354"/>
      <c r="PMR3" s="354"/>
      <c r="PMS3" s="354"/>
      <c r="PMT3" s="354"/>
      <c r="PMU3" s="354"/>
      <c r="PMV3" s="354"/>
      <c r="PMW3" s="354"/>
      <c r="PMX3" s="354"/>
      <c r="PMY3" s="354"/>
      <c r="PMZ3" s="354"/>
      <c r="PNA3" s="354"/>
      <c r="PNB3" s="354"/>
      <c r="PNC3" s="354"/>
      <c r="PND3" s="354"/>
      <c r="PNE3" s="354"/>
      <c r="PNF3" s="354"/>
      <c r="PNG3" s="354"/>
      <c r="PNH3" s="354"/>
      <c r="PNI3" s="354"/>
      <c r="PNJ3" s="354"/>
      <c r="PNK3" s="354"/>
      <c r="PNL3" s="354"/>
      <c r="PNM3" s="354"/>
      <c r="PNN3" s="354"/>
      <c r="PNO3" s="354"/>
      <c r="PNP3" s="354"/>
      <c r="PNQ3" s="354"/>
      <c r="PNR3" s="354"/>
      <c r="PNS3" s="354"/>
      <c r="PNT3" s="354"/>
      <c r="PNU3" s="354"/>
      <c r="PNV3" s="354"/>
      <c r="PNW3" s="354"/>
      <c r="PNX3" s="354"/>
      <c r="PNY3" s="354"/>
      <c r="PNZ3" s="354"/>
      <c r="POA3" s="354"/>
      <c r="POB3" s="354"/>
      <c r="POC3" s="354"/>
      <c r="POD3" s="354"/>
      <c r="POE3" s="354"/>
      <c r="POF3" s="354"/>
      <c r="POG3" s="354"/>
      <c r="POH3" s="354"/>
      <c r="POI3" s="354"/>
      <c r="POJ3" s="354"/>
      <c r="POK3" s="354"/>
      <c r="POL3" s="354"/>
      <c r="POM3" s="354"/>
      <c r="PON3" s="354"/>
      <c r="POO3" s="354"/>
      <c r="POP3" s="354"/>
      <c r="POQ3" s="354"/>
      <c r="POR3" s="354"/>
      <c r="POS3" s="354"/>
      <c r="POT3" s="354"/>
      <c r="POU3" s="354"/>
      <c r="POV3" s="354"/>
      <c r="POW3" s="354"/>
      <c r="POX3" s="354"/>
      <c r="POY3" s="354"/>
      <c r="POZ3" s="354"/>
      <c r="PPA3" s="354"/>
      <c r="PPB3" s="354"/>
      <c r="PPC3" s="354"/>
      <c r="PPD3" s="354"/>
      <c r="PPE3" s="354"/>
      <c r="PPF3" s="354"/>
      <c r="PPG3" s="354"/>
      <c r="PPH3" s="354"/>
      <c r="PPI3" s="354"/>
      <c r="PPJ3" s="354"/>
      <c r="PPK3" s="354"/>
      <c r="PPL3" s="354"/>
      <c r="PPM3" s="354"/>
      <c r="PPN3" s="354"/>
      <c r="PPO3" s="354"/>
      <c r="PPP3" s="354"/>
      <c r="PPQ3" s="354"/>
      <c r="PPR3" s="354"/>
      <c r="PPS3" s="354"/>
      <c r="PPT3" s="354"/>
      <c r="PPU3" s="354"/>
      <c r="PPV3" s="354"/>
      <c r="PPW3" s="354"/>
      <c r="PPX3" s="354"/>
      <c r="PPY3" s="354"/>
      <c r="PPZ3" s="354"/>
      <c r="PQA3" s="354"/>
      <c r="PQB3" s="354"/>
      <c r="PQC3" s="354"/>
      <c r="PQD3" s="354"/>
      <c r="PQE3" s="354"/>
      <c r="PQF3" s="354"/>
      <c r="PQG3" s="354"/>
      <c r="PQH3" s="354"/>
      <c r="PQI3" s="354"/>
      <c r="PQJ3" s="354"/>
      <c r="PQK3" s="354"/>
      <c r="PQL3" s="354"/>
      <c r="PQM3" s="354"/>
      <c r="PQN3" s="354"/>
      <c r="PQO3" s="354"/>
      <c r="PQP3" s="354"/>
      <c r="PQQ3" s="354"/>
      <c r="PQR3" s="354"/>
      <c r="PQS3" s="354"/>
      <c r="PQT3" s="354"/>
      <c r="PQU3" s="354"/>
      <c r="PQV3" s="354"/>
      <c r="PQW3" s="354"/>
      <c r="PQX3" s="354"/>
      <c r="PQY3" s="354"/>
      <c r="PQZ3" s="354"/>
      <c r="PRA3" s="354"/>
      <c r="PRB3" s="354"/>
      <c r="PRC3" s="354"/>
      <c r="PRD3" s="354"/>
      <c r="PRE3" s="354"/>
      <c r="PRF3" s="354"/>
      <c r="PRG3" s="354"/>
      <c r="PRH3" s="354"/>
      <c r="PRI3" s="354"/>
      <c r="PRJ3" s="354"/>
      <c r="PRK3" s="354"/>
      <c r="PRL3" s="354"/>
      <c r="PRM3" s="354"/>
      <c r="PRN3" s="354"/>
      <c r="PRO3" s="354"/>
      <c r="PRP3" s="354"/>
      <c r="PRQ3" s="354"/>
      <c r="PRR3" s="354"/>
      <c r="PRS3" s="354"/>
      <c r="PRT3" s="354"/>
      <c r="PRU3" s="354"/>
      <c r="PRV3" s="354"/>
      <c r="PRW3" s="354"/>
      <c r="PRX3" s="354"/>
      <c r="PRY3" s="354"/>
      <c r="PRZ3" s="354"/>
      <c r="PSA3" s="354"/>
      <c r="PSB3" s="354"/>
      <c r="PSC3" s="354"/>
      <c r="PSD3" s="354"/>
      <c r="PSE3" s="354"/>
      <c r="PSF3" s="354"/>
      <c r="PSG3" s="354"/>
      <c r="PSH3" s="354"/>
      <c r="PSI3" s="354"/>
      <c r="PSJ3" s="354"/>
      <c r="PSK3" s="354"/>
      <c r="PSL3" s="354"/>
      <c r="PSM3" s="354"/>
      <c r="PSN3" s="354"/>
      <c r="PSO3" s="354"/>
      <c r="PSP3" s="354"/>
      <c r="PSQ3" s="354"/>
      <c r="PSR3" s="354"/>
      <c r="PSS3" s="354"/>
      <c r="PST3" s="354"/>
      <c r="PSU3" s="354"/>
      <c r="PSV3" s="354"/>
      <c r="PSW3" s="354"/>
      <c r="PSX3" s="354"/>
      <c r="PSY3" s="354"/>
      <c r="PSZ3" s="354"/>
      <c r="PTA3" s="354"/>
      <c r="PTB3" s="354"/>
      <c r="PTC3" s="354"/>
      <c r="PTD3" s="354"/>
      <c r="PTE3" s="354"/>
      <c r="PTF3" s="354"/>
      <c r="PTG3" s="354"/>
      <c r="PTH3" s="354"/>
      <c r="PTI3" s="354"/>
      <c r="PTJ3" s="354"/>
      <c r="PTK3" s="354"/>
      <c r="PTL3" s="354"/>
      <c r="PTM3" s="354"/>
      <c r="PTN3" s="354"/>
      <c r="PTO3" s="354"/>
      <c r="PTP3" s="354"/>
      <c r="PTQ3" s="354"/>
      <c r="PTR3" s="354"/>
      <c r="PTS3" s="354"/>
      <c r="PTT3" s="354"/>
      <c r="PTU3" s="354"/>
      <c r="PTV3" s="354"/>
      <c r="PTW3" s="354"/>
      <c r="PTX3" s="354"/>
      <c r="PTY3" s="354"/>
      <c r="PTZ3" s="354"/>
      <c r="PUA3" s="354"/>
      <c r="PUB3" s="354"/>
      <c r="PUC3" s="354"/>
      <c r="PUD3" s="354"/>
      <c r="PUE3" s="354"/>
      <c r="PUF3" s="354"/>
      <c r="PUG3" s="354"/>
      <c r="PUH3" s="354"/>
      <c r="PUI3" s="354"/>
      <c r="PUJ3" s="354"/>
      <c r="PUK3" s="354"/>
      <c r="PUL3" s="354"/>
      <c r="PUM3" s="354"/>
      <c r="PUN3" s="354"/>
      <c r="PUO3" s="354"/>
      <c r="PUP3" s="354"/>
      <c r="PUQ3" s="354"/>
      <c r="PUR3" s="354"/>
      <c r="PUS3" s="354"/>
      <c r="PUT3" s="354"/>
      <c r="PUU3" s="354"/>
      <c r="PUV3" s="354"/>
      <c r="PUW3" s="354"/>
      <c r="PUX3" s="354"/>
      <c r="PUY3" s="354"/>
      <c r="PUZ3" s="354"/>
      <c r="PVA3" s="354"/>
      <c r="PVB3" s="354"/>
      <c r="PVC3" s="354"/>
      <c r="PVD3" s="354"/>
      <c r="PVE3" s="354"/>
      <c r="PVF3" s="354"/>
      <c r="PVG3" s="354"/>
      <c r="PVH3" s="354"/>
      <c r="PVI3" s="354"/>
      <c r="PVJ3" s="354"/>
      <c r="PVK3" s="354"/>
      <c r="PVL3" s="354"/>
      <c r="PVM3" s="354"/>
      <c r="PVN3" s="354"/>
      <c r="PVO3" s="354"/>
      <c r="PVP3" s="354"/>
      <c r="PVQ3" s="354"/>
      <c r="PVR3" s="354"/>
      <c r="PVS3" s="354"/>
      <c r="PVT3" s="354"/>
      <c r="PVU3" s="354"/>
      <c r="PVV3" s="354"/>
      <c r="PVW3" s="354"/>
      <c r="PVX3" s="354"/>
      <c r="PVY3" s="354"/>
      <c r="PVZ3" s="354"/>
      <c r="PWA3" s="354"/>
      <c r="PWB3" s="354"/>
      <c r="PWC3" s="354"/>
      <c r="PWD3" s="354"/>
      <c r="PWE3" s="354"/>
      <c r="PWF3" s="354"/>
      <c r="PWG3" s="354"/>
      <c r="PWH3" s="354"/>
      <c r="PWI3" s="354"/>
      <c r="PWJ3" s="354"/>
      <c r="PWK3" s="354"/>
      <c r="PWL3" s="354"/>
      <c r="PWM3" s="354"/>
      <c r="PWN3" s="354"/>
      <c r="PWO3" s="354"/>
      <c r="PWP3" s="354"/>
      <c r="PWQ3" s="354"/>
      <c r="PWR3" s="354"/>
      <c r="PWS3" s="354"/>
      <c r="PWT3" s="354"/>
      <c r="PWU3" s="354"/>
      <c r="PWV3" s="354"/>
      <c r="PWW3" s="354"/>
      <c r="PWX3" s="354"/>
      <c r="PWY3" s="354"/>
      <c r="PWZ3" s="354"/>
      <c r="PXA3" s="354"/>
      <c r="PXB3" s="354"/>
      <c r="PXC3" s="354"/>
      <c r="PXD3" s="354"/>
      <c r="PXE3" s="354"/>
      <c r="PXF3" s="354"/>
      <c r="PXG3" s="354"/>
      <c r="PXH3" s="354"/>
      <c r="PXI3" s="354"/>
      <c r="PXJ3" s="354"/>
      <c r="PXK3" s="354"/>
      <c r="PXL3" s="354"/>
      <c r="PXM3" s="354"/>
      <c r="PXN3" s="354"/>
      <c r="PXO3" s="354"/>
      <c r="PXP3" s="354"/>
      <c r="PXQ3" s="354"/>
      <c r="PXR3" s="354"/>
      <c r="PXS3" s="354"/>
      <c r="PXT3" s="354"/>
      <c r="PXU3" s="354"/>
      <c r="PXV3" s="354"/>
      <c r="PXW3" s="354"/>
      <c r="PXX3" s="354"/>
      <c r="PXY3" s="354"/>
      <c r="PXZ3" s="354"/>
      <c r="PYA3" s="354"/>
      <c r="PYB3" s="354"/>
      <c r="PYC3" s="354"/>
      <c r="PYD3" s="354"/>
      <c r="PYE3" s="354"/>
      <c r="PYF3" s="354"/>
      <c r="PYG3" s="354"/>
      <c r="PYH3" s="354"/>
      <c r="PYI3" s="354"/>
      <c r="PYJ3" s="354"/>
      <c r="PYK3" s="354"/>
      <c r="PYL3" s="354"/>
      <c r="PYM3" s="354"/>
      <c r="PYN3" s="354"/>
      <c r="PYO3" s="354"/>
      <c r="PYP3" s="354"/>
      <c r="PYQ3" s="354"/>
      <c r="PYR3" s="354"/>
      <c r="PYS3" s="354"/>
      <c r="PYT3" s="354"/>
      <c r="PYU3" s="354"/>
      <c r="PYV3" s="354"/>
      <c r="PYW3" s="354"/>
      <c r="PYX3" s="354"/>
      <c r="PYY3" s="354"/>
      <c r="PYZ3" s="354"/>
      <c r="PZA3" s="354"/>
      <c r="PZB3" s="354"/>
      <c r="PZC3" s="354"/>
      <c r="PZD3" s="354"/>
      <c r="PZE3" s="354"/>
      <c r="PZF3" s="354"/>
      <c r="PZG3" s="354"/>
      <c r="PZH3" s="354"/>
      <c r="PZI3" s="354"/>
      <c r="PZJ3" s="354"/>
      <c r="PZK3" s="354"/>
      <c r="PZL3" s="354"/>
      <c r="PZM3" s="354"/>
      <c r="PZN3" s="354"/>
      <c r="PZO3" s="354"/>
      <c r="PZP3" s="354"/>
      <c r="PZQ3" s="354"/>
      <c r="PZR3" s="354"/>
      <c r="PZS3" s="354"/>
      <c r="PZT3" s="354"/>
      <c r="PZU3" s="354"/>
      <c r="PZV3" s="354"/>
      <c r="PZW3" s="354"/>
      <c r="PZX3" s="354"/>
      <c r="PZY3" s="354"/>
      <c r="PZZ3" s="354"/>
      <c r="QAA3" s="354"/>
      <c r="QAB3" s="354"/>
      <c r="QAC3" s="354"/>
      <c r="QAD3" s="354"/>
      <c r="QAE3" s="354"/>
      <c r="QAF3" s="354"/>
      <c r="QAG3" s="354"/>
      <c r="QAH3" s="354"/>
      <c r="QAI3" s="354"/>
      <c r="QAJ3" s="354"/>
      <c r="QAK3" s="354"/>
      <c r="QAL3" s="354"/>
      <c r="QAM3" s="354"/>
      <c r="QAN3" s="354"/>
      <c r="QAO3" s="354"/>
      <c r="QAP3" s="354"/>
      <c r="QAQ3" s="354"/>
      <c r="QAR3" s="354"/>
      <c r="QAS3" s="354"/>
      <c r="QAT3" s="354"/>
      <c r="QAU3" s="354"/>
      <c r="QAV3" s="354"/>
      <c r="QAW3" s="354"/>
      <c r="QAX3" s="354"/>
      <c r="QAY3" s="354"/>
      <c r="QAZ3" s="354"/>
      <c r="QBA3" s="354"/>
      <c r="QBB3" s="354"/>
      <c r="QBC3" s="354"/>
      <c r="QBD3" s="354"/>
      <c r="QBE3" s="354"/>
      <c r="QBF3" s="354"/>
      <c r="QBG3" s="354"/>
      <c r="QBH3" s="354"/>
      <c r="QBI3" s="354"/>
      <c r="QBJ3" s="354"/>
      <c r="QBK3" s="354"/>
      <c r="QBL3" s="354"/>
      <c r="QBM3" s="354"/>
      <c r="QBN3" s="354"/>
      <c r="QBO3" s="354"/>
      <c r="QBP3" s="354"/>
      <c r="QBQ3" s="354"/>
      <c r="QBR3" s="354"/>
      <c r="QBS3" s="354"/>
      <c r="QBT3" s="354"/>
      <c r="QBU3" s="354"/>
      <c r="QBV3" s="354"/>
      <c r="QBW3" s="354"/>
      <c r="QBX3" s="354"/>
      <c r="QBY3" s="354"/>
      <c r="QBZ3" s="354"/>
      <c r="QCA3" s="354"/>
      <c r="QCB3" s="354"/>
      <c r="QCC3" s="354"/>
      <c r="QCD3" s="354"/>
      <c r="QCE3" s="354"/>
      <c r="QCF3" s="354"/>
      <c r="QCG3" s="354"/>
      <c r="QCH3" s="354"/>
      <c r="QCI3" s="354"/>
      <c r="QCJ3" s="354"/>
      <c r="QCK3" s="354"/>
      <c r="QCL3" s="354"/>
      <c r="QCM3" s="354"/>
      <c r="QCN3" s="354"/>
      <c r="QCO3" s="354"/>
      <c r="QCP3" s="354"/>
      <c r="QCQ3" s="354"/>
      <c r="QCR3" s="354"/>
      <c r="QCS3" s="354"/>
      <c r="QCT3" s="354"/>
      <c r="QCU3" s="354"/>
      <c r="QCV3" s="354"/>
      <c r="QCW3" s="354"/>
      <c r="QCX3" s="354"/>
      <c r="QCY3" s="354"/>
      <c r="QCZ3" s="354"/>
      <c r="QDA3" s="354"/>
      <c r="QDB3" s="354"/>
      <c r="QDC3" s="354"/>
      <c r="QDD3" s="354"/>
      <c r="QDE3" s="354"/>
      <c r="QDF3" s="354"/>
      <c r="QDG3" s="354"/>
      <c r="QDH3" s="354"/>
      <c r="QDI3" s="354"/>
      <c r="QDJ3" s="354"/>
      <c r="QDK3" s="354"/>
      <c r="QDL3" s="354"/>
      <c r="QDM3" s="354"/>
      <c r="QDN3" s="354"/>
      <c r="QDO3" s="354"/>
      <c r="QDP3" s="354"/>
      <c r="QDQ3" s="354"/>
      <c r="QDR3" s="354"/>
      <c r="QDS3" s="354"/>
      <c r="QDT3" s="354"/>
      <c r="QDU3" s="354"/>
      <c r="QDV3" s="354"/>
      <c r="QDW3" s="354"/>
      <c r="QDX3" s="354"/>
      <c r="QDY3" s="354"/>
      <c r="QDZ3" s="354"/>
      <c r="QEA3" s="354"/>
      <c r="QEB3" s="354"/>
      <c r="QEC3" s="354"/>
      <c r="QED3" s="354"/>
      <c r="QEE3" s="354"/>
      <c r="QEF3" s="354"/>
      <c r="QEG3" s="354"/>
      <c r="QEH3" s="354"/>
      <c r="QEI3" s="354"/>
      <c r="QEJ3" s="354"/>
      <c r="QEK3" s="354"/>
      <c r="QEL3" s="354"/>
      <c r="QEM3" s="354"/>
      <c r="QEN3" s="354"/>
      <c r="QEO3" s="354"/>
      <c r="QEP3" s="354"/>
      <c r="QEQ3" s="354"/>
      <c r="QER3" s="354"/>
      <c r="QES3" s="354"/>
      <c r="QET3" s="354"/>
      <c r="QEU3" s="354"/>
      <c r="QEV3" s="354"/>
      <c r="QEW3" s="354"/>
      <c r="QEX3" s="354"/>
      <c r="QEY3" s="354"/>
      <c r="QEZ3" s="354"/>
      <c r="QFA3" s="354"/>
      <c r="QFB3" s="354"/>
      <c r="QFC3" s="354"/>
      <c r="QFD3" s="354"/>
      <c r="QFE3" s="354"/>
      <c r="QFF3" s="354"/>
      <c r="QFG3" s="354"/>
      <c r="QFH3" s="354"/>
      <c r="QFI3" s="354"/>
      <c r="QFJ3" s="354"/>
      <c r="QFK3" s="354"/>
      <c r="QFL3" s="354"/>
      <c r="QFM3" s="354"/>
      <c r="QFN3" s="354"/>
      <c r="QFO3" s="354"/>
      <c r="QFP3" s="354"/>
      <c r="QFQ3" s="354"/>
      <c r="QFR3" s="354"/>
      <c r="QFS3" s="354"/>
      <c r="QFT3" s="354"/>
      <c r="QFU3" s="354"/>
      <c r="QFV3" s="354"/>
      <c r="QFW3" s="354"/>
      <c r="QFX3" s="354"/>
      <c r="QFY3" s="354"/>
      <c r="QFZ3" s="354"/>
      <c r="QGA3" s="354"/>
      <c r="QGB3" s="354"/>
      <c r="QGC3" s="354"/>
      <c r="QGD3" s="354"/>
      <c r="QGE3" s="354"/>
      <c r="QGF3" s="354"/>
      <c r="QGG3" s="354"/>
      <c r="QGH3" s="354"/>
      <c r="QGI3" s="354"/>
      <c r="QGJ3" s="354"/>
      <c r="QGK3" s="354"/>
      <c r="QGL3" s="354"/>
      <c r="QGM3" s="354"/>
      <c r="QGN3" s="354"/>
      <c r="QGO3" s="354"/>
      <c r="QGP3" s="354"/>
      <c r="QGQ3" s="354"/>
      <c r="QGR3" s="354"/>
      <c r="QGS3" s="354"/>
      <c r="QGT3" s="354"/>
      <c r="QGU3" s="354"/>
      <c r="QGV3" s="354"/>
      <c r="QGW3" s="354"/>
      <c r="QGX3" s="354"/>
      <c r="QGY3" s="354"/>
      <c r="QGZ3" s="354"/>
      <c r="QHA3" s="354"/>
      <c r="QHB3" s="354"/>
      <c r="QHC3" s="354"/>
      <c r="QHD3" s="354"/>
      <c r="QHE3" s="354"/>
      <c r="QHF3" s="354"/>
      <c r="QHG3" s="354"/>
      <c r="QHH3" s="354"/>
      <c r="QHI3" s="354"/>
      <c r="QHJ3" s="354"/>
      <c r="QHK3" s="354"/>
      <c r="QHL3" s="354"/>
      <c r="QHM3" s="354"/>
      <c r="QHN3" s="354"/>
      <c r="QHO3" s="354"/>
      <c r="QHP3" s="354"/>
      <c r="QHQ3" s="354"/>
      <c r="QHR3" s="354"/>
      <c r="QHS3" s="354"/>
      <c r="QHT3" s="354"/>
      <c r="QHU3" s="354"/>
      <c r="QHV3" s="354"/>
      <c r="QHW3" s="354"/>
      <c r="QHX3" s="354"/>
      <c r="QHY3" s="354"/>
      <c r="QHZ3" s="354"/>
      <c r="QIA3" s="354"/>
      <c r="QIB3" s="354"/>
      <c r="QIC3" s="354"/>
      <c r="QID3" s="354"/>
      <c r="QIE3" s="354"/>
      <c r="QIF3" s="354"/>
      <c r="QIG3" s="354"/>
      <c r="QIH3" s="354"/>
      <c r="QII3" s="354"/>
      <c r="QIJ3" s="354"/>
      <c r="QIK3" s="354"/>
      <c r="QIL3" s="354"/>
      <c r="QIM3" s="354"/>
      <c r="QIN3" s="354"/>
      <c r="QIO3" s="354"/>
      <c r="QIP3" s="354"/>
      <c r="QIQ3" s="354"/>
      <c r="QIR3" s="354"/>
      <c r="QIS3" s="354"/>
      <c r="QIT3" s="354"/>
      <c r="QIU3" s="354"/>
      <c r="QIV3" s="354"/>
      <c r="QIW3" s="354"/>
      <c r="QIX3" s="354"/>
      <c r="QIY3" s="354"/>
      <c r="QIZ3" s="354"/>
      <c r="QJA3" s="354"/>
      <c r="QJB3" s="354"/>
      <c r="QJC3" s="354"/>
      <c r="QJD3" s="354"/>
      <c r="QJE3" s="354"/>
      <c r="QJF3" s="354"/>
      <c r="QJG3" s="354"/>
      <c r="QJH3" s="354"/>
      <c r="QJI3" s="354"/>
      <c r="QJJ3" s="354"/>
      <c r="QJK3" s="354"/>
      <c r="QJL3" s="354"/>
      <c r="QJM3" s="354"/>
      <c r="QJN3" s="354"/>
      <c r="QJO3" s="354"/>
      <c r="QJP3" s="354"/>
      <c r="QJQ3" s="354"/>
      <c r="QJR3" s="354"/>
      <c r="QJS3" s="354"/>
      <c r="QJT3" s="354"/>
      <c r="QJU3" s="354"/>
      <c r="QJV3" s="354"/>
      <c r="QJW3" s="354"/>
      <c r="QJX3" s="354"/>
      <c r="QJY3" s="354"/>
      <c r="QJZ3" s="354"/>
      <c r="QKA3" s="354"/>
      <c r="QKB3" s="354"/>
      <c r="QKC3" s="354"/>
      <c r="QKD3" s="354"/>
      <c r="QKE3" s="354"/>
      <c r="QKF3" s="354"/>
      <c r="QKG3" s="354"/>
      <c r="QKH3" s="354"/>
      <c r="QKI3" s="354"/>
      <c r="QKJ3" s="354"/>
      <c r="QKK3" s="354"/>
      <c r="QKL3" s="354"/>
      <c r="QKM3" s="354"/>
      <c r="QKN3" s="354"/>
      <c r="QKO3" s="354"/>
      <c r="QKP3" s="354"/>
      <c r="QKQ3" s="354"/>
      <c r="QKR3" s="354"/>
      <c r="QKS3" s="354"/>
      <c r="QKT3" s="354"/>
      <c r="QKU3" s="354"/>
      <c r="QKV3" s="354"/>
      <c r="QKW3" s="354"/>
      <c r="QKX3" s="354"/>
      <c r="QKY3" s="354"/>
      <c r="QKZ3" s="354"/>
      <c r="QLA3" s="354"/>
      <c r="QLB3" s="354"/>
      <c r="QLC3" s="354"/>
      <c r="QLD3" s="354"/>
      <c r="QLE3" s="354"/>
      <c r="QLF3" s="354"/>
      <c r="QLG3" s="354"/>
      <c r="QLH3" s="354"/>
      <c r="QLI3" s="354"/>
      <c r="QLJ3" s="354"/>
      <c r="QLK3" s="354"/>
      <c r="QLL3" s="354"/>
      <c r="QLM3" s="354"/>
      <c r="QLN3" s="354"/>
      <c r="QLO3" s="354"/>
      <c r="QLP3" s="354"/>
      <c r="QLQ3" s="354"/>
      <c r="QLR3" s="354"/>
      <c r="QLS3" s="354"/>
      <c r="QLT3" s="354"/>
      <c r="QLU3" s="354"/>
      <c r="QLV3" s="354"/>
      <c r="QLW3" s="354"/>
      <c r="QLX3" s="354"/>
      <c r="QLY3" s="354"/>
      <c r="QLZ3" s="354"/>
      <c r="QMA3" s="354"/>
      <c r="QMB3" s="354"/>
      <c r="QMC3" s="354"/>
      <c r="QMD3" s="354"/>
      <c r="QME3" s="354"/>
      <c r="QMF3" s="354"/>
      <c r="QMG3" s="354"/>
      <c r="QMH3" s="354"/>
      <c r="QMI3" s="354"/>
      <c r="QMJ3" s="354"/>
      <c r="QMK3" s="354"/>
      <c r="QML3" s="354"/>
      <c r="QMM3" s="354"/>
      <c r="QMN3" s="354"/>
      <c r="QMO3" s="354"/>
      <c r="QMP3" s="354"/>
      <c r="QMQ3" s="354"/>
      <c r="QMR3" s="354"/>
      <c r="QMS3" s="354"/>
      <c r="QMT3" s="354"/>
      <c r="QMU3" s="354"/>
      <c r="QMV3" s="354"/>
      <c r="QMW3" s="354"/>
      <c r="QMX3" s="354"/>
      <c r="QMY3" s="354"/>
      <c r="QMZ3" s="354"/>
      <c r="QNA3" s="354"/>
      <c r="QNB3" s="354"/>
      <c r="QNC3" s="354"/>
      <c r="QND3" s="354"/>
      <c r="QNE3" s="354"/>
      <c r="QNF3" s="354"/>
      <c r="QNG3" s="354"/>
      <c r="QNH3" s="354"/>
      <c r="QNI3" s="354"/>
      <c r="QNJ3" s="354"/>
      <c r="QNK3" s="354"/>
      <c r="QNL3" s="354"/>
      <c r="QNM3" s="354"/>
      <c r="QNN3" s="354"/>
      <c r="QNO3" s="354"/>
      <c r="QNP3" s="354"/>
      <c r="QNQ3" s="354"/>
      <c r="QNR3" s="354"/>
      <c r="QNS3" s="354"/>
      <c r="QNT3" s="354"/>
      <c r="QNU3" s="354"/>
      <c r="QNV3" s="354"/>
      <c r="QNW3" s="354"/>
      <c r="QNX3" s="354"/>
      <c r="QNY3" s="354"/>
      <c r="QNZ3" s="354"/>
      <c r="QOA3" s="354"/>
      <c r="QOB3" s="354"/>
      <c r="QOC3" s="354"/>
      <c r="QOD3" s="354"/>
      <c r="QOE3" s="354"/>
      <c r="QOF3" s="354"/>
      <c r="QOG3" s="354"/>
      <c r="QOH3" s="354"/>
      <c r="QOI3" s="354"/>
      <c r="QOJ3" s="354"/>
      <c r="QOK3" s="354"/>
      <c r="QOL3" s="354"/>
      <c r="QOM3" s="354"/>
      <c r="QON3" s="354"/>
      <c r="QOO3" s="354"/>
      <c r="QOP3" s="354"/>
      <c r="QOQ3" s="354"/>
      <c r="QOR3" s="354"/>
      <c r="QOS3" s="354"/>
      <c r="QOT3" s="354"/>
      <c r="QOU3" s="354"/>
      <c r="QOV3" s="354"/>
      <c r="QOW3" s="354"/>
      <c r="QOX3" s="354"/>
      <c r="QOY3" s="354"/>
      <c r="QOZ3" s="354"/>
      <c r="QPA3" s="354"/>
      <c r="QPB3" s="354"/>
      <c r="QPC3" s="354"/>
      <c r="QPD3" s="354"/>
      <c r="QPE3" s="354"/>
      <c r="QPF3" s="354"/>
      <c r="QPG3" s="354"/>
      <c r="QPH3" s="354"/>
      <c r="QPI3" s="354"/>
      <c r="QPJ3" s="354"/>
      <c r="QPK3" s="354"/>
      <c r="QPL3" s="354"/>
      <c r="QPM3" s="354"/>
      <c r="QPN3" s="354"/>
      <c r="QPO3" s="354"/>
      <c r="QPP3" s="354"/>
      <c r="QPQ3" s="354"/>
      <c r="QPR3" s="354"/>
      <c r="QPS3" s="354"/>
      <c r="QPT3" s="354"/>
      <c r="QPU3" s="354"/>
      <c r="QPV3" s="354"/>
      <c r="QPW3" s="354"/>
      <c r="QPX3" s="354"/>
      <c r="QPY3" s="354"/>
      <c r="QPZ3" s="354"/>
      <c r="QQA3" s="354"/>
      <c r="QQB3" s="354"/>
      <c r="QQC3" s="354"/>
      <c r="QQD3" s="354"/>
      <c r="QQE3" s="354"/>
      <c r="QQF3" s="354"/>
      <c r="QQG3" s="354"/>
      <c r="QQH3" s="354"/>
      <c r="QQI3" s="354"/>
      <c r="QQJ3" s="354"/>
      <c r="QQK3" s="354"/>
      <c r="QQL3" s="354"/>
      <c r="QQM3" s="354"/>
      <c r="QQN3" s="354"/>
      <c r="QQO3" s="354"/>
      <c r="QQP3" s="354"/>
      <c r="QQQ3" s="354"/>
      <c r="QQR3" s="354"/>
      <c r="QQS3" s="354"/>
      <c r="QQT3" s="354"/>
      <c r="QQU3" s="354"/>
      <c r="QQV3" s="354"/>
      <c r="QQW3" s="354"/>
      <c r="QQX3" s="354"/>
      <c r="QQY3" s="354"/>
      <c r="QQZ3" s="354"/>
      <c r="QRA3" s="354"/>
      <c r="QRB3" s="354"/>
      <c r="QRC3" s="354"/>
      <c r="QRD3" s="354"/>
      <c r="QRE3" s="354"/>
      <c r="QRF3" s="354"/>
      <c r="QRG3" s="354"/>
      <c r="QRH3" s="354"/>
      <c r="QRI3" s="354"/>
      <c r="QRJ3" s="354"/>
      <c r="QRK3" s="354"/>
      <c r="QRL3" s="354"/>
      <c r="QRM3" s="354"/>
      <c r="QRN3" s="354"/>
      <c r="QRO3" s="354"/>
      <c r="QRP3" s="354"/>
      <c r="QRQ3" s="354"/>
      <c r="QRR3" s="354"/>
      <c r="QRS3" s="354"/>
      <c r="QRT3" s="354"/>
      <c r="QRU3" s="354"/>
      <c r="QRV3" s="354"/>
      <c r="QRW3" s="354"/>
      <c r="QRX3" s="354"/>
      <c r="QRY3" s="354"/>
      <c r="QRZ3" s="354"/>
      <c r="QSA3" s="354"/>
      <c r="QSB3" s="354"/>
      <c r="QSC3" s="354"/>
      <c r="QSD3" s="354"/>
      <c r="QSE3" s="354"/>
      <c r="QSF3" s="354"/>
      <c r="QSG3" s="354"/>
      <c r="QSH3" s="354"/>
      <c r="QSI3" s="354"/>
      <c r="QSJ3" s="354"/>
      <c r="QSK3" s="354"/>
      <c r="QSL3" s="354"/>
      <c r="QSM3" s="354"/>
      <c r="QSN3" s="354"/>
      <c r="QSO3" s="354"/>
      <c r="QSP3" s="354"/>
      <c r="QSQ3" s="354"/>
      <c r="QSR3" s="354"/>
      <c r="QSS3" s="354"/>
      <c r="QST3" s="354"/>
      <c r="QSU3" s="354"/>
      <c r="QSV3" s="354"/>
      <c r="QSW3" s="354"/>
      <c r="QSX3" s="354"/>
      <c r="QSY3" s="354"/>
      <c r="QSZ3" s="354"/>
      <c r="QTA3" s="354"/>
      <c r="QTB3" s="354"/>
      <c r="QTC3" s="354"/>
      <c r="QTD3" s="354"/>
      <c r="QTE3" s="354"/>
      <c r="QTF3" s="354"/>
      <c r="QTG3" s="354"/>
      <c r="QTH3" s="354"/>
      <c r="QTI3" s="354"/>
      <c r="QTJ3" s="354"/>
      <c r="QTK3" s="354"/>
      <c r="QTL3" s="354"/>
      <c r="QTM3" s="354"/>
      <c r="QTN3" s="354"/>
      <c r="QTO3" s="354"/>
      <c r="QTP3" s="354"/>
      <c r="QTQ3" s="354"/>
      <c r="QTR3" s="354"/>
      <c r="QTS3" s="354"/>
      <c r="QTT3" s="354"/>
      <c r="QTU3" s="354"/>
      <c r="QTV3" s="354"/>
      <c r="QTW3" s="354"/>
      <c r="QTX3" s="354"/>
      <c r="QTY3" s="354"/>
      <c r="QTZ3" s="354"/>
      <c r="QUA3" s="354"/>
      <c r="QUB3" s="354"/>
      <c r="QUC3" s="354"/>
      <c r="QUD3" s="354"/>
      <c r="QUE3" s="354"/>
      <c r="QUF3" s="354"/>
      <c r="QUG3" s="354"/>
      <c r="QUH3" s="354"/>
      <c r="QUI3" s="354"/>
      <c r="QUJ3" s="354"/>
      <c r="QUK3" s="354"/>
      <c r="QUL3" s="354"/>
      <c r="QUM3" s="354"/>
      <c r="QUN3" s="354"/>
      <c r="QUO3" s="354"/>
      <c r="QUP3" s="354"/>
      <c r="QUQ3" s="354"/>
      <c r="QUR3" s="354"/>
      <c r="QUS3" s="354"/>
      <c r="QUT3" s="354"/>
      <c r="QUU3" s="354"/>
      <c r="QUV3" s="354"/>
      <c r="QUW3" s="354"/>
      <c r="QUX3" s="354"/>
      <c r="QUY3" s="354"/>
      <c r="QUZ3" s="354"/>
      <c r="QVA3" s="354"/>
      <c r="QVB3" s="354"/>
      <c r="QVC3" s="354"/>
      <c r="QVD3" s="354"/>
      <c r="QVE3" s="354"/>
      <c r="QVF3" s="354"/>
      <c r="QVG3" s="354"/>
      <c r="QVH3" s="354"/>
      <c r="QVI3" s="354"/>
      <c r="QVJ3" s="354"/>
      <c r="QVK3" s="354"/>
      <c r="QVL3" s="354"/>
      <c r="QVM3" s="354"/>
      <c r="QVN3" s="354"/>
      <c r="QVO3" s="354"/>
      <c r="QVP3" s="354"/>
      <c r="QVQ3" s="354"/>
      <c r="QVR3" s="354"/>
      <c r="QVS3" s="354"/>
      <c r="QVT3" s="354"/>
      <c r="QVU3" s="354"/>
      <c r="QVV3" s="354"/>
      <c r="QVW3" s="354"/>
      <c r="QVX3" s="354"/>
      <c r="QVY3" s="354"/>
      <c r="QVZ3" s="354"/>
      <c r="QWA3" s="354"/>
      <c r="QWB3" s="354"/>
      <c r="QWC3" s="354"/>
      <c r="QWD3" s="354"/>
      <c r="QWE3" s="354"/>
      <c r="QWF3" s="354"/>
      <c r="QWG3" s="354"/>
      <c r="QWH3" s="354"/>
      <c r="QWI3" s="354"/>
      <c r="QWJ3" s="354"/>
      <c r="QWK3" s="354"/>
      <c r="QWL3" s="354"/>
      <c r="QWM3" s="354"/>
      <c r="QWN3" s="354"/>
      <c r="QWO3" s="354"/>
      <c r="QWP3" s="354"/>
      <c r="QWQ3" s="354"/>
      <c r="QWR3" s="354"/>
      <c r="QWS3" s="354"/>
      <c r="QWT3" s="354"/>
      <c r="QWU3" s="354"/>
      <c r="QWV3" s="354"/>
      <c r="QWW3" s="354"/>
      <c r="QWX3" s="354"/>
      <c r="QWY3" s="354"/>
      <c r="QWZ3" s="354"/>
      <c r="QXA3" s="354"/>
      <c r="QXB3" s="354"/>
      <c r="QXC3" s="354"/>
      <c r="QXD3" s="354"/>
      <c r="QXE3" s="354"/>
      <c r="QXF3" s="354"/>
      <c r="QXG3" s="354"/>
      <c r="QXH3" s="354"/>
      <c r="QXI3" s="354"/>
      <c r="QXJ3" s="354"/>
      <c r="QXK3" s="354"/>
      <c r="QXL3" s="354"/>
      <c r="QXM3" s="354"/>
      <c r="QXN3" s="354"/>
      <c r="QXO3" s="354"/>
      <c r="QXP3" s="354"/>
      <c r="QXQ3" s="354"/>
      <c r="QXR3" s="354"/>
      <c r="QXS3" s="354"/>
      <c r="QXT3" s="354"/>
      <c r="QXU3" s="354"/>
      <c r="QXV3" s="354"/>
      <c r="QXW3" s="354"/>
      <c r="QXX3" s="354"/>
      <c r="QXY3" s="354"/>
      <c r="QXZ3" s="354"/>
      <c r="QYA3" s="354"/>
      <c r="QYB3" s="354"/>
      <c r="QYC3" s="354"/>
      <c r="QYD3" s="354"/>
      <c r="QYE3" s="354"/>
      <c r="QYF3" s="354"/>
      <c r="QYG3" s="354"/>
      <c r="QYH3" s="354"/>
      <c r="QYI3" s="354"/>
      <c r="QYJ3" s="354"/>
      <c r="QYK3" s="354"/>
      <c r="QYL3" s="354"/>
      <c r="QYM3" s="354"/>
      <c r="QYN3" s="354"/>
      <c r="QYO3" s="354"/>
      <c r="QYP3" s="354"/>
      <c r="QYQ3" s="354"/>
      <c r="QYR3" s="354"/>
      <c r="QYS3" s="354"/>
      <c r="QYT3" s="354"/>
      <c r="QYU3" s="354"/>
      <c r="QYV3" s="354"/>
      <c r="QYW3" s="354"/>
      <c r="QYX3" s="354"/>
      <c r="QYY3" s="354"/>
      <c r="QYZ3" s="354"/>
      <c r="QZA3" s="354"/>
      <c r="QZB3" s="354"/>
      <c r="QZC3" s="354"/>
      <c r="QZD3" s="354"/>
      <c r="QZE3" s="354"/>
      <c r="QZF3" s="354"/>
      <c r="QZG3" s="354"/>
      <c r="QZH3" s="354"/>
      <c r="QZI3" s="354"/>
      <c r="QZJ3" s="354"/>
      <c r="QZK3" s="354"/>
      <c r="QZL3" s="354"/>
      <c r="QZM3" s="354"/>
      <c r="QZN3" s="354"/>
      <c r="QZO3" s="354"/>
      <c r="QZP3" s="354"/>
      <c r="QZQ3" s="354"/>
      <c r="QZR3" s="354"/>
      <c r="QZS3" s="354"/>
      <c r="QZT3" s="354"/>
      <c r="QZU3" s="354"/>
      <c r="QZV3" s="354"/>
      <c r="QZW3" s="354"/>
      <c r="QZX3" s="354"/>
      <c r="QZY3" s="354"/>
      <c r="QZZ3" s="354"/>
      <c r="RAA3" s="354"/>
      <c r="RAB3" s="354"/>
      <c r="RAC3" s="354"/>
      <c r="RAD3" s="354"/>
      <c r="RAE3" s="354"/>
      <c r="RAF3" s="354"/>
      <c r="RAG3" s="354"/>
      <c r="RAH3" s="354"/>
      <c r="RAI3" s="354"/>
      <c r="RAJ3" s="354"/>
      <c r="RAK3" s="354"/>
      <c r="RAL3" s="354"/>
      <c r="RAM3" s="354"/>
      <c r="RAN3" s="354"/>
      <c r="RAO3" s="354"/>
      <c r="RAP3" s="354"/>
      <c r="RAQ3" s="354"/>
      <c r="RAR3" s="354"/>
      <c r="RAS3" s="354"/>
      <c r="RAT3" s="354"/>
      <c r="RAU3" s="354"/>
      <c r="RAV3" s="354"/>
      <c r="RAW3" s="354"/>
      <c r="RAX3" s="354"/>
      <c r="RAY3" s="354"/>
      <c r="RAZ3" s="354"/>
      <c r="RBA3" s="354"/>
      <c r="RBB3" s="354"/>
      <c r="RBC3" s="354"/>
      <c r="RBD3" s="354"/>
      <c r="RBE3" s="354"/>
      <c r="RBF3" s="354"/>
      <c r="RBG3" s="354"/>
      <c r="RBH3" s="354"/>
      <c r="RBI3" s="354"/>
      <c r="RBJ3" s="354"/>
      <c r="RBK3" s="354"/>
      <c r="RBL3" s="354"/>
      <c r="RBM3" s="354"/>
      <c r="RBN3" s="354"/>
      <c r="RBO3" s="354"/>
      <c r="RBP3" s="354"/>
      <c r="RBQ3" s="354"/>
      <c r="RBR3" s="354"/>
      <c r="RBS3" s="354"/>
      <c r="RBT3" s="354"/>
      <c r="RBU3" s="354"/>
      <c r="RBV3" s="354"/>
      <c r="RBW3" s="354"/>
      <c r="RBX3" s="354"/>
      <c r="RBY3" s="354"/>
      <c r="RBZ3" s="354"/>
      <c r="RCA3" s="354"/>
      <c r="RCB3" s="354"/>
      <c r="RCC3" s="354"/>
      <c r="RCD3" s="354"/>
      <c r="RCE3" s="354"/>
      <c r="RCF3" s="354"/>
      <c r="RCG3" s="354"/>
      <c r="RCH3" s="354"/>
      <c r="RCI3" s="354"/>
      <c r="RCJ3" s="354"/>
      <c r="RCK3" s="354"/>
      <c r="RCL3" s="354"/>
      <c r="RCM3" s="354"/>
      <c r="RCN3" s="354"/>
      <c r="RCO3" s="354"/>
      <c r="RCP3" s="354"/>
      <c r="RCQ3" s="354"/>
      <c r="RCR3" s="354"/>
      <c r="RCS3" s="354"/>
      <c r="RCT3" s="354"/>
      <c r="RCU3" s="354"/>
      <c r="RCV3" s="354"/>
      <c r="RCW3" s="354"/>
      <c r="RCX3" s="354"/>
      <c r="RCY3" s="354"/>
      <c r="RCZ3" s="354"/>
      <c r="RDA3" s="354"/>
      <c r="RDB3" s="354"/>
      <c r="RDC3" s="354"/>
      <c r="RDD3" s="354"/>
      <c r="RDE3" s="354"/>
      <c r="RDF3" s="354"/>
      <c r="RDG3" s="354"/>
      <c r="RDH3" s="354"/>
      <c r="RDI3" s="354"/>
      <c r="RDJ3" s="354"/>
      <c r="RDK3" s="354"/>
      <c r="RDL3" s="354"/>
      <c r="RDM3" s="354"/>
      <c r="RDN3" s="354"/>
      <c r="RDO3" s="354"/>
      <c r="RDP3" s="354"/>
      <c r="RDQ3" s="354"/>
      <c r="RDR3" s="354"/>
      <c r="RDS3" s="354"/>
      <c r="RDT3" s="354"/>
      <c r="RDU3" s="354"/>
      <c r="RDV3" s="354"/>
      <c r="RDW3" s="354"/>
      <c r="RDX3" s="354"/>
      <c r="RDY3" s="354"/>
      <c r="RDZ3" s="354"/>
      <c r="REA3" s="354"/>
      <c r="REB3" s="354"/>
      <c r="REC3" s="354"/>
      <c r="RED3" s="354"/>
      <c r="REE3" s="354"/>
      <c r="REF3" s="354"/>
      <c r="REG3" s="354"/>
      <c r="REH3" s="354"/>
      <c r="REI3" s="354"/>
      <c r="REJ3" s="354"/>
      <c r="REK3" s="354"/>
      <c r="REL3" s="354"/>
      <c r="REM3" s="354"/>
      <c r="REN3" s="354"/>
      <c r="REO3" s="354"/>
      <c r="REP3" s="354"/>
      <c r="REQ3" s="354"/>
      <c r="RER3" s="354"/>
      <c r="RES3" s="354"/>
      <c r="RET3" s="354"/>
      <c r="REU3" s="354"/>
      <c r="REV3" s="354"/>
      <c r="REW3" s="354"/>
      <c r="REX3" s="354"/>
      <c r="REY3" s="354"/>
      <c r="REZ3" s="354"/>
      <c r="RFA3" s="354"/>
      <c r="RFB3" s="354"/>
      <c r="RFC3" s="354"/>
      <c r="RFD3" s="354"/>
      <c r="RFE3" s="354"/>
      <c r="RFF3" s="354"/>
      <c r="RFG3" s="354"/>
      <c r="RFH3" s="354"/>
      <c r="RFI3" s="354"/>
      <c r="RFJ3" s="354"/>
      <c r="RFK3" s="354"/>
      <c r="RFL3" s="354"/>
      <c r="RFM3" s="354"/>
      <c r="RFN3" s="354"/>
      <c r="RFO3" s="354"/>
      <c r="RFP3" s="354"/>
      <c r="RFQ3" s="354"/>
      <c r="RFR3" s="354"/>
      <c r="RFS3" s="354"/>
      <c r="RFT3" s="354"/>
      <c r="RFU3" s="354"/>
      <c r="RFV3" s="354"/>
      <c r="RFW3" s="354"/>
      <c r="RFX3" s="354"/>
      <c r="RFY3" s="354"/>
      <c r="RFZ3" s="354"/>
      <c r="RGA3" s="354"/>
      <c r="RGB3" s="354"/>
      <c r="RGC3" s="354"/>
      <c r="RGD3" s="354"/>
      <c r="RGE3" s="354"/>
      <c r="RGF3" s="354"/>
      <c r="RGG3" s="354"/>
      <c r="RGH3" s="354"/>
      <c r="RGI3" s="354"/>
      <c r="RGJ3" s="354"/>
      <c r="RGK3" s="354"/>
      <c r="RGL3" s="354"/>
      <c r="RGM3" s="354"/>
      <c r="RGN3" s="354"/>
      <c r="RGO3" s="354"/>
      <c r="RGP3" s="354"/>
      <c r="RGQ3" s="354"/>
      <c r="RGR3" s="354"/>
      <c r="RGS3" s="354"/>
      <c r="RGT3" s="354"/>
      <c r="RGU3" s="354"/>
      <c r="RGV3" s="354"/>
      <c r="RGW3" s="354"/>
      <c r="RGX3" s="354"/>
      <c r="RGY3" s="354"/>
      <c r="RGZ3" s="354"/>
      <c r="RHA3" s="354"/>
      <c r="RHB3" s="354"/>
      <c r="RHC3" s="354"/>
      <c r="RHD3" s="354"/>
      <c r="RHE3" s="354"/>
      <c r="RHF3" s="354"/>
      <c r="RHG3" s="354"/>
      <c r="RHH3" s="354"/>
      <c r="RHI3" s="354"/>
      <c r="RHJ3" s="354"/>
      <c r="RHK3" s="354"/>
      <c r="RHL3" s="354"/>
      <c r="RHM3" s="354"/>
      <c r="RHN3" s="354"/>
      <c r="RHO3" s="354"/>
      <c r="RHP3" s="354"/>
      <c r="RHQ3" s="354"/>
      <c r="RHR3" s="354"/>
      <c r="RHS3" s="354"/>
      <c r="RHT3" s="354"/>
      <c r="RHU3" s="354"/>
      <c r="RHV3" s="354"/>
      <c r="RHW3" s="354"/>
      <c r="RHX3" s="354"/>
      <c r="RHY3" s="354"/>
      <c r="RHZ3" s="354"/>
      <c r="RIA3" s="354"/>
      <c r="RIB3" s="354"/>
      <c r="RIC3" s="354"/>
      <c r="RID3" s="354"/>
      <c r="RIE3" s="354"/>
      <c r="RIF3" s="354"/>
      <c r="RIG3" s="354"/>
      <c r="RIH3" s="354"/>
      <c r="RII3" s="354"/>
      <c r="RIJ3" s="354"/>
      <c r="RIK3" s="354"/>
      <c r="RIL3" s="354"/>
      <c r="RIM3" s="354"/>
      <c r="RIN3" s="354"/>
      <c r="RIO3" s="354"/>
      <c r="RIP3" s="354"/>
      <c r="RIQ3" s="354"/>
      <c r="RIR3" s="354"/>
      <c r="RIS3" s="354"/>
      <c r="RIT3" s="354"/>
      <c r="RIU3" s="354"/>
      <c r="RIV3" s="354"/>
      <c r="RIW3" s="354"/>
      <c r="RIX3" s="354"/>
      <c r="RIY3" s="354"/>
      <c r="RIZ3" s="354"/>
      <c r="RJA3" s="354"/>
      <c r="RJB3" s="354"/>
      <c r="RJC3" s="354"/>
      <c r="RJD3" s="354"/>
      <c r="RJE3" s="354"/>
      <c r="RJF3" s="354"/>
      <c r="RJG3" s="354"/>
      <c r="RJH3" s="354"/>
      <c r="RJI3" s="354"/>
      <c r="RJJ3" s="354"/>
      <c r="RJK3" s="354"/>
      <c r="RJL3" s="354"/>
      <c r="RJM3" s="354"/>
      <c r="RJN3" s="354"/>
      <c r="RJO3" s="354"/>
      <c r="RJP3" s="354"/>
      <c r="RJQ3" s="354"/>
      <c r="RJR3" s="354"/>
      <c r="RJS3" s="354"/>
      <c r="RJT3" s="354"/>
      <c r="RJU3" s="354"/>
      <c r="RJV3" s="354"/>
      <c r="RJW3" s="354"/>
      <c r="RJX3" s="354"/>
      <c r="RJY3" s="354"/>
      <c r="RJZ3" s="354"/>
      <c r="RKA3" s="354"/>
      <c r="RKB3" s="354"/>
      <c r="RKC3" s="354"/>
      <c r="RKD3" s="354"/>
      <c r="RKE3" s="354"/>
      <c r="RKF3" s="354"/>
      <c r="RKG3" s="354"/>
      <c r="RKH3" s="354"/>
      <c r="RKI3" s="354"/>
      <c r="RKJ3" s="354"/>
      <c r="RKK3" s="354"/>
      <c r="RKL3" s="354"/>
      <c r="RKM3" s="354"/>
      <c r="RKN3" s="354"/>
      <c r="RKO3" s="354"/>
      <c r="RKP3" s="354"/>
      <c r="RKQ3" s="354"/>
      <c r="RKR3" s="354"/>
      <c r="RKS3" s="354"/>
      <c r="RKT3" s="354"/>
      <c r="RKU3" s="354"/>
      <c r="RKV3" s="354"/>
      <c r="RKW3" s="354"/>
      <c r="RKX3" s="354"/>
      <c r="RKY3" s="354"/>
      <c r="RKZ3" s="354"/>
      <c r="RLA3" s="354"/>
      <c r="RLB3" s="354"/>
      <c r="RLC3" s="354"/>
      <c r="RLD3" s="354"/>
      <c r="RLE3" s="354"/>
      <c r="RLF3" s="354"/>
      <c r="RLG3" s="354"/>
      <c r="RLH3" s="354"/>
      <c r="RLI3" s="354"/>
      <c r="RLJ3" s="354"/>
      <c r="RLK3" s="354"/>
      <c r="RLL3" s="354"/>
      <c r="RLM3" s="354"/>
      <c r="RLN3" s="354"/>
      <c r="RLO3" s="354"/>
      <c r="RLP3" s="354"/>
      <c r="RLQ3" s="354"/>
      <c r="RLR3" s="354"/>
      <c r="RLS3" s="354"/>
      <c r="RLT3" s="354"/>
      <c r="RLU3" s="354"/>
      <c r="RLV3" s="354"/>
      <c r="RLW3" s="354"/>
      <c r="RLX3" s="354"/>
      <c r="RLY3" s="354"/>
      <c r="RLZ3" s="354"/>
      <c r="RMA3" s="354"/>
      <c r="RMB3" s="354"/>
      <c r="RMC3" s="354"/>
      <c r="RMD3" s="354"/>
      <c r="RME3" s="354"/>
      <c r="RMF3" s="354"/>
      <c r="RMG3" s="354"/>
      <c r="RMH3" s="354"/>
      <c r="RMI3" s="354"/>
      <c r="RMJ3" s="354"/>
      <c r="RMK3" s="354"/>
      <c r="RML3" s="354"/>
      <c r="RMM3" s="354"/>
      <c r="RMN3" s="354"/>
      <c r="RMO3" s="354"/>
      <c r="RMP3" s="354"/>
      <c r="RMQ3" s="354"/>
      <c r="RMR3" s="354"/>
      <c r="RMS3" s="354"/>
      <c r="RMT3" s="354"/>
      <c r="RMU3" s="354"/>
      <c r="RMV3" s="354"/>
      <c r="RMW3" s="354"/>
      <c r="RMX3" s="354"/>
      <c r="RMY3" s="354"/>
      <c r="RMZ3" s="354"/>
      <c r="RNA3" s="354"/>
      <c r="RNB3" s="354"/>
      <c r="RNC3" s="354"/>
      <c r="RND3" s="354"/>
      <c r="RNE3" s="354"/>
      <c r="RNF3" s="354"/>
      <c r="RNG3" s="354"/>
      <c r="RNH3" s="354"/>
      <c r="RNI3" s="354"/>
      <c r="RNJ3" s="354"/>
      <c r="RNK3" s="354"/>
      <c r="RNL3" s="354"/>
      <c r="RNM3" s="354"/>
      <c r="RNN3" s="354"/>
      <c r="RNO3" s="354"/>
      <c r="RNP3" s="354"/>
      <c r="RNQ3" s="354"/>
      <c r="RNR3" s="354"/>
      <c r="RNS3" s="354"/>
      <c r="RNT3" s="354"/>
      <c r="RNU3" s="354"/>
      <c r="RNV3" s="354"/>
      <c r="RNW3" s="354"/>
      <c r="RNX3" s="354"/>
      <c r="RNY3" s="354"/>
      <c r="RNZ3" s="354"/>
      <c r="ROA3" s="354"/>
      <c r="ROB3" s="354"/>
      <c r="ROC3" s="354"/>
      <c r="ROD3" s="354"/>
      <c r="ROE3" s="354"/>
      <c r="ROF3" s="354"/>
      <c r="ROG3" s="354"/>
      <c r="ROH3" s="354"/>
      <c r="ROI3" s="354"/>
      <c r="ROJ3" s="354"/>
      <c r="ROK3" s="354"/>
      <c r="ROL3" s="354"/>
      <c r="ROM3" s="354"/>
      <c r="RON3" s="354"/>
      <c r="ROO3" s="354"/>
      <c r="ROP3" s="354"/>
      <c r="ROQ3" s="354"/>
      <c r="ROR3" s="354"/>
      <c r="ROS3" s="354"/>
      <c r="ROT3" s="354"/>
      <c r="ROU3" s="354"/>
      <c r="ROV3" s="354"/>
      <c r="ROW3" s="354"/>
      <c r="ROX3" s="354"/>
      <c r="ROY3" s="354"/>
      <c r="ROZ3" s="354"/>
      <c r="RPA3" s="354"/>
      <c r="RPB3" s="354"/>
      <c r="RPC3" s="354"/>
      <c r="RPD3" s="354"/>
      <c r="RPE3" s="354"/>
      <c r="RPF3" s="354"/>
      <c r="RPG3" s="354"/>
      <c r="RPH3" s="354"/>
      <c r="RPI3" s="354"/>
      <c r="RPJ3" s="354"/>
      <c r="RPK3" s="354"/>
      <c r="RPL3" s="354"/>
      <c r="RPM3" s="354"/>
      <c r="RPN3" s="354"/>
      <c r="RPO3" s="354"/>
      <c r="RPP3" s="354"/>
      <c r="RPQ3" s="354"/>
      <c r="RPR3" s="354"/>
      <c r="RPS3" s="354"/>
      <c r="RPT3" s="354"/>
      <c r="RPU3" s="354"/>
      <c r="RPV3" s="354"/>
      <c r="RPW3" s="354"/>
      <c r="RPX3" s="354"/>
      <c r="RPY3" s="354"/>
      <c r="RPZ3" s="354"/>
      <c r="RQA3" s="354"/>
      <c r="RQB3" s="354"/>
      <c r="RQC3" s="354"/>
      <c r="RQD3" s="354"/>
      <c r="RQE3" s="354"/>
      <c r="RQF3" s="354"/>
      <c r="RQG3" s="354"/>
      <c r="RQH3" s="354"/>
      <c r="RQI3" s="354"/>
      <c r="RQJ3" s="354"/>
      <c r="RQK3" s="354"/>
      <c r="RQL3" s="354"/>
      <c r="RQM3" s="354"/>
      <c r="RQN3" s="354"/>
      <c r="RQO3" s="354"/>
      <c r="RQP3" s="354"/>
      <c r="RQQ3" s="354"/>
      <c r="RQR3" s="354"/>
      <c r="RQS3" s="354"/>
      <c r="RQT3" s="354"/>
      <c r="RQU3" s="354"/>
      <c r="RQV3" s="354"/>
      <c r="RQW3" s="354"/>
      <c r="RQX3" s="354"/>
      <c r="RQY3" s="354"/>
      <c r="RQZ3" s="354"/>
      <c r="RRA3" s="354"/>
      <c r="RRB3" s="354"/>
      <c r="RRC3" s="354"/>
      <c r="RRD3" s="354"/>
      <c r="RRE3" s="354"/>
      <c r="RRF3" s="354"/>
      <c r="RRG3" s="354"/>
      <c r="RRH3" s="354"/>
      <c r="RRI3" s="354"/>
      <c r="RRJ3" s="354"/>
      <c r="RRK3" s="354"/>
      <c r="RRL3" s="354"/>
      <c r="RRM3" s="354"/>
      <c r="RRN3" s="354"/>
      <c r="RRO3" s="354"/>
      <c r="RRP3" s="354"/>
      <c r="RRQ3" s="354"/>
      <c r="RRR3" s="354"/>
      <c r="RRS3" s="354"/>
      <c r="RRT3" s="354"/>
      <c r="RRU3" s="354"/>
      <c r="RRV3" s="354"/>
      <c r="RRW3" s="354"/>
      <c r="RRX3" s="354"/>
      <c r="RRY3" s="354"/>
      <c r="RRZ3" s="354"/>
      <c r="RSA3" s="354"/>
      <c r="RSB3" s="354"/>
      <c r="RSC3" s="354"/>
      <c r="RSD3" s="354"/>
      <c r="RSE3" s="354"/>
      <c r="RSF3" s="354"/>
      <c r="RSG3" s="354"/>
      <c r="RSH3" s="354"/>
      <c r="RSI3" s="354"/>
      <c r="RSJ3" s="354"/>
      <c r="RSK3" s="354"/>
      <c r="RSL3" s="354"/>
      <c r="RSM3" s="354"/>
      <c r="RSN3" s="354"/>
      <c r="RSO3" s="354"/>
      <c r="RSP3" s="354"/>
      <c r="RSQ3" s="354"/>
      <c r="RSR3" s="354"/>
      <c r="RSS3" s="354"/>
      <c r="RST3" s="354"/>
      <c r="RSU3" s="354"/>
      <c r="RSV3" s="354"/>
      <c r="RSW3" s="354"/>
      <c r="RSX3" s="354"/>
      <c r="RSY3" s="354"/>
      <c r="RSZ3" s="354"/>
      <c r="RTA3" s="354"/>
      <c r="RTB3" s="354"/>
      <c r="RTC3" s="354"/>
      <c r="RTD3" s="354"/>
      <c r="RTE3" s="354"/>
      <c r="RTF3" s="354"/>
      <c r="RTG3" s="354"/>
      <c r="RTH3" s="354"/>
      <c r="RTI3" s="354"/>
      <c r="RTJ3" s="354"/>
      <c r="RTK3" s="354"/>
      <c r="RTL3" s="354"/>
      <c r="RTM3" s="354"/>
      <c r="RTN3" s="354"/>
      <c r="RTO3" s="354"/>
      <c r="RTP3" s="354"/>
      <c r="RTQ3" s="354"/>
      <c r="RTR3" s="354"/>
      <c r="RTS3" s="354"/>
      <c r="RTT3" s="354"/>
      <c r="RTU3" s="354"/>
      <c r="RTV3" s="354"/>
      <c r="RTW3" s="354"/>
      <c r="RTX3" s="354"/>
      <c r="RTY3" s="354"/>
      <c r="RTZ3" s="354"/>
      <c r="RUA3" s="354"/>
      <c r="RUB3" s="354"/>
      <c r="RUC3" s="354"/>
      <c r="RUD3" s="354"/>
      <c r="RUE3" s="354"/>
      <c r="RUF3" s="354"/>
      <c r="RUG3" s="354"/>
      <c r="RUH3" s="354"/>
      <c r="RUI3" s="354"/>
      <c r="RUJ3" s="354"/>
      <c r="RUK3" s="354"/>
      <c r="RUL3" s="354"/>
      <c r="RUM3" s="354"/>
      <c r="RUN3" s="354"/>
      <c r="RUO3" s="354"/>
      <c r="RUP3" s="354"/>
      <c r="RUQ3" s="354"/>
      <c r="RUR3" s="354"/>
      <c r="RUS3" s="354"/>
      <c r="RUT3" s="354"/>
      <c r="RUU3" s="354"/>
      <c r="RUV3" s="354"/>
      <c r="RUW3" s="354"/>
      <c r="RUX3" s="354"/>
      <c r="RUY3" s="354"/>
      <c r="RUZ3" s="354"/>
      <c r="RVA3" s="354"/>
      <c r="RVB3" s="354"/>
      <c r="RVC3" s="354"/>
      <c r="RVD3" s="354"/>
      <c r="RVE3" s="354"/>
      <c r="RVF3" s="354"/>
      <c r="RVG3" s="354"/>
      <c r="RVH3" s="354"/>
      <c r="RVI3" s="354"/>
      <c r="RVJ3" s="354"/>
      <c r="RVK3" s="354"/>
      <c r="RVL3" s="354"/>
      <c r="RVM3" s="354"/>
      <c r="RVN3" s="354"/>
      <c r="RVO3" s="354"/>
      <c r="RVP3" s="354"/>
      <c r="RVQ3" s="354"/>
      <c r="RVR3" s="354"/>
      <c r="RVS3" s="354"/>
      <c r="RVT3" s="354"/>
      <c r="RVU3" s="354"/>
      <c r="RVV3" s="354"/>
      <c r="RVW3" s="354"/>
      <c r="RVX3" s="354"/>
      <c r="RVY3" s="354"/>
      <c r="RVZ3" s="354"/>
      <c r="RWA3" s="354"/>
      <c r="RWB3" s="354"/>
      <c r="RWC3" s="354"/>
      <c r="RWD3" s="354"/>
      <c r="RWE3" s="354"/>
      <c r="RWF3" s="354"/>
      <c r="RWG3" s="354"/>
      <c r="RWH3" s="354"/>
      <c r="RWI3" s="354"/>
      <c r="RWJ3" s="354"/>
      <c r="RWK3" s="354"/>
      <c r="RWL3" s="354"/>
      <c r="RWM3" s="354"/>
      <c r="RWN3" s="354"/>
      <c r="RWO3" s="354"/>
      <c r="RWP3" s="354"/>
      <c r="RWQ3" s="354"/>
      <c r="RWR3" s="354"/>
      <c r="RWS3" s="354"/>
      <c r="RWT3" s="354"/>
      <c r="RWU3" s="354"/>
      <c r="RWV3" s="354"/>
      <c r="RWW3" s="354"/>
      <c r="RWX3" s="354"/>
      <c r="RWY3" s="354"/>
      <c r="RWZ3" s="354"/>
      <c r="RXA3" s="354"/>
      <c r="RXB3" s="354"/>
      <c r="RXC3" s="354"/>
      <c r="RXD3" s="354"/>
      <c r="RXE3" s="354"/>
      <c r="RXF3" s="354"/>
      <c r="RXG3" s="354"/>
      <c r="RXH3" s="354"/>
      <c r="RXI3" s="354"/>
      <c r="RXJ3" s="354"/>
      <c r="RXK3" s="354"/>
      <c r="RXL3" s="354"/>
      <c r="RXM3" s="354"/>
      <c r="RXN3" s="354"/>
      <c r="RXO3" s="354"/>
      <c r="RXP3" s="354"/>
      <c r="RXQ3" s="354"/>
      <c r="RXR3" s="354"/>
      <c r="RXS3" s="354"/>
      <c r="RXT3" s="354"/>
      <c r="RXU3" s="354"/>
      <c r="RXV3" s="354"/>
      <c r="RXW3" s="354"/>
      <c r="RXX3" s="354"/>
      <c r="RXY3" s="354"/>
      <c r="RXZ3" s="354"/>
      <c r="RYA3" s="354"/>
      <c r="RYB3" s="354"/>
      <c r="RYC3" s="354"/>
      <c r="RYD3" s="354"/>
      <c r="RYE3" s="354"/>
      <c r="RYF3" s="354"/>
      <c r="RYG3" s="354"/>
      <c r="RYH3" s="354"/>
      <c r="RYI3" s="354"/>
      <c r="RYJ3" s="354"/>
      <c r="RYK3" s="354"/>
      <c r="RYL3" s="354"/>
      <c r="RYM3" s="354"/>
      <c r="RYN3" s="354"/>
      <c r="RYO3" s="354"/>
      <c r="RYP3" s="354"/>
      <c r="RYQ3" s="354"/>
      <c r="RYR3" s="354"/>
      <c r="RYS3" s="354"/>
      <c r="RYT3" s="354"/>
      <c r="RYU3" s="354"/>
      <c r="RYV3" s="354"/>
      <c r="RYW3" s="354"/>
      <c r="RYX3" s="354"/>
      <c r="RYY3" s="354"/>
      <c r="RYZ3" s="354"/>
      <c r="RZA3" s="354"/>
      <c r="RZB3" s="354"/>
      <c r="RZC3" s="354"/>
      <c r="RZD3" s="354"/>
      <c r="RZE3" s="354"/>
      <c r="RZF3" s="354"/>
      <c r="RZG3" s="354"/>
      <c r="RZH3" s="354"/>
      <c r="RZI3" s="354"/>
      <c r="RZJ3" s="354"/>
      <c r="RZK3" s="354"/>
      <c r="RZL3" s="354"/>
      <c r="RZM3" s="354"/>
      <c r="RZN3" s="354"/>
      <c r="RZO3" s="354"/>
      <c r="RZP3" s="354"/>
      <c r="RZQ3" s="354"/>
      <c r="RZR3" s="354"/>
      <c r="RZS3" s="354"/>
      <c r="RZT3" s="354"/>
      <c r="RZU3" s="354"/>
      <c r="RZV3" s="354"/>
      <c r="RZW3" s="354"/>
      <c r="RZX3" s="354"/>
      <c r="RZY3" s="354"/>
      <c r="RZZ3" s="354"/>
      <c r="SAA3" s="354"/>
      <c r="SAB3" s="354"/>
      <c r="SAC3" s="354"/>
      <c r="SAD3" s="354"/>
      <c r="SAE3" s="354"/>
      <c r="SAF3" s="354"/>
      <c r="SAG3" s="354"/>
      <c r="SAH3" s="354"/>
      <c r="SAI3" s="354"/>
      <c r="SAJ3" s="354"/>
      <c r="SAK3" s="354"/>
      <c r="SAL3" s="354"/>
      <c r="SAM3" s="354"/>
      <c r="SAN3" s="354"/>
      <c r="SAO3" s="354"/>
      <c r="SAP3" s="354"/>
      <c r="SAQ3" s="354"/>
      <c r="SAR3" s="354"/>
      <c r="SAS3" s="354"/>
      <c r="SAT3" s="354"/>
      <c r="SAU3" s="354"/>
      <c r="SAV3" s="354"/>
      <c r="SAW3" s="354"/>
      <c r="SAX3" s="354"/>
      <c r="SAY3" s="354"/>
      <c r="SAZ3" s="354"/>
      <c r="SBA3" s="354"/>
      <c r="SBB3" s="354"/>
      <c r="SBC3" s="354"/>
      <c r="SBD3" s="354"/>
      <c r="SBE3" s="354"/>
      <c r="SBF3" s="354"/>
      <c r="SBG3" s="354"/>
      <c r="SBH3" s="354"/>
      <c r="SBI3" s="354"/>
      <c r="SBJ3" s="354"/>
      <c r="SBK3" s="354"/>
      <c r="SBL3" s="354"/>
      <c r="SBM3" s="354"/>
      <c r="SBN3" s="354"/>
      <c r="SBO3" s="354"/>
      <c r="SBP3" s="354"/>
      <c r="SBQ3" s="354"/>
      <c r="SBR3" s="354"/>
      <c r="SBS3" s="354"/>
      <c r="SBT3" s="354"/>
      <c r="SBU3" s="354"/>
      <c r="SBV3" s="354"/>
      <c r="SBW3" s="354"/>
      <c r="SBX3" s="354"/>
      <c r="SBY3" s="354"/>
      <c r="SBZ3" s="354"/>
      <c r="SCA3" s="354"/>
      <c r="SCB3" s="354"/>
      <c r="SCC3" s="354"/>
      <c r="SCD3" s="354"/>
      <c r="SCE3" s="354"/>
      <c r="SCF3" s="354"/>
      <c r="SCG3" s="354"/>
      <c r="SCH3" s="354"/>
      <c r="SCI3" s="354"/>
      <c r="SCJ3" s="354"/>
      <c r="SCK3" s="354"/>
      <c r="SCL3" s="354"/>
      <c r="SCM3" s="354"/>
      <c r="SCN3" s="354"/>
      <c r="SCO3" s="354"/>
      <c r="SCP3" s="354"/>
      <c r="SCQ3" s="354"/>
      <c r="SCR3" s="354"/>
      <c r="SCS3" s="354"/>
      <c r="SCT3" s="354"/>
      <c r="SCU3" s="354"/>
      <c r="SCV3" s="354"/>
      <c r="SCW3" s="354"/>
      <c r="SCX3" s="354"/>
      <c r="SCY3" s="354"/>
      <c r="SCZ3" s="354"/>
      <c r="SDA3" s="354"/>
      <c r="SDB3" s="354"/>
      <c r="SDC3" s="354"/>
      <c r="SDD3" s="354"/>
      <c r="SDE3" s="354"/>
      <c r="SDF3" s="354"/>
      <c r="SDG3" s="354"/>
      <c r="SDH3" s="354"/>
      <c r="SDI3" s="354"/>
      <c r="SDJ3" s="354"/>
      <c r="SDK3" s="354"/>
      <c r="SDL3" s="354"/>
      <c r="SDM3" s="354"/>
      <c r="SDN3" s="354"/>
      <c r="SDO3" s="354"/>
      <c r="SDP3" s="354"/>
      <c r="SDQ3" s="354"/>
      <c r="SDR3" s="354"/>
      <c r="SDS3" s="354"/>
      <c r="SDT3" s="354"/>
      <c r="SDU3" s="354"/>
      <c r="SDV3" s="354"/>
      <c r="SDW3" s="354"/>
      <c r="SDX3" s="354"/>
      <c r="SDY3" s="354"/>
      <c r="SDZ3" s="354"/>
      <c r="SEA3" s="354"/>
      <c r="SEB3" s="354"/>
      <c r="SEC3" s="354"/>
      <c r="SED3" s="354"/>
      <c r="SEE3" s="354"/>
      <c r="SEF3" s="354"/>
      <c r="SEG3" s="354"/>
      <c r="SEH3" s="354"/>
      <c r="SEI3" s="354"/>
      <c r="SEJ3" s="354"/>
      <c r="SEK3" s="354"/>
      <c r="SEL3" s="354"/>
      <c r="SEM3" s="354"/>
      <c r="SEN3" s="354"/>
      <c r="SEO3" s="354"/>
      <c r="SEP3" s="354"/>
      <c r="SEQ3" s="354"/>
      <c r="SER3" s="354"/>
      <c r="SES3" s="354"/>
      <c r="SET3" s="354"/>
      <c r="SEU3" s="354"/>
      <c r="SEV3" s="354"/>
      <c r="SEW3" s="354"/>
      <c r="SEX3" s="354"/>
      <c r="SEY3" s="354"/>
      <c r="SEZ3" s="354"/>
      <c r="SFA3" s="354"/>
      <c r="SFB3" s="354"/>
      <c r="SFC3" s="354"/>
      <c r="SFD3" s="354"/>
      <c r="SFE3" s="354"/>
      <c r="SFF3" s="354"/>
      <c r="SFG3" s="354"/>
      <c r="SFH3" s="354"/>
      <c r="SFI3" s="354"/>
      <c r="SFJ3" s="354"/>
      <c r="SFK3" s="354"/>
      <c r="SFL3" s="354"/>
      <c r="SFM3" s="354"/>
      <c r="SFN3" s="354"/>
      <c r="SFO3" s="354"/>
      <c r="SFP3" s="354"/>
      <c r="SFQ3" s="354"/>
      <c r="SFR3" s="354"/>
      <c r="SFS3" s="354"/>
      <c r="SFT3" s="354"/>
      <c r="SFU3" s="354"/>
      <c r="SFV3" s="354"/>
      <c r="SFW3" s="354"/>
      <c r="SFX3" s="354"/>
      <c r="SFY3" s="354"/>
      <c r="SFZ3" s="354"/>
      <c r="SGA3" s="354"/>
      <c r="SGB3" s="354"/>
      <c r="SGC3" s="354"/>
      <c r="SGD3" s="354"/>
      <c r="SGE3" s="354"/>
      <c r="SGF3" s="354"/>
      <c r="SGG3" s="354"/>
      <c r="SGH3" s="354"/>
      <c r="SGI3" s="354"/>
      <c r="SGJ3" s="354"/>
      <c r="SGK3" s="354"/>
      <c r="SGL3" s="354"/>
      <c r="SGM3" s="354"/>
      <c r="SGN3" s="354"/>
      <c r="SGO3" s="354"/>
      <c r="SGP3" s="354"/>
      <c r="SGQ3" s="354"/>
      <c r="SGR3" s="354"/>
      <c r="SGS3" s="354"/>
      <c r="SGT3" s="354"/>
      <c r="SGU3" s="354"/>
      <c r="SGV3" s="354"/>
      <c r="SGW3" s="354"/>
      <c r="SGX3" s="354"/>
      <c r="SGY3" s="354"/>
      <c r="SGZ3" s="354"/>
      <c r="SHA3" s="354"/>
      <c r="SHB3" s="354"/>
      <c r="SHC3" s="354"/>
      <c r="SHD3" s="354"/>
      <c r="SHE3" s="354"/>
      <c r="SHF3" s="354"/>
      <c r="SHG3" s="354"/>
      <c r="SHH3" s="354"/>
      <c r="SHI3" s="354"/>
      <c r="SHJ3" s="354"/>
      <c r="SHK3" s="354"/>
      <c r="SHL3" s="354"/>
      <c r="SHM3" s="354"/>
      <c r="SHN3" s="354"/>
      <c r="SHO3" s="354"/>
      <c r="SHP3" s="354"/>
      <c r="SHQ3" s="354"/>
      <c r="SHR3" s="354"/>
      <c r="SHS3" s="354"/>
      <c r="SHT3" s="354"/>
      <c r="SHU3" s="354"/>
      <c r="SHV3" s="354"/>
      <c r="SHW3" s="354"/>
      <c r="SHX3" s="354"/>
      <c r="SHY3" s="354"/>
      <c r="SHZ3" s="354"/>
      <c r="SIA3" s="354"/>
      <c r="SIB3" s="354"/>
      <c r="SIC3" s="354"/>
      <c r="SID3" s="354"/>
      <c r="SIE3" s="354"/>
      <c r="SIF3" s="354"/>
      <c r="SIG3" s="354"/>
      <c r="SIH3" s="354"/>
      <c r="SII3" s="354"/>
      <c r="SIJ3" s="354"/>
      <c r="SIK3" s="354"/>
      <c r="SIL3" s="354"/>
      <c r="SIM3" s="354"/>
      <c r="SIN3" s="354"/>
      <c r="SIO3" s="354"/>
      <c r="SIP3" s="354"/>
      <c r="SIQ3" s="354"/>
      <c r="SIR3" s="354"/>
      <c r="SIS3" s="354"/>
      <c r="SIT3" s="354"/>
      <c r="SIU3" s="354"/>
      <c r="SIV3" s="354"/>
      <c r="SIW3" s="354"/>
      <c r="SIX3" s="354"/>
      <c r="SIY3" s="354"/>
      <c r="SIZ3" s="354"/>
      <c r="SJA3" s="354"/>
      <c r="SJB3" s="354"/>
      <c r="SJC3" s="354"/>
      <c r="SJD3" s="354"/>
      <c r="SJE3" s="354"/>
      <c r="SJF3" s="354"/>
      <c r="SJG3" s="354"/>
      <c r="SJH3" s="354"/>
      <c r="SJI3" s="354"/>
      <c r="SJJ3" s="354"/>
      <c r="SJK3" s="354"/>
      <c r="SJL3" s="354"/>
      <c r="SJM3" s="354"/>
      <c r="SJN3" s="354"/>
      <c r="SJO3" s="354"/>
      <c r="SJP3" s="354"/>
      <c r="SJQ3" s="354"/>
      <c r="SJR3" s="354"/>
      <c r="SJS3" s="354"/>
      <c r="SJT3" s="354"/>
      <c r="SJU3" s="354"/>
      <c r="SJV3" s="354"/>
      <c r="SJW3" s="354"/>
      <c r="SJX3" s="354"/>
      <c r="SJY3" s="354"/>
      <c r="SJZ3" s="354"/>
      <c r="SKA3" s="354"/>
      <c r="SKB3" s="354"/>
      <c r="SKC3" s="354"/>
      <c r="SKD3" s="354"/>
      <c r="SKE3" s="354"/>
      <c r="SKF3" s="354"/>
      <c r="SKG3" s="354"/>
      <c r="SKH3" s="354"/>
      <c r="SKI3" s="354"/>
      <c r="SKJ3" s="354"/>
      <c r="SKK3" s="354"/>
      <c r="SKL3" s="354"/>
      <c r="SKM3" s="354"/>
      <c r="SKN3" s="354"/>
      <c r="SKO3" s="354"/>
      <c r="SKP3" s="354"/>
      <c r="SKQ3" s="354"/>
      <c r="SKR3" s="354"/>
      <c r="SKS3" s="354"/>
      <c r="SKT3" s="354"/>
      <c r="SKU3" s="354"/>
      <c r="SKV3" s="354"/>
      <c r="SKW3" s="354"/>
      <c r="SKX3" s="354"/>
      <c r="SKY3" s="354"/>
      <c r="SKZ3" s="354"/>
      <c r="SLA3" s="354"/>
      <c r="SLB3" s="354"/>
      <c r="SLC3" s="354"/>
      <c r="SLD3" s="354"/>
      <c r="SLE3" s="354"/>
      <c r="SLF3" s="354"/>
      <c r="SLG3" s="354"/>
      <c r="SLH3" s="354"/>
      <c r="SLI3" s="354"/>
      <c r="SLJ3" s="354"/>
      <c r="SLK3" s="354"/>
      <c r="SLL3" s="354"/>
      <c r="SLM3" s="354"/>
      <c r="SLN3" s="354"/>
      <c r="SLO3" s="354"/>
      <c r="SLP3" s="354"/>
      <c r="SLQ3" s="354"/>
      <c r="SLR3" s="354"/>
      <c r="SLS3" s="354"/>
      <c r="SLT3" s="354"/>
      <c r="SLU3" s="354"/>
      <c r="SLV3" s="354"/>
      <c r="SLW3" s="354"/>
      <c r="SLX3" s="354"/>
      <c r="SLY3" s="354"/>
      <c r="SLZ3" s="354"/>
      <c r="SMA3" s="354"/>
      <c r="SMB3" s="354"/>
      <c r="SMC3" s="354"/>
      <c r="SMD3" s="354"/>
      <c r="SME3" s="354"/>
      <c r="SMF3" s="354"/>
      <c r="SMG3" s="354"/>
      <c r="SMH3" s="354"/>
      <c r="SMI3" s="354"/>
      <c r="SMJ3" s="354"/>
      <c r="SMK3" s="354"/>
      <c r="SML3" s="354"/>
      <c r="SMM3" s="354"/>
      <c r="SMN3" s="354"/>
      <c r="SMO3" s="354"/>
      <c r="SMP3" s="354"/>
      <c r="SMQ3" s="354"/>
      <c r="SMR3" s="354"/>
      <c r="SMS3" s="354"/>
      <c r="SMT3" s="354"/>
      <c r="SMU3" s="354"/>
      <c r="SMV3" s="354"/>
      <c r="SMW3" s="354"/>
      <c r="SMX3" s="354"/>
      <c r="SMY3" s="354"/>
      <c r="SMZ3" s="354"/>
      <c r="SNA3" s="354"/>
      <c r="SNB3" s="354"/>
      <c r="SNC3" s="354"/>
      <c r="SND3" s="354"/>
      <c r="SNE3" s="354"/>
      <c r="SNF3" s="354"/>
      <c r="SNG3" s="354"/>
      <c r="SNH3" s="354"/>
      <c r="SNI3" s="354"/>
      <c r="SNJ3" s="354"/>
      <c r="SNK3" s="354"/>
      <c r="SNL3" s="354"/>
      <c r="SNM3" s="354"/>
      <c r="SNN3" s="354"/>
      <c r="SNO3" s="354"/>
      <c r="SNP3" s="354"/>
      <c r="SNQ3" s="354"/>
      <c r="SNR3" s="354"/>
      <c r="SNS3" s="354"/>
      <c r="SNT3" s="354"/>
      <c r="SNU3" s="354"/>
      <c r="SNV3" s="354"/>
      <c r="SNW3" s="354"/>
      <c r="SNX3" s="354"/>
      <c r="SNY3" s="354"/>
      <c r="SNZ3" s="354"/>
      <c r="SOA3" s="354"/>
      <c r="SOB3" s="354"/>
      <c r="SOC3" s="354"/>
      <c r="SOD3" s="354"/>
      <c r="SOE3" s="354"/>
      <c r="SOF3" s="354"/>
      <c r="SOG3" s="354"/>
      <c r="SOH3" s="354"/>
      <c r="SOI3" s="354"/>
      <c r="SOJ3" s="354"/>
      <c r="SOK3" s="354"/>
      <c r="SOL3" s="354"/>
      <c r="SOM3" s="354"/>
      <c r="SON3" s="354"/>
      <c r="SOO3" s="354"/>
      <c r="SOP3" s="354"/>
      <c r="SOQ3" s="354"/>
      <c r="SOR3" s="354"/>
      <c r="SOS3" s="354"/>
      <c r="SOT3" s="354"/>
      <c r="SOU3" s="354"/>
      <c r="SOV3" s="354"/>
      <c r="SOW3" s="354"/>
      <c r="SOX3" s="354"/>
      <c r="SOY3" s="354"/>
      <c r="SOZ3" s="354"/>
      <c r="SPA3" s="354"/>
      <c r="SPB3" s="354"/>
      <c r="SPC3" s="354"/>
      <c r="SPD3" s="354"/>
      <c r="SPE3" s="354"/>
      <c r="SPF3" s="354"/>
      <c r="SPG3" s="354"/>
      <c r="SPH3" s="354"/>
      <c r="SPI3" s="354"/>
      <c r="SPJ3" s="354"/>
      <c r="SPK3" s="354"/>
      <c r="SPL3" s="354"/>
      <c r="SPM3" s="354"/>
      <c r="SPN3" s="354"/>
      <c r="SPO3" s="354"/>
      <c r="SPP3" s="354"/>
      <c r="SPQ3" s="354"/>
      <c r="SPR3" s="354"/>
      <c r="SPS3" s="354"/>
      <c r="SPT3" s="354"/>
      <c r="SPU3" s="354"/>
      <c r="SPV3" s="354"/>
      <c r="SPW3" s="354"/>
      <c r="SPX3" s="354"/>
      <c r="SPY3" s="354"/>
      <c r="SPZ3" s="354"/>
      <c r="SQA3" s="354"/>
      <c r="SQB3" s="354"/>
      <c r="SQC3" s="354"/>
      <c r="SQD3" s="354"/>
      <c r="SQE3" s="354"/>
      <c r="SQF3" s="354"/>
      <c r="SQG3" s="354"/>
      <c r="SQH3" s="354"/>
      <c r="SQI3" s="354"/>
      <c r="SQJ3" s="354"/>
      <c r="SQK3" s="354"/>
      <c r="SQL3" s="354"/>
      <c r="SQM3" s="354"/>
      <c r="SQN3" s="354"/>
      <c r="SQO3" s="354"/>
      <c r="SQP3" s="354"/>
      <c r="SQQ3" s="354"/>
      <c r="SQR3" s="354"/>
      <c r="SQS3" s="354"/>
      <c r="SQT3" s="354"/>
      <c r="SQU3" s="354"/>
      <c r="SQV3" s="354"/>
      <c r="SQW3" s="354"/>
      <c r="SQX3" s="354"/>
      <c r="SQY3" s="354"/>
      <c r="SQZ3" s="354"/>
      <c r="SRA3" s="354"/>
      <c r="SRB3" s="354"/>
      <c r="SRC3" s="354"/>
      <c r="SRD3" s="354"/>
      <c r="SRE3" s="354"/>
      <c r="SRF3" s="354"/>
      <c r="SRG3" s="354"/>
      <c r="SRH3" s="354"/>
      <c r="SRI3" s="354"/>
      <c r="SRJ3" s="354"/>
      <c r="SRK3" s="354"/>
      <c r="SRL3" s="354"/>
      <c r="SRM3" s="354"/>
      <c r="SRN3" s="354"/>
      <c r="SRO3" s="354"/>
      <c r="SRP3" s="354"/>
      <c r="SRQ3" s="354"/>
      <c r="SRR3" s="354"/>
      <c r="SRS3" s="354"/>
      <c r="SRT3" s="354"/>
      <c r="SRU3" s="354"/>
      <c r="SRV3" s="354"/>
      <c r="SRW3" s="354"/>
      <c r="SRX3" s="354"/>
      <c r="SRY3" s="354"/>
      <c r="SRZ3" s="354"/>
      <c r="SSA3" s="354"/>
      <c r="SSB3" s="354"/>
      <c r="SSC3" s="354"/>
      <c r="SSD3" s="354"/>
      <c r="SSE3" s="354"/>
      <c r="SSF3" s="354"/>
      <c r="SSG3" s="354"/>
      <c r="SSH3" s="354"/>
      <c r="SSI3" s="354"/>
      <c r="SSJ3" s="354"/>
      <c r="SSK3" s="354"/>
      <c r="SSL3" s="354"/>
      <c r="SSM3" s="354"/>
      <c r="SSN3" s="354"/>
      <c r="SSO3" s="354"/>
      <c r="SSP3" s="354"/>
      <c r="SSQ3" s="354"/>
      <c r="SSR3" s="354"/>
      <c r="SSS3" s="354"/>
      <c r="SST3" s="354"/>
      <c r="SSU3" s="354"/>
      <c r="SSV3" s="354"/>
      <c r="SSW3" s="354"/>
      <c r="SSX3" s="354"/>
      <c r="SSY3" s="354"/>
      <c r="SSZ3" s="354"/>
      <c r="STA3" s="354"/>
      <c r="STB3" s="354"/>
      <c r="STC3" s="354"/>
      <c r="STD3" s="354"/>
      <c r="STE3" s="354"/>
      <c r="STF3" s="354"/>
      <c r="STG3" s="354"/>
      <c r="STH3" s="354"/>
      <c r="STI3" s="354"/>
      <c r="STJ3" s="354"/>
      <c r="STK3" s="354"/>
      <c r="STL3" s="354"/>
      <c r="STM3" s="354"/>
      <c r="STN3" s="354"/>
      <c r="STO3" s="354"/>
      <c r="STP3" s="354"/>
      <c r="STQ3" s="354"/>
      <c r="STR3" s="354"/>
      <c r="STS3" s="354"/>
      <c r="STT3" s="354"/>
      <c r="STU3" s="354"/>
      <c r="STV3" s="354"/>
      <c r="STW3" s="354"/>
      <c r="STX3" s="354"/>
      <c r="STY3" s="354"/>
      <c r="STZ3" s="354"/>
      <c r="SUA3" s="354"/>
      <c r="SUB3" s="354"/>
      <c r="SUC3" s="354"/>
      <c r="SUD3" s="354"/>
      <c r="SUE3" s="354"/>
      <c r="SUF3" s="354"/>
      <c r="SUG3" s="354"/>
      <c r="SUH3" s="354"/>
      <c r="SUI3" s="354"/>
      <c r="SUJ3" s="354"/>
      <c r="SUK3" s="354"/>
      <c r="SUL3" s="354"/>
      <c r="SUM3" s="354"/>
      <c r="SUN3" s="354"/>
      <c r="SUO3" s="354"/>
      <c r="SUP3" s="354"/>
      <c r="SUQ3" s="354"/>
      <c r="SUR3" s="354"/>
      <c r="SUS3" s="354"/>
      <c r="SUT3" s="354"/>
      <c r="SUU3" s="354"/>
      <c r="SUV3" s="354"/>
      <c r="SUW3" s="354"/>
      <c r="SUX3" s="354"/>
      <c r="SUY3" s="354"/>
      <c r="SUZ3" s="354"/>
      <c r="SVA3" s="354"/>
      <c r="SVB3" s="354"/>
      <c r="SVC3" s="354"/>
      <c r="SVD3" s="354"/>
      <c r="SVE3" s="354"/>
      <c r="SVF3" s="354"/>
      <c r="SVG3" s="354"/>
      <c r="SVH3" s="354"/>
      <c r="SVI3" s="354"/>
      <c r="SVJ3" s="354"/>
      <c r="SVK3" s="354"/>
      <c r="SVL3" s="354"/>
      <c r="SVM3" s="354"/>
      <c r="SVN3" s="354"/>
      <c r="SVO3" s="354"/>
      <c r="SVP3" s="354"/>
      <c r="SVQ3" s="354"/>
      <c r="SVR3" s="354"/>
      <c r="SVS3" s="354"/>
      <c r="SVT3" s="354"/>
      <c r="SVU3" s="354"/>
      <c r="SVV3" s="354"/>
      <c r="SVW3" s="354"/>
      <c r="SVX3" s="354"/>
      <c r="SVY3" s="354"/>
      <c r="SVZ3" s="354"/>
      <c r="SWA3" s="354"/>
      <c r="SWB3" s="354"/>
      <c r="SWC3" s="354"/>
      <c r="SWD3" s="354"/>
      <c r="SWE3" s="354"/>
      <c r="SWF3" s="354"/>
      <c r="SWG3" s="354"/>
      <c r="SWH3" s="354"/>
      <c r="SWI3" s="354"/>
      <c r="SWJ3" s="354"/>
      <c r="SWK3" s="354"/>
      <c r="SWL3" s="354"/>
      <c r="SWM3" s="354"/>
      <c r="SWN3" s="354"/>
      <c r="SWO3" s="354"/>
      <c r="SWP3" s="354"/>
      <c r="SWQ3" s="354"/>
      <c r="SWR3" s="354"/>
      <c r="SWS3" s="354"/>
      <c r="SWT3" s="354"/>
      <c r="SWU3" s="354"/>
      <c r="SWV3" s="354"/>
      <c r="SWW3" s="354"/>
      <c r="SWX3" s="354"/>
      <c r="SWY3" s="354"/>
      <c r="SWZ3" s="354"/>
      <c r="SXA3" s="354"/>
      <c r="SXB3" s="354"/>
      <c r="SXC3" s="354"/>
      <c r="SXD3" s="354"/>
      <c r="SXE3" s="354"/>
      <c r="SXF3" s="354"/>
      <c r="SXG3" s="354"/>
      <c r="SXH3" s="354"/>
      <c r="SXI3" s="354"/>
      <c r="SXJ3" s="354"/>
      <c r="SXK3" s="354"/>
      <c r="SXL3" s="354"/>
      <c r="SXM3" s="354"/>
      <c r="SXN3" s="354"/>
      <c r="SXO3" s="354"/>
      <c r="SXP3" s="354"/>
      <c r="SXQ3" s="354"/>
      <c r="SXR3" s="354"/>
      <c r="SXS3" s="354"/>
      <c r="SXT3" s="354"/>
      <c r="SXU3" s="354"/>
      <c r="SXV3" s="354"/>
      <c r="SXW3" s="354"/>
      <c r="SXX3" s="354"/>
      <c r="SXY3" s="354"/>
      <c r="SXZ3" s="354"/>
      <c r="SYA3" s="354"/>
      <c r="SYB3" s="354"/>
      <c r="SYC3" s="354"/>
      <c r="SYD3" s="354"/>
      <c r="SYE3" s="354"/>
      <c r="SYF3" s="354"/>
      <c r="SYG3" s="354"/>
      <c r="SYH3" s="354"/>
      <c r="SYI3" s="354"/>
      <c r="SYJ3" s="354"/>
      <c r="SYK3" s="354"/>
      <c r="SYL3" s="354"/>
      <c r="SYM3" s="354"/>
      <c r="SYN3" s="354"/>
      <c r="SYO3" s="354"/>
      <c r="SYP3" s="354"/>
      <c r="SYQ3" s="354"/>
      <c r="SYR3" s="354"/>
      <c r="SYS3" s="354"/>
      <c r="SYT3" s="354"/>
      <c r="SYU3" s="354"/>
      <c r="SYV3" s="354"/>
      <c r="SYW3" s="354"/>
      <c r="SYX3" s="354"/>
      <c r="SYY3" s="354"/>
      <c r="SYZ3" s="354"/>
      <c r="SZA3" s="354"/>
      <c r="SZB3" s="354"/>
      <c r="SZC3" s="354"/>
      <c r="SZD3" s="354"/>
      <c r="SZE3" s="354"/>
      <c r="SZF3" s="354"/>
      <c r="SZG3" s="354"/>
      <c r="SZH3" s="354"/>
      <c r="SZI3" s="354"/>
      <c r="SZJ3" s="354"/>
      <c r="SZK3" s="354"/>
      <c r="SZL3" s="354"/>
      <c r="SZM3" s="354"/>
      <c r="SZN3" s="354"/>
      <c r="SZO3" s="354"/>
      <c r="SZP3" s="354"/>
      <c r="SZQ3" s="354"/>
      <c r="SZR3" s="354"/>
      <c r="SZS3" s="354"/>
      <c r="SZT3" s="354"/>
      <c r="SZU3" s="354"/>
      <c r="SZV3" s="354"/>
      <c r="SZW3" s="354"/>
      <c r="SZX3" s="354"/>
      <c r="SZY3" s="354"/>
      <c r="SZZ3" s="354"/>
      <c r="TAA3" s="354"/>
      <c r="TAB3" s="354"/>
      <c r="TAC3" s="354"/>
      <c r="TAD3" s="354"/>
      <c r="TAE3" s="354"/>
      <c r="TAF3" s="354"/>
      <c r="TAG3" s="354"/>
      <c r="TAH3" s="354"/>
      <c r="TAI3" s="354"/>
      <c r="TAJ3" s="354"/>
      <c r="TAK3" s="354"/>
      <c r="TAL3" s="354"/>
      <c r="TAM3" s="354"/>
      <c r="TAN3" s="354"/>
      <c r="TAO3" s="354"/>
      <c r="TAP3" s="354"/>
      <c r="TAQ3" s="354"/>
      <c r="TAR3" s="354"/>
      <c r="TAS3" s="354"/>
      <c r="TAT3" s="354"/>
      <c r="TAU3" s="354"/>
      <c r="TAV3" s="354"/>
      <c r="TAW3" s="354"/>
      <c r="TAX3" s="354"/>
      <c r="TAY3" s="354"/>
      <c r="TAZ3" s="354"/>
      <c r="TBA3" s="354"/>
      <c r="TBB3" s="354"/>
      <c r="TBC3" s="354"/>
      <c r="TBD3" s="354"/>
      <c r="TBE3" s="354"/>
      <c r="TBF3" s="354"/>
      <c r="TBG3" s="354"/>
      <c r="TBH3" s="354"/>
      <c r="TBI3" s="354"/>
      <c r="TBJ3" s="354"/>
      <c r="TBK3" s="354"/>
      <c r="TBL3" s="354"/>
      <c r="TBM3" s="354"/>
      <c r="TBN3" s="354"/>
      <c r="TBO3" s="354"/>
      <c r="TBP3" s="354"/>
      <c r="TBQ3" s="354"/>
      <c r="TBR3" s="354"/>
      <c r="TBS3" s="354"/>
      <c r="TBT3" s="354"/>
      <c r="TBU3" s="354"/>
      <c r="TBV3" s="354"/>
      <c r="TBW3" s="354"/>
      <c r="TBX3" s="354"/>
      <c r="TBY3" s="354"/>
      <c r="TBZ3" s="354"/>
      <c r="TCA3" s="354"/>
      <c r="TCB3" s="354"/>
      <c r="TCC3" s="354"/>
      <c r="TCD3" s="354"/>
      <c r="TCE3" s="354"/>
      <c r="TCF3" s="354"/>
      <c r="TCG3" s="354"/>
      <c r="TCH3" s="354"/>
      <c r="TCI3" s="354"/>
      <c r="TCJ3" s="354"/>
      <c r="TCK3" s="354"/>
      <c r="TCL3" s="354"/>
      <c r="TCM3" s="354"/>
      <c r="TCN3" s="354"/>
      <c r="TCO3" s="354"/>
      <c r="TCP3" s="354"/>
      <c r="TCQ3" s="354"/>
      <c r="TCR3" s="354"/>
      <c r="TCS3" s="354"/>
      <c r="TCT3" s="354"/>
      <c r="TCU3" s="354"/>
      <c r="TCV3" s="354"/>
      <c r="TCW3" s="354"/>
      <c r="TCX3" s="354"/>
      <c r="TCY3" s="354"/>
      <c r="TCZ3" s="354"/>
      <c r="TDA3" s="354"/>
      <c r="TDB3" s="354"/>
      <c r="TDC3" s="354"/>
      <c r="TDD3" s="354"/>
      <c r="TDE3" s="354"/>
      <c r="TDF3" s="354"/>
      <c r="TDG3" s="354"/>
      <c r="TDH3" s="354"/>
      <c r="TDI3" s="354"/>
      <c r="TDJ3" s="354"/>
      <c r="TDK3" s="354"/>
      <c r="TDL3" s="354"/>
      <c r="TDM3" s="354"/>
      <c r="TDN3" s="354"/>
      <c r="TDO3" s="354"/>
      <c r="TDP3" s="354"/>
      <c r="TDQ3" s="354"/>
      <c r="TDR3" s="354"/>
      <c r="TDS3" s="354"/>
      <c r="TDT3" s="354"/>
      <c r="TDU3" s="354"/>
      <c r="TDV3" s="354"/>
      <c r="TDW3" s="354"/>
      <c r="TDX3" s="354"/>
      <c r="TDY3" s="354"/>
      <c r="TDZ3" s="354"/>
      <c r="TEA3" s="354"/>
      <c r="TEB3" s="354"/>
      <c r="TEC3" s="354"/>
      <c r="TED3" s="354"/>
      <c r="TEE3" s="354"/>
      <c r="TEF3" s="354"/>
      <c r="TEG3" s="354"/>
      <c r="TEH3" s="354"/>
      <c r="TEI3" s="354"/>
      <c r="TEJ3" s="354"/>
      <c r="TEK3" s="354"/>
      <c r="TEL3" s="354"/>
      <c r="TEM3" s="354"/>
      <c r="TEN3" s="354"/>
      <c r="TEO3" s="354"/>
      <c r="TEP3" s="354"/>
      <c r="TEQ3" s="354"/>
      <c r="TER3" s="354"/>
      <c r="TES3" s="354"/>
      <c r="TET3" s="354"/>
      <c r="TEU3" s="354"/>
      <c r="TEV3" s="354"/>
      <c r="TEW3" s="354"/>
      <c r="TEX3" s="354"/>
      <c r="TEY3" s="354"/>
      <c r="TEZ3" s="354"/>
      <c r="TFA3" s="354"/>
      <c r="TFB3" s="354"/>
      <c r="TFC3" s="354"/>
      <c r="TFD3" s="354"/>
      <c r="TFE3" s="354"/>
      <c r="TFF3" s="354"/>
      <c r="TFG3" s="354"/>
      <c r="TFH3" s="354"/>
      <c r="TFI3" s="354"/>
      <c r="TFJ3" s="354"/>
      <c r="TFK3" s="354"/>
      <c r="TFL3" s="354"/>
      <c r="TFM3" s="354"/>
      <c r="TFN3" s="354"/>
      <c r="TFO3" s="354"/>
      <c r="TFP3" s="354"/>
      <c r="TFQ3" s="354"/>
      <c r="TFR3" s="354"/>
      <c r="TFS3" s="354"/>
      <c r="TFT3" s="354"/>
      <c r="TFU3" s="354"/>
      <c r="TFV3" s="354"/>
      <c r="TFW3" s="354"/>
      <c r="TFX3" s="354"/>
      <c r="TFY3" s="354"/>
      <c r="TFZ3" s="354"/>
      <c r="TGA3" s="354"/>
      <c r="TGB3" s="354"/>
      <c r="TGC3" s="354"/>
      <c r="TGD3" s="354"/>
      <c r="TGE3" s="354"/>
      <c r="TGF3" s="354"/>
      <c r="TGG3" s="354"/>
      <c r="TGH3" s="354"/>
      <c r="TGI3" s="354"/>
      <c r="TGJ3" s="354"/>
      <c r="TGK3" s="354"/>
      <c r="TGL3" s="354"/>
      <c r="TGM3" s="354"/>
      <c r="TGN3" s="354"/>
      <c r="TGO3" s="354"/>
      <c r="TGP3" s="354"/>
      <c r="TGQ3" s="354"/>
      <c r="TGR3" s="354"/>
      <c r="TGS3" s="354"/>
      <c r="TGT3" s="354"/>
      <c r="TGU3" s="354"/>
      <c r="TGV3" s="354"/>
      <c r="TGW3" s="354"/>
      <c r="TGX3" s="354"/>
      <c r="TGY3" s="354"/>
      <c r="TGZ3" s="354"/>
      <c r="THA3" s="354"/>
      <c r="THB3" s="354"/>
      <c r="THC3" s="354"/>
      <c r="THD3" s="354"/>
      <c r="THE3" s="354"/>
      <c r="THF3" s="354"/>
      <c r="THG3" s="354"/>
      <c r="THH3" s="354"/>
      <c r="THI3" s="354"/>
      <c r="THJ3" s="354"/>
      <c r="THK3" s="354"/>
      <c r="THL3" s="354"/>
      <c r="THM3" s="354"/>
      <c r="THN3" s="354"/>
      <c r="THO3" s="354"/>
      <c r="THP3" s="354"/>
      <c r="THQ3" s="354"/>
      <c r="THR3" s="354"/>
      <c r="THS3" s="354"/>
      <c r="THT3" s="354"/>
      <c r="THU3" s="354"/>
      <c r="THV3" s="354"/>
      <c r="THW3" s="354"/>
      <c r="THX3" s="354"/>
      <c r="THY3" s="354"/>
      <c r="THZ3" s="354"/>
      <c r="TIA3" s="354"/>
      <c r="TIB3" s="354"/>
      <c r="TIC3" s="354"/>
      <c r="TID3" s="354"/>
      <c r="TIE3" s="354"/>
      <c r="TIF3" s="354"/>
      <c r="TIG3" s="354"/>
      <c r="TIH3" s="354"/>
      <c r="TII3" s="354"/>
      <c r="TIJ3" s="354"/>
      <c r="TIK3" s="354"/>
      <c r="TIL3" s="354"/>
      <c r="TIM3" s="354"/>
      <c r="TIN3" s="354"/>
      <c r="TIO3" s="354"/>
      <c r="TIP3" s="354"/>
      <c r="TIQ3" s="354"/>
      <c r="TIR3" s="354"/>
      <c r="TIS3" s="354"/>
      <c r="TIT3" s="354"/>
      <c r="TIU3" s="354"/>
      <c r="TIV3" s="354"/>
      <c r="TIW3" s="354"/>
      <c r="TIX3" s="354"/>
      <c r="TIY3" s="354"/>
      <c r="TIZ3" s="354"/>
      <c r="TJA3" s="354"/>
      <c r="TJB3" s="354"/>
      <c r="TJC3" s="354"/>
      <c r="TJD3" s="354"/>
      <c r="TJE3" s="354"/>
      <c r="TJF3" s="354"/>
      <c r="TJG3" s="354"/>
      <c r="TJH3" s="354"/>
      <c r="TJI3" s="354"/>
      <c r="TJJ3" s="354"/>
      <c r="TJK3" s="354"/>
      <c r="TJL3" s="354"/>
      <c r="TJM3" s="354"/>
      <c r="TJN3" s="354"/>
      <c r="TJO3" s="354"/>
      <c r="TJP3" s="354"/>
      <c r="TJQ3" s="354"/>
      <c r="TJR3" s="354"/>
      <c r="TJS3" s="354"/>
      <c r="TJT3" s="354"/>
      <c r="TJU3" s="354"/>
      <c r="TJV3" s="354"/>
      <c r="TJW3" s="354"/>
      <c r="TJX3" s="354"/>
      <c r="TJY3" s="354"/>
      <c r="TJZ3" s="354"/>
      <c r="TKA3" s="354"/>
      <c r="TKB3" s="354"/>
      <c r="TKC3" s="354"/>
      <c r="TKD3" s="354"/>
      <c r="TKE3" s="354"/>
      <c r="TKF3" s="354"/>
      <c r="TKG3" s="354"/>
      <c r="TKH3" s="354"/>
      <c r="TKI3" s="354"/>
      <c r="TKJ3" s="354"/>
      <c r="TKK3" s="354"/>
      <c r="TKL3" s="354"/>
      <c r="TKM3" s="354"/>
      <c r="TKN3" s="354"/>
      <c r="TKO3" s="354"/>
      <c r="TKP3" s="354"/>
      <c r="TKQ3" s="354"/>
      <c r="TKR3" s="354"/>
      <c r="TKS3" s="354"/>
      <c r="TKT3" s="354"/>
      <c r="TKU3" s="354"/>
      <c r="TKV3" s="354"/>
      <c r="TKW3" s="354"/>
      <c r="TKX3" s="354"/>
      <c r="TKY3" s="354"/>
      <c r="TKZ3" s="354"/>
      <c r="TLA3" s="354"/>
      <c r="TLB3" s="354"/>
      <c r="TLC3" s="354"/>
      <c r="TLD3" s="354"/>
      <c r="TLE3" s="354"/>
      <c r="TLF3" s="354"/>
      <c r="TLG3" s="354"/>
      <c r="TLH3" s="354"/>
      <c r="TLI3" s="354"/>
      <c r="TLJ3" s="354"/>
      <c r="TLK3" s="354"/>
      <c r="TLL3" s="354"/>
      <c r="TLM3" s="354"/>
      <c r="TLN3" s="354"/>
      <c r="TLO3" s="354"/>
      <c r="TLP3" s="354"/>
      <c r="TLQ3" s="354"/>
      <c r="TLR3" s="354"/>
      <c r="TLS3" s="354"/>
      <c r="TLT3" s="354"/>
      <c r="TLU3" s="354"/>
      <c r="TLV3" s="354"/>
      <c r="TLW3" s="354"/>
      <c r="TLX3" s="354"/>
      <c r="TLY3" s="354"/>
      <c r="TLZ3" s="354"/>
      <c r="TMA3" s="354"/>
      <c r="TMB3" s="354"/>
      <c r="TMC3" s="354"/>
      <c r="TMD3" s="354"/>
      <c r="TME3" s="354"/>
      <c r="TMF3" s="354"/>
      <c r="TMG3" s="354"/>
      <c r="TMH3" s="354"/>
      <c r="TMI3" s="354"/>
      <c r="TMJ3" s="354"/>
      <c r="TMK3" s="354"/>
      <c r="TML3" s="354"/>
      <c r="TMM3" s="354"/>
      <c r="TMN3" s="354"/>
      <c r="TMO3" s="354"/>
      <c r="TMP3" s="354"/>
      <c r="TMQ3" s="354"/>
      <c r="TMR3" s="354"/>
      <c r="TMS3" s="354"/>
      <c r="TMT3" s="354"/>
      <c r="TMU3" s="354"/>
      <c r="TMV3" s="354"/>
      <c r="TMW3" s="354"/>
      <c r="TMX3" s="354"/>
      <c r="TMY3" s="354"/>
      <c r="TMZ3" s="354"/>
      <c r="TNA3" s="354"/>
      <c r="TNB3" s="354"/>
      <c r="TNC3" s="354"/>
      <c r="TND3" s="354"/>
      <c r="TNE3" s="354"/>
      <c r="TNF3" s="354"/>
      <c r="TNG3" s="354"/>
      <c r="TNH3" s="354"/>
      <c r="TNI3" s="354"/>
      <c r="TNJ3" s="354"/>
      <c r="TNK3" s="354"/>
      <c r="TNL3" s="354"/>
      <c r="TNM3" s="354"/>
      <c r="TNN3" s="354"/>
      <c r="TNO3" s="354"/>
      <c r="TNP3" s="354"/>
      <c r="TNQ3" s="354"/>
      <c r="TNR3" s="354"/>
      <c r="TNS3" s="354"/>
      <c r="TNT3" s="354"/>
      <c r="TNU3" s="354"/>
      <c r="TNV3" s="354"/>
      <c r="TNW3" s="354"/>
      <c r="TNX3" s="354"/>
      <c r="TNY3" s="354"/>
      <c r="TNZ3" s="354"/>
      <c r="TOA3" s="354"/>
      <c r="TOB3" s="354"/>
      <c r="TOC3" s="354"/>
      <c r="TOD3" s="354"/>
      <c r="TOE3" s="354"/>
      <c r="TOF3" s="354"/>
      <c r="TOG3" s="354"/>
      <c r="TOH3" s="354"/>
      <c r="TOI3" s="354"/>
      <c r="TOJ3" s="354"/>
      <c r="TOK3" s="354"/>
      <c r="TOL3" s="354"/>
      <c r="TOM3" s="354"/>
      <c r="TON3" s="354"/>
      <c r="TOO3" s="354"/>
      <c r="TOP3" s="354"/>
      <c r="TOQ3" s="354"/>
      <c r="TOR3" s="354"/>
      <c r="TOS3" s="354"/>
      <c r="TOT3" s="354"/>
      <c r="TOU3" s="354"/>
      <c r="TOV3" s="354"/>
      <c r="TOW3" s="354"/>
      <c r="TOX3" s="354"/>
      <c r="TOY3" s="354"/>
      <c r="TOZ3" s="354"/>
      <c r="TPA3" s="354"/>
      <c r="TPB3" s="354"/>
      <c r="TPC3" s="354"/>
      <c r="TPD3" s="354"/>
      <c r="TPE3" s="354"/>
      <c r="TPF3" s="354"/>
      <c r="TPG3" s="354"/>
      <c r="TPH3" s="354"/>
      <c r="TPI3" s="354"/>
      <c r="TPJ3" s="354"/>
      <c r="TPK3" s="354"/>
      <c r="TPL3" s="354"/>
      <c r="TPM3" s="354"/>
      <c r="TPN3" s="354"/>
      <c r="TPO3" s="354"/>
      <c r="TPP3" s="354"/>
      <c r="TPQ3" s="354"/>
      <c r="TPR3" s="354"/>
      <c r="TPS3" s="354"/>
      <c r="TPT3" s="354"/>
      <c r="TPU3" s="354"/>
      <c r="TPV3" s="354"/>
      <c r="TPW3" s="354"/>
      <c r="TPX3" s="354"/>
      <c r="TPY3" s="354"/>
      <c r="TPZ3" s="354"/>
      <c r="TQA3" s="354"/>
      <c r="TQB3" s="354"/>
      <c r="TQC3" s="354"/>
      <c r="TQD3" s="354"/>
      <c r="TQE3" s="354"/>
      <c r="TQF3" s="354"/>
      <c r="TQG3" s="354"/>
      <c r="TQH3" s="354"/>
      <c r="TQI3" s="354"/>
      <c r="TQJ3" s="354"/>
      <c r="TQK3" s="354"/>
      <c r="TQL3" s="354"/>
      <c r="TQM3" s="354"/>
      <c r="TQN3" s="354"/>
      <c r="TQO3" s="354"/>
      <c r="TQP3" s="354"/>
      <c r="TQQ3" s="354"/>
      <c r="TQR3" s="354"/>
      <c r="TQS3" s="354"/>
      <c r="TQT3" s="354"/>
      <c r="TQU3" s="354"/>
      <c r="TQV3" s="354"/>
      <c r="TQW3" s="354"/>
      <c r="TQX3" s="354"/>
      <c r="TQY3" s="354"/>
      <c r="TQZ3" s="354"/>
      <c r="TRA3" s="354"/>
      <c r="TRB3" s="354"/>
      <c r="TRC3" s="354"/>
      <c r="TRD3" s="354"/>
      <c r="TRE3" s="354"/>
      <c r="TRF3" s="354"/>
      <c r="TRG3" s="354"/>
      <c r="TRH3" s="354"/>
      <c r="TRI3" s="354"/>
      <c r="TRJ3" s="354"/>
      <c r="TRK3" s="354"/>
      <c r="TRL3" s="354"/>
      <c r="TRM3" s="354"/>
      <c r="TRN3" s="354"/>
      <c r="TRO3" s="354"/>
      <c r="TRP3" s="354"/>
      <c r="TRQ3" s="354"/>
      <c r="TRR3" s="354"/>
      <c r="TRS3" s="354"/>
      <c r="TRT3" s="354"/>
      <c r="TRU3" s="354"/>
      <c r="TRV3" s="354"/>
      <c r="TRW3" s="354"/>
      <c r="TRX3" s="354"/>
      <c r="TRY3" s="354"/>
      <c r="TRZ3" s="354"/>
      <c r="TSA3" s="354"/>
      <c r="TSB3" s="354"/>
      <c r="TSC3" s="354"/>
      <c r="TSD3" s="354"/>
      <c r="TSE3" s="354"/>
      <c r="TSF3" s="354"/>
      <c r="TSG3" s="354"/>
      <c r="TSH3" s="354"/>
      <c r="TSI3" s="354"/>
      <c r="TSJ3" s="354"/>
      <c r="TSK3" s="354"/>
      <c r="TSL3" s="354"/>
      <c r="TSM3" s="354"/>
      <c r="TSN3" s="354"/>
      <c r="TSO3" s="354"/>
      <c r="TSP3" s="354"/>
      <c r="TSQ3" s="354"/>
      <c r="TSR3" s="354"/>
      <c r="TSS3" s="354"/>
      <c r="TST3" s="354"/>
      <c r="TSU3" s="354"/>
      <c r="TSV3" s="354"/>
      <c r="TSW3" s="354"/>
      <c r="TSX3" s="354"/>
      <c r="TSY3" s="354"/>
      <c r="TSZ3" s="354"/>
      <c r="TTA3" s="354"/>
      <c r="TTB3" s="354"/>
      <c r="TTC3" s="354"/>
      <c r="TTD3" s="354"/>
      <c r="TTE3" s="354"/>
      <c r="TTF3" s="354"/>
      <c r="TTG3" s="354"/>
      <c r="TTH3" s="354"/>
      <c r="TTI3" s="354"/>
      <c r="TTJ3" s="354"/>
      <c r="TTK3" s="354"/>
      <c r="TTL3" s="354"/>
      <c r="TTM3" s="354"/>
      <c r="TTN3" s="354"/>
      <c r="TTO3" s="354"/>
      <c r="TTP3" s="354"/>
      <c r="TTQ3" s="354"/>
      <c r="TTR3" s="354"/>
      <c r="TTS3" s="354"/>
      <c r="TTT3" s="354"/>
      <c r="TTU3" s="354"/>
      <c r="TTV3" s="354"/>
      <c r="TTW3" s="354"/>
      <c r="TTX3" s="354"/>
      <c r="TTY3" s="354"/>
      <c r="TTZ3" s="354"/>
      <c r="TUA3" s="354"/>
      <c r="TUB3" s="354"/>
      <c r="TUC3" s="354"/>
      <c r="TUD3" s="354"/>
      <c r="TUE3" s="354"/>
      <c r="TUF3" s="354"/>
      <c r="TUG3" s="354"/>
      <c r="TUH3" s="354"/>
      <c r="TUI3" s="354"/>
      <c r="TUJ3" s="354"/>
      <c r="TUK3" s="354"/>
      <c r="TUL3" s="354"/>
      <c r="TUM3" s="354"/>
      <c r="TUN3" s="354"/>
      <c r="TUO3" s="354"/>
      <c r="TUP3" s="354"/>
      <c r="TUQ3" s="354"/>
      <c r="TUR3" s="354"/>
      <c r="TUS3" s="354"/>
      <c r="TUT3" s="354"/>
      <c r="TUU3" s="354"/>
      <c r="TUV3" s="354"/>
      <c r="TUW3" s="354"/>
      <c r="TUX3" s="354"/>
      <c r="TUY3" s="354"/>
      <c r="TUZ3" s="354"/>
      <c r="TVA3" s="354"/>
      <c r="TVB3" s="354"/>
      <c r="TVC3" s="354"/>
      <c r="TVD3" s="354"/>
      <c r="TVE3" s="354"/>
      <c r="TVF3" s="354"/>
      <c r="TVG3" s="354"/>
      <c r="TVH3" s="354"/>
      <c r="TVI3" s="354"/>
      <c r="TVJ3" s="354"/>
      <c r="TVK3" s="354"/>
      <c r="TVL3" s="354"/>
      <c r="TVM3" s="354"/>
      <c r="TVN3" s="354"/>
      <c r="TVO3" s="354"/>
      <c r="TVP3" s="354"/>
      <c r="TVQ3" s="354"/>
      <c r="TVR3" s="354"/>
      <c r="TVS3" s="354"/>
      <c r="TVT3" s="354"/>
      <c r="TVU3" s="354"/>
      <c r="TVV3" s="354"/>
      <c r="TVW3" s="354"/>
      <c r="TVX3" s="354"/>
      <c r="TVY3" s="354"/>
      <c r="TVZ3" s="354"/>
      <c r="TWA3" s="354"/>
      <c r="TWB3" s="354"/>
      <c r="TWC3" s="354"/>
      <c r="TWD3" s="354"/>
      <c r="TWE3" s="354"/>
      <c r="TWF3" s="354"/>
      <c r="TWG3" s="354"/>
      <c r="TWH3" s="354"/>
      <c r="TWI3" s="354"/>
      <c r="TWJ3" s="354"/>
      <c r="TWK3" s="354"/>
      <c r="TWL3" s="354"/>
      <c r="TWM3" s="354"/>
      <c r="TWN3" s="354"/>
      <c r="TWO3" s="354"/>
      <c r="TWP3" s="354"/>
      <c r="TWQ3" s="354"/>
      <c r="TWR3" s="354"/>
      <c r="TWS3" s="354"/>
      <c r="TWT3" s="354"/>
      <c r="TWU3" s="354"/>
      <c r="TWV3" s="354"/>
      <c r="TWW3" s="354"/>
      <c r="TWX3" s="354"/>
      <c r="TWY3" s="354"/>
      <c r="TWZ3" s="354"/>
      <c r="TXA3" s="354"/>
      <c r="TXB3" s="354"/>
      <c r="TXC3" s="354"/>
      <c r="TXD3" s="354"/>
      <c r="TXE3" s="354"/>
      <c r="TXF3" s="354"/>
      <c r="TXG3" s="354"/>
      <c r="TXH3" s="354"/>
      <c r="TXI3" s="354"/>
      <c r="TXJ3" s="354"/>
      <c r="TXK3" s="354"/>
      <c r="TXL3" s="354"/>
      <c r="TXM3" s="354"/>
      <c r="TXN3" s="354"/>
      <c r="TXO3" s="354"/>
      <c r="TXP3" s="354"/>
      <c r="TXQ3" s="354"/>
      <c r="TXR3" s="354"/>
      <c r="TXS3" s="354"/>
      <c r="TXT3" s="354"/>
      <c r="TXU3" s="354"/>
      <c r="TXV3" s="354"/>
      <c r="TXW3" s="354"/>
      <c r="TXX3" s="354"/>
      <c r="TXY3" s="354"/>
      <c r="TXZ3" s="354"/>
      <c r="TYA3" s="354"/>
      <c r="TYB3" s="354"/>
      <c r="TYC3" s="354"/>
      <c r="TYD3" s="354"/>
      <c r="TYE3" s="354"/>
      <c r="TYF3" s="354"/>
      <c r="TYG3" s="354"/>
      <c r="TYH3" s="354"/>
      <c r="TYI3" s="354"/>
      <c r="TYJ3" s="354"/>
      <c r="TYK3" s="354"/>
      <c r="TYL3" s="354"/>
      <c r="TYM3" s="354"/>
      <c r="TYN3" s="354"/>
      <c r="TYO3" s="354"/>
      <c r="TYP3" s="354"/>
      <c r="TYQ3" s="354"/>
      <c r="TYR3" s="354"/>
      <c r="TYS3" s="354"/>
      <c r="TYT3" s="354"/>
      <c r="TYU3" s="354"/>
      <c r="TYV3" s="354"/>
      <c r="TYW3" s="354"/>
      <c r="TYX3" s="354"/>
      <c r="TYY3" s="354"/>
      <c r="TYZ3" s="354"/>
      <c r="TZA3" s="354"/>
      <c r="TZB3" s="354"/>
      <c r="TZC3" s="354"/>
      <c r="TZD3" s="354"/>
      <c r="TZE3" s="354"/>
      <c r="TZF3" s="354"/>
      <c r="TZG3" s="354"/>
      <c r="TZH3" s="354"/>
      <c r="TZI3" s="354"/>
      <c r="TZJ3" s="354"/>
      <c r="TZK3" s="354"/>
      <c r="TZL3" s="354"/>
      <c r="TZM3" s="354"/>
      <c r="TZN3" s="354"/>
      <c r="TZO3" s="354"/>
      <c r="TZP3" s="354"/>
      <c r="TZQ3" s="354"/>
      <c r="TZR3" s="354"/>
      <c r="TZS3" s="354"/>
      <c r="TZT3" s="354"/>
      <c r="TZU3" s="354"/>
      <c r="TZV3" s="354"/>
      <c r="TZW3" s="354"/>
      <c r="TZX3" s="354"/>
      <c r="TZY3" s="354"/>
      <c r="TZZ3" s="354"/>
      <c r="UAA3" s="354"/>
      <c r="UAB3" s="354"/>
      <c r="UAC3" s="354"/>
      <c r="UAD3" s="354"/>
      <c r="UAE3" s="354"/>
      <c r="UAF3" s="354"/>
      <c r="UAG3" s="354"/>
      <c r="UAH3" s="354"/>
      <c r="UAI3" s="354"/>
      <c r="UAJ3" s="354"/>
      <c r="UAK3" s="354"/>
      <c r="UAL3" s="354"/>
      <c r="UAM3" s="354"/>
      <c r="UAN3" s="354"/>
      <c r="UAO3" s="354"/>
      <c r="UAP3" s="354"/>
      <c r="UAQ3" s="354"/>
      <c r="UAR3" s="354"/>
      <c r="UAS3" s="354"/>
      <c r="UAT3" s="354"/>
      <c r="UAU3" s="354"/>
      <c r="UAV3" s="354"/>
      <c r="UAW3" s="354"/>
      <c r="UAX3" s="354"/>
      <c r="UAY3" s="354"/>
      <c r="UAZ3" s="354"/>
      <c r="UBA3" s="354"/>
      <c r="UBB3" s="354"/>
      <c r="UBC3" s="354"/>
      <c r="UBD3" s="354"/>
      <c r="UBE3" s="354"/>
      <c r="UBF3" s="354"/>
      <c r="UBG3" s="354"/>
      <c r="UBH3" s="354"/>
      <c r="UBI3" s="354"/>
      <c r="UBJ3" s="354"/>
      <c r="UBK3" s="354"/>
      <c r="UBL3" s="354"/>
      <c r="UBM3" s="354"/>
      <c r="UBN3" s="354"/>
      <c r="UBO3" s="354"/>
      <c r="UBP3" s="354"/>
      <c r="UBQ3" s="354"/>
      <c r="UBR3" s="354"/>
      <c r="UBS3" s="354"/>
      <c r="UBT3" s="354"/>
      <c r="UBU3" s="354"/>
      <c r="UBV3" s="354"/>
      <c r="UBW3" s="354"/>
      <c r="UBX3" s="354"/>
      <c r="UBY3" s="354"/>
      <c r="UBZ3" s="354"/>
      <c r="UCA3" s="354"/>
      <c r="UCB3" s="354"/>
      <c r="UCC3" s="354"/>
      <c r="UCD3" s="354"/>
      <c r="UCE3" s="354"/>
      <c r="UCF3" s="354"/>
      <c r="UCG3" s="354"/>
      <c r="UCH3" s="354"/>
      <c r="UCI3" s="354"/>
      <c r="UCJ3" s="354"/>
      <c r="UCK3" s="354"/>
      <c r="UCL3" s="354"/>
      <c r="UCM3" s="354"/>
      <c r="UCN3" s="354"/>
      <c r="UCO3" s="354"/>
      <c r="UCP3" s="354"/>
      <c r="UCQ3" s="354"/>
      <c r="UCR3" s="354"/>
      <c r="UCS3" s="354"/>
      <c r="UCT3" s="354"/>
      <c r="UCU3" s="354"/>
      <c r="UCV3" s="354"/>
      <c r="UCW3" s="354"/>
      <c r="UCX3" s="354"/>
      <c r="UCY3" s="354"/>
      <c r="UCZ3" s="354"/>
      <c r="UDA3" s="354"/>
      <c r="UDB3" s="354"/>
      <c r="UDC3" s="354"/>
      <c r="UDD3" s="354"/>
      <c r="UDE3" s="354"/>
      <c r="UDF3" s="354"/>
      <c r="UDG3" s="354"/>
      <c r="UDH3" s="354"/>
      <c r="UDI3" s="354"/>
      <c r="UDJ3" s="354"/>
      <c r="UDK3" s="354"/>
      <c r="UDL3" s="354"/>
      <c r="UDM3" s="354"/>
      <c r="UDN3" s="354"/>
      <c r="UDO3" s="354"/>
      <c r="UDP3" s="354"/>
      <c r="UDQ3" s="354"/>
      <c r="UDR3" s="354"/>
      <c r="UDS3" s="354"/>
      <c r="UDT3" s="354"/>
      <c r="UDU3" s="354"/>
      <c r="UDV3" s="354"/>
      <c r="UDW3" s="354"/>
      <c r="UDX3" s="354"/>
      <c r="UDY3" s="354"/>
      <c r="UDZ3" s="354"/>
      <c r="UEA3" s="354"/>
      <c r="UEB3" s="354"/>
      <c r="UEC3" s="354"/>
      <c r="UED3" s="354"/>
      <c r="UEE3" s="354"/>
      <c r="UEF3" s="354"/>
      <c r="UEG3" s="354"/>
      <c r="UEH3" s="354"/>
      <c r="UEI3" s="354"/>
      <c r="UEJ3" s="354"/>
      <c r="UEK3" s="354"/>
      <c r="UEL3" s="354"/>
      <c r="UEM3" s="354"/>
      <c r="UEN3" s="354"/>
      <c r="UEO3" s="354"/>
      <c r="UEP3" s="354"/>
      <c r="UEQ3" s="354"/>
      <c r="UER3" s="354"/>
      <c r="UES3" s="354"/>
      <c r="UET3" s="354"/>
      <c r="UEU3" s="354"/>
      <c r="UEV3" s="354"/>
      <c r="UEW3" s="354"/>
      <c r="UEX3" s="354"/>
      <c r="UEY3" s="354"/>
      <c r="UEZ3" s="354"/>
      <c r="UFA3" s="354"/>
      <c r="UFB3" s="354"/>
      <c r="UFC3" s="354"/>
      <c r="UFD3" s="354"/>
      <c r="UFE3" s="354"/>
      <c r="UFF3" s="354"/>
      <c r="UFG3" s="354"/>
      <c r="UFH3" s="354"/>
      <c r="UFI3" s="354"/>
      <c r="UFJ3" s="354"/>
      <c r="UFK3" s="354"/>
      <c r="UFL3" s="354"/>
      <c r="UFM3" s="354"/>
      <c r="UFN3" s="354"/>
      <c r="UFO3" s="354"/>
      <c r="UFP3" s="354"/>
      <c r="UFQ3" s="354"/>
      <c r="UFR3" s="354"/>
      <c r="UFS3" s="354"/>
      <c r="UFT3" s="354"/>
      <c r="UFU3" s="354"/>
      <c r="UFV3" s="354"/>
      <c r="UFW3" s="354"/>
      <c r="UFX3" s="354"/>
      <c r="UFY3" s="354"/>
      <c r="UFZ3" s="354"/>
      <c r="UGA3" s="354"/>
      <c r="UGB3" s="354"/>
      <c r="UGC3" s="354"/>
      <c r="UGD3" s="354"/>
      <c r="UGE3" s="354"/>
      <c r="UGF3" s="354"/>
      <c r="UGG3" s="354"/>
      <c r="UGH3" s="354"/>
      <c r="UGI3" s="354"/>
      <c r="UGJ3" s="354"/>
      <c r="UGK3" s="354"/>
      <c r="UGL3" s="354"/>
      <c r="UGM3" s="354"/>
      <c r="UGN3" s="354"/>
      <c r="UGO3" s="354"/>
      <c r="UGP3" s="354"/>
      <c r="UGQ3" s="354"/>
      <c r="UGR3" s="354"/>
      <c r="UGS3" s="354"/>
      <c r="UGT3" s="354"/>
      <c r="UGU3" s="354"/>
      <c r="UGV3" s="354"/>
      <c r="UGW3" s="354"/>
      <c r="UGX3" s="354"/>
      <c r="UGY3" s="354"/>
      <c r="UGZ3" s="354"/>
      <c r="UHA3" s="354"/>
      <c r="UHB3" s="354"/>
      <c r="UHC3" s="354"/>
      <c r="UHD3" s="354"/>
      <c r="UHE3" s="354"/>
      <c r="UHF3" s="354"/>
      <c r="UHG3" s="354"/>
      <c r="UHH3" s="354"/>
      <c r="UHI3" s="354"/>
      <c r="UHJ3" s="354"/>
      <c r="UHK3" s="354"/>
      <c r="UHL3" s="354"/>
      <c r="UHM3" s="354"/>
      <c r="UHN3" s="354"/>
      <c r="UHO3" s="354"/>
      <c r="UHP3" s="354"/>
      <c r="UHQ3" s="354"/>
      <c r="UHR3" s="354"/>
      <c r="UHS3" s="354"/>
      <c r="UHT3" s="354"/>
      <c r="UHU3" s="354"/>
      <c r="UHV3" s="354"/>
      <c r="UHW3" s="354"/>
      <c r="UHX3" s="354"/>
      <c r="UHY3" s="354"/>
      <c r="UHZ3" s="354"/>
      <c r="UIA3" s="354"/>
      <c r="UIB3" s="354"/>
      <c r="UIC3" s="354"/>
      <c r="UID3" s="354"/>
      <c r="UIE3" s="354"/>
      <c r="UIF3" s="354"/>
      <c r="UIG3" s="354"/>
      <c r="UIH3" s="354"/>
      <c r="UII3" s="354"/>
      <c r="UIJ3" s="354"/>
      <c r="UIK3" s="354"/>
      <c r="UIL3" s="354"/>
      <c r="UIM3" s="354"/>
      <c r="UIN3" s="354"/>
      <c r="UIO3" s="354"/>
      <c r="UIP3" s="354"/>
      <c r="UIQ3" s="354"/>
      <c r="UIR3" s="354"/>
      <c r="UIS3" s="354"/>
      <c r="UIT3" s="354"/>
      <c r="UIU3" s="354"/>
      <c r="UIV3" s="354"/>
      <c r="UIW3" s="354"/>
      <c r="UIX3" s="354"/>
      <c r="UIY3" s="354"/>
      <c r="UIZ3" s="354"/>
      <c r="UJA3" s="354"/>
      <c r="UJB3" s="354"/>
      <c r="UJC3" s="354"/>
      <c r="UJD3" s="354"/>
      <c r="UJE3" s="354"/>
      <c r="UJF3" s="354"/>
      <c r="UJG3" s="354"/>
      <c r="UJH3" s="354"/>
      <c r="UJI3" s="354"/>
      <c r="UJJ3" s="354"/>
      <c r="UJK3" s="354"/>
      <c r="UJL3" s="354"/>
      <c r="UJM3" s="354"/>
      <c r="UJN3" s="354"/>
      <c r="UJO3" s="354"/>
      <c r="UJP3" s="354"/>
      <c r="UJQ3" s="354"/>
      <c r="UJR3" s="354"/>
      <c r="UJS3" s="354"/>
      <c r="UJT3" s="354"/>
      <c r="UJU3" s="354"/>
      <c r="UJV3" s="354"/>
      <c r="UJW3" s="354"/>
      <c r="UJX3" s="354"/>
      <c r="UJY3" s="354"/>
      <c r="UJZ3" s="354"/>
      <c r="UKA3" s="354"/>
      <c r="UKB3" s="354"/>
      <c r="UKC3" s="354"/>
      <c r="UKD3" s="354"/>
      <c r="UKE3" s="354"/>
      <c r="UKF3" s="354"/>
      <c r="UKG3" s="354"/>
      <c r="UKH3" s="354"/>
      <c r="UKI3" s="354"/>
      <c r="UKJ3" s="354"/>
      <c r="UKK3" s="354"/>
      <c r="UKL3" s="354"/>
      <c r="UKM3" s="354"/>
      <c r="UKN3" s="354"/>
      <c r="UKO3" s="354"/>
      <c r="UKP3" s="354"/>
      <c r="UKQ3" s="354"/>
      <c r="UKR3" s="354"/>
      <c r="UKS3" s="354"/>
      <c r="UKT3" s="354"/>
      <c r="UKU3" s="354"/>
      <c r="UKV3" s="354"/>
      <c r="UKW3" s="354"/>
      <c r="UKX3" s="354"/>
      <c r="UKY3" s="354"/>
      <c r="UKZ3" s="354"/>
      <c r="ULA3" s="354"/>
      <c r="ULB3" s="354"/>
      <c r="ULC3" s="354"/>
      <c r="ULD3" s="354"/>
      <c r="ULE3" s="354"/>
      <c r="ULF3" s="354"/>
      <c r="ULG3" s="354"/>
      <c r="ULH3" s="354"/>
      <c r="ULI3" s="354"/>
      <c r="ULJ3" s="354"/>
      <c r="ULK3" s="354"/>
      <c r="ULL3" s="354"/>
      <c r="ULM3" s="354"/>
      <c r="ULN3" s="354"/>
      <c r="ULO3" s="354"/>
      <c r="ULP3" s="354"/>
      <c r="ULQ3" s="354"/>
      <c r="ULR3" s="354"/>
      <c r="ULS3" s="354"/>
      <c r="ULT3" s="354"/>
      <c r="ULU3" s="354"/>
      <c r="ULV3" s="354"/>
      <c r="ULW3" s="354"/>
      <c r="ULX3" s="354"/>
      <c r="ULY3" s="354"/>
      <c r="ULZ3" s="354"/>
      <c r="UMA3" s="354"/>
      <c r="UMB3" s="354"/>
      <c r="UMC3" s="354"/>
      <c r="UMD3" s="354"/>
      <c r="UME3" s="354"/>
      <c r="UMF3" s="354"/>
      <c r="UMG3" s="354"/>
      <c r="UMH3" s="354"/>
      <c r="UMI3" s="354"/>
      <c r="UMJ3" s="354"/>
      <c r="UMK3" s="354"/>
      <c r="UML3" s="354"/>
      <c r="UMM3" s="354"/>
      <c r="UMN3" s="354"/>
      <c r="UMO3" s="354"/>
      <c r="UMP3" s="354"/>
      <c r="UMQ3" s="354"/>
      <c r="UMR3" s="354"/>
      <c r="UMS3" s="354"/>
      <c r="UMT3" s="354"/>
      <c r="UMU3" s="354"/>
      <c r="UMV3" s="354"/>
      <c r="UMW3" s="354"/>
      <c r="UMX3" s="354"/>
      <c r="UMY3" s="354"/>
      <c r="UMZ3" s="354"/>
      <c r="UNA3" s="354"/>
      <c r="UNB3" s="354"/>
      <c r="UNC3" s="354"/>
      <c r="UND3" s="354"/>
      <c r="UNE3" s="354"/>
      <c r="UNF3" s="354"/>
      <c r="UNG3" s="354"/>
      <c r="UNH3" s="354"/>
      <c r="UNI3" s="354"/>
      <c r="UNJ3" s="354"/>
      <c r="UNK3" s="354"/>
      <c r="UNL3" s="354"/>
      <c r="UNM3" s="354"/>
      <c r="UNN3" s="354"/>
      <c r="UNO3" s="354"/>
      <c r="UNP3" s="354"/>
      <c r="UNQ3" s="354"/>
      <c r="UNR3" s="354"/>
      <c r="UNS3" s="354"/>
      <c r="UNT3" s="354"/>
      <c r="UNU3" s="354"/>
      <c r="UNV3" s="354"/>
      <c r="UNW3" s="354"/>
      <c r="UNX3" s="354"/>
      <c r="UNY3" s="354"/>
      <c r="UNZ3" s="354"/>
      <c r="UOA3" s="354"/>
      <c r="UOB3" s="354"/>
      <c r="UOC3" s="354"/>
      <c r="UOD3" s="354"/>
      <c r="UOE3" s="354"/>
      <c r="UOF3" s="354"/>
      <c r="UOG3" s="354"/>
      <c r="UOH3" s="354"/>
      <c r="UOI3" s="354"/>
      <c r="UOJ3" s="354"/>
      <c r="UOK3" s="354"/>
      <c r="UOL3" s="354"/>
      <c r="UOM3" s="354"/>
      <c r="UON3" s="354"/>
      <c r="UOO3" s="354"/>
      <c r="UOP3" s="354"/>
      <c r="UOQ3" s="354"/>
      <c r="UOR3" s="354"/>
      <c r="UOS3" s="354"/>
      <c r="UOT3" s="354"/>
      <c r="UOU3" s="354"/>
      <c r="UOV3" s="354"/>
      <c r="UOW3" s="354"/>
      <c r="UOX3" s="354"/>
      <c r="UOY3" s="354"/>
      <c r="UOZ3" s="354"/>
      <c r="UPA3" s="354"/>
      <c r="UPB3" s="354"/>
      <c r="UPC3" s="354"/>
      <c r="UPD3" s="354"/>
      <c r="UPE3" s="354"/>
      <c r="UPF3" s="354"/>
      <c r="UPG3" s="354"/>
      <c r="UPH3" s="354"/>
      <c r="UPI3" s="354"/>
      <c r="UPJ3" s="354"/>
      <c r="UPK3" s="354"/>
      <c r="UPL3" s="354"/>
      <c r="UPM3" s="354"/>
      <c r="UPN3" s="354"/>
      <c r="UPO3" s="354"/>
      <c r="UPP3" s="354"/>
      <c r="UPQ3" s="354"/>
      <c r="UPR3" s="354"/>
      <c r="UPS3" s="354"/>
      <c r="UPT3" s="354"/>
      <c r="UPU3" s="354"/>
      <c r="UPV3" s="354"/>
      <c r="UPW3" s="354"/>
      <c r="UPX3" s="354"/>
      <c r="UPY3" s="354"/>
      <c r="UPZ3" s="354"/>
      <c r="UQA3" s="354"/>
      <c r="UQB3" s="354"/>
      <c r="UQC3" s="354"/>
      <c r="UQD3" s="354"/>
      <c r="UQE3" s="354"/>
      <c r="UQF3" s="354"/>
      <c r="UQG3" s="354"/>
      <c r="UQH3" s="354"/>
      <c r="UQI3" s="354"/>
      <c r="UQJ3" s="354"/>
      <c r="UQK3" s="354"/>
      <c r="UQL3" s="354"/>
      <c r="UQM3" s="354"/>
      <c r="UQN3" s="354"/>
      <c r="UQO3" s="354"/>
      <c r="UQP3" s="354"/>
      <c r="UQQ3" s="354"/>
      <c r="UQR3" s="354"/>
      <c r="UQS3" s="354"/>
      <c r="UQT3" s="354"/>
      <c r="UQU3" s="354"/>
      <c r="UQV3" s="354"/>
      <c r="UQW3" s="354"/>
      <c r="UQX3" s="354"/>
      <c r="UQY3" s="354"/>
      <c r="UQZ3" s="354"/>
      <c r="URA3" s="354"/>
      <c r="URB3" s="354"/>
      <c r="URC3" s="354"/>
      <c r="URD3" s="354"/>
      <c r="URE3" s="354"/>
      <c r="URF3" s="354"/>
      <c r="URG3" s="354"/>
      <c r="URH3" s="354"/>
      <c r="URI3" s="354"/>
      <c r="URJ3" s="354"/>
      <c r="URK3" s="354"/>
      <c r="URL3" s="354"/>
      <c r="URM3" s="354"/>
      <c r="URN3" s="354"/>
      <c r="URO3" s="354"/>
      <c r="URP3" s="354"/>
      <c r="URQ3" s="354"/>
      <c r="URR3" s="354"/>
      <c r="URS3" s="354"/>
      <c r="URT3" s="354"/>
      <c r="URU3" s="354"/>
      <c r="URV3" s="354"/>
      <c r="URW3" s="354"/>
      <c r="URX3" s="354"/>
      <c r="URY3" s="354"/>
      <c r="URZ3" s="354"/>
      <c r="USA3" s="354"/>
      <c r="USB3" s="354"/>
      <c r="USC3" s="354"/>
      <c r="USD3" s="354"/>
      <c r="USE3" s="354"/>
      <c r="USF3" s="354"/>
      <c r="USG3" s="354"/>
      <c r="USH3" s="354"/>
      <c r="USI3" s="354"/>
      <c r="USJ3" s="354"/>
      <c r="USK3" s="354"/>
      <c r="USL3" s="354"/>
      <c r="USM3" s="354"/>
      <c r="USN3" s="354"/>
      <c r="USO3" s="354"/>
      <c r="USP3" s="354"/>
      <c r="USQ3" s="354"/>
      <c r="USR3" s="354"/>
      <c r="USS3" s="354"/>
      <c r="UST3" s="354"/>
      <c r="USU3" s="354"/>
      <c r="USV3" s="354"/>
      <c r="USW3" s="354"/>
      <c r="USX3" s="354"/>
      <c r="USY3" s="354"/>
      <c r="USZ3" s="354"/>
      <c r="UTA3" s="354"/>
      <c r="UTB3" s="354"/>
      <c r="UTC3" s="354"/>
      <c r="UTD3" s="354"/>
      <c r="UTE3" s="354"/>
      <c r="UTF3" s="354"/>
      <c r="UTG3" s="354"/>
      <c r="UTH3" s="354"/>
      <c r="UTI3" s="354"/>
      <c r="UTJ3" s="354"/>
      <c r="UTK3" s="354"/>
      <c r="UTL3" s="354"/>
      <c r="UTM3" s="354"/>
      <c r="UTN3" s="354"/>
      <c r="UTO3" s="354"/>
      <c r="UTP3" s="354"/>
      <c r="UTQ3" s="354"/>
      <c r="UTR3" s="354"/>
      <c r="UTS3" s="354"/>
      <c r="UTT3" s="354"/>
      <c r="UTU3" s="354"/>
      <c r="UTV3" s="354"/>
      <c r="UTW3" s="354"/>
      <c r="UTX3" s="354"/>
      <c r="UTY3" s="354"/>
      <c r="UTZ3" s="354"/>
      <c r="UUA3" s="354"/>
      <c r="UUB3" s="354"/>
      <c r="UUC3" s="354"/>
      <c r="UUD3" s="354"/>
      <c r="UUE3" s="354"/>
      <c r="UUF3" s="354"/>
      <c r="UUG3" s="354"/>
      <c r="UUH3" s="354"/>
      <c r="UUI3" s="354"/>
      <c r="UUJ3" s="354"/>
      <c r="UUK3" s="354"/>
      <c r="UUL3" s="354"/>
      <c r="UUM3" s="354"/>
      <c r="UUN3" s="354"/>
      <c r="UUO3" s="354"/>
      <c r="UUP3" s="354"/>
      <c r="UUQ3" s="354"/>
      <c r="UUR3" s="354"/>
      <c r="UUS3" s="354"/>
      <c r="UUT3" s="354"/>
      <c r="UUU3" s="354"/>
      <c r="UUV3" s="354"/>
      <c r="UUW3" s="354"/>
      <c r="UUX3" s="354"/>
      <c r="UUY3" s="354"/>
      <c r="UUZ3" s="354"/>
      <c r="UVA3" s="354"/>
      <c r="UVB3" s="354"/>
      <c r="UVC3" s="354"/>
      <c r="UVD3" s="354"/>
      <c r="UVE3" s="354"/>
      <c r="UVF3" s="354"/>
      <c r="UVG3" s="354"/>
      <c r="UVH3" s="354"/>
      <c r="UVI3" s="354"/>
      <c r="UVJ3" s="354"/>
      <c r="UVK3" s="354"/>
      <c r="UVL3" s="354"/>
      <c r="UVM3" s="354"/>
      <c r="UVN3" s="354"/>
      <c r="UVO3" s="354"/>
      <c r="UVP3" s="354"/>
      <c r="UVQ3" s="354"/>
      <c r="UVR3" s="354"/>
      <c r="UVS3" s="354"/>
      <c r="UVT3" s="354"/>
      <c r="UVU3" s="354"/>
      <c r="UVV3" s="354"/>
      <c r="UVW3" s="354"/>
      <c r="UVX3" s="354"/>
      <c r="UVY3" s="354"/>
      <c r="UVZ3" s="354"/>
      <c r="UWA3" s="354"/>
      <c r="UWB3" s="354"/>
      <c r="UWC3" s="354"/>
      <c r="UWD3" s="354"/>
      <c r="UWE3" s="354"/>
      <c r="UWF3" s="354"/>
      <c r="UWG3" s="354"/>
      <c r="UWH3" s="354"/>
      <c r="UWI3" s="354"/>
      <c r="UWJ3" s="354"/>
      <c r="UWK3" s="354"/>
      <c r="UWL3" s="354"/>
      <c r="UWM3" s="354"/>
      <c r="UWN3" s="354"/>
      <c r="UWO3" s="354"/>
      <c r="UWP3" s="354"/>
      <c r="UWQ3" s="354"/>
      <c r="UWR3" s="354"/>
      <c r="UWS3" s="354"/>
      <c r="UWT3" s="354"/>
      <c r="UWU3" s="354"/>
      <c r="UWV3" s="354"/>
      <c r="UWW3" s="354"/>
      <c r="UWX3" s="354"/>
      <c r="UWY3" s="354"/>
      <c r="UWZ3" s="354"/>
      <c r="UXA3" s="354"/>
      <c r="UXB3" s="354"/>
      <c r="UXC3" s="354"/>
      <c r="UXD3" s="354"/>
      <c r="UXE3" s="354"/>
      <c r="UXF3" s="354"/>
      <c r="UXG3" s="354"/>
      <c r="UXH3" s="354"/>
      <c r="UXI3" s="354"/>
      <c r="UXJ3" s="354"/>
      <c r="UXK3" s="354"/>
      <c r="UXL3" s="354"/>
      <c r="UXM3" s="354"/>
      <c r="UXN3" s="354"/>
      <c r="UXO3" s="354"/>
      <c r="UXP3" s="354"/>
      <c r="UXQ3" s="354"/>
      <c r="UXR3" s="354"/>
      <c r="UXS3" s="354"/>
      <c r="UXT3" s="354"/>
      <c r="UXU3" s="354"/>
      <c r="UXV3" s="354"/>
      <c r="UXW3" s="354"/>
      <c r="UXX3" s="354"/>
      <c r="UXY3" s="354"/>
      <c r="UXZ3" s="354"/>
      <c r="UYA3" s="354"/>
      <c r="UYB3" s="354"/>
      <c r="UYC3" s="354"/>
      <c r="UYD3" s="354"/>
      <c r="UYE3" s="354"/>
      <c r="UYF3" s="354"/>
      <c r="UYG3" s="354"/>
      <c r="UYH3" s="354"/>
      <c r="UYI3" s="354"/>
      <c r="UYJ3" s="354"/>
      <c r="UYK3" s="354"/>
      <c r="UYL3" s="354"/>
      <c r="UYM3" s="354"/>
      <c r="UYN3" s="354"/>
      <c r="UYO3" s="354"/>
      <c r="UYP3" s="354"/>
      <c r="UYQ3" s="354"/>
      <c r="UYR3" s="354"/>
      <c r="UYS3" s="354"/>
      <c r="UYT3" s="354"/>
      <c r="UYU3" s="354"/>
      <c r="UYV3" s="354"/>
      <c r="UYW3" s="354"/>
      <c r="UYX3" s="354"/>
      <c r="UYY3" s="354"/>
      <c r="UYZ3" s="354"/>
      <c r="UZA3" s="354"/>
      <c r="UZB3" s="354"/>
      <c r="UZC3" s="354"/>
      <c r="UZD3" s="354"/>
      <c r="UZE3" s="354"/>
      <c r="UZF3" s="354"/>
      <c r="UZG3" s="354"/>
      <c r="UZH3" s="354"/>
      <c r="UZI3" s="354"/>
      <c r="UZJ3" s="354"/>
      <c r="UZK3" s="354"/>
      <c r="UZL3" s="354"/>
      <c r="UZM3" s="354"/>
      <c r="UZN3" s="354"/>
      <c r="UZO3" s="354"/>
      <c r="UZP3" s="354"/>
      <c r="UZQ3" s="354"/>
      <c r="UZR3" s="354"/>
      <c r="UZS3" s="354"/>
      <c r="UZT3" s="354"/>
      <c r="UZU3" s="354"/>
      <c r="UZV3" s="354"/>
      <c r="UZW3" s="354"/>
      <c r="UZX3" s="354"/>
      <c r="UZY3" s="354"/>
      <c r="UZZ3" s="354"/>
      <c r="VAA3" s="354"/>
      <c r="VAB3" s="354"/>
      <c r="VAC3" s="354"/>
      <c r="VAD3" s="354"/>
      <c r="VAE3" s="354"/>
      <c r="VAF3" s="354"/>
      <c r="VAG3" s="354"/>
      <c r="VAH3" s="354"/>
      <c r="VAI3" s="354"/>
      <c r="VAJ3" s="354"/>
      <c r="VAK3" s="354"/>
      <c r="VAL3" s="354"/>
      <c r="VAM3" s="354"/>
      <c r="VAN3" s="354"/>
      <c r="VAO3" s="354"/>
      <c r="VAP3" s="354"/>
      <c r="VAQ3" s="354"/>
      <c r="VAR3" s="354"/>
      <c r="VAS3" s="354"/>
      <c r="VAT3" s="354"/>
      <c r="VAU3" s="354"/>
      <c r="VAV3" s="354"/>
      <c r="VAW3" s="354"/>
      <c r="VAX3" s="354"/>
      <c r="VAY3" s="354"/>
      <c r="VAZ3" s="354"/>
      <c r="VBA3" s="354"/>
      <c r="VBB3" s="354"/>
      <c r="VBC3" s="354"/>
      <c r="VBD3" s="354"/>
      <c r="VBE3" s="354"/>
      <c r="VBF3" s="354"/>
      <c r="VBG3" s="354"/>
      <c r="VBH3" s="354"/>
      <c r="VBI3" s="354"/>
      <c r="VBJ3" s="354"/>
      <c r="VBK3" s="354"/>
      <c r="VBL3" s="354"/>
      <c r="VBM3" s="354"/>
      <c r="VBN3" s="354"/>
      <c r="VBO3" s="354"/>
      <c r="VBP3" s="354"/>
      <c r="VBQ3" s="354"/>
      <c r="VBR3" s="354"/>
      <c r="VBS3" s="354"/>
      <c r="VBT3" s="354"/>
      <c r="VBU3" s="354"/>
      <c r="VBV3" s="354"/>
      <c r="VBW3" s="354"/>
      <c r="VBX3" s="354"/>
      <c r="VBY3" s="354"/>
      <c r="VBZ3" s="354"/>
      <c r="VCA3" s="354"/>
      <c r="VCB3" s="354"/>
      <c r="VCC3" s="354"/>
      <c r="VCD3" s="354"/>
      <c r="VCE3" s="354"/>
      <c r="VCF3" s="354"/>
      <c r="VCG3" s="354"/>
      <c r="VCH3" s="354"/>
      <c r="VCI3" s="354"/>
      <c r="VCJ3" s="354"/>
      <c r="VCK3" s="354"/>
      <c r="VCL3" s="354"/>
      <c r="VCM3" s="354"/>
      <c r="VCN3" s="354"/>
      <c r="VCO3" s="354"/>
      <c r="VCP3" s="354"/>
      <c r="VCQ3" s="354"/>
      <c r="VCR3" s="354"/>
      <c r="VCS3" s="354"/>
      <c r="VCT3" s="354"/>
      <c r="VCU3" s="354"/>
      <c r="VCV3" s="354"/>
      <c r="VCW3" s="354"/>
      <c r="VCX3" s="354"/>
      <c r="VCY3" s="354"/>
      <c r="VCZ3" s="354"/>
      <c r="VDA3" s="354"/>
      <c r="VDB3" s="354"/>
      <c r="VDC3" s="354"/>
      <c r="VDD3" s="354"/>
      <c r="VDE3" s="354"/>
      <c r="VDF3" s="354"/>
      <c r="VDG3" s="354"/>
      <c r="VDH3" s="354"/>
      <c r="VDI3" s="354"/>
      <c r="VDJ3" s="354"/>
      <c r="VDK3" s="354"/>
      <c r="VDL3" s="354"/>
      <c r="VDM3" s="354"/>
      <c r="VDN3" s="354"/>
      <c r="VDO3" s="354"/>
      <c r="VDP3" s="354"/>
      <c r="VDQ3" s="354"/>
      <c r="VDR3" s="354"/>
      <c r="VDS3" s="354"/>
      <c r="VDT3" s="354"/>
      <c r="VDU3" s="354"/>
      <c r="VDV3" s="354"/>
      <c r="VDW3" s="354"/>
      <c r="VDX3" s="354"/>
      <c r="VDY3" s="354"/>
      <c r="VDZ3" s="354"/>
      <c r="VEA3" s="354"/>
      <c r="VEB3" s="354"/>
      <c r="VEC3" s="354"/>
      <c r="VED3" s="354"/>
      <c r="VEE3" s="354"/>
      <c r="VEF3" s="354"/>
      <c r="VEG3" s="354"/>
      <c r="VEH3" s="354"/>
      <c r="VEI3" s="354"/>
      <c r="VEJ3" s="354"/>
      <c r="VEK3" s="354"/>
      <c r="VEL3" s="354"/>
      <c r="VEM3" s="354"/>
      <c r="VEN3" s="354"/>
      <c r="VEO3" s="354"/>
      <c r="VEP3" s="354"/>
      <c r="VEQ3" s="354"/>
      <c r="VER3" s="354"/>
      <c r="VES3" s="354"/>
      <c r="VET3" s="354"/>
      <c r="VEU3" s="354"/>
      <c r="VEV3" s="354"/>
      <c r="VEW3" s="354"/>
      <c r="VEX3" s="354"/>
      <c r="VEY3" s="354"/>
      <c r="VEZ3" s="354"/>
      <c r="VFA3" s="354"/>
      <c r="VFB3" s="354"/>
      <c r="VFC3" s="354"/>
      <c r="VFD3" s="354"/>
      <c r="VFE3" s="354"/>
      <c r="VFF3" s="354"/>
      <c r="VFG3" s="354"/>
      <c r="VFH3" s="354"/>
      <c r="VFI3" s="354"/>
      <c r="VFJ3" s="354"/>
      <c r="VFK3" s="354"/>
      <c r="VFL3" s="354"/>
      <c r="VFM3" s="354"/>
      <c r="VFN3" s="354"/>
      <c r="VFO3" s="354"/>
      <c r="VFP3" s="354"/>
      <c r="VFQ3" s="354"/>
      <c r="VFR3" s="354"/>
      <c r="VFS3" s="354"/>
      <c r="VFT3" s="354"/>
      <c r="VFU3" s="354"/>
      <c r="VFV3" s="354"/>
      <c r="VFW3" s="354"/>
      <c r="VFX3" s="354"/>
      <c r="VFY3" s="354"/>
      <c r="VFZ3" s="354"/>
      <c r="VGA3" s="354"/>
      <c r="VGB3" s="354"/>
      <c r="VGC3" s="354"/>
      <c r="VGD3" s="354"/>
      <c r="VGE3" s="354"/>
      <c r="VGF3" s="354"/>
      <c r="VGG3" s="354"/>
      <c r="VGH3" s="354"/>
      <c r="VGI3" s="354"/>
      <c r="VGJ3" s="354"/>
      <c r="VGK3" s="354"/>
      <c r="VGL3" s="354"/>
      <c r="VGM3" s="354"/>
      <c r="VGN3" s="354"/>
      <c r="VGO3" s="354"/>
      <c r="VGP3" s="354"/>
      <c r="VGQ3" s="354"/>
      <c r="VGR3" s="354"/>
      <c r="VGS3" s="354"/>
      <c r="VGT3" s="354"/>
      <c r="VGU3" s="354"/>
      <c r="VGV3" s="354"/>
      <c r="VGW3" s="354"/>
      <c r="VGX3" s="354"/>
      <c r="VGY3" s="354"/>
      <c r="VGZ3" s="354"/>
      <c r="VHA3" s="354"/>
      <c r="VHB3" s="354"/>
      <c r="VHC3" s="354"/>
      <c r="VHD3" s="354"/>
      <c r="VHE3" s="354"/>
      <c r="VHF3" s="354"/>
      <c r="VHG3" s="354"/>
      <c r="VHH3" s="354"/>
      <c r="VHI3" s="354"/>
      <c r="VHJ3" s="354"/>
      <c r="VHK3" s="354"/>
      <c r="VHL3" s="354"/>
      <c r="VHM3" s="354"/>
      <c r="VHN3" s="354"/>
      <c r="VHO3" s="354"/>
      <c r="VHP3" s="354"/>
      <c r="VHQ3" s="354"/>
      <c r="VHR3" s="354"/>
      <c r="VHS3" s="354"/>
      <c r="VHT3" s="354"/>
      <c r="VHU3" s="354"/>
      <c r="VHV3" s="354"/>
      <c r="VHW3" s="354"/>
      <c r="VHX3" s="354"/>
      <c r="VHY3" s="354"/>
      <c r="VHZ3" s="354"/>
      <c r="VIA3" s="354"/>
      <c r="VIB3" s="354"/>
      <c r="VIC3" s="354"/>
      <c r="VID3" s="354"/>
      <c r="VIE3" s="354"/>
      <c r="VIF3" s="354"/>
      <c r="VIG3" s="354"/>
      <c r="VIH3" s="354"/>
      <c r="VII3" s="354"/>
      <c r="VIJ3" s="354"/>
      <c r="VIK3" s="354"/>
      <c r="VIL3" s="354"/>
      <c r="VIM3" s="354"/>
      <c r="VIN3" s="354"/>
      <c r="VIO3" s="354"/>
      <c r="VIP3" s="354"/>
      <c r="VIQ3" s="354"/>
      <c r="VIR3" s="354"/>
      <c r="VIS3" s="354"/>
      <c r="VIT3" s="354"/>
      <c r="VIU3" s="354"/>
      <c r="VIV3" s="354"/>
      <c r="VIW3" s="354"/>
      <c r="VIX3" s="354"/>
      <c r="VIY3" s="354"/>
      <c r="VIZ3" s="354"/>
      <c r="VJA3" s="354"/>
      <c r="VJB3" s="354"/>
      <c r="VJC3" s="354"/>
      <c r="VJD3" s="354"/>
      <c r="VJE3" s="354"/>
      <c r="VJF3" s="354"/>
      <c r="VJG3" s="354"/>
      <c r="VJH3" s="354"/>
      <c r="VJI3" s="354"/>
      <c r="VJJ3" s="354"/>
      <c r="VJK3" s="354"/>
      <c r="VJL3" s="354"/>
      <c r="VJM3" s="354"/>
      <c r="VJN3" s="354"/>
      <c r="VJO3" s="354"/>
      <c r="VJP3" s="354"/>
      <c r="VJQ3" s="354"/>
      <c r="VJR3" s="354"/>
      <c r="VJS3" s="354"/>
      <c r="VJT3" s="354"/>
      <c r="VJU3" s="354"/>
      <c r="VJV3" s="354"/>
      <c r="VJW3" s="354"/>
      <c r="VJX3" s="354"/>
      <c r="VJY3" s="354"/>
      <c r="VJZ3" s="354"/>
      <c r="VKA3" s="354"/>
      <c r="VKB3" s="354"/>
      <c r="VKC3" s="354"/>
      <c r="VKD3" s="354"/>
      <c r="VKE3" s="354"/>
      <c r="VKF3" s="354"/>
      <c r="VKG3" s="354"/>
      <c r="VKH3" s="354"/>
      <c r="VKI3" s="354"/>
      <c r="VKJ3" s="354"/>
      <c r="VKK3" s="354"/>
      <c r="VKL3" s="354"/>
      <c r="VKM3" s="354"/>
      <c r="VKN3" s="354"/>
      <c r="VKO3" s="354"/>
      <c r="VKP3" s="354"/>
      <c r="VKQ3" s="354"/>
      <c r="VKR3" s="354"/>
      <c r="VKS3" s="354"/>
      <c r="VKT3" s="354"/>
      <c r="VKU3" s="354"/>
      <c r="VKV3" s="354"/>
      <c r="VKW3" s="354"/>
      <c r="VKX3" s="354"/>
      <c r="VKY3" s="354"/>
      <c r="VKZ3" s="354"/>
      <c r="VLA3" s="354"/>
      <c r="VLB3" s="354"/>
      <c r="VLC3" s="354"/>
      <c r="VLD3" s="354"/>
      <c r="VLE3" s="354"/>
      <c r="VLF3" s="354"/>
      <c r="VLG3" s="354"/>
      <c r="VLH3" s="354"/>
      <c r="VLI3" s="354"/>
      <c r="VLJ3" s="354"/>
      <c r="VLK3" s="354"/>
      <c r="VLL3" s="354"/>
      <c r="VLM3" s="354"/>
      <c r="VLN3" s="354"/>
      <c r="VLO3" s="354"/>
      <c r="VLP3" s="354"/>
      <c r="VLQ3" s="354"/>
      <c r="VLR3" s="354"/>
      <c r="VLS3" s="354"/>
      <c r="VLT3" s="354"/>
      <c r="VLU3" s="354"/>
      <c r="VLV3" s="354"/>
      <c r="VLW3" s="354"/>
      <c r="VLX3" s="354"/>
      <c r="VLY3" s="354"/>
      <c r="VLZ3" s="354"/>
      <c r="VMA3" s="354"/>
      <c r="VMB3" s="354"/>
      <c r="VMC3" s="354"/>
      <c r="VMD3" s="354"/>
      <c r="VME3" s="354"/>
      <c r="VMF3" s="354"/>
      <c r="VMG3" s="354"/>
      <c r="VMH3" s="354"/>
      <c r="VMI3" s="354"/>
      <c r="VMJ3" s="354"/>
      <c r="VMK3" s="354"/>
      <c r="VML3" s="354"/>
      <c r="VMM3" s="354"/>
      <c r="VMN3" s="354"/>
      <c r="VMO3" s="354"/>
      <c r="VMP3" s="354"/>
      <c r="VMQ3" s="354"/>
      <c r="VMR3" s="354"/>
      <c r="VMS3" s="354"/>
      <c r="VMT3" s="354"/>
      <c r="VMU3" s="354"/>
      <c r="VMV3" s="354"/>
      <c r="VMW3" s="354"/>
      <c r="VMX3" s="354"/>
      <c r="VMY3" s="354"/>
      <c r="VMZ3" s="354"/>
      <c r="VNA3" s="354"/>
      <c r="VNB3" s="354"/>
      <c r="VNC3" s="354"/>
      <c r="VND3" s="354"/>
      <c r="VNE3" s="354"/>
      <c r="VNF3" s="354"/>
      <c r="VNG3" s="354"/>
      <c r="VNH3" s="354"/>
      <c r="VNI3" s="354"/>
      <c r="VNJ3" s="354"/>
      <c r="VNK3" s="354"/>
      <c r="VNL3" s="354"/>
      <c r="VNM3" s="354"/>
      <c r="VNN3" s="354"/>
      <c r="VNO3" s="354"/>
      <c r="VNP3" s="354"/>
      <c r="VNQ3" s="354"/>
      <c r="VNR3" s="354"/>
      <c r="VNS3" s="354"/>
      <c r="VNT3" s="354"/>
      <c r="VNU3" s="354"/>
      <c r="VNV3" s="354"/>
      <c r="VNW3" s="354"/>
      <c r="VNX3" s="354"/>
      <c r="VNY3" s="354"/>
      <c r="VNZ3" s="354"/>
      <c r="VOA3" s="354"/>
      <c r="VOB3" s="354"/>
      <c r="VOC3" s="354"/>
      <c r="VOD3" s="354"/>
      <c r="VOE3" s="354"/>
      <c r="VOF3" s="354"/>
      <c r="VOG3" s="354"/>
      <c r="VOH3" s="354"/>
      <c r="VOI3" s="354"/>
      <c r="VOJ3" s="354"/>
      <c r="VOK3" s="354"/>
      <c r="VOL3" s="354"/>
      <c r="VOM3" s="354"/>
      <c r="VON3" s="354"/>
      <c r="VOO3" s="354"/>
      <c r="VOP3" s="354"/>
      <c r="VOQ3" s="354"/>
      <c r="VOR3" s="354"/>
      <c r="VOS3" s="354"/>
      <c r="VOT3" s="354"/>
      <c r="VOU3" s="354"/>
      <c r="VOV3" s="354"/>
      <c r="VOW3" s="354"/>
      <c r="VOX3" s="354"/>
      <c r="VOY3" s="354"/>
      <c r="VOZ3" s="354"/>
      <c r="VPA3" s="354"/>
      <c r="VPB3" s="354"/>
      <c r="VPC3" s="354"/>
      <c r="VPD3" s="354"/>
      <c r="VPE3" s="354"/>
      <c r="VPF3" s="354"/>
      <c r="VPG3" s="354"/>
      <c r="VPH3" s="354"/>
      <c r="VPI3" s="354"/>
      <c r="VPJ3" s="354"/>
      <c r="VPK3" s="354"/>
      <c r="VPL3" s="354"/>
      <c r="VPM3" s="354"/>
      <c r="VPN3" s="354"/>
      <c r="VPO3" s="354"/>
      <c r="VPP3" s="354"/>
      <c r="VPQ3" s="354"/>
      <c r="VPR3" s="354"/>
      <c r="VPS3" s="354"/>
      <c r="VPT3" s="354"/>
      <c r="VPU3" s="354"/>
      <c r="VPV3" s="354"/>
      <c r="VPW3" s="354"/>
      <c r="VPX3" s="354"/>
      <c r="VPY3" s="354"/>
      <c r="VPZ3" s="354"/>
      <c r="VQA3" s="354"/>
      <c r="VQB3" s="354"/>
      <c r="VQC3" s="354"/>
      <c r="VQD3" s="354"/>
      <c r="VQE3" s="354"/>
      <c r="VQF3" s="354"/>
      <c r="VQG3" s="354"/>
      <c r="VQH3" s="354"/>
      <c r="VQI3" s="354"/>
      <c r="VQJ3" s="354"/>
      <c r="VQK3" s="354"/>
      <c r="VQL3" s="354"/>
      <c r="VQM3" s="354"/>
      <c r="VQN3" s="354"/>
      <c r="VQO3" s="354"/>
      <c r="VQP3" s="354"/>
      <c r="VQQ3" s="354"/>
      <c r="VQR3" s="354"/>
      <c r="VQS3" s="354"/>
      <c r="VQT3" s="354"/>
      <c r="VQU3" s="354"/>
      <c r="VQV3" s="354"/>
      <c r="VQW3" s="354"/>
      <c r="VQX3" s="354"/>
      <c r="VQY3" s="354"/>
      <c r="VQZ3" s="354"/>
      <c r="VRA3" s="354"/>
      <c r="VRB3" s="354"/>
      <c r="VRC3" s="354"/>
      <c r="VRD3" s="354"/>
      <c r="VRE3" s="354"/>
      <c r="VRF3" s="354"/>
      <c r="VRG3" s="354"/>
      <c r="VRH3" s="354"/>
      <c r="VRI3" s="354"/>
      <c r="VRJ3" s="354"/>
      <c r="VRK3" s="354"/>
      <c r="VRL3" s="354"/>
      <c r="VRM3" s="354"/>
      <c r="VRN3" s="354"/>
      <c r="VRO3" s="354"/>
      <c r="VRP3" s="354"/>
      <c r="VRQ3" s="354"/>
      <c r="VRR3" s="354"/>
      <c r="VRS3" s="354"/>
      <c r="VRT3" s="354"/>
      <c r="VRU3" s="354"/>
      <c r="VRV3" s="354"/>
      <c r="VRW3" s="354"/>
      <c r="VRX3" s="354"/>
      <c r="VRY3" s="354"/>
      <c r="VRZ3" s="354"/>
      <c r="VSA3" s="354"/>
      <c r="VSB3" s="354"/>
      <c r="VSC3" s="354"/>
      <c r="VSD3" s="354"/>
      <c r="VSE3" s="354"/>
      <c r="VSF3" s="354"/>
      <c r="VSG3" s="354"/>
      <c r="VSH3" s="354"/>
      <c r="VSI3" s="354"/>
      <c r="VSJ3" s="354"/>
      <c r="VSK3" s="354"/>
      <c r="VSL3" s="354"/>
      <c r="VSM3" s="354"/>
      <c r="VSN3" s="354"/>
      <c r="VSO3" s="354"/>
      <c r="VSP3" s="354"/>
      <c r="VSQ3" s="354"/>
      <c r="VSR3" s="354"/>
      <c r="VSS3" s="354"/>
      <c r="VST3" s="354"/>
      <c r="VSU3" s="354"/>
      <c r="VSV3" s="354"/>
      <c r="VSW3" s="354"/>
      <c r="VSX3" s="354"/>
      <c r="VSY3" s="354"/>
      <c r="VSZ3" s="354"/>
      <c r="VTA3" s="354"/>
      <c r="VTB3" s="354"/>
      <c r="VTC3" s="354"/>
      <c r="VTD3" s="354"/>
      <c r="VTE3" s="354"/>
      <c r="VTF3" s="354"/>
      <c r="VTG3" s="354"/>
      <c r="VTH3" s="354"/>
      <c r="VTI3" s="354"/>
      <c r="VTJ3" s="354"/>
      <c r="VTK3" s="354"/>
      <c r="VTL3" s="354"/>
      <c r="VTM3" s="354"/>
      <c r="VTN3" s="354"/>
      <c r="VTO3" s="354"/>
      <c r="VTP3" s="354"/>
      <c r="VTQ3" s="354"/>
      <c r="VTR3" s="354"/>
      <c r="VTS3" s="354"/>
      <c r="VTT3" s="354"/>
      <c r="VTU3" s="354"/>
      <c r="VTV3" s="354"/>
      <c r="VTW3" s="354"/>
      <c r="VTX3" s="354"/>
      <c r="VTY3" s="354"/>
      <c r="VTZ3" s="354"/>
      <c r="VUA3" s="354"/>
      <c r="VUB3" s="354"/>
      <c r="VUC3" s="354"/>
      <c r="VUD3" s="354"/>
      <c r="VUE3" s="354"/>
      <c r="VUF3" s="354"/>
      <c r="VUG3" s="354"/>
      <c r="VUH3" s="354"/>
      <c r="VUI3" s="354"/>
      <c r="VUJ3" s="354"/>
      <c r="VUK3" s="354"/>
      <c r="VUL3" s="354"/>
      <c r="VUM3" s="354"/>
      <c r="VUN3" s="354"/>
      <c r="VUO3" s="354"/>
      <c r="VUP3" s="354"/>
      <c r="VUQ3" s="354"/>
      <c r="VUR3" s="354"/>
      <c r="VUS3" s="354"/>
      <c r="VUT3" s="354"/>
      <c r="VUU3" s="354"/>
      <c r="VUV3" s="354"/>
      <c r="VUW3" s="354"/>
      <c r="VUX3" s="354"/>
      <c r="VUY3" s="354"/>
      <c r="VUZ3" s="354"/>
      <c r="VVA3" s="354"/>
      <c r="VVB3" s="354"/>
      <c r="VVC3" s="354"/>
      <c r="VVD3" s="354"/>
      <c r="VVE3" s="354"/>
      <c r="VVF3" s="354"/>
      <c r="VVG3" s="354"/>
      <c r="VVH3" s="354"/>
      <c r="VVI3" s="354"/>
      <c r="VVJ3" s="354"/>
      <c r="VVK3" s="354"/>
      <c r="VVL3" s="354"/>
      <c r="VVM3" s="354"/>
      <c r="VVN3" s="354"/>
      <c r="VVO3" s="354"/>
      <c r="VVP3" s="354"/>
      <c r="VVQ3" s="354"/>
      <c r="VVR3" s="354"/>
      <c r="VVS3" s="354"/>
      <c r="VVT3" s="354"/>
      <c r="VVU3" s="354"/>
      <c r="VVV3" s="354"/>
      <c r="VVW3" s="354"/>
      <c r="VVX3" s="354"/>
      <c r="VVY3" s="354"/>
      <c r="VVZ3" s="354"/>
      <c r="VWA3" s="354"/>
      <c r="VWB3" s="354"/>
      <c r="VWC3" s="354"/>
      <c r="VWD3" s="354"/>
      <c r="VWE3" s="354"/>
      <c r="VWF3" s="354"/>
      <c r="VWG3" s="354"/>
      <c r="VWH3" s="354"/>
      <c r="VWI3" s="354"/>
      <c r="VWJ3" s="354"/>
      <c r="VWK3" s="354"/>
      <c r="VWL3" s="354"/>
      <c r="VWM3" s="354"/>
      <c r="VWN3" s="354"/>
      <c r="VWO3" s="354"/>
      <c r="VWP3" s="354"/>
      <c r="VWQ3" s="354"/>
      <c r="VWR3" s="354"/>
      <c r="VWS3" s="354"/>
      <c r="VWT3" s="354"/>
      <c r="VWU3" s="354"/>
      <c r="VWV3" s="354"/>
      <c r="VWW3" s="354"/>
      <c r="VWX3" s="354"/>
      <c r="VWY3" s="354"/>
      <c r="VWZ3" s="354"/>
      <c r="VXA3" s="354"/>
      <c r="VXB3" s="354"/>
      <c r="VXC3" s="354"/>
      <c r="VXD3" s="354"/>
      <c r="VXE3" s="354"/>
      <c r="VXF3" s="354"/>
      <c r="VXG3" s="354"/>
      <c r="VXH3" s="354"/>
      <c r="VXI3" s="354"/>
      <c r="VXJ3" s="354"/>
      <c r="VXK3" s="354"/>
      <c r="VXL3" s="354"/>
      <c r="VXM3" s="354"/>
      <c r="VXN3" s="354"/>
      <c r="VXO3" s="354"/>
      <c r="VXP3" s="354"/>
      <c r="VXQ3" s="354"/>
      <c r="VXR3" s="354"/>
      <c r="VXS3" s="354"/>
      <c r="VXT3" s="354"/>
      <c r="VXU3" s="354"/>
      <c r="VXV3" s="354"/>
      <c r="VXW3" s="354"/>
      <c r="VXX3" s="354"/>
      <c r="VXY3" s="354"/>
      <c r="VXZ3" s="354"/>
      <c r="VYA3" s="354"/>
      <c r="VYB3" s="354"/>
      <c r="VYC3" s="354"/>
      <c r="VYD3" s="354"/>
      <c r="VYE3" s="354"/>
      <c r="VYF3" s="354"/>
      <c r="VYG3" s="354"/>
      <c r="VYH3" s="354"/>
      <c r="VYI3" s="354"/>
      <c r="VYJ3" s="354"/>
      <c r="VYK3" s="354"/>
      <c r="VYL3" s="354"/>
      <c r="VYM3" s="354"/>
      <c r="VYN3" s="354"/>
      <c r="VYO3" s="354"/>
      <c r="VYP3" s="354"/>
      <c r="VYQ3" s="354"/>
      <c r="VYR3" s="354"/>
      <c r="VYS3" s="354"/>
      <c r="VYT3" s="354"/>
      <c r="VYU3" s="354"/>
      <c r="VYV3" s="354"/>
      <c r="VYW3" s="354"/>
      <c r="VYX3" s="354"/>
      <c r="VYY3" s="354"/>
      <c r="VYZ3" s="354"/>
      <c r="VZA3" s="354"/>
      <c r="VZB3" s="354"/>
      <c r="VZC3" s="354"/>
      <c r="VZD3" s="354"/>
      <c r="VZE3" s="354"/>
      <c r="VZF3" s="354"/>
      <c r="VZG3" s="354"/>
      <c r="VZH3" s="354"/>
      <c r="VZI3" s="354"/>
      <c r="VZJ3" s="354"/>
      <c r="VZK3" s="354"/>
      <c r="VZL3" s="354"/>
      <c r="VZM3" s="354"/>
      <c r="VZN3" s="354"/>
      <c r="VZO3" s="354"/>
      <c r="VZP3" s="354"/>
      <c r="VZQ3" s="354"/>
      <c r="VZR3" s="354"/>
      <c r="VZS3" s="354"/>
      <c r="VZT3" s="354"/>
      <c r="VZU3" s="354"/>
      <c r="VZV3" s="354"/>
      <c r="VZW3" s="354"/>
      <c r="VZX3" s="354"/>
      <c r="VZY3" s="354"/>
      <c r="VZZ3" s="354"/>
      <c r="WAA3" s="354"/>
      <c r="WAB3" s="354"/>
      <c r="WAC3" s="354"/>
      <c r="WAD3" s="354"/>
      <c r="WAE3" s="354"/>
      <c r="WAF3" s="354"/>
      <c r="WAG3" s="354"/>
      <c r="WAH3" s="354"/>
      <c r="WAI3" s="354"/>
      <c r="WAJ3" s="354"/>
      <c r="WAK3" s="354"/>
      <c r="WAL3" s="354"/>
      <c r="WAM3" s="354"/>
      <c r="WAN3" s="354"/>
      <c r="WAO3" s="354"/>
      <c r="WAP3" s="354"/>
      <c r="WAQ3" s="354"/>
      <c r="WAR3" s="354"/>
      <c r="WAS3" s="354"/>
      <c r="WAT3" s="354"/>
      <c r="WAU3" s="354"/>
      <c r="WAV3" s="354"/>
      <c r="WAW3" s="354"/>
      <c r="WAX3" s="354"/>
      <c r="WAY3" s="354"/>
      <c r="WAZ3" s="354"/>
      <c r="WBA3" s="354"/>
      <c r="WBB3" s="354"/>
      <c r="WBC3" s="354"/>
      <c r="WBD3" s="354"/>
      <c r="WBE3" s="354"/>
      <c r="WBF3" s="354"/>
      <c r="WBG3" s="354"/>
      <c r="WBH3" s="354"/>
      <c r="WBI3" s="354"/>
      <c r="WBJ3" s="354"/>
      <c r="WBK3" s="354"/>
      <c r="WBL3" s="354"/>
      <c r="WBM3" s="354"/>
      <c r="WBN3" s="354"/>
      <c r="WBO3" s="354"/>
      <c r="WBP3" s="354"/>
      <c r="WBQ3" s="354"/>
      <c r="WBR3" s="354"/>
      <c r="WBS3" s="354"/>
      <c r="WBT3" s="354"/>
      <c r="WBU3" s="354"/>
      <c r="WBV3" s="354"/>
      <c r="WBW3" s="354"/>
      <c r="WBX3" s="354"/>
      <c r="WBY3" s="354"/>
      <c r="WBZ3" s="354"/>
      <c r="WCA3" s="354"/>
      <c r="WCB3" s="354"/>
      <c r="WCC3" s="354"/>
      <c r="WCD3" s="354"/>
      <c r="WCE3" s="354"/>
      <c r="WCF3" s="354"/>
      <c r="WCG3" s="354"/>
      <c r="WCH3" s="354"/>
      <c r="WCI3" s="354"/>
      <c r="WCJ3" s="354"/>
      <c r="WCK3" s="354"/>
      <c r="WCL3" s="354"/>
      <c r="WCM3" s="354"/>
      <c r="WCN3" s="354"/>
      <c r="WCO3" s="354"/>
      <c r="WCP3" s="354"/>
      <c r="WCQ3" s="354"/>
      <c r="WCR3" s="354"/>
      <c r="WCS3" s="354"/>
      <c r="WCT3" s="354"/>
      <c r="WCU3" s="354"/>
      <c r="WCV3" s="354"/>
      <c r="WCW3" s="354"/>
      <c r="WCX3" s="354"/>
      <c r="WCY3" s="354"/>
      <c r="WCZ3" s="354"/>
      <c r="WDA3" s="354"/>
      <c r="WDB3" s="354"/>
      <c r="WDC3" s="354"/>
      <c r="WDD3" s="354"/>
      <c r="WDE3" s="354"/>
      <c r="WDF3" s="354"/>
      <c r="WDG3" s="354"/>
      <c r="WDH3" s="354"/>
      <c r="WDI3" s="354"/>
      <c r="WDJ3" s="354"/>
      <c r="WDK3" s="354"/>
      <c r="WDL3" s="354"/>
      <c r="WDM3" s="354"/>
      <c r="WDN3" s="354"/>
      <c r="WDO3" s="354"/>
      <c r="WDP3" s="354"/>
      <c r="WDQ3" s="354"/>
      <c r="WDR3" s="354"/>
      <c r="WDS3" s="354"/>
      <c r="WDT3" s="354"/>
      <c r="WDU3" s="354"/>
      <c r="WDV3" s="354"/>
      <c r="WDW3" s="354"/>
      <c r="WDX3" s="354"/>
      <c r="WDY3" s="354"/>
      <c r="WDZ3" s="354"/>
      <c r="WEA3" s="354"/>
      <c r="WEB3" s="354"/>
      <c r="WEC3" s="354"/>
      <c r="WED3" s="354"/>
      <c r="WEE3" s="354"/>
      <c r="WEF3" s="354"/>
      <c r="WEG3" s="354"/>
      <c r="WEH3" s="354"/>
      <c r="WEI3" s="354"/>
      <c r="WEJ3" s="354"/>
      <c r="WEK3" s="354"/>
      <c r="WEL3" s="354"/>
      <c r="WEM3" s="354"/>
      <c r="WEN3" s="354"/>
      <c r="WEO3" s="354"/>
      <c r="WEP3" s="354"/>
      <c r="WEQ3" s="354"/>
      <c r="WER3" s="354"/>
      <c r="WES3" s="354"/>
      <c r="WET3" s="354"/>
      <c r="WEU3" s="354"/>
      <c r="WEV3" s="354"/>
      <c r="WEW3" s="354"/>
      <c r="WEX3" s="354"/>
      <c r="WEY3" s="354"/>
      <c r="WEZ3" s="354"/>
      <c r="WFA3" s="354"/>
      <c r="WFB3" s="354"/>
      <c r="WFC3" s="354"/>
      <c r="WFD3" s="354"/>
      <c r="WFE3" s="354"/>
      <c r="WFF3" s="354"/>
      <c r="WFG3" s="354"/>
      <c r="WFH3" s="354"/>
      <c r="WFI3" s="354"/>
      <c r="WFJ3" s="354"/>
      <c r="WFK3" s="354"/>
      <c r="WFL3" s="354"/>
      <c r="WFM3" s="354"/>
      <c r="WFN3" s="354"/>
      <c r="WFO3" s="354"/>
      <c r="WFP3" s="354"/>
      <c r="WFQ3" s="354"/>
      <c r="WFR3" s="354"/>
      <c r="WFS3" s="354"/>
      <c r="WFT3" s="354"/>
      <c r="WFU3" s="354"/>
      <c r="WFV3" s="354"/>
      <c r="WFW3" s="354"/>
      <c r="WFX3" s="354"/>
      <c r="WFY3" s="354"/>
      <c r="WFZ3" s="354"/>
      <c r="WGA3" s="354"/>
      <c r="WGB3" s="354"/>
      <c r="WGC3" s="354"/>
      <c r="WGD3" s="354"/>
      <c r="WGE3" s="354"/>
      <c r="WGF3" s="354"/>
      <c r="WGG3" s="354"/>
      <c r="WGH3" s="354"/>
      <c r="WGI3" s="354"/>
      <c r="WGJ3" s="354"/>
      <c r="WGK3" s="354"/>
      <c r="WGL3" s="354"/>
      <c r="WGM3" s="354"/>
      <c r="WGN3" s="354"/>
      <c r="WGO3" s="354"/>
      <c r="WGP3" s="354"/>
      <c r="WGQ3" s="354"/>
      <c r="WGR3" s="354"/>
      <c r="WGS3" s="354"/>
      <c r="WGT3" s="354"/>
      <c r="WGU3" s="354"/>
      <c r="WGV3" s="354"/>
      <c r="WGW3" s="354"/>
      <c r="WGX3" s="354"/>
      <c r="WGY3" s="354"/>
      <c r="WGZ3" s="354"/>
      <c r="WHA3" s="354"/>
      <c r="WHB3" s="354"/>
      <c r="WHC3" s="354"/>
      <c r="WHD3" s="354"/>
      <c r="WHE3" s="354"/>
      <c r="WHF3" s="354"/>
      <c r="WHG3" s="354"/>
      <c r="WHH3" s="354"/>
      <c r="WHI3" s="354"/>
      <c r="WHJ3" s="354"/>
      <c r="WHK3" s="354"/>
      <c r="WHL3" s="354"/>
      <c r="WHM3" s="354"/>
      <c r="WHN3" s="354"/>
      <c r="WHO3" s="354"/>
      <c r="WHP3" s="354"/>
      <c r="WHQ3" s="354"/>
      <c r="WHR3" s="354"/>
      <c r="WHS3" s="354"/>
      <c r="WHT3" s="354"/>
      <c r="WHU3" s="354"/>
      <c r="WHV3" s="354"/>
      <c r="WHW3" s="354"/>
      <c r="WHX3" s="354"/>
      <c r="WHY3" s="354"/>
      <c r="WHZ3" s="354"/>
      <c r="WIA3" s="354"/>
      <c r="WIB3" s="354"/>
      <c r="WIC3" s="354"/>
      <c r="WID3" s="354"/>
      <c r="WIE3" s="354"/>
      <c r="WIF3" s="354"/>
      <c r="WIG3" s="354"/>
      <c r="WIH3" s="354"/>
      <c r="WII3" s="354"/>
      <c r="WIJ3" s="354"/>
      <c r="WIK3" s="354"/>
      <c r="WIL3" s="354"/>
      <c r="WIM3" s="354"/>
      <c r="WIN3" s="354"/>
      <c r="WIO3" s="354"/>
      <c r="WIP3" s="354"/>
      <c r="WIQ3" s="354"/>
      <c r="WIR3" s="354"/>
      <c r="WIS3" s="354"/>
      <c r="WIT3" s="354"/>
      <c r="WIU3" s="354"/>
      <c r="WIV3" s="354"/>
      <c r="WIW3" s="354"/>
      <c r="WIX3" s="354"/>
      <c r="WIY3" s="354"/>
      <c r="WIZ3" s="354"/>
      <c r="WJA3" s="354"/>
      <c r="WJB3" s="354"/>
      <c r="WJC3" s="354"/>
      <c r="WJD3" s="354"/>
      <c r="WJE3" s="354"/>
      <c r="WJF3" s="354"/>
      <c r="WJG3" s="354"/>
      <c r="WJH3" s="354"/>
      <c r="WJI3" s="354"/>
      <c r="WJJ3" s="354"/>
      <c r="WJK3" s="354"/>
      <c r="WJL3" s="354"/>
      <c r="WJM3" s="354"/>
      <c r="WJN3" s="354"/>
      <c r="WJO3" s="354"/>
      <c r="WJP3" s="354"/>
      <c r="WJQ3" s="354"/>
      <c r="WJR3" s="354"/>
      <c r="WJS3" s="354"/>
      <c r="WJT3" s="354"/>
      <c r="WJU3" s="354"/>
      <c r="WJV3" s="354"/>
      <c r="WJW3" s="354"/>
      <c r="WJX3" s="354"/>
      <c r="WJY3" s="354"/>
      <c r="WJZ3" s="354"/>
      <c r="WKA3" s="354"/>
      <c r="WKB3" s="354"/>
      <c r="WKC3" s="354"/>
      <c r="WKD3" s="354"/>
      <c r="WKE3" s="354"/>
      <c r="WKF3" s="354"/>
      <c r="WKG3" s="354"/>
      <c r="WKH3" s="354"/>
      <c r="WKI3" s="354"/>
      <c r="WKJ3" s="354"/>
      <c r="WKK3" s="354"/>
      <c r="WKL3" s="354"/>
      <c r="WKM3" s="354"/>
      <c r="WKN3" s="354"/>
      <c r="WKO3" s="354"/>
      <c r="WKP3" s="354"/>
      <c r="WKQ3" s="354"/>
      <c r="WKR3" s="354"/>
      <c r="WKS3" s="354"/>
      <c r="WKT3" s="354"/>
      <c r="WKU3" s="354"/>
      <c r="WKV3" s="354"/>
      <c r="WKW3" s="354"/>
      <c r="WKX3" s="354"/>
      <c r="WKY3" s="354"/>
      <c r="WKZ3" s="354"/>
      <c r="WLA3" s="354"/>
      <c r="WLB3" s="354"/>
      <c r="WLC3" s="354"/>
      <c r="WLD3" s="354"/>
      <c r="WLE3" s="354"/>
      <c r="WLF3" s="354"/>
      <c r="WLG3" s="354"/>
      <c r="WLH3" s="354"/>
      <c r="WLI3" s="354"/>
      <c r="WLJ3" s="354"/>
      <c r="WLK3" s="354"/>
      <c r="WLL3" s="354"/>
      <c r="WLM3" s="354"/>
      <c r="WLN3" s="354"/>
      <c r="WLO3" s="354"/>
      <c r="WLP3" s="354"/>
      <c r="WLQ3" s="354"/>
      <c r="WLR3" s="354"/>
      <c r="WLS3" s="354"/>
      <c r="WLT3" s="354"/>
      <c r="WLU3" s="354"/>
      <c r="WLV3" s="354"/>
      <c r="WLW3" s="354"/>
      <c r="WLX3" s="354"/>
      <c r="WLY3" s="354"/>
      <c r="WLZ3" s="354"/>
      <c r="WMA3" s="354"/>
      <c r="WMB3" s="354"/>
      <c r="WMC3" s="354"/>
      <c r="WMD3" s="354"/>
      <c r="WME3" s="354"/>
      <c r="WMF3" s="354"/>
      <c r="WMG3" s="354"/>
      <c r="WMH3" s="354"/>
      <c r="WMI3" s="354"/>
      <c r="WMJ3" s="354"/>
      <c r="WMK3" s="354"/>
      <c r="WML3" s="354"/>
      <c r="WMM3" s="354"/>
      <c r="WMN3" s="354"/>
      <c r="WMO3" s="354"/>
      <c r="WMP3" s="354"/>
      <c r="WMQ3" s="354"/>
      <c r="WMR3" s="354"/>
      <c r="WMS3" s="354"/>
      <c r="WMT3" s="354"/>
      <c r="WMU3" s="354"/>
      <c r="WMV3" s="354"/>
      <c r="WMW3" s="354"/>
      <c r="WMX3" s="354"/>
      <c r="WMY3" s="354"/>
      <c r="WMZ3" s="354"/>
      <c r="WNA3" s="354"/>
      <c r="WNB3" s="354"/>
      <c r="WNC3" s="354"/>
      <c r="WND3" s="354"/>
      <c r="WNE3" s="354"/>
      <c r="WNF3" s="354"/>
      <c r="WNG3" s="354"/>
      <c r="WNH3" s="354"/>
      <c r="WNI3" s="354"/>
      <c r="WNJ3" s="354"/>
      <c r="WNK3" s="354"/>
      <c r="WNL3" s="354"/>
      <c r="WNM3" s="354"/>
      <c r="WNN3" s="354"/>
      <c r="WNO3" s="354"/>
      <c r="WNP3" s="354"/>
      <c r="WNQ3" s="354"/>
      <c r="WNR3" s="354"/>
      <c r="WNS3" s="354"/>
      <c r="WNT3" s="354"/>
      <c r="WNU3" s="354"/>
      <c r="WNV3" s="354"/>
      <c r="WNW3" s="354"/>
      <c r="WNX3" s="354"/>
      <c r="WNY3" s="354"/>
      <c r="WNZ3" s="354"/>
      <c r="WOA3" s="354"/>
      <c r="WOB3" s="354"/>
      <c r="WOC3" s="354"/>
      <c r="WOD3" s="354"/>
      <c r="WOE3" s="354"/>
      <c r="WOF3" s="354"/>
      <c r="WOG3" s="354"/>
      <c r="WOH3" s="354"/>
      <c r="WOI3" s="354"/>
      <c r="WOJ3" s="354"/>
      <c r="WOK3" s="354"/>
      <c r="WOL3" s="354"/>
      <c r="WOM3" s="354"/>
      <c r="WON3" s="354"/>
      <c r="WOO3" s="354"/>
      <c r="WOP3" s="354"/>
      <c r="WOQ3" s="354"/>
      <c r="WOR3" s="354"/>
      <c r="WOS3" s="354"/>
      <c r="WOT3" s="354"/>
      <c r="WOU3" s="354"/>
      <c r="WOV3" s="354"/>
      <c r="WOW3" s="354"/>
      <c r="WOX3" s="354"/>
      <c r="WOY3" s="354"/>
      <c r="WOZ3" s="354"/>
      <c r="WPA3" s="354"/>
      <c r="WPB3" s="354"/>
      <c r="WPC3" s="354"/>
      <c r="WPD3" s="354"/>
      <c r="WPE3" s="354"/>
      <c r="WPF3" s="354"/>
      <c r="WPG3" s="354"/>
      <c r="WPH3" s="354"/>
      <c r="WPI3" s="354"/>
      <c r="WPJ3" s="354"/>
      <c r="WPK3" s="354"/>
      <c r="WPL3" s="354"/>
      <c r="WPM3" s="354"/>
      <c r="WPN3" s="354"/>
      <c r="WPO3" s="354"/>
      <c r="WPP3" s="354"/>
      <c r="WPQ3" s="354"/>
      <c r="WPR3" s="354"/>
      <c r="WPS3" s="354"/>
      <c r="WPT3" s="354"/>
      <c r="WPU3" s="354"/>
      <c r="WPV3" s="354"/>
      <c r="WPW3" s="354"/>
      <c r="WPX3" s="354"/>
      <c r="WPY3" s="354"/>
      <c r="WPZ3" s="354"/>
      <c r="WQA3" s="354"/>
      <c r="WQB3" s="354"/>
      <c r="WQC3" s="354"/>
      <c r="WQD3" s="354"/>
      <c r="WQE3" s="354"/>
      <c r="WQF3" s="354"/>
      <c r="WQG3" s="354"/>
      <c r="WQH3" s="354"/>
      <c r="WQI3" s="354"/>
      <c r="WQJ3" s="354"/>
      <c r="WQK3" s="354"/>
      <c r="WQL3" s="354"/>
      <c r="WQM3" s="354"/>
      <c r="WQN3" s="354"/>
      <c r="WQO3" s="354"/>
      <c r="WQP3" s="354"/>
      <c r="WQQ3" s="354"/>
      <c r="WQR3" s="354"/>
      <c r="WQS3" s="354"/>
      <c r="WQT3" s="354"/>
      <c r="WQU3" s="354"/>
      <c r="WQV3" s="354"/>
      <c r="WQW3" s="354"/>
      <c r="WQX3" s="354"/>
      <c r="WQY3" s="354"/>
      <c r="WQZ3" s="354"/>
      <c r="WRA3" s="354"/>
      <c r="WRB3" s="354"/>
      <c r="WRC3" s="354"/>
      <c r="WRD3" s="354"/>
      <c r="WRE3" s="354"/>
      <c r="WRF3" s="354"/>
      <c r="WRG3" s="354"/>
      <c r="WRH3" s="354"/>
      <c r="WRI3" s="354"/>
      <c r="WRJ3" s="354"/>
      <c r="WRK3" s="354"/>
      <c r="WRL3" s="354"/>
      <c r="WRM3" s="354"/>
      <c r="WRN3" s="354"/>
      <c r="WRO3" s="354"/>
      <c r="WRP3" s="354"/>
      <c r="WRQ3" s="354"/>
      <c r="WRR3" s="354"/>
      <c r="WRS3" s="354"/>
      <c r="WRT3" s="354"/>
      <c r="WRU3" s="354"/>
      <c r="WRV3" s="354"/>
      <c r="WRW3" s="354"/>
      <c r="WRX3" s="354"/>
      <c r="WRY3" s="354"/>
      <c r="WRZ3" s="354"/>
      <c r="WSA3" s="354"/>
      <c r="WSB3" s="354"/>
      <c r="WSC3" s="354"/>
      <c r="WSD3" s="354"/>
      <c r="WSE3" s="354"/>
      <c r="WSF3" s="354"/>
      <c r="WSG3" s="354"/>
      <c r="WSH3" s="354"/>
      <c r="WSI3" s="354"/>
      <c r="WSJ3" s="354"/>
      <c r="WSK3" s="354"/>
      <c r="WSL3" s="354"/>
      <c r="WSM3" s="354"/>
      <c r="WSN3" s="354"/>
      <c r="WSO3" s="354"/>
      <c r="WSP3" s="354"/>
      <c r="WSQ3" s="354"/>
      <c r="WSR3" s="354"/>
      <c r="WSS3" s="354"/>
      <c r="WST3" s="354"/>
      <c r="WSU3" s="354"/>
      <c r="WSV3" s="354"/>
      <c r="WSW3" s="354"/>
      <c r="WSX3" s="354"/>
      <c r="WSY3" s="354"/>
      <c r="WSZ3" s="354"/>
      <c r="WTA3" s="354"/>
      <c r="WTB3" s="354"/>
      <c r="WTC3" s="354"/>
      <c r="WTD3" s="354"/>
      <c r="WTE3" s="354"/>
      <c r="WTF3" s="354"/>
      <c r="WTG3" s="354"/>
      <c r="WTH3" s="354"/>
      <c r="WTI3" s="354"/>
      <c r="WTJ3" s="354"/>
      <c r="WTK3" s="354"/>
      <c r="WTL3" s="354"/>
      <c r="WTM3" s="354"/>
      <c r="WTN3" s="354"/>
      <c r="WTO3" s="354"/>
      <c r="WTP3" s="354"/>
      <c r="WTQ3" s="354"/>
      <c r="WTR3" s="354"/>
      <c r="WTS3" s="354"/>
      <c r="WTT3" s="354"/>
      <c r="WTU3" s="354"/>
      <c r="WTV3" s="354"/>
      <c r="WTW3" s="354"/>
      <c r="WTX3" s="354"/>
      <c r="WTY3" s="354"/>
      <c r="WTZ3" s="354"/>
      <c r="WUA3" s="354"/>
      <c r="WUB3" s="354"/>
      <c r="WUC3" s="354"/>
      <c r="WUD3" s="354"/>
      <c r="WUE3" s="354"/>
      <c r="WUF3" s="354"/>
      <c r="WUG3" s="354"/>
      <c r="WUH3" s="354"/>
      <c r="WUI3" s="354"/>
      <c r="WUJ3" s="354"/>
      <c r="WUK3" s="354"/>
      <c r="WUL3" s="354"/>
      <c r="WUM3" s="354"/>
      <c r="WUN3" s="354"/>
      <c r="WUO3" s="354"/>
      <c r="WUP3" s="354"/>
      <c r="WUQ3" s="354"/>
      <c r="WUR3" s="354"/>
      <c r="WUS3" s="354"/>
      <c r="WUT3" s="354"/>
      <c r="WUU3" s="354"/>
      <c r="WUV3" s="354"/>
      <c r="WUW3" s="354"/>
      <c r="WUX3" s="354"/>
      <c r="WUY3" s="354"/>
      <c r="WUZ3" s="354"/>
      <c r="WVA3" s="354"/>
      <c r="WVB3" s="354"/>
      <c r="WVC3" s="354"/>
      <c r="WVD3" s="354"/>
      <c r="WVE3" s="354"/>
      <c r="WVF3" s="354"/>
      <c r="WVG3" s="354"/>
      <c r="WVH3" s="354"/>
      <c r="WVI3" s="354"/>
      <c r="WVJ3" s="354"/>
      <c r="WVK3" s="354"/>
      <c r="WVL3" s="354"/>
      <c r="WVM3" s="354"/>
      <c r="WVN3" s="354"/>
      <c r="WVO3" s="354"/>
      <c r="WVP3" s="354"/>
      <c r="WVQ3" s="354"/>
      <c r="WVR3" s="354"/>
      <c r="WVS3" s="354"/>
      <c r="WVT3" s="354"/>
      <c r="WVU3" s="354"/>
      <c r="WVV3" s="354"/>
      <c r="WVW3" s="354"/>
      <c r="WVX3" s="354"/>
      <c r="WVY3" s="354"/>
      <c r="WVZ3" s="354"/>
      <c r="WWA3" s="354"/>
      <c r="WWB3" s="354"/>
      <c r="WWC3" s="354"/>
      <c r="WWD3" s="354"/>
      <c r="WWE3" s="354"/>
      <c r="WWF3" s="354"/>
      <c r="WWG3" s="354"/>
      <c r="WWH3" s="354"/>
      <c r="WWI3" s="354"/>
      <c r="WWJ3" s="354"/>
      <c r="WWK3" s="354"/>
      <c r="WWL3" s="354"/>
      <c r="WWM3" s="354"/>
      <c r="WWN3" s="354"/>
      <c r="WWO3" s="354"/>
      <c r="WWP3" s="354"/>
      <c r="WWQ3" s="354"/>
      <c r="WWR3" s="354"/>
      <c r="WWS3" s="354"/>
      <c r="WWT3" s="354"/>
      <c r="WWU3" s="354"/>
      <c r="WWV3" s="354"/>
      <c r="WWW3" s="354"/>
      <c r="WWX3" s="354"/>
      <c r="WWY3" s="354"/>
      <c r="WWZ3" s="354"/>
      <c r="WXA3" s="354"/>
      <c r="WXB3" s="354"/>
      <c r="WXC3" s="354"/>
      <c r="WXD3" s="354"/>
      <c r="WXE3" s="354"/>
      <c r="WXF3" s="354"/>
      <c r="WXG3" s="354"/>
      <c r="WXH3" s="354"/>
      <c r="WXI3" s="354"/>
      <c r="WXJ3" s="354"/>
      <c r="WXK3" s="354"/>
      <c r="WXL3" s="354"/>
      <c r="WXM3" s="354"/>
      <c r="WXN3" s="354"/>
      <c r="WXO3" s="354"/>
      <c r="WXP3" s="354"/>
      <c r="WXQ3" s="354"/>
      <c r="WXR3" s="354"/>
      <c r="WXS3" s="354"/>
      <c r="WXT3" s="354"/>
      <c r="WXU3" s="354"/>
      <c r="WXV3" s="354"/>
      <c r="WXW3" s="354"/>
      <c r="WXX3" s="354"/>
      <c r="WXY3" s="354"/>
      <c r="WXZ3" s="354"/>
      <c r="WYA3" s="354"/>
      <c r="WYB3" s="354"/>
      <c r="WYC3" s="354"/>
      <c r="WYD3" s="354"/>
      <c r="WYE3" s="354"/>
      <c r="WYF3" s="354"/>
      <c r="WYG3" s="354"/>
      <c r="WYH3" s="354"/>
      <c r="WYI3" s="354"/>
      <c r="WYJ3" s="354"/>
      <c r="WYK3" s="354"/>
      <c r="WYL3" s="354"/>
      <c r="WYM3" s="354"/>
      <c r="WYN3" s="354"/>
      <c r="WYO3" s="354"/>
      <c r="WYP3" s="354"/>
      <c r="WYQ3" s="354"/>
      <c r="WYR3" s="354"/>
      <c r="WYS3" s="354"/>
      <c r="WYT3" s="354"/>
      <c r="WYU3" s="354"/>
      <c r="WYV3" s="354"/>
      <c r="WYW3" s="354"/>
      <c r="WYX3" s="354"/>
      <c r="WYY3" s="354"/>
      <c r="WYZ3" s="354"/>
      <c r="WZA3" s="354"/>
      <c r="WZB3" s="354"/>
      <c r="WZC3" s="354"/>
      <c r="WZD3" s="354"/>
      <c r="WZE3" s="354"/>
      <c r="WZF3" s="354"/>
      <c r="WZG3" s="354"/>
      <c r="WZH3" s="354"/>
      <c r="WZI3" s="354"/>
      <c r="WZJ3" s="354"/>
      <c r="WZK3" s="354"/>
      <c r="WZL3" s="354"/>
      <c r="WZM3" s="354"/>
      <c r="WZN3" s="354"/>
      <c r="WZO3" s="354"/>
      <c r="WZP3" s="354"/>
      <c r="WZQ3" s="354"/>
      <c r="WZR3" s="354"/>
      <c r="WZS3" s="354"/>
      <c r="WZT3" s="354"/>
      <c r="WZU3" s="354"/>
      <c r="WZV3" s="354"/>
      <c r="WZW3" s="354"/>
      <c r="WZX3" s="354"/>
      <c r="WZY3" s="354"/>
      <c r="WZZ3" s="354"/>
      <c r="XAA3" s="354"/>
      <c r="XAB3" s="354"/>
      <c r="XAC3" s="354"/>
      <c r="XAD3" s="354"/>
      <c r="XAE3" s="354"/>
      <c r="XAF3" s="354"/>
      <c r="XAG3" s="354"/>
      <c r="XAH3" s="354"/>
      <c r="XAI3" s="354"/>
      <c r="XAJ3" s="354"/>
      <c r="XAK3" s="354"/>
      <c r="XAL3" s="354"/>
      <c r="XAM3" s="354"/>
      <c r="XAN3" s="354"/>
      <c r="XAO3" s="354"/>
      <c r="XAP3" s="354"/>
      <c r="XAQ3" s="354"/>
      <c r="XAR3" s="354"/>
      <c r="XAS3" s="354"/>
      <c r="XAT3" s="354"/>
      <c r="XAU3" s="354"/>
      <c r="XAV3" s="354"/>
      <c r="XAW3" s="354"/>
      <c r="XAX3" s="354"/>
      <c r="XAY3" s="354"/>
      <c r="XAZ3" s="354"/>
      <c r="XBA3" s="354"/>
      <c r="XBB3" s="354"/>
      <c r="XBC3" s="354"/>
      <c r="XBD3" s="354"/>
      <c r="XBE3" s="354"/>
      <c r="XBF3" s="354"/>
      <c r="XBG3" s="354"/>
      <c r="XBH3" s="354"/>
      <c r="XBI3" s="354"/>
      <c r="XBJ3" s="354"/>
      <c r="XBK3" s="354"/>
      <c r="XBL3" s="354"/>
      <c r="XBM3" s="354"/>
      <c r="XBN3" s="354"/>
      <c r="XBO3" s="354"/>
      <c r="XBP3" s="354"/>
      <c r="XBQ3" s="354"/>
      <c r="XBR3" s="354"/>
      <c r="XBS3" s="354"/>
      <c r="XBT3" s="354"/>
      <c r="XBU3" s="354"/>
      <c r="XBV3" s="354"/>
      <c r="XBW3" s="354"/>
      <c r="XBX3" s="354"/>
      <c r="XBY3" s="354"/>
      <c r="XBZ3" s="354"/>
      <c r="XCA3" s="354"/>
      <c r="XCB3" s="354"/>
      <c r="XCC3" s="354"/>
      <c r="XCD3" s="354"/>
      <c r="XCE3" s="354"/>
      <c r="XCF3" s="354"/>
      <c r="XCG3" s="354"/>
      <c r="XCH3" s="354"/>
      <c r="XCI3" s="354"/>
      <c r="XCJ3" s="354"/>
      <c r="XCK3" s="354"/>
      <c r="XCL3" s="354"/>
      <c r="XCM3" s="354"/>
      <c r="XCN3" s="354"/>
      <c r="XCO3" s="354"/>
      <c r="XCP3" s="354"/>
      <c r="XCQ3" s="354"/>
      <c r="XCR3" s="354"/>
      <c r="XCS3" s="354"/>
      <c r="XCT3" s="354"/>
      <c r="XCU3" s="354"/>
      <c r="XCV3" s="354"/>
      <c r="XCW3" s="354"/>
      <c r="XCX3" s="354"/>
      <c r="XCY3" s="354"/>
      <c r="XCZ3" s="354"/>
      <c r="XDA3" s="354"/>
      <c r="XDB3" s="354"/>
      <c r="XDC3" s="354"/>
      <c r="XDD3" s="354"/>
      <c r="XDE3" s="354"/>
      <c r="XDF3" s="354"/>
      <c r="XDG3" s="354"/>
      <c r="XDH3" s="354"/>
      <c r="XDI3" s="354"/>
      <c r="XDJ3" s="354"/>
      <c r="XDK3" s="354"/>
      <c r="XDL3" s="354"/>
      <c r="XDM3" s="354"/>
      <c r="XDN3" s="354"/>
      <c r="XDO3" s="354"/>
      <c r="XDP3" s="354"/>
      <c r="XDQ3" s="354"/>
      <c r="XDR3" s="354"/>
      <c r="XDS3" s="354"/>
      <c r="XDT3" s="354"/>
      <c r="XDU3" s="354"/>
      <c r="XDV3" s="354"/>
      <c r="XDW3" s="354"/>
      <c r="XDX3" s="354"/>
      <c r="XDY3" s="354"/>
      <c r="XDZ3" s="354"/>
      <c r="XEA3" s="354"/>
      <c r="XEB3" s="354"/>
      <c r="XEC3" s="354"/>
      <c r="XED3" s="354"/>
      <c r="XEE3" s="354"/>
      <c r="XEF3" s="354"/>
      <c r="XEG3" s="354"/>
      <c r="XEH3" s="354"/>
      <c r="XEI3" s="354"/>
      <c r="XEJ3" s="354"/>
      <c r="XEK3" s="354"/>
      <c r="XEL3" s="354"/>
      <c r="XEM3" s="354"/>
      <c r="XEN3" s="354"/>
      <c r="XEO3" s="354"/>
      <c r="XEP3" s="354"/>
      <c r="XEQ3" s="354"/>
      <c r="XER3" s="354"/>
      <c r="XES3" s="354"/>
      <c r="XET3" s="354"/>
      <c r="XEU3" s="354"/>
    </row>
    <row r="4" spans="1:16375" s="39" customFormat="1" x14ac:dyDescent="0.25">
      <c r="A4" s="270" t="s">
        <v>132</v>
      </c>
      <c r="B4" s="29"/>
      <c r="C4" s="40"/>
      <c r="D4" s="40"/>
      <c r="E4" s="29"/>
      <c r="F4" s="40"/>
      <c r="G4" s="29"/>
    </row>
    <row r="5" spans="1:16375" ht="15" customHeight="1" x14ac:dyDescent="0.25">
      <c r="A5" s="120" t="s">
        <v>247</v>
      </c>
      <c r="B5" s="120"/>
      <c r="C5" s="120"/>
      <c r="D5" s="120"/>
      <c r="E5" s="122"/>
      <c r="F5" s="123"/>
      <c r="G5" s="122"/>
      <c r="H5" s="47"/>
      <c r="I5" s="47"/>
      <c r="J5" s="47"/>
    </row>
    <row r="6" spans="1:16375" ht="15" customHeight="1" x14ac:dyDescent="0.25">
      <c r="A6" s="644" t="s">
        <v>248</v>
      </c>
      <c r="B6" s="644"/>
      <c r="C6" s="644"/>
      <c r="D6" s="644"/>
      <c r="E6" s="644"/>
      <c r="F6" s="644"/>
      <c r="G6" s="644"/>
    </row>
    <row r="7" spans="1:16375" x14ac:dyDescent="0.25">
      <c r="A7" s="26" t="s">
        <v>149</v>
      </c>
      <c r="B7" s="288"/>
      <c r="C7" s="286"/>
      <c r="D7" s="286"/>
      <c r="E7" s="288"/>
      <c r="F7" s="286"/>
      <c r="G7" s="288"/>
    </row>
    <row r="8" spans="1:16375" s="359" customFormat="1" ht="30" customHeight="1" x14ac:dyDescent="0.25">
      <c r="A8" s="639" t="s">
        <v>150</v>
      </c>
      <c r="B8" s="639"/>
      <c r="C8" s="639"/>
      <c r="D8" s="639"/>
      <c r="E8" s="639"/>
      <c r="F8" s="639"/>
      <c r="G8" s="639"/>
    </row>
    <row r="9" spans="1:16375" x14ac:dyDescent="0.25">
      <c r="A9" s="28"/>
      <c r="B9" s="1"/>
      <c r="C9" s="277"/>
      <c r="D9" s="277"/>
      <c r="E9" s="1"/>
      <c r="F9" s="277"/>
      <c r="G9" s="1"/>
    </row>
    <row r="10" spans="1:16375" s="39" customFormat="1" x14ac:dyDescent="0.25">
      <c r="A10" s="29" t="s">
        <v>249</v>
      </c>
      <c r="B10" s="29" t="s">
        <v>250</v>
      </c>
      <c r="C10" s="29" t="s">
        <v>251</v>
      </c>
      <c r="D10" s="29" t="s">
        <v>252</v>
      </c>
      <c r="E10" s="29" t="s">
        <v>253</v>
      </c>
      <c r="F10" s="29" t="s">
        <v>254</v>
      </c>
      <c r="G10" s="29" t="s">
        <v>255</v>
      </c>
    </row>
    <row r="11" spans="1:16375" ht="30" x14ac:dyDescent="0.25">
      <c r="A11" s="118" t="s">
        <v>51</v>
      </c>
      <c r="B11" s="119" t="s">
        <v>180</v>
      </c>
      <c r="C11" s="119" t="s">
        <v>61</v>
      </c>
      <c r="D11" s="46" t="s">
        <v>256</v>
      </c>
      <c r="E11" s="46" t="s">
        <v>257</v>
      </c>
      <c r="F11" s="46" t="s">
        <v>258</v>
      </c>
      <c r="G11" s="134" t="s">
        <v>259</v>
      </c>
      <c r="I11" s="348" t="s">
        <v>206</v>
      </c>
    </row>
    <row r="12" spans="1:16375" x14ac:dyDescent="0.25">
      <c r="A12" s="311"/>
      <c r="B12" s="312"/>
      <c r="C12" s="360"/>
      <c r="D12" s="343"/>
      <c r="E12" s="343"/>
      <c r="F12" s="344"/>
      <c r="G12" s="249">
        <f>IF(RX[[#This Row],[Total Pharmacy Rebate Amount]]=0,SUM(RX[[#This Row],[Medical Pharmacy Rebate Amount]:[Retail Pharmacy Rebate Amount]]),RX[[#This Row],[Total Pharmacy Rebate Amount]])</f>
        <v>0</v>
      </c>
      <c r="I12" s="39" t="str">
        <f>J12&amp;RX[[#This Row],[Insurer Code]]&amp;"; "&amp;K12&amp;RX[[#This Row],[Reporting Year]]&amp;"; "&amp;L12&amp;RX[[#This Row],[Insurance Category Code]]</f>
        <v xml:space="preserve">Insurer Code ; Reporting Year ; Insurance Category Code </v>
      </c>
      <c r="J12" s="345" t="s">
        <v>207</v>
      </c>
      <c r="K12" s="345" t="s">
        <v>208</v>
      </c>
      <c r="L12" s="345" t="s">
        <v>209</v>
      </c>
      <c r="M12" s="345"/>
      <c r="N12" s="345"/>
      <c r="O12" s="345"/>
    </row>
    <row r="13" spans="1:16375" x14ac:dyDescent="0.25">
      <c r="A13" s="311"/>
      <c r="B13" s="312"/>
      <c r="C13" s="360"/>
      <c r="D13" s="343"/>
      <c r="E13" s="343"/>
      <c r="F13" s="344"/>
      <c r="G13" s="249">
        <f>IF(RX[[#This Row],[Total Pharmacy Rebate Amount]]=0,SUM(RX[[#This Row],[Medical Pharmacy Rebate Amount]:[Retail Pharmacy Rebate Amount]]),RX[[#This Row],[Total Pharmacy Rebate Amount]])</f>
        <v>0</v>
      </c>
      <c r="I13" s="39" t="str">
        <f>J13&amp;RX[[#This Row],[Insurer Code]]&amp;"; "&amp;K13&amp;RX[[#This Row],[Reporting Year]]&amp;"; "&amp;L13&amp;RX[[#This Row],[Insurance Category Code]]</f>
        <v xml:space="preserve">Insurer Code ; Reporting Year ; Insurance Category Code </v>
      </c>
      <c r="J13" s="345" t="s">
        <v>207</v>
      </c>
      <c r="K13" s="345" t="s">
        <v>208</v>
      </c>
      <c r="L13" s="345" t="s">
        <v>209</v>
      </c>
      <c r="M13" s="345"/>
      <c r="N13" s="347"/>
      <c r="O13" s="347"/>
    </row>
    <row r="14" spans="1:16375" x14ac:dyDescent="0.25">
      <c r="A14" s="311"/>
      <c r="B14" s="312"/>
      <c r="C14" s="360"/>
      <c r="D14" s="343"/>
      <c r="E14" s="343"/>
      <c r="F14" s="344"/>
      <c r="G14" s="249">
        <f>IF(RX[[#This Row],[Total Pharmacy Rebate Amount]]=0,SUM(RX[[#This Row],[Medical Pharmacy Rebate Amount]:[Retail Pharmacy Rebate Amount]]),RX[[#This Row],[Total Pharmacy Rebate Amount]])</f>
        <v>0</v>
      </c>
      <c r="I14" s="39" t="str">
        <f>J14&amp;RX[[#This Row],[Insurer Code]]&amp;"; "&amp;K14&amp;RX[[#This Row],[Reporting Year]]&amp;"; "&amp;L14&amp;RX[[#This Row],[Insurance Category Code]]</f>
        <v xml:space="preserve">Insurer Code ; Reporting Year ; Insurance Category Code </v>
      </c>
      <c r="J14" s="345" t="s">
        <v>207</v>
      </c>
      <c r="K14" s="345" t="s">
        <v>208</v>
      </c>
      <c r="L14" s="345" t="s">
        <v>209</v>
      </c>
      <c r="M14" s="345"/>
      <c r="N14" s="347"/>
      <c r="O14" s="347"/>
    </row>
    <row r="15" spans="1:16375" x14ac:dyDescent="0.25">
      <c r="A15" s="311"/>
      <c r="B15" s="312"/>
      <c r="C15" s="360"/>
      <c r="D15" s="343"/>
      <c r="E15" s="343"/>
      <c r="F15" s="344"/>
      <c r="G15" s="249">
        <f>IF(RX[[#This Row],[Total Pharmacy Rebate Amount]]=0,SUM(RX[[#This Row],[Medical Pharmacy Rebate Amount]:[Retail Pharmacy Rebate Amount]]),RX[[#This Row],[Total Pharmacy Rebate Amount]])</f>
        <v>0</v>
      </c>
      <c r="I15" s="39" t="str">
        <f>J15&amp;RX[[#This Row],[Insurer Code]]&amp;"; "&amp;K15&amp;RX[[#This Row],[Reporting Year]]&amp;"; "&amp;L15&amp;RX[[#This Row],[Insurance Category Code]]</f>
        <v xml:space="preserve">Insurer Code ; Reporting Year ; Insurance Category Code </v>
      </c>
      <c r="J15" s="345" t="s">
        <v>207</v>
      </c>
      <c r="K15" s="345" t="s">
        <v>208</v>
      </c>
      <c r="L15" s="345" t="s">
        <v>209</v>
      </c>
      <c r="M15" s="345"/>
      <c r="N15" s="347"/>
      <c r="O15" s="347"/>
    </row>
    <row r="16" spans="1:16375" x14ac:dyDescent="0.25">
      <c r="A16" s="311"/>
      <c r="B16" s="312"/>
      <c r="C16" s="360"/>
      <c r="D16" s="343"/>
      <c r="E16" s="343"/>
      <c r="F16" s="344"/>
      <c r="G16" s="249">
        <f>IF(RX[[#This Row],[Total Pharmacy Rebate Amount]]=0,SUM(RX[[#This Row],[Medical Pharmacy Rebate Amount]:[Retail Pharmacy Rebate Amount]]),RX[[#This Row],[Total Pharmacy Rebate Amount]])</f>
        <v>0</v>
      </c>
      <c r="I16" s="39" t="str">
        <f>J16&amp;RX[[#This Row],[Insurer Code]]&amp;"; "&amp;K16&amp;RX[[#This Row],[Reporting Year]]&amp;"; "&amp;L16&amp;RX[[#This Row],[Insurance Category Code]]</f>
        <v xml:space="preserve">Insurer Code ; Reporting Year ; Insurance Category Code </v>
      </c>
      <c r="J16" s="345" t="s">
        <v>207</v>
      </c>
      <c r="K16" s="345" t="s">
        <v>208</v>
      </c>
      <c r="L16" s="345" t="s">
        <v>209</v>
      </c>
      <c r="M16" s="345"/>
      <c r="N16" s="347"/>
      <c r="O16" s="347"/>
    </row>
    <row r="17" spans="1:15" x14ac:dyDescent="0.25">
      <c r="A17" s="311"/>
      <c r="B17" s="312"/>
      <c r="C17" s="360"/>
      <c r="D17" s="343"/>
      <c r="E17" s="343"/>
      <c r="F17" s="344"/>
      <c r="G17" s="249">
        <f>IF(RX[[#This Row],[Total Pharmacy Rebate Amount]]=0,SUM(RX[[#This Row],[Medical Pharmacy Rebate Amount]:[Retail Pharmacy Rebate Amount]]),RX[[#This Row],[Total Pharmacy Rebate Amount]])</f>
        <v>0</v>
      </c>
      <c r="I17" s="39" t="str">
        <f>J17&amp;RX[[#This Row],[Insurer Code]]&amp;"; "&amp;K17&amp;RX[[#This Row],[Reporting Year]]&amp;"; "&amp;L17&amp;RX[[#This Row],[Insurance Category Code]]</f>
        <v xml:space="preserve">Insurer Code ; Reporting Year ; Insurance Category Code </v>
      </c>
      <c r="J17" s="345" t="s">
        <v>207</v>
      </c>
      <c r="K17" s="345" t="s">
        <v>208</v>
      </c>
      <c r="L17" s="345" t="s">
        <v>209</v>
      </c>
      <c r="M17" s="345"/>
      <c r="N17" s="347"/>
      <c r="O17" s="347"/>
    </row>
    <row r="18" spans="1:15" x14ac:dyDescent="0.25">
      <c r="A18" s="311"/>
      <c r="B18" s="312"/>
      <c r="C18" s="360"/>
      <c r="D18" s="343"/>
      <c r="E18" s="343"/>
      <c r="F18" s="344"/>
      <c r="G18" s="249">
        <f>IF(RX[[#This Row],[Total Pharmacy Rebate Amount]]=0,SUM(RX[[#This Row],[Medical Pharmacy Rebate Amount]:[Retail Pharmacy Rebate Amount]]),RX[[#This Row],[Total Pharmacy Rebate Amount]])</f>
        <v>0</v>
      </c>
      <c r="I18" s="39" t="str">
        <f>J18&amp;RX[[#This Row],[Insurer Code]]&amp;"; "&amp;K18&amp;RX[[#This Row],[Reporting Year]]&amp;"; "&amp;L18&amp;RX[[#This Row],[Insurance Category Code]]</f>
        <v xml:space="preserve">Insurer Code ; Reporting Year ; Insurance Category Code </v>
      </c>
      <c r="J18" s="345" t="s">
        <v>207</v>
      </c>
      <c r="K18" s="345" t="s">
        <v>208</v>
      </c>
      <c r="L18" s="345" t="s">
        <v>209</v>
      </c>
      <c r="M18" s="345"/>
      <c r="N18" s="347"/>
      <c r="O18" s="347"/>
    </row>
    <row r="19" spans="1:15" x14ac:dyDescent="0.25">
      <c r="A19" s="311"/>
      <c r="B19" s="312"/>
      <c r="C19" s="360"/>
      <c r="D19" s="343"/>
      <c r="E19" s="343"/>
      <c r="F19" s="344"/>
      <c r="G19" s="249">
        <f>IF(RX[[#This Row],[Total Pharmacy Rebate Amount]]=0,SUM(RX[[#This Row],[Medical Pharmacy Rebate Amount]:[Retail Pharmacy Rebate Amount]]),RX[[#This Row],[Total Pharmacy Rebate Amount]])</f>
        <v>0</v>
      </c>
      <c r="I19" s="39" t="str">
        <f>J19&amp;RX[[#This Row],[Insurer Code]]&amp;"; "&amp;K19&amp;RX[[#This Row],[Reporting Year]]&amp;"; "&amp;L19&amp;RX[[#This Row],[Insurance Category Code]]</f>
        <v xml:space="preserve">Insurer Code ; Reporting Year ; Insurance Category Code </v>
      </c>
      <c r="J19" s="345" t="s">
        <v>207</v>
      </c>
      <c r="K19" s="345" t="s">
        <v>208</v>
      </c>
      <c r="L19" s="345" t="s">
        <v>209</v>
      </c>
      <c r="M19" s="345"/>
      <c r="N19" s="347"/>
      <c r="O19" s="347"/>
    </row>
    <row r="20" spans="1:15" x14ac:dyDescent="0.25">
      <c r="A20" s="311"/>
      <c r="B20" s="312"/>
      <c r="C20" s="360"/>
      <c r="D20" s="343"/>
      <c r="E20" s="343"/>
      <c r="F20" s="344"/>
      <c r="G20" s="249">
        <f>IF(RX[[#This Row],[Total Pharmacy Rebate Amount]]=0,SUM(RX[[#This Row],[Medical Pharmacy Rebate Amount]:[Retail Pharmacy Rebate Amount]]),RX[[#This Row],[Total Pharmacy Rebate Amount]])</f>
        <v>0</v>
      </c>
      <c r="I20" s="39" t="str">
        <f>J20&amp;RX[[#This Row],[Insurer Code]]&amp;"; "&amp;K20&amp;RX[[#This Row],[Reporting Year]]&amp;"; "&amp;L20&amp;RX[[#This Row],[Insurance Category Code]]</f>
        <v xml:space="preserve">Insurer Code ; Reporting Year ; Insurance Category Code </v>
      </c>
      <c r="J20" s="345" t="s">
        <v>207</v>
      </c>
      <c r="K20" s="345" t="s">
        <v>208</v>
      </c>
      <c r="L20" s="345" t="s">
        <v>209</v>
      </c>
      <c r="M20" s="345"/>
      <c r="N20" s="347"/>
      <c r="O20" s="347"/>
    </row>
    <row r="21" spans="1:15" x14ac:dyDescent="0.25">
      <c r="A21" s="311"/>
      <c r="B21" s="312"/>
      <c r="C21" s="360"/>
      <c r="D21" s="343"/>
      <c r="E21" s="343"/>
      <c r="F21" s="344"/>
      <c r="G21" s="249">
        <f>IF(RX[[#This Row],[Total Pharmacy Rebate Amount]]=0,SUM(RX[[#This Row],[Medical Pharmacy Rebate Amount]:[Retail Pharmacy Rebate Amount]]),RX[[#This Row],[Total Pharmacy Rebate Amount]])</f>
        <v>0</v>
      </c>
      <c r="I21" s="39" t="str">
        <f>J21&amp;RX[[#This Row],[Insurer Code]]&amp;"; "&amp;K21&amp;RX[[#This Row],[Reporting Year]]&amp;"; "&amp;L21&amp;RX[[#This Row],[Insurance Category Code]]</f>
        <v xml:space="preserve">Insurer Code ; Reporting Year ; Insurance Category Code </v>
      </c>
      <c r="J21" s="345" t="s">
        <v>207</v>
      </c>
      <c r="K21" s="345" t="s">
        <v>208</v>
      </c>
      <c r="L21" s="345" t="s">
        <v>209</v>
      </c>
      <c r="M21" s="345"/>
      <c r="N21" s="347"/>
      <c r="O21" s="347"/>
    </row>
    <row r="22" spans="1:15" x14ac:dyDescent="0.25">
      <c r="A22" s="311"/>
      <c r="B22" s="312"/>
      <c r="C22" s="360"/>
      <c r="D22" s="343"/>
      <c r="E22" s="343"/>
      <c r="F22" s="344"/>
      <c r="G22" s="249">
        <f>IF(RX[[#This Row],[Total Pharmacy Rebate Amount]]=0,SUM(RX[[#This Row],[Medical Pharmacy Rebate Amount]:[Retail Pharmacy Rebate Amount]]),RX[[#This Row],[Total Pharmacy Rebate Amount]])</f>
        <v>0</v>
      </c>
      <c r="I22" s="39" t="str">
        <f>J22&amp;RX[[#This Row],[Insurer Code]]&amp;"; "&amp;K22&amp;RX[[#This Row],[Reporting Year]]&amp;"; "&amp;L22&amp;RX[[#This Row],[Insurance Category Code]]</f>
        <v xml:space="preserve">Insurer Code ; Reporting Year ; Insurance Category Code </v>
      </c>
      <c r="J22" s="345" t="s">
        <v>207</v>
      </c>
      <c r="K22" s="345" t="s">
        <v>208</v>
      </c>
      <c r="L22" s="345" t="s">
        <v>209</v>
      </c>
      <c r="M22" s="345"/>
      <c r="N22" s="347"/>
      <c r="O22" s="347"/>
    </row>
    <row r="23" spans="1:15" x14ac:dyDescent="0.25">
      <c r="A23" s="311"/>
      <c r="B23" s="312"/>
      <c r="C23" s="360"/>
      <c r="D23" s="343"/>
      <c r="E23" s="343"/>
      <c r="F23" s="344"/>
      <c r="G23" s="249">
        <f>IF(RX[[#This Row],[Total Pharmacy Rebate Amount]]=0,SUM(RX[[#This Row],[Medical Pharmacy Rebate Amount]:[Retail Pharmacy Rebate Amount]]),RX[[#This Row],[Total Pharmacy Rebate Amount]])</f>
        <v>0</v>
      </c>
      <c r="I23" s="39" t="str">
        <f>J23&amp;RX[[#This Row],[Insurer Code]]&amp;"; "&amp;K23&amp;RX[[#This Row],[Reporting Year]]&amp;"; "&amp;L23&amp;RX[[#This Row],[Insurance Category Code]]</f>
        <v xml:space="preserve">Insurer Code ; Reporting Year ; Insurance Category Code </v>
      </c>
      <c r="J23" s="345" t="s">
        <v>207</v>
      </c>
      <c r="K23" s="345" t="s">
        <v>208</v>
      </c>
      <c r="L23" s="345" t="s">
        <v>209</v>
      </c>
      <c r="M23" s="345"/>
      <c r="N23" s="347"/>
      <c r="O23" s="347"/>
    </row>
    <row r="24" spans="1:15" x14ac:dyDescent="0.25">
      <c r="A24" s="311"/>
      <c r="B24" s="312"/>
      <c r="C24" s="360"/>
      <c r="D24" s="343"/>
      <c r="E24" s="343"/>
      <c r="F24" s="344"/>
      <c r="G24" s="249">
        <f>IF(RX[[#This Row],[Total Pharmacy Rebate Amount]]=0,SUM(RX[[#This Row],[Medical Pharmacy Rebate Amount]:[Retail Pharmacy Rebate Amount]]),RX[[#This Row],[Total Pharmacy Rebate Amount]])</f>
        <v>0</v>
      </c>
      <c r="I24" s="39" t="str">
        <f>J24&amp;RX[[#This Row],[Insurer Code]]&amp;"; "&amp;K24&amp;RX[[#This Row],[Reporting Year]]&amp;"; "&amp;L24&amp;RX[[#This Row],[Insurance Category Code]]</f>
        <v xml:space="preserve">Insurer Code ; Reporting Year ; Insurance Category Code </v>
      </c>
      <c r="J24" s="345" t="s">
        <v>207</v>
      </c>
      <c r="K24" s="345" t="s">
        <v>208</v>
      </c>
      <c r="L24" s="345" t="s">
        <v>209</v>
      </c>
      <c r="M24" s="345"/>
      <c r="N24" s="347"/>
      <c r="O24" s="347"/>
    </row>
    <row r="25" spans="1:15" x14ac:dyDescent="0.25">
      <c r="A25" s="311"/>
      <c r="B25" s="312"/>
      <c r="C25" s="360"/>
      <c r="D25" s="343"/>
      <c r="E25" s="343"/>
      <c r="F25" s="344"/>
      <c r="G25" s="249">
        <f>IF(RX[[#This Row],[Total Pharmacy Rebate Amount]]=0,SUM(RX[[#This Row],[Medical Pharmacy Rebate Amount]:[Retail Pharmacy Rebate Amount]]),RX[[#This Row],[Total Pharmacy Rebate Amount]])</f>
        <v>0</v>
      </c>
      <c r="I25" s="39" t="str">
        <f>J25&amp;RX[[#This Row],[Insurer Code]]&amp;"; "&amp;K25&amp;RX[[#This Row],[Reporting Year]]&amp;"; "&amp;L25&amp;RX[[#This Row],[Insurance Category Code]]</f>
        <v xml:space="preserve">Insurer Code ; Reporting Year ; Insurance Category Code </v>
      </c>
      <c r="J25" s="345" t="s">
        <v>207</v>
      </c>
      <c r="K25" s="345" t="s">
        <v>208</v>
      </c>
      <c r="L25" s="345" t="s">
        <v>209</v>
      </c>
      <c r="M25" s="345"/>
      <c r="N25" s="347"/>
      <c r="O25" s="347"/>
    </row>
    <row r="26" spans="1:15" x14ac:dyDescent="0.25">
      <c r="A26" s="311"/>
      <c r="B26" s="312"/>
      <c r="C26" s="360"/>
      <c r="D26" s="343"/>
      <c r="E26" s="343"/>
      <c r="F26" s="344"/>
      <c r="G26" s="249">
        <f>IF(RX[[#This Row],[Total Pharmacy Rebate Amount]]=0,SUM(RX[[#This Row],[Medical Pharmacy Rebate Amount]:[Retail Pharmacy Rebate Amount]]),RX[[#This Row],[Total Pharmacy Rebate Amount]])</f>
        <v>0</v>
      </c>
      <c r="I26" s="39" t="str">
        <f>J26&amp;RX[[#This Row],[Insurer Code]]&amp;"; "&amp;K26&amp;RX[[#This Row],[Reporting Year]]&amp;"; "&amp;L26&amp;RX[[#This Row],[Insurance Category Code]]</f>
        <v xml:space="preserve">Insurer Code ; Reporting Year ; Insurance Category Code </v>
      </c>
      <c r="J26" s="345" t="s">
        <v>207</v>
      </c>
      <c r="K26" s="345" t="s">
        <v>208</v>
      </c>
      <c r="L26" s="345" t="s">
        <v>209</v>
      </c>
      <c r="M26" s="345"/>
      <c r="N26" s="347"/>
      <c r="O26" s="347"/>
    </row>
    <row r="27" spans="1:15" x14ac:dyDescent="0.25">
      <c r="A27" s="311"/>
      <c r="B27" s="312"/>
      <c r="C27" s="360"/>
      <c r="D27" s="343"/>
      <c r="E27" s="343"/>
      <c r="F27" s="344"/>
      <c r="G27" s="249">
        <f>IF(RX[[#This Row],[Total Pharmacy Rebate Amount]]=0,SUM(RX[[#This Row],[Medical Pharmacy Rebate Amount]:[Retail Pharmacy Rebate Amount]]),RX[[#This Row],[Total Pharmacy Rebate Amount]])</f>
        <v>0</v>
      </c>
      <c r="I27" s="39" t="str">
        <f>J27&amp;RX[[#This Row],[Insurer Code]]&amp;"; "&amp;K27&amp;RX[[#This Row],[Reporting Year]]&amp;"; "&amp;L27&amp;RX[[#This Row],[Insurance Category Code]]</f>
        <v xml:space="preserve">Insurer Code ; Reporting Year ; Insurance Category Code </v>
      </c>
      <c r="J27" s="345" t="s">
        <v>207</v>
      </c>
      <c r="K27" s="345" t="s">
        <v>208</v>
      </c>
      <c r="L27" s="345" t="s">
        <v>209</v>
      </c>
      <c r="M27" s="345"/>
      <c r="N27" s="347"/>
      <c r="O27" s="347"/>
    </row>
    <row r="28" spans="1:15" x14ac:dyDescent="0.25">
      <c r="A28" s="311"/>
      <c r="B28" s="312"/>
      <c r="C28" s="467"/>
      <c r="D28" s="337"/>
      <c r="E28" s="337"/>
      <c r="F28" s="344"/>
      <c r="G28" s="249">
        <f>IF(RX[[#This Row],[Total Pharmacy Rebate Amount]]=0,SUM(RX[[#This Row],[Medical Pharmacy Rebate Amount]:[Retail Pharmacy Rebate Amount]]),RX[[#This Row],[Total Pharmacy Rebate Amount]])</f>
        <v>0</v>
      </c>
      <c r="I28" s="39" t="str">
        <f>J28&amp;RX[[#This Row],[Insurer Code]]&amp;"; "&amp;K28&amp;RX[[#This Row],[Reporting Year]]&amp;"; "&amp;L28&amp;RX[[#This Row],[Insurance Category Code]]</f>
        <v xml:space="preserve">Insurer Code ; Reporting Year ; Insurance Category Code </v>
      </c>
      <c r="J28" s="345" t="s">
        <v>207</v>
      </c>
      <c r="K28" s="345" t="s">
        <v>208</v>
      </c>
      <c r="L28" s="345" t="s">
        <v>209</v>
      </c>
      <c r="M28" s="345"/>
      <c r="N28" s="347"/>
      <c r="O28" s="347"/>
    </row>
    <row r="29" spans="1:15" x14ac:dyDescent="0.25">
      <c r="A29" s="311"/>
      <c r="B29" s="312"/>
      <c r="C29" s="467"/>
      <c r="D29" s="337"/>
      <c r="E29" s="337"/>
      <c r="F29" s="344"/>
      <c r="G29" s="249">
        <f>IF(RX[[#This Row],[Total Pharmacy Rebate Amount]]=0,SUM(RX[[#This Row],[Medical Pharmacy Rebate Amount]:[Retail Pharmacy Rebate Amount]]),RX[[#This Row],[Total Pharmacy Rebate Amount]])</f>
        <v>0</v>
      </c>
      <c r="I29" s="39" t="str">
        <f>J29&amp;RX[[#This Row],[Insurer Code]]&amp;"; "&amp;K29&amp;RX[[#This Row],[Reporting Year]]&amp;"; "&amp;L29&amp;RX[[#This Row],[Insurance Category Code]]</f>
        <v xml:space="preserve">Insurer Code ; Reporting Year ; Insurance Category Code </v>
      </c>
      <c r="J29" s="345" t="s">
        <v>207</v>
      </c>
      <c r="K29" s="345" t="s">
        <v>208</v>
      </c>
      <c r="L29" s="345" t="s">
        <v>209</v>
      </c>
      <c r="M29" s="345"/>
      <c r="N29" s="347"/>
      <c r="O29" s="347"/>
    </row>
    <row r="30" spans="1:15" x14ac:dyDescent="0.25">
      <c r="A30" s="311"/>
      <c r="B30" s="312"/>
      <c r="C30" s="467"/>
      <c r="D30" s="337"/>
      <c r="E30" s="337"/>
      <c r="F30" s="344"/>
      <c r="G30" s="249">
        <f>IF(RX[[#This Row],[Total Pharmacy Rebate Amount]]=0,SUM(RX[[#This Row],[Medical Pharmacy Rebate Amount]:[Retail Pharmacy Rebate Amount]]),RX[[#This Row],[Total Pharmacy Rebate Amount]])</f>
        <v>0</v>
      </c>
      <c r="I30" s="39" t="str">
        <f>J30&amp;RX[[#This Row],[Insurer Code]]&amp;"; "&amp;K30&amp;RX[[#This Row],[Reporting Year]]&amp;"; "&amp;L30&amp;RX[[#This Row],[Insurance Category Code]]</f>
        <v xml:space="preserve">Insurer Code ; Reporting Year ; Insurance Category Code </v>
      </c>
      <c r="J30" s="345" t="s">
        <v>207</v>
      </c>
      <c r="K30" s="345" t="s">
        <v>208</v>
      </c>
      <c r="L30" s="345" t="s">
        <v>209</v>
      </c>
      <c r="M30" s="345"/>
      <c r="N30" s="347"/>
      <c r="O30" s="347"/>
    </row>
    <row r="31" spans="1:15" x14ac:dyDescent="0.25">
      <c r="A31" s="311"/>
      <c r="B31" s="312"/>
      <c r="C31" s="467"/>
      <c r="D31" s="337"/>
      <c r="E31" s="337"/>
      <c r="F31" s="344"/>
      <c r="G31" s="249">
        <f>IF(RX[[#This Row],[Total Pharmacy Rebate Amount]]=0,SUM(RX[[#This Row],[Medical Pharmacy Rebate Amount]:[Retail Pharmacy Rebate Amount]]),RX[[#This Row],[Total Pharmacy Rebate Amount]])</f>
        <v>0</v>
      </c>
      <c r="I31" s="39" t="str">
        <f>J31&amp;RX[[#This Row],[Insurer Code]]&amp;"; "&amp;K31&amp;RX[[#This Row],[Reporting Year]]&amp;"; "&amp;L31&amp;RX[[#This Row],[Insurance Category Code]]</f>
        <v xml:space="preserve">Insurer Code ; Reporting Year ; Insurance Category Code </v>
      </c>
      <c r="J31" s="345" t="s">
        <v>207</v>
      </c>
      <c r="K31" s="345" t="s">
        <v>208</v>
      </c>
      <c r="L31" s="345" t="s">
        <v>209</v>
      </c>
      <c r="M31" s="345"/>
      <c r="N31" s="347"/>
      <c r="O31" s="347"/>
    </row>
    <row r="32" spans="1:15" x14ac:dyDescent="0.25">
      <c r="A32" s="311"/>
      <c r="B32" s="312"/>
      <c r="C32" s="467"/>
      <c r="D32" s="337"/>
      <c r="E32" s="337"/>
      <c r="F32" s="344"/>
      <c r="G32" s="249">
        <f>IF(RX[[#This Row],[Total Pharmacy Rebate Amount]]=0,SUM(RX[[#This Row],[Medical Pharmacy Rebate Amount]:[Retail Pharmacy Rebate Amount]]),RX[[#This Row],[Total Pharmacy Rebate Amount]])</f>
        <v>0</v>
      </c>
      <c r="I32" s="39" t="str">
        <f>J32&amp;RX[[#This Row],[Insurer Code]]&amp;"; "&amp;K32&amp;RX[[#This Row],[Reporting Year]]&amp;"; "&amp;L32&amp;RX[[#This Row],[Insurance Category Code]]</f>
        <v xml:space="preserve">Insurer Code ; Reporting Year ; Insurance Category Code </v>
      </c>
      <c r="J32" s="345" t="s">
        <v>207</v>
      </c>
      <c r="K32" s="345" t="s">
        <v>208</v>
      </c>
      <c r="L32" s="345" t="s">
        <v>209</v>
      </c>
      <c r="M32" s="345"/>
      <c r="N32" s="347"/>
      <c r="O32" s="347"/>
    </row>
    <row r="33" spans="1:15" x14ac:dyDescent="0.25">
      <c r="A33" s="311"/>
      <c r="B33" s="312"/>
      <c r="C33" s="467"/>
      <c r="D33" s="337"/>
      <c r="E33" s="337"/>
      <c r="F33" s="344"/>
      <c r="G33" s="249">
        <f>IF(RX[[#This Row],[Total Pharmacy Rebate Amount]]=0,SUM(RX[[#This Row],[Medical Pharmacy Rebate Amount]:[Retail Pharmacy Rebate Amount]]),RX[[#This Row],[Total Pharmacy Rebate Amount]])</f>
        <v>0</v>
      </c>
      <c r="I33" s="39" t="str">
        <f>J33&amp;RX[[#This Row],[Insurer Code]]&amp;"; "&amp;K33&amp;RX[[#This Row],[Reporting Year]]&amp;"; "&amp;L33&amp;RX[[#This Row],[Insurance Category Code]]</f>
        <v xml:space="preserve">Insurer Code ; Reporting Year ; Insurance Category Code </v>
      </c>
      <c r="J33" s="345" t="s">
        <v>207</v>
      </c>
      <c r="K33" s="345" t="s">
        <v>208</v>
      </c>
      <c r="L33" s="345" t="s">
        <v>209</v>
      </c>
      <c r="M33" s="345"/>
      <c r="N33" s="347"/>
      <c r="O33" s="347"/>
    </row>
    <row r="34" spans="1:15" x14ac:dyDescent="0.25">
      <c r="A34" s="311"/>
      <c r="B34" s="312"/>
      <c r="C34" s="467"/>
      <c r="D34" s="337"/>
      <c r="E34" s="337"/>
      <c r="F34" s="344"/>
      <c r="G34" s="249">
        <f>IF(RX[[#This Row],[Total Pharmacy Rebate Amount]]=0,SUM(RX[[#This Row],[Medical Pharmacy Rebate Amount]:[Retail Pharmacy Rebate Amount]]),RX[[#This Row],[Total Pharmacy Rebate Amount]])</f>
        <v>0</v>
      </c>
      <c r="I34" s="39" t="str">
        <f>J34&amp;RX[[#This Row],[Insurer Code]]&amp;"; "&amp;K34&amp;RX[[#This Row],[Reporting Year]]&amp;"; "&amp;L34&amp;RX[[#This Row],[Insurance Category Code]]</f>
        <v xml:space="preserve">Insurer Code ; Reporting Year ; Insurance Category Code </v>
      </c>
      <c r="J34" s="345" t="s">
        <v>207</v>
      </c>
      <c r="K34" s="345" t="s">
        <v>208</v>
      </c>
      <c r="L34" s="345" t="s">
        <v>209</v>
      </c>
      <c r="M34" s="345"/>
      <c r="N34" s="347"/>
      <c r="O34" s="347"/>
    </row>
    <row r="35" spans="1:15" x14ac:dyDescent="0.25">
      <c r="A35" s="311"/>
      <c r="B35" s="312"/>
      <c r="C35" s="467"/>
      <c r="D35" s="337"/>
      <c r="E35" s="337"/>
      <c r="F35" s="344"/>
      <c r="G35" s="249">
        <f>IF(RX[[#This Row],[Total Pharmacy Rebate Amount]]=0,SUM(RX[[#This Row],[Medical Pharmacy Rebate Amount]:[Retail Pharmacy Rebate Amount]]),RX[[#This Row],[Total Pharmacy Rebate Amount]])</f>
        <v>0</v>
      </c>
      <c r="I35" s="39" t="str">
        <f>J35&amp;RX[[#This Row],[Insurer Code]]&amp;"; "&amp;K35&amp;RX[[#This Row],[Reporting Year]]&amp;"; "&amp;L35&amp;RX[[#This Row],[Insurance Category Code]]</f>
        <v xml:space="preserve">Insurer Code ; Reporting Year ; Insurance Category Code </v>
      </c>
      <c r="J35" s="345" t="s">
        <v>207</v>
      </c>
      <c r="K35" s="345" t="s">
        <v>208</v>
      </c>
      <c r="L35" s="345" t="s">
        <v>209</v>
      </c>
      <c r="M35" s="345"/>
      <c r="N35" s="347"/>
      <c r="O35" s="347"/>
    </row>
    <row r="42" spans="1:15" x14ac:dyDescent="0.25">
      <c r="F42" s="533"/>
    </row>
  </sheetData>
  <sheetProtection selectLockedCells="1"/>
  <mergeCells count="912">
    <mergeCell ref="XCP1:XDG1"/>
    <mergeCell ref="XDH1:XDY1"/>
    <mergeCell ref="XDZ1:XEQ1"/>
    <mergeCell ref="XER1:XEU1"/>
    <mergeCell ref="WYL1:WZC1"/>
    <mergeCell ref="WZD1:WZU1"/>
    <mergeCell ref="WZV1:XAM1"/>
    <mergeCell ref="XAN1:XBE1"/>
    <mergeCell ref="XBF1:XBW1"/>
    <mergeCell ref="XBX1:XCO1"/>
    <mergeCell ref="WUH1:WUY1"/>
    <mergeCell ref="WUZ1:WVQ1"/>
    <mergeCell ref="WVR1:WWI1"/>
    <mergeCell ref="WWJ1:WXA1"/>
    <mergeCell ref="WXB1:WXS1"/>
    <mergeCell ref="WXT1:WYK1"/>
    <mergeCell ref="WQD1:WQU1"/>
    <mergeCell ref="WQV1:WRM1"/>
    <mergeCell ref="WRN1:WSE1"/>
    <mergeCell ref="WSF1:WSW1"/>
    <mergeCell ref="WSX1:WTO1"/>
    <mergeCell ref="WTP1:WUG1"/>
    <mergeCell ref="WLZ1:WMQ1"/>
    <mergeCell ref="WMR1:WNI1"/>
    <mergeCell ref="WNJ1:WOA1"/>
    <mergeCell ref="WOB1:WOS1"/>
    <mergeCell ref="WOT1:WPK1"/>
    <mergeCell ref="WPL1:WQC1"/>
    <mergeCell ref="WHV1:WIM1"/>
    <mergeCell ref="WIN1:WJE1"/>
    <mergeCell ref="WJF1:WJW1"/>
    <mergeCell ref="WJX1:WKO1"/>
    <mergeCell ref="WKP1:WLG1"/>
    <mergeCell ref="WLH1:WLY1"/>
    <mergeCell ref="WDR1:WEI1"/>
    <mergeCell ref="WEJ1:WFA1"/>
    <mergeCell ref="WFB1:WFS1"/>
    <mergeCell ref="WFT1:WGK1"/>
    <mergeCell ref="WGL1:WHC1"/>
    <mergeCell ref="WHD1:WHU1"/>
    <mergeCell ref="VZN1:WAE1"/>
    <mergeCell ref="WAF1:WAW1"/>
    <mergeCell ref="WAX1:WBO1"/>
    <mergeCell ref="WBP1:WCG1"/>
    <mergeCell ref="WCH1:WCY1"/>
    <mergeCell ref="WCZ1:WDQ1"/>
    <mergeCell ref="VVJ1:VWA1"/>
    <mergeCell ref="VWB1:VWS1"/>
    <mergeCell ref="VWT1:VXK1"/>
    <mergeCell ref="VXL1:VYC1"/>
    <mergeCell ref="VYD1:VYU1"/>
    <mergeCell ref="VYV1:VZM1"/>
    <mergeCell ref="VRF1:VRW1"/>
    <mergeCell ref="VRX1:VSO1"/>
    <mergeCell ref="VSP1:VTG1"/>
    <mergeCell ref="VTH1:VTY1"/>
    <mergeCell ref="VTZ1:VUQ1"/>
    <mergeCell ref="VUR1:VVI1"/>
    <mergeCell ref="VNB1:VNS1"/>
    <mergeCell ref="VNT1:VOK1"/>
    <mergeCell ref="VOL1:VPC1"/>
    <mergeCell ref="VPD1:VPU1"/>
    <mergeCell ref="VPV1:VQM1"/>
    <mergeCell ref="VQN1:VRE1"/>
    <mergeCell ref="VIX1:VJO1"/>
    <mergeCell ref="VJP1:VKG1"/>
    <mergeCell ref="VKH1:VKY1"/>
    <mergeCell ref="VKZ1:VLQ1"/>
    <mergeCell ref="VLR1:VMI1"/>
    <mergeCell ref="VMJ1:VNA1"/>
    <mergeCell ref="VET1:VFK1"/>
    <mergeCell ref="VFL1:VGC1"/>
    <mergeCell ref="VGD1:VGU1"/>
    <mergeCell ref="VGV1:VHM1"/>
    <mergeCell ref="VHN1:VIE1"/>
    <mergeCell ref="VIF1:VIW1"/>
    <mergeCell ref="VAP1:VBG1"/>
    <mergeCell ref="VBH1:VBY1"/>
    <mergeCell ref="VBZ1:VCQ1"/>
    <mergeCell ref="VCR1:VDI1"/>
    <mergeCell ref="VDJ1:VEA1"/>
    <mergeCell ref="VEB1:VES1"/>
    <mergeCell ref="UWL1:UXC1"/>
    <mergeCell ref="UXD1:UXU1"/>
    <mergeCell ref="UXV1:UYM1"/>
    <mergeCell ref="UYN1:UZE1"/>
    <mergeCell ref="UZF1:UZW1"/>
    <mergeCell ref="UZX1:VAO1"/>
    <mergeCell ref="USH1:USY1"/>
    <mergeCell ref="USZ1:UTQ1"/>
    <mergeCell ref="UTR1:UUI1"/>
    <mergeCell ref="UUJ1:UVA1"/>
    <mergeCell ref="UVB1:UVS1"/>
    <mergeCell ref="UVT1:UWK1"/>
    <mergeCell ref="UOD1:UOU1"/>
    <mergeCell ref="UOV1:UPM1"/>
    <mergeCell ref="UPN1:UQE1"/>
    <mergeCell ref="UQF1:UQW1"/>
    <mergeCell ref="UQX1:URO1"/>
    <mergeCell ref="URP1:USG1"/>
    <mergeCell ref="UJZ1:UKQ1"/>
    <mergeCell ref="UKR1:ULI1"/>
    <mergeCell ref="ULJ1:UMA1"/>
    <mergeCell ref="UMB1:UMS1"/>
    <mergeCell ref="UMT1:UNK1"/>
    <mergeCell ref="UNL1:UOC1"/>
    <mergeCell ref="UFV1:UGM1"/>
    <mergeCell ref="UGN1:UHE1"/>
    <mergeCell ref="UHF1:UHW1"/>
    <mergeCell ref="UHX1:UIO1"/>
    <mergeCell ref="UIP1:UJG1"/>
    <mergeCell ref="UJH1:UJY1"/>
    <mergeCell ref="UBR1:UCI1"/>
    <mergeCell ref="UCJ1:UDA1"/>
    <mergeCell ref="UDB1:UDS1"/>
    <mergeCell ref="UDT1:UEK1"/>
    <mergeCell ref="UEL1:UFC1"/>
    <mergeCell ref="UFD1:UFU1"/>
    <mergeCell ref="TXN1:TYE1"/>
    <mergeCell ref="TYF1:TYW1"/>
    <mergeCell ref="TYX1:TZO1"/>
    <mergeCell ref="TZP1:UAG1"/>
    <mergeCell ref="UAH1:UAY1"/>
    <mergeCell ref="UAZ1:UBQ1"/>
    <mergeCell ref="TTJ1:TUA1"/>
    <mergeCell ref="TUB1:TUS1"/>
    <mergeCell ref="TUT1:TVK1"/>
    <mergeCell ref="TVL1:TWC1"/>
    <mergeCell ref="TWD1:TWU1"/>
    <mergeCell ref="TWV1:TXM1"/>
    <mergeCell ref="TPF1:TPW1"/>
    <mergeCell ref="TPX1:TQO1"/>
    <mergeCell ref="TQP1:TRG1"/>
    <mergeCell ref="TRH1:TRY1"/>
    <mergeCell ref="TRZ1:TSQ1"/>
    <mergeCell ref="TSR1:TTI1"/>
    <mergeCell ref="TLB1:TLS1"/>
    <mergeCell ref="TLT1:TMK1"/>
    <mergeCell ref="TML1:TNC1"/>
    <mergeCell ref="TND1:TNU1"/>
    <mergeCell ref="TNV1:TOM1"/>
    <mergeCell ref="TON1:TPE1"/>
    <mergeCell ref="TGX1:THO1"/>
    <mergeCell ref="THP1:TIG1"/>
    <mergeCell ref="TIH1:TIY1"/>
    <mergeCell ref="TIZ1:TJQ1"/>
    <mergeCell ref="TJR1:TKI1"/>
    <mergeCell ref="TKJ1:TLA1"/>
    <mergeCell ref="TCT1:TDK1"/>
    <mergeCell ref="TDL1:TEC1"/>
    <mergeCell ref="TED1:TEU1"/>
    <mergeCell ref="TEV1:TFM1"/>
    <mergeCell ref="TFN1:TGE1"/>
    <mergeCell ref="TGF1:TGW1"/>
    <mergeCell ref="SYP1:SZG1"/>
    <mergeCell ref="SZH1:SZY1"/>
    <mergeCell ref="SZZ1:TAQ1"/>
    <mergeCell ref="TAR1:TBI1"/>
    <mergeCell ref="TBJ1:TCA1"/>
    <mergeCell ref="TCB1:TCS1"/>
    <mergeCell ref="SUL1:SVC1"/>
    <mergeCell ref="SVD1:SVU1"/>
    <mergeCell ref="SVV1:SWM1"/>
    <mergeCell ref="SWN1:SXE1"/>
    <mergeCell ref="SXF1:SXW1"/>
    <mergeCell ref="SXX1:SYO1"/>
    <mergeCell ref="SQH1:SQY1"/>
    <mergeCell ref="SQZ1:SRQ1"/>
    <mergeCell ref="SRR1:SSI1"/>
    <mergeCell ref="SSJ1:STA1"/>
    <mergeCell ref="STB1:STS1"/>
    <mergeCell ref="STT1:SUK1"/>
    <mergeCell ref="SMD1:SMU1"/>
    <mergeCell ref="SMV1:SNM1"/>
    <mergeCell ref="SNN1:SOE1"/>
    <mergeCell ref="SOF1:SOW1"/>
    <mergeCell ref="SOX1:SPO1"/>
    <mergeCell ref="SPP1:SQG1"/>
    <mergeCell ref="SHZ1:SIQ1"/>
    <mergeCell ref="SIR1:SJI1"/>
    <mergeCell ref="SJJ1:SKA1"/>
    <mergeCell ref="SKB1:SKS1"/>
    <mergeCell ref="SKT1:SLK1"/>
    <mergeCell ref="SLL1:SMC1"/>
    <mergeCell ref="SDV1:SEM1"/>
    <mergeCell ref="SEN1:SFE1"/>
    <mergeCell ref="SFF1:SFW1"/>
    <mergeCell ref="SFX1:SGO1"/>
    <mergeCell ref="SGP1:SHG1"/>
    <mergeCell ref="SHH1:SHY1"/>
    <mergeCell ref="RZR1:SAI1"/>
    <mergeCell ref="SAJ1:SBA1"/>
    <mergeCell ref="SBB1:SBS1"/>
    <mergeCell ref="SBT1:SCK1"/>
    <mergeCell ref="SCL1:SDC1"/>
    <mergeCell ref="SDD1:SDU1"/>
    <mergeCell ref="RVN1:RWE1"/>
    <mergeCell ref="RWF1:RWW1"/>
    <mergeCell ref="RWX1:RXO1"/>
    <mergeCell ref="RXP1:RYG1"/>
    <mergeCell ref="RYH1:RYY1"/>
    <mergeCell ref="RYZ1:RZQ1"/>
    <mergeCell ref="RRJ1:RSA1"/>
    <mergeCell ref="RSB1:RSS1"/>
    <mergeCell ref="RST1:RTK1"/>
    <mergeCell ref="RTL1:RUC1"/>
    <mergeCell ref="RUD1:RUU1"/>
    <mergeCell ref="RUV1:RVM1"/>
    <mergeCell ref="RNF1:RNW1"/>
    <mergeCell ref="RNX1:ROO1"/>
    <mergeCell ref="ROP1:RPG1"/>
    <mergeCell ref="RPH1:RPY1"/>
    <mergeCell ref="RPZ1:RQQ1"/>
    <mergeCell ref="RQR1:RRI1"/>
    <mergeCell ref="RJB1:RJS1"/>
    <mergeCell ref="RJT1:RKK1"/>
    <mergeCell ref="RKL1:RLC1"/>
    <mergeCell ref="RLD1:RLU1"/>
    <mergeCell ref="RLV1:RMM1"/>
    <mergeCell ref="RMN1:RNE1"/>
    <mergeCell ref="REX1:RFO1"/>
    <mergeCell ref="RFP1:RGG1"/>
    <mergeCell ref="RGH1:RGY1"/>
    <mergeCell ref="RGZ1:RHQ1"/>
    <mergeCell ref="RHR1:RII1"/>
    <mergeCell ref="RIJ1:RJA1"/>
    <mergeCell ref="RAT1:RBK1"/>
    <mergeCell ref="RBL1:RCC1"/>
    <mergeCell ref="RCD1:RCU1"/>
    <mergeCell ref="RCV1:RDM1"/>
    <mergeCell ref="RDN1:REE1"/>
    <mergeCell ref="REF1:REW1"/>
    <mergeCell ref="QWP1:QXG1"/>
    <mergeCell ref="QXH1:QXY1"/>
    <mergeCell ref="QXZ1:QYQ1"/>
    <mergeCell ref="QYR1:QZI1"/>
    <mergeCell ref="QZJ1:RAA1"/>
    <mergeCell ref="RAB1:RAS1"/>
    <mergeCell ref="QSL1:QTC1"/>
    <mergeCell ref="QTD1:QTU1"/>
    <mergeCell ref="QTV1:QUM1"/>
    <mergeCell ref="QUN1:QVE1"/>
    <mergeCell ref="QVF1:QVW1"/>
    <mergeCell ref="QVX1:QWO1"/>
    <mergeCell ref="QOH1:QOY1"/>
    <mergeCell ref="QOZ1:QPQ1"/>
    <mergeCell ref="QPR1:QQI1"/>
    <mergeCell ref="QQJ1:QRA1"/>
    <mergeCell ref="QRB1:QRS1"/>
    <mergeCell ref="QRT1:QSK1"/>
    <mergeCell ref="QKD1:QKU1"/>
    <mergeCell ref="QKV1:QLM1"/>
    <mergeCell ref="QLN1:QME1"/>
    <mergeCell ref="QMF1:QMW1"/>
    <mergeCell ref="QMX1:QNO1"/>
    <mergeCell ref="QNP1:QOG1"/>
    <mergeCell ref="QFZ1:QGQ1"/>
    <mergeCell ref="QGR1:QHI1"/>
    <mergeCell ref="QHJ1:QIA1"/>
    <mergeCell ref="QIB1:QIS1"/>
    <mergeCell ref="QIT1:QJK1"/>
    <mergeCell ref="QJL1:QKC1"/>
    <mergeCell ref="QBV1:QCM1"/>
    <mergeCell ref="QCN1:QDE1"/>
    <mergeCell ref="QDF1:QDW1"/>
    <mergeCell ref="QDX1:QEO1"/>
    <mergeCell ref="QEP1:QFG1"/>
    <mergeCell ref="QFH1:QFY1"/>
    <mergeCell ref="PXR1:PYI1"/>
    <mergeCell ref="PYJ1:PZA1"/>
    <mergeCell ref="PZB1:PZS1"/>
    <mergeCell ref="PZT1:QAK1"/>
    <mergeCell ref="QAL1:QBC1"/>
    <mergeCell ref="QBD1:QBU1"/>
    <mergeCell ref="PTN1:PUE1"/>
    <mergeCell ref="PUF1:PUW1"/>
    <mergeCell ref="PUX1:PVO1"/>
    <mergeCell ref="PVP1:PWG1"/>
    <mergeCell ref="PWH1:PWY1"/>
    <mergeCell ref="PWZ1:PXQ1"/>
    <mergeCell ref="PPJ1:PQA1"/>
    <mergeCell ref="PQB1:PQS1"/>
    <mergeCell ref="PQT1:PRK1"/>
    <mergeCell ref="PRL1:PSC1"/>
    <mergeCell ref="PSD1:PSU1"/>
    <mergeCell ref="PSV1:PTM1"/>
    <mergeCell ref="PLF1:PLW1"/>
    <mergeCell ref="PLX1:PMO1"/>
    <mergeCell ref="PMP1:PNG1"/>
    <mergeCell ref="PNH1:PNY1"/>
    <mergeCell ref="PNZ1:POQ1"/>
    <mergeCell ref="POR1:PPI1"/>
    <mergeCell ref="PHB1:PHS1"/>
    <mergeCell ref="PHT1:PIK1"/>
    <mergeCell ref="PIL1:PJC1"/>
    <mergeCell ref="PJD1:PJU1"/>
    <mergeCell ref="PJV1:PKM1"/>
    <mergeCell ref="PKN1:PLE1"/>
    <mergeCell ref="PCX1:PDO1"/>
    <mergeCell ref="PDP1:PEG1"/>
    <mergeCell ref="PEH1:PEY1"/>
    <mergeCell ref="PEZ1:PFQ1"/>
    <mergeCell ref="PFR1:PGI1"/>
    <mergeCell ref="PGJ1:PHA1"/>
    <mergeCell ref="OYT1:OZK1"/>
    <mergeCell ref="OZL1:PAC1"/>
    <mergeCell ref="PAD1:PAU1"/>
    <mergeCell ref="PAV1:PBM1"/>
    <mergeCell ref="PBN1:PCE1"/>
    <mergeCell ref="PCF1:PCW1"/>
    <mergeCell ref="OUP1:OVG1"/>
    <mergeCell ref="OVH1:OVY1"/>
    <mergeCell ref="OVZ1:OWQ1"/>
    <mergeCell ref="OWR1:OXI1"/>
    <mergeCell ref="OXJ1:OYA1"/>
    <mergeCell ref="OYB1:OYS1"/>
    <mergeCell ref="OQL1:ORC1"/>
    <mergeCell ref="ORD1:ORU1"/>
    <mergeCell ref="ORV1:OSM1"/>
    <mergeCell ref="OSN1:OTE1"/>
    <mergeCell ref="OTF1:OTW1"/>
    <mergeCell ref="OTX1:OUO1"/>
    <mergeCell ref="OMH1:OMY1"/>
    <mergeCell ref="OMZ1:ONQ1"/>
    <mergeCell ref="ONR1:OOI1"/>
    <mergeCell ref="OOJ1:OPA1"/>
    <mergeCell ref="OPB1:OPS1"/>
    <mergeCell ref="OPT1:OQK1"/>
    <mergeCell ref="OID1:OIU1"/>
    <mergeCell ref="OIV1:OJM1"/>
    <mergeCell ref="OJN1:OKE1"/>
    <mergeCell ref="OKF1:OKW1"/>
    <mergeCell ref="OKX1:OLO1"/>
    <mergeCell ref="OLP1:OMG1"/>
    <mergeCell ref="ODZ1:OEQ1"/>
    <mergeCell ref="OER1:OFI1"/>
    <mergeCell ref="OFJ1:OGA1"/>
    <mergeCell ref="OGB1:OGS1"/>
    <mergeCell ref="OGT1:OHK1"/>
    <mergeCell ref="OHL1:OIC1"/>
    <mergeCell ref="NZV1:OAM1"/>
    <mergeCell ref="OAN1:OBE1"/>
    <mergeCell ref="OBF1:OBW1"/>
    <mergeCell ref="OBX1:OCO1"/>
    <mergeCell ref="OCP1:ODG1"/>
    <mergeCell ref="ODH1:ODY1"/>
    <mergeCell ref="NVR1:NWI1"/>
    <mergeCell ref="NWJ1:NXA1"/>
    <mergeCell ref="NXB1:NXS1"/>
    <mergeCell ref="NXT1:NYK1"/>
    <mergeCell ref="NYL1:NZC1"/>
    <mergeCell ref="NZD1:NZU1"/>
    <mergeCell ref="NRN1:NSE1"/>
    <mergeCell ref="NSF1:NSW1"/>
    <mergeCell ref="NSX1:NTO1"/>
    <mergeCell ref="NTP1:NUG1"/>
    <mergeCell ref="NUH1:NUY1"/>
    <mergeCell ref="NUZ1:NVQ1"/>
    <mergeCell ref="NNJ1:NOA1"/>
    <mergeCell ref="NOB1:NOS1"/>
    <mergeCell ref="NOT1:NPK1"/>
    <mergeCell ref="NPL1:NQC1"/>
    <mergeCell ref="NQD1:NQU1"/>
    <mergeCell ref="NQV1:NRM1"/>
    <mergeCell ref="NJF1:NJW1"/>
    <mergeCell ref="NJX1:NKO1"/>
    <mergeCell ref="NKP1:NLG1"/>
    <mergeCell ref="NLH1:NLY1"/>
    <mergeCell ref="NLZ1:NMQ1"/>
    <mergeCell ref="NMR1:NNI1"/>
    <mergeCell ref="NFB1:NFS1"/>
    <mergeCell ref="NFT1:NGK1"/>
    <mergeCell ref="NGL1:NHC1"/>
    <mergeCell ref="NHD1:NHU1"/>
    <mergeCell ref="NHV1:NIM1"/>
    <mergeCell ref="NIN1:NJE1"/>
    <mergeCell ref="NAX1:NBO1"/>
    <mergeCell ref="NBP1:NCG1"/>
    <mergeCell ref="NCH1:NCY1"/>
    <mergeCell ref="NCZ1:NDQ1"/>
    <mergeCell ref="NDR1:NEI1"/>
    <mergeCell ref="NEJ1:NFA1"/>
    <mergeCell ref="MWT1:MXK1"/>
    <mergeCell ref="MXL1:MYC1"/>
    <mergeCell ref="MYD1:MYU1"/>
    <mergeCell ref="MYV1:MZM1"/>
    <mergeCell ref="MZN1:NAE1"/>
    <mergeCell ref="NAF1:NAW1"/>
    <mergeCell ref="MSP1:MTG1"/>
    <mergeCell ref="MTH1:MTY1"/>
    <mergeCell ref="MTZ1:MUQ1"/>
    <mergeCell ref="MUR1:MVI1"/>
    <mergeCell ref="MVJ1:MWA1"/>
    <mergeCell ref="MWB1:MWS1"/>
    <mergeCell ref="MOL1:MPC1"/>
    <mergeCell ref="MPD1:MPU1"/>
    <mergeCell ref="MPV1:MQM1"/>
    <mergeCell ref="MQN1:MRE1"/>
    <mergeCell ref="MRF1:MRW1"/>
    <mergeCell ref="MRX1:MSO1"/>
    <mergeCell ref="MKH1:MKY1"/>
    <mergeCell ref="MKZ1:MLQ1"/>
    <mergeCell ref="MLR1:MMI1"/>
    <mergeCell ref="MMJ1:MNA1"/>
    <mergeCell ref="MNB1:MNS1"/>
    <mergeCell ref="MNT1:MOK1"/>
    <mergeCell ref="MGD1:MGU1"/>
    <mergeCell ref="MGV1:MHM1"/>
    <mergeCell ref="MHN1:MIE1"/>
    <mergeCell ref="MIF1:MIW1"/>
    <mergeCell ref="MIX1:MJO1"/>
    <mergeCell ref="MJP1:MKG1"/>
    <mergeCell ref="MBZ1:MCQ1"/>
    <mergeCell ref="MCR1:MDI1"/>
    <mergeCell ref="MDJ1:MEA1"/>
    <mergeCell ref="MEB1:MES1"/>
    <mergeCell ref="MET1:MFK1"/>
    <mergeCell ref="MFL1:MGC1"/>
    <mergeCell ref="LXV1:LYM1"/>
    <mergeCell ref="LYN1:LZE1"/>
    <mergeCell ref="LZF1:LZW1"/>
    <mergeCell ref="LZX1:MAO1"/>
    <mergeCell ref="MAP1:MBG1"/>
    <mergeCell ref="MBH1:MBY1"/>
    <mergeCell ref="LTR1:LUI1"/>
    <mergeCell ref="LUJ1:LVA1"/>
    <mergeCell ref="LVB1:LVS1"/>
    <mergeCell ref="LVT1:LWK1"/>
    <mergeCell ref="LWL1:LXC1"/>
    <mergeCell ref="LXD1:LXU1"/>
    <mergeCell ref="LPN1:LQE1"/>
    <mergeCell ref="LQF1:LQW1"/>
    <mergeCell ref="LQX1:LRO1"/>
    <mergeCell ref="LRP1:LSG1"/>
    <mergeCell ref="LSH1:LSY1"/>
    <mergeCell ref="LSZ1:LTQ1"/>
    <mergeCell ref="LLJ1:LMA1"/>
    <mergeCell ref="LMB1:LMS1"/>
    <mergeCell ref="LMT1:LNK1"/>
    <mergeCell ref="LNL1:LOC1"/>
    <mergeCell ref="LOD1:LOU1"/>
    <mergeCell ref="LOV1:LPM1"/>
    <mergeCell ref="LHF1:LHW1"/>
    <mergeCell ref="LHX1:LIO1"/>
    <mergeCell ref="LIP1:LJG1"/>
    <mergeCell ref="LJH1:LJY1"/>
    <mergeCell ref="LJZ1:LKQ1"/>
    <mergeCell ref="LKR1:LLI1"/>
    <mergeCell ref="LDB1:LDS1"/>
    <mergeCell ref="LDT1:LEK1"/>
    <mergeCell ref="LEL1:LFC1"/>
    <mergeCell ref="LFD1:LFU1"/>
    <mergeCell ref="LFV1:LGM1"/>
    <mergeCell ref="LGN1:LHE1"/>
    <mergeCell ref="KYX1:KZO1"/>
    <mergeCell ref="KZP1:LAG1"/>
    <mergeCell ref="LAH1:LAY1"/>
    <mergeCell ref="LAZ1:LBQ1"/>
    <mergeCell ref="LBR1:LCI1"/>
    <mergeCell ref="LCJ1:LDA1"/>
    <mergeCell ref="KUT1:KVK1"/>
    <mergeCell ref="KVL1:KWC1"/>
    <mergeCell ref="KWD1:KWU1"/>
    <mergeCell ref="KWV1:KXM1"/>
    <mergeCell ref="KXN1:KYE1"/>
    <mergeCell ref="KYF1:KYW1"/>
    <mergeCell ref="KQP1:KRG1"/>
    <mergeCell ref="KRH1:KRY1"/>
    <mergeCell ref="KRZ1:KSQ1"/>
    <mergeCell ref="KSR1:KTI1"/>
    <mergeCell ref="KTJ1:KUA1"/>
    <mergeCell ref="KUB1:KUS1"/>
    <mergeCell ref="KML1:KNC1"/>
    <mergeCell ref="KND1:KNU1"/>
    <mergeCell ref="KNV1:KOM1"/>
    <mergeCell ref="KON1:KPE1"/>
    <mergeCell ref="KPF1:KPW1"/>
    <mergeCell ref="KPX1:KQO1"/>
    <mergeCell ref="KIH1:KIY1"/>
    <mergeCell ref="KIZ1:KJQ1"/>
    <mergeCell ref="KJR1:KKI1"/>
    <mergeCell ref="KKJ1:KLA1"/>
    <mergeCell ref="KLB1:KLS1"/>
    <mergeCell ref="KLT1:KMK1"/>
    <mergeCell ref="KED1:KEU1"/>
    <mergeCell ref="KEV1:KFM1"/>
    <mergeCell ref="KFN1:KGE1"/>
    <mergeCell ref="KGF1:KGW1"/>
    <mergeCell ref="KGX1:KHO1"/>
    <mergeCell ref="KHP1:KIG1"/>
    <mergeCell ref="JZZ1:KAQ1"/>
    <mergeCell ref="KAR1:KBI1"/>
    <mergeCell ref="KBJ1:KCA1"/>
    <mergeCell ref="KCB1:KCS1"/>
    <mergeCell ref="KCT1:KDK1"/>
    <mergeCell ref="KDL1:KEC1"/>
    <mergeCell ref="JVV1:JWM1"/>
    <mergeCell ref="JWN1:JXE1"/>
    <mergeCell ref="JXF1:JXW1"/>
    <mergeCell ref="JXX1:JYO1"/>
    <mergeCell ref="JYP1:JZG1"/>
    <mergeCell ref="JZH1:JZY1"/>
    <mergeCell ref="JRR1:JSI1"/>
    <mergeCell ref="JSJ1:JTA1"/>
    <mergeCell ref="JTB1:JTS1"/>
    <mergeCell ref="JTT1:JUK1"/>
    <mergeCell ref="JUL1:JVC1"/>
    <mergeCell ref="JVD1:JVU1"/>
    <mergeCell ref="JNN1:JOE1"/>
    <mergeCell ref="JOF1:JOW1"/>
    <mergeCell ref="JOX1:JPO1"/>
    <mergeCell ref="JPP1:JQG1"/>
    <mergeCell ref="JQH1:JQY1"/>
    <mergeCell ref="JQZ1:JRQ1"/>
    <mergeCell ref="JJJ1:JKA1"/>
    <mergeCell ref="JKB1:JKS1"/>
    <mergeCell ref="JKT1:JLK1"/>
    <mergeCell ref="JLL1:JMC1"/>
    <mergeCell ref="JMD1:JMU1"/>
    <mergeCell ref="JMV1:JNM1"/>
    <mergeCell ref="JFF1:JFW1"/>
    <mergeCell ref="JFX1:JGO1"/>
    <mergeCell ref="JGP1:JHG1"/>
    <mergeCell ref="JHH1:JHY1"/>
    <mergeCell ref="JHZ1:JIQ1"/>
    <mergeCell ref="JIR1:JJI1"/>
    <mergeCell ref="JBB1:JBS1"/>
    <mergeCell ref="JBT1:JCK1"/>
    <mergeCell ref="JCL1:JDC1"/>
    <mergeCell ref="JDD1:JDU1"/>
    <mergeCell ref="JDV1:JEM1"/>
    <mergeCell ref="JEN1:JFE1"/>
    <mergeCell ref="IWX1:IXO1"/>
    <mergeCell ref="IXP1:IYG1"/>
    <mergeCell ref="IYH1:IYY1"/>
    <mergeCell ref="IYZ1:IZQ1"/>
    <mergeCell ref="IZR1:JAI1"/>
    <mergeCell ref="JAJ1:JBA1"/>
    <mergeCell ref="IST1:ITK1"/>
    <mergeCell ref="ITL1:IUC1"/>
    <mergeCell ref="IUD1:IUU1"/>
    <mergeCell ref="IUV1:IVM1"/>
    <mergeCell ref="IVN1:IWE1"/>
    <mergeCell ref="IWF1:IWW1"/>
    <mergeCell ref="IOP1:IPG1"/>
    <mergeCell ref="IPH1:IPY1"/>
    <mergeCell ref="IPZ1:IQQ1"/>
    <mergeCell ref="IQR1:IRI1"/>
    <mergeCell ref="IRJ1:ISA1"/>
    <mergeCell ref="ISB1:ISS1"/>
    <mergeCell ref="IKL1:ILC1"/>
    <mergeCell ref="ILD1:ILU1"/>
    <mergeCell ref="ILV1:IMM1"/>
    <mergeCell ref="IMN1:INE1"/>
    <mergeCell ref="INF1:INW1"/>
    <mergeCell ref="INX1:IOO1"/>
    <mergeCell ref="IGH1:IGY1"/>
    <mergeCell ref="IGZ1:IHQ1"/>
    <mergeCell ref="IHR1:III1"/>
    <mergeCell ref="IIJ1:IJA1"/>
    <mergeCell ref="IJB1:IJS1"/>
    <mergeCell ref="IJT1:IKK1"/>
    <mergeCell ref="ICD1:ICU1"/>
    <mergeCell ref="ICV1:IDM1"/>
    <mergeCell ref="IDN1:IEE1"/>
    <mergeCell ref="IEF1:IEW1"/>
    <mergeCell ref="IEX1:IFO1"/>
    <mergeCell ref="IFP1:IGG1"/>
    <mergeCell ref="HXZ1:HYQ1"/>
    <mergeCell ref="HYR1:HZI1"/>
    <mergeCell ref="HZJ1:IAA1"/>
    <mergeCell ref="IAB1:IAS1"/>
    <mergeCell ref="IAT1:IBK1"/>
    <mergeCell ref="IBL1:ICC1"/>
    <mergeCell ref="HTV1:HUM1"/>
    <mergeCell ref="HUN1:HVE1"/>
    <mergeCell ref="HVF1:HVW1"/>
    <mergeCell ref="HVX1:HWO1"/>
    <mergeCell ref="HWP1:HXG1"/>
    <mergeCell ref="HXH1:HXY1"/>
    <mergeCell ref="HPR1:HQI1"/>
    <mergeCell ref="HQJ1:HRA1"/>
    <mergeCell ref="HRB1:HRS1"/>
    <mergeCell ref="HRT1:HSK1"/>
    <mergeCell ref="HSL1:HTC1"/>
    <mergeCell ref="HTD1:HTU1"/>
    <mergeCell ref="HLN1:HME1"/>
    <mergeCell ref="HMF1:HMW1"/>
    <mergeCell ref="HMX1:HNO1"/>
    <mergeCell ref="HNP1:HOG1"/>
    <mergeCell ref="HOH1:HOY1"/>
    <mergeCell ref="HOZ1:HPQ1"/>
    <mergeCell ref="HHJ1:HIA1"/>
    <mergeCell ref="HIB1:HIS1"/>
    <mergeCell ref="HIT1:HJK1"/>
    <mergeCell ref="HJL1:HKC1"/>
    <mergeCell ref="HKD1:HKU1"/>
    <mergeCell ref="HKV1:HLM1"/>
    <mergeCell ref="HDF1:HDW1"/>
    <mergeCell ref="HDX1:HEO1"/>
    <mergeCell ref="HEP1:HFG1"/>
    <mergeCell ref="HFH1:HFY1"/>
    <mergeCell ref="HFZ1:HGQ1"/>
    <mergeCell ref="HGR1:HHI1"/>
    <mergeCell ref="GZB1:GZS1"/>
    <mergeCell ref="GZT1:HAK1"/>
    <mergeCell ref="HAL1:HBC1"/>
    <mergeCell ref="HBD1:HBU1"/>
    <mergeCell ref="HBV1:HCM1"/>
    <mergeCell ref="HCN1:HDE1"/>
    <mergeCell ref="GUX1:GVO1"/>
    <mergeCell ref="GVP1:GWG1"/>
    <mergeCell ref="GWH1:GWY1"/>
    <mergeCell ref="GWZ1:GXQ1"/>
    <mergeCell ref="GXR1:GYI1"/>
    <mergeCell ref="GYJ1:GZA1"/>
    <mergeCell ref="GQT1:GRK1"/>
    <mergeCell ref="GRL1:GSC1"/>
    <mergeCell ref="GSD1:GSU1"/>
    <mergeCell ref="GSV1:GTM1"/>
    <mergeCell ref="GTN1:GUE1"/>
    <mergeCell ref="GUF1:GUW1"/>
    <mergeCell ref="GMP1:GNG1"/>
    <mergeCell ref="GNH1:GNY1"/>
    <mergeCell ref="GNZ1:GOQ1"/>
    <mergeCell ref="GOR1:GPI1"/>
    <mergeCell ref="GPJ1:GQA1"/>
    <mergeCell ref="GQB1:GQS1"/>
    <mergeCell ref="GIL1:GJC1"/>
    <mergeCell ref="GJD1:GJU1"/>
    <mergeCell ref="GJV1:GKM1"/>
    <mergeCell ref="GKN1:GLE1"/>
    <mergeCell ref="GLF1:GLW1"/>
    <mergeCell ref="GLX1:GMO1"/>
    <mergeCell ref="GEH1:GEY1"/>
    <mergeCell ref="GEZ1:GFQ1"/>
    <mergeCell ref="GFR1:GGI1"/>
    <mergeCell ref="GGJ1:GHA1"/>
    <mergeCell ref="GHB1:GHS1"/>
    <mergeCell ref="GHT1:GIK1"/>
    <mergeCell ref="GAD1:GAU1"/>
    <mergeCell ref="GAV1:GBM1"/>
    <mergeCell ref="GBN1:GCE1"/>
    <mergeCell ref="GCF1:GCW1"/>
    <mergeCell ref="GCX1:GDO1"/>
    <mergeCell ref="GDP1:GEG1"/>
    <mergeCell ref="FVZ1:FWQ1"/>
    <mergeCell ref="FWR1:FXI1"/>
    <mergeCell ref="FXJ1:FYA1"/>
    <mergeCell ref="FYB1:FYS1"/>
    <mergeCell ref="FYT1:FZK1"/>
    <mergeCell ref="FZL1:GAC1"/>
    <mergeCell ref="FRV1:FSM1"/>
    <mergeCell ref="FSN1:FTE1"/>
    <mergeCell ref="FTF1:FTW1"/>
    <mergeCell ref="FTX1:FUO1"/>
    <mergeCell ref="FUP1:FVG1"/>
    <mergeCell ref="FVH1:FVY1"/>
    <mergeCell ref="FNR1:FOI1"/>
    <mergeCell ref="FOJ1:FPA1"/>
    <mergeCell ref="FPB1:FPS1"/>
    <mergeCell ref="FPT1:FQK1"/>
    <mergeCell ref="FQL1:FRC1"/>
    <mergeCell ref="FRD1:FRU1"/>
    <mergeCell ref="FJN1:FKE1"/>
    <mergeCell ref="FKF1:FKW1"/>
    <mergeCell ref="FKX1:FLO1"/>
    <mergeCell ref="FLP1:FMG1"/>
    <mergeCell ref="FMH1:FMY1"/>
    <mergeCell ref="FMZ1:FNQ1"/>
    <mergeCell ref="FFJ1:FGA1"/>
    <mergeCell ref="FGB1:FGS1"/>
    <mergeCell ref="FGT1:FHK1"/>
    <mergeCell ref="FHL1:FIC1"/>
    <mergeCell ref="FID1:FIU1"/>
    <mergeCell ref="FIV1:FJM1"/>
    <mergeCell ref="FBF1:FBW1"/>
    <mergeCell ref="FBX1:FCO1"/>
    <mergeCell ref="FCP1:FDG1"/>
    <mergeCell ref="FDH1:FDY1"/>
    <mergeCell ref="FDZ1:FEQ1"/>
    <mergeCell ref="FER1:FFI1"/>
    <mergeCell ref="EXB1:EXS1"/>
    <mergeCell ref="EXT1:EYK1"/>
    <mergeCell ref="EYL1:EZC1"/>
    <mergeCell ref="EZD1:EZU1"/>
    <mergeCell ref="EZV1:FAM1"/>
    <mergeCell ref="FAN1:FBE1"/>
    <mergeCell ref="ESX1:ETO1"/>
    <mergeCell ref="ETP1:EUG1"/>
    <mergeCell ref="EUH1:EUY1"/>
    <mergeCell ref="EUZ1:EVQ1"/>
    <mergeCell ref="EVR1:EWI1"/>
    <mergeCell ref="EWJ1:EXA1"/>
    <mergeCell ref="EOT1:EPK1"/>
    <mergeCell ref="EPL1:EQC1"/>
    <mergeCell ref="EQD1:EQU1"/>
    <mergeCell ref="EQV1:ERM1"/>
    <mergeCell ref="ERN1:ESE1"/>
    <mergeCell ref="ESF1:ESW1"/>
    <mergeCell ref="EKP1:ELG1"/>
    <mergeCell ref="ELH1:ELY1"/>
    <mergeCell ref="ELZ1:EMQ1"/>
    <mergeCell ref="EMR1:ENI1"/>
    <mergeCell ref="ENJ1:EOA1"/>
    <mergeCell ref="EOB1:EOS1"/>
    <mergeCell ref="EGL1:EHC1"/>
    <mergeCell ref="EHD1:EHU1"/>
    <mergeCell ref="EHV1:EIM1"/>
    <mergeCell ref="EIN1:EJE1"/>
    <mergeCell ref="EJF1:EJW1"/>
    <mergeCell ref="EJX1:EKO1"/>
    <mergeCell ref="ECH1:ECY1"/>
    <mergeCell ref="ECZ1:EDQ1"/>
    <mergeCell ref="EDR1:EEI1"/>
    <mergeCell ref="EEJ1:EFA1"/>
    <mergeCell ref="EFB1:EFS1"/>
    <mergeCell ref="EFT1:EGK1"/>
    <mergeCell ref="DYD1:DYU1"/>
    <mergeCell ref="DYV1:DZM1"/>
    <mergeCell ref="DZN1:EAE1"/>
    <mergeCell ref="EAF1:EAW1"/>
    <mergeCell ref="EAX1:EBO1"/>
    <mergeCell ref="EBP1:ECG1"/>
    <mergeCell ref="DTZ1:DUQ1"/>
    <mergeCell ref="DUR1:DVI1"/>
    <mergeCell ref="DVJ1:DWA1"/>
    <mergeCell ref="DWB1:DWS1"/>
    <mergeCell ref="DWT1:DXK1"/>
    <mergeCell ref="DXL1:DYC1"/>
    <mergeCell ref="DPV1:DQM1"/>
    <mergeCell ref="DQN1:DRE1"/>
    <mergeCell ref="DRF1:DRW1"/>
    <mergeCell ref="DRX1:DSO1"/>
    <mergeCell ref="DSP1:DTG1"/>
    <mergeCell ref="DTH1:DTY1"/>
    <mergeCell ref="DLR1:DMI1"/>
    <mergeCell ref="DMJ1:DNA1"/>
    <mergeCell ref="DNB1:DNS1"/>
    <mergeCell ref="DNT1:DOK1"/>
    <mergeCell ref="DOL1:DPC1"/>
    <mergeCell ref="DPD1:DPU1"/>
    <mergeCell ref="DHN1:DIE1"/>
    <mergeCell ref="DIF1:DIW1"/>
    <mergeCell ref="DIX1:DJO1"/>
    <mergeCell ref="DJP1:DKG1"/>
    <mergeCell ref="DKH1:DKY1"/>
    <mergeCell ref="DKZ1:DLQ1"/>
    <mergeCell ref="DDJ1:DEA1"/>
    <mergeCell ref="DEB1:DES1"/>
    <mergeCell ref="DET1:DFK1"/>
    <mergeCell ref="DFL1:DGC1"/>
    <mergeCell ref="DGD1:DGU1"/>
    <mergeCell ref="DGV1:DHM1"/>
    <mergeCell ref="CZF1:CZW1"/>
    <mergeCell ref="CZX1:DAO1"/>
    <mergeCell ref="DAP1:DBG1"/>
    <mergeCell ref="DBH1:DBY1"/>
    <mergeCell ref="DBZ1:DCQ1"/>
    <mergeCell ref="DCR1:DDI1"/>
    <mergeCell ref="CVB1:CVS1"/>
    <mergeCell ref="CVT1:CWK1"/>
    <mergeCell ref="CWL1:CXC1"/>
    <mergeCell ref="CXD1:CXU1"/>
    <mergeCell ref="CXV1:CYM1"/>
    <mergeCell ref="CYN1:CZE1"/>
    <mergeCell ref="CQX1:CRO1"/>
    <mergeCell ref="CRP1:CSG1"/>
    <mergeCell ref="CSH1:CSY1"/>
    <mergeCell ref="CSZ1:CTQ1"/>
    <mergeCell ref="CTR1:CUI1"/>
    <mergeCell ref="CUJ1:CVA1"/>
    <mergeCell ref="CMT1:CNK1"/>
    <mergeCell ref="CNL1:COC1"/>
    <mergeCell ref="COD1:COU1"/>
    <mergeCell ref="COV1:CPM1"/>
    <mergeCell ref="CPN1:CQE1"/>
    <mergeCell ref="CQF1:CQW1"/>
    <mergeCell ref="CIP1:CJG1"/>
    <mergeCell ref="CJH1:CJY1"/>
    <mergeCell ref="CJZ1:CKQ1"/>
    <mergeCell ref="CKR1:CLI1"/>
    <mergeCell ref="CLJ1:CMA1"/>
    <mergeCell ref="CMB1:CMS1"/>
    <mergeCell ref="CEL1:CFC1"/>
    <mergeCell ref="CFD1:CFU1"/>
    <mergeCell ref="CFV1:CGM1"/>
    <mergeCell ref="CGN1:CHE1"/>
    <mergeCell ref="CHF1:CHW1"/>
    <mergeCell ref="CHX1:CIO1"/>
    <mergeCell ref="CAH1:CAY1"/>
    <mergeCell ref="CAZ1:CBQ1"/>
    <mergeCell ref="CBR1:CCI1"/>
    <mergeCell ref="CCJ1:CDA1"/>
    <mergeCell ref="CDB1:CDS1"/>
    <mergeCell ref="CDT1:CEK1"/>
    <mergeCell ref="BWD1:BWU1"/>
    <mergeCell ref="BWV1:BXM1"/>
    <mergeCell ref="BXN1:BYE1"/>
    <mergeCell ref="BYF1:BYW1"/>
    <mergeCell ref="BYX1:BZO1"/>
    <mergeCell ref="BZP1:CAG1"/>
    <mergeCell ref="BRZ1:BSQ1"/>
    <mergeCell ref="BSR1:BTI1"/>
    <mergeCell ref="BTJ1:BUA1"/>
    <mergeCell ref="BUB1:BUS1"/>
    <mergeCell ref="BUT1:BVK1"/>
    <mergeCell ref="BVL1:BWC1"/>
    <mergeCell ref="BNV1:BOM1"/>
    <mergeCell ref="BON1:BPE1"/>
    <mergeCell ref="BPF1:BPW1"/>
    <mergeCell ref="BPX1:BQO1"/>
    <mergeCell ref="BQP1:BRG1"/>
    <mergeCell ref="BRH1:BRY1"/>
    <mergeCell ref="BJR1:BKI1"/>
    <mergeCell ref="BKJ1:BLA1"/>
    <mergeCell ref="BLB1:BLS1"/>
    <mergeCell ref="BLT1:BMK1"/>
    <mergeCell ref="BML1:BNC1"/>
    <mergeCell ref="BND1:BNU1"/>
    <mergeCell ref="BFN1:BGE1"/>
    <mergeCell ref="BGF1:BGW1"/>
    <mergeCell ref="BGX1:BHO1"/>
    <mergeCell ref="BHP1:BIG1"/>
    <mergeCell ref="BIH1:BIY1"/>
    <mergeCell ref="BIZ1:BJQ1"/>
    <mergeCell ref="BBJ1:BCA1"/>
    <mergeCell ref="BCB1:BCS1"/>
    <mergeCell ref="BCT1:BDK1"/>
    <mergeCell ref="BDL1:BEC1"/>
    <mergeCell ref="BED1:BEU1"/>
    <mergeCell ref="BEV1:BFM1"/>
    <mergeCell ref="AXF1:AXW1"/>
    <mergeCell ref="AXX1:AYO1"/>
    <mergeCell ref="AYP1:AZG1"/>
    <mergeCell ref="AZH1:AZY1"/>
    <mergeCell ref="AZZ1:BAQ1"/>
    <mergeCell ref="BAR1:BBI1"/>
    <mergeCell ref="ATB1:ATS1"/>
    <mergeCell ref="ATT1:AUK1"/>
    <mergeCell ref="AUL1:AVC1"/>
    <mergeCell ref="AVD1:AVU1"/>
    <mergeCell ref="AVV1:AWM1"/>
    <mergeCell ref="AWN1:AXE1"/>
    <mergeCell ref="AOX1:APO1"/>
    <mergeCell ref="APP1:AQG1"/>
    <mergeCell ref="AQH1:AQY1"/>
    <mergeCell ref="AQZ1:ARQ1"/>
    <mergeCell ref="ARR1:ASI1"/>
    <mergeCell ref="ASJ1:ATA1"/>
    <mergeCell ref="AKT1:ALK1"/>
    <mergeCell ref="ALL1:AMC1"/>
    <mergeCell ref="AMD1:AMU1"/>
    <mergeCell ref="AMV1:ANM1"/>
    <mergeCell ref="ANN1:AOE1"/>
    <mergeCell ref="AOF1:AOW1"/>
    <mergeCell ref="AGP1:AHG1"/>
    <mergeCell ref="AHH1:AHY1"/>
    <mergeCell ref="AHZ1:AIQ1"/>
    <mergeCell ref="AIR1:AJI1"/>
    <mergeCell ref="AJJ1:AKA1"/>
    <mergeCell ref="AKB1:AKS1"/>
    <mergeCell ref="ACL1:ADC1"/>
    <mergeCell ref="ADD1:ADU1"/>
    <mergeCell ref="ADV1:AEM1"/>
    <mergeCell ref="AEN1:AFE1"/>
    <mergeCell ref="AFF1:AFW1"/>
    <mergeCell ref="AFX1:AGO1"/>
    <mergeCell ref="YH1:YY1"/>
    <mergeCell ref="YZ1:ZQ1"/>
    <mergeCell ref="ZR1:AAI1"/>
    <mergeCell ref="AAJ1:ABA1"/>
    <mergeCell ref="ABB1:ABS1"/>
    <mergeCell ref="ABT1:ACK1"/>
    <mergeCell ref="UD1:UU1"/>
    <mergeCell ref="UV1:VM1"/>
    <mergeCell ref="VN1:WE1"/>
    <mergeCell ref="WF1:WW1"/>
    <mergeCell ref="WX1:XO1"/>
    <mergeCell ref="XP1:YG1"/>
    <mergeCell ref="PZ1:QQ1"/>
    <mergeCell ref="QR1:RI1"/>
    <mergeCell ref="RJ1:SA1"/>
    <mergeCell ref="SB1:SS1"/>
    <mergeCell ref="ST1:TK1"/>
    <mergeCell ref="TL1:UC1"/>
    <mergeCell ref="LV1:MM1"/>
    <mergeCell ref="MN1:NE1"/>
    <mergeCell ref="NF1:NW1"/>
    <mergeCell ref="NX1:OO1"/>
    <mergeCell ref="OP1:PG1"/>
    <mergeCell ref="PH1:PY1"/>
    <mergeCell ref="HR1:II1"/>
    <mergeCell ref="IJ1:JA1"/>
    <mergeCell ref="JB1:JS1"/>
    <mergeCell ref="JT1:KK1"/>
    <mergeCell ref="KL1:LC1"/>
    <mergeCell ref="LD1:LU1"/>
    <mergeCell ref="A8:G8"/>
    <mergeCell ref="DN1:EE1"/>
    <mergeCell ref="EF1:EW1"/>
    <mergeCell ref="EX1:FO1"/>
    <mergeCell ref="FP1:GG1"/>
    <mergeCell ref="GH1:GY1"/>
    <mergeCell ref="GZ1:HQ1"/>
    <mergeCell ref="J1:AA1"/>
    <mergeCell ref="AB1:AS1"/>
    <mergeCell ref="AT1:BK1"/>
    <mergeCell ref="BL1:CC1"/>
    <mergeCell ref="CD1:CU1"/>
    <mergeCell ref="CV1:DM1"/>
    <mergeCell ref="A6:G6"/>
  </mergeCells>
  <conditionalFormatting sqref="B12:B35">
    <cfRule type="containsBlanks" priority="3" stopIfTrue="1">
      <formula>LEN(TRIM(B12))=0</formula>
    </cfRule>
    <cfRule type="expression" dxfId="639" priority="4" stopIfTrue="1">
      <formula>ISNUMBER(B12)=FALSE</formula>
    </cfRule>
    <cfRule type="expression" dxfId="638" priority="5">
      <formula>AND(B12&lt;&gt;2021, B12&lt;&gt;2022, B12&lt;&gt;2023)</formula>
    </cfRule>
  </conditionalFormatting>
  <conditionalFormatting sqref="C12:C35">
    <cfRule type="containsBlanks" dxfId="637" priority="6" stopIfTrue="1">
      <formula>LEN(TRIM(C12))=0</formula>
    </cfRule>
    <cfRule type="expression" dxfId="636" priority="7">
      <formula>AND(C12&lt;&gt;1, C12&lt;&gt;2, C12&lt;&gt;3, C12&lt;&gt;4, C12&lt;&gt;5, C12&lt;&gt;6, C12&lt;&gt;7, C12&lt;&gt;8)</formula>
    </cfRule>
  </conditionalFormatting>
  <conditionalFormatting sqref="D12:F35">
    <cfRule type="containsBlanks" priority="8" stopIfTrue="1">
      <formula>LEN(TRIM(D12))=0</formula>
    </cfRule>
    <cfRule type="expression" dxfId="635" priority="9" stopIfTrue="1">
      <formula>ISNUMBER(D12)=FALSE</formula>
    </cfRule>
    <cfRule type="cellIs" dxfId="634" priority="10" stopIfTrue="1" operator="greaterThan">
      <formula>0</formula>
    </cfRule>
  </conditionalFormatting>
  <conditionalFormatting sqref="A12:A35">
    <cfRule type="containsBlanks" dxfId="633" priority="1" stopIfTrue="1">
      <formula>LEN(TRIM(A12))=0</formula>
    </cfRule>
    <cfRule type="expression" dxfId="632" priority="2">
      <formula>AND(A12&lt;&gt;201, A12&lt;&gt;202, A12&lt;&gt;203, A12&lt;&gt;204, A12&lt;&gt;205, A12&lt;&gt;206, A12&lt;&gt;207)</formula>
    </cfRule>
  </conditionalFormatting>
  <dataValidations count="3">
    <dataValidation type="decimal" operator="lessThanOrEqual" allowBlank="1" showInputMessage="1" showErrorMessage="1" error="Input must be a negative number" promptTitle="Input optional" prompt="Enter negative number if RX04 and RX05 are blank; if RX04 and RX05 have values leave this field blank" sqref="F12:F35" xr:uid="{B3A9327F-F09B-4C57-B88A-5BED88E80062}">
      <formula1>0</formula1>
    </dataValidation>
    <dataValidation type="decimal" operator="lessThanOrEqual" allowBlank="1" showInputMessage="1" showErrorMessage="1" error="Input must be a negative number" promptTitle="Input optional" prompt="Enter negative number if separate medical and retail pharmacy rebates are available" sqref="D12:E35" xr:uid="{46388BF9-F3B3-46BA-9F59-156B824E1713}">
      <formula1>0</formula1>
    </dataValidation>
    <dataValidation type="list" allowBlank="1" showInputMessage="1" showErrorMessage="1" errorTitle="Invalid input" error="Select option from the drop down list" promptTitle="Input required" prompt="Input must be an option from the drop down list" sqref="B12:B35" xr:uid="{9F3D786C-530C-47C7-9DE6-056513DD2279}">
      <formula1>"2021,2022,2023"</formula1>
    </dataValidation>
  </dataValidations>
  <pageMargins left="0.7" right="0.7" top="0.75" bottom="0.75" header="0.3" footer="0.3"/>
  <pageSetup scale="59" orientation="landscape" r:id="rId1"/>
  <headerFooter>
    <oddFooter>&amp;L&amp;"-,Bold"Carrier Benchmark Data Submission Template&amp;"-,Regular" | NJ Hart Program&amp;RPage &amp;P</oddFooter>
  </headerFooter>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promptTitle="Input required" prompt="Input must align with the Insurer Code in the file name and the Insurer Name (CP01) on the Cover Page tab" xr:uid="{5F3B6751-EF55-4EAF-ADFB-429CA232D72D}">
          <x14:formula1>
            <xm:f>'Reference Tables'!$A$6:$A$12</xm:f>
          </x14:formula1>
          <xm:sqref>A12:A35</xm:sqref>
        </x14:dataValidation>
        <x14:dataValidation type="list" allowBlank="1" showInputMessage="1" showErrorMessage="1" promptTitle="Input required" prompt="Input must be an option from the drop down list." xr:uid="{A5C93976-8680-40F9-BC82-8E8635A88CD6}">
          <x14:formula1>
            <xm:f>'Reference Tables'!$A$16:$A$23</xm:f>
          </x14:formula1>
          <xm:sqref>C12:C35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CE9B4A8F71014698F88BC29B6E192A" ma:contentTypeVersion="16" ma:contentTypeDescription="Create a new document." ma:contentTypeScope="" ma:versionID="c82ee5d09291d6e68e86f0c299e7902b">
  <xsd:schema xmlns:xsd="http://www.w3.org/2001/XMLSchema" xmlns:xs="http://www.w3.org/2001/XMLSchema" xmlns:p="http://schemas.microsoft.com/office/2006/metadata/properties" xmlns:ns2="c39f4b84-f9a6-44fb-aafc-a432b04efa9b" xmlns:ns3="d2dd1e31-d7ef-441f-b9cd-947bc875d2a2" xmlns:ns4="http://schemas.microsoft.com/sharepoint/v3/fields" targetNamespace="http://schemas.microsoft.com/office/2006/metadata/properties" ma:root="true" ma:fieldsID="79f8e7b5434618e5b5611d7d0bcb6223" ns2:_="" ns3:_="" ns4:_="">
    <xsd:import namespace="c39f4b84-f9a6-44fb-aafc-a432b04efa9b"/>
    <xsd:import namespace="d2dd1e31-d7ef-441f-b9cd-947bc875d2a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_Flow_SignoffStatus"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4:_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9f4b84-f9a6-44fb-aafc-a432b04efa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0" nillable="true" ma:displayName="Sign-off status" ma:internalName="Sign_x002d_off_x0020_status">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ae6c5d7-b21f-4aaa-ac91-296ecc6194c0"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dd1e31-d7ef-441f-b9cd-947bc875d2a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c294f38-9b84-4a17-9360-a40baffcaa28}" ma:internalName="TaxCatchAll" ma:showField="CatchAllData" ma:web="d2dd1e31-d7ef-441f-b9cd-947bc875d2a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3"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A G 7 e 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A G 7 e 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B u 3 l Y o i k e 4 D g A A A B E A A A A T A B w A R m 9 y b X V s Y X M v U 2 V j d G l v b j E u b S C i G A A o o B Q A A A A A A A A A A A A A A A A A A A A A A A A A A A A r T k 0 u y c z P U w i G 0 I b W A F B L A Q I t A B Q A A g A I A A B u 3 l Z v / H M r p A A A A P Y A A A A S A A A A A A A A A A A A A A A A A A A A A A B D b 2 5 m a W c v U G F j a 2 F n Z S 5 4 b W x Q S w E C L Q A U A A I A C A A A b t 5 W D 8 r p q 6 Q A A A D p A A A A E w A A A A A A A A A A A A A A A A D w A A A A W 0 N v b n R l b n R f V H l w Z X N d L n h t b F B L A Q I t A B Q A A g A I A A B u 3 l 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8 P T Z R + E Y V S K P l R / Y J F + D 5 A A A A A A I A A A A A A A N m A A D A A A A A E A A A A P J 1 g I c 7 Y P c g N 4 f u d b j W T w o A A A A A B I A A A K A A A A A Q A A A A E g 8 0 x D r F P 7 U N w 9 O 1 A s W V u V A A A A B 0 w v h X j f p t + z H A G W N U p v E o D G 1 A J b 0 p e s Z + 7 u P s a c + w a l N 4 y R T h e j V T s X l Z n m f O m 9 P D 1 P w W 0 Y W r X 3 N 5 q R A G L k r a S U I F q G c k K 8 I x z 0 5 k I z + 2 2 x Q A A A A h H 0 Y G 5 x 2 s 8 L b u a A Z G f C T r f z 2 Q K Q = = < / 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Flow_SignoffStatus xmlns="c39f4b84-f9a6-44fb-aafc-a432b04efa9b">Draft until the client signs-off and shares with the data submitters</_Flow_SignoffStatus>
    <TaxCatchAll xmlns="d2dd1e31-d7ef-441f-b9cd-947bc875d2a2" xsi:nil="true"/>
    <lcf76f155ced4ddcb4097134ff3c332f xmlns="c39f4b84-f9a6-44fb-aafc-a432b04efa9b">
      <Terms xmlns="http://schemas.microsoft.com/office/infopath/2007/PartnerControls"/>
    </lcf76f155ced4ddcb4097134ff3c332f>
    <_Version xmlns="http://schemas.microsoft.com/sharepoint/v3/fields" xsi:nil="true"/>
  </documentManagement>
</p:properties>
</file>

<file path=customXml/itemProps1.xml><?xml version="1.0" encoding="utf-8"?>
<ds:datastoreItem xmlns:ds="http://schemas.openxmlformats.org/officeDocument/2006/customXml" ds:itemID="{A2FCEB1D-D04D-491F-9567-97B6C1E58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9f4b84-f9a6-44fb-aafc-a432b04efa9b"/>
    <ds:schemaRef ds:uri="d2dd1e31-d7ef-441f-b9cd-947bc875d2a2"/>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72B5E1-A2D1-42A8-BB7A-ED5F877889F0}">
  <ds:schemaRefs>
    <ds:schemaRef ds:uri="http://schemas.microsoft.com/DataMashup"/>
  </ds:schemaRefs>
</ds:datastoreItem>
</file>

<file path=customXml/itemProps3.xml><?xml version="1.0" encoding="utf-8"?>
<ds:datastoreItem xmlns:ds="http://schemas.openxmlformats.org/officeDocument/2006/customXml" ds:itemID="{226B5BB4-C412-40CB-8511-52CF28DBC02C}">
  <ds:schemaRefs>
    <ds:schemaRef ds:uri="http://schemas.microsoft.com/sharepoint/v3/contenttype/forms"/>
  </ds:schemaRefs>
</ds:datastoreItem>
</file>

<file path=customXml/itemProps4.xml><?xml version="1.0" encoding="utf-8"?>
<ds:datastoreItem xmlns:ds="http://schemas.openxmlformats.org/officeDocument/2006/customXml" ds:itemID="{70C55A14-10C7-405F-BC4C-F1EABC2E27DE}">
  <ds:schemaRefs>
    <ds:schemaRef ds:uri="http://schemas.microsoft.com/office/infopath/2007/PartnerControls"/>
    <ds:schemaRef ds:uri="http://schemas.openxmlformats.org/package/2006/metadata/core-properties"/>
    <ds:schemaRef ds:uri="http://www.w3.org/XML/1998/namespace"/>
    <ds:schemaRef ds:uri="http://schemas.microsoft.com/sharepoint/v3/fields"/>
    <ds:schemaRef ds:uri="http://purl.org/dc/terms/"/>
    <ds:schemaRef ds:uri="d2dd1e31-d7ef-441f-b9cd-947bc875d2a2"/>
    <ds:schemaRef ds:uri="http://schemas.microsoft.com/office/2006/documentManagement/types"/>
    <ds:schemaRef ds:uri="http://purl.org/dc/elements/1.1/"/>
    <ds:schemaRef ds:uri="c39f4b84-f9a6-44fb-aafc-a432b04efa9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57</vt:i4>
      </vt:variant>
    </vt:vector>
  </HeadingPairs>
  <TitlesOfParts>
    <vt:vector size="74" baseType="lpstr">
      <vt:lpstr>Validation Report</vt:lpstr>
      <vt:lpstr>Contents</vt:lpstr>
      <vt:lpstr>Reference Tables</vt:lpstr>
      <vt:lpstr>1. Cover Page</vt:lpstr>
      <vt:lpstr>2. Total Medical Expenses</vt:lpstr>
      <vt:lpstr>3. Age and Sex Factors </vt:lpstr>
      <vt:lpstr>4. Standard Deviation</vt:lpstr>
      <vt:lpstr>5. Line of Business Enrollment</vt:lpstr>
      <vt:lpstr>6. Pharmacy Rebates</vt:lpstr>
      <vt:lpstr>7. Mandatory Questions</vt:lpstr>
      <vt:lpstr>Data Validation Checks 2021-22</vt:lpstr>
      <vt:lpstr>Data Validation Checks 2022-23</vt:lpstr>
      <vt:lpstr>CMSPubliclyAvailData</vt:lpstr>
      <vt:lpstr>Validation by Market 2021-22</vt:lpstr>
      <vt:lpstr>Validation by Market 2022-23</vt:lpstr>
      <vt:lpstr>Validation by Provider 2021-22</vt:lpstr>
      <vt:lpstr>Validation by Provider 2022-23</vt:lpstr>
      <vt:lpstr>'Reference Tables'!_ftn1</vt:lpstr>
      <vt:lpstr>'Reference Tables'!_ftn2</vt:lpstr>
      <vt:lpstr>'Reference Tables'!_ftn3</vt:lpstr>
      <vt:lpstr>'Reference Tables'!_ftnref3</vt:lpstr>
      <vt:lpstr>Commercial_MemberMonths_2021</vt:lpstr>
      <vt:lpstr>Commercial_MemberMonths_2022</vt:lpstr>
      <vt:lpstr>'Validation by Market 2022-23'!Commercial_MemberMonths_2023</vt:lpstr>
      <vt:lpstr>ICC1_MemberMonths_2021</vt:lpstr>
      <vt:lpstr>ICC1_MemberMonths_2022</vt:lpstr>
      <vt:lpstr>'Validation by Market 2022-23'!ICC1_MemberMonths_2023</vt:lpstr>
      <vt:lpstr>ICC2_MemberMonths_2021</vt:lpstr>
      <vt:lpstr>ICC2_MemberMonths_2022</vt:lpstr>
      <vt:lpstr>'Validation by Market 2022-23'!ICC2_MemberMonths_2023</vt:lpstr>
      <vt:lpstr>ICC3_MemberMonths_2021</vt:lpstr>
      <vt:lpstr>ICC3_MemberMonths_2022</vt:lpstr>
      <vt:lpstr>'Validation by Market 2022-23'!ICC3_MemberMonths_2023</vt:lpstr>
      <vt:lpstr>ICC4_MemberMonths_2021</vt:lpstr>
      <vt:lpstr>ICC4_MemberMonths_2022</vt:lpstr>
      <vt:lpstr>'Validation by Market 2022-23'!ICC4_MemberMonths_2023</vt:lpstr>
      <vt:lpstr>ICC5_MemberMonths_2021</vt:lpstr>
      <vt:lpstr>ICC5_MemberMonths_2022</vt:lpstr>
      <vt:lpstr>'Validation by Market 2022-23'!ICC5_MemberMonths_2023</vt:lpstr>
      <vt:lpstr>ICC6_MemberMonths_2021</vt:lpstr>
      <vt:lpstr>ICC6_MemberMonths_2022</vt:lpstr>
      <vt:lpstr>'Validation by Market 2022-23'!ICC6_MemberMonths_2023</vt:lpstr>
      <vt:lpstr>ICC7_MemberMonths_2021</vt:lpstr>
      <vt:lpstr>ICC7_MemberMonths_2022</vt:lpstr>
      <vt:lpstr>'Validation by Market 2022-23'!ICC7_MemberMonths_2023</vt:lpstr>
      <vt:lpstr>ICC8_MemberMonths_2021</vt:lpstr>
      <vt:lpstr>ICC8_MemberMonths_2022</vt:lpstr>
      <vt:lpstr>'Validation by Market 2022-23'!ICC8_MemberMonths_2023</vt:lpstr>
      <vt:lpstr>'Data Validation Checks 2022-23'!Insurer_Code</vt:lpstr>
      <vt:lpstr>Insurer_Code</vt:lpstr>
      <vt:lpstr>Medicaid_MemberMonths_2021</vt:lpstr>
      <vt:lpstr>Medicaid_MemberMonths_2022</vt:lpstr>
      <vt:lpstr>'Validation by Market 2022-23'!Medicaid_MemberMonths_2023</vt:lpstr>
      <vt:lpstr>Medicare_MemberMonths_2021</vt:lpstr>
      <vt:lpstr>Medicare_MemberMonths_2022</vt:lpstr>
      <vt:lpstr>'Validation by Market 2022-23'!Medicare_MemberMonths_2023</vt:lpstr>
      <vt:lpstr>'1. Cover Page'!Print_Area</vt:lpstr>
      <vt:lpstr>'2. Total Medical Expenses'!Print_Area</vt:lpstr>
      <vt:lpstr>'3. Age and Sex Factors '!Print_Area</vt:lpstr>
      <vt:lpstr>'4. Standard Deviation'!Print_Area</vt:lpstr>
      <vt:lpstr>'5. Line of Business Enrollment'!Print_Area</vt:lpstr>
      <vt:lpstr>'6. Pharmacy Rebates'!Print_Area</vt:lpstr>
      <vt:lpstr>'7. Mandatory Questions'!Print_Area</vt:lpstr>
      <vt:lpstr>'Contents'!Print_Area</vt:lpstr>
      <vt:lpstr>'Data Validation Checks 2021-22'!Print_Area</vt:lpstr>
      <vt:lpstr>'Data Validation Checks 2022-23'!Print_Area</vt:lpstr>
      <vt:lpstr>'Reference Tables'!Print_Area</vt:lpstr>
      <vt:lpstr>'Validation by Market 2021-22'!Print_Area</vt:lpstr>
      <vt:lpstr>'Validation by Market 2022-23'!Print_Area</vt:lpstr>
      <vt:lpstr>'Validation by Provider 2021-22'!Print_Area</vt:lpstr>
      <vt:lpstr>'Validation by Provider 2022-23'!Print_Area</vt:lpstr>
      <vt:lpstr>'Validation Report'!Print_Area</vt:lpstr>
      <vt:lpstr>'2. Total Medical Expenses'!Print_Titles</vt:lpstr>
      <vt:lpstr>'Reference Tables'!Print_Titles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Carrier Benchmark Data Submission Template V2.0</dc:title>
  <dc:subject/>
  <dc:creator>NJ HART Program</dc:creator>
  <cp:keywords/>
  <dc:description/>
  <cp:lastModifiedBy>Aaron Swaney</cp:lastModifiedBy>
  <cp:revision/>
  <cp:lastPrinted>2024-10-18T19:41:52Z</cp:lastPrinted>
  <dcterms:created xsi:type="dcterms:W3CDTF">2022-01-26T21:10:14Z</dcterms:created>
  <dcterms:modified xsi:type="dcterms:W3CDTF">2024-10-18T20:35:48Z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0x01010021CE9B4A8F71014698F88BC29B6E192A</vt:lpwstr>
  </property>
  <property fmtid="{D5CDD505-2E9C-101B-9397-08002B2CF9AE}" pid="3" name="MediaServiceImageTags">
    <vt:lpwstr/>
  </property>
</Properties>
</file>